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Инфо по SKU" sheetId="1" r:id="rId5"/>
    <sheet state="visible" name="CC" sheetId="2" r:id="rId6"/>
    <sheet state="visible" name="1С" sheetId="3" r:id="rId7"/>
    <sheet state="visible" name="спецификация" sheetId="4" r:id="rId8"/>
    <sheet state="visible" name="Алтея" sheetId="5" r:id="rId9"/>
    <sheet state="visible" name="CPA" sheetId="6" r:id="rId10"/>
    <sheet state="visible" name="Лист4" sheetId="7" r:id="rId11"/>
    <sheet state="visible" name="Актуальность" sheetId="8" r:id="rId12"/>
    <sheet state="visible" name="Реестр" sheetId="9" r:id="rId13"/>
    <sheet state="visible" name="Ответсвенные" sheetId="10" r:id="rId14"/>
    <sheet state="visible" name="qeep" sheetId="11" r:id="rId15"/>
    <sheet state="visible" name="Общие метрики" sheetId="12" r:id="rId16"/>
    <sheet state="hidden" name="Инфо по SKU (копия)" sheetId="13" r:id="rId17"/>
  </sheets>
  <definedNames>
    <definedName hidden="1" localSheetId="12" name="_xlnm._FilterDatabase">'Инфо по SKU (копия)'!$A$5:$FC$435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tc={1571372a-e958-4879-989e-325c87fd19ad}</author>
    <author>tc={18a86d79-f67d-4c7c-b5cc-dbcd70da62dd}</author>
    <author>tc={5548817a-435a-4892-b7bd-7e0553fc4baa}</author>
    <author>tc={55932dff-d6a2-40ab-b372-4accb5415270}</author>
    <author>tc={68513295-b55d-4f41-88df-6e1fdce4efa3}</author>
    <author>tc={72fe7c06-b1e9-47dd-a13c-b3c34153d380}</author>
    <author>tc={788bf68d-e79a-47c6-87aa-67f354d3750c}</author>
    <author>tc={80ca216d-c7cb-486a-8835-77bb04f86830}</author>
    <author>tc={82ce1e2c-17c9-46e3-88ca-26eb6e4ebeeb}</author>
    <author>tc={a45ab393-dcde-459b-95a6-c56407a80333}</author>
    <author>tc={adab6151-f48f-4509-9d62-c2518e1f4a29}</author>
    <author>tc={ba3a891f-798d-4a1f-a7ae-caa7d30dd9c0}</author>
    <author>tc={bc398c79-5aa9-4d3e-9182-3ddfbf197f4a}</author>
    <author>tc={c37e5636-db42-4d63-bc67-cdb53d7459f3}</author>
    <author>tc={c452ac92-7130-42dc-a38e-6e95cd672d9f}</author>
    <author>tc={dda5a8c4-cde9-4920-8865-3ad1c991911a}</author>
    <author>tc={f6879327-9504-46ab-a80b-58b5ec01df42}</author>
  </authors>
  <commentList>
    <comment authorId="0" xr:uid="{1571372a-e958-4879-989e-325c87fd19ad}" ref="BY356">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1" xr:uid="{18a86d79-f67d-4c7c-b5cc-dbcd70da62dd}" ref="BY220">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2" xr:uid="{5548817a-435a-4892-b7bd-7e0553fc4baa}" ref="BY335">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3" xr:uid="{55932dff-d6a2-40ab-b372-4accb5415270}" ref="CO4">
      <text>
        <t xml:space="preserve">[Threaded comment]
 Your version of Excel allows you to read this threaded comment; however, any edits to it will get removed if the file is opened in a newer version of Excel. Learn more: https://go.microsoft.com/fwlink/?linkid=870924
Comment:
	Под вопросом 
Где все взять в одном месте?
</t>
      </text>
    </comment>
    <comment authorId="4" xr:uid="{68513295-b55d-4f41-88df-6e1fdce4efa3}" ref="BY309">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5" xr:uid="{72fe7c06-b1e9-47dd-a13c-b3c34153d380}" ref="BY144">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6" xr:uid="{788bf68d-e79a-47c6-87aa-67f354d3750c}" ref="BY164">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7" xr:uid="{80ca216d-c7cb-486a-8835-77bb04f86830}" ref="BY345">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8" xr:uid="{82ce1e2c-17c9-46e3-88ca-26eb6e4ebeeb}" ref="BY131">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9" xr:uid="{a45ab393-dcde-459b-95a6-c56407a80333}" ref="BY128">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10" xr:uid="{adab6151-f48f-4509-9d62-c2518e1f4a29}" ref="BY95">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11" xr:uid="{ba3a891f-798d-4a1f-a7ae-caa7d30dd9c0}" ref="BY145">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12" xr:uid="{bc398c79-5aa9-4d3e-9182-3ddfbf197f4a}" ref="BY316">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13" xr:uid="{c37e5636-db42-4d63-bc67-cdb53d7459f3}" ref="BY370">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14" xr:uid="{c452ac92-7130-42dc-a38e-6e95cd672d9f}" ref="BY172">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15" xr:uid="{dda5a8c4-cde9-4920-8865-3ad1c991911a}" ref="BY136">
      <text>
        <t xml:space="preserve">[Threaded comment]
 Your version of Excel allows you to read this threaded comment; however, any edits to it will get removed if the file is opened in a newer version of Excel. Learn more: https://go.microsoft.com/fwlink/?linkid=870924
Comment:
	посмотреть
</t>
      </text>
    </comment>
    <comment authorId="16" xr:uid="{f6879327-9504-46ab-a80b-58b5ec01df42}" ref="CF1">
      <text>
        <t xml:space="preserve">[Threaded comment]
 Your version of Excel allows you to read this threaded comment; however, any edits to it will get removed if the file is opened in a newer version of Excel. Learn more: https://go.microsoft.com/fwlink/?linkid=870924
Comment:
	Узнать кто вносил в старую таблицу
</t>
      </text>
    </comment>
  </commentList>
</comments>
</file>

<file path=xl/sharedStrings.xml><?xml version="1.0" encoding="utf-8"?>
<sst xmlns="http://schemas.openxmlformats.org/spreadsheetml/2006/main" count="36820" uniqueCount="6666">
  <si>
    <t>А пон</t>
  </si>
  <si>
    <t>Андрей Л</t>
  </si>
  <si>
    <t>Вячеслав</t>
  </si>
  <si>
    <t>Продукты</t>
  </si>
  <si>
    <t>Анна З</t>
  </si>
  <si>
    <t>Маркетолог по МП</t>
  </si>
  <si>
    <t>@dropdown</t>
  </si>
  <si>
    <t>Продуктологи</t>
  </si>
  <si>
    <t>Аня З / Продуктологи</t>
  </si>
  <si>
    <t>Продуктологи / Аня З</t>
  </si>
  <si>
    <t>Аня Клименко</t>
  </si>
  <si>
    <t>Александра З</t>
  </si>
  <si>
    <t>Автоматом / Таблица инвентаризация себеса</t>
  </si>
  <si>
    <t>Маркетинг + Продукты</t>
  </si>
  <si>
    <t>Леша В</t>
  </si>
  <si>
    <t>Продукты + Леша В</t>
  </si>
  <si>
    <t>Идентификация товаров</t>
  </si>
  <si>
    <t>Товар заведен</t>
  </si>
  <si>
    <t>SKU МП + 1С</t>
  </si>
  <si>
    <t>Артикула МП</t>
  </si>
  <si>
    <t>Наименования МП + 1С</t>
  </si>
  <si>
    <t>Ссылки на товар</t>
  </si>
  <si>
    <t>Категория товара на МП</t>
  </si>
  <si>
    <t>Ответственные по МП</t>
  </si>
  <si>
    <t>Документы и маркировка</t>
  </si>
  <si>
    <t>Характеристики продукта</t>
  </si>
  <si>
    <t>Макет / Дизайн / Этикетка</t>
  </si>
  <si>
    <t>Производственный блок</t>
  </si>
  <si>
    <t>Габариты товара &amp; Логистический блок</t>
  </si>
  <si>
    <t>new</t>
  </si>
  <si>
    <t xml:space="preserve">будет заполняться постепенно </t>
  </si>
  <si>
    <t>Перепроверить / Влад / Сходится ли с 1с</t>
  </si>
  <si>
    <t>копия столбца G</t>
  </si>
  <si>
    <t>Аня З</t>
  </si>
  <si>
    <t>спецификация</t>
  </si>
  <si>
    <t>Инвентаризация себестоимости МП май 2024</t>
  </si>
  <si>
    <t>Таблица от Вики</t>
  </si>
  <si>
    <t>Габариты единицы товара с упаковкой</t>
  </si>
  <si>
    <t>данных нет</t>
  </si>
  <si>
    <t>Актуальность товара</t>
  </si>
  <si>
    <t>Блок 1С</t>
  </si>
  <si>
    <t>Категории внутреннего распределения</t>
  </si>
  <si>
    <t>kma.biz</t>
  </si>
  <si>
    <t xml:space="preserve">new
составы меняются </t>
  </si>
  <si>
    <t xml:space="preserve">Рекомендации по применению
Переименовываем </t>
  </si>
  <si>
    <t>Уточнить у Саши что имела ввиду</t>
  </si>
  <si>
    <t>Формулой</t>
  </si>
  <si>
    <t>продукты</t>
  </si>
  <si>
    <t xml:space="preserve">Файл от Вики / чат </t>
  </si>
  <si>
    <t>Необходимость доп упаковки</t>
  </si>
  <si>
    <t>Требования МП по упаковке</t>
  </si>
  <si>
    <t>Вид расходника</t>
  </si>
  <si>
    <t>Штука</t>
  </si>
  <si>
    <t>Ozon</t>
  </si>
  <si>
    <t>WB</t>
  </si>
  <si>
    <t>YM</t>
  </si>
  <si>
    <t>Лету</t>
  </si>
  <si>
    <t>ЗЯ</t>
  </si>
  <si>
    <t>Магнит Маркет</t>
  </si>
  <si>
    <t>Блок – Смотка</t>
  </si>
  <si>
    <t>Короб</t>
  </si>
  <si>
    <t>Паллет</t>
  </si>
  <si>
    <t xml:space="preserve">Направление </t>
  </si>
  <si>
    <t>SKU</t>
  </si>
  <si>
    <t>Бренд</t>
  </si>
  <si>
    <t>Статус товара</t>
  </si>
  <si>
    <t>Комментарий</t>
  </si>
  <si>
    <t>Полное наименование</t>
  </si>
  <si>
    <t>Категория 1</t>
  </si>
  <si>
    <t>Категория 2</t>
  </si>
  <si>
    <t>1С</t>
  </si>
  <si>
    <t>ЯМаркет</t>
  </si>
  <si>
    <t>Золотое Яблоко</t>
  </si>
  <si>
    <t>Летуаль</t>
  </si>
  <si>
    <t>ШК</t>
  </si>
  <si>
    <t>ТНВЭД</t>
  </si>
  <si>
    <t>Документы качества</t>
  </si>
  <si>
    <t>Ссылка на документы</t>
  </si>
  <si>
    <t>Маркировка</t>
  </si>
  <si>
    <t>Состав</t>
  </si>
  <si>
    <t>Дата изменения состава</t>
  </si>
  <si>
    <t>Применение</t>
  </si>
  <si>
    <t>Противопоказания</t>
  </si>
  <si>
    <t>Хранение</t>
  </si>
  <si>
    <t>Количество</t>
  </si>
  <si>
    <t>Форма выпуска</t>
  </si>
  <si>
    <t>Масса капсулы / таблетки</t>
  </si>
  <si>
    <t>Срок годности на этикетке</t>
  </si>
  <si>
    <t>Срок годности для нас</t>
  </si>
  <si>
    <t>Продакт файл</t>
  </si>
  <si>
    <t>Этикетка</t>
  </si>
  <si>
    <t>Дата изменения</t>
  </si>
  <si>
    <t>Этикетка (+ коробка)</t>
  </si>
  <si>
    <t>Мокап</t>
  </si>
  <si>
    <t>Креативы</t>
  </si>
  <si>
    <t>Себестоимость</t>
  </si>
  <si>
    <t>Производитель</t>
  </si>
  <si>
    <t>Альтернативный производитель</t>
  </si>
  <si>
    <t>Контакты производителя</t>
  </si>
  <si>
    <t>Срок производства</t>
  </si>
  <si>
    <t>Адрес производства</t>
  </si>
  <si>
    <t>Срок доставки до нашего склада</t>
  </si>
  <si>
    <t>Возможность отправлять прямо на МП</t>
  </si>
  <si>
    <t>Типография этикетки</t>
  </si>
  <si>
    <t>Контакт типографии</t>
  </si>
  <si>
    <t>Необходимость доупаковки товара</t>
  </si>
  <si>
    <t>Oz</t>
  </si>
  <si>
    <t>Wb</t>
  </si>
  <si>
    <t>Этикетка для склада</t>
  </si>
  <si>
    <t>Высота</t>
  </si>
  <si>
    <t>Ширина</t>
  </si>
  <si>
    <t>Глубина</t>
  </si>
  <si>
    <t>Объем</t>
  </si>
  <si>
    <t>Вес</t>
  </si>
  <si>
    <t>Гоубина</t>
  </si>
  <si>
    <t>Кратность коробов к ряду</t>
  </si>
  <si>
    <t>Биг-Л</t>
  </si>
  <si>
    <t>harly_paste_75ml_v2</t>
  </si>
  <si>
    <t>Harly</t>
  </si>
  <si>
    <t>Актуальный</t>
  </si>
  <si>
    <t>Паста для вывода шерсти кошек ,Harly, 75 мл</t>
  </si>
  <si>
    <t>Корма и Кормовые добавки</t>
  </si>
  <si>
    <t>Витамины для кошек</t>
  </si>
  <si>
    <t>HB101100407</t>
  </si>
  <si>
    <t>Паста для вывода шерсти кошек и хорьков 75 мл</t>
  </si>
  <si>
    <t>Паста для вывода шерсти кошек и хорьков Harly 75 мл</t>
  </si>
  <si>
    <t>https://www.wildberries.ru/catalog/473683865/detail.aspx</t>
  </si>
  <si>
    <t>https://www.ozon.ru/product/2517120405</t>
  </si>
  <si>
    <t>Пасты для животных</t>
  </si>
  <si>
    <t>Алексей</t>
  </si>
  <si>
    <t>Кристина</t>
  </si>
  <si>
    <t>Анна Пирогова</t>
  </si>
  <si>
    <t>Екатерина Доможирова</t>
  </si>
  <si>
    <t>ДС</t>
  </si>
  <si>
    <t>https://drive.google.com/drive/folders/1PqXUMTMlCs1-1shAXBWFmXZz1thQTrG7</t>
  </si>
  <si>
    <t>меркурий, ЧЗ</t>
  </si>
  <si>
    <t>масло растительное пищевое, гидролизат белковый, жир растительный, стабилизатор, экстракт солода, масло клещевины, волокна растительные пищевые, масло вазелиновое, лецитин соевый, экстракт кошачьей мяты, антиоксидант, консервант.</t>
  </si>
  <si>
    <t>давать один раз в день до кормления или добавлять в корм: кошкам массой более 2 кг - 5 см пасты; кошкам массой до 2 кг, котятам, хорькам - 2 см пасты. В период линьки порцию можно увеличить вдвое.</t>
  </si>
  <si>
    <t xml:space="preserve">Хранить в течение 12 месяцев при температуре от 0 до 25 ℃. Вскрытую упаковку рекомендуется хранить в холодильнике.
</t>
  </si>
  <si>
    <t>мл</t>
  </si>
  <si>
    <t>12 месяцев</t>
  </si>
  <si>
    <t>https://docs.google.com/document/d/1XPxvc0_rnwY-m_Fi8Z3tguz_Y9D15h6gupsd_lqR5Tk/edit</t>
  </si>
  <si>
    <t>https://disk.yandex.ru/d/5CofSvNzSJz4RA</t>
  </si>
  <si>
    <t>ООО "ВЕДА"</t>
  </si>
  <si>
    <t>"Дмитрий Алексеев / Dmitry Alekseev
Коммерческий директор ООО ""ВЕДА Вет-Фарм"" / Commercial Director VEDA Vet-Farm
+7-919-766-6452
dmitriy.alexeev@vedaved.ru
"</t>
  </si>
  <si>
    <t>нет</t>
  </si>
  <si>
    <t>ссылка на папку</t>
  </si>
  <si>
    <t>Harly_cat_support_100tabs</t>
  </si>
  <si>
    <t>Витамины для кастрированных котов, Harly, 100 таблеток</t>
  </si>
  <si>
    <t>HB101100400</t>
  </si>
  <si>
    <t>Витамины для кастрированных и стерилизованных кошек</t>
  </si>
  <si>
    <t>Витамины для кастрированных и стерилизованных котов, 100 таблеток</t>
  </si>
  <si>
    <t>Витамины для кошек кастрированных и стерилизованных котов, 100 таблеток</t>
  </si>
  <si>
    <t>https://www.wildberries.ru/catalog/163683380/detail.aspx</t>
  </si>
  <si>
    <t>https://www.ozon.ru/product/1010948247</t>
  </si>
  <si>
    <t>https://market.yandex.ru/card/cat-support-dlya-kastrirovannykh-i-sterilizovannykh-kotov/103542519891?businessId=8291477&amp;clid=8291477&amp;model_id=44497703&amp;distr_type=8&amp;pp=605</t>
  </si>
  <si>
    <t>Витамины и добавки для животных</t>
  </si>
  <si>
    <t>товары для животных / ветаптека / витамины для животных и птиц</t>
  </si>
  <si>
    <t>СТО 42310364-0042-2023</t>
  </si>
  <si>
    <t>https://drive.google.com/drive/folders/1EJ8QC9PqNnODOuu3qt12V3UPgRlQGVat</t>
  </si>
  <si>
    <t>меркурий</t>
  </si>
  <si>
    <t>лактоза; дрожжи пивные; фитокомплекс: листьев березы, створок фасоли, листьев подорожника большого, травы душицы, корней одуванчика, травы тысячелистника, цветков ноготков, травы зверобоя, цветков лабазника вязолистного, листьев мяты перечной, цветков ромашки; минеральный комплекс; мука рыбная; крахмал; стеарат кальция; L-карнитин; ПВП; таурин; сера; масло рыжиковое; краситель пищевой.</t>
  </si>
  <si>
    <t>корм дают ежедневно по 1 г (2 шт.) 2 раза в день</t>
  </si>
  <si>
    <t>при температуре от 0 до 25 oС</t>
  </si>
  <si>
    <t>Таблетки</t>
  </si>
  <si>
    <t>18 месяцев</t>
  </si>
  <si>
    <t>https://docs.google.com/document/d/1RTioq-2_e3hK5brYg7srNivrKihOx92EEEbnue87y00/edit?tab=t.0</t>
  </si>
  <si>
    <t>https://drive.google.com/drive/u/0/folders/1g_p7fO6i6NuPWi4GRMAvunnDvxfLGqJC</t>
  </si>
  <si>
    <t xml:space="preserve">Дмитрий Алексеев / Dmitry Alekseev
Коммерческий директор ООО "ВЕДА Вет-Фарм" / Commercial Director VEDA Vet-Farm
+7-919-766-6452
dmitriy.alexeev@vedaved.ru
</t>
  </si>
  <si>
    <t>Термо</t>
  </si>
  <si>
    <t>Harly_cat_teeth_bones_100tabs</t>
  </si>
  <si>
    <t>кд</t>
  </si>
  <si>
    <t>Витамины для костей для кошек, Harly, 100 таблеток</t>
  </si>
  <si>
    <t>HB101100401</t>
  </si>
  <si>
    <t>Витамины для кошек для костей и зубов</t>
  </si>
  <si>
    <t>Витамины для кошек для костей и зубов, 100 таблеток</t>
  </si>
  <si>
    <t>Витамины для кошек для костей и зубов, комплекс витаминов для кошек 100 таблеток</t>
  </si>
  <si>
    <t>https://www.wildberries.ru/catalog/163688556/detail.aspx</t>
  </si>
  <si>
    <t>https://www.ozon.ru/product/1018532111</t>
  </si>
  <si>
    <t>https://market.yandex.ru/card/teeth--bones-funktsionalnyy-korm-dlya-zubov-i-kostey-dlya-koshek/103614081635?businessId=8291477&amp;clid=8291477&amp;model_id=44500665&amp;distr_type=8&amp;pp=605</t>
  </si>
  <si>
    <t>СТО 42310364-0043-2023</t>
  </si>
  <si>
    <t>https://drive.google.com/drive/folders/1mpyXfn29J6FjP1QVEKQT3NjykIDvNJyV</t>
  </si>
  <si>
    <t>дрожжи пивные, лактоза; крахмал; фитокомплекс: корневищ аира, травы хвоща полевого, цветков лабазника вязолистного, травы фиалки, листьев березы, листьев шалфея, корней лопуха, почек березовых, цветков ноготков, листьев мяты перечной, почек сосны; природный минеральный комплекс; паровая мука рыбная; гидролизат коллагена; L-карнитин; таурин; сера; стеарат кальция.</t>
  </si>
  <si>
    <t>котятам по 0,5г - 1 г (1-2 шт) 2 раза в день; кошкам старше 8 месяцев  по 1-1,5 г (2-3 шт) раза в день; длястареющим животных по 1 г (1) 2 раза в день</t>
  </si>
  <si>
    <t>https://docs.google.com/document/d/1nRMqrHOUL-HxNDtP1kKkagtZQlN6WmJEcH715UB0ctc/edit?tab=t.0</t>
  </si>
  <si>
    <t>и тд</t>
  </si>
  <si>
    <t>harly_paste_75ml</t>
  </si>
  <si>
    <t>Вывод</t>
  </si>
  <si>
    <t>Перезавели v2</t>
  </si>
  <si>
    <t>HB101100408</t>
  </si>
  <si>
    <t>Паста для вывода шерсти кошек и хорьков, мальт-паста для животных Harly 75 мл</t>
  </si>
  <si>
    <t>https://www.wildberries.ru/catalog/265523439/detail.aspx</t>
  </si>
  <si>
    <t>https://www.ozon.ru/product/1711363073</t>
  </si>
  <si>
    <t>https://market.yandex.ru/card/harly-pasta-dlya-vyvedeniya-shersti/103614089888?businessId=8291477&amp;clid=8291477&amp;model_id=824211224&amp;distr_type=8&amp;pp=605</t>
  </si>
  <si>
    <t>Выведено</t>
  </si>
  <si>
    <t xml:space="preserve">Состав : масло растительное пищевое, гидролизат белковый, жир растительный, стабилизатор, экстракт солода, масло клещевины, волокна растительные пищевые, масло вазелиновое, лецитин соевый, экстракт кошачьей мяты, антиоксидант, консервант.
</t>
  </si>
  <si>
    <t>Harly_Skin_Coat</t>
  </si>
  <si>
    <t>Витамины для здоровой шерсти для собак, Harly, 100 таблеток</t>
  </si>
  <si>
    <t>Витамины для собак</t>
  </si>
  <si>
    <t>HB101100402</t>
  </si>
  <si>
    <t>Витамины для собак и щенков для здоровой и красивой шерсти</t>
  </si>
  <si>
    <t>Витамины для собак и щенков для здоровой и красивой шерсти, 100 таблеток</t>
  </si>
  <si>
    <t>https://www.wildberries.ru/catalog/150253274/detail.aspx</t>
  </si>
  <si>
    <t>https://www.ozon.ru/product/884560852</t>
  </si>
  <si>
    <t>https://market.yandex.ru/card/skin--coat-funktsionalnyy-korm-dlya-sobak-dlya-shersti/103614081637?businessId=8291477&amp;clid=8291477&amp;model_id=44886188&amp;distr_type=8&amp;pp=605</t>
  </si>
  <si>
    <t>4605543011092</t>
  </si>
  <si>
    <t>СТО 42310364-0061-2022</t>
  </si>
  <si>
    <t>https://drive.google.com/drive/folders/1MFf-7yPFgLdMXDrXjcxVgFiVJH8U2vuD</t>
  </si>
  <si>
    <t>корней лопуха, листьев крапивы, листьев березы, цветков ромашки, травы чабреца, корневищ аира, травы череды, корней солодки, травы подмаренника, листьев подорожника, травы тысячелистника; минеральный комплекс; дрожжи пивные; L-карнитин; гидролизат коллагена; сера; вспомогательные компоненты.</t>
  </si>
  <si>
    <t>щенкам и собакам мелких пород (10 кг) по 0,5г(1шт)  2 раза в день;собакам средних размеров (до 30 кг) по 1-1,5 г (2-3 шт)  раза в день;собакам крупных размеров (свыше 30 кг) по 2,5 (5 шт) 2 раза в день</t>
  </si>
  <si>
    <t>таблеток</t>
  </si>
  <si>
    <t>https://docs.google.com/document/d/1UikjX911kCO0UpzSvjsVdQLtyppRaN72OG_7o70i1iQ/edit?tab=t.0</t>
  </si>
  <si>
    <t>harly_dog_antiallergy_100tabs</t>
  </si>
  <si>
    <t>Витамины противоаллергические собакам, Harly, 100 таблеток</t>
  </si>
  <si>
    <t>HB101100405</t>
  </si>
  <si>
    <t>Витамины противоаллергические собакам</t>
  </si>
  <si>
    <t>Витамины противоаллергические собакам Harly Dog Anti-Allergy 100 таблеток</t>
  </si>
  <si>
    <t>Витамины противоаллергические для собак Harly Dog Anti-Allergy 100 таблеток</t>
  </si>
  <si>
    <t>https://www.wildberries.ru/catalog/232468472/detail.aspx</t>
  </si>
  <si>
    <t>https://www.ozon.ru/product/1581829359</t>
  </si>
  <si>
    <t>https://market.yandex.ru/card/anti-allergy-dlya-sobak--1/103542523691?businessId=8291477&amp;clid=8291477&amp;model_id=679202716&amp;distr_type=8&amp;pp=605</t>
  </si>
  <si>
    <t>товары для животных / ветаптека / витамины для животных и птиц / витамины для животных и птиц</t>
  </si>
  <si>
    <t>N РОСС RU Д-RU.PA01.B.15564/24 от 16.04.2024 до 14.04.2027</t>
  </si>
  <si>
    <t>https://drive.google.com/drive/folders/1o1P40yl_7ZR8-xRy4wZf7EhJzyXZkr3-</t>
  </si>
  <si>
    <t>лактоза; дрожжи пищевые пивные сухие; фитокомплекс: травы сушеницы топяной, травы череды, травы тысячелистника, травы чистотела, почек березовых, листьев березы, листьев подорожника большого, корней лопуха, корней одуванчика, цветков ноготков; минеральный комплекс (кальция фосфат дефторированный); крахмал; стеарат кальция; L-карнитин; ПВП; сера кормовая; вкусо-ароматическая пищевая добавка «Бекон».</t>
  </si>
  <si>
    <t>Рекомендации по кормлению: щенкам и собакам мелких пород (до 10 кг) по 0,5 г (1 шт.) 2 раза в день;
собакам средних размеров (до 30 кг) по 1 – 1,5 г (2-3 шт.) 2 раза в день;
собакам крупных размеров (свыше 30 кг) по 2,5 г (5 шт.) 2 раза в день.</t>
  </si>
  <si>
    <t>https://docs.google.com/document/d/1Fy9Ve-kCbeluAI0L32QSpa4uGjqvZAu9KV47IS7glV4/edit</t>
  </si>
  <si>
    <t>Harly_Joint_Care</t>
  </si>
  <si>
    <t>Витамины для костей суставов  для собак, Harly, 100 таблеток</t>
  </si>
  <si>
    <t>HB101100403</t>
  </si>
  <si>
    <t>Витамины для собак и щенков для костей суставов и связок</t>
  </si>
  <si>
    <t>Витамины для собак и щенков для костей суставов и связок 100 таблеток</t>
  </si>
  <si>
    <t>https://www.wildberries.ru/catalog/150262548/detail.aspx</t>
  </si>
  <si>
    <t>https://www.ozon.ru/product/884578393</t>
  </si>
  <si>
    <t>https://market.yandex.ru/card/joint-care-funktsionalnyy-korm-dlya-sobak-dlya-sustavov/103542518194?businessId=8291477&amp;clid=8291477&amp;model_id=44500663&amp;distr_type=8&amp;pp=605</t>
  </si>
  <si>
    <t>4605543011085</t>
  </si>
  <si>
    <t>СТО 42310364-0060-2022</t>
  </si>
  <si>
    <t>https://drive.google.com/drive/folders/1IQ51gbZJ8MzYP29NXeoOOScaQ0jQZK3C</t>
  </si>
  <si>
    <t>коры дуба, листьев эвкалипта, корней окопника, корневищ аира, травы фиалки, листьев березы, корней одуванчика, травы зверобоя, побегов багульника, цветков лабазника вязолистного; дрожжи пивные; гидролизат коллагена; L-карнитин; сера; витамин D3; вспомогательные компоненты.</t>
  </si>
  <si>
    <t>https://docs.google.com/document/d/1P2KK6r50RbQvRpU3E3b6nd7ld16cP7H7MoVk9M_1Ums/edit?tab=t.0</t>
  </si>
  <si>
    <t xml:space="preserve">harly_sardineoil_250ml </t>
  </si>
  <si>
    <t>Новинка</t>
  </si>
  <si>
    <t>Harly масло сардины 250 мл</t>
  </si>
  <si>
    <t>Семен</t>
  </si>
  <si>
    <t>https://drive.google.com/drive/u/0/folders/1f6GGEzLVv8y1ay2J45GONVZoZVXjddLa</t>
  </si>
  <si>
    <t>ЧЗ</t>
  </si>
  <si>
    <t>100% масло сардины</t>
  </si>
  <si>
    <t>одно нажатие дозатора – 1,15 мл. Суточная норма: на каждые 5 кг веса питомца – 1,15 мл.</t>
  </si>
  <si>
    <t>Хранить в прохладном, защищенном от света месте (в летний период не выше 30 С). Вскрытый флакон хранить в холодильнике при температуре от +4 С до +8 С.</t>
  </si>
  <si>
    <t>https://docs.google.com/document/d/1BKKy3Blk0MIwdeRBkS6P1iBdo8cf4Nqv_AtheYEpn50/edit?tab=t.0</t>
  </si>
  <si>
    <t>ООО Терра-пласт</t>
  </si>
  <si>
    <t>Гордиенко Евгения Степановна
(812)748-22-25(доб.101)
+7(962)689-06-49
stm@gkfavorite.ru</t>
  </si>
  <si>
    <t>Harly_dog_teeth_bones_100tabs</t>
  </si>
  <si>
    <t>Витамины для костей для собак, ,Harly, 100 таблеток</t>
  </si>
  <si>
    <t>HB101100404</t>
  </si>
  <si>
    <t>Витамины для собак и щенков для костей и зубов</t>
  </si>
  <si>
    <t>Витамины для собак и щенков для костей и зубов, 100 таблеток</t>
  </si>
  <si>
    <t>https://www.wildberries.ru/catalog/163687757/detail.aspx</t>
  </si>
  <si>
    <t>https://www.ozon.ru/product/1018530861</t>
  </si>
  <si>
    <t>https://market.yandex.ru/card/teeth--bones-funktsionalnyy-korm-dlya-zubov-i-kostey-dlya-sobak/103614081636?businessId=8291477&amp;clid=8291477&amp;model_id=44502679&amp;distr_type=8&amp;pp=605</t>
  </si>
  <si>
    <t>СТО 42310364-0044-2023</t>
  </si>
  <si>
    <t>https://drive.google.com/drive/folders/1p5gWqcP76Vsv2Evi4DwpeTeky0kE3iyV</t>
  </si>
  <si>
    <t>лактоза; дрожжи пивные; фитокомплекс: корневищ аира, травы хвоща полевого, цветков лабазника вязолистного, травы фиалки, листьев березы, листьев шалфея, корней лопуха, почек березовых, цветков ноготков, листьев мяты перечной, почек сосны; минеральный комплекс; крахмал; стеарат кальция; L-карнитин; ПВП; гидролизат коллагена; ароматическая пищевая добавка; сера.</t>
  </si>
  <si>
    <t>https://docs.google.com/document/d/1GIhxI6rjxcKWcXkVQWFOUMR8k_q55sJ6ghopBpX2UKc/edit?tab=t.0</t>
  </si>
  <si>
    <t>Harly_dogcat_probiotics_20tabs</t>
  </si>
  <si>
    <t>Пребиотик для собак и кошек ,Harly, 20 таб</t>
  </si>
  <si>
    <t>Витамины общие</t>
  </si>
  <si>
    <t>HB101100409</t>
  </si>
  <si>
    <t>Пробиотик для собак и кошек лактобактерии для профилактики</t>
  </si>
  <si>
    <t>Пребиотик для собак и кошек лактобактерии для профилактики жкт</t>
  </si>
  <si>
    <t>Пробиотик для собак и кошек лактобактерии для профилактики жкт, витамины для животных 20 шт. в упаковке</t>
  </si>
  <si>
    <t>https://www.wildberries.ru/catalog/232465954/detail.aspx</t>
  </si>
  <si>
    <t>https://www.ozon.ru/product/1581825452</t>
  </si>
  <si>
    <t>https://market.yandex.ru/card/dog-and-cat-probiotics--1/103542563878?businessId=8291477&amp;clid=8291477&amp;model_id=616053073&amp;distr_type=8&amp;pp=605</t>
  </si>
  <si>
    <t>товары для животных / ветаптека / ветеринарные препараты</t>
  </si>
  <si>
    <t>N РОСС RU Д-RU.PA01.B.15696/24 от 16.04.2024 до 15.04.2027</t>
  </si>
  <si>
    <t>https://drive.google.com/drive/folders/1L065BxHDMUdVQxodAmNqzK24QFsduBfI</t>
  </si>
  <si>
    <t>комплекс лиофильно высушенных культур пробиотических бактерий - бифидобактерий, лактобактерий, стрептококков; вспомогательные компоненты: лактоза, крахмал, стеарат кальция.</t>
  </si>
  <si>
    <t xml:space="preserve">Рекомендации по кормлению: функциональный корм дают 2 раза в сутки из расчета: собакам - по 1 таблетке на каждые 10 кг массы; кошкам и собакам мелких пород - по 1 таблетке; щенкам мелких пород, котятам, хорькам и грызунам - по 1 таблетке. Можно растворять в воде для выпаивания или смешивать с небольшим количеством любимого корма. Продолжительность включения в рацион 5-10 дней. Ограничений для применения и несовместимости с различными рационами и кормами не выявлено. </t>
  </si>
  <si>
    <t>Хранить в течение 12 месяцев при температуре от 0 до 10 ºС. Допускается хранение не более 10 суток при температуре до 25 ºС.</t>
  </si>
  <si>
    <t>1 год</t>
  </si>
  <si>
    <t>https://docs.google.com/document/d/16CMvYUaTc8W6xLuW6xuJqCabd0q3Dqms08x9tXcTvjI/edit</t>
  </si>
  <si>
    <t>qeep_perfect_spray_200ml</t>
  </si>
  <si>
    <t>qeep</t>
  </si>
  <si>
    <t>Внимание, Цена ВБ</t>
  </si>
  <si>
    <t>Спрей солевой для объема волос, ,qeep, 200 мл</t>
  </si>
  <si>
    <t>Косметика</t>
  </si>
  <si>
    <t>Волосы</t>
  </si>
  <si>
    <t>QC101100405</t>
  </si>
  <si>
    <t>QEEP-SOLEVSP</t>
  </si>
  <si>
    <t>Спрей для объема и укладки волос с фиксацией</t>
  </si>
  <si>
    <t>Спрей для волос солевой для объема и укладки волос с фиксацией qeep 200 мл</t>
  </si>
  <si>
    <t>Спрей для объема и укладки волос с фиксацией, прикорневой объем волос qeep, 200 мл</t>
  </si>
  <si>
    <t>Спрей для волос солевой для объема и укладки волос с фиксацией, qeep, 200 мл</t>
  </si>
  <si>
    <t>https://www.wildberries.ru/catalog/377788941/detail.aspx</t>
  </si>
  <si>
    <t>https://www.ozon.ru/product/2018960887</t>
  </si>
  <si>
    <t>https://market.yandex.ru/card/sprey-dlya-obyema-i-ukladki-volos-s-fiksatsiyey-qeep-200-ml/4315768672?businessId=8291477&amp;clid=8291477&amp;model_id=1103677448&amp;distr_type=8&amp;pp=605</t>
  </si>
  <si>
    <t>https://mm.ru/product/sprej-dlya-volos-5898539?skuId=13170083</t>
  </si>
  <si>
    <t>Спреи</t>
  </si>
  <si>
    <t>товары для красоты / косметика, парфюмерия и уход / уход за волосами / для укладки / лаки и спреи</t>
  </si>
  <si>
    <t>Уход для волос</t>
  </si>
  <si>
    <t>Мария</t>
  </si>
  <si>
    <t>https://drive.google.com/drive/folders/1tkb0VjzFG6nTETD90FvT27TX2vLzgDjy</t>
  </si>
  <si>
    <t>без ЧЗ</t>
  </si>
  <si>
    <t>Вода очищенная, поливинилпирролидон, соль морская, мочевина, carepol 99, натрия гидроокись, молочная кислота, парфюмерная композиция, ПЭГ-40 гидрогенезированное касторовое масло, гидролизат кератина, Д-пантенол, феноксиэтанол, этилгексилглицерин, экстракт розмарина, экстракт орхидеи, твин 20.</t>
  </si>
  <si>
    <t>хорошо встряхнуть флакон перед применением. Распылить на волосы, распределить руками по длине. Придайте волосам нужную форму своими руками. Дать волосам высохнуть естественным путём или с помощью фена. Не смывать. При необходимости повторить.</t>
  </si>
  <si>
    <t>хранят при температуре не ниже 5˚С и не выше 25˚ Не допускается хранить продукцию под непосредственным воздействием солнечного света и вблизи отопительных приборов.</t>
  </si>
  <si>
    <t>24 месяца</t>
  </si>
  <si>
    <t>https://docs.google.com/document/d/1as7qSPL_FDh8Gb9PLz5CNARde-H9drK_5pJMeQf_GK8/edit?tab=t.0</t>
  </si>
  <si>
    <t>ООО ПКФ Две линии (Алтэя)</t>
  </si>
  <si>
    <t xml:space="preserve">Мария Чуйкова
+7 (3854) 30-30-87
https://productaltai.com/
www.dvelinii.com
моб., WhatsApp 8-903-948-3450
Алтайский край, г. Бийск, ул.Социалистическая д.11, стр. 1
</t>
  </si>
  <si>
    <t>qeep_dlyarostavolos_100ml</t>
  </si>
  <si>
    <t>Спрей для роста и от выпадения волос ,qeep, 100 мл</t>
  </si>
  <si>
    <t>QC101100406</t>
  </si>
  <si>
    <t>MPL494786</t>
  </si>
  <si>
    <t>Спрей сыворотка для роста волос</t>
  </si>
  <si>
    <t>Спрей для волос, для роста и от выпадения волос qeep 100 мл</t>
  </si>
  <si>
    <t>Спрей для роста и от выпадения волос, сыворотка для роста волос активатор qeep 100 мл</t>
  </si>
  <si>
    <t>спрей для волос, для роста и от выпадения волос, qeep, 100 мл</t>
  </si>
  <si>
    <t>Спрей для волос, для роста и от выпадения волос</t>
  </si>
  <si>
    <t>https://www.wildberries.ru/catalog/449423638/detail.aspx</t>
  </si>
  <si>
    <t>https://www.ozon.ru/product/2354324278</t>
  </si>
  <si>
    <t>https://market.yandex.ru/card/sprey-dlya-rosta-i-ot-vypadeniya-volos-qeep-100-ml/4480600215?businessId=8291477&amp;clid=8291477&amp;model_id=4909516636&amp;distr_type=8&amp;pp=605</t>
  </si>
  <si>
    <t>https://goldapple.ru/catalogsearch/result?q=99000115954</t>
  </si>
  <si>
    <t>https://www.letu.ru/product/qeep-sprei-dlya-volos-dlya-rosta-i-ot-vypadeniya-volos/175700153</t>
  </si>
  <si>
    <t>Сыворотки</t>
  </si>
  <si>
    <t>товары для красоты / косметика, парфюмерия и уход / уход за волосами / маски и сыворотки</t>
  </si>
  <si>
    <t>Уход за волосами &gt;&gt; Уход за волосами &gt;&gt; Сыворотка для ухода за волосами</t>
  </si>
  <si>
    <t>ЕАЭС N RU Д-RU.РА03.В.29743/25 от 10.04.2025 по 10.04.2030</t>
  </si>
  <si>
    <t>https://drive.google.com/drive/folders/1ejD8pLP3trBa83tKqhil3_9DZnl-zh1B</t>
  </si>
  <si>
    <t>Aqua, Niacinamide, Hydroxyethyl Urea, Glycerin, Rosemary Extract, Acetyl Tetrapeptide-3, Capsicum Annuum Extract, D-Panthenol, Phenoxyethanol, PEG-40 Hydrogenated Castor Oil, Fragrance, Glycolic Acid, Oleanolic acid, 1,2-Hexanediol, Ethylhexylglycerin, Hexamethylindanopyran, Hexyl Cinnamal, Tetramethyl Acetyloctahydronaphthalenes, Pinene, D-Limonene</t>
  </si>
  <si>
    <t>Встряхните флакон и равномерно распылить средство на сухую или влажную кожу головы, разделяя волосы на проборы. Провести легкий массаж. Средство не загрязняет кожу головы и не требует смывания. Рекомендуется для регулярного использования.</t>
  </si>
  <si>
    <t>36 месяцев</t>
  </si>
  <si>
    <t>https://docs.google.com/document/d/12STKI-NMYfL1xbAqJUqIbh1TKTru8BF48TrgEiod520/edit?tab=t.0</t>
  </si>
  <si>
    <t>https://disk.yandex.ru/d/uHOU2gc2rR089A</t>
  </si>
  <si>
    <t xml:space="preserve">ООО «Марвел 420049, Республика Татарстан, г Казань, ул Павлюхина, д. 99б, помещ. 1027. </t>
  </si>
  <si>
    <t>Эйвон Бьюти</t>
  </si>
  <si>
    <t>79196215060 Евгений</t>
  </si>
  <si>
    <t>qeep_hairspray_200ml</t>
  </si>
  <si>
    <t>Внимание, небольшой остаток держим</t>
  </si>
  <si>
    <t>Спрей термозащита для волос 17 в 1 ,qeep, 200 мл</t>
  </si>
  <si>
    <t>QC101100407</t>
  </si>
  <si>
    <t>MPL405943</t>
  </si>
  <si>
    <t>Спрей для волос многофункциональный с кератином</t>
  </si>
  <si>
    <t>Спрей термозащита для волос 17 в 1 многофункциональный с кератином qeep 200 мл</t>
  </si>
  <si>
    <t>Спрей для волос 17 в 1 многофункциональный с кератином qeep 200 мл</t>
  </si>
  <si>
    <t>Спрей для волос 17 в 1 многофункциональный с кератином</t>
  </si>
  <si>
    <t>https://www.wildberries.ru/catalog/268884161/detail.aspx</t>
  </si>
  <si>
    <t>https://www.ozon.ru/product/1729383128</t>
  </si>
  <si>
    <t>https://market.yandex.ru/card/sprey-dlya-volos-mnogofunktsionalnyy-s-keratinom-qeep-200-ml/103578859652?businessId=8291477&amp;clid=8291477&amp;model_id=1103677448&amp;distr_type=8&amp;pp=605</t>
  </si>
  <si>
    <t>https://www.letu.ru/product/qeep-sprei-dlya-volos-17-v-1-mnogofunktsionalnyi-s-keratinom/168000614?sort=default&amp;open=ingredient&amp;hide=expectedEffect</t>
  </si>
  <si>
    <t>Уход за волосами &gt;&gt; Уход за волосами &gt;&gt; Спрей для ухода за волосами</t>
  </si>
  <si>
    <t>https://drive.google.com/drive/folders/1D9_9YHYClR7hdKWe5YPLWdcJy578H-4u</t>
  </si>
  <si>
    <t>Aqua, Amodimethicone, Cetearyl Alcohol, Glycerin, Cetrimonium Chloride, Trideceth-12, Ceteareth 20, Polyquaternium-37, Behentrimonium Chloride, Lysine, Histidine, Arginine, Aspartic Acid, Threonine, Serine, Glutamic Acid, Proline, Glycine, Alanine, Valine, Methionine, Isoleucine, Leucine, Tyrosine, Phenylalanine, Cysteine, Sodium PCA, Glucose, Urea, Allantoin, Lactic Acid, Oenothera Biennis Oil, Retinyl Palmitate, Tocopheryl Acetate, Panthenol, Hydrolyzed Keratin, Hydrolysed Silk, Argania Spinosa Kernel Oil, PEG-7 Glyceryl Cocoate, Potassium Sorbate, Sodium Benzoate, Gluconolactone, Calcium Gluconate, PEG-40 Hydrogenated Castor Oil, Benzoic Acid, Dehydroacetic Acid, Parfum, Phenoxyethanol, Ethylhexylglycerin.</t>
  </si>
  <si>
    <t>перед применением встряхните флакон. Нанесите средство на чистые и подсушенные волосы на расстоянии 10-20 см  в необходимом количестве, распределите по длине волос. Приступите к укладке волос.</t>
  </si>
  <si>
    <t>2 года</t>
  </si>
  <si>
    <t>https://docs.google.com/document/d/10J8C2tL_Ttlb0h2oWm5GtXjXdwtwyf_qKWKopwZQzFg/edit</t>
  </si>
  <si>
    <t>qeep_gummy_d3_60</t>
  </si>
  <si>
    <t>Под вопросом</t>
  </si>
  <si>
    <t>КЗ Внешка</t>
  </si>
  <si>
    <t>БАД Д3 мармеладки ,qeep, 60 штук</t>
  </si>
  <si>
    <t>БАДы</t>
  </si>
  <si>
    <t>Детские витамины</t>
  </si>
  <si>
    <t>QB101100420</t>
  </si>
  <si>
    <t>Витамин Д3 для детей жевательный</t>
  </si>
  <si>
    <t>Витамины для детей витамин Д3 жевательные мармеладки qeep 60 штук</t>
  </si>
  <si>
    <t>Витамин Д3 для детей жевательный qeep 60 мармеладок, витамишки</t>
  </si>
  <si>
    <t>витамины для детей витамин д3 жевательные мармеладки qeep  со вкусом вишни 60 штук</t>
  </si>
  <si>
    <t>https://www.wildberries.ru/catalog/432821274/detail.aspx</t>
  </si>
  <si>
    <t>https://www.ozon.ru/product/2214705163</t>
  </si>
  <si>
    <t>https://market.yandex.ru/card/vitamin-d3-dlya-detey-zhevatelnyy-qeep-60-marmeladok/4476305013?businessId=8291477&amp;clid=8291477&amp;model_id=1947049801&amp;distr_type=8&amp;pp=605</t>
  </si>
  <si>
    <t>https://goldapple.ru/catalogsearch/result?q=99000117740</t>
  </si>
  <si>
    <t>аптека / витамины, минералы, добавки</t>
  </si>
  <si>
    <t>Бады  витамины</t>
  </si>
  <si>
    <t>Света</t>
  </si>
  <si>
    <t>AM.01.01.01.003.R.000594.08.23 от 17.08.2023 г.</t>
  </si>
  <si>
    <t>https://drive.google.com/drive/folders/1jZ4eqgWNd8vmt2FebMgnvRLrkJrCvx9w</t>
  </si>
  <si>
    <t xml:space="preserve">патока, сахар, вода, желатин, носитель – глицерин, глазирователь (содержит глазирователи: воск карнаубский, воск пчелиный белый, антиокислитель – альфа-токоферол), регулятор кислотности – лимонная кислота, холекальциферол, жир молочный, ароматизатор натуральный «Вишня» </t>
  </si>
  <si>
    <t>детям старше 3 лет и взрослым по 1 пастилке в день, разжевывая после еды.</t>
  </si>
  <si>
    <t>индивидуальная непереносимость компонентов, беременность, кормление грудью, нарушения углеводного обмена (в том числе сахарный диабет). Перед применением рекомендуется проконсультироваться с врачом. Перед применением БАД детьми необходимо проконсультироваться с врачом-педиатром. Детям до 14 лет принимать БАД по согласованию и под наблюдением врача-педиатра.</t>
  </si>
  <si>
    <t xml:space="preserve">в сухом, защищенном от воздействия прямых солнечных лучей и недоступном для детей месте при температуре не выше +25°С.        </t>
  </si>
  <si>
    <t>штук</t>
  </si>
  <si>
    <t>https://docs.google.com/document/d/1IAHvVzgeKSqo1-9G60Q4yjs42ezg6WvRovlxkChGLZQ/edit?tab=t.0</t>
  </si>
  <si>
    <t>ООО ПК "Битра"</t>
  </si>
  <si>
    <t xml:space="preserve">Михалева Галина
тел. 495/988-93-50 доб.120
моб./whatsapp+7 916-905-60-40
Mikhalevabitra@yandex.ru
</t>
  </si>
  <si>
    <t>qeepomega_kids</t>
  </si>
  <si>
    <t>БАД Омега 3 для детей 540 мг ,qeep, 90 капсул</t>
  </si>
  <si>
    <t>QB101100475</t>
  </si>
  <si>
    <t>Омега 3 для детей с витамином Д и Е для иммунитета и роста</t>
  </si>
  <si>
    <t>Омега 3 витамины для детей 540 мг Qeep 90 капсул</t>
  </si>
  <si>
    <t>https://www.wildberries.ru/catalog/138757897/detail.aspx</t>
  </si>
  <si>
    <t>https://www.ozon.ru/product/809466646</t>
  </si>
  <si>
    <t>2253874668540
4620153900611</t>
  </si>
  <si>
    <t>RU.77.99.11.003.R.003248.09.19 от 10.09.2019 г.</t>
  </si>
  <si>
    <t>https://drive.google.com/drive/folders/1hjNWvHCJR_wfGIdgHTvU153navLEZsF2</t>
  </si>
  <si>
    <t>рыбий жир, капсула желатиновая (желатин, глицерин, картофельный крахмал, фруктоза), кремния диоксид (носитель), натуральный ароматизатор «малина и травы», витамин Е (токоферола ацетат), ликопин (или бета-каротин) (краситель), антиокислитель «Гриндокс», витамин D3 (холекальциферол).</t>
  </si>
  <si>
    <t>детям с 3х лет и взрослым по 1-2 капсулы 2 раза в день во время еды (разжевать). Продолжительность приема 1 месяц. При необходимости прием можно повторить в течение года.</t>
  </si>
  <si>
    <t>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</si>
  <si>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недоступном для детей месте при температуре не выше 25°С.</t>
  </si>
  <si>
    <t>https://drive.google.com/drive/u/0/folders/10ZcNddpKKbQ2OW4wt_06WNYC5-1fTDJ1</t>
  </si>
  <si>
    <t>ООО «Сибфармконтракт», Россия, 634034, г. Томск, ул. Нахимова 8, стр. 11.</t>
  </si>
  <si>
    <t xml:space="preserve"> </t>
  </si>
  <si>
    <t>qeep_gummy_magn_60</t>
  </si>
  <si>
    <t>Выяснить какой продукт</t>
  </si>
  <si>
    <t>БАД магний для детей мармеладки ,qeep, 60 штук</t>
  </si>
  <si>
    <t>Детский витамины</t>
  </si>
  <si>
    <t>QB101100460</t>
  </si>
  <si>
    <t>Витамины для детей магний цитрат жевательные мармеладки</t>
  </si>
  <si>
    <t>Витамины для детей магний цитрат жевательные мармеладки qeep 60 штук</t>
  </si>
  <si>
    <t>Витамины для детей магний цитрат жевательные мармеладки, мармеладные мишки qeep 60 штук</t>
  </si>
  <si>
    <t>витамины для детей магний цитрат жевательные мармеладки qeep со вкусом ягодного микса 60 штук</t>
  </si>
  <si>
    <t>https://www.wildberries.ru/catalog/293062934/detail.aspx</t>
  </si>
  <si>
    <t>https://www.ozon.ru/product/1773856028</t>
  </si>
  <si>
    <t>https://market.yandex.ru/card/vitaminy-dlya-detey-magniy-tsitrat-zhevatelnyye-marmeladki-qeep-60-shtuk/103665495848?businessId=8291477&amp;clid=8291477&amp;model_id=1947049801&amp;distr_type=8&amp;pp=605</t>
  </si>
  <si>
    <t>https://goldapple.ru/catalogsearch/result?q=99000117794</t>
  </si>
  <si>
    <t>4640346711336</t>
  </si>
  <si>
    <t>AM.01.07.01.003.R.000302.03.24 от 11.03.2024</t>
  </si>
  <si>
    <t>https://drive.google.com/drive/folders/18RmLZdwskR-wJY5i0_FQQ25ZkllrDPc-</t>
  </si>
  <si>
    <t>магний цитрат, желатин, лимонная кислота - регулятор кислотности, натуральный ароматизатор "Ягодный микс", концентрат сока черной моркови – краситель, растительное масло (содержит карнаубский воск – глазирователь). глюкозный сироп, сахар. На предприятии используется сырье, содержащее продукты переработки молока, рыбы, ракообразных и сои.</t>
  </si>
  <si>
    <t xml:space="preserve">детям старше 3-х лет и взрослым принимать по 1 пастилке в день во время еды. Не превышать рекомендуемую дозировку. </t>
  </si>
  <si>
    <t xml:space="preserve">хранить в сухом, защищенном от попадания прямых солнечных лучей и недоступном для детей месте, при температуре от +5°С до +25°С и относительной влажности воздуха не более 75%. </t>
  </si>
  <si>
    <t>шт</t>
  </si>
  <si>
    <t>https://docs.google.com/document/d/1hFyhMnyjIC7Qb4t82VGmf3vdwfGg8itrcmm5MVkbmJM/edit?tab=t.0</t>
  </si>
  <si>
    <t>ООО "НУТРИЛЕНТ"</t>
  </si>
  <si>
    <t>Анна Панкова @AnnaPankovaUKIZ</t>
  </si>
  <si>
    <t>qeep_gummy_c_60</t>
  </si>
  <si>
    <t>БАД витамин С для детей мармеладки ,qeep, 60 штук</t>
  </si>
  <si>
    <t>QB101100408</t>
  </si>
  <si>
    <t>Витамин С для детей жевательный</t>
  </si>
  <si>
    <t>Витамины для детей витамин с жевательные мармеладки qeep 60 штук</t>
  </si>
  <si>
    <t>Витамин С для детей жевательный qeep 60 жевательных мармеладок, витамишки</t>
  </si>
  <si>
    <t>витамины для детей витамин с жевательные мармеладки qeep со вкусом апельсина 60 штук</t>
  </si>
  <si>
    <t>https://www.wildberries.ru/catalog/432841134/detail.aspx</t>
  </si>
  <si>
    <t>https://www.ozon.ru/product/2214748873</t>
  </si>
  <si>
    <t>https://market.yandex.ru/card/vitamin-s-dlya-detey-zhevatelnyy-qeep-60-zhevatelnykh-marmeladok/4476310330?businessId=8291477&amp;clid=8291477&amp;model_id=1947049801&amp;distr_type=8&amp;pp=605</t>
  </si>
  <si>
    <t>https://goldapple.ru/catalogsearch/result?q=99000117739</t>
  </si>
  <si>
    <t>AM.01.01.01.003.R.000584.08.23 от 15.08.2023 г.</t>
  </si>
  <si>
    <t>https://drive.google.com/drive/folders/1-Pgr3i2_OqiWQSo8yCWIZcaUHTKtWguF</t>
  </si>
  <si>
    <t xml:space="preserve">патока, сахар, вода, желатин, носитель – глицерин, L-аскорбиновая кислота, глазирователь (содержит глазирователи: воск карнаубский и воск пчелиный белый, антиокислитель – альфа-токоферол), жир молочный; ароматизатор натуральный «Апельсин», краситель натуральный </t>
  </si>
  <si>
    <t>детям старше 3 лет по 1 пастилке в день, взрослым по 1-2 пастилки в день, разжевывая после еды.</t>
  </si>
  <si>
    <t>https://docs.google.com/document/d/1R65c50N_ld9jmDvK87XlIizSVB2GfnPinCtxjVCxlBU/edit?tab=t.0</t>
  </si>
  <si>
    <t>harly_pawsoap_500ml</t>
  </si>
  <si>
    <t>Мыло для лап собак ,Harly, 500 мл</t>
  </si>
  <si>
    <t>Косметика для животных</t>
  </si>
  <si>
    <t>Для лап</t>
  </si>
  <si>
    <t>HC101100406</t>
  </si>
  <si>
    <t>Мыло для лап собак с пантенолом и коллоидным серебром</t>
  </si>
  <si>
    <t>Мыло для лап собак с пантенолом и коллоидным серебром Harly 500 мл</t>
  </si>
  <si>
    <t>https://www.wildberries.ru/catalog/307874530/detail.aspx</t>
  </si>
  <si>
    <t>https://www.ozon.ru/product/1828993605</t>
  </si>
  <si>
    <t>https://market.yandex.ru/card/mylo-dlya-lap-sobak-s-pantenolom-i-kolloidnym-serebrom-harly-500-ml/103724222997?businessId=8291477&amp;clid=8291477&amp;model_id=944504526&amp;distr_type=8&amp;pp=605</t>
  </si>
  <si>
    <t>Мыло для животных</t>
  </si>
  <si>
    <t>товары для животных / косметика и гигиена / средства для уборки за животными</t>
  </si>
  <si>
    <t>https://drive.google.com/drive/folders/1YcoxDfDh4ruJhBG56E2T7u94bh1w79DC</t>
  </si>
  <si>
    <t>Water (Aqua), Sodium Laureth Sulfate, Cocamidopropyl Betaine, Glycerin, D-Panthenol, Cocamide DEA, Parfum, Citric Acid, Methylchloroisothiazolinone, Methylisothiazolinone, Colloidal Silver.</t>
  </si>
  <si>
    <t xml:space="preserve">нанесите небольшое количество мыла на влажные руки, вспеньте, очистите образовавшейся пеной лапки питомца, смоченные водой. После тщательно смойте пену теплой водой. Рекомендуется после мытья обработать лапки воском для лап. 
Можно использовать для щенков от 6 месяцев.
</t>
  </si>
  <si>
    <t xml:space="preserve">https://docs.google.com/document/d/1_eSJtZO0eUrwiF0HDADKHQOq_usuoSpYtxP_JdmcIGk/edit?tab=t.0 </t>
  </si>
  <si>
    <t>https://disk.yandex.ru/d/Xz_B17SiYOGjpw</t>
  </si>
  <si>
    <t>ООО "Батискаф"</t>
  </si>
  <si>
    <t>Адель 8 962 557 2689</t>
  </si>
  <si>
    <t>harly_pawprotector_30ml</t>
  </si>
  <si>
    <t>Воск для лап ,Harly, 30 мл</t>
  </si>
  <si>
    <t>HC101100400</t>
  </si>
  <si>
    <t>Воск для лап собак и кошек защитный</t>
  </si>
  <si>
    <t>Воск для лапок собак и кошек защитный Harly 30 мл</t>
  </si>
  <si>
    <t>https://www.wildberries.ru/catalog/276247301/detail.aspx</t>
  </si>
  <si>
    <t>https://www.ozon.ru/product/1745032627</t>
  </si>
  <si>
    <t>Воск для лап</t>
  </si>
  <si>
    <t>Масло семян гелиантуса однолетнего, Пчелиный воск, Вазелин, Пальмовое масло, Воск из отрубей риса (Oriza sativa), Коллоидное серебро, Ланолин, Микрокристаллический воск, гидрогенизированное растительное масло, гидрогенизированная пальмовая кислота, Стеарилстеарат, глицерилмоностеарат, Стеариновая кислота,  Полисорбат 80, Олеат сорбитана, Ароматизатор, бутилгидрокситолуол.</t>
  </si>
  <si>
    <t>нанесите средство на подушечки лап животных перед прогулкой, давая составу подсохнуть в течение минуты. После прогулки сотрите воск салфеткой и смойте остатки продукта теплой водой.</t>
  </si>
  <si>
    <t>Температура хранения: от +5°C до +25°C.</t>
  </si>
  <si>
    <t>https://docs.google.com/document/d/1KgCVfJkmpvVcN800fh2ozy8rpk8wfHp7o3jwNbMaPTk/edit?tab=t.0</t>
  </si>
  <si>
    <t>ООО «М9 Фарм» 445043, Самарская обл, Тольятти г, Южное шоссе, влд. 14 стр.3, помещение 31, 32.</t>
  </si>
  <si>
    <t>Дмитрий +7 960 841 9108</t>
  </si>
  <si>
    <t>qeep_berberine_60caps</t>
  </si>
  <si>
    <t>БАД Берберин 500 мг ,qeep, 60 капсул</t>
  </si>
  <si>
    <t>Женские</t>
  </si>
  <si>
    <t>QB101100405</t>
  </si>
  <si>
    <t>Берберин БАД для контроля сахара и жиросжигатель холестерина</t>
  </si>
  <si>
    <t>Берберин 500 мг Qeep 60 капсул</t>
  </si>
  <si>
    <t>Берберин 500 мг капсулы для похудения и контроля аппетита Qeep 60 капсул</t>
  </si>
  <si>
    <t>берберин 500 мг qeep 60 капсул</t>
  </si>
  <si>
    <t>https://www.wildberries.ru/catalog/198421782/detail.aspx</t>
  </si>
  <si>
    <t>https://www.ozon.ru/product/1361997453</t>
  </si>
  <si>
    <t>https://market.yandex.ru/card/berberin-500-mg-qeep-60-kapsul/103374785698?businessId=8291477&amp;clid=8291477&amp;model_id=1826260757&amp;distr_type=8&amp;pp=605</t>
  </si>
  <si>
    <t>https://goldapple.ru/catalogsearch/result?q=99000118637</t>
  </si>
  <si>
    <t>AM.01.01.01.003.R.000809.11.23 от 09.11.2023</t>
  </si>
  <si>
    <t>https://drive.google.com/drive/folders/1yXjmu5hDb-Pz71Rz8yc1YcRLpSpxr7Mh</t>
  </si>
  <si>
    <t>экстракт плодов барбариса, пиридоксин гидрохлорида (витамин В6), стеарат кальция, кремний диоксид коллоидный (АЭРОСИЛ@),  твёрдая желатиновая капсула.</t>
  </si>
  <si>
    <t>взрослым по 1 капсуле 1 раз в день.
Продолжительность приёма: 1 месяц. При необходимости повторить.</t>
  </si>
  <si>
    <t>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t>
  </si>
  <si>
    <t>хранить в сухом, недоступном для детей месте, при температуре от +5 °С до +25 °С.</t>
  </si>
  <si>
    <t>капсул</t>
  </si>
  <si>
    <t>https://docs.google.com/document/d/1iR2ypw2bjgV0t5WgfvrEJygn4BKVz3hCoykhvJp9KKc/edit?usp=sharing</t>
  </si>
  <si>
    <t>ООО «Жива Продукт ПРО». 350062, Россия, Краснодарский край, город Краснодар, улица Казбекская, дом 17, кв. (оф.) 85</t>
  </si>
  <si>
    <t xml:space="preserve">Магамадов Ибрагим
e-mail: ima@dzivaproduct.ru
сайт: www.dzivaproduct.ru
сот.тел. +7-967-660-1277(доступен WhatsApp)
</t>
  </si>
  <si>
    <t>да</t>
  </si>
  <si>
    <t>qeepinositol</t>
  </si>
  <si>
    <t>БАД Мио Инозитол 820 мг ,qeep, 60 капсул</t>
  </si>
  <si>
    <t>QB101100466</t>
  </si>
  <si>
    <t>Инозитол витамины для женщин 821 мг</t>
  </si>
  <si>
    <t>Мио Инозитол 820 мг Qeep 60 капсул</t>
  </si>
  <si>
    <t>Мио Инозитол витамины для женского здоровья и баланс гормонов 820 мг Qeep 60 капсул</t>
  </si>
  <si>
    <t>мио инозитол 820 мг qeep 60 капсул</t>
  </si>
  <si>
    <t>https://www.wildberries.ru/catalog/142963712/detail.aspx</t>
  </si>
  <si>
    <t>https://www.ozon.ru/product/835603195</t>
  </si>
  <si>
    <t>https://market.yandex.ru/card/mio-inozitol-820-mg-qeep-60-kapsul/101948470526?businessId=8291477&amp;clid=8291477&amp;model_id=1111706245&amp;distr_type=8&amp;pp=605</t>
  </si>
  <si>
    <t>https://goldapple.ru/catalogsearch/result?q=99000121336</t>
  </si>
  <si>
    <t>4603335715654</t>
  </si>
  <si>
    <t>RU.77.99.88.003.R.001844.06.22  от 01.06.2022</t>
  </si>
  <si>
    <t>https://drive.google.com/drive/folders/1SbDMn90SltH25aZ7xTxoAGf0JGRDj0Wa</t>
  </si>
  <si>
    <t>Мио-инозитол, антислеживающий агент тальк пищевой, антислеживающий агент магниевая соль стеариновой кислоты, капсула (желатин, краситель диоксид титана)</t>
  </si>
  <si>
    <t>взрослым по 3 капсулы в день во время еды в течение одного месяца, при необходимости прием можно продлить.</t>
  </si>
  <si>
    <t>Противопоказания: индивидуальная непереносимость компонентов продукта, беременность, кормление грудью, язвенная болезнь желудка и двенадцатиперстной кишки, гиперацидный гастрит, заболевание печени. Перед применением проконсультироваться с врачом.</t>
  </si>
  <si>
    <t>Хранить в сухом недоступном для детей месте при температуре не выше 25◦С.</t>
  </si>
  <si>
    <t>https://docs.google.com/document/d/1FHRHavRBDdi2gKFjBn9bjWsFAdIYSnUhNR4TwF87PzA/edit?usp=sharing</t>
  </si>
  <si>
    <t>https://drive.google.com/drive/u/0/folders/1CqK8xLB_9LpFcd6o_xx5XGicVfEsIJXA</t>
  </si>
  <si>
    <t>https://disk.yandex.ru/d/Y1y6LE7lT5p4ew</t>
  </si>
  <si>
    <t>ООО "ЮНИЭКО" 115201 Москва 1й Варшавский проезд 2с26</t>
  </si>
  <si>
    <t>Максим Тарасов &lt;mt@uni-eco.com&gt; 8 909 452 6848</t>
  </si>
  <si>
    <t>qeep_ByeBye_fat_Prebiotics</t>
  </si>
  <si>
    <t>Старый артикул</t>
  </si>
  <si>
    <t>БАД Набор Байфет и пробиотики</t>
  </si>
  <si>
    <t>QB101100525</t>
  </si>
  <si>
    <t>Жиросжигатель для похудения + пребиотики</t>
  </si>
  <si>
    <t>Жиросжигатель для похудения + Пробиотики для взрослых Qeep 60+30 капсул</t>
  </si>
  <si>
    <t>https://www.wildberries.ru/catalog/167680087/detail.aspx</t>
  </si>
  <si>
    <t>https://www.ozon.ru/product/1099614303</t>
  </si>
  <si>
    <t>Жиросжигатели</t>
  </si>
  <si>
    <t>2038121297342</t>
  </si>
  <si>
    <t xml:space="preserve"> Экстракт гарцинии камбоджийская, L-Карнитин L-Тартрат, микрокристаллическая целлюлоза (носитель), экстракт лимонника, экстракт зелёного чая, пиколинат хрома, яблочный уксус, стеарат кальция, пиколинат цинка, экстракт клюквы.</t>
  </si>
  <si>
    <t xml:space="preserve">взрослым по 1 капсуле 3 раза в день после еды.
</t>
  </si>
  <si>
    <t xml:space="preserve">индивидуальная непереносимость компонентов продукта, беременность, кормление грудью. Перед применением проконсультироваться с врачом.
</t>
  </si>
  <si>
    <t xml:space="preserve">хранить в сухом, недоступном для детей месте, при температуре от +5 °С до +25 °С.
</t>
  </si>
  <si>
    <t>qeep_melatonin2mg_90tabs</t>
  </si>
  <si>
    <t>Запрес продажи в РФ</t>
  </si>
  <si>
    <t>БАД Мелатонин 90 таблеток</t>
  </si>
  <si>
    <t>QB101100517</t>
  </si>
  <si>
    <t>Мелатонин для сна БАД таблетки Melatonin 2 mg 90 шт</t>
  </si>
  <si>
    <t>Мелатонин 2 мг Qeep 90 таблеток</t>
  </si>
  <si>
    <t>https://www.wildberries.ru/catalog/188493994/detail.aspx</t>
  </si>
  <si>
    <t>https://www.ozon.ru/product/1283138723</t>
  </si>
  <si>
    <t>AM.01.01.01.003.R.000645.09.23 от 08.09.2023 г.</t>
  </si>
  <si>
    <t>Мелатонин (из растительного сырья), носители: мальтодекстрин, микрокристаллическая целлюлоза, стеарат кальция, кремний диоксид коллоидный (АЭРОСИЛ@).</t>
  </si>
  <si>
    <t>взрослым по 1 таблетке в день в вечернее время</t>
  </si>
  <si>
    <t>https://docs.google.com/document/d/1eaOslcbNtStwAj8-U1YvP6ric478pka_5bO-d1TsLTA/edit?usp=sharing</t>
  </si>
  <si>
    <t>https://drive.google.com/drive/u/0/folders/1uMtKkkJJyhrEKETZWyeSNFEJWFJOvqI2</t>
  </si>
  <si>
    <t>qeep_biomelatonin_60caps</t>
  </si>
  <si>
    <t>БАД Биомелатонин 60 капсул</t>
  </si>
  <si>
    <t>QB101100518</t>
  </si>
  <si>
    <t>Мелатонин для сна от бессонницы БАД Bio Melatonin</t>
  </si>
  <si>
    <t>БАД успокоительный комплекс, Омега 3 696 мг Qeep 60 капсул</t>
  </si>
  <si>
    <t>https://www.wildberries.ru/catalog/188602690/detail.aspx</t>
  </si>
  <si>
    <t>https://www.ozon.ru/product/1283143901</t>
  </si>
  <si>
    <t>RU.77.99.11.003.R.000811.03.23 от 23.03.2023 г.</t>
  </si>
  <si>
    <t>шлемника байкальского экстракт, лаванды цветков экстракт, коэнзим Q10,  рыбный жир, капсула желатиновая (желатин, глицерин (агент влагоудерживающий), кремния диоксид аморфный (носитель), смесь токоферолов (антиокислитель).</t>
  </si>
  <si>
    <t>взрослым по 1 капсуле вечером с последним приемом пищи. Продолжительность приема 1 месяц. При необходимости прием можно повторить.</t>
  </si>
  <si>
    <t>индивидуальная непереносимость компонентов, беременность и кормление грудью. Перед применением рекомендуется проконсультироваться с врачом.</t>
  </si>
  <si>
    <t>хранить в недоступном для детей месте, при температуре от +15 ºС до +25 ºС и относительной влажности воздуха не более 60%.</t>
  </si>
  <si>
    <t>https://docs.google.com/document/d/17xTFJTIdvIexPXUmuln5X_o7MW0jlfWQDJROJNhuel8/edit?usp=sharing</t>
  </si>
  <si>
    <t>https://drive.google.com/drive/u/0/folders/1EJ4tf05-m9tdvTI4jcyzXPrkyCyQU7uY</t>
  </si>
  <si>
    <t>ООО «Сибфармконтракт»</t>
  </si>
  <si>
    <t xml:space="preserve">Анастасия Лапина тел: 8(3822)556092 (доб. 258), 426792
E-mail: lapina@artlife.ru
Skype: live:e18940191d9f1027
634034 г.Томск ул Нахимова 8/2 а/я 358
</t>
  </si>
  <si>
    <t>qeep_enzyme_80g</t>
  </si>
  <si>
    <t>БАД Коэнзим</t>
  </si>
  <si>
    <t>Лицо</t>
  </si>
  <si>
    <t>QB101100519</t>
  </si>
  <si>
    <t>MPL536234</t>
  </si>
  <si>
    <t>Энзимная пудра для умывания лица и тела</t>
  </si>
  <si>
    <t>Энзимная пудра для умывания лица и тела, с энзимами из папайи для всех типов кожи, пилинг для лица, 80 гр</t>
  </si>
  <si>
    <t>https://www.wildberries.ru/catalog/549551191/detail.aspx</t>
  </si>
  <si>
    <t>https://www.ozon.ru/product/2921727205</t>
  </si>
  <si>
    <t>https://market.yandex.ru/card/enzimnaya-pudra-dlya-umyvaniya-litsa-i-tela/4693953993?businessId=8291477&amp;clid=8291477&amp;model_id=1243169397&amp;distr_type=8&amp;pp=605</t>
  </si>
  <si>
    <t>https://www.letu.ru/product/qeep-enzimnaya-pudra-dlya-umyvaniya-litsa-i-tela/177800329?sort=default&amp;open=ingredient%7EcleanBeauty&amp;hide=expectedEffect%7EnotContain%7EskinTypes</t>
  </si>
  <si>
    <t>Пудры</t>
  </si>
  <si>
    <t>товары для красоты / косметика, парфюмерия и уход / уход за лицом / очищение и снятие макияжа / средства для умывания</t>
  </si>
  <si>
    <t>Уход за лицом &gt;&gt; Средства для умывания &gt;&gt; Пудра для умывания</t>
  </si>
  <si>
    <t>https://drive.google.com/drive/folders/1sMpHVVo7fru69JaemeaE4lTRbQomIz9y</t>
  </si>
  <si>
    <t>Corn Starch, Sodium Cocoyl Isethionate, Kaolin, Parfum, Papain, Allantoin, Camellia Sinensis Leaf Extract, Salicylic acid, Аcrylic Рolymer, Inulin, Geraniol, Limonene.</t>
  </si>
  <si>
    <t>небольшое количество пудры насыпать в смоченную водой ладонь. Вспенить средство и массажными движениями нанести на влажную кожу лица и шеи, избегая области вокруг глаз. Смыть водой.</t>
  </si>
  <si>
    <t>г</t>
  </si>
  <si>
    <t>https://docs.google.com/document/d/1c965KEqR4_me16b5rMZlKygryHIZkneAeU-V2WS00CU/edit?tab=t.0</t>
  </si>
  <si>
    <t>qeep_retinolcream_50ml</t>
  </si>
  <si>
    <t>Крем для лица Retinol с ретинолом 0,5%</t>
  </si>
  <si>
    <t>QB101100520</t>
  </si>
  <si>
    <t>MPL536223</t>
  </si>
  <si>
    <t>QEEP-RETINL5</t>
  </si>
  <si>
    <t>Крем для Лица с Липосомальным Ретинолом 0.5%</t>
  </si>
  <si>
    <t>Крем для лица с липосомальным ретинолом 0.5%, антивозрастной крем, сыворотка для лица от морщин Ретинол, 50 мл</t>
  </si>
  <si>
    <t>https://www.wildberries.ru/catalog/549611709/detail.aspx</t>
  </si>
  <si>
    <t>https://www.ozon.ru/product/2921798266</t>
  </si>
  <si>
    <t>https://market.yandex.ru/card/krem-dlya-litsa-s-liposomalnym-retinolom-05/4695750936?businessId=8291477&amp;clid=8291477&amp;model_id=1453951928&amp;distr_type=8&amp;pp=605</t>
  </si>
  <si>
    <t>https://www.letu.ru/product/qeep-krem-dlya-litsa-s-liposomalnym-retinolom-0-5-/178100057?sort=default&amp;open=ingredient%7EcleanBeauty&amp;hide=expectedEffect%7EnotContain%7EskinTypes</t>
  </si>
  <si>
    <t>https://mm.ru/product/krem-dlya-lica-s-liposomalnym-retinolom-5898608?skuId=13170183</t>
  </si>
  <si>
    <t>Кремы</t>
  </si>
  <si>
    <t>товары для красоты / косметика, парфюмерия и уход / уход за лицом / кремы и сыворотки / средства для ухода за лицом</t>
  </si>
  <si>
    <t>Уход за лицом &gt;&gt; Крем для лица &gt;&gt; Уход за лицом</t>
  </si>
  <si>
    <t>Кремы для лица</t>
  </si>
  <si>
    <t>https://drive.google.com/drive/folders/1q2apvTtvQEh0yeNpyR4Csa1wlhvTiKVX</t>
  </si>
  <si>
    <t>Aqua, Isopropyl Palmitate, Acrylamide/Sodium Acrylate Copolymer, Niacinamide, Urea, Squalane, Helianthus, Annuus (Sunflower) Seed Oil, Mineral Oil, Cyclopentasiloxane,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t>
  </si>
  <si>
    <t>небольшое количество крема распределить между ладоней. Нанести на сухую кожу лица. Сделать мягкий массаж. Если выпользуетесь ретинолом впервые, начните с 2-3 раз в неделю и постепенно увеличивайте частоту применений. Пользуясь ретинолом, защищайте кожу от солнца кремом с SPF 30 и больше.</t>
  </si>
  <si>
    <t>хранить в сухом недоступном для света месте при температуре от +5 ℃ до +25 ℃.</t>
  </si>
  <si>
    <t>https://docs.google.com/document/d/1ITo_sEFvRnQaUKCL19D-_sR4a_h15UPCo037S5gShLs/edit?tab=t.0</t>
  </si>
  <si>
    <t>https://disk.yandex.ru/d/iO_TaD7U2A8-rw/18.02.2026</t>
  </si>
  <si>
    <t>Восток-плюс</t>
  </si>
  <si>
    <t>Дмитрий</t>
  </si>
  <si>
    <t>qeep_inositol1500mg_60caps</t>
  </si>
  <si>
    <t>БАД Инозитол 1500 мг</t>
  </si>
  <si>
    <t>QB101100521</t>
  </si>
  <si>
    <t>Инозитол витамины для женщин 1500 мг</t>
  </si>
  <si>
    <t>Мио Инозитол 1500 мг Qeep 60 капсул</t>
  </si>
  <si>
    <t>Мио Инозитол  витамины для женского здоровья , баланс гормонов 1500 мг Qeep 60 капсул</t>
  </si>
  <si>
    <t>https://www.wildberries.ru/catalog/559173569/detail.aspx</t>
  </si>
  <si>
    <t>https://www.ozon.ru/product/2946850815</t>
  </si>
  <si>
    <t>https://market.yandex.ru/card/mio-inozitol-1500-mg-qeep-60-kapsul/4737110307?businessId=8291477&amp;clid=8291477&amp;model_id=1111706245&amp;distr_type=8&amp;pp=605</t>
  </si>
  <si>
    <t>AM.01.11.01.003.R.000430.07.24 от 26.07.2024</t>
  </si>
  <si>
    <t>https://drive.google.com/drive/folders/1tJn-U5-4SUwDVUMhCm0kivRx5EnuKk0S</t>
  </si>
  <si>
    <t>инозитол, оболочка капсулы (желатин), агент антислеживающий магниевая соль стеариновой кислоты, агент антислеживающий кремния диоксид, фолиевая кислота (витамин В9).</t>
  </si>
  <si>
    <t>взрослым принимать по 2 капсулы 1 раз в день во время еды. Продолжительность приема: 1 месяц. При необходимости прием можно повторить.</t>
  </si>
  <si>
    <t xml:space="preserve">индивидуальная непереносимость компонентов продукта. Перед применением рекомендуется проконсультироваться с врачом.
Не превышать установленную рекомендуемую дозу.
</t>
  </si>
  <si>
    <t>в сухом, защищенном от прямых солнечных лучей и недоступном для детей месте при температуре от +5 до +25° С</t>
  </si>
  <si>
    <t>капс</t>
  </si>
  <si>
    <t>https://docs.google.com/document/d/1Nqifi53A5eDt5AMOmmlHJBPbM8QPakcsGrHCvS6La7g/edit?tab=t.0</t>
  </si>
  <si>
    <t>https://disk.yandex.ru/d/1ndXL8wYq_YmVg</t>
  </si>
  <si>
    <t>ООО "ЮНИЭКО"</t>
  </si>
  <si>
    <t>Елена</t>
  </si>
  <si>
    <t>harly_pawprotector_50ml</t>
  </si>
  <si>
    <t>Воск для лап для собак и кошек 50 мл</t>
  </si>
  <si>
    <t>HC101100411</t>
  </si>
  <si>
    <t>Шампунь для собак и кошек с кондиционером, 500 мл</t>
  </si>
  <si>
    <t>Шампунь для собак и кошек с кондиционером, универсальный шампунь для животных 500 мл</t>
  </si>
  <si>
    <t>https://www.wildberries.ru/catalog/559225020/detail.aspx</t>
  </si>
  <si>
    <t>https://www.ozon.ru/product/1503121227</t>
  </si>
  <si>
    <t>https://market.yandex.ru/card/shampun-dlya-sobak-i-koshek-s-konditsionerom-500-ml/103397002661?businessId=8291477&amp;clid=8291477&amp;model_id=965085250&amp;distr_type=8&amp;pp=605</t>
  </si>
  <si>
    <t>Шампуни для животных</t>
  </si>
  <si>
    <t>товары для животных / косметика и гигиена</t>
  </si>
  <si>
    <t>4670207150202; 4657786831487</t>
  </si>
  <si>
    <t>https://drive.google.com/drive/folders/1_QPjS9mJZl1HeJQYZvxo5r41lee-IUVq</t>
  </si>
  <si>
    <t>то же самое, что и 30 мл</t>
  </si>
  <si>
    <t>qeep_probioticdetox_60caps</t>
  </si>
  <si>
    <t>БАД Пробиотик детокс</t>
  </si>
  <si>
    <t>ЖКТ</t>
  </si>
  <si>
    <t>QB101100523</t>
  </si>
  <si>
    <t>Пробиотик и пребиотик для кишечника взрослым</t>
  </si>
  <si>
    <t>Пробиотики для взрослых qeep Probiotic Detox, 60 капсул</t>
  </si>
  <si>
    <t>Пробиотики для взрослых, восстановление микрофлоры qeep Probiotic Detox, 60 капсул</t>
  </si>
  <si>
    <t>https://www.wildberries.ru/catalog/568667310/detail.aspx</t>
  </si>
  <si>
    <t>https://www.ozon.ru/product/3010994519</t>
  </si>
  <si>
    <t>https://market.yandex.ru/card/probiotiki-dlya-vzroslykh-vosstanovleniye-mikroflory-qeep-probiotic-detox-60-kapsul/4737198096?businessId=8291477&amp;clid=8291477&amp;model_id=696148335&amp;distr_type=8&amp;pp=605</t>
  </si>
  <si>
    <t>Комплексные пищевые добавки</t>
  </si>
  <si>
    <t>https://drive.google.com/drive/folders/1zKli08gC7aQQz0moHj-M5xlo3KGR6t-7</t>
  </si>
  <si>
    <t>Lactobacillus acidophilus, Bifidobacterium lactis, Lactobacillus rhamnosus, Lactobacillus plantarum, Bifidobacterium longum, Bifidobacterium breve, Lactobacillus casei, Lactobacillus salivarius, стеарат магния и диоксид кремния (антислеживающие агенты), целлюлоза микрокристаллическая (носитель), гидроксипропилметилцеллюлоза (оболочка).</t>
  </si>
  <si>
    <t>взрослым по 1 капсуле 1 раз в сутки во время еды во второй половине дня. Продолжительность приема: 30 дней. При необходимости прием можно повторить.</t>
  </si>
  <si>
    <t>индивидуальная непереносимость компонентов, беременность, кормление грудью. Перед применением рекомендуется проконсультироваться с врачом.</t>
  </si>
  <si>
    <t>хранить в сухом, защищенном от прямых солнечных лучей и недоступном для детей месте, при температуре не выше 25°С.</t>
  </si>
  <si>
    <t>https://docs.google.com/document/d/1D18PC_n37C59tahp-aWwfDTYcMsxYgE6ImIIoDSCzHI/edit?tab=t.0</t>
  </si>
  <si>
    <t>https://disk.yandex.ru/d/PryAeo5LcSBWJw</t>
  </si>
  <si>
    <t>НПК Биосинергия</t>
  </si>
  <si>
    <t>Янина 89516200810</t>
  </si>
  <si>
    <t>qeep_zma_120caps_v2</t>
  </si>
  <si>
    <t>Цена ВБ</t>
  </si>
  <si>
    <t>БАД ZMA 120 капсул</t>
  </si>
  <si>
    <t>Спорт</t>
  </si>
  <si>
    <t>QB101100524</t>
  </si>
  <si>
    <t>ZMA – комплекс для бустера тестостерона</t>
  </si>
  <si>
    <t>ZMA тестостерон для мужчин Цинк + Магний + Аспарагиновая Кислота + В6 Qeep Экдистерон 120 капсул</t>
  </si>
  <si>
    <t>https://www.wildberries.ru/catalog/588937927/detail.aspx</t>
  </si>
  <si>
    <t>https://www.ozon.ru/product/3044876607</t>
  </si>
  <si>
    <t>https://market.yandex.ru/card/zma-testosteron-dlya-muzhchin-tsink--magniy--asparaginovaya-kislota--v6-qeep-ekdisteron-120-kapsul/4737102558?businessId=8291477&amp;clid=8291477&amp;model_id=925062646&amp;distr_type=8&amp;pp=605</t>
  </si>
  <si>
    <t>Бустеры тестостерона</t>
  </si>
  <si>
    <t>спорт и отдых / тренажеры и фитнес / спортивное питание / тестостероновые бустеры</t>
  </si>
  <si>
    <t xml:space="preserve">AM.01.11.01.003.R.000356.06.24 от 04.06.2024
</t>
  </si>
  <si>
    <t>https://drive.google.com/drive/folders/1rV8K5p1fq6qOIW7VD0lGtibqmVER_wvl</t>
  </si>
  <si>
    <t>магния цитрат, микрокристаллическая целлюлоза (агент антислеживающий), желатин*, цитрат цинка, аспарагиновая кислота, витамин В6 (пиридоксина гидрохлорид).</t>
  </si>
  <si>
    <t>взрослым по 1 капсуле в день во время еды.</t>
  </si>
  <si>
    <t>индивидуальная непереносимость компонентов продукта, беременность, кормление грудью. Перед применением рекомендуется проконсультироваться с врачом.</t>
  </si>
  <si>
    <t>хранить в сухом, защищенном от прямых солнечных лучей,  недоступном для детей месте, при температуре от +5°С до 25 °С и относительной влажности воздуха не более 75%.</t>
  </si>
  <si>
    <t>https://docs.google.com/document/d/1Pql-dvczOf-_ICvb7bpO4To-neBst-RQ2vw-bPcx6HI/edit?tab=t.0</t>
  </si>
  <si>
    <t>ООО "Лайфавит"</t>
  </si>
  <si>
    <t>Артем (гендир) +7 916 602 5268</t>
  </si>
  <si>
    <t>harly_salmonoil_250ml</t>
  </si>
  <si>
    <t>Масло лосося для собак и кошек 250 мл</t>
  </si>
  <si>
    <t>Лососевое масло</t>
  </si>
  <si>
    <t>HB101100410</t>
  </si>
  <si>
    <t>Лососевое масло для собак и кошек</t>
  </si>
  <si>
    <t>Лососевое масло для собак и кошек Harly 250 мл</t>
  </si>
  <si>
    <t>Лососевое масло для собак и кошек, с маслом лосося, рыбий жир, Омега 3 для животных, Harly 250 мл</t>
  </si>
  <si>
    <t>https://www.wildberries.ru/catalog/617717249/detail.aspx</t>
  </si>
  <si>
    <t>https://www.ozon.ru/product/3106984552</t>
  </si>
  <si>
    <t>https://market.yandex.ru/card/lososevoye-maslo-dlya-sobak-i-koshek-s-maslom-lososya-rybiy-zhir-omega-3-dlya-zhivotnykh-harly-250-ml/4764708144?businessId=8291477&amp;clid=8291477&amp;model_id=838121044&amp;distr_type=8&amp;pp=605</t>
  </si>
  <si>
    <t>РОСС RU Д-RU.РА01.В.08426/25 от 18.03.2025 по 17.03.2030</t>
  </si>
  <si>
    <t>https://drive.google.com/drive/folders/1mWkENWzV8LFCasWOb9Z2fVT4g_8zzLup</t>
  </si>
  <si>
    <t>100% натуральное масло лосося</t>
  </si>
  <si>
    <t>Одно нажатие 1,15 г на каждые 5 кг веса животного.</t>
  </si>
  <si>
    <t>хранить в прохладном, защищенном от света месте (в летний период не выше 30 °С). Вскрытый флакон хранить в холодильнике при температуре от + 4 °С до +8 °С.</t>
  </si>
  <si>
    <t>то же самое, что и 250 мл</t>
  </si>
  <si>
    <t>https://disk.yandex.ru/d/ZObw08ht-L3EKg</t>
  </si>
  <si>
    <t>qeep_chlorophyll_500ml_v2</t>
  </si>
  <si>
    <t>БАД Хлорофилл 500 мл</t>
  </si>
  <si>
    <t>QB101100515</t>
  </si>
  <si>
    <t>Хлорофилл жидкий со вкусом мяты БАД Chlorophyll, 500 мл</t>
  </si>
  <si>
    <t>БАД Chlorophyll, 500 мл Жидкий хлорофилл со вкусом мяты, 500мл</t>
  </si>
  <si>
    <t>Хлорофилл жидкий пищевой со вкусом мяты, детокс и похудение, выводит токсины, Chlorophyll 500 мл</t>
  </si>
  <si>
    <t>https://www.wildberries.ru/catalog/165592674/detail.aspx</t>
  </si>
  <si>
    <t>https://www.ozon.ru/product/3108027348</t>
  </si>
  <si>
    <t>https://market.yandex.ru/card/bad-chlorophyll-500-ml-zhidkiy-khlorofill-so-vkusom-myaty-500ml/4787246513?businessId=8291477&amp;clid=8291477&amp;model_id=1826260757&amp;distr_type=8&amp;pp=605</t>
  </si>
  <si>
    <t>4630205142852</t>
  </si>
  <si>
    <t>AM.01.01.01.003.R.000759.11.24</t>
  </si>
  <si>
    <t>https://drive.google.com/drive/folders/1ldsojot3L5fpXNicn_hj4PzJwj0hpgp8</t>
  </si>
  <si>
    <t>столовая минеральная вода, краситель: медный комплекс хлорофилла, регулятор кислотности лимонная кислота, эфирное масло мяты, консерванты: сорбат калия.</t>
  </si>
  <si>
    <t>взрослым принимать 25 мл 1 раз в день смешав со 100 мл тёплой воды или любым напитком во время приема пищи.</t>
  </si>
  <si>
    <t>хранить в сухом, защищённом от прямых солнечных лучей и недоступном для детей месте при температуре от +5 °С до + 25 °С.</t>
  </si>
  <si>
    <t>https://docs.google.com/document/d/104ULlyOAuV1IDK64Sv8iDI3_Bj64t1baZTUGBsWJfz4/edit?tab=t.0</t>
  </si>
  <si>
    <t>https://disk.yandex.ru/d/VLjP4IaPPTLyzQ</t>
  </si>
  <si>
    <t>qeep_spf50_50ml</t>
  </si>
  <si>
    <t>Крем SPF 50  солнцезащитный 50 мл</t>
  </si>
  <si>
    <t>QC101100414</t>
  </si>
  <si>
    <t>Крем солнцезащитный SPF 50 для лица, 50 мл</t>
  </si>
  <si>
    <t>Солнцезащитный крем SPF 50 для лица, увлажняющий крем от загара с спф, 50мл</t>
  </si>
  <si>
    <t>https://www.wildberries.ru/catalog/681199239/detail.aspx</t>
  </si>
  <si>
    <t>https://www.ozon.ru/product/3190972100</t>
  </si>
  <si>
    <t>https://market.yandex.ru/card/krem-solntsezashchitnyy-spf-50-dlya-litsa-50-ml/4824577371?businessId=8291477&amp;clid=8291477&amp;model_id=1581702225&amp;distr_type=8&amp;pp=605</t>
  </si>
  <si>
    <t>товары для красоты / косметика, парфюмерия и уход / уход за лицом / загар и защита от солнца</t>
  </si>
  <si>
    <t>https://drive.google.com/drive/folders/1GcFduMhHSQj_HtTQiHBS8B-cdpu5Eyhz</t>
  </si>
  <si>
    <t>Deionized Water, Methylene Bis-Benzotriazolyl Tetramethylbutylphenol, Diethylamino Hydroxybenzoyl Hexyl Benzoate, Ceto Stearyl Alcohol, Isoamyl laurate, Hyaluronic Acid, Sodium acrylates copolymer (and) Lecithin, Green Tea Leaf Extract, Glycerin, Glycerol monostearate, Glyceryl Stearate, Ceteareth-20, Ceteareth-12, Cetearyl Alcohol, Cetyl Palmitate, Bis-Ethylhexyloxyphenol Methoxyphenyl Triazine, Phenoxyethanol, Ethylhexylglycerin, Divinyldimethicone, Ethylhexyl Triazone, Coenzyme Q10, Coenzyme Q10, Disodium edta, , Ceramides Complex CR/Water, Pentylene Glycol, Phospholipids, Sphingolipids, Niacinamide, Tapioca Starch, Sodium Polyacrylate, Panthenol, Butyrospermum Parkii, Prunus Amygdalus Dulcis Oil, CI 17200, Parfum</t>
  </si>
  <si>
    <t>необходимое количество распределите на коже  лёгкими массажными движениями.</t>
  </si>
  <si>
    <t>3 года</t>
  </si>
  <si>
    <t>36 месяца</t>
  </si>
  <si>
    <t>https://docs.google.com/document/d/1_ZRzckXpOl9Dc9S0bk4Sbj69ercMb3ffBIya-yui4XI/edit?tab=t.0</t>
  </si>
  <si>
    <t>qeep_retinolcream1_50ml</t>
  </si>
  <si>
    <t>Крем для лица Retinol с ретинолом 1%, 50 мл</t>
  </si>
  <si>
    <t>QC101100412</t>
  </si>
  <si>
    <t>Крем для Лица с Липосомальным Ретинолом 1%</t>
  </si>
  <si>
    <t>Крем для лица с липосомальным ретинолом 1%, антивозрастной крем, сыворотка для лица от морщин, Ретинол, 50 мл</t>
  </si>
  <si>
    <t>https://www.wildberries.ru/catalog/687712933/detail.aspx</t>
  </si>
  <si>
    <t>https://www.ozon.ru/product/3219081694</t>
  </si>
  <si>
    <t>https://market.yandex.ru/card/krem-dlya-litsa-s-liposomalnym-retinolom-1/4842304692?businessId=8291477&amp;clid=8291477&amp;model_id=1453951928&amp;distr_type=8&amp;pp=605</t>
  </si>
  <si>
    <t>4660417421780</t>
  </si>
  <si>
    <t>https://docs.google.com/document/d/19loz_S6MoghRtwGPBPaBA67dYGaqjoNVU0hzqH3ehCs/edit?tab=t.0</t>
  </si>
  <si>
    <t>https://disk.yandex.ru/d/kWCbF653aZ0amQ</t>
  </si>
  <si>
    <t>qeep_retinolcream15_50ml</t>
  </si>
  <si>
    <t>Крем для лица Retinol с ретинолом 1,5%, 50 мл</t>
  </si>
  <si>
    <t>QC101100413</t>
  </si>
  <si>
    <t>Крем для Лица с Липосомальным Ретинолом 1.5%</t>
  </si>
  <si>
    <t>Крем для лица с липосомальным ретинолом 1.5%, сыворотка для лица от морщин, антивозрастной крем, Ретинол, 50 мл</t>
  </si>
  <si>
    <t>https://www.wildberries.ru/catalog/692599189/detail.aspx</t>
  </si>
  <si>
    <t>https://www.ozon.ru/product/3220730122</t>
  </si>
  <si>
    <t>https://market.yandex.ru/card/krem-dlya-litsa-s-liposomalnym-retinolom-15/4842314518?businessId=8291477&amp;clid=8291477&amp;model_id=1453951928&amp;distr_type=8&amp;pp=605</t>
  </si>
  <si>
    <t>4660417421742</t>
  </si>
  <si>
    <t>https://docs.google.com/document/d/1MAA6ZzERRG3dnphO-1JyLfa2yb4d8I9nH72L7T3jQzg/edit?tab=t.0</t>
  </si>
  <si>
    <t>qeep_biotin_10000_60caps</t>
  </si>
  <si>
    <t>Фокус + КЗ</t>
  </si>
  <si>
    <t>Биотин 10000 мкг ,qeep, 60 капсул</t>
  </si>
  <si>
    <t>QB101100509</t>
  </si>
  <si>
    <t>Биотин 10000 мкг витамины для волос и ногтей Biotin</t>
  </si>
  <si>
    <t>Биотин 10000 мкг Qeep 60 капсул</t>
  </si>
  <si>
    <t>Биотин 10000 мкг для здоровья кожи, волос, ногтей Qeep 60 капсул</t>
  </si>
  <si>
    <t>биотин 10000 мкг qeep 60 капсул</t>
  </si>
  <si>
    <t>https://www.wildberries.ru/catalog/311795896/detail.aspx</t>
  </si>
  <si>
    <t>https://www.ozon.ru/product/1773394130</t>
  </si>
  <si>
    <t>https://market.yandex.ru/card/biotin-10000-mkg-qeep-60-kapsul/103665479999?businessId=8291477&amp;clid=8291477&amp;model_id=838753782&amp;distr_type=8&amp;pp=605</t>
  </si>
  <si>
    <t>https://goldapple.ru/catalogsearch/result?q=99000117795</t>
  </si>
  <si>
    <t>ЕАЭС N RU Д-RU.РА03.В.41003/23 от 21.04.2023 до 19.04.2026</t>
  </si>
  <si>
    <t>https://drive.google.com/drive/folders/1z8D3umXCI2M6KCJyeirlPDZ2j20UoYfG</t>
  </si>
  <si>
    <t>биотин, микрокристаллическая целлюлоза (носитель), капсула целлюлозная.</t>
  </si>
  <si>
    <t>взрослым принимать по 1 капсуле 1 раз в день, вне приема пищи. Продолжительность приема: 1 месяц.</t>
  </si>
  <si>
    <t>индивидуальная непереносимость компонентов продукта, беременность, кормление грудью. Перед применением проконсультироваться с врачом.</t>
  </si>
  <si>
    <t>https://docs.google.com/document/d/13hyDvniBc4P4K1GrV4sx8EJIsQ3I-GOIthGYpRptuHg/edit?usp=sharing</t>
  </si>
  <si>
    <t>qeep_pqq_30caps</t>
  </si>
  <si>
    <t>PQQ Q10 Витамины для сердца ,qeep, 30 капсул</t>
  </si>
  <si>
    <t>QB101100514</t>
  </si>
  <si>
    <t>PQQ + Q10 Витамины для сердца и сосудов</t>
  </si>
  <si>
    <t>PQQ Q10 Витамины для сердца и сосудов qeep 30 капсул</t>
  </si>
  <si>
    <t>PQQ Q10 Витамины для сердца и сосудов комплекс витаминов для сердца  qeep  30 капсул</t>
  </si>
  <si>
    <t>pqq q10 витамины для сердца и сосудов qeep 30 капсул</t>
  </si>
  <si>
    <t>https://www.wildberries.ru/catalog/302436449/detail.aspx</t>
  </si>
  <si>
    <t>https://www.ozon.ru/product/1785810392</t>
  </si>
  <si>
    <t>https://market.yandex.ru/card/koenzim-q10-vitaminy-dlya-serdtsa-i-sosudov-qeep-30-kapsul/103689767957?businessId=8291477&amp;clid=8291477&amp;model_id=1268975231&amp;distr_type=8&amp;pp=605</t>
  </si>
  <si>
    <t>БАДы и витамины</t>
  </si>
  <si>
    <t>ЕАЭС N RU Д-RU.РА10.В.31748/24 от 08.11.2024 по 07.11.2029</t>
  </si>
  <si>
    <t>https://drive.google.com/drive/folders/1hPlN19xPrlRyphMqsWwBx67MXsHQJSce</t>
  </si>
  <si>
    <t xml:space="preserve">астаксантин, глутатион, коэнзим Q10 (убихинон), пирролохинолинхинона динатриевая соль, микрокристаллическая целлюлоза (носитель), магния стеарат (антислеживающий агент); желатин – оболочка капсулы. </t>
  </si>
  <si>
    <t>По 1-2 капсуле в день во время еды. Для приготовления порции напитка содержимое капсулы смешивают с водой комнатной температуры. Продолжительность приема – 1 месяц. При необходимости прием можно повторить. Перед применением рекомендуется проконсультироваться с врачом</t>
  </si>
  <si>
    <t>Индивидуальная непереносимость компонентов, беременность, кормление грудью, возраст до 18 лет.</t>
  </si>
  <si>
    <t xml:space="preserve">хранить в сухом, защищенном от попадания прямых солнечных лучей, недоступном для детей месте, при температуре не выше +25 °С. </t>
  </si>
  <si>
    <t>https://docs.google.com/document/d/1jvekMTUpAs6HSt_spJB0RedxivbBxQB_stcPrNSUEHk/edit?tab=t.0</t>
  </si>
  <si>
    <t>НПК Миламед</t>
  </si>
  <si>
    <t xml:space="preserve">Юлия Шаврина РФ, г. Пермь, ул. Монастырская д. 61 оф. 600
Тел.: +7 (342) 248 38 70 доб 14
E-mail: uk_shavrina@milapharma.ru
</t>
  </si>
  <si>
    <t>qeep_biopurin_60caps</t>
  </si>
  <si>
    <t>Биопурин от подагры ,qeep, 60 капсул</t>
  </si>
  <si>
    <t>QB101100508</t>
  </si>
  <si>
    <t>Биопурин от подагры для суставов 60 капсул</t>
  </si>
  <si>
    <t>Комплексная пищевая добавка "Биопурин", от подагры для суставов qeep 60 капсул</t>
  </si>
  <si>
    <t>Биопурин от подагры для суставов, комплекс для здоровья суставов qeep 60 капсул</t>
  </si>
  <si>
    <t>https://www.wildberries.ru/catalog/337468231/detail.aspx</t>
  </si>
  <si>
    <t>https://www.ozon.ru/product/1884226546</t>
  </si>
  <si>
    <t>https://market.yandex.ru/card/biopurin-ot-podagry-dlya-sustavov-qeep-60-kapsul/103812558261?businessId=8291477&amp;clid=8291477&amp;model_id=973159540&amp;distr_type=8&amp;pp=605</t>
  </si>
  <si>
    <t>спорт и отдых / тренажеры и фитнес / спортивное питание / препараты для укрепления связок и суставов</t>
  </si>
  <si>
    <t>4610030634050</t>
  </si>
  <si>
    <t>ЕАЭС N RU Д-RU.РА11.В.10611/24 от 03.12.2024 по 02.12.2029</t>
  </si>
  <si>
    <t>https://drive.google.com/drive/folders/1hP-3TexPulE2xNhZ0KlXzCHc8aIJ2ux7</t>
  </si>
  <si>
    <t>экстракт мартинии душистой, экстракт хвоща, экстракт чистотела, экстракт босвелии, экстракт корня солодки, агент антислёживающий: диоксид кремния аморфный, агент антислёживающий: магниевая соль стеариновой кислоты, оболочка капсулы белого цвета (желатин, краситель оксид цинка), целлюлоза микрокристаллическая.</t>
  </si>
  <si>
    <t>взрослым по 1 капсуле 2 раза в день во время еды.</t>
  </si>
  <si>
    <t>https://docs.google.com/document/d/13YTmPCWXCsDtYIPf6uCLMEQ31B-h9-WRJ5gKLA_hAFg/edit?tab=t.0</t>
  </si>
  <si>
    <t>ООО "ЗдравФарм"</t>
  </si>
  <si>
    <t>Оксана, 7 966 345 2873</t>
  </si>
  <si>
    <t>qeep_bcomplex_90caps</t>
  </si>
  <si>
    <t>Неконкурентная цена</t>
  </si>
  <si>
    <t>БАД Витамины группы B ,qeep, 90 капсул</t>
  </si>
  <si>
    <t>QB101100411</t>
  </si>
  <si>
    <t>Комплекс БАДы из 7 витаминов группы B</t>
  </si>
  <si>
    <t>Витамины группы B Qeep 90 капсул</t>
  </si>
  <si>
    <t>https://www.wildberries.ru/catalog/206020100/detail.aspx</t>
  </si>
  <si>
    <t>https://www.ozon.ru/product/1408084489</t>
  </si>
  <si>
    <t>RU.77.99.11.003.R.001885.07.23 от 18.07.2023 г.</t>
  </si>
  <si>
    <t>https://drive.google.com/drive/folders/12NLK4M-zsS_xNSg_z9brf6p0g7tOFi-w</t>
  </si>
  <si>
    <t>витамин В3 (никотинамид), витамин В5 (пантотенат кальция), кальциевая соль стеариновой кислоты (агент антислеживающий), кремния диоксид (агент антислеживающий), витамин В6 (пиридоксина гидрохлорид), витамин В1 (тиамина гидрохлорид), витамин В2 (рибофлавин), витамин В9 (L-метилфолат кальция), витамин Н (биотин), витамин В12 (метилкобаламин). целлюлоза микрокристаллическая (носитель), парааминобензойная кислота, крахмал картофельный (носитель), капсула желатиновая (желатин (носитель), глицерин (агент влагоудерживающий)),</t>
  </si>
  <si>
    <t>взрослым принимать внутрь по 1 капсуле в день во время еды. Продолжительность приема - 1 месяц. При необходимости прием БАД можно повторить.</t>
  </si>
  <si>
    <t>https://docs.google.com/document/d/1gKWYWK8CR0ynPcSLie6iQAJD1n0kQ3YKkTGHmbWGNRo/edit?usp=sharing</t>
  </si>
  <si>
    <t>qeep_perfectwoman_60caps</t>
  </si>
  <si>
    <t>БАД Витамины для женщин ,qeep, 60 капсул</t>
  </si>
  <si>
    <t>QB101100412</t>
  </si>
  <si>
    <t>Комплекс витаминов и минералов БАД с коллагеном</t>
  </si>
  <si>
    <t>Витамины для женщин Qeep 60 капсул</t>
  </si>
  <si>
    <t>Витамины для женщин, комплекс витаминов и минералов с коллагеном Qeep 60 капсул</t>
  </si>
  <si>
    <t>витамины для женщин qeep 60 капсул</t>
  </si>
  <si>
    <t>https://www.wildberries.ru/catalog/216488606/detail.aspx</t>
  </si>
  <si>
    <t>https://www.ozon.ru/product/1500211407</t>
  </si>
  <si>
    <t>https://market.yandex.ru/card/vitaminy-dlya-zhenshchin-qeep-60-kapsul/103398256606?businessId=8291477&amp;clid=8291477&amp;model_id=1111706245&amp;distr_type=8&amp;pp=605</t>
  </si>
  <si>
    <t>RU.77.99.11.003.R.001764.07.23 от 11.07.2023</t>
  </si>
  <si>
    <t>https://drive.google.com/drive/folders/1uTF3PrNOTzgxxcX3uhJ5NATQKzjzaT2t</t>
  </si>
  <si>
    <t>микрокристаллическая целлюлоза (носитель), желатин (оболочка капсулы), витаминный премикс (лактоза (носитель), L-аскорбат натрия, никотинамид, D-альфа-токоферола ацетат, пантотенат кальция, рибофлавин, пиридоксина гидрохлорид, тиамина мононитрат, ретинола ацетат, фолиевая кислота, D-биотин, холекальциферол, цианокобаламин), метилсульфонилметан, экстракты побегов бамбука, листьев крапивы двудомной, травы хвоща полевого, коллаген гидролизованный говяжий, экстракты цветков клевера лугового, корневищ дикого ямса, меди глюконат.</t>
  </si>
  <si>
    <t>Взрослым по 1 капсуле 2 раза в день непосредственно после еды. Продолжительность приема – 1 месяц.</t>
  </si>
  <si>
    <t>https://docs.google.com/document/d/1QA90Z-gegoCS_9yMWQSy4k5MWVkDIWvVx5oPSvbSSkw/edit?usp=sharing</t>
  </si>
  <si>
    <t>qeepantioxy</t>
  </si>
  <si>
    <t>ПОСТАВКА</t>
  </si>
  <si>
    <t>БАД Дигидрокверцетин ,qeep, 30 капсул</t>
  </si>
  <si>
    <t>QB101100424</t>
  </si>
  <si>
    <t>Дигидрокверцетин с комплексом витаминов А С Е</t>
  </si>
  <si>
    <t>Дигидрокверцетин + Витамин А, С, Е 25 мг Qeep 30 капсул</t>
  </si>
  <si>
    <t>Дигидрокверцетин + Витамин А, С, Е  витамины для женщин 25 мг Qeep 30 капсул</t>
  </si>
  <si>
    <t>https://www.wildberries.ru/catalog/91969061/detail.aspx</t>
  </si>
  <si>
    <t>https://www.ozon.ru/product/650452213</t>
  </si>
  <si>
    <t>https://market.yandex.ru/card/digidrokvertsetin--vitamin-a-s-ye-25-mg-qeep-30-kapsul/101805120670?businessId=8291477&amp;clid=8291477&amp;model_id=1111706245&amp;distr_type=8&amp;pp=605</t>
  </si>
  <si>
    <t>4630040228506</t>
  </si>
  <si>
    <t xml:space="preserve">RU.77.99.88.003.R.000885.03.20 </t>
  </si>
  <si>
    <t>масло виноградной косточки, капсула желатиновая (желатин, глицерин), витамин С (аскорбил пальмитат), лавитол (дигидрокверцетин), витамин Е (токоферола ацетат), витамин А (ретинола пальмитат), антиокислитель гриндокс (аскорбилпальмитат, натуральный концентрат смеси токоферолов, лецитин, рапсовое масло).</t>
  </si>
  <si>
    <t>взрослым по 1 капсуле в день во время еды. Продолжительность приёма 1 месяц.</t>
  </si>
  <si>
    <t>Хранить в недоступном для детей месте, при температуре от 15 до 25ºС и относительной влажности воздуха не более 60%.</t>
  </si>
  <si>
    <t>2 года/ 730</t>
  </si>
  <si>
    <t>https://drive.google.com/drive/u/0/folders/1SFz8_HQVxubQNufAu82-e2JnaongccTm</t>
  </si>
  <si>
    <t>ООО «Сибфармконтракт»                "Анастасия Лапина тел: 8(3822)556092 (доб. 258), 426792
E-mail: lapina@artlife.ru
Skype: live:e18940191d9f1027
634034 г.Томск ул Нахимова 8/2 а/я 358
"</t>
  </si>
  <si>
    <t>qeep_si_beauty_90caps</t>
  </si>
  <si>
    <t>Перезапуск</t>
  </si>
  <si>
    <t>Пересмотреть позиционирование - воронка</t>
  </si>
  <si>
    <t>БАД Кремний 35 мг ,qeep, 90 капсул</t>
  </si>
  <si>
    <t>QB101100456</t>
  </si>
  <si>
    <t>Кремний, биотин, гиалуроновая кислота</t>
  </si>
  <si>
    <t>Кремний 35 мг Qeep 90 капсул</t>
  </si>
  <si>
    <t>Кремний с гиалуроновой кислотой, витамины для кожи, волос и ногтей 35 мг Qeep 90 капсул</t>
  </si>
  <si>
    <t>кремний 35 мг qeep 90 капсул</t>
  </si>
  <si>
    <t>https://www.wildberries.ru/catalog/206027291/detail.aspx</t>
  </si>
  <si>
    <t>https://www.ozon.ru/product/1408116280</t>
  </si>
  <si>
    <t>https://market.yandex.ru/card/kremniy-35-mg-qeep-90-kapsul/103398260189?businessId=8291477&amp;clid=8291477&amp;model_id=838753782&amp;distr_type=8&amp;pp=605</t>
  </si>
  <si>
    <t>https://goldapple.ru/catalogsearch/result?q=99000118641</t>
  </si>
  <si>
    <t>RU.77.99.32.003.R.003779.11.22 от 01.11.2022 г.</t>
  </si>
  <si>
    <t>https://drive.google.com/drive/folders/1I551mOcieiloH0nGEV4x905NSikzHmB-</t>
  </si>
  <si>
    <t>хвоща травы экстракт, капсула разъёмная твердая желатиновая (желатин (носитель), глицерин (агент влагоудерживающий)), крахмал картофельный (носитель), бамбука экстракт, витамин С (аскорбиновая кислота), крапивы листа экстракт, гиалуроновая кислота, винограда косточек экстракт, кальциевая соль стеариновой кислоты (агент антислеживающий), кремния диоксид (агент антислеживающий), витамин Н (биотин).</t>
  </si>
  <si>
    <t xml:space="preserve">взрослым по 1 капсуле в день во время еды. </t>
  </si>
  <si>
    <t>https://docs.google.com/document/d/1SLVMaKVgZB6hCS4R172IbAFGfwyfLUSUqXl3Y0BCyrM/edit?usp=sharing</t>
  </si>
  <si>
    <t>qoenzyme</t>
  </si>
  <si>
    <t>БАД Коэнзим q10 30 мг ,qeep, 30 капсул</t>
  </si>
  <si>
    <t>QB101100454</t>
  </si>
  <si>
    <t>Коэнзим q10 капсулы 30 шт</t>
  </si>
  <si>
    <t>Коэнзим q10 30 мг Qeep 30 капсул</t>
  </si>
  <si>
    <t>Коэнзим q10, для молодости,  сердца, энергии + витамины группы В, 30 мг Qeep 30 капсул</t>
  </si>
  <si>
    <t>https://www.wildberries.ru/catalog/90343752/detail.aspx</t>
  </si>
  <si>
    <t>https://www.ozon.ru/product/616948885</t>
  </si>
  <si>
    <t>4630040228346</t>
  </si>
  <si>
    <t>RU.77.99.88.003.Е.003181.09.19 от 05.09.2019 г.</t>
  </si>
  <si>
    <t>оливковое масло нерафинированное, витамин В3 (никотинамид), кверцетин, коэнзим Q10, витамин В5 (пантотенат кальция), витамин В6 (пиридоксина гидрохлорид), витамин В1 (тиамина мононитрат), витамин В2 (рибофлавин), витамин В9 (фолиевая кислота), витамин Н (биотин), витамин В12 (цианокобаламин). Вспомогательные вещества: капсула желатиновая (желатин, глицерин агент влагоудерживающий, сорбит агент влагоудерживающий), кремния диоксид (носитель), антиокислитель гриндокс (аскорбилпальмитат, натуральный концентрат смеси токоферолов, лецитин, рапсовое масло).</t>
  </si>
  <si>
    <t>взрослым по 1 капсуле 1-2 раза в день во время еды. Продолжительность приёма 1 месяц.</t>
  </si>
  <si>
    <t>в недоступном для детей месте, при температуре от +15 до +25ºС и относительной влажности воздуха не более 60%.</t>
  </si>
  <si>
    <t>https://drive.google.com/drive/u/0/folders/1xTYWZ7bYXSRSlW4kuRn83L9-D20CJ21r</t>
  </si>
  <si>
    <t>qeep_chrom250_60caps</t>
  </si>
  <si>
    <t>БАД Пиколинат хрома ,qeep, 60 капсул</t>
  </si>
  <si>
    <t>QB101100476</t>
  </si>
  <si>
    <t>Пиколинат хрома БАД таблетки для похудения</t>
  </si>
  <si>
    <t>Пиколинат хрома БАД таблетки для похудения, уменьшение аппетита, снижение веса 60 капсул</t>
  </si>
  <si>
    <t>пиколинат хрома бад таблетки для похудения qeep</t>
  </si>
  <si>
    <t>https://www.wildberries.ru/catalog/417262785/detail.aspx</t>
  </si>
  <si>
    <t>https://www.ozon.ru/product/2168454928</t>
  </si>
  <si>
    <t>https://market.yandex.ru/card/pikolinat-khroma-bad-tabletki-dlya-pokhudeniya/4476682176?businessId=8291477&amp;clid=8291477&amp;model_id=1268975231&amp;distr_type=8&amp;pp=605</t>
  </si>
  <si>
    <t>https://goldapple.ru/catalogsearch/result?q=99000117796</t>
  </si>
  <si>
    <t>RU.77.99.11.003.R.001919.07.23 от 17.07.2023</t>
  </si>
  <si>
    <t>https://drive.google.com/drive/folders/1LkfMjci_czH6GixoPga3xpWIKlfPLlQL</t>
  </si>
  <si>
    <t>микрокристаллическая целлюлоза (Е460, носитель), хрома пиколинат, оболочка капсулы: желатин.</t>
  </si>
  <si>
    <t>Взрослым принимать по 1 капсуле 1 раз в день, во время еды. Продолжительность приема - 1 месяц. При необходимости прием можно повторить через месяц.</t>
  </si>
  <si>
    <t>Индивидуальная непереносимость компонентов.</t>
  </si>
  <si>
    <t>https://docs.google.com/document/d/15LyNRSZoQgW_dbJXEk_7ukUNxtR741jLIcuSXlytGKQ/edit?tab=t.0</t>
  </si>
  <si>
    <t>https://disk.yandex.ru/d/C9uy9DshaJOETw</t>
  </si>
  <si>
    <t>ООО «Витамер», 117623, РФ, г. Москва, вн.тер.г. муниципальный округ Южное Бутово, ул. 2-я Мелитопольская, д.19, к.2, кв.57. Адрес производства: 601144, РФ, Владимирская обл., г. Петушки, ул. Совхозная, д. 11</t>
  </si>
  <si>
    <t>Светлана Румянцева &lt;svetlana.rumyanceva@list.ru&gt; Контактный телефон 8(495) 625-51-15.</t>
  </si>
  <si>
    <t>qeep_iron40mg_60caps</t>
  </si>
  <si>
    <t>БАД Железо хелат ,qeep, 60 капсул</t>
  </si>
  <si>
    <t>QB101100433</t>
  </si>
  <si>
    <t>Железо хелат витамины, 60 капсул</t>
  </si>
  <si>
    <t>Железо хелат витамины qeep, 60 капсул</t>
  </si>
  <si>
    <t>Железо хелат витамины qeep, витаминный комплекс для женщин 60 капсул</t>
  </si>
  <si>
    <t>железо хелат витамины qeep, 60 капсул</t>
  </si>
  <si>
    <t>https://www.wildberries.ru/catalog/266214623/detail.aspx</t>
  </si>
  <si>
    <t>https://www.ozon.ru/product/1713242647</t>
  </si>
  <si>
    <t>https://market.yandex.ru/card/zhelezo-khelat-vitaminy-qeep-60-kapsul/103555039362?businessId=8291477&amp;clid=8291477&amp;model_id=1111706245&amp;distr_type=8&amp;pp=605</t>
  </si>
  <si>
    <t>https://goldapple.ru/catalogsearch/result?q=99000121328</t>
  </si>
  <si>
    <t>4670227414926</t>
  </si>
  <si>
    <t>AM.01.01.01.003.R.000361.07.22 от 29.07.2022 г.</t>
  </si>
  <si>
    <t>https://drive.google.com/drive/folders/1kkqEKShoipkjwyLesaxgdZcbQzF1QaIn</t>
  </si>
  <si>
    <t>бисглицинат железа, микрокристаллическая целлюлоза (носитель), капсула целлюлозная.</t>
  </si>
  <si>
    <t>взрослым по 1 капсуле в любое время дня.
Продолжительность приёма: 1 месяц. При необходимости повторить.</t>
  </si>
  <si>
    <t xml:space="preserve">индивидуальная непереносимость компонентов продукта, беременность, кормление грудью. Перед применением проконсультироваться с врачом.
</t>
  </si>
  <si>
    <t>https://docs.google.com/document/d/1iHFOdSKWC-0jKOZLzM1EK9MGfF3PctiGyZlOGzqK0oI/edit</t>
  </si>
  <si>
    <t>https://disk.yandex.ru/d/82yJwBqzvyIE9w</t>
  </si>
  <si>
    <t>qeep_climafem_60caps</t>
  </si>
  <si>
    <t>Пересмотреть позиционирование</t>
  </si>
  <si>
    <t>БАД при климаксе Climafem ,qeep, 60 капсул</t>
  </si>
  <si>
    <t>QB101100479</t>
  </si>
  <si>
    <t>Комплекс витаминов от климакса и приливов Климафем</t>
  </si>
  <si>
    <t>Комплекс витаминов для женского здоровья от климакса и приливов Climafem qeep 60 капсул</t>
  </si>
  <si>
    <t>https://www.wildberries.ru/catalog/271680783/detail.aspx</t>
  </si>
  <si>
    <t>https://www.ozon.ru/product/1738941767</t>
  </si>
  <si>
    <t>https://market.yandex.ru/card/kompleks-vitaminov-ot-klimaksa-i-prilivov-climafem-qeep-60-kapsul/103589261760?businessId=8291477&amp;clid=8291477&amp;model_id=1826260757&amp;distr_type=8&amp;pp=605</t>
  </si>
  <si>
    <t>AM.01.06.01.003.R.000199.05.24 от 16.05.2024 г.</t>
  </si>
  <si>
    <t>экстракт цимицифуги, экстракт сои, экстракт травы пустырника, магниевая соль стеариновой кислоты, диоксид кремния аморфный, витамин В9 (фолиевая кислота), оболочка капсулы белого цвета (желатин, оксид цинка), целлюлоза микрокристаллическая</t>
  </si>
  <si>
    <t>https://docs.google.com/document/d/1N9vH076zUFnzarQva1zuDXMEr1ij0XS-dfLaDMB7cm8/edit</t>
  </si>
  <si>
    <t>qeepprobiotics</t>
  </si>
  <si>
    <t>БАД Пробиотики ,qeep, 30 капсул</t>
  </si>
  <si>
    <t>QB101100484</t>
  </si>
  <si>
    <t>Пробиотики и пребиотики для взрослых 570 мг Qeep 30 капсул</t>
  </si>
  <si>
    <t>Пробиотики + пребиотики для взрослых, восстановление микрофлоры 570 мг Qeep 30 капсул</t>
  </si>
  <si>
    <t>пробиотики для взрослых 570 мг qeep 30 капсул</t>
  </si>
  <si>
    <t>https://www.wildberries.ru/catalog/91969350/detail.aspx</t>
  </si>
  <si>
    <t>https://www.ozon.ru/product/650348972</t>
  </si>
  <si>
    <t>аптека / лекарственные препараты / средства для пищеварения</t>
  </si>
  <si>
    <t>AM.01.06.01.003.R.000233.12.21 от 01.12.2021</t>
  </si>
  <si>
    <t>https://drive.google.com/drive/folders/1661ysU66VNch6pumNtNg5KYosvH9FmJ3</t>
  </si>
  <si>
    <t xml:space="preserve">биомасса бактерий селективная сухая BB-Bf серии «Панбиом» («Panbiom») (Bifidobacterium bifidum ARTB-187), биомасса бактерий селективная сухая LB-Pl серии «Панбиом» («Panbiom») (Lactobacillus plantarum ARTB-135), биомасса бактерий селективная сухая PR-Frd серии «Панбиом» («Panbiom») (Propionibacterium freudenreichii ARTB-137), инулин, «Метафул (Metafull)» (комбуча концентрат, биомасса гидролизованная «УЛЬТРАЛИЗАТ ПЕПТИДНЫЙ» BB-Bf Bifidobacterium bifidum (ARTB-187), BB-Ad Bifidobacterium adolescentis (ARTB-127), BB-An Bifidobacterium animalis (ARTB-128), BB-Ln Bifidobacterium longum (ARTB-184), BB-Br Bifidobacterium breve (ARTB-129), BB-If Bifidobacterium infantis (ARTB-189), LB-Ac Lactobacillus acidophilus (ARTB-130), LB-Ac Lactobacillus acidophilus (ARTB-177), LB-Pl Lactobacillus plantarum (ARTB-135), LB-Pl Lactobacillus plantarum (ARTB-175), LB-Bg Lactobacillus delbrueckii subsp.bulgaricus (ARTB-131), LB-Sl Lactobacillus salivarius (ARTB-136), LB-Sl Lactobacillus salivarius (ARTB-142), LB-Rm Lactobacillus rhamnosus (ARTB-183), LB-Rm Lactobacillus rhamnosus (ARTB-180), LB-Hl Lactobacillus helveticus (ARTB-133), LB-Hl Lactobacillus helveticus (ARTB-174), гуммиарабик, молочная кислота, мальтодекстрин, гуаровая камедь (галактоманнан), ксантановая камедь (глюкоманнан)).
Вспомогательные вещества: капсула твердая разъёмная желатиновая (желатин (носитель), глицерин (агент влагоудерживающий)), антислеживатели: кальция стеарат, кремния диоксид.
</t>
  </si>
  <si>
    <t>взрослым по 1 капсуле 1-3 раза в день во время еды. Продолжительность приема 1 месяц.</t>
  </si>
  <si>
    <t xml:space="preserve">хранить в недоступном для детей месте, при температуре не выше 25⁰С и относительной влажности воздуха не более 60%.
</t>
  </si>
  <si>
    <t>https://docs.google.com/document/d/1yJnbPgyY1nI_AZn2Dmtl7cgOBhxhIx79k-xpm7o3Sc8/edit?tab=t.0</t>
  </si>
  <si>
    <t>https://disk.yandex.ru/d/tGCqfZO9dbek0Q</t>
  </si>
  <si>
    <t>qeep_Antiparasite_60caps</t>
  </si>
  <si>
    <t>Пробуем КЗ</t>
  </si>
  <si>
    <t>БАД Антипаразитарный комплекс ,qeep, 60 капсул</t>
  </si>
  <si>
    <t>QB101100403</t>
  </si>
  <si>
    <t>Антипаразитарный комплекс БАД травяной сбор</t>
  </si>
  <si>
    <t>Антипаразитарный комплекс Qeep 60 капсул</t>
  </si>
  <si>
    <t>Антипаразитарный комплекс от паразитов и глистов Qeep 60 капсул</t>
  </si>
  <si>
    <t>https://www.wildberries.ru/catalog/193123880/detail.aspx</t>
  </si>
  <si>
    <t>https://www.ozon.ru/product/1323353605</t>
  </si>
  <si>
    <t>https://market.yandex.ru/card/antiparazitarnyy-kompleks-qeep-kaps/103614885657?businessId=8291477&amp;clid=8291477&amp;model_id=44495663&amp;distr_type=8&amp;pp=605</t>
  </si>
  <si>
    <t>Травяные сборы</t>
  </si>
  <si>
    <t>AM.01.11.01.003.R.000306.08.23 от 25.08.2023 г.</t>
  </si>
  <si>
    <t>https://drive.google.com/drive/folders/1KNEwUbAoNj_n5iSZjupqnxJbiF715hxT</t>
  </si>
  <si>
    <t>экстракты концентрированные сухие коры осины обыкновенной (Populus tremula L.), цветков пижмы обыкновенной (Tanacetum vulgare L.), травы тысячелистника обыкновенного (Achillea millefolium L.), травы зверобоя продырявленного (Hypericum perforatum L.), перегородок грецкого ореха (Juglans regia L.), цветков бессмертника песчаного (Helichrysum arenarium L.), крахмал кукурузный, стеарат кальция.</t>
  </si>
  <si>
    <t>взрослым принимать по 2 капсулы 3 раза в день во время еды.
Продолжительность приема: 10 дней. При необходимости прием можно повторить.</t>
  </si>
  <si>
    <t xml:space="preserve">индивидуальная непереносимость компонентов продукта, беременность, кормление грудью. </t>
  </si>
  <si>
    <t>хранить при температуре от 0 ºС до +25 ºС и относительной влажности воздуха не более 75%, в защищенном от света и недоступном для детей месте.</t>
  </si>
  <si>
    <t>https://docs.google.com/document/d/1BgASHF8aR4NOXw1SFN33xvmAXN4kEDtRAcVUF6XGb0o/edit?usp=sharing</t>
  </si>
  <si>
    <t>ООО «Биолит», 634055, Россия, г. Томск, пр. Академический, д. 4, стр. 3.</t>
  </si>
  <si>
    <t xml:space="preserve">Алексей Ребитва
Руководитель отдела продаж
ООО «Биолит»
e-mail: rav@biolit.info
тел. моб. +7-913-889-20-51
</t>
  </si>
  <si>
    <t>qeep_betain_60caps</t>
  </si>
  <si>
    <t>Неконкурентный товар</t>
  </si>
  <si>
    <t>БАД Бетаин 600 мг ,qeep, 60 капсул</t>
  </si>
  <si>
    <t>QB101100406</t>
  </si>
  <si>
    <t>Бетаин Гидрохлорид БАД для печени и кишечника</t>
  </si>
  <si>
    <t>Бетаин 600 мг Qeep 60 капсул</t>
  </si>
  <si>
    <t>Бетаин для печени и кишечника 600 мг. для пищеварения Qeep 60 капсул</t>
  </si>
  <si>
    <t>бетаин 600 мг qeep 60 капсул</t>
  </si>
  <si>
    <t>https://www.wildberries.ru/catalog/169963867/detail.aspx</t>
  </si>
  <si>
    <t>https://www.ozon.ru/product/1101330936</t>
  </si>
  <si>
    <t>https://market.yandex.ru/card/betain-600-mg-qeep-60-kapsul/103374785701?businessId=8291477&amp;clid=8291477&amp;model_id=1826260757&amp;distr_type=8&amp;pp=605</t>
  </si>
  <si>
    <t>4627150924015 
4660401460016 
4660401460054</t>
  </si>
  <si>
    <t>AM.01.01.01.003.R.000335.05.23 от 04.05.2023 г.</t>
  </si>
  <si>
    <t>https://drive.google.com/drive/folders/1fCnfdV2Eo5L84etkpz_GlEQbBCbEq5HA</t>
  </si>
  <si>
    <t>бетаин гидрохлорид, стеарат кальция, твёрдая желатиновая капсула.</t>
  </si>
  <si>
    <t xml:space="preserve"> Взрослым по 1 капсуле в день.
</t>
  </si>
  <si>
    <t xml:space="preserve"> 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
</t>
  </si>
  <si>
    <t xml:space="preserve"> хранить в сухом, недоступном для детей месте, при температуре от +5 °С до +25 °С.
</t>
  </si>
  <si>
    <t>https://docs.google.com/document/d/1btMLoKjGiPiNbhwZ2f6qDmBwM2xegs1lppoz6n2azxw/edit</t>
  </si>
  <si>
    <t>https://drive.google.com/drive/u/0/folders/1MG-BzuApIlExV8-3nD7wX6WFiSm3kP14</t>
  </si>
  <si>
    <t>Джанета</t>
  </si>
  <si>
    <t>qeep_livercomplex_60caps</t>
  </si>
  <si>
    <t>Узкий рынок</t>
  </si>
  <si>
    <t>БАД Расторопша для печени ,qeep, 60 капсул</t>
  </si>
  <si>
    <t>QB101100487</t>
  </si>
  <si>
    <t>БАД qeep Liver Complex, 60 капсул Природный гепатопротектор</t>
  </si>
  <si>
    <t>Расторопша для печени 600 мг Qeep 60 капсул</t>
  </si>
  <si>
    <t>Расторопша, витамины для защиты печени 600 мг Qeep 60 капсул</t>
  </si>
  <si>
    <t>https://www.wildberries.ru/catalog/161526543/detail.aspx</t>
  </si>
  <si>
    <t>https://www.ozon.ru/product/985677823</t>
  </si>
  <si>
    <t>AM.01.01.01.003.R.000372.08.22 от 01.08.2022 г.</t>
  </si>
  <si>
    <t>https://drive.google.com/drive/folders/1f4jOvNo9bbNfeCqj9rVDFqtxQaZ_OOTi</t>
  </si>
  <si>
    <t>экстракты концентрированные сухие травы солянки холмовой (Salsola collina Pall), расторопши пятнистой (Sílybum marianum), травы овса посевного молочной спелости (Avena sativa), крахмал кукурузный, стеарат кальция</t>
  </si>
  <si>
    <t>взрослым по 1 капсуле 2 раза в день во время еды.
Перед применением рекомендуется проконсультироваться с врачом.
Продолжительность приема: 30 дней. При необходимости прием можно повторить.</t>
  </si>
  <si>
    <t>хранить при температуре от 0 ºС до +25ºС и относительной влажности воздуха не более 75%, в защищенном от света и недоступном для детей месте.</t>
  </si>
  <si>
    <t>https://docs.google.com/document/d/1u4s30Tp4BCPPO9U3tTIxjOOGRR_1kc3nNCCYXEN0oU4/edit?usp=sharing</t>
  </si>
  <si>
    <t>https://drive.google.com/drive/u/0/folders/1sL3txEX1OSsv1WQ0PP1X_zYsx82wBbYE</t>
  </si>
  <si>
    <t>harly_toothpaste_50ml</t>
  </si>
  <si>
    <t>Паста зубная для собак и кошек, Harly, 50 мл</t>
  </si>
  <si>
    <t>Зубная паста</t>
  </si>
  <si>
    <t>HC101100401</t>
  </si>
  <si>
    <t>Зубная паста для собак и кошек</t>
  </si>
  <si>
    <t>Зубная паста для собак и кошек, гель для полости рта  домашних животных, Harly 50 мл</t>
  </si>
  <si>
    <t>https://www.wildberries.ru/catalog/494708852/detail.aspx</t>
  </si>
  <si>
    <t>https://www.ozon.ru/product/2686479094</t>
  </si>
  <si>
    <t>https://market.yandex.ru/card/zubnaya-pasta-dlya-sobak-i-koshek/4602254449?businessId=8291477&amp;clid=8291477&amp;model_id=1353065860&amp;distr_type=8&amp;pp=605</t>
  </si>
  <si>
    <t>товары для животных / косметика и гигиена / средства для ухода за ротовой полостью животных</t>
  </si>
  <si>
    <t>4620290621325</t>
  </si>
  <si>
    <t>Отказное письмо № ОП/11-0028 от 06.11.2024 г.</t>
  </si>
  <si>
    <t>https://drive.google.com/drive/folders/1x8BA-mv8v_o4slyl7SBR7GKpEqah_Wck</t>
  </si>
  <si>
    <t>вода, глицерин, гидроксиэтилцеллюлоза, ПЭГ 40, гидрогенизированное касторовое масло, ПЭГ-400 полиэтиленгликоль, аллантоин, экстракт прополиса, экстракт ромашки, экстракт коры дуба, пропиленгликоль, хлорид натрия, субтилизин, глюкозооксидаза, д-пантенол, сорбат калия</t>
  </si>
  <si>
    <t>з</t>
  </si>
  <si>
    <t>хранить в сухом, защищенном от света месте, при температуре от -15 °С до +20 °С.</t>
  </si>
  <si>
    <t>https://docs.google.com/document/d/1Sz0LP9aVbdQfEU2WMRCtI-DDfLzGptLZvgLBIQURHDM/edit?tab=t.0</t>
  </si>
  <si>
    <t>https://disk.yandex.ru/d/lxnlqd1t71Uaig</t>
  </si>
  <si>
    <t>qeep_omega_3_1620_90caps</t>
  </si>
  <si>
    <t>БАД Омега 1620 мг ,qeep, 90 капсул</t>
  </si>
  <si>
    <t>Иммунитет</t>
  </si>
  <si>
    <t>QB101100473</t>
  </si>
  <si>
    <t>Омега 3 рыбий жир в капсулах 1620 мг omega 3</t>
  </si>
  <si>
    <t>Омега 3 1620 мг EPA 792 мг DHA 528 мг Qeep 90 капсул</t>
  </si>
  <si>
    <t>Омега 3 Рыбий жир из Исландии, для сердца 1620 мг EPA 792 мг DHA 528 мг Qeep 90 капсул</t>
  </si>
  <si>
    <t>омега 3 1620 мг epa 792 мг dha 528 мг qeep 90 капсул</t>
  </si>
  <si>
    <t>https://www.wildberries.ru/catalog/161948275/detail.aspx</t>
  </si>
  <si>
    <t>https://www.ozon.ru/product/989542196</t>
  </si>
  <si>
    <t>https://market.yandex.ru/card/omega-3-1620-mg-epa-792-mg-dha-528-mg-qeep-90-kapsul/103262837664?businessId=8291477&amp;clid=8291477&amp;model_id=1885081753&amp;distr_type=8&amp;pp=605</t>
  </si>
  <si>
    <t>https://goldapple.ru/catalogsearch/result?q=99000118638</t>
  </si>
  <si>
    <t>AM.01.48.01.003.Е.000045.04.19</t>
  </si>
  <si>
    <t>https://drive.google.com/drive/folders/1ySrfx_k1dHppSCuT11-UWd1OHtg3JaGD</t>
  </si>
  <si>
    <t>рыбий жир, капсула желатиновая (желатин (носитель), глицерин (агент влагоудерживающий)), витамин Е (антиокислитель).</t>
  </si>
  <si>
    <t>принимать взрослым и детям с трех лет во время еды в течение 1 месяца (по рекомендации специалиста доза может быть увеличена) по 1- 2 капсулы в день.</t>
  </si>
  <si>
    <t xml:space="preserve">индивидуальная непереносимость компонентов, беременность и кормление грудью. Перед применением рекомендуется проконсультироваться с врачом.
</t>
  </si>
  <si>
    <t xml:space="preserve">в недоступном для детей месте, при температуре от +15 до +25ºС и относительной влажности воздуха не более 60%.
</t>
  </si>
  <si>
    <t>https://docs.google.com/document/d/1oxB4dKuqGO9RKMs4QSRRjOY9q4PgUGd8OrGUfAbbA9Y/edit?tab=t.0</t>
  </si>
  <si>
    <t>https://drive.google.com/drive/u/0/folders/1YYRoKT7rU8dhG1zHTW4AyaJkpbdYipaV</t>
  </si>
  <si>
    <t>qeep_nac_90caps</t>
  </si>
  <si>
    <t>Цена</t>
  </si>
  <si>
    <t>NAC комплекс от ОРВИ ,qeep, 90 капсул</t>
  </si>
  <si>
    <t>QB101100513</t>
  </si>
  <si>
    <t>Витамины для иммунитета NAC, комплекс от ОРВИ 90 капсул</t>
  </si>
  <si>
    <t>Витамины для иммунитета NAC, комплекс от ОРВИ qeep 90 капсул</t>
  </si>
  <si>
    <t>Витамины для иммунитета NAC, комплекс от ОРВИ, Комплекс НАК N-ацетилцистеин qeep 90 капсул</t>
  </si>
  <si>
    <t>витамины для иммунитета nac, комплекс от орви qeep 90 капсул</t>
  </si>
  <si>
    <t>https://www.wildberries.ru/catalog/240166228/detail.aspx</t>
  </si>
  <si>
    <t>https://www.ozon.ru/product/1613724697</t>
  </si>
  <si>
    <t>https://market.yandex.ru/card/vitaminy-dlya-immuniteta-nac-kompleks-ot-orvi-90-kapsul/103396767624?businessId=8291477&amp;clid=8291477&amp;model_id=1280856904&amp;distr_type=8&amp;pp=605</t>
  </si>
  <si>
    <t>https://goldapple.ru/catalogsearch/result?q=99000118345</t>
  </si>
  <si>
    <t>4670227414018</t>
  </si>
  <si>
    <t>ЕАЭС N RU Д-RU.РА01.В.18739/24 от 19.01.2024 до 16.01.2027</t>
  </si>
  <si>
    <t>https://drive.google.com/drive/folders/1NTwwpvMvYatlgVwisT2gXZIbKZscs9LS</t>
  </si>
  <si>
    <t>N-Ацетил L-Цистеин, носители: микрокристаллическая целлюлоза, твёрдая желатиновая капсула.</t>
  </si>
  <si>
    <t>взрослым принимать по 1 капсуле 2 раза в день.</t>
  </si>
  <si>
    <t>https://docs.google.com/document/d/17vMGodUH7Jw1G3-QJzBkrGHB_tV4WW7o0BQWlmeKG94/edit</t>
  </si>
  <si>
    <t>qeep_omega3_180caps</t>
  </si>
  <si>
    <t>Сокращение товарной матрицы</t>
  </si>
  <si>
    <t>БАД Омега 1320 мг ,qeep, 180 капсул</t>
  </si>
  <si>
    <t>QB101100470</t>
  </si>
  <si>
    <t>Витамины омега 3 omega рыбий жир БАД</t>
  </si>
  <si>
    <t>Омега 3 1320 мг EPA 627 мг DHA 465 мг Qeep 180 капсул</t>
  </si>
  <si>
    <t>Омега 3 рыбий жир 1320 мг EPA 627 мг DHA 465 мг Qeep витамины 180 капсул</t>
  </si>
  <si>
    <t>https://www.wildberries.ru/catalog/228331343/detail.aspx</t>
  </si>
  <si>
    <t>https://www.ozon.ru/product/1566735886</t>
  </si>
  <si>
    <t>https://market.yandex.ru/card/omega-3-1320-mg-epa-627-mg-dha-465-mg-qeep-180-kapsul/103398260192?businessId=8291477&amp;clid=8291477&amp;model_id=1826260757&amp;distr_type=8&amp;pp=605</t>
  </si>
  <si>
    <t>4640233110730</t>
  </si>
  <si>
    <t>AM.01.08.01.003.R.000005.12.22 от 28.12.2022г.</t>
  </si>
  <si>
    <t>https://drive.google.com/drive/folders/1uv1bxc8fyEFxLMBZ_r9wPp_TYOyi4eao</t>
  </si>
  <si>
    <t>Рыбий жир, компоненты капсулы (вода, желатин, глицерин пищевой, сорбитол, сорбат калия).</t>
  </si>
  <si>
    <t xml:space="preserve">принимать по 3  капсулы 2 раза в день во время еды, запивая обильным количеством воды. </t>
  </si>
  <si>
    <t>индивидуальная непереносимость компонентов, беременность, кормление грудью, лица в возрасте до 18 лет. Перед применением рекомендуется проконсультироваться с врачом. Не превышать установленную рекомендуемую дозу. Биологически активная добавка к пище не должна употребляться в качестве замены пищи.</t>
  </si>
  <si>
    <t>хранить в сухом, защищенном от прямых солнечных лучей и недоступном для детей месте при температуре от 0°С до 25°С и относительной влажности не более 75%.</t>
  </si>
  <si>
    <t>https://docs.google.com/document/d/1sNYhRYgYetttE-UId3DBP-2BYgQpyfVTYys-zo8hTnY/edit?usp=sharing</t>
  </si>
  <si>
    <t xml:space="preserve">ООО «Биофарм». Юридический адрес: Россия, 127015, г. Москва, улица Вятская, д.49, стр.2, помещение 11, комната 8. (адрес производства: 143080, Московская область, Одинцовский район, п. ВНИИССОК, ул. Селекционная, д.14, Россия) </t>
  </si>
  <si>
    <t>Татьяна +7 985 083-04-64</t>
  </si>
  <si>
    <t>qeep_sodium_ascorbate_90caps</t>
  </si>
  <si>
    <t>БАД Витамин С ,qeep, 90 капсул</t>
  </si>
  <si>
    <t>QB101100409</t>
  </si>
  <si>
    <t>Витамин C аскорбат натрия капсулы 500 мг</t>
  </si>
  <si>
    <t>Витамин С 500 мг Qeep 90 капсул</t>
  </si>
  <si>
    <t>Витамин С 500 мг комплекс для иммунитета и сердца Qeep 90 капсул</t>
  </si>
  <si>
    <t>https://www.wildberries.ru/catalog/176110909/detail.aspx</t>
  </si>
  <si>
    <t>https://www.ozon.ru/product/1181035529</t>
  </si>
  <si>
    <t>https://market.yandex.ru/card/vitamin-s-500-mg-qeep-90-kapsul/103374785702?businessId=8291477&amp;clid=8291477&amp;model_id=1826260757&amp;distr_type=8&amp;pp=605</t>
  </si>
  <si>
    <t xml:space="preserve">RU.77.99.11.003.R.000404.02.23 от 17.02.2023г. </t>
  </si>
  <si>
    <t>https://drive.google.com/drive/folders/11V47raeGUzjMoy3mBCMqpcGPyba8nnqr</t>
  </si>
  <si>
    <t>Аскорбат натрия, микрокристаллическая целлюлоза (Е460, носитель); оболочка капсулы:  желатин (КРС)</t>
  </si>
  <si>
    <t>Взрослым по 1 капсуле в день  во время еды. Продолжительность приёма - 1 месяц. При необходимости  прием можно повторить.</t>
  </si>
  <si>
    <t xml:space="preserve"> Индивидуальная непереносимость компонентов.
</t>
  </si>
  <si>
    <t xml:space="preserve">В недоступном для детей месте при температуре не выше 25°С.
Места реализации определяются национальным законодательством государств-членов Евразийского экономического союза.
</t>
  </si>
  <si>
    <t>https://docs.google.com/document/d/1mJnYdPfr-00wh_Cf1g4i-ezp1qy74IHnLRtvjZay0EU/edit?usp=sharing</t>
  </si>
  <si>
    <t>https://drive.google.com/drive/u/0/folders/1tF08U9AEt4IHcBEywiAv2OOoFnPmhIPt</t>
  </si>
  <si>
    <t>qeepcurcumin_500mg_60caps</t>
  </si>
  <si>
    <t>БАД Куркумин ,qeep, 60 капсул</t>
  </si>
  <si>
    <t>QB101100458</t>
  </si>
  <si>
    <t>Куркумин в капсулах для иммунитета curcumin БАД</t>
  </si>
  <si>
    <t>Куркумин 500 мг Qeep 60 капсул</t>
  </si>
  <si>
    <t>Куркумин в капсулах для иммунитета, антиоксидант 500 мг Qeep 60 капсул</t>
  </si>
  <si>
    <t>куркумин 500 мг qeep 60 капсул</t>
  </si>
  <si>
    <t>https://www.wildberries.ru/catalog/148382531/detail.aspx</t>
  </si>
  <si>
    <t>https://www.ozon.ru/product/881205774</t>
  </si>
  <si>
    <t>https://market.yandex.ru/card/kurkumin-500-mg-qeep-60-kapsul/103262837666?businessId=8291477&amp;clid=8291477&amp;model_id=1826260757&amp;distr_type=8&amp;pp=605</t>
  </si>
  <si>
    <t>https://goldapple.ru/catalogsearch/result?q=99000122833</t>
  </si>
  <si>
    <t>AM.01.07.01.003.R.000474.05.22 от 23.05.2022 г.</t>
  </si>
  <si>
    <t>действующее вещество: куркумы экстракт; вспомогательные вещества: диоксид кремния, желатин говяжий (для капсул).</t>
  </si>
  <si>
    <t>принимайте продукт по одной порции (1 капсула) 1 раз в день во время приема пищи, или в соответствии с вашей индивидуальной программой питания или рекомендациями врача.</t>
  </si>
  <si>
    <t>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t>
  </si>
  <si>
    <t xml:space="preserve">хранить в сухом прохладном, защищенном от попадания прямых солнечных лучей и недоступном для детей месте, при температуре не выше 25°С. После вскрытия упаковку хранить плотно закрытой при тех же условиях
</t>
  </si>
  <si>
    <t>Куркумин 500 мг - Google Документы</t>
  </si>
  <si>
    <t>https://drive.google.com/drive/u/0/folders/1aAcjmCFwzpgtMDcdeunmIMrPjgb2xDfI</t>
  </si>
  <si>
    <t>ООО Арсенал Атлета, 443535, Россия, Самарская область, Волжский муниципальный район, сельское поселение Лопатино, село Лопатино, улица Мира, здание 16/8, офис 1, тел.: +7 (902) 580 30 82, e-mail: yozavod@gmail.com.</t>
  </si>
  <si>
    <t>Галина Кулагина &lt;pm4.yozavod@gmail.com&gt; +7 963 117-27-73</t>
  </si>
  <si>
    <t>qeep_D3_30ml</t>
  </si>
  <si>
    <t>БАД Д3 Капли ,qeep, 30 мл</t>
  </si>
  <si>
    <t>QB101100423</t>
  </si>
  <si>
    <t>БАДы Витамин д3 жидкий в каплях 500 ME</t>
  </si>
  <si>
    <t>Витамин Д3 Капли 500 ME Qeep 30 мл</t>
  </si>
  <si>
    <t>Витамин Д3 для укрепления иммунитета Капли 500 ME Qeep 30 мл</t>
  </si>
  <si>
    <t>витамин д3 капли 500 me qeep 30 мл</t>
  </si>
  <si>
    <t>https://www.wildberries.ru/catalog/157382017/detail.aspx</t>
  </si>
  <si>
    <t>https://www.ozon.ru/product/945003764</t>
  </si>
  <si>
    <t>https://market.yandex.ru/card/vitamin-d3-kapli-500-me-qeep-30-ml/102019832737?businessId=8291477&amp;clid=8291477&amp;model_id=1111672191&amp;distr_type=8&amp;pp=605</t>
  </si>
  <si>
    <t>https://goldapple.ru/catalogsearch/result?q=99000121335</t>
  </si>
  <si>
    <t>AM.01.01.01.003.R.000293.07.22 от 04.07.2022 г.</t>
  </si>
  <si>
    <t>https://drive.google.com/drive/folders/1nyCK7KtfFdw6ATDyZiUsp-8R_xsvasJf</t>
  </si>
  <si>
    <t>холекальциферол (витамин D3), масло МСТ (триглицериды среднецепочечные кокосового масла), ароматизатор натуральный «банан», смесь витамина Е (токоферолов) и витамина С (аскорбил пальмитата) - (антиокислитель).</t>
  </si>
  <si>
    <t>взрослым и детям с 3-х лет по 1 капле (500 МЕ) в день во время еды или согласно рекомендациям врача. 
Продолжительность приема: 1-2 месяца.</t>
  </si>
  <si>
    <t>индивидуальная непереносимость компонентов. Перед применением рекомендуется проконсультироваться с врачом. Перед применением БАД детьми – с врачом-педиатром.</t>
  </si>
  <si>
    <t>при температуре не выше +25ºС и относительной влажности воздуха не более 75%, в защищенном от света и недоступном для детей месте.</t>
  </si>
  <si>
    <t>https://docs.google.com/document/d/1hdoargGeFe62QqxLQUBOx5Z2xpT5_QvdJVdO0bKjvuk/edit?usp=sharing</t>
  </si>
  <si>
    <t>https://drive.google.com/drive/u/0/folders/1vImWk9rrF-f6StlS6U_aqB6fqN73ffMB</t>
  </si>
  <si>
    <t>qeepzinc</t>
  </si>
  <si>
    <t>КЗ</t>
  </si>
  <si>
    <t>БАД Цинк хелат ,qeep, 90 таблеток</t>
  </si>
  <si>
    <t>QB101100503</t>
  </si>
  <si>
    <t>Цинк хелат бисглицинат, бад для укрепления иммунитета</t>
  </si>
  <si>
    <t>Цинк хелат 25 мг Qeep 90 таблеток</t>
  </si>
  <si>
    <t>Цинк хелат 25 мг комплекс для кожи, волос и ногтей Qeep 90 таблеток</t>
  </si>
  <si>
    <t>https://www.wildberries.ru/catalog/138758948/detail.aspx</t>
  </si>
  <si>
    <t>https://www.ozon.ru/product/814824220</t>
  </si>
  <si>
    <t>https://market.yandex.ru/card/tsink-khelat-25-mg-qeep-90-tabletok/101948497015?businessId=8291477&amp;clid=8291477&amp;model_id=838753782&amp;distr_type=8&amp;pp=605</t>
  </si>
  <si>
    <t>RU.77.99.11.003.R.003861.10.21 от 28.10.2021</t>
  </si>
  <si>
    <t>МКЦ (наполнитель), цинка бисглицинат,  кальция стеарат (антислеживающий агент), аэросил (антислеживающий агент).</t>
  </si>
  <si>
    <t>взрослым по 1 таблетке 1 раз в день во время еды. Продолжительность приёма - 1 месяц. При необходимости  прием можно повторить.</t>
  </si>
  <si>
    <t>https://docs.google.com/document/d/1V53-Zl8DYEAmao39JYKuOjznb2bYtKbB0kr7sWdpYbE/edit?tab=t.0</t>
  </si>
  <si>
    <t>https://drive.google.com/drive/u/0/folders/1ReycPg9FGytMZyyRTX9heQK-zrjw-yWX</t>
  </si>
  <si>
    <t>https://disk.yandex.ru/d/uDHcYb7tZ1TpXQ</t>
  </si>
  <si>
    <t>qeep_omega369_90caps</t>
  </si>
  <si>
    <t>БАД Омега 3 6 9 ,qeep, 90 капсул</t>
  </si>
  <si>
    <t>QB101100474</t>
  </si>
  <si>
    <t>Омега 3, 6, 9 БАД витаминный комплекс</t>
  </si>
  <si>
    <t>Омега 3 6 9 Qeep 90 капсул</t>
  </si>
  <si>
    <t>Омега 3-6-9 для укрепления иммунитета, комплекс витаминов для всей семьи Qeep 90 капсул</t>
  </si>
  <si>
    <t>https://www.wildberries.ru/catalog/165252790/detail.aspx</t>
  </si>
  <si>
    <t>https://www.ozon.ru/product/1032695400</t>
  </si>
  <si>
    <t>RU.77.99.32.003.R.003955.12.23 от 29.12.2023</t>
  </si>
  <si>
    <t>https://drive.google.com/drive/folders/1moRzguS5Ptx9hhgAKcigDTHgVdJci-MP</t>
  </si>
  <si>
    <t xml:space="preserve">рыбий жир, масло огуречника, масло льняное, альфа-токоферола ацетат, 
оболочка капсулы (желатин, загуститель – глицерин, вода).
</t>
  </si>
  <si>
    <t xml:space="preserve">взрослым и детям старше 14 лет по 3 капсулы в 
день во время еды. Продолжительность приема – 1 месяц. По рекомендации врача 
прием можно повторить.
</t>
  </si>
  <si>
    <t xml:space="preserve">в недоступном для детей месте, при температуре не выше +25ºС и относительной влажности воздуха не более 60%.
</t>
  </si>
  <si>
    <t>https://docs.google.com/document/d/1YAjgc4ouJahRJNquY38BHuWLmBBqVs178XgnWcVwip0/edit</t>
  </si>
  <si>
    <t>ООО "Нутрилент"</t>
  </si>
  <si>
    <t>Кирилл Трофимов trofimov.k@nutrilent.ru 89626843328</t>
  </si>
  <si>
    <t>qeep_d3k2_5000ME_120tabs</t>
  </si>
  <si>
    <t>Проверить, можно ли?</t>
  </si>
  <si>
    <t>БАД Д3 5000 ME К2 ,qeep, 120 таблеток</t>
  </si>
  <si>
    <t>QB101100419</t>
  </si>
  <si>
    <t>Витамин д3 к2 комплекс для иммунитета</t>
  </si>
  <si>
    <t>Витамин Д3 5000 ME К2 12,5 мкг Qeep 120 таблеток</t>
  </si>
  <si>
    <t>Витамин Д3 5000 для иммунитета, костей ME К2 12,5 мкг Qeep 120 таблеток</t>
  </si>
  <si>
    <t>витамин д3 5000 me к2 12,5 мкг qeep 120 таблеток</t>
  </si>
  <si>
    <t>https://www.wildberries.ru/catalog/209196024/detail.aspx</t>
  </si>
  <si>
    <t>https://www.ozon.ru/product/1499949331</t>
  </si>
  <si>
    <t>https://market.yandex.ru/card/vitamin-d3-5000-me-k2-125-mkg-qeep-120-tabletok/103398256605?businessId=8291477&amp;clid=8291477&amp;model_id=1111672191&amp;distr_type=8&amp;pp=605</t>
  </si>
  <si>
    <t>https://goldapple.ru/catalogsearch/result?q=99000121333</t>
  </si>
  <si>
    <t>AM.01.01.01.003.R.000393.05.23 от 26.05.2023 г</t>
  </si>
  <si>
    <t>https://drive.google.com/drive/folders/1Ff011wv7rQ4F7-IgqVQmiO7I_ZhEFkeB</t>
  </si>
  <si>
    <t>холекальциферол, менахинон-7, носители: микрокристаллическая целлюлоза, мальтодекстрин, стеарат кальция (Е470), кремний диоксид коллоидный (Е 551) (АЭРОСИЛ@).</t>
  </si>
  <si>
    <t xml:space="preserve">принимать взрослым по ¼ таблетки в день в первой половине дня.
</t>
  </si>
  <si>
    <t>https://docs.google.com/document/d/1H-we0rrrX46oFlO6fhgJkMhJgqJLYSYleX3SUFyg8y0/edit</t>
  </si>
  <si>
    <t>qeep_D3_2000ME_120caps</t>
  </si>
  <si>
    <t>БАД Д3 2000 МЕ ,qeep, 120 капсул</t>
  </si>
  <si>
    <t>QB101100418</t>
  </si>
  <si>
    <t>Витамин Д 3 БАД в капсулах D3 2000 ме 120 шт</t>
  </si>
  <si>
    <t>Витамин Д3 2000 МЕ 120 капсул</t>
  </si>
  <si>
    <t>Витамин Д3 2000 МЕ для иммунитета и укрепления организма 120 капсул</t>
  </si>
  <si>
    <t>витамин д3 2000 ме 120 капсул</t>
  </si>
  <si>
    <t>https://www.wildberries.ru/catalog/196519115/detail.aspx</t>
  </si>
  <si>
    <t>https://www.ozon.ru/product/1342066127</t>
  </si>
  <si>
    <t>https://market.yandex.ru/card/vitamin-d3-2000-me-120-kapsul/103374785697?businessId=8291477&amp;clid=8291477&amp;model_id=1826260757&amp;distr_type=8&amp;pp=605</t>
  </si>
  <si>
    <t>AM.01.01.01.003.R.000129.04.22 от 15.04.2022 г.</t>
  </si>
  <si>
    <t>https://drive.google.com/drive/folders/1uNAsNA4oVTOq2LtvWwLXiSjLMH4BX0SI</t>
  </si>
  <si>
    <t>масляный раствор витамина D3 (среднецепочечные триглицериды или кукурузное масло, антиокислитель – альфа-токоферол, холекальциферол (витамин D3)), масло растительное рафинированное, оболочка капсулы (желатин, агент влагоудерживающий – глицерин, вода очищенная, загуститель – каррагинан), антиокислитель – смесь токоферолов.</t>
  </si>
  <si>
    <t>взрослым по 1 капсуле в день во время еды.
Продолжительность приёма: 1 месяц. При необходимости повторить.</t>
  </si>
  <si>
    <t>https://docs.google.com/document/d/1FLCC9-RkT8OIyTIbAX7ko8SLL5xaNgJ5Ahl9-jivg-Y/edit</t>
  </si>
  <si>
    <t>qeepcurcumin</t>
  </si>
  <si>
    <t>БАД Куркумин 130 мг ,qeep, 60 капсул</t>
  </si>
  <si>
    <t>QB101100457</t>
  </si>
  <si>
    <t>Куркумин 130 мг Qeep 60 капсул</t>
  </si>
  <si>
    <t>Куркумин с пиперином (биоперином) для иммунитета 130 мг Qeep 60 капсул</t>
  </si>
  <si>
    <t>куркумин 130 мг qeep 60 капсул</t>
  </si>
  <si>
    <t>https://www.wildberries.ru/catalog/91969213/detail.aspx</t>
  </si>
  <si>
    <t>https://www.ozon.ru/product/650726667</t>
  </si>
  <si>
    <t>https://market.yandex.ru/card/kurkumin-130-mg-qeep-60-kapsul/102210720237?businessId=8291477&amp;clid=8291477&amp;model_id=1826260757&amp;distr_type=8&amp;pp=605</t>
  </si>
  <si>
    <t>4630040228513</t>
  </si>
  <si>
    <t>RU.77.99.11.003.R.000532.02.21</t>
  </si>
  <si>
    <t xml:space="preserve">масло зародышей пшеницы, капсула желатиновая (желатин (носитель), глицерин (агент влагоудерживающий)), кишечнорастворимая оболочка капсулы (колликут (носитель), трикальций фосфат (носитель), кальциевая соль стеариновой кислоты (агент антислеживающий), поливинилпирролидон  (загуститель), красители: оксид железа жёлтый, оксид железа красный), куркумы экстракт, диоксид кремния (носитель), биоперин (экстракт чёрного перца), антиокислитель «Гриндокс 539» (аскорбилпальмитат, натуральные токоферолы, лецитин, рапсовое масло). </t>
  </si>
  <si>
    <t>взрослым по 1 капсуле 2 раза в день во время еды. Продолжительность приема 1 месяц. При необходимости прием можно повторить.</t>
  </si>
  <si>
    <t xml:space="preserve">в недоступном для детей месте, при температуре от 15 до 25 ºС и относительной влажности воздуха не более 60%.
</t>
  </si>
  <si>
    <t>https://docs.google.com/document/d/1rStD9LfL8-lXmrG3ZPI5ROlPQ0F8vM2gcY5G8YsGYYU/edit?usp=sharing</t>
  </si>
  <si>
    <t>https://drive.google.com/drive/u/0/folders/1EWl76TX-ujF2rrg9uGzYgfUiQRWYoFhB</t>
  </si>
  <si>
    <t>ООО «Сибфармконтракт», Россия, 634034, г. Томск, ул. Нахимова 8, стр. 11.
По заказу (организация, уполномоченная принимать претензии от потребителя): ООО «Биг-Л», 127473, Россия, г. Москва, Переулок Самотёчный 1-й, д. 15, cтр. 1, этаж подвал № 0, помещ. I, ком. 1, офис 1,</t>
  </si>
  <si>
    <t>qeep_vitaminA_90caps</t>
  </si>
  <si>
    <t>БАД Витамин А 10000 МЕ ,qeep, 90 капсул</t>
  </si>
  <si>
    <t>QB101100407</t>
  </si>
  <si>
    <t>Витамин А 10000 МЕ</t>
  </si>
  <si>
    <t>Витамин А 10000 МЕ Qeep 90 капсул</t>
  </si>
  <si>
    <t>Витамин А 10000 МЕ, витамины для кожи, глаз и красоты Qeep 90 капсул</t>
  </si>
  <si>
    <t>витамин а 10000 ме qeep 90 капсул</t>
  </si>
  <si>
    <t>https://www.wildberries.ru/catalog/221232387/detail.aspx</t>
  </si>
  <si>
    <t>https://www.ozon.ru/product/1539152458</t>
  </si>
  <si>
    <t>https://market.yandex.ru/card/vitamin-a-10000-me-qeep-90-kapsul/103398256607?businessId=8291477&amp;clid=8291477&amp;model_id=838753782&amp;distr_type=8&amp;pp=605</t>
  </si>
  <si>
    <t>AM.01.04.01.003.R.000138.08.23 от 01.08.2023 г.</t>
  </si>
  <si>
    <t>https://drive.google.com/drive/folders/1_ynF5VJKS5hkP0AnYAzDsSbtn4cLVINv</t>
  </si>
  <si>
    <t>ретинола пальмитат (витамин А), подсолнечное масло , оболочка (желатин (халяль), глицерин (загуститель), вода).</t>
  </si>
  <si>
    <t xml:space="preserve">принимать по 1 капсуле 1 раз в день во время еды, запивая обильным количеством воды. Продолжительность приема: не менее 2 месяцев. При необходимости прием можно повторить. </t>
  </si>
  <si>
    <t>https://docs.google.com/document/d/1mfpemUGhIQRQEuoZ32gQ2rCwimfFTw4Xca3WX3j3_rE/edit?usp=sharing</t>
  </si>
  <si>
    <t>harly_ear_drops</t>
  </si>
  <si>
    <t>Капли ушные для собак и кошек, Harly, 10 мл</t>
  </si>
  <si>
    <t>Капли и лосьоны</t>
  </si>
  <si>
    <t>HC101100404</t>
  </si>
  <si>
    <t>Ушные капли от бактерий и паразитов для собак и кошек</t>
  </si>
  <si>
    <t>Ушные капли для чистки ушей собак и кошек Harly</t>
  </si>
  <si>
    <t>Ушные капли для чистки ушей собак и кошек, лосьон для ушей животных Harly 10 мл.</t>
  </si>
  <si>
    <t>https://www.wildberries.ru/catalog/232451654/detail.aspx</t>
  </si>
  <si>
    <t>https://www.ozon.ru/product/1580754644</t>
  </si>
  <si>
    <t>https://market.yandex.ru/card/ushnyye-kapli-dlya-chistki-ushey-sobak-i-koshek-harly/103397002660?businessId=8291477&amp;clid=8291477&amp;model_id=973176873&amp;distr_type=8&amp;pp=605</t>
  </si>
  <si>
    <t>Капли для животных</t>
  </si>
  <si>
    <t>товары для животных / косметика и гигиена / средства для ухода за животными</t>
  </si>
  <si>
    <t>101-КС/177 от 12.02.2024</t>
  </si>
  <si>
    <t>https://drive.google.com/drive/folders/1aiTWi4fH9Tu-9saz_vCQ_noHCVaBPg3B</t>
  </si>
  <si>
    <t>фитокомплекс, являющийся водным извлечением из растительного сырья: пижмы обыкновенной цветков, чабреца травы, душицы обыкновенной травы, полыни горькой травы, фиалки травы, клевера лугового (красного) цветков, бузины черной цветков, коровяка травы, сосны обыкновенной почек, чеснока; сосны масло эфирное; полиэтилен_x0002_гликоль низкомолекулярный (ПЭГ-400).</t>
  </si>
  <si>
    <t>Перед применением средство рекомендуется нагреть до комнатной температуры, поместив флакон капельницу в теплую воду. 
Тампоном, смоченным средством, тщательно очистить ушные раковины от поверхностных корок и струпьев.
Закапать в каждое ухо по 3-5 капель: 
- кошкам, собакам мелких пород по 3 капли, 
- средним собакам по 4 капли, 
- крупным собакам по 5 капель.
Обработку проводят до полного очищения ушной раковины.</t>
  </si>
  <si>
    <t xml:space="preserve">Хранить при температуре от 0 до 25 ºС. </t>
  </si>
  <si>
    <t>https://docs.google.com/document/d/1GdCWCyPa4bcipNFAIH4NvwAVmBhk2ovQZCl96DiCB6g/edit</t>
  </si>
  <si>
    <t>harly_eye_lotion</t>
  </si>
  <si>
    <t>Лосьон для глаз собак и кошек ,Harly, 100 мл</t>
  </si>
  <si>
    <t>HC101100405</t>
  </si>
  <si>
    <t>Лосьон для глаз собак и кошек очищающий</t>
  </si>
  <si>
    <t>Лосьон для глаз собак и кошек очищающий Harly 100 мл</t>
  </si>
  <si>
    <t>Лосьон для глаз собак и кошек очищающий, глазные очищающие капли для животных Harly 100 мл</t>
  </si>
  <si>
    <t>https://www.wildberries.ru/catalog/385728241/detail.aspx</t>
  </si>
  <si>
    <t>https://www.ozon.ru/product/2022703709</t>
  </si>
  <si>
    <t>https://market.yandex.ru/card/loson-dlya-glaz-sobak-i-koshek-ochishchayushchiy-harly-100-ml/4335656072?businessId=8291477&amp;clid=8291477&amp;model_id=973176873&amp;distr_type=8&amp;pp=605</t>
  </si>
  <si>
    <t>Лосьоны для животных</t>
  </si>
  <si>
    <t>Отказное письмо № ОП/11-0028 от 06.11.2024</t>
  </si>
  <si>
    <t>https://drive.google.com/drive/folders/1RduJO02y0QEdXb8BjVojXxZmne38XFVi</t>
  </si>
  <si>
    <t>вода, глицерин, экстракт ромашки лекарственной, пропиленгликоль,  борная кислота, аллантоин, таурин, янтарная кислота, метилпарабен, этилпарабен.</t>
  </si>
  <si>
    <t>нагрейте флакон до температуры тела животного и тщательно встряхните. Смочите ватный тампон небольшим количеством препарата и обработайте область вокруг глаз, по направлению от наружного угла глаза к внутреннему, аккуратно устраняя выделения. Повторите обработку уже очищенного глаза чистым ватным тампоном в том же порядке.</t>
  </si>
  <si>
    <t>хранить в сухом, защищенном от света месте, при температуре -15 до +25С.</t>
  </si>
  <si>
    <t>https://docs.google.com/document/d/17PwOoGHqPHI6M5ganvilfBiDnw2ISH5rbEckpD3GaQw/edit?tab=t.0</t>
  </si>
  <si>
    <t>https://disk.yandex.ru/d/QgMX7JJSA0ZCdg</t>
  </si>
  <si>
    <t>qeep_liqCollagen_apple_14shots</t>
  </si>
  <si>
    <t>БАД Коллаген жидкий ,qeep, яблоко 14 шотов по 25 мл</t>
  </si>
  <si>
    <t>Коллаген</t>
  </si>
  <si>
    <t>QB101100446</t>
  </si>
  <si>
    <t>Коллаген жидкий говяжий</t>
  </si>
  <si>
    <t>Коллаген жидкий говяжий 5000 мг Qeep яблоко 14 шотов по 25 мл</t>
  </si>
  <si>
    <t>https://www.wildberries.ru/catalog/228329542/detail.aspx</t>
  </si>
  <si>
    <t>https://www.ozon.ru/product/1563742020</t>
  </si>
  <si>
    <t>https://market.yandex.ru/card/kollagen-zhidkiy-govyazhiy-5000-mg-qeep-yabloko-14-shotov-po-25-ml/103397906852?businessId=8291477&amp;showOriginalKmEmptyOffer=1&amp;ogV=-10</t>
  </si>
  <si>
    <t>Добавки для суставов и связок</t>
  </si>
  <si>
    <t>AM.01.01.01.003.R.000931.12.23 от 28.12.2023 г</t>
  </si>
  <si>
    <t>гидролизованный говяжий коллаген, гиалуроновая кислота, витаминный комплекс (аскорбиновая кислота, dl-a-токоферол, ниацин, ретинол ацетат, кальций пантотенат, холекальцеферол, пиридоксин гидрохлорид, тиамин мононитрат, рибофлавин, фолиевая кислота, биотин, цианокобаламин), подготовленная столовая вода, лимонная кислота, консерванты</t>
  </si>
  <si>
    <t>взрослым принимать 25 мл 1 раз в день.
Продолжительность приёма: 1 месяц. При необходимости повторить.</t>
  </si>
  <si>
    <t>https://docs.google.com/document/d/1TdX7bOpUzizlnYsgpZjEVStPU6vGcEkVmx0izqrKJlM/edit?usp=sharing</t>
  </si>
  <si>
    <t>qeep_liqCollagen_orange_14shots</t>
  </si>
  <si>
    <t>БАД Коллаген жидкий ,qeep, апельсин 14 шотов по 25 мл</t>
  </si>
  <si>
    <t>QB101100444</t>
  </si>
  <si>
    <t>Коллаген жидкий говяжий 5000 мг Qeep апельсин 14 шотов по 25 мл</t>
  </si>
  <si>
    <t>https://www.wildberries.ru/catalog/228329661/detail.aspx</t>
  </si>
  <si>
    <t>https://www.ozon.ru/product/1563742059</t>
  </si>
  <si>
    <t>https://market.yandex.ru/card/kollagen-zhidkiy-govyazhiy-5000-mg-qeep-apelsin-14-shotov-po-25-ml/103397906851?businessId=8291477&amp;showOriginalKmEmptyOffer=1&amp;ogV=-10</t>
  </si>
  <si>
    <t>гидролизованный говяжий коллаген, гиалуроновая кислота, витаминный комплекс (аскорбиновая кислота,dl-a-токоферол, ниацин, ретинол ацетат, кальций пантотенат, холекальцеферол, пиридоксин гидрохлорид, тиамин мононитрат, рибофлавин, фолиевая кислота, биотин, цианокобаламин), подготовленная столовая вода, лимонная кислота, консерванты</t>
  </si>
  <si>
    <t>qeepcollagen</t>
  </si>
  <si>
    <t>БАД Коллаген с Гиалуроновой Кислотой ,qeep, 60 капсул</t>
  </si>
  <si>
    <t>QB101100451</t>
  </si>
  <si>
    <t>Коллаген капсулы с Гиалуроном и витамином C бад для волос</t>
  </si>
  <si>
    <t>Коллаген I и III типа с Витамином С и Гиалуроновой Кислотой Qeep 60 капсул</t>
  </si>
  <si>
    <t>https://www.wildberries.ru/catalog/90476399/detail.aspx</t>
  </si>
  <si>
    <t>https://www.ozon.ru/product/616963626</t>
  </si>
  <si>
    <t>https://market.yandex.ru/card/kollagen-i-i-iii-tipa-s-vitaminom-s-i-gialuronovoy-kislotoy-qeep-60-kapsul/101824298337?businessId=8291477&amp;clid=8291477&amp;model_id=1111517446&amp;distr_type=8&amp;pp=605</t>
  </si>
  <si>
    <t>4630040228285</t>
  </si>
  <si>
    <t>AM.01.06.01.003.R.000121.10.19 от 30.10.2019 г.</t>
  </si>
  <si>
    <t>коллаген гидролизованный, мумиё алтайское, глюкозамина сульфат, витамин С (аскорбиновая кислота), натрия гиалуронат, дигидрокверцетин, березовый экстракт. Вспомогательные вещества: целлюлоза микрокристаллическая (носитель), капсула желатиновая (желатин, глицерин), антислеживатели: кальция стеарат, кремния диоксид.</t>
  </si>
  <si>
    <t>взрослым по 1 капсуле 2 раза в день во время еды. Курс приема 1 месяц.</t>
  </si>
  <si>
    <t>в недоступном для детей месте, при температуре не выше +25ºС и относительной влажности воздуха не более 60%.</t>
  </si>
  <si>
    <t>https://drive.google.com/drive/u/0/folders/1vOiIY1XsOr2O40QbZVdluwtxKotRe-0N</t>
  </si>
  <si>
    <t>"ООО «Сибфармконтракт», Россия, 634034, г. Томск, ул. Нахимова 8, стр. 11.
По заказу (организация, уполномоченная принимать претензии от потребителя): ООО «Биг-Л», 127473, Россия, г. Москва, Переулок Самотёчный 1-й, д. 15, cтр. 1, этаж подвал № 0, помещ. I, ком. 1, офис 1,"</t>
  </si>
  <si>
    <t>qeep_liqCollagen_rspbry_14shots</t>
  </si>
  <si>
    <t>БАД Коллаген жидкий ,qeep, малина 14 шотов по 25 мл</t>
  </si>
  <si>
    <t>QB101100445</t>
  </si>
  <si>
    <t>Коллаген жидкий говяжий 5000 мг Qeep малина 14 шотов по 25 мл</t>
  </si>
  <si>
    <t>https://www.wildberries.ru/catalog/228329662/detail.aspx</t>
  </si>
  <si>
    <t>https://www.ozon.ru/product/1563742150</t>
  </si>
  <si>
    <t>https://market.yandex.ru/card/kollagen-zhidkiy-govyazhiy-5000-mg-qeep-malina-14-shotov-po-25-ml/103397906850?businessId=8291477&amp;showOriginalKmEmptyOffer=1&amp;ogV=-10</t>
  </si>
  <si>
    <t>qeepcollagen_peptides_Natural</t>
  </si>
  <si>
    <t>БАД Коллаген порошок ,qeep, 30 порций</t>
  </si>
  <si>
    <t>QB101100450</t>
  </si>
  <si>
    <t>Говяжий коллаген пептидный collagen peptides порошок</t>
  </si>
  <si>
    <t>Коллаген пептидный порошок для суставов и связок 5500 мг Qeep 30 порций</t>
  </si>
  <si>
    <t>Коллаген пептидный порошок для суставов и связок с витамином С, Collagen Peptides 5500 мг Qeep 30 порций</t>
  </si>
  <si>
    <t>https://www.wildberries.ru/catalog/131852035/detail.aspx</t>
  </si>
  <si>
    <t>https://www.ozon.ru/product/772327923</t>
  </si>
  <si>
    <t>https://market.yandex.ru/card/kollagen-peptidnyy-poroshok-dlya-sustavov-i-svyazok-5500-mg-qeep-30-portsiy/101841345735?businessId=8291477&amp;clid=8291477&amp;model_id=1111517446&amp;distr_type=8&amp;pp=605</t>
  </si>
  <si>
    <t>AM.01.01.01.003.R.000223.09.21</t>
  </si>
  <si>
    <t>гидролизованный говяжий коллаген, мальтодекстрин,  аскорбиновая кислота,  витаминный комплекс (биотин, аскорбиновая кислота, никотиновая кислота, токоферол, пантотеновая кислота, цианокобаламин, пиридоксин, тиамин, ретинол, рибофлавин, кальциферол), сукралоза.</t>
  </si>
  <si>
    <t xml:space="preserve">6 г продукта (1 полная мерная ложка) смешать с 100-150 мл воды или любого напитка,  принимать утром за 30 минут перед приёмом пищи 1 раз в день.
</t>
  </si>
  <si>
    <t>Противопоказания: индивидуальная непереносимость компонентов продукта, беременность и кормление грудью. Перед применением проконсультироваться со специалистом.</t>
  </si>
  <si>
    <t xml:space="preserve">хранить в оригинальной закрытой упаковке, в сухом, защищённом от света и недоступном для детей месте, при температуре не ниже 0° C и не выше +25°C.
</t>
  </si>
  <si>
    <t xml:space="preserve">2 года </t>
  </si>
  <si>
    <t xml:space="preserve">24 месяца </t>
  </si>
  <si>
    <t>https://drive.google.com/drive/u/0/folders/1laOtCuGP_2gVwQB0hi0Z2hDLAG9AlW_F</t>
  </si>
  <si>
    <t>qeepcollagen_peptides_lemon</t>
  </si>
  <si>
    <t>БАД Коллаген порошок со вкусом Лимона ,qeep, 30 порций</t>
  </si>
  <si>
    <t>QB101100448</t>
  </si>
  <si>
    <t>Коллаген порошок для суставов и кожи пептидный питьевой</t>
  </si>
  <si>
    <t>Коллаген пептидный порошок для суставов и связок со вкусом Лимона 5500 мг Qeep 30 порций</t>
  </si>
  <si>
    <t>https://www.wildberries.ru/catalog/131852033/detail.aspx</t>
  </si>
  <si>
    <t>https://www.ozon.ru/product/772327930</t>
  </si>
  <si>
    <t>https://market.yandex.ru/card/kollagen-peptidnyy-poroshok-dlya-sustavov-i-svyazok-so-vkusom-limona-5500-mg-qeep-30-portsiy/101841345736?businessId=8291477&amp;clid=8291477&amp;model_id=1111517446&amp;distr_type=8&amp;pp=605</t>
  </si>
  <si>
    <t xml:space="preserve"> гидролизованный говяжий коллаген, мальтодекстрин, аскорбиновая кислота,  витаминный комплекс (биотин, аскорбиновая кислота, никотиновая кислота, токоферол, пантотеновая кислота, цианокобаламин, пиридоксин, тиамин, ретинол, рибофлавин, кальциферол), сукралоза. 
</t>
  </si>
  <si>
    <t xml:space="preserve">хранить в оригинальной закрытой упаковке, в сухом, защищённом от света и недоступном для детей месте, при температуре не ниже 0° C и не выше +25°C.
</t>
  </si>
  <si>
    <t>qeepcollagen_peptides_mango</t>
  </si>
  <si>
    <t>БАД Коллаген порошок со вкусом Манго ,qeep, 30 порций</t>
  </si>
  <si>
    <t>QB101100449</t>
  </si>
  <si>
    <t>Говяжий коллаген с витамином C collagen peptides порошок</t>
  </si>
  <si>
    <t>Коллаген пептидный порошок для суставов и связок со вкусом Манго 5500 мг Qeep 30 порций</t>
  </si>
  <si>
    <t>https://www.wildberries.ru/catalog/131852032/detail.aspx</t>
  </si>
  <si>
    <t>https://www.ozon.ru/product/771659759</t>
  </si>
  <si>
    <t>https://market.yandex.ru/card/kollagen-peptidnyy-poroshok-dlya-sustavov-i-svyazok-so-vkusom-mango-5500-mg-qeep-30-portsiy/101841345737?businessId=8291477&amp;clid=8291477&amp;model_id=1111517446&amp;distr_type=8&amp;pp=605</t>
  </si>
  <si>
    <t>https://drive.google.com/drive/folders/1cT0FX1mgChHvXfSI56eS9VjnbnH47GC5</t>
  </si>
  <si>
    <t xml:space="preserve"> гидролизованный говяжий коллаген, мальтодекстрин,  аскорбиновая кислота,  витаминный комплекс (биотин, аскорбиновая кислота, никотиновая кислота, токоферол, пантотеновая кислота, цианокобаламин, пиридоксин, тиамин, ретинол, рибофлавин, кальциферол), сукралоза. 
</t>
  </si>
  <si>
    <t>harly_cat_premiumveal_2kg</t>
  </si>
  <si>
    <t>В продажу</t>
  </si>
  <si>
    <t>Сухой корм для стерилизованных кошек с телятиной, Harly, 2 кг</t>
  </si>
  <si>
    <t>Корм для кошек</t>
  </si>
  <si>
    <t>HK101100403</t>
  </si>
  <si>
    <t>Сухой корм для стерилизованных кошек Harly Premium телятина</t>
  </si>
  <si>
    <t>Сухой корм для стерилизованных кошек и кастрированных котов Harly Cat Premium с телятиной и витаминами, 2 кг</t>
  </si>
  <si>
    <t>https://www.wildberries.ru/catalog/233855851/detail.aspx</t>
  </si>
  <si>
    <t>https://www.ozon.ru/product/1596646080</t>
  </si>
  <si>
    <t>https://market.yandex.ru/card/sukhoy-korm-dlya-sterilizovannykh-koshek-i-kastrirovannykh-kotov-harly-cat-premium-s-telyatinoy-i-vitaminami-2-kg/103396954722?businessId=8291477&amp;showOriginalKmEmptyOffer=1&amp;ogV=-10</t>
  </si>
  <si>
    <t>Корм сухой</t>
  </si>
  <si>
    <t>товары для животных / корма для кошек и собак / корма для кошек / корма сухие для кошек</t>
  </si>
  <si>
    <t>N РОСС RU Д-RU.PA01.B.48813/23 от 12.12.2023 до 13.02.2026</t>
  </si>
  <si>
    <t>https://drive.google.com/drive/folders/1xjKGrJ3DM-_XaFohRIPrDbFXq1i-mW-F</t>
  </si>
  <si>
    <t>мука телятины, мука рыбы, рис, горох зеленый, ячмень, жир индейки, сухая свекольная пульпа, белок гороховый, отруби, дрожжи, комплекс витаминно-минеральный, DL-митеонин, глюкозамин, хондроитин, черника, экстракт Юкки Шидигера, ФОС, МОС, холин, таурин.</t>
  </si>
  <si>
    <t>см. в таблице (продакт файл)</t>
  </si>
  <si>
    <t xml:space="preserve">Условия хранения: исключить попадание влаги и прямых солнечных лучей. Хранить при температуре от + 4⁰C до +34 ⁰С и относительной влажности воздуха не более 75%.
</t>
  </si>
  <si>
    <t>кг</t>
  </si>
  <si>
    <t>https://docs.google.com/document/d/1bVxcSjb02Qu4O2xm2kyyz7h5Gk_MSerXbDvddEXPC4I/edit</t>
  </si>
  <si>
    <t>ООО "Технология успеха"</t>
  </si>
  <si>
    <t>ООО "Технофуд Про"</t>
  </si>
  <si>
    <t>ООО "Технология успеха", Россия, 344011, г. Ростов-на-Дону, пер. Гвардейский, 61, комп. 23 А. Адрес производства: Россия, 346908, Ростовская область, г. Новошахтинск, ул. Ростовская, дом 17 Д. e-mail: info@biotex.su Татьяна Харик +7961 426-44-06
Борисенко Ольга borisenko@kormashop.com</t>
  </si>
  <si>
    <t>harly_cat_premiumturkey_2kg</t>
  </si>
  <si>
    <t>Сухой корм для стерилизованных кошек с индейкой, Harly,  2 кг</t>
  </si>
  <si>
    <t>HK101100402</t>
  </si>
  <si>
    <t>Сухой корм для стерилизованных кошек Harly Premium индейка</t>
  </si>
  <si>
    <t>Сухой корм для стерилизованных кошек и кастрированных котов Harly Cat Premium с индейкой и витаминами, 2 кг</t>
  </si>
  <si>
    <t>https://www.wildberries.ru/catalog/233815804/detail.aspx</t>
  </si>
  <si>
    <t>https://www.ozon.ru/product/1591515871</t>
  </si>
  <si>
    <t>https://market.yandex.ru/card/sukhoy-korm-dlya-sterilizovannykh-koshek-i-kastrirovannykh-kotov-harly-cat-premium-s-indeykoy-i-vitaminami-2-kg/103396954723?businessId=8291477&amp;clid=8291477&amp;model_id=1512218114&amp;distr_type=8&amp;pp=605</t>
  </si>
  <si>
    <t>мука индейки, мука телятины, мука рыбы, рис, горох зеленый, ячмень, жир индейки, сухая свекольная пульпа, белок гороховый, отруби, дрожжи, комплекс витаминно-минеральный, DL-митеонин, глюкозамин, хондроитин, клюква, экстракт Юкки Шидигера, ФОС, МОС, холин, таурин.</t>
  </si>
  <si>
    <t>https://docs.google.com/document/d/1z3Xi6Rm4B7w0gH1-gPA6vn3wrilDXIRV5IP1lTbDhIc/edit</t>
  </si>
  <si>
    <t xml:space="preserve">ООО "Технология успеха", Россия, 344011, г. Ростов-на-Дону, пер. Гвардейский, 61, комп. 23 А. Адрес производства: Россия, 346908, Ростовская область, г. Новошахтинск, ул. Ростовская, дом 17 Д. e-mail: info@biotex.su Татьяна Харик +7961 426-44-06
Ольга Борисенко +7 909 424 27 26 &lt;borisenko@kormashop.com&gt;
</t>
  </si>
  <si>
    <t>harly_dog_lamb_2kg</t>
  </si>
  <si>
    <t>Корм для собак мелких пород, ягненок ,Harly, 2 кг</t>
  </si>
  <si>
    <t>Корм для собак</t>
  </si>
  <si>
    <t>HK101100401</t>
  </si>
  <si>
    <t>Корм для собак мелких пород сухой, ягненок 2 кг</t>
  </si>
  <si>
    <t>Корм для собак мелких пород сухой, ягненок Harly 2 кг</t>
  </si>
  <si>
    <t>Корм для собак мелких пород сухой, ягненок Harly премиум 2 кг</t>
  </si>
  <si>
    <t>https://www.wildberries.ru/catalog/263835222/detail.aspx</t>
  </si>
  <si>
    <t>https://www.ozon.ru/product/1703901908</t>
  </si>
  <si>
    <t>https://market.yandex.ru/card/korm-dlya-sobak-melkikh-porod-sukhoy-yagnenok-harly-2-kg/103536211764?businessId=8291477&amp;clid=8291477&amp;model_id=684105335&amp;distr_type=8&amp;pp=605</t>
  </si>
  <si>
    <t>товары для животных / корма для кошек и собак / корма для собак / корма сухие для собак</t>
  </si>
  <si>
    <t>4607077176780</t>
  </si>
  <si>
    <t>https://drive.google.com/drive/folders/1cNjoy1Utv6NLngIyJo2_-WrCTLpq1Pbe</t>
  </si>
  <si>
    <t>Состав: мука из ягненка, мука индейки, рис, ячмень, жир индейки, жом сахарной свеклы, ферментированный соевый белок, пивные дрожжи, комплекс витаминно-минеральный, яичный порошок,  ФОС, топинамбур, холин, семена льна, экстракт клюквы, рыбий жир, календула, экстракт зеленого чая</t>
  </si>
  <si>
    <t>https://docs.google.com/document/d/1JXITXTLUs5RYV-hpwzJE8YfWXmojb7guXAQH4FK7gKk/edit</t>
  </si>
  <si>
    <t xml:space="preserve">ООО "Технология успеха", Россия, 344011, г. Ростов-на-Дону, пер. Гвардейский, 61, комп. 23 А. Адрес производства: Россия, 346908, Ростовская область, г. Новошахтинск, ул. Ростовская, дом 17 Д. e-mail: info@biotex.su Татьяна Харик +7961 426-44-06
</t>
  </si>
  <si>
    <t>harly_dog_turkey_2kg</t>
  </si>
  <si>
    <t>Корм для собак мелких пород, индейка ,Harly, 2 кг</t>
  </si>
  <si>
    <t>HK101100400</t>
  </si>
  <si>
    <t>Корм для собак мелких пород сухой, индейка 2 кг</t>
  </si>
  <si>
    <t>Корм для собак мелких пород сухой, индейка Harly 2 кг</t>
  </si>
  <si>
    <t>Корм для собак мелких пород сухой, полнорационный корм с индейкой Harly 2 кг</t>
  </si>
  <si>
    <t>https://www.wildberries.ru/catalog/263831566/detail.aspx</t>
  </si>
  <si>
    <t>https://www.ozon.ru/product/1710553197</t>
  </si>
  <si>
    <t>4607077176773</t>
  </si>
  <si>
    <t>Состав: мука индейки, рис, ячмень, жир индейки, жом сахарной свеклы, ферментированный соевый белок, пивные дрожжи, комплекс витаминно-минеральный, яичный порошок,  ФОС, топинамбур, холин, семена льна, экстракт клюквы, рыбий жир, календула, экстракт зеленого чая</t>
  </si>
  <si>
    <t>https://docs.google.com/document/d/1dhIA-TYnETujFnJWsfNk1ecy7PdKqIt4QkQFk4PV4hQ/edit</t>
  </si>
  <si>
    <t>qeep_bloodypeeling_30ml</t>
  </si>
  <si>
    <t>Пилинг кровавый для лица от прыщей, qeep, 30 мл</t>
  </si>
  <si>
    <t>QC101100401</t>
  </si>
  <si>
    <t>MPL406478</t>
  </si>
  <si>
    <t>QEEP-KROVAVP</t>
  </si>
  <si>
    <t>Кровавый кислотный пилинг для лица от прыщей AHA BHA, 30 мл</t>
  </si>
  <si>
    <t>Кровавый кислотный пилинг для лица от прыщей AHA BHA, qeep 30 мл</t>
  </si>
  <si>
    <t>Кровавый кислотный пилинг для лица от прыщей и акне AHA BHA, qeep 30 мл</t>
  </si>
  <si>
    <t>Кровавый кислотный пилинг для лица от прыщей AHA BHA</t>
  </si>
  <si>
    <t>Кровавый кислотный пилинг для лица от прыщей AHA BHA qeep 30 мл</t>
  </si>
  <si>
    <t>https://www.wildberries.ru/catalog/326154767/detail.aspx</t>
  </si>
  <si>
    <t>https://www.ozon.ru/product/1856657517</t>
  </si>
  <si>
    <t>https://market.yandex.ru/card/krovavyy-kislotnyy-piling-dlya-litsa-ot-pryshchey-aha-bha-qeep-30-ml/103812560928?businessId=8291477&amp;clid=8291477&amp;model_id=1453951928&amp;distr_type=8&amp;pp=605</t>
  </si>
  <si>
    <t>https://www.letu.ru/product/qeep-krovavyi-kislotnyi-piling-dlya-litsa-ot-pryshchei-aha-bha/168000621?sort=default&amp;open=ingredient%7EcleanBeauty&amp;hide=expectedEffect%7EnotContain%7EskinTypes</t>
  </si>
  <si>
    <t>https://mm.ru/product/krovavyj-kislotnyj-piling-5898538?skuId=13170076</t>
  </si>
  <si>
    <t>Пилинг</t>
  </si>
  <si>
    <t>Уход за лицом &gt;&gt; Пилинг для лица &gt;&gt; Средства для эксфолиации и пилинга</t>
  </si>
  <si>
    <t>Скрабы и пилинг</t>
  </si>
  <si>
    <t>4670020498239; 4640523970037; 4603312714014</t>
  </si>
  <si>
    <t>https://drive.google.com/drive/folders/1deQipkbSGt53Z6oxrBJmZCjjjhcAzsmU</t>
  </si>
  <si>
    <t>Aqua, Glycolic Acid, Glycerin, Sodium Hydroxide, Lactic Acid, Salicylic Аcid, Citric Acid, Аcrylic Рolymer, Tasmannia Lanceolata Fruit/Leaf Extract, Sodium Hyaluronate, Xanthan Gum, Polysorbate 20, Phenoxyethanol, Ethylhexylglycerin, Parfum, Е 163, Benzyl Аlcohol.</t>
  </si>
  <si>
    <t xml:space="preserve">используйте один или два раза в неделю, лучше вечером, на чистую сухую кожу. Не ис-пользуйте на влажной коже.
Равномерно нанесите на лицо и шею. Не используйте на чувствительной или поврежден-ной коже.
Оставьте не более чем на 10 минут. Тщательно смойте теплой водой. Завершите уход увлажняющим кремом. Во время нанесения может ощущаться легкое покалывание. После применения возможно легкое покраснение кожи.
Меры предосторожности: при сильном жжении сразу же смыть средство водой. Обяза-тельно нанесите солнцезащитный крем SPF 15+ зимой и SPF 30+ летом перед выходом на улицу.
</t>
  </si>
  <si>
    <t>хранить при температуре не ниже 0°С и не выше 25°С</t>
  </si>
  <si>
    <t>https://docs.google.com/document/d/1aZBxrjJz4sXoUh-6ytxMwmS2eYS-ZEcDKvdc4Z44L7I/edit?tab=t.0</t>
  </si>
  <si>
    <t>qeep_tonic_200ml</t>
  </si>
  <si>
    <t>Тоник для лица очищающий, qeep, 200 мл</t>
  </si>
  <si>
    <t>QC101100409</t>
  </si>
  <si>
    <t>MPL494782</t>
  </si>
  <si>
    <t>Тоник для лица от прыщей и черных точек очищающий</t>
  </si>
  <si>
    <t>Тоник для лица от прыщей и черных точек очищающий, qeep 200 мл</t>
  </si>
  <si>
    <t>тоник для лица от прыщей и черных точек очищающий, qeep 200 мл</t>
  </si>
  <si>
    <t>https://www.wildberries.ru/catalog/418733480/detail.aspx</t>
  </si>
  <si>
    <t>https://www.ozon.ru/product/2142858345</t>
  </si>
  <si>
    <t>https://market.yandex.ru/card/tonik-dlya-litsa-ot-pryshchey-i-chernykh-tochek-ochishchayushchiy-qeep-200-ml/4476364348?businessId=8291477&amp;clid=8291477&amp;model_id=1243169397&amp;distr_type=8&amp;pp=605</t>
  </si>
  <si>
    <t>https://www.letu.ru/product/qeep-tonik-dlya-litsa-ot-pryshchei-i-chernyh-tochek-ochishchayushchii/175700156?sort=default&amp;open=ingredient%7EcleanBeauty%7EskinNeeds&amp;hide=expectedEffect%7EnotContain%7EskinTypes</t>
  </si>
  <si>
    <t>Тоники</t>
  </si>
  <si>
    <t>Уход для лица</t>
  </si>
  <si>
    <t>Уход за лицом &gt;&gt; Тоник для лица &gt;&gt; Уход за лицом</t>
  </si>
  <si>
    <t>Кирилл</t>
  </si>
  <si>
    <t>ЕАЭС N RU Д-RU.PA01.B.89721/25 от 17.03.2025 по 17.03.2032</t>
  </si>
  <si>
    <t>https://drive.google.com/drive/folders/1N_iV4-JIlT-rhmdRh2_8aabJ-jevy7xf</t>
  </si>
  <si>
    <t>Aqua, Butylene Glycol, PEG-12 Dimethicone, Centella Asiatica Leaf Extract, Niacinamide, Allantoin, Zinc PCA, Saccharide Isomerate, Sodium Hyaluronate, Sodium Lactate, Sodium Glycolate, Sodium Citrate, Sodium Malate, Sodium Tartrate, Lactic Acid,  Glycolic Acid, Citric Acid, Malic Acid, Tartaric Acid, Salicylic Аcid, Glycolic Acid, Propylene Glycol, PEG-40 Hydrogenated Castor Oil, Аcrylic Рolymer, Sodium Hydroxide, Polysorbate 80, Parfum, Potassium Sorbate, Sodium Benzoate, Phenoxyethanol, Ethylhexylglycerin.</t>
  </si>
  <si>
    <t xml:space="preserve">нанесите тоник на ватный диск и протрите лицо, избегая область вокруг глаз </t>
  </si>
  <si>
    <t>https://docs.google.com/document/d/1h2jLA7EZLv9HGp0dU4hFjm6mnTnQi_KLTvygd6aSy-w/edit?tab=t.0</t>
  </si>
  <si>
    <t>qeep_acnegel_20ml</t>
  </si>
  <si>
    <t>Крем точечный от прыщей ,qeep, 20 мл</t>
  </si>
  <si>
    <t>QC101100410</t>
  </si>
  <si>
    <t>MPL436730</t>
  </si>
  <si>
    <t>Крем от прыщей и акне для лица и тела</t>
  </si>
  <si>
    <t>Точечный крем от прыщей. Корректор точечный против прыщей, крем от акне. Салициловая кислота, азелаиновая кислота qeep 20 мл</t>
  </si>
  <si>
    <t>Крем корректор точечный против прыщей и акне, крем-гель для проблемной кожи qeep 20 мл</t>
  </si>
  <si>
    <t>Точечный крем от прыщей. Корректор точечный против прыщей, крем от акне</t>
  </si>
  <si>
    <t>https://www.wildberries.ru/catalog/392028939/detail.aspx</t>
  </si>
  <si>
    <t>https://www.ozon.ru/product/2039052035</t>
  </si>
  <si>
    <t>https://market.yandex.ru/card/krem-korrektor-tochechnyy-protiv-pryshchey-qeep-20-ml/4335655895?businessId=8291477&amp;clid=8291477&amp;model_id=1453951928&amp;distr_type=8&amp;pp=605</t>
  </si>
  <si>
    <t>https://www.letu.ru/product/qeep-tochechnyi-krem-ot-pryshchei-korrektor-tochechnyi-protiv-pryshchei-krem-ot-akne/171505556?sort=default&amp;open=ingredient%7EcleanBeauty%7EskinNeeds%7EforWhom&amp;hide=expectedEffect%7EnotContain%7EskinTypes</t>
  </si>
  <si>
    <t>4660417420103
4670020498475</t>
  </si>
  <si>
    <t>ЕАЭС N RU Д-RU.PA01.B.89721/25 от 20.02.2025 по 20.02.2032</t>
  </si>
  <si>
    <t xml:space="preserve">Aqua, Butylene Glycol, Glycerin, Salicylic Acid, Acrylic Polymer, Xanthan Gum, Azelaic Acid, Allantoin, Bisabolol, Zinc PCA, Hydrolyzed Collagen, Hydrolyzed Elastin, Magnolia Officinalis Bark Extract, Salvia Officinalis Leaf Extract, Menthol, Melaleuca Alternifolia (Tea Tree) Leaf Oil, Sophora Japonica Extract, Sodium Hyaluronate, Propylene Glycol, Sodium Hydroxide, Parfum, Phenoxyethanol, Ethylhexylglycerin, Potassium Sorbate, Sodium Benzoate, CI 42090.          </t>
  </si>
  <si>
    <t>нанесите гель точечно на предварительно очищенные проблемные участки кожи, перед использованием других средств подождите 10 минут.</t>
  </si>
  <si>
    <t>https://docs.google.com/document/d/1A8Rn2xZ7XhZwg1VuFPB1LhEepVNfwIvedRrh5j_lUSE/edit?tab=t.0</t>
  </si>
  <si>
    <t>https://disk.yandex.ru/d/DHGCxeKB1P0eQA</t>
  </si>
  <si>
    <t>"Мария Чуйкова
+7 (3854) 30-30-87
https://productaltai.com/
www.dvelinii.com
моб., WhatsApp 8-903-948-3450
Алтайский край, г. Бийск, ул.Социалистическая д.11, стр. 1
"</t>
  </si>
  <si>
    <t>qeep_penka_150ml</t>
  </si>
  <si>
    <t>Пенка для укладки волос, ,qeep, 150 мл</t>
  </si>
  <si>
    <t>QC101100402</t>
  </si>
  <si>
    <t>MPL501219</t>
  </si>
  <si>
    <t>QEEP-PENKA</t>
  </si>
  <si>
    <t>Пенка для укладки волос у корней Ciao, bella!</t>
  </si>
  <si>
    <t>Пенка для укладки волос у корней Ciao bella, qeep 150 мл</t>
  </si>
  <si>
    <t>Пенка для укладки волос у корней Ciao bella, фиксация на 24 часа, qeep 150 мл</t>
  </si>
  <si>
    <t>пенка для укладки волос у корней ciao, bella, qeep 150 мл</t>
  </si>
  <si>
    <t>Пенка для укладки волос у корней Ciao bella</t>
  </si>
  <si>
    <t>Пенка для укладки волос у корней Ciao bella qeep 150 мл</t>
  </si>
  <si>
    <t>https://www.wildberries.ru/catalog/484619244/detail.aspx</t>
  </si>
  <si>
    <t>https://www.ozon.ru/product/2583231387</t>
  </si>
  <si>
    <t>https://market.yandex.ru/card/penka-dlya-ukladki-volos-ciao-bella-qeep-150-ml/4569564653?businessId=8291477&amp;clid=8291477&amp;model_id=1324200631&amp;distr_type=8&amp;pp=605</t>
  </si>
  <si>
    <t>https://goldapple.ru/catalogsearch/result?q=99000115782</t>
  </si>
  <si>
    <t>https://www.letu.ru/product/qeep-penka-dlya-ukladki-volos-u-kornei-ciao-bella/177400516</t>
  </si>
  <si>
    <t>https://mm.ru/product/penka-dlya-ukladki-5898602?skuId=13170174</t>
  </si>
  <si>
    <t>Пенки</t>
  </si>
  <si>
    <t>товары для красоты / косметика, парфюмерия и уход / уход за волосами / для укладки / мусс и пенка</t>
  </si>
  <si>
    <t>Стайлинг</t>
  </si>
  <si>
    <t>Уход за волосами &gt;&gt; Уход за волосами &gt;&gt; Мусс для волос</t>
  </si>
  <si>
    <t>Пенка для умывания</t>
  </si>
  <si>
    <t>ЕАЭС N RU Д-RU.РА03.В.31526/25 от 03.04.2025 по 31.03.2032</t>
  </si>
  <si>
    <t>https://drive.google.com/drive/folders/164J0p_zaDeJASVIXpfp2cNcFcGA0Er2i</t>
  </si>
  <si>
    <t>вода очищенная, поливинилпирролидон, карбомер, ПЭГ-40 гидрогенизированное касторовое масло, гидроксипропил фосфат крахмала, Д-пантенол, протеины пшеницы гидролизат, бетаин, экстракт женьшеня, L аргинин, кокамидопропилбетаин, поликватерниум 7, глицерин, натрия хлорид, парфюмерная композиция, натрия гидроокись, динатрия  ЭДТА, феноксиэтанол этилгексилглицерин, натрия бензоат, сорбат калия, гексил циннамаль, кумарин.</t>
  </si>
  <si>
    <t>выдавить нужное количество  пенки на ладонь, нанести на чистые, подсушенные полотенцем волосы. Для создания обьемной прически нанесите на корни волос, затем высушите феном. Для создания локонов и текстурирования кудрей нанесите равномерно по всей длине волос.</t>
  </si>
  <si>
    <t xml:space="preserve">хранят при температуре не ниже плюс 5 ˚С и не выше плюс 25 ˚С Не допускается хранить продукцию под непосредственным воздействием солнечного света и вблизи отопительных приборов.  </t>
  </si>
  <si>
    <t>https://docs.google.com/document/d/1fjg_ruVZyDkNNHmpSWpOgSoIMLnSuMR7VzsIatoqkoY/edit?tab=t.0</t>
  </si>
  <si>
    <t>qeep_acnegel_20ml_v2</t>
  </si>
  <si>
    <t>QC101100411</t>
  </si>
  <si>
    <t>MPL536251</t>
  </si>
  <si>
    <t>QEEP-ACNEGEL</t>
  </si>
  <si>
    <t>точечный крем от прыщей. корректор точечный против прыщей, крем от акне. салициловая кислота, азелаиновая кислота qeep 20 мл</t>
  </si>
  <si>
    <t>Точечный крем от прыщей, крем от акне</t>
  </si>
  <si>
    <t>Точечный крем от прыщей. Корректор точечный против прыщей крем от акне. 20 мл</t>
  </si>
  <si>
    <t>https://www.ozon.ru/product/2589302298</t>
  </si>
  <si>
    <t>https://www.letu.ru/product/qeep-tochechnyi-krem-ot-pryshchei-krem-ot-akne/181200150?sort=default&amp;open=ingredient%7EcleanBeauty%7EskinNeeds%7EforWhom&amp;hide=expectedEffect%7EnotContain%7EskinTypes%7EhairType</t>
  </si>
  <si>
    <t>https://mm.ru/product/tochechnyj-krem-ot-5898606?skuId=13170180</t>
  </si>
  <si>
    <t>https://drive.google.com/drive/folders/1fTvdatwyFwJ5K6b6NcBwWZ7Cb6KZFtEg</t>
  </si>
  <si>
    <t>https://disk.yandex.ru/d/l_-Vj9wohPs4Uw</t>
  </si>
  <si>
    <t>harly_salmon_oil</t>
  </si>
  <si>
    <t>Масло лососевое для собак и кошек, Harly, 150 мл</t>
  </si>
  <si>
    <t>HB101100406</t>
  </si>
  <si>
    <t>Лососевое масло для собак и кошек Harly 150 мл</t>
  </si>
  <si>
    <t>Лососевое масло для собак и кошек, рыбий жир, масло лосося, Омега 3 для животных,  Harly 150 мл</t>
  </si>
  <si>
    <t>https://www.wildberries.ru/catalog/381335309/detail.aspx</t>
  </si>
  <si>
    <t>https://www.ozon.ru/product/2019073769</t>
  </si>
  <si>
    <t>https://market.yandex.ru/card/lososevoye-maslo-dlya-sobak-i-koshek-rybiy-zhir-maslo-lososya-omega-3-dlya-zhivotnykh-harly-150-ml/4334505684?businessId=8291477&amp;clid=8291477&amp;model_id=838121044&amp;distr_type=8&amp;pp=605</t>
  </si>
  <si>
    <t>4687406582727
4620290621011</t>
  </si>
  <si>
    <t>100% натуральное масло лосося.</t>
  </si>
  <si>
    <t>1 мл (3 нажатия) на каждые 3 кг веса животного.</t>
  </si>
  <si>
    <t>https://docs.google.com/document/d/1IuDlaqYy_B8b8k0pjFufQl-oqx3-fgJbSLSgva-MKBc/edit?tab=t.0</t>
  </si>
  <si>
    <t>Евгения</t>
  </si>
  <si>
    <t>harly_likvidator_v2</t>
  </si>
  <si>
    <t>Нейтрализатор запахов животных, Harly, 500 мл</t>
  </si>
  <si>
    <t>Гигиена и уход</t>
  </si>
  <si>
    <t>Нейтрализатор запахов</t>
  </si>
  <si>
    <t>HH101100401</t>
  </si>
  <si>
    <t>Нейтрализатор запахов животных, от кошачьей мочи, 500 мл</t>
  </si>
  <si>
    <t>Нейтрализатор запаха животных, ликвидатор запаха кошачьей мочи и меток, 500 мл</t>
  </si>
  <si>
    <t>https://www.wildberries.ru/catalog/445333054/detail.aspx</t>
  </si>
  <si>
    <t>https://www.ozon.ru/product/2344269342</t>
  </si>
  <si>
    <t>https://market.yandex.ru/card/neytralizator-zapakhov-zhivotnykh-ot-koshachyey-mochi-500-ml/4476321741?businessId=8291477&amp;clid=8291477&amp;model_id=1247485777&amp;distr_type=8&amp;pp=605</t>
  </si>
  <si>
    <t>Средства для уборки за животными</t>
  </si>
  <si>
    <t>товары для животных / косметика и гигиена / ликвидаторы запаха от животных</t>
  </si>
  <si>
    <t>2044461342086</t>
  </si>
  <si>
    <t>https://drive.google.com/drive/folders/1QfanO0ZYba8UpZM_RxW5iU3lKYA5wt6W</t>
  </si>
  <si>
    <t>вода очищенная &gt;30%, Неионогенные ПАВ 5-15%, Дезинфицирующие вещества &lt;5%, Катионные ПАВ &lt;5%, Фосфаты &lt;5%, Консервант, Парфюмерная композиция, Цитрал, Лимонене, Линалоол</t>
  </si>
  <si>
    <t>используйте для удаления сложных, трудно выводимых загрязнений и запахов. Проводите процедуру в перчатках и в отсутствии детей и животных в помещении. Сперва нанесите средство на незаметный участок. Если через 10 минут цвет не поменялся и не замутился, распылите раствор на всю поверхность. При трудно выводимых пятнах после распыления затрите участок щеткой и оставьте средство на 1 час, после чего вытрите поверхность салфеткой. При необходимости повторяйте процедуру. Подходит для всех поверхностей, в т. ч. паркета, ламината, кафеля, ковровых покрытий, дерева, пластика, мебели, одежды, обуви, спальных поверхностей.</t>
  </si>
  <si>
    <t>Меры предосторожности: Только для наружного применения. Избегать попадания в глаза. При попадании в глаза тщательно промыть большим количеством проточной воды. Использование в пищевых целях опасно для здоровья. Беречь от детей. Использовать только по назначению.</t>
  </si>
  <si>
    <t>в сухом, защищенном от света месте, при температуре от +5°С  до +25°С.</t>
  </si>
  <si>
    <t>https://docs.google.com/document/d/1n-zi4xqpBNgggNOydbLpB1J0hz_MvT3AaN82a30KklY/edit</t>
  </si>
  <si>
    <t>https://disk.yandex.ru/d/sW4lRxXupp7BjA</t>
  </si>
  <si>
    <t>harly_likvidator_500ml</t>
  </si>
  <si>
    <t>Нейтрализатор запахов животных, ,Harly, 500 мл</t>
  </si>
  <si>
    <t>HH101100400</t>
  </si>
  <si>
    <t>https://www.wildberries.ru/catalog/240173672/detail.aspx</t>
  </si>
  <si>
    <t>https://www.ozon.ru/product/1613731894</t>
  </si>
  <si>
    <t>№ АИ22-6565 от 17.04.2024</t>
  </si>
  <si>
    <t>ООО "ДжиЭсЭС Косметикс"</t>
  </si>
  <si>
    <t>Валерия Решетникова 8925 055 84 68</t>
  </si>
  <si>
    <t>qeep_magnB6_120caps</t>
  </si>
  <si>
    <t>БАД Магний цитрат 635 мг с В6 ,qeep, 120 капсул</t>
  </si>
  <si>
    <t>Нервная система</t>
  </si>
  <si>
    <t>QB101100462</t>
  </si>
  <si>
    <t>Магний цитрат 635 мг с витамином В6, 120 капсул</t>
  </si>
  <si>
    <t>Магний цитрат 635 мг с витамином В6 qeep, 120 капсул</t>
  </si>
  <si>
    <t>Магний цитрат 635 мг с витамином В6, витамины для нервной системы qeep, 120 капсул</t>
  </si>
  <si>
    <t>магний цитрат 635 мг с витамином в6 qeep, 120 капсул</t>
  </si>
  <si>
    <t>https://www.wildberries.ru/catalog/265543042/detail.aspx</t>
  </si>
  <si>
    <t>https://www.ozon.ru/product/1713149756</t>
  </si>
  <si>
    <t>https://market.yandex.ru/card/magniy-tsitrat-635-mg-s-vitaminom-v6-qeep-120-kapsul/103555039361?businessId=8291477&amp;clid=8291477&amp;model_id=1280856904&amp;distr_type=8&amp;pp=605</t>
  </si>
  <si>
    <t>https://goldapple.ru/catalogsearch/result?q=99000121326</t>
  </si>
  <si>
    <t>RU.77.99.88.003.R.002122.08.23 от 01.08.2023</t>
  </si>
  <si>
    <t>https://drive.google.com/drive/folders/1GlGAe44AZJIFNnlMaxHBj1GFQE2M3CXI</t>
  </si>
  <si>
    <t>магния цитрат, желатин (оболочка капсулы), экстракты ягод годжи, ягод асаи, магниевая соль стеариновой кислоты (агент антислеживающий), пиридоксина гидрохлорид (витамин В6).</t>
  </si>
  <si>
    <t>взрослым по 2 капсулы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t>
  </si>
  <si>
    <t xml:space="preserve">индивидуальная непереносимость компонентов БАД, беременность, кормление грудью.
</t>
  </si>
  <si>
    <t>https://docs.google.com/document/d/1kkx7e9fuNd4naFtahoRgewtzUEHxGRShjp4uRMJXV6U/edit</t>
  </si>
  <si>
    <t>https://disk.yandex.ru/d/Tr65XYmvk_1Xow</t>
  </si>
  <si>
    <t>qeep_ginkgo_biloba_90caps</t>
  </si>
  <si>
    <t>БАД Гинко билоба ,qeep, 90 капсул</t>
  </si>
  <si>
    <t>QB101100416</t>
  </si>
  <si>
    <t>Гинкго билоба и готу кола БАД для памяти и мозга</t>
  </si>
  <si>
    <t>Гинко билоба 360 мг Qeep 90 капсул</t>
  </si>
  <si>
    <t>Гинко билоба витамины для памяти, мозга и внимания 360 мг Qeep 90 капсул</t>
  </si>
  <si>
    <t>гинко билоба 360 мг qeep 90 капсул</t>
  </si>
  <si>
    <t>https://www.wildberries.ru/catalog/169962249/detail.aspx</t>
  </si>
  <si>
    <t>https://www.ozon.ru/product/1101364594</t>
  </si>
  <si>
    <t>https://market.yandex.ru/card/ginko-biloba-360-mg-qeep-90-kapsul/102318027321?businessId=8291477&amp;clid=8291477&amp;model_id=1268975231&amp;distr_type=8&amp;pp=605</t>
  </si>
  <si>
    <t>AM.01.01.01.003.R.000366.05.23 от 17.05.2023 г.</t>
  </si>
  <si>
    <t>https://drive.google.com/drive/folders/1F6wCfWMR8E7YBEiicg4_eT3K-h5utQWZ</t>
  </si>
  <si>
    <t>экстракт гинкго билоба, экстракт готу кола, глицин, микрокристаллическая целлюлоза (носитель), твёрдая желатиновая капсула.</t>
  </si>
  <si>
    <t>взрослым по 1 капсуле в 3 раза в день.
Продолжительность приёма: 1 месяц. При необходимости повторить.</t>
  </si>
  <si>
    <t>https://docs.google.com/document/d/1V-pOUbRqgZd_CggG_gnWzp1ZURzIW9YdjTOnQpEHDXQ/edit</t>
  </si>
  <si>
    <t>https://drive.google.com/drive/u/0/folders/1Q6udCnK5iXYhmt8tZ1Mro2nZ0wtcYnRq</t>
  </si>
  <si>
    <t>qeep_Memory_Focus_60caps</t>
  </si>
  <si>
    <t>БАД Витамины для памяти и мозга ,qeep, 60 капсул</t>
  </si>
  <si>
    <t>QB101100415</t>
  </si>
  <si>
    <t>Витамины для памяти и мозга FocusBrainer с Омега 3</t>
  </si>
  <si>
    <t>Витамины для памяти и мозга Qeep 60 капсул</t>
  </si>
  <si>
    <t>Витамины для памяти и мозга, поддержка нервной системы Qeep 60 капсул</t>
  </si>
  <si>
    <t>https://www.wildberries.ru/catalog/159734040/detail.aspx</t>
  </si>
  <si>
    <t>https://www.ozon.ru/product/967623667</t>
  </si>
  <si>
    <t>https://market.yandex.ru/card/vitaminy-dlya-pamyati-i-mozga-qeep-60-kapsul/102196237159?businessId=8291477&amp;clid=8291477&amp;model_id=804540706&amp;distr_type=8&amp;pp=605</t>
  </si>
  <si>
    <t>RU.77.99.11.003.R.004129.11.19 от 13.11.2019 г.</t>
  </si>
  <si>
    <t>https://drive.google.com/drive/folders/1A5n8wsKAPxDPdS5cdUltQbmVm2SkFKQ1</t>
  </si>
  <si>
    <t>рыбий жир, лецитин соевый, капсула желатиновая (желатин, глицерин, сорбит), ацетил-L-карнитин, кремния диоксид (носитель), янтарная кислота, глицин, фосфатидилсерин, гинкго билобы экстракт, витамин В3 (никотинамид), витамин В5 (пантотенат кальция), витамин В6 (пиридоксина гидрохлорид), витамин В1 (тиамина гидрохлорид), витамин В12 (цианокобаламин), антиокислитель гриндокс (рапсовое масло, аскорбилпальмитат, концентрат смеси токоферолов, лецитин).</t>
  </si>
  <si>
    <t>взрослым по 1 капсуле 2 раза в день во время еды. Продолжительность приема – 1 месяц. При необходимости прием можно повторить.</t>
  </si>
  <si>
    <t>в недоступном для детей месте, при температуре от 15 до 25ºС и относительной влажности воздуха не более 60%.</t>
  </si>
  <si>
    <t>https://docs.google.com/document/d/1LZpCuKpSXqe1QWMHkBs9KtzdAeCwvh748teRMJPGCnI/edit</t>
  </si>
  <si>
    <t>https://drive.google.com/drive/u/0/folders/1D2DIfsL3SDnUCVe4T5TdF5bj1LbzUPc2</t>
  </si>
  <si>
    <t>harly_dog_pads_30pcs</t>
  </si>
  <si>
    <t>Пеленки для собак 60х40, Harly, 30 штук</t>
  </si>
  <si>
    <t>Пеленки</t>
  </si>
  <si>
    <t>HC101100402</t>
  </si>
  <si>
    <t>Пеленки для животных одноразовые 30 штук</t>
  </si>
  <si>
    <t>Пеленки для собак 60 на 40, пеленки одноразовые 30 штук</t>
  </si>
  <si>
    <t>Пеленки для собак 60х40 см, одноразовые пеленки впитывающие для животных 30 штук</t>
  </si>
  <si>
    <t>https://www.wildberries.ru/catalog/232785020/detail.aspx</t>
  </si>
  <si>
    <t>https://www.ozon.ru/product/1581834792</t>
  </si>
  <si>
    <t>https://market.yandex.ru/card/pelenki-dlya-sobak-60-na-40-pelenki-odnorazovyye-30-shtuk/103396708130?businessId=8291477&amp;clid=8291477&amp;model_id=484297924&amp;distr_type=8&amp;pp=605</t>
  </si>
  <si>
    <t>Пеленки для животных</t>
  </si>
  <si>
    <t>товары для животных / туалеты и аксессуары для собак</t>
  </si>
  <si>
    <t>KG.11.01.09.012.E.006994.11.22 от 10.11.2022</t>
  </si>
  <si>
    <t>https://drive.google.com/drive/folders/18YV64pOQ5afw2SLx3F1h2HjXmX2aFP3f</t>
  </si>
  <si>
    <t xml:space="preserve">нетканый гидрофильный материал
1-й слой санитарно-гигиенической бумаги
Распушенная ФЛАФФ-целлюлоза
2-й слой санитарно-гигиенической бумаги
влагонепроницаемый нескользящий с микротиснением полиэтилен
</t>
  </si>
  <si>
    <t>хранить в защищенных от влаги местах, при температуре от -50 °Сдо +50°С, при относительной влажности воздуха не превышающей 75%.</t>
  </si>
  <si>
    <t>5 лет</t>
  </si>
  <si>
    <t>60 месяцев</t>
  </si>
  <si>
    <t>https://docs.google.com/document/d/18PI2LW-AM2Jb2bblEhUgUuATSyGvr1eRODGHmDc0XXM/edit</t>
  </si>
  <si>
    <t>https://disk.yandex.ru/d/Ev_QLf4Dw5w-rA</t>
  </si>
  <si>
    <t>ООО Сириус</t>
  </si>
  <si>
    <t xml:space="preserve">Станислав С. Свиридов Sviridov.SS@corp-post.ru Ведущий менеджер по продажам
Мобильный телефон/ Whatsapp 8-909-933-39-50
</t>
  </si>
  <si>
    <t>qeep_nabor_remuver_40ml</t>
  </si>
  <si>
    <t>Ремувер для удаления кутикулы ,qeep, 40 мл</t>
  </si>
  <si>
    <t>Руки и ногти</t>
  </si>
  <si>
    <t>QC101100403</t>
  </si>
  <si>
    <t>MPL406020</t>
  </si>
  <si>
    <t>Ремувер для удаления кутикулы</t>
  </si>
  <si>
    <t>Ремувер гель qeep для удаления кутикулы 40 мл</t>
  </si>
  <si>
    <t>Ремувер гель qeep для удаления кутикулы, средство для ногтей 40 мл</t>
  </si>
  <si>
    <t>ремувер гель для удаления кутикулы, qeep, 40 мл</t>
  </si>
  <si>
    <t>Ремувер гель для удаления кутикулы</t>
  </si>
  <si>
    <t>https://www.wildberries.ru/catalog/255209721/detail.aspx</t>
  </si>
  <si>
    <t>https://www.ozon.ru/product/1666962684</t>
  </si>
  <si>
    <t>https://market.yandex.ru/card/remuver-gel-qeep-dlya-udaleniya-kutikuly-40-ml/103477930205?businessId=8291477&amp;clid=8291477&amp;model_id=570718272&amp;distr_type=8&amp;pp=605</t>
  </si>
  <si>
    <t>https://www.letu.ru/product/qeep-remuver-gel-dlya-udaleniya-kutikuly/168000535?sort=default&amp;open=ingredient%7EcleanBeauty%7EskinNeeds%7EforWhom&amp;hide=expectedEffect%7EnotContain%7EskinTypes%7EhairType</t>
  </si>
  <si>
    <t>Средства для удаления кутикулы</t>
  </si>
  <si>
    <t>товары для красоты / косметика, парфюмерия и уход / уход за ногтями / удаление кутикулы</t>
  </si>
  <si>
    <t>Средства для маникюра</t>
  </si>
  <si>
    <t>Гель для удаления кутикулы &gt;&gt; Средства для ногтей &gt;&gt; Маникюр и педикюр</t>
  </si>
  <si>
    <t>4607050974815</t>
  </si>
  <si>
    <t>https://drive.google.com/drive/folders/1Wr2srOap72j1Y5wZfJZ-K0k3yCqb_3oq</t>
  </si>
  <si>
    <t>вода деионизированная, гидроксид натрия, глицерин, Глицерет-8, лавандовое масло, экстракт листьев монарды дидимы, гидрогенизированное касторовое масло PEG-40, экстракт сока листьев Алоэ барбадосского, ксантановая камедь, превентол D7, парфюмерная отдушка.</t>
  </si>
  <si>
    <t xml:space="preserve">•        Нанести гель на кутикулу.
•        Оставить на 30-60 секунд, но не более 2 минут.
•        Удалить размягченную кутикулу с помощью апельсиновой палочки или пушера.
•        Тщательно смыть средство теплой водой.
</t>
  </si>
  <si>
    <t>Не применять при наличии открытых ранок, кровотечений на коже! Хранить в недоступном для детей месте, избегать попадания в глаза и на слизистые оболочки. При попадании – промыть большим количеством воды.</t>
  </si>
  <si>
    <t>Хранить при температуре от +5 до +25 °C, избегать попадания прямых солнечных лучей.</t>
  </si>
  <si>
    <t>https://docs.google.com/document/d/1-QgLOrJKtPmist03i6P1GWfh-k2GBrAFRAkqqtYP9mk/edit?tab=t.0</t>
  </si>
  <si>
    <t>ООО "СКЭМ"</t>
  </si>
  <si>
    <t>Сергей</t>
  </si>
  <si>
    <t>qeep_nabor_remuver_40ml_1_1</t>
  </si>
  <si>
    <t>Оставляем только одинарный набор</t>
  </si>
  <si>
    <t>Ремувер для удаления кутикулы ,qeep, 40 мл х 2</t>
  </si>
  <si>
    <t>QC101100404</t>
  </si>
  <si>
    <t>Набор 1+1 ремувер для удаления кутикулы</t>
  </si>
  <si>
    <t>Ремувер гель qeep для удаления кутикулы 40 мл х 2</t>
  </si>
  <si>
    <t>Ремувер гель qeep для удаления кутикулы, 40 мл х 2</t>
  </si>
  <si>
    <t>https://www.wildberries.ru/catalog/400501943/detail.aspx</t>
  </si>
  <si>
    <t>https://www.ozon.ru/product/2071319159</t>
  </si>
  <si>
    <t>https://market.yandex.ru/card/remuver-gel-qeep-dlya-udaleniya-kutikuly-40-ml-kh-2/4623332199?businessId=8291477&amp;showOriginalKmEmptyOffer=1&amp;ogV=-10</t>
  </si>
  <si>
    <t>4680201377123</t>
  </si>
  <si>
    <t>40мл*2</t>
  </si>
  <si>
    <t>qeep_Perfectman_60caps</t>
  </si>
  <si>
    <t>БАД Тестостерон для мужчин ,qeep, 60 капсул</t>
  </si>
  <si>
    <t>QB101100498</t>
  </si>
  <si>
    <t>Бустер тестостерона , Витамины для мужчин</t>
  </si>
  <si>
    <t>Тестостерон для мужчин Qeep 60 капсул, экдистерон бад для потенции и мышц спортивный, цинк, тестобустер, витамины для мужчин, бустер</t>
  </si>
  <si>
    <t>Тестостерон для мужчин Qeep 60 капсул, экдистерон  для потенции и мышц спортивный, тестобустер, витамины для мужчин</t>
  </si>
  <si>
    <t>https://www.wildberries.ru/catalog/156995682/detail.aspx</t>
  </si>
  <si>
    <t>https://www.ozon.ru/product/946980875</t>
  </si>
  <si>
    <t>https://market.yandex.ru/card/testosteron-dlya-muzhchin-qeep-60-kapsul-ekdisteron-bad-dlya-potentsii-i-myshts-sportivnyy-tsink-testobuster-vitaminy-dlya-muzhchin-buster/4661959140?businessId=8291477&amp;clid=8291477&amp;model_id=4663002726&amp;distr_type=8&amp;pp=605</t>
  </si>
  <si>
    <t>AM.01.01.01.003.R.000069.02.23 от 07.02.2023</t>
  </si>
  <si>
    <t>https://drive.google.com/drive/folders/1FxNHgVMk2Geoyn83tvBrHwqY0P1rbYAI</t>
  </si>
  <si>
    <t>D-аспарагиновая кислота, экстракт корня маки перуанской, экстракт пажитника, цитрат цинка, экстракт чёрного перца (Bioperine®), твердая желатиновая капсула.</t>
  </si>
  <si>
    <t>взрослым по 1 капсуле 3 раза в день после еды.</t>
  </si>
  <si>
    <t>хранить в сухом, недоступном для детей месте, при температуре от  +5 °C до +25 °C.</t>
  </si>
  <si>
    <t>https://docs.google.com/document/d/1kq7maQqlT_5_U90xeNTpTGT1eNw95WFrTbp7kuRhN58/edit?tab=t.0</t>
  </si>
  <si>
    <t>https://drive.google.com/drive/u/0/folders/1imnfcZ06DYsjdJvJOWgd4_0SqtgEEyg_</t>
  </si>
  <si>
    <t>qeep_ecdysterone_60caps</t>
  </si>
  <si>
    <t>Экдистерон для мужчин ,qeep, 60 капсул</t>
  </si>
  <si>
    <t>QB101100512</t>
  </si>
  <si>
    <t>Бустер тестостерона. Экдистерон. Витамины для Мужчин</t>
  </si>
  <si>
    <t>Тестостерон для мужчин, экдистерон для потенции и мышц спортивный, цинк, тестобустер, витамины для мужчин, бустер qeep 60 капсул</t>
  </si>
  <si>
    <t>Тестостерон для мужчин, экдистерон нового поколения,  тестобустер, витамины для мужчин, бустер qeep 60 капсул 490 мг</t>
  </si>
  <si>
    <t>тестостерон для мужчин, экдистерон для потенции и мышц спортивный, цинк, тестобустер, витамины для мужчин, бустер qeep 60 капсул</t>
  </si>
  <si>
    <t>https://www.wildberries.ru/catalog/271462078/detail.aspx</t>
  </si>
  <si>
    <t>https://www.ozon.ru/product/1731455142</t>
  </si>
  <si>
    <t>https://market.yandex.ru/card/buster-testosterona-bad-dlya-potentsii-i-myshts-sportivnyy-qeep-60-kapsul/103582149110?businessId=8291477&amp;clid=8291477&amp;model_id=925062646&amp;distr_type=8&amp;pp=605</t>
  </si>
  <si>
    <t>https://goldapple.ru/catalogsearch/result?q=99000118346</t>
  </si>
  <si>
    <t>ЕАЭС N RU Д-RU.РА09.В.03114/24 от 06.10.2024 по 01.10.2026</t>
  </si>
  <si>
    <t>https://drive.google.com/drive/folders/1qaUB39DfscZtT1ytgDS0G4BuYqLz9eL-</t>
  </si>
  <si>
    <t>экстракт корней левзеи сафлоровидной, экстракт листьев черники, экстракт корня женьшеня, экстракт плодов померанца. Вспомогательные вещества: мальтодекстрин (наполнитель), желатин (капсула).</t>
  </si>
  <si>
    <t>Рекомендации по применению: взрослым по 1 капсуле 1 раз в день в первой половине дня.</t>
  </si>
  <si>
    <t xml:space="preserve">артериальная гипертензия, бессонница, 
индивидуальная непереносимость компонентов, беременность, кормление грудью.
</t>
  </si>
  <si>
    <t xml:space="preserve">хранить в сухом, защищенном от попадания прямых 
солнечных лучей, недоступном для детей месте при температуре не выше 25°С.
</t>
  </si>
  <si>
    <t>https://docs.google.com/document/d/1lJrRAvcDZGbQSI9e9UdG0C9qzBWltOT0qveRNa7q_nk/edit</t>
  </si>
  <si>
    <t>ТПК Саморазвитие</t>
  </si>
  <si>
    <t>Алексей, тел.: 7 981 848 0247,
info@tpksamoraz.ru</t>
  </si>
  <si>
    <t>qeep_ZMA_120caps</t>
  </si>
  <si>
    <t>БАД ZMA для мужчин ,qeep, 120 капсул</t>
  </si>
  <si>
    <t>QB101100507</t>
  </si>
  <si>
    <t>ZMA – комплекс для совместного применения к экдистерону</t>
  </si>
  <si>
    <t>https://www.wildberries.ru/catalog/165241082/detail.aspx</t>
  </si>
  <si>
    <t>https://www.ozon.ru/product/1032691496</t>
  </si>
  <si>
    <t>https://market.yandex.ru/card/zma-testosteron-dlya-muzhchin-tsink--magniy--asparaginovaya-kislota--v6-qeep-ekdisteron-120-kapsul/102054388448?businessId=8291477&amp;showOriginalKmEmptyOffer=1&amp;ogV=-10</t>
  </si>
  <si>
    <t>AM.01.07.01.003.R.000196.02.24 от  19.02.2024</t>
  </si>
  <si>
    <t xml:space="preserve">цитрат магния, желатиновая капсула (желатин, вода, диоксид титана – краситель), микрокристаллическая целлюлоза – носитель, цитрат цинка, аспарагиновая кислота, пиридоксина гидрохлорид (витамин В6). </t>
  </si>
  <si>
    <t xml:space="preserve">взрослым принимать по 1 капсуле в день во время еды. Продолжительность приема: 1 месяц. При необходимости прием 
можно повторить.
</t>
  </si>
  <si>
    <t xml:space="preserve"> хранить в сухом, защищенном от попадания прямых солнечных лучей, недоступном для детей месте, при температуре от +5 °С до +25 °С и относительной влажности воздуха не более 75 %.</t>
  </si>
  <si>
    <t>https://docs.google.com/document/d/1hl8lk5HG2cigEjA09Lz8pgsueBS6Yv6J2M1suYLDIyw/edit?tab=t.0</t>
  </si>
  <si>
    <t>https://drive.google.com/drive/u/0/folders/1F1YFZ75tUmwPSy17q2UO2M3ROK3leW9u</t>
  </si>
  <si>
    <t>qeep_arginine_90caps</t>
  </si>
  <si>
    <t>БАД Аргинин ,qeep, 90 капсул</t>
  </si>
  <si>
    <t>QB101100404</t>
  </si>
  <si>
    <t>Витамины Аргинин бады аминокислоты AAKG 1000 mg</t>
  </si>
  <si>
    <t>Аргинин 1000 мг, l аргинин, Qeep 90 капсул</t>
  </si>
  <si>
    <t>Аргинин 1000 мг аминокислоты для роста мышц, для спортсменов Qeep 90 капсул</t>
  </si>
  <si>
    <t>https://www.wildberries.ru/catalog/158114551/detail.aspx</t>
  </si>
  <si>
    <t>https://www.ozon.ru/product/951604183</t>
  </si>
  <si>
    <t>https://market.yandex.ru/card/arginin-1000-mg-qeep-90-kapsul/102024722039?businessId=8291477&amp;clid=8291477&amp;model_id=1325550229&amp;distr_type=8&amp;pp=605</t>
  </si>
  <si>
    <t>Аминокислоты</t>
  </si>
  <si>
    <t>спорт и отдых / тренажеры и фитнес / спортивное питание / аминокислоты и bcaa</t>
  </si>
  <si>
    <t>RU.77.99.88.003.R.001761.05.22 от 27.05.2022.</t>
  </si>
  <si>
    <t>https://drive.google.com/drive/folders/1IjCujeIpIdoCuA27ljHgeKvgc1vdheNO</t>
  </si>
  <si>
    <t>L-аргинин, антислеживающий агент магниевая соль стеариновой кислоты, капсула (желатин, краситель диоксид титана)</t>
  </si>
  <si>
    <t xml:space="preserve">взрослым по 3 капсулы в день во время еды в течение одного месяца, при необходимости прием можно продлить. </t>
  </si>
  <si>
    <t xml:space="preserve">индивидуальная непереносимость, беременность, кормление грудью, перед приемом необходимо проконсультироваться с врачом. </t>
  </si>
  <si>
    <t>в сухом недоступном для детей месте при температуре не выше 25◦С.</t>
  </si>
  <si>
    <t>https://docs.google.com/document/d/1hq5JyaprwhqEJAnImfUYlqzF36WeSNuAmeWNJlzpXqY/edit?usp=sharing</t>
  </si>
  <si>
    <t>https://drive.google.com/drive/u/0/folders/1jIAsf93592IB3EnJnrqz5DZ8nOUaAmiK</t>
  </si>
  <si>
    <t>https://disk.yandex.ru/d/IDyp2vD5JEymiw</t>
  </si>
  <si>
    <t>qeep_isotoniccitrus_300g</t>
  </si>
  <si>
    <t>БАД Изотоник цитрус ,qeep, 300 г</t>
  </si>
  <si>
    <t>QB101100440</t>
  </si>
  <si>
    <t>Изотоник порошок спортивный с витаминами 300 г</t>
  </si>
  <si>
    <t>Изотоник порошок спортивный с витаминами qeep 300 г</t>
  </si>
  <si>
    <t>Изотоник порошок спортивный с витаминами со вкусом цитруса qeep 300 г</t>
  </si>
  <si>
    <t>https://www.wildberries.ru/catalog/270128827/detail.aspx</t>
  </si>
  <si>
    <t>https://www.ozon.ru/product/1726985284</t>
  </si>
  <si>
    <t>https://market.yandex.ru/card/izotonik-poroshok-sportivnyy-s-vitaminami-qeep-300-g/103572448024?businessId=8291477&amp;clid=8291477&amp;model_id=1096180798&amp;distr_type=8&amp;pp=605</t>
  </si>
  <si>
    <t>Изотоники</t>
  </si>
  <si>
    <t>спорт и отдых / тренажеры и фитнес / спортивное питание / посттренировочные комплексы</t>
  </si>
  <si>
    <t>AM.01.21.01.003.R.000008.07.24 от 16.07.2024 г.</t>
  </si>
  <si>
    <t>https://drive.google.com/drive/folders/1ahthm8s2pgUOLWtIiJLQ2CMRDf3TH3cL</t>
  </si>
  <si>
    <t>лактат кальция, цитрат калия, минеральный комплекс (лактат кальция, цитрат магния, сульфат железа, сульфат цинка, сульфат марганца, сульфат меди, йода калия), розовая гималайская соль (хлорид), магний цитрат, цитрат натрия, лимонная кислота, экстракт стевиолгликозида, пищевой ароматизатор, яблочная кислота.</t>
  </si>
  <si>
    <t xml:space="preserve">принимать в качестве пищевой добавки по 1 мерной ложки в день, размешать в стакане воды.  </t>
  </si>
  <si>
    <t xml:space="preserve">индивидуальная непереносимость компонентов продукта, беременность и кормление грудью. Перед применением проконсультироваться с врачом.
</t>
  </si>
  <si>
    <t>Условия хранения: хранить в сухом, недоступном для детей месте, при температуре от +5 °С до +25 °С.</t>
  </si>
  <si>
    <t>https://docs.google.com/document/d/1Wx7xzS4gJ1jw5C8qu8vNJxr7Vyphn46LTYDcLo35Xv8/edit</t>
  </si>
  <si>
    <t>qeep_creatine_300g</t>
  </si>
  <si>
    <t>Креатин моногидрат ,qeep, 300 г</t>
  </si>
  <si>
    <t>QB101100511</t>
  </si>
  <si>
    <t>Креатин моногидрат порошок</t>
  </si>
  <si>
    <t>Креатин моногидрат 5000 мг Qeep 300 г</t>
  </si>
  <si>
    <t>Креатин моногидрат 5000 мг, спортивное питание для набора массы тела Qeep 300 г</t>
  </si>
  <si>
    <t>https://www.wildberries.ru/catalog/229246778/detail.aspx</t>
  </si>
  <si>
    <t>https://www.ozon.ru/product/1566871461</t>
  </si>
  <si>
    <t>https://market.yandex.ru/card/kreatin-monogidrat-5000-mg-qeep-300-g/103397810974?businessId=8291477&amp;clid=8291477&amp;model_id=485356702&amp;distr_type=8&amp;pp=605</t>
  </si>
  <si>
    <t>Креатины</t>
  </si>
  <si>
    <t>спорт и отдых / тренажеры и фитнес / спортивное питание / креатин</t>
  </si>
  <si>
    <t>ЕАЭС N RU Д-RU.РА03.В.65608/24 от 16.04.2024 по 15.04.2029</t>
  </si>
  <si>
    <t>https://drive.google.com/drive/folders/1xvE7e0r-hDbRuEg6TbhTdxtcDvF2uscn</t>
  </si>
  <si>
    <t>мальтодекстрин (носитель), креатина моногидрат</t>
  </si>
  <si>
    <t>взрослым принимать по 1 мерной ложке (5 грамм) в день, растворить в 200 мл воды, сока, йогурта и т.п. и хорошо перемешать. Принимать по 1 порции один раз в день за 30 минут до еды или через 1 час после еды. При растворении продукта может выпасть естественный осадок.
Продолжительность приема: 1 месяц. При необходимости прием можно повторить.</t>
  </si>
  <si>
    <t>индивидуальная непереносимость компонентов, беременность, кормление грудью, лица в возрасте до 18 лет. Перед применением рекомендуется проконсультироваться с врачом. Не превышать установленную рекомендуемую дозу.</t>
  </si>
  <si>
    <t>хранить в сухом, защищенном от прямых солнечных лучей и недоступном для детей месте при температуре от 0°С до + 25°С и относительной влажности воздуха  не более 75%.</t>
  </si>
  <si>
    <t>https://docs.google.com/document/d/14L48MpnYACzrbeG1o2sVNnKfEVQ9sIYO_Vq-emZ6rn8/edit?usp=sharing</t>
  </si>
  <si>
    <t>qeep_isotonicmintlime_300g</t>
  </si>
  <si>
    <t>БАД Изотоник мята лайм ,qeep, 300 г</t>
  </si>
  <si>
    <t>QB101100439</t>
  </si>
  <si>
    <t>Изотоник порошок спортивный с витаминами вкус мята-лайм qeep 300 г</t>
  </si>
  <si>
    <t>https://www.wildberries.ru/catalog/270128828/detail.aspx</t>
  </si>
  <si>
    <t>https://www.ozon.ru/product/1726985022</t>
  </si>
  <si>
    <t>https://market.yandex.ru/card/izotonik-poroshok-sportivnyy-s-vitaminami-qeep-300-g/103572466383?businessId=8291477&amp;clid=8291477&amp;model_id=1096180798&amp;distr_type=8&amp;pp=605</t>
  </si>
  <si>
    <t>qeep_glutamine_90caps</t>
  </si>
  <si>
    <t>БАД Аминокислоты ,qeep, 90 капсул</t>
  </si>
  <si>
    <t>QB101100402</t>
  </si>
  <si>
    <t>Комплекс Аминокислот. Глютамин Триптофан 5 в 1</t>
  </si>
  <si>
    <t>Аминокислоты Глютамин, Тирозин, L-триптофан, L-глутаминовая кислота, L-теанин Qeep 90 капсул</t>
  </si>
  <si>
    <t>https://www.wildberries.ru/catalog/177867999/detail.aspx</t>
  </si>
  <si>
    <t>https://www.ozon.ru/product/1200359466</t>
  </si>
  <si>
    <t>https://market.yandex.ru/card/aminokisloty-glutamin-tirozin-l-triptofan-l-glutaminovaya-kislota-l-tianin-qeep-90-kapsul/103372577016?businessId=8291477&amp;clid=8291477&amp;model_id=44461901&amp;distr_type=8&amp;pp=605</t>
  </si>
  <si>
    <t>AM.01.06.01.003.R.000188.08.22 от 29.08.2022 г.</t>
  </si>
  <si>
    <t>https://drive.google.com/drive/folders/1VtsrVPrGRxdXtnhZq0c-mnzKzvM5oFxA</t>
  </si>
  <si>
    <t xml:space="preserve">тирозин, L-триптофан, глицин, L-глутаминовая кислота, L-тианин, крахмал картофельный (носитель), кальция стеарат (агент антислеживающий), микрокристаллическая целлюлоза (носитель), капсула желатиновая (желатин (носитель), глицерин (агент влагоудерживающий)). </t>
  </si>
  <si>
    <t>взрослым по 1 капсуле 2 раза в день во время еды. Продолжительность приема 1 месяц. При необходимости курс можно повторить.</t>
  </si>
  <si>
    <t>хранить в недоступном для детей месте, при температуре не выше 25 ºС и относительной влажности воздуха не более 60%.</t>
  </si>
  <si>
    <t>https://docs.google.com/document/d/1vCQ2KvTXXU5bkLPRj2B_3kFhElGHuaZXh9ac5i262G8/edit</t>
  </si>
  <si>
    <t>https://drive.google.com/drive/u/0/folders/1kmwzMlJJ3IS0nlppFLAHIu2zn5iKzI_r</t>
  </si>
  <si>
    <t>qeep_isotonicraspblime_300g</t>
  </si>
  <si>
    <t>БАД Изотоник малина ,qeep, 300 г</t>
  </si>
  <si>
    <t>QB101100438</t>
  </si>
  <si>
    <t>Изотоник порошок спортивный с витаминами со вкусом малины и лайма qeep 300 г</t>
  </si>
  <si>
    <t>https://www.wildberries.ru/catalog/270360740/detail.aspx</t>
  </si>
  <si>
    <t>https://www.ozon.ru/product/1726985085</t>
  </si>
  <si>
    <t>https://market.yandex.ru/card/izotonik-poroshok-sportivnyy-s-vitaminami-qeep-300-g/103572448025?businessId=8291477&amp;clid=8291477&amp;model_id=1096180798&amp;distr_type=8&amp;pp=605</t>
  </si>
  <si>
    <t>harly_spray_250ml</t>
  </si>
  <si>
    <t>Спрей от колтунов ,Harly, 250 мл</t>
  </si>
  <si>
    <t>Спрей от колтунов</t>
  </si>
  <si>
    <t>HC101100403</t>
  </si>
  <si>
    <t>Спрей от колтунов для длинной шерсти и легкого расчесывания</t>
  </si>
  <si>
    <t>Спрей от колтунов для длинной шерсти и легкого расчесывания для собак и кошек 250 мл.</t>
  </si>
  <si>
    <t>https://www.wildberries.ru/catalog/240169330/detail.aspx</t>
  </si>
  <si>
    <t>https://www.ozon.ru/product/1613729326</t>
  </si>
  <si>
    <t>https://market.yandex.ru/card/sprey-ot-koltunov-dlya-dlinnoy-shersti-i-legkogo-raschesyvaniya/103397005171?businessId=8291477&amp;clid=8291477&amp;model_id=973176873&amp;distr_type=8&amp;pp=605</t>
  </si>
  <si>
    <t>Кондиционеры для животных</t>
  </si>
  <si>
    <t>№ АИ-6565 от 17.04.2024</t>
  </si>
  <si>
    <t>https://drive.google.com/drive/folders/1drIa8DGRSxx1BY_tjQMZ8JVmSeouj1Wm</t>
  </si>
  <si>
    <t>вода &gt;50%,  увлажняющие компоненты &lt;5%, активные компоненты &lt;1% (пантенол, комплекс аминокислот, гидролизованный кератин), кондиционирующий агент &lt;1%, регулятор кислотности &lt;1% (лимонная кислота), консервант &lt;1%, отдушка &lt;1%.</t>
  </si>
  <si>
    <t>обильно распылить средство на спутанную шерсть и колтун и оставить на 1-2 минуты для впитывания. Помассировать руками и расчесать специальным гребнем до полного распутывания шерсти и колтуна. При необходимости процедуру повторить.</t>
  </si>
  <si>
    <t>только для наружного применения. Избегать попадания в глаза. При попадании в глаза тщательно промыть большим количеством проточной воды. Использование в пищевых целях опасно для здоровья. Беречь от детей. Использовать только по назначению. Возможна индивидуальная непереносимость компонентов.</t>
  </si>
  <si>
    <t>хранить при температуре +5˚ до +25 ˚С, не подвергать воздействию прямых солнечных лучей. Не допускается хранение вблизи отопительных приборов.</t>
  </si>
  <si>
    <t>https://docs.google.com/document/d/1SOxL3KLYIYr5vR5IpcI_NqPQsKCcRbUCV1gX0pWb-S0/edit</t>
  </si>
  <si>
    <t xml:space="preserve">Изготовитель: ООО «Биг-Л», 127473, Россия, г. Москва, Переулок Самотёчный 1-й, д. 15, cтр. 1, этаж подвал № 0, помещ. I, ком. 1, офис 1. E-mail: sales@qeep.life
</t>
  </si>
  <si>
    <t>qeep_tobaccocherry_450ml</t>
  </si>
  <si>
    <t>Гель для душа Tobacco Cherry ,qeep, 450 мл</t>
  </si>
  <si>
    <t>Тело</t>
  </si>
  <si>
    <t>QC101100400</t>
  </si>
  <si>
    <t>MPL406354</t>
  </si>
  <si>
    <t>Гель для душа парфюмированный Tobacco Cherry</t>
  </si>
  <si>
    <t>Гель для душа парфюмированный Tobacco Cherry qeep 450 мл</t>
  </si>
  <si>
    <t>Гель для душа парфюмированный с дозатором Tobacco Cherry qeep 450 мл</t>
  </si>
  <si>
    <t>гель для душа парфюмированный tobacco cherry qeep 450 мл</t>
  </si>
  <si>
    <t>https://www.wildberries.ru/catalog/302419362/detail.aspx</t>
  </si>
  <si>
    <t>https://www.ozon.ru/product/1785782001</t>
  </si>
  <si>
    <t>https://market.yandex.ru/card/gel-dlya-dusha-zhenskiy-parfyumirovannyy-tobacco-cherry-qeep-450-ml/103689891090?businessId=8291477&amp;clid=8291477&amp;model_id=909640372&amp;distr_type=8&amp;pp=605</t>
  </si>
  <si>
    <t>https://www.letu.ru/product/qeep-gel-dlya-dusha-parfyumirovannyi-tobacco-cherry/168000615</t>
  </si>
  <si>
    <t>Гели</t>
  </si>
  <si>
    <t>товары для красоты / косметика, парфюмерия и уход / уход за телом / для душа</t>
  </si>
  <si>
    <t>Уход для тела</t>
  </si>
  <si>
    <t>Парфюмированный гель для душа &gt;&gt; Средства для ванной и душа &gt;&gt; Парфюмерия</t>
  </si>
  <si>
    <t>ЕАЭС N RU Д-RU.РА11.В.07086/24 от 03.12.2024 по 01.12.2029</t>
  </si>
  <si>
    <t>https://drive.google.com/drive/folders/1E8eJBwylIVl7MUptpVONLFSvIBzGBpCe</t>
  </si>
  <si>
    <t>Aqua, Sodium Laureth Sulfate, Cocamidopropyl Betaine, Sodium Chloride, Glycerin, Decyl Glucoside, Styrene/Acrylates Copolymer, Aloe Barbadensis Leaf Juice, Fragrance, Sweet almond oil, avocado oil,  polyflyceryl-4 Esters, Disodium Ethylenediaminetetraacetic Acid, Citric Acid, Methylchloroisothiazolinone, Methylisothiazolinone</t>
  </si>
  <si>
    <t xml:space="preserve">Нанесите гель для душа на влажную кожу, массажными движениями вспеньте и помассируйте, а затем тщательно смойте. Избегайте попадания в глаза.
</t>
  </si>
  <si>
    <t>Меры предосторожности: не наносите на поврежденную кожу и избегайте попадания в глаза. При попадании в глаза тщательно промойте водой. Перед применением тестируйте на небольшом участке кожи.</t>
  </si>
  <si>
    <t>в закрытой упаковке производителя, в защищённом от прямых солнечных лучей месте при температуре от минус 20⁰C до плюс 30⁰С.</t>
  </si>
  <si>
    <t>https://docs.google.com/document/d/1csMkKhoUvGz1TX556M9NJfiXb77YrGGNE6QiB77FUNk/edit?tab=t.0</t>
  </si>
  <si>
    <t>harly_catshampoo_250ml</t>
  </si>
  <si>
    <t>Цена поднимаем</t>
  </si>
  <si>
    <t>Шампунь для кошек ,Harly, 250 мл</t>
  </si>
  <si>
    <t>Шампунь для кошек</t>
  </si>
  <si>
    <t>HC101100407</t>
  </si>
  <si>
    <t>Шампунь для кошек гипоаллергенный с пантенолом</t>
  </si>
  <si>
    <t>Шампунь для кошек гипоаллергенный с пантенолом Harly 250 мл</t>
  </si>
  <si>
    <t>Шампунь для кошек гипоаллергенный с пантенолом для чувствительной кожи Harly  250 мл</t>
  </si>
  <si>
    <t>https://www.wildberries.ru/catalog/325209184/detail.aspx</t>
  </si>
  <si>
    <t>https://www.ozon.ru/product/1873376596</t>
  </si>
  <si>
    <t>https://market.yandex.ru/card/shampun-dlya-koshek-gipoallergennyy-s-pantenolom-harly-250-ml/103812561953?businessId=8291477&amp;clid=8291477&amp;model_id=965085250&amp;distr_type=8&amp;pp=605</t>
  </si>
  <si>
    <t>4673767781985</t>
  </si>
  <si>
    <t>https://drive.google.com/drive/folders/1a1O5ltrutmd1Tv8ut3dyh6fsHUdeQj1a</t>
  </si>
  <si>
    <t>Water (Aqua), Sodium Laureth Sulfate, Cocamidopropyl Betaine, Sodium Chloride, Glycerin, Cocamide DEA, D-Panthenol, Polyquaternium-7, Coco-Glucoside, PEG-40 Hydrogenated Castor Oil, Parfum (Fragrance), Citric Acid, Methylchloroisothiazolinone, Methylisothiazolinone.</t>
  </si>
  <si>
    <t xml:space="preserve">нанесите небольшое количество шампуня на влажные руки. Вспеньте. Очистите образовавшейся пеной шерсть и кожу питомца, смоченные водой. После тщательно смойте пену теплой водой.
</t>
  </si>
  <si>
    <t>Важно: избегайте попадания шампуня на слизистые и в уши. Если все же это произошло, то не волнуйтесь. Просто обильно промойте теплой чистой водой. Не применяйте шампунь при индивидуальной непереносимости компонентов продукта.
Можно использовать для котят от 6 месяцев.</t>
  </si>
  <si>
    <t>https://docs.google.com/document/d/1248PLuF4pineCUhEkoepVZwVl734Fv42X_UBBqRllvs/edit?tab=t.0</t>
  </si>
  <si>
    <t>https://disk.yandex.ru/d/ENO2xWPcY-x_ow</t>
  </si>
  <si>
    <t>harly_shampoo_500ml</t>
  </si>
  <si>
    <t>Шампунь с кондиционером для собак и кошек, Harly, 500 мл</t>
  </si>
  <si>
    <t>HC101100409</t>
  </si>
  <si>
    <t>https://www.wildberries.ru/catalog/219926965/detail.aspx</t>
  </si>
  <si>
    <t>Отказное письмо</t>
  </si>
  <si>
    <t>https://drive.google.com/drive/folders/1T1dCQqYqrclZHXDdhJtsXeGy0N-xNmTP</t>
  </si>
  <si>
    <t>вода очищенная, натрия лауретсульфат, натрия хлорид, кондиционер поликватерниум, диэтаноламид жирных кислот кокосового масла, глицерин, алкиламидопропилбетаин, консервант, краситель пищевой Е 102.</t>
  </si>
  <si>
    <t>смочить шерсть животного. Шампунь равномерно распределить по телу и вспенить массирующими движениями. Тщательно смыть тёплой проточной водой. Шерсть высушить и расчесать.</t>
  </si>
  <si>
    <t xml:space="preserve">избегать попадания средства в глаза, уши, нос и пасть животного. Не использовать для щенков и котят до 3-недельного возраста. </t>
  </si>
  <si>
    <t>https://docs.google.com/document/d/1GF0wbPZmA-WDLq88OCsd_wfpFDfC7cUY8QEVMeJB8fc/edit?usp=sharing</t>
  </si>
  <si>
    <t>harly_longhairdog_500ml</t>
  </si>
  <si>
    <t>Шампунь длин шерсть для собак ,Harly, 500 мл</t>
  </si>
  <si>
    <t>Шампунь для собак</t>
  </si>
  <si>
    <t>HC101100408</t>
  </si>
  <si>
    <t>Шампунь для собак гипоаллергенный с пантенолом</t>
  </si>
  <si>
    <t>Шампунь для собак гипоаллергенный с пантенолом Harly 500 мл</t>
  </si>
  <si>
    <t>Шампунь для собак гипоаллергенный с пантенолом для чувствительной кожи Harly 500 мл</t>
  </si>
  <si>
    <t>https://www.wildberries.ru/catalog/325216323/detail.aspx</t>
  </si>
  <si>
    <t>https://www.ozon.ru/product/1873383663</t>
  </si>
  <si>
    <t>https://market.yandex.ru/card/shampun-dlya-sobak-gipoallergennyy-s-pantenolom-harly-500-ml/103812550678?businessId=8291477&amp;clid=8291477&amp;model_id=965085250&amp;distr_type=8&amp;pp=605</t>
  </si>
  <si>
    <t>4673767781992</t>
  </si>
  <si>
    <t>https://drive.google.com/drive/folders/1T_oEVdz0zANAixQCLSZxeJvn2LcgaAkx</t>
  </si>
  <si>
    <t>https://docs.google.com/document/d/1J20-Rj2p4gWtjC1-3uQnp7GVcCvCM8svIF2bHLuzMr8/edit?tab=t.0</t>
  </si>
  <si>
    <t>harly_shampoo_blohi_500ml</t>
  </si>
  <si>
    <t>Шампунь  от блох и клещей для собак ,Harly, 500 мл</t>
  </si>
  <si>
    <t>Шампунь от блох</t>
  </si>
  <si>
    <t>HC101100410</t>
  </si>
  <si>
    <t>Шампунь для собак от блох и клещей</t>
  </si>
  <si>
    <t>Шампунь для собак и кошек от блох и клещей Harly 500 мл</t>
  </si>
  <si>
    <t>Шампунь для собак и кошек от блох и клещей, антипаразитарный шампунь для животных Harly 500 мл</t>
  </si>
  <si>
    <t>https://www.wildberries.ru/catalog/255212157/detail.aspx</t>
  </si>
  <si>
    <t>https://www.ozon.ru/product/1703618254</t>
  </si>
  <si>
    <t>https://market.yandex.ru/card/shampun-dlya-sobak-i-koshek-ot-blokh-i-kleshchey-harly-500-ml/103536273553?businessId=8291477&amp;clid=8291477&amp;model_id=965085250&amp;distr_type=8&amp;pp=605</t>
  </si>
  <si>
    <t>4673767780032</t>
  </si>
  <si>
    <t>https://drive.google.com/drive/folders/1-J6XXO4qJ1GCRsO4xoPlqV65cDvkpWrK</t>
  </si>
  <si>
    <t>Water (Aqua), Sodium Laureth Sulfate, Glycerin, Cocamidopropyl Betaine, Coco-Glucoside, Cocamide DEA, Sodium Chloride, PEG-40 Hydrogenated Castor Oil, Citronella (Cymbopogon nardus) Leaves Essential Oil, Melaleuca alternifolia (tea tree) essential oil, Citric Acid, Methylchloroisothiazolinone, Methylisothiazolinone</t>
  </si>
  <si>
    <t>https://docs.google.com/document/d/1nNWgUP77IDTzI8-4I1ktj1bAQndVFfTxh3HCpd8ANB0/edit</t>
  </si>
  <si>
    <t>https://disk.yandex.ru/d/ayGr3FzCjXYFqg</t>
  </si>
  <si>
    <t>qeep_kidsvitamins_60tabs</t>
  </si>
  <si>
    <t>БАД для детей ,qeep, 60 жевательных таблеток</t>
  </si>
  <si>
    <t>QB101100428</t>
  </si>
  <si>
    <t>Витаминно-минеральный комплекс для детей от 7-17 лет</t>
  </si>
  <si>
    <t>Витамины для детей Qeep 60 жевательных таблеток</t>
  </si>
  <si>
    <t>https://www.wildberries.ru/catalog/232462000/detail.aspx</t>
  </si>
  <si>
    <t>https://www.ozon.ru/product/1581800376</t>
  </si>
  <si>
    <t>AM.01.48.01.003.R.000137.05.23 от 19.05.2023</t>
  </si>
  <si>
    <t>L-аскорбиновая кислота, цитрат цинка, ароматизатор натуральный «Тутти-фрутти», витамин Е (токоферола ацетат), витамин РР (никотинамид), стеариновая кислота (носитель), витамин А (ретинола ацетат), витамин D3 (холекальциферол), пантотеновая кислота (D-пантотенат кальция), витамин В12 (цианокобаламин), кальциевая соль стеариновой кислоты (антислеживающий агент), витамин В6 (пиридоксина гидрохлорид), витамин В1 (тиамина гидрохлорид), витамин В2 (рибофлавин), калия йодид, фолиевая кислота, селеноксантен (9-фенил-симм-октагидроселеноксантен), глюкоза.</t>
  </si>
  <si>
    <t>детям старше 3 лет по 1 таблетке в день. Таблетки можно разжевывать или рассасывать и принимать во время еды.</t>
  </si>
  <si>
    <t>индивидуальная непереносимость компонентов продукта. Перед применением рекомендуется проконсультироваться с врачом-педиатром.</t>
  </si>
  <si>
    <t>хранить в сухом, защищенном от прямых солнечных лучей и недоступном для детей месте при температуре не выше 25°С.</t>
  </si>
  <si>
    <t>https://docs.google.com/document/d/1gHaKnniJxts4nbC0-Xl1J-EwWEhdXaYcFzp6-3BX-5o/edit</t>
  </si>
  <si>
    <t>ООО «Полярис», Россия, 183001, г. Мурманск, Рыбный порт, причал №1, тел. 8-800-2222-106. Система менеджмента безопасности пищевых продуктов сертифицирована на соответствие ИСО 22000 Ассоциацией по сертификации «Русский Регистр».</t>
  </si>
  <si>
    <t xml:space="preserve">Прокофьева Дарья Владимировна &lt;devman3@polarpharm.ru&gt;
Менеджер по развитию ООО «Полярис»
Тел. 8-963-358-69-85
</t>
  </si>
  <si>
    <t>qeep_manbox</t>
  </si>
  <si>
    <t>БАД для мужчин ,qeep, набор</t>
  </si>
  <si>
    <t>QB101100430</t>
  </si>
  <si>
    <t>Витамины для мужчин комплекс для здоровья и мышечной массы</t>
  </si>
  <si>
    <t>Витамины для мужчин комплекс для здоровья и мышечной массы qeep</t>
  </si>
  <si>
    <t>Витамины для мужчин комплекс для здоровья и мышечной массы набор 3 в 1 qeep</t>
  </si>
  <si>
    <t>https://www.wildberries.ru/catalog/294499466/detail.aspx</t>
  </si>
  <si>
    <t>https://www.ozon.ru/product/1773345751</t>
  </si>
  <si>
    <t>https://market.yandex.ru/card/vitaminy-dlya-muzhchin-kompleks-dlya-zdorovya-i-myshechnoy-massy-qeep/103665490060?businessId=8291477&amp;clid=8291477&amp;model_id=1111672191&amp;distr_type=8&amp;pp=605</t>
  </si>
  <si>
    <t>4680201379677</t>
  </si>
  <si>
    <t>qeep_Perfectman_60caps qeep_creatine_300g qeep_glutamine_90caps</t>
  </si>
  <si>
    <t>qeep_ezhovik_90caps</t>
  </si>
  <si>
    <t>БАД Ежовик ,qeep, 90 капсул</t>
  </si>
  <si>
    <t>QB101100431</t>
  </si>
  <si>
    <t>Ежовик гребенчатый + Витамин С 90 капсул</t>
  </si>
  <si>
    <t>Ежовик гребенчатый 540 мг Qeep 90 капсул</t>
  </si>
  <si>
    <t>https://www.wildberries.ru/catalog/220091999/detail.aspx</t>
  </si>
  <si>
    <t>https://www.ozon.ru/product/1342086207</t>
  </si>
  <si>
    <t>AM.01.01.01.003.R.000644.09.23 от 08.09.2023 г.</t>
  </si>
  <si>
    <t>Экстракт ежовика гребенчатого, аскорбиновая кислота (витамин С),  твёрдая желатиновая капсула.</t>
  </si>
  <si>
    <t>взрослым по 1 капсуле 2 раза в день.
Продолжительность приёма: 1 месяц. При необходимости повторить.</t>
  </si>
  <si>
    <t>https://docs.google.com/document/d/1TkKuGmIaOBHPRebBCMrk1jw4gPruGNn2Z4TrA0AOoOo/edit</t>
  </si>
  <si>
    <t>qeepacnecontrol</t>
  </si>
  <si>
    <t>Сыворотка отбеливающая для лица, ,qeep, 30 мл</t>
  </si>
  <si>
    <t>QC101100408</t>
  </si>
  <si>
    <t>Сыворотка отбеливающая для лица от прыщей и угрей</t>
  </si>
  <si>
    <t>Сыворотка отбеливающая для лица от прыщей и угрей, 30 мл</t>
  </si>
  <si>
    <t>https://www.wildberries.ru/catalog/128833711/detail.aspx</t>
  </si>
  <si>
    <t>https://www.ozon.ru/product/767090126</t>
  </si>
  <si>
    <t>4630040229770</t>
  </si>
  <si>
    <t>ЕАЭС KG417/024.Д.0015981 от 20.10.2022</t>
  </si>
  <si>
    <t>не производим</t>
  </si>
  <si>
    <t xml:space="preserve">Aqua, Salicylic acid, Azelaic acid, Nicotinamide, Isopentyldiol, Pentylene Glycol, Propylene glycol, Sodium alginate, Xanthan Gum, Phenoxyethanol, Ethylhexylglycerin, Triethanolamine. </t>
  </si>
  <si>
    <t>наносить на очищенную кожу лица утром и вечером. При необходимости через 10 минут завершить уход кремом для лица.</t>
  </si>
  <si>
    <t xml:space="preserve">только для наружного применения. Возможна индивидуальная непереносимость отдельных компонентов средства. Не наносить на раздраженную или поврежденную кожу. При попадании в глаза промыть водой. </t>
  </si>
  <si>
    <t>После вскрытия упаковки хранить в прохладном месте не более 6 месяцев.
Хранить при температуре — (20 ± 5)°С
Относительная влажность воздуха — (30 ÷ 80)</t>
  </si>
  <si>
    <t>3 года, 6 мес после открытия</t>
  </si>
  <si>
    <t>36 месяца, 6 мес после открытия</t>
  </si>
  <si>
    <t>https://docs.google.com/document/d/1hZzWntsa1ttHbrD0MY3CDNwS8ErnzrIAOOxQLN5XlFg/edit</t>
  </si>
  <si>
    <t>https://drive.google.com/drive/u/0/folders/14KmE9g7VNzP-n3I9kbp2DWvNX98jU4Ee</t>
  </si>
  <si>
    <t>Общество с ограниченной ответственностью "САНАТА"
Место нахождения (адрес юридического лица) и адрес места осуществления
деятельности по изготовлению продукции: 111141, Россия, город Москва, улица
Плеханова, дом 11, строение 35, помещение II, комната 9</t>
  </si>
  <si>
    <t xml:space="preserve">Елена Бодрова managerbe@sanatamarket.ru Тел. 8(495) 640-97-59 
моб. 8-916-885-65-65 
</t>
  </si>
  <si>
    <t>qeep_cacao_400g</t>
  </si>
  <si>
    <t>БАД Какао с витаминами ,qeep, 400 г</t>
  </si>
  <si>
    <t>QB101100442</t>
  </si>
  <si>
    <t>Какао растворимый порошок натуральный с витаминами</t>
  </si>
  <si>
    <t>Какао с витаминами детское, натуральный растворимый напиток 400 г</t>
  </si>
  <si>
    <t>https://www.wildberries.ru/catalog/170000477/detail.aspx</t>
  </si>
  <si>
    <t>https://www.ozon.ru/product/1099704127</t>
  </si>
  <si>
    <t>https://market.yandex.ru/card/kakao-s-vitaminami-detskoye-naturalnyy-rastvorimyy-napitok-400-g/102619837298?businessId=8291477&amp;showOriginalKmEmptyOffer=1&amp;ogV=-10</t>
  </si>
  <si>
    <t>Какао</t>
  </si>
  <si>
    <t>продукты / бакалейные товары / чай, кофе, какао / какао, горячий шоколад</t>
  </si>
  <si>
    <t>AM.01.01.01.005.R.000412.05.23 от 31.05.2023</t>
  </si>
  <si>
    <t>https://drive.google.com/drive/folders/1t3pRcXc5eMVPYkD0IygwKFfB9wALrIV2</t>
  </si>
  <si>
    <t>какао-порошок, сливки растительные, витаминно-минеральный комплекс (калий, натрий, кальций, магний, железо, медь, цинк, тиамин, рибофлавин, никотиновая кислота, пантотеновая кислота, пиридоксин, токоферол), натуральный ароматизатор, кремния диоксид коллоидный (АЭРОСИЛ@), сахароза, аскорбиновая кислота.</t>
  </si>
  <si>
    <t xml:space="preserve">10 грамм сухого напитка (4 чайные ложки), залить 1 стаканом горячего молока или воды и размешать.
</t>
  </si>
  <si>
    <t xml:space="preserve"> хранить в сухом прохладном месте при температуре от +5 °С до +25 °С и относительной влажности воздуха не более 75%. 
Вскрытую упаковку хранить в сухом прохладном месте, не более 2 месяцев. После каждого использования упаковку тщательно закрывать.
</t>
  </si>
  <si>
    <t>https://docs.google.com/document/d/10NaJF4f0OLm9hZOFZLaLP2BgMcLpMY05cq4Fq-ReqDU/edit</t>
  </si>
  <si>
    <t>https://drive.google.com/drive/u/0/folders/15oQ06_oLcwjgUy6NvOaZKsEC6wK7Rm42</t>
  </si>
  <si>
    <t>qeep_resveratrol_60caps</t>
  </si>
  <si>
    <t>БАД Ресвератрол ,qeep, 60 капсул</t>
  </si>
  <si>
    <t>QB101100488</t>
  </si>
  <si>
    <t>Ресвератрол для сердечно-сосудистой системы</t>
  </si>
  <si>
    <t>Ресвератрол 100 мг Qeep 60 капсул</t>
  </si>
  <si>
    <t>https://www.wildberries.ru/catalog/186780052/detail.aspx</t>
  </si>
  <si>
    <t>https://www.ozon.ru/product/1271329609</t>
  </si>
  <si>
    <t>RU.77.99.88.003.R.002117.08.23 от 01.08.2023</t>
  </si>
  <si>
    <t>https://drive.google.com/drive/folders/1nNNyxnFgfAJbbnMDM2w0BjKZCJa46N-0</t>
  </si>
  <si>
    <t>ресвератрол 50 % (201 мг), желатин (оболочка капсулы), экстракт красного вина (35 мг), экстракт листьев персика обыкновенного (10 мг), микрокристаллическая целлюлоза (носитель Е460).</t>
  </si>
  <si>
    <t xml:space="preserve">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t>
  </si>
  <si>
    <t>индивидуальная непереносимость компонентов БАД, беременность, кормление грудью.</t>
  </si>
  <si>
    <t xml:space="preserve">в защищенном от попадания прямых солнечных лучей и недоступном для детей месте при температуре не выше +25 ℃
</t>
  </si>
  <si>
    <t>https://docs.google.com/document/d/1E3e08-6gSBAz0aVBD7-aGPtvnHpkJ1Qs7A1h_rkJ9h0/edit?usp=sharing</t>
  </si>
  <si>
    <t>https://drive.google.com/drive/u/0/folders/1_1YYNB-kfB8n5Z7kjtT4Td_alwsowJhg</t>
  </si>
  <si>
    <t>qeepzeolite</t>
  </si>
  <si>
    <t>БАД Цеолит ,qeep,</t>
  </si>
  <si>
    <t>QB101100501</t>
  </si>
  <si>
    <t>Цеолит таблетки для похудения и иммунитета</t>
  </si>
  <si>
    <t>https://www.wildberries.ru/catalog/133689253/detail.aspx</t>
  </si>
  <si>
    <t>4607004120152</t>
  </si>
  <si>
    <t>KZ.16.01.78.003.Е.001245.12.16 от 09.12.2016 г.</t>
  </si>
  <si>
    <t>цеолит природный - 67,0 %, клюква сублимационной сушки - 33,0 %</t>
  </si>
  <si>
    <t>по 5 таблеток 2 раза в день во время еды, запивая ½ - 1 стаканом воды. Разносить с приемом лекарственных препаратов на 1,5–2 часа. Продолжительность приема – 1 месяц.</t>
  </si>
  <si>
    <t>индивидуальная непереносимость компонентов продукта, беременность, кормление грудью, язвенная болезнь желудка и двенадцатиперстной кишки, гиперацидный гастрит, заболевание печени. Перед применением проконсультироваться с врачом.</t>
  </si>
  <si>
    <t>хранить в сухом месте, в плотно закрытой упаковке, при температуре от -30 оС до +30 оС и относительной влажности не более 75 %. </t>
  </si>
  <si>
    <t>https://docs.google.com/document/d/1rrQM0hv5GWuWEBPl6pGQ3I3IqJhVSyegKMAE_eyYtoY/edit?usp=sharing</t>
  </si>
  <si>
    <t>https://drive.google.com/drive/u/0/folders/1Il7uD0ZJ1m2bml1n_U6sgON5EevG43OM</t>
  </si>
  <si>
    <t>Предприятие-изготовитель:  АО НПФ "НОВЬ" Юридический адрес изготовителя: 630004, Россия, г. Новосибирск, ул. Ленина, д. 28, тел. (383) 202-01-08. Адрес производства изготовителя: 630003, г. Новосибирск, ул. Владимировская, д. 1а</t>
  </si>
  <si>
    <t>Яков Новосёлов novosj@mail.ru 89039391140 (генеральный директор)</t>
  </si>
  <si>
    <t>qeep_folic_omega_60caps</t>
  </si>
  <si>
    <t>БАД Фолиевая кислота ,qeep, 60 капсул</t>
  </si>
  <si>
    <t>QB101100500</t>
  </si>
  <si>
    <t>Фолиевая кислота с Омега-3 и витамином B9</t>
  </si>
  <si>
    <t>Фолиевая кислота 300 мкг Qeep 60 капсул</t>
  </si>
  <si>
    <t>https://www.wildberries.ru/catalog/167273376/detail.aspx</t>
  </si>
  <si>
    <t>https://www.ozon.ru/product/1068139791</t>
  </si>
  <si>
    <t>4620153903612</t>
  </si>
  <si>
    <t>RU.77.99.88.003.E.003228.09.19 от 09.09.2019</t>
  </si>
  <si>
    <t>https://drive.google.com/drive/folders/1fe40XNW18duzz1jH1DKDYAwIvEmP5p-W</t>
  </si>
  <si>
    <t xml:space="preserve">экстракт семени льна, витамин В9 (фолиевая кислота), диоксид кремния (носитель), пищевая добавка антиокислитель "Гриндокс" (аскорбилпальмитат, смесь натуральных токоферолов, лецитин, рапсовое масло), капсула желатиновая (желатин, глицерин). </t>
  </si>
  <si>
    <t>взрослым по 1 капсуле 2 раза в день во время еды. Продолжительность приема – 1 месяц.</t>
  </si>
  <si>
    <t>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t>
  </si>
  <si>
    <t xml:space="preserve">в недоступном для детей месте, при температуре от +15 до +25 ºС и относительной влажности воздуха не более 60%. </t>
  </si>
  <si>
    <t>https://docs.google.com/document/d/1EN9TiIENzquP1oZ4AOJELEGcBNMpYWgtpzbSdmyw5Tw/edit?usp=sharing</t>
  </si>
  <si>
    <t>https://drive.google.com/drive/u/0/folders/1Oo-Y8C4Gye2-wnuhQNuFbe1NUyq5Cgcc</t>
  </si>
  <si>
    <t>qeep_bcomplex_60caps</t>
  </si>
  <si>
    <t>БАД Витамины группы B ,qeep, 60 капсул</t>
  </si>
  <si>
    <t>QB101100410</t>
  </si>
  <si>
    <t>Комплекс БАДы витамины группы B</t>
  </si>
  <si>
    <t>Витамины группы B Qeep 60 капсул</t>
  </si>
  <si>
    <t>https://www.wildberries.ru/catalog/186730528/detail.aspx</t>
  </si>
  <si>
    <t>https://www.ozon.ru/product/1271355943</t>
  </si>
  <si>
    <t>AM.01.06.01.003.R.000078.04.22 от 25.04.2022</t>
  </si>
  <si>
    <t>пиридоксина гидрохлорид, рибофлавин, тиамин, фолиевая кислота, цианокобаламин, микрокристаллическая целлюлоза (носитель), компонент капсулы (пищевая добавка: желатин - загуститель), ниацинамид, пантотенат кальция, диоксид кремния (агент антислеживающий), стеарат кальция (агент антислеживающий)</t>
  </si>
  <si>
    <t xml:space="preserve">хранить в оригинальной упаковке в недоступном для детей месте при температуре хранения от 2℃ до 25℃
</t>
  </si>
  <si>
    <t>https://docs.google.com/document/d/17vFG6AhhCXdDPeLpUXvtOv34yRlarYT12frJUNtdf9s/edit?usp=sharing</t>
  </si>
  <si>
    <t>https://drive.google.com/drive/u/0/folders/1VsmyVVydmkhy-roPjZ-DSMlb1dwgK6OD</t>
  </si>
  <si>
    <t xml:space="preserve">ООО "Грин сайд», Алтайский край,г.Барнаул, пр-т Южный дом 9, стр.Н-1. </t>
  </si>
  <si>
    <t xml:space="preserve">Светлана Захарова,
тел + 7 495 989 11 95 (доб.2525)
whatsapp +7 495 989 11 95
</t>
  </si>
  <si>
    <t>qeep_ginseng_60tabs</t>
  </si>
  <si>
    <t>БАД Женьшень ,qeep, 60 таблеток</t>
  </si>
  <si>
    <t>QB101100434</t>
  </si>
  <si>
    <t>Бады корень женьшеня для здоровья</t>
  </si>
  <si>
    <t>Женьшень Qeep 60 таблеток</t>
  </si>
  <si>
    <t>https://www.wildberries.ru/catalog/157007801/detail.aspx</t>
  </si>
  <si>
    <t>https://www.ozon.ru/product/946976846</t>
  </si>
  <si>
    <t>RU.77.99.88.003.R.000771.03.22 от 15.03.2022</t>
  </si>
  <si>
    <t>экстракт корней женьшеня, экстракт плодов шиповника, кальция стеарат (антислеживающий агент), Лактоза (наполнитель).</t>
  </si>
  <si>
    <t xml:space="preserve">Взрослым по 2 таблетки в день во время еды, продолжительность приема - 2 недели. Перерыв между приемами не менее 10 дней. </t>
  </si>
  <si>
    <t xml:space="preserve">индивидуальная непереносимость компонентов продукта, беременным и кормящим женщинам, повышенная нервная возбудимость, бессонница, повышенное артериальное давление, нарушение сердечной деятельности, выраженный атеросклероз, не принимать в вечернее время. Перед применением необходимо проконсультироваться с врачом. </t>
  </si>
  <si>
    <t>Хранить в сухом, защищённом от света месте, при температуре не выше 25°С</t>
  </si>
  <si>
    <t>табл</t>
  </si>
  <si>
    <t>https://docs.google.com/document/d/11j4gT8mWiV4RPBMlpHZeWdHpdrsJQ8yuj2MBiKOFI64/edit?usp=sharing</t>
  </si>
  <si>
    <t>https://drive.google.com/drive/u/0/folders/1cL0YNWfzp1cHkAKqgRTVUQ0zM4ItoU-8</t>
  </si>
  <si>
    <t>qeep_beautybox</t>
  </si>
  <si>
    <t>БАД Комплекс витаминов для женщин ,qeep, набор</t>
  </si>
  <si>
    <t>QB101100453</t>
  </si>
  <si>
    <t>Набор омега 3 биотин коллаген</t>
  </si>
  <si>
    <t>Комплекс витаминов для женщин омега 3, биотин, коллаген qeep</t>
  </si>
  <si>
    <t>https://www.wildberries.ru/catalog/294499169/detail.aspx</t>
  </si>
  <si>
    <t>https://www.ozon.ru/product/1773312643</t>
  </si>
  <si>
    <t>https://market.yandex.ru/card/kompleks-vitaminov-dlya-zhenshchin-omega-3-biotin-kollagen-qeep/103665478170?businessId=8291477&amp;showOriginalKmEmptyOffer=1&amp;ogV=-10</t>
  </si>
  <si>
    <t>4680201379646</t>
  </si>
  <si>
    <t>qeep_biotin_5000_60caps qeepTVomega_3_1620 qeep_perfectwoman_60caps</t>
  </si>
  <si>
    <t>qeep_winterbox</t>
  </si>
  <si>
    <t>БАД Витамины для иммунитета ,qeep, набор</t>
  </si>
  <si>
    <t>QB101100414</t>
  </si>
  <si>
    <t>Набор д3 витамин С и цинк хелат</t>
  </si>
  <si>
    <t>Витамины для иммунитета комплекс Д3, витамин С и цинк хелат qeep</t>
  </si>
  <si>
    <t>Витамины для иммунитета комплекс Д3, витамин С и цинк хелат набор 3 в 1 qeep</t>
  </si>
  <si>
    <t>https://www.wildberries.ru/catalog/294499845/detail.aspx</t>
  </si>
  <si>
    <t>https://www.ozon.ru/product/1773357213</t>
  </si>
  <si>
    <t>https://market.yandex.ru/card/vitaminy-dlya-immuniteta-kompleks-d3-vitamin-s-i-tsink-khelat-qeep/103665484859?businessId=8291477&amp;clid=8291477&amp;model_id=1111672191&amp;distr_type=8&amp;pp=605</t>
  </si>
  <si>
    <t>4680201379622</t>
  </si>
  <si>
    <t>qeep_D3_2000ME_120caps qeep_sodium_ascorbate_90caps qeep_zinc_30tabs</t>
  </si>
  <si>
    <t>qeeptripleiron</t>
  </si>
  <si>
    <t>QB101100432</t>
  </si>
  <si>
    <t>БАД железо витамины хелат</t>
  </si>
  <si>
    <t>Железо хелат витамины 14 мг Qeep 60 капсул</t>
  </si>
  <si>
    <t>https://www.wildberries.ru/catalog/133694038/detail.aspx</t>
  </si>
  <si>
    <t>https://www.ozon.ru/product/786142411</t>
  </si>
  <si>
    <t>4630040229787</t>
  </si>
  <si>
    <t>AM.01.06.01.003.R.000153.12.20 от 03.12.2020 г.</t>
  </si>
  <si>
    <t>инулин (носитель), хлореллы порошок, капсула желатиновая (желатин, глицерин), железа бисглицинат, витамин С (аскорбиновая кислота), мальтодекстрин (носитель), кальция стеарат (агент антислеживающий), гуммиарабик (носитель), клеточный сок пихты сибирской микрокапсулированный, витамин В9 (фолиевая кислота), витамин В12 (цианокобаламин).</t>
  </si>
  <si>
    <t>взрослым по 1 капсуле в день. В течение двух часов после приема препарата не следует пить кофе, черный чай, молоко, кисло - молочные напитки, яйца, творог. Продолжительность приема не менее 3 месяцев. Прием повторить в течение года.</t>
  </si>
  <si>
    <t>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согласованию и под наблюдением врача.</t>
  </si>
  <si>
    <t>в недоступном для детей месте, при температуре не выше +25 ºС и относительной влажности воздуха не более 60%.</t>
  </si>
  <si>
    <t>https://docs.google.com/document/d/1HrMubM4CRamZDRvAtmb8UDWT____zSUD/edit</t>
  </si>
  <si>
    <t>https://drive.google.com/drive/u/0/folders/1_1Cod5honZP5f4C3XTa-GOsEda_HuYp7</t>
  </si>
  <si>
    <t>qeepselenium</t>
  </si>
  <si>
    <t>БАД Селен ,qeep, 60 капсул</t>
  </si>
  <si>
    <t>QB101100489</t>
  </si>
  <si>
    <t>Селен витамины для иммунитета и щитовидной железы</t>
  </si>
  <si>
    <t>Селен витамины 125 мкг Qeep 60 капсул</t>
  </si>
  <si>
    <t>https://www.wildberries.ru/catalog/138754901/detail.aspx</t>
  </si>
  <si>
    <t>https://www.ozon.ru/product/809190803</t>
  </si>
  <si>
    <t>RU.77.99.11.003.R.002948.09.20 от 14.09.2020 г.</t>
  </si>
  <si>
    <t>https://drive.google.com/drive/folders/1Jcn4RMclkAtu9Eg88kCcztJsTsKo8Ss3</t>
  </si>
  <si>
    <t>льняное масло, капсула желатиновая (желатин, глицерин), антиокислитель «гриндокс 539» (аскорбилпальмитат, натуральные токоферолы, лецитин, рапсовое масло), селексен (селен).</t>
  </si>
  <si>
    <t>взрослым по 1 капсуле в день во время еды. Продолжительность приема 4 недели.</t>
  </si>
  <si>
    <t>https://docs.google.com/document/d/1KfsgKW01fshb7iJGS5s73BoUUtzExy6R7nam8cSZELU/edit#heading=h.l6bt37hxy2ai</t>
  </si>
  <si>
    <t>https://drive.google.com/drive/u/0/folders/1nkFEjxz8j3P9rdPjEbc9WsOj33NTn1Gm</t>
  </si>
  <si>
    <t>qeep_calcium_90caps</t>
  </si>
  <si>
    <t>БАД Кальций ,qeep, 90 капсул</t>
  </si>
  <si>
    <t>QB101100443</t>
  </si>
  <si>
    <t>Кальций д3 БАД для суставов и связок</t>
  </si>
  <si>
    <t>Кальций 320 мг Qeep 90 капсул</t>
  </si>
  <si>
    <t>https://www.wildberries.ru/catalog/176110742/detail.aspx</t>
  </si>
  <si>
    <t>https://www.ozon.ru/product/1180963859</t>
  </si>
  <si>
    <t>RU.77.99.11.003.R.002466.07.22 от 27.07.2022 г.</t>
  </si>
  <si>
    <t>кальция карбонат, комплекс «КальциМатрикс (CalciMatrix)» (целлюлоза микрокристаллическая (носитель), кальция ортофосфат, кальция аскорбат, каменное масло горного Алтая (соль пищевая серии каменное масло, магния цитрат, цинка цитрат, мальтодекстрин (носитель)), марганца L-аспарагинат, витамин D3 (холекальциферол)), меди цитрат), капсула желатиновая (желатин (носитель), глицерин (агент влагоудерживающий), крахмал модифицированный (носитель), кремния диоксид (агент антислеживающий), кальциевая соль стеариновой кислоты (агент антислеживающий).</t>
  </si>
  <si>
    <t>взрослым по 1 капсуле 2 раза в день во время еды. Продолжительность приема 1 месяц.</t>
  </si>
  <si>
    <t xml:space="preserve">хранить в недоступном для детей месте, при температуре не выше 25 ºС и относительной влажности воздуха не более 60%.
</t>
  </si>
  <si>
    <t>https://docs.google.com/document/d/1auYzdqvlAiSwa_LWQbfjMXaJ0l5VYdU5jUbveUemjnQ/edit?usp=sharing</t>
  </si>
  <si>
    <t>https://drive.google.com/drive/u/0/folders/1ADX-2RiCpeMlqBHtyV_UlAtnwCX6DLT-</t>
  </si>
  <si>
    <t>qeep_iodine_60caps</t>
  </si>
  <si>
    <t>БАД Йод ,qeep, 60 капсул</t>
  </si>
  <si>
    <t>QB101100441</t>
  </si>
  <si>
    <t>Йод органический БАДы для здоровья щитовидной железы</t>
  </si>
  <si>
    <t>Йод 200 мкг Qeep 60 капсул</t>
  </si>
  <si>
    <t>https://www.wildberries.ru/catalog/186777993/detail.aspx</t>
  </si>
  <si>
    <t>https://www.ozon.ru/product/1271349661</t>
  </si>
  <si>
    <t>https://market.yandex.ru/card/yod-200-mkg-qeep-60-kapsul/102626043688?businessId=8291477&amp;showOriginalKmEmptyOffer=1&amp;ogV=-10</t>
  </si>
  <si>
    <t>AM.01.01.01.003.R.000126.02.23 от 27.02.2023 г.</t>
  </si>
  <si>
    <t>йодказеин, калия иодат, кобальта аспарагинат, L-тирозин.  Вспомогательные вещества: микрокристаллическая целлюлоза (носитель), капсула желатиновая (желатин, глицерин (агент влагоудерживающий), крахмал картофельный (носитель), кремния диоксид (агент антислеживающий), кальция стеарат (агент антислеживающий).</t>
  </si>
  <si>
    <t>взрослым по 1 капсуле 2 раза в день во время еды. Продолжительность приёма 1 месяц. Прием можно повторять 2-3 раза в год или чаще по согласованию с врачом.</t>
  </si>
  <si>
    <t xml:space="preserve">в недоступном для детей месте, при температуре не выше 25 ºС и относительной влажности воздуха не более 60%.
</t>
  </si>
  <si>
    <t>https://docs.google.com/document/d/15OTlvSdCLCJEaKElGaJ8Ym8TMDYsL49mcDvQYC7zyFA/edit?usp=sharing</t>
  </si>
  <si>
    <t>https://drive.google.com/drive/u/0/folders/1FInSd-u437zjcUQxU_ROA13MEdRVwj6T</t>
  </si>
  <si>
    <t>qeep_zinc_30tabs</t>
  </si>
  <si>
    <t>БАД Цинк хелат ,qeep, 30 таблеток</t>
  </si>
  <si>
    <t>QB101100502</t>
  </si>
  <si>
    <t>Цинк хелат 25 мг Qeep 30 таблеток</t>
  </si>
  <si>
    <t>Цинк хелат, цинк для кожи, волос, ногтей 25 мг Qeep 30 таблеток</t>
  </si>
  <si>
    <t>https://www.wildberries.ru/catalog/229177840/detail.aspx</t>
  </si>
  <si>
    <t>https://www.ozon.ru/product/1566740410</t>
  </si>
  <si>
    <t>https://market.yandex.ru/card/tsink-khelat-25-mg-qeep-30-tabletok/103398260185?businessId=8291477&amp;clid=8291477&amp;model_id=838753782&amp;distr_type=8&amp;pp=605</t>
  </si>
  <si>
    <t>цинка бисглицинат,  МКЦ (наполнитель), кальция стеарат (антислеживающий агент), аэросил (антислеживающий агент).</t>
  </si>
  <si>
    <t>взрослым по 1 таблетке 1 раз в день во время еды. Продолжительность приёма - 1 месяц. При необходимости прием можно повторить.</t>
  </si>
  <si>
    <t>в недоступном для детей месте при температуре не выше 25°С.</t>
  </si>
  <si>
    <t>как цинк 90</t>
  </si>
  <si>
    <t>qeepchrom1+1</t>
  </si>
  <si>
    <t>БАД Пиколинат хрома ,qeep, 60+60 капсул набор</t>
  </si>
  <si>
    <t>QB101100478</t>
  </si>
  <si>
    <t>Пиколинат хрома 280 мг Qeep 60+60 капсул</t>
  </si>
  <si>
    <t>https://www.wildberries.ru/catalog/161355809/detail.aspx</t>
  </si>
  <si>
    <t>https://www.ozon.ru/product/983821094</t>
  </si>
  <si>
    <t>2037849745517</t>
  </si>
  <si>
    <t>60+60</t>
  </si>
  <si>
    <t>qeepmctd3</t>
  </si>
  <si>
    <t>БАД Масло мст ,qeep, 60 капсул</t>
  </si>
  <si>
    <t>QB101100464</t>
  </si>
  <si>
    <t>Витамин Д3 и масло мст бад похудение и иммунитет</t>
  </si>
  <si>
    <t>Масло мст + Витамин Д3 600 МЕ Qeep 60 капсул</t>
  </si>
  <si>
    <t>https://www.wildberries.ru/catalog/133851547/detail.aspx</t>
  </si>
  <si>
    <t>https://www.ozon.ru/product/782091641</t>
  </si>
  <si>
    <t>4630040229763</t>
  </si>
  <si>
    <t>RU.77.99.11.003.R.000753.03.22 от 11.03.2022 г.</t>
  </si>
  <si>
    <t xml:space="preserve">каприл-каприновые триглицериды, капсула растительная (носитель крахмал модифицированный, каррагинан, агент влагоудерживающий глицерин), витамин D3 (холекальциферол), антиокислитель Гриндокс (аскорбилпальмитат, натуральные токоферолы, лецитин, рапсовое масло).
</t>
  </si>
  <si>
    <t>взрослым по 1 капсуле в день во время еды. Продолжительность приема 1 месяц.</t>
  </si>
  <si>
    <t>Хранить в сухом, защищенном от прямых солнечных лучей и недоступном для детей месте, при температуре от 15°С до 25°С и относительной влажности воздуха не более 60%.</t>
  </si>
  <si>
    <t>https://docs.google.com/document/d/1ThcayqgrOo1pLvAsWZhQ16LA69NqV_9K/edit</t>
  </si>
  <si>
    <t>https://drive.google.com/drive/u/0/folders/117OppYloEvtUnhrD6HOxWVPYonPbZOux</t>
  </si>
  <si>
    <t>qeepd3k2</t>
  </si>
  <si>
    <t>БАД Д3 К2 ,qeep, 60 капсул</t>
  </si>
  <si>
    <t>QB101100421</t>
  </si>
  <si>
    <t>Витамин Д3 5 мкг и Витамин К2 6 мкг Qeep 60 капсул</t>
  </si>
  <si>
    <t>https://www.wildberries.ru/catalog/134150432/detail.aspx</t>
  </si>
  <si>
    <t>https://www.ozon.ru/product/784856113</t>
  </si>
  <si>
    <t>2253870026870</t>
  </si>
  <si>
    <t>RU.77.99.88.003.R.003512.09.19 от 24.09.2019</t>
  </si>
  <si>
    <t>менахинон (витамин К2), холекальциферол (витамин D3), масло подсолнечное высокоолеиновое рафинированное (носитель), антиокислитель гриндокс (аскорбилпальмитат, натуральный концентрат смеси токоферолов, лецитин, рапсовое масло), капсула желатиновая (желатин, глицерин).</t>
  </si>
  <si>
    <t>Хранить в недоступном для детей месте, при температуре от +15 до +25ºС и относительной влажности воздуха не более 60%.</t>
  </si>
  <si>
    <t>https://docs.google.com/document/d/1yixXXuC4-pYV5bZp63kx9O0T84_cJXX6yB4vQAfGVJA/edit</t>
  </si>
  <si>
    <t>https://drive.google.com/drive/u/0/folders/1uBqzRgevQQ33UxyNkNFz5PBYU860OfPA</t>
  </si>
  <si>
    <t>qeepd3k3_1+1</t>
  </si>
  <si>
    <t>БАД Д3 К2 ,qeep, 60+60 капсул набор</t>
  </si>
  <si>
    <t>QB101100422</t>
  </si>
  <si>
    <t>Витамины д3 + к2 для иммунитета и активности мозга</t>
  </si>
  <si>
    <t>Витамин Д3 5 мкг и Витамин К2 6 мкг Qeep 60+60 капсул</t>
  </si>
  <si>
    <t>https://www.wildberries.ru/catalog/152169206/detail.aspx</t>
  </si>
  <si>
    <t>https://www.ozon.ru/product/901402455</t>
  </si>
  <si>
    <t>2037612220579</t>
  </si>
  <si>
    <t>60*2 капсул</t>
  </si>
  <si>
    <t>qeepvitakids</t>
  </si>
  <si>
    <t>QB101100429</t>
  </si>
  <si>
    <t>Витамины для детей мультивитамины для иммунитета и роста</t>
  </si>
  <si>
    <t>https://www.wildberries.ru/catalog/91968870/detail.aspx</t>
  </si>
  <si>
    <t>https://www.ozon.ru/product/637790722</t>
  </si>
  <si>
    <t>4630040228476</t>
  </si>
  <si>
    <t>AM.01.06.01.003.R.000004.01.22</t>
  </si>
  <si>
    <t>кальция карбонат (морские известняковые водоросли Аквамин F), магния цитрат, холина битартрат, витамин С (натрия аскорбат), кальция карбонат, железа пирофосфат, арабиногалактан, биомассы гидролизованные сухие ультрализаты пептидные: BB-In Bifidobacterium infantis, «BB-Ln» Bifidobacterium longum, «BB-Br» Bifidobacterium breve, цинка цитрат, гибискуса цветков экстракт, витамин Е (токоферола ацетат), витамин В3 (никотинамид), бета-каротин, витамин D3 (холекальциферол), витамин В5 (кальция пантотенат), меди цитрат, витамин В6 (пиридоксина гидрохлорид), витамин В1 (тиамина мононитрат), витамин В2 (рибофлавин), йодказеин, витамин К (менахинон), хрома пиколинат, витамин В9 (фолиевая кислота), витамин В12 (цианокобаламин), витамин Н (биотин). Вспомогательные вещества: сахароза, агенты антислеживающие: кальция стеарат, кремния диоксид.</t>
  </si>
  <si>
    <t>детям от 3 лет по 1 таблетке в день разжевывать во время приема пищи. Продолжительность приема 1 месяц.</t>
  </si>
  <si>
    <t>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t>
  </si>
  <si>
    <t>в недоступном для детей месте, при температуре не выше 25ºС и относительной влажности воздуха не более 60%.</t>
  </si>
  <si>
    <t>https://drive.google.com/drive/u/0/folders/1BVuNK54fppOa8HBSYgKwVscUCPlIBmaE</t>
  </si>
  <si>
    <t>https://drive.google.com/drive/u/0/folders/1COf_8PlaDgAGDHeeZrVFa959w7zdu5im</t>
  </si>
  <si>
    <t>qeep_dinokids_30caps</t>
  </si>
  <si>
    <t>БАД для детей жевательные ,qeep, 30 шт</t>
  </si>
  <si>
    <t>QB101100426</t>
  </si>
  <si>
    <t>БАДы Витамины для детей жевательные</t>
  </si>
  <si>
    <t>Витамины бады для детей мультивитамины жевательные детские</t>
  </si>
  <si>
    <t>https://www.wildberries.ru/catalog/159980608/detail.aspx</t>
  </si>
  <si>
    <t>https://www.ozon.ru/product/967716766</t>
  </si>
  <si>
    <t>4680169560155</t>
  </si>
  <si>
    <t>RU.77.99.88.003.Е.010701.12.15 от 09.12.2015 г.</t>
  </si>
  <si>
    <t>витаминный премикс (мальтодекстрин, аскорбиновая кислота, ниацинамид, витамин Е, пиридоксина гидрохлорид, ретинол ацетат, фолиевая кислота, витамин К1, биотин, витамин Д3, витамин В12), лимонная кислота (регулятор кислотности), сахар, глюкозный сироп, вода, желатин,  глицерин (влагоудерживающий агент), краситель натуральный «Кармин», ароматизатор натуральный «Клубника», глазирователь (масло подсолнечное, воск пчелиный, воск карнаубский).</t>
  </si>
  <si>
    <t>взрослым и детям старше 3 лет по 1 пастилке 1 раз в день. Продолжительность приема – 1 месяц. Возможны повторные приемы в течение года.</t>
  </si>
  <si>
    <t>индивидуальная непереносимость компонентов продукта, беременность, кормление грудью, нарушения углеводного обмена. Перед применением рекомендуется проконсультироваться с врачом.</t>
  </si>
  <si>
    <t>жевательных пастилок</t>
  </si>
  <si>
    <t>https://docs.google.com/document/d/1jIKHjyWFHZLHNCdEVSki1l8om9KpFxtRQz_Q4rZNu7M/edit?usp=sharing</t>
  </si>
  <si>
    <t>qeepwomenmulti</t>
  </si>
  <si>
    <t>БАД мультивитамины для женщин ,qeep, 30 капсул</t>
  </si>
  <si>
    <t>QB101100467</t>
  </si>
  <si>
    <t>Витамины Women multi vitamin для здоровья и красоты БАД</t>
  </si>
  <si>
    <t>Витамины для женщин Qeep 30 капсул</t>
  </si>
  <si>
    <t>https://www.wildberries.ru/catalog/90382271/detail.aspx</t>
  </si>
  <si>
    <t>https://www.ozon.ru/product/617417253</t>
  </si>
  <si>
    <t>4630040228339</t>
  </si>
  <si>
    <t>RU.77.99.11.003.R.004710.12.19 от 24.12.2019 г.</t>
  </si>
  <si>
    <t>рыбий жир, капсула желатиновая (желатин, глицерин), витекса священного экстракт, кремния диоксид (носитель), солодки корня экстракт, витамин Е (токоферола ацетат), ресвератрол, витамин А (ретинола пальмитат), витамин В6 (пиридоксина гидрохлорид), гриндокс (антиокислитель), витамин В9 (фолиевая кислота), витамин D3 (холекальциферол), витамин Н (биотин).</t>
  </si>
  <si>
    <t>взрослым по 1 капсуле 1 раз в день, во время еды. Продолжительность приема 1 месяц.</t>
  </si>
  <si>
    <t>https://drive.google.com/drive/u/0/folders/1DUuSyfNCJ9RRCAlY3qs2QH_jJX1gQqq3</t>
  </si>
  <si>
    <t>qeepmultivitamin</t>
  </si>
  <si>
    <t>БАД мультивитамины для мужчин ,qeep, 60 капсул</t>
  </si>
  <si>
    <t>QB101100469</t>
  </si>
  <si>
    <t>Витамины для мужчин Омега 3 Д селен q10 multi vitamin</t>
  </si>
  <si>
    <t>Витамины для мужчины Qeep 60 капсул</t>
  </si>
  <si>
    <t>https://www.wildberries.ru/catalog/90471365/detail.aspx</t>
  </si>
  <si>
    <t>https://www.ozon.ru/product/618268309</t>
  </si>
  <si>
    <t>4630040228353</t>
  </si>
  <si>
    <t>RU.77.99.11.003.R.002995.09.20 от 15.09.2020 г.</t>
  </si>
  <si>
    <t xml:space="preserve">оливковое масло нерафинированное, рыбий жир, капсула желатиновая (желатин, глицерин, сорбит), кремния диоксид (носитель), карнозин, ликопин, фосфатидилсерин, коэнзим Q10, антиокислитель гриндокс (аскорбил пальмитат, натуральный концентрат смеси токоферолов, рапсовое масло), холекальциферол (витамин D3), селексен (селен). 
</t>
  </si>
  <si>
    <t>взрослым по 1 капсуле 1 раз в день во время приема пищи. Продолжительность приема 1 месяц.</t>
  </si>
  <si>
    <t xml:space="preserve">индивидуальная непереносимость компонентов, беременность и кормление грудью. Перед применением рекомендуется проконсультироваться с врачом. </t>
  </si>
  <si>
    <t>https://drive.google.com/drive/u/0/folders/1yuD2PuG4FdsyYSsQt8B5N-rYaectUFFZ</t>
  </si>
  <si>
    <t>qeepwomenmulti1+1</t>
  </si>
  <si>
    <t>БАД мультивитамины для женщин ,qeep, 30+30капсул набор</t>
  </si>
  <si>
    <t>QB101100468</t>
  </si>
  <si>
    <t>Витамины группы b, биотин мультивитамины</t>
  </si>
  <si>
    <t>https://www.wildberries.ru/catalog/148386453/detail.aspx</t>
  </si>
  <si>
    <t>https://www.ozon.ru/product/871809764</t>
  </si>
  <si>
    <t>2037517661576</t>
  </si>
  <si>
    <t>30+30</t>
  </si>
  <si>
    <t>qoenzyme1+1</t>
  </si>
  <si>
    <t>БАД Коэнзим q10 ,qeep, 30+30 капсул набор</t>
  </si>
  <si>
    <t>QB101100455</t>
  </si>
  <si>
    <t>Коэнзим q10 капсулы 60 шт</t>
  </si>
  <si>
    <t>Коэнзим q10 30 мг Qeep 30+30 капсул</t>
  </si>
  <si>
    <t>https://www.wildberries.ru/catalog/145755886/detail.aspx</t>
  </si>
  <si>
    <t>https://www.ozon.ru/product/872805901</t>
  </si>
  <si>
    <t>2037448909051</t>
  </si>
  <si>
    <t>qeepantioxy1+1</t>
  </si>
  <si>
    <t>БАД Дигидрокверцетин ,qeep, 30+30 капсул набор</t>
  </si>
  <si>
    <t>QB101100425</t>
  </si>
  <si>
    <t>Дигидрокверцетин + Витамин А, С, Е 25 мг Qeep 30+30 капсул</t>
  </si>
  <si>
    <t>https://www.wildberries.ru/catalog/149730224/detail.aspx</t>
  </si>
  <si>
    <t>https://www.ozon.ru/product/880444120</t>
  </si>
  <si>
    <t>2037552727756</t>
  </si>
  <si>
    <t>https://docs.google.com/document/d/1EIezxMzKUpoWGP3W2pUYe-Sa3on8YRHFyxttusem3As/edit?usp=sharing</t>
  </si>
  <si>
    <t>qeep_womenmulti_60caps</t>
  </si>
  <si>
    <t>QB101100413</t>
  </si>
  <si>
    <t>Витамины комплекс для иммунитета и красоты мультивитамины</t>
  </si>
  <si>
    <t>https://www.wildberries.ru/catalog/170004552/detail.aspx</t>
  </si>
  <si>
    <t>https://www.ozon.ru/product/1092025113</t>
  </si>
  <si>
    <t xml:space="preserve">рыбий жир, капсула желатиновая (желатин, глицерин), витекса священного экстракт, кремния диоксид (носитель), солодки корня экстракт, витамин Е (токоферола ацетат), ресвератрол, витамин А (ретинола пальмитат), витамин В6 (пиридоксина гидрохлорид), гриндокс (антиокислитель), витамин В9 (фолиевая кислота), витамин D3 (холекальциферол), витамин Н (биотин).
</t>
  </si>
  <si>
    <t xml:space="preserve">взрослым по 1 капсуле 1 раз в день, во время еды. Продолжительность приема 1 месяц.
</t>
  </si>
  <si>
    <t xml:space="preserve"> индивидуальная непереносимость компонентов, беременность и кормление грудью. Перед применением рекомендуется проконсультироваться с врачом.</t>
  </si>
  <si>
    <t xml:space="preserve"> в недоступном для детей месте, при температуре от +15 до +25ºС и относительной влажности воздуха не более 60%.
</t>
  </si>
  <si>
    <t>ООО «Сибфармконтракт», Россия, 634034, г. Томск, ул. Нахимова 8, стр. 11.
По заказу (организация, уполномоченная принимать претензии от потребителя): ООО «Биг-Л», 127473, Россия, г. Москва, Переулок Самотёчный 1-й, д. 15, cтр. 1, этаж подвал № 0, помещ. I, ком. 1, офис 1</t>
  </si>
  <si>
    <t>qeep_magnesium_180g</t>
  </si>
  <si>
    <t>БАД Магний цитрат порошок, ,qeep, 180 г</t>
  </si>
  <si>
    <t>QB101100463</t>
  </si>
  <si>
    <t>ООО "Жива Продукт Про"</t>
  </si>
  <si>
    <t>qeep_magnesiumB6_120caps</t>
  </si>
  <si>
    <t>БАД Магний с пробиотиками ,qeep, 120 капсул</t>
  </si>
  <si>
    <t>QB101100461</t>
  </si>
  <si>
    <t>Магний В6 витамин B5 пробиотики</t>
  </si>
  <si>
    <t>Магний В6 120 мг с Пробиотиками для детей и взрослых Qeep 120 капсул</t>
  </si>
  <si>
    <t>https://www.wildberries.ru/catalog/168867550/detail.aspx</t>
  </si>
  <si>
    <t>https://www.ozon.ru/product/1082288574</t>
  </si>
  <si>
    <t>AM.01.01.01.003.R.000037.01.23 от 25.01.2023 г</t>
  </si>
  <si>
    <t>магния оксид, биомасса бактерий селективная сухая серии «Панбиом» консорциум штаммов: Lactobacillus casei ARTB-114, Lactobacillus plantarum ARTB-135, Lactobacillus fermentum ARTB-101, Lactobacillus plantarum ARTB-190, Lactobacillus reuteri ARTB-195, Lactobacillus reuteri ARTB-147, Lactobacillus reuteri ARTB-213; магния дицитрат, витамин В5 (кальция пантотенат), витамин В6 (пиридоксина гидрохлорид). Вспомогательные вещества: капсула желатиновая (желатин, глицерин (агент влагоудерживающий)), инулин (носитель), агенты антислеживающие: магния стеарат, кремния диоксид.</t>
  </si>
  <si>
    <t>детям от 3-х лет и взрослым принимать по 2 капсулы в день вовремя или сразу после еды. Капсулы запивать водой комнатной температуры. При необходимости использовать только содержимое капсулы: капсулу раскрыть и высыпать содержимое в негорячую жидкость, размешать.</t>
  </si>
  <si>
    <t>хранить в недоступном для детей месте, при температуре не выше 25ºС и относительной влажности воздуха не более 60%.</t>
  </si>
  <si>
    <t>https://docs.google.com/document/d/1eE51GrI1cPjILUvKbTY8RpGEXWtupOkO8aj83SEGQkU/edit?usp=sharing</t>
  </si>
  <si>
    <t>https://drive.google.com/drive/u/0/folders/1RBoFLg9KPRpb-s4RCURYPapOrSWQ4Vcc</t>
  </si>
  <si>
    <t>qeepchrom</t>
  </si>
  <si>
    <t>QB101100477</t>
  </si>
  <si>
    <t>Пиколинат хрома 280 мг Qeep 60 капсул</t>
  </si>
  <si>
    <t>https://www.wildberries.ru/catalog/123030751/detail.aspx</t>
  </si>
  <si>
    <t>https://www.ozon.ru/product/751282312</t>
  </si>
  <si>
    <t>4680162841060</t>
  </si>
  <si>
    <t>RU.77.99.88.003.R.002116.08.23 от 01.08.2023</t>
  </si>
  <si>
    <t>хрома пиколинат, экстракт плодов ананаса обыкновенного, экстракт коры корицы (коричника цейлонского), микрокристаллическая целлюлоза (носитель Е460), желатин (оболочка капсулы).</t>
  </si>
  <si>
    <t>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t>
  </si>
  <si>
    <t>В защищенном от попадания прямых солнечных лучей и недоступном для детей месте при температуре не выше +25 0C</t>
  </si>
  <si>
    <t>https://docs.google.com/document/d/18eebP_PorJ4KxsKonL3j-JrFnLXhauS2uyAAukYGsjY/edit</t>
  </si>
  <si>
    <t>https://drive.google.com/drive/u/0/folders/1vs_NS0bwsYbQIM3lkjrF0kAOpu5m4hZJ</t>
  </si>
  <si>
    <t>qeep_gummy_multivit_60</t>
  </si>
  <si>
    <t>БАД для детей мультивитамины мишки ,qeep, 60 марм</t>
  </si>
  <si>
    <t>QB101100427</t>
  </si>
  <si>
    <t>Витамины для детей жевательные мультивитамины мишки</t>
  </si>
  <si>
    <t>Витамины для детей жевательные мультивитамины мишки qeep 60 мармеладок</t>
  </si>
  <si>
    <t>Витамины для детей жевательные мультивитамины мишки qeep 60 мармеладок, витамишки</t>
  </si>
  <si>
    <t>https://www.wildberries.ru/catalog/293061661/detail.aspx</t>
  </si>
  <si>
    <t>https://www.ozon.ru/product/1773844375</t>
  </si>
  <si>
    <t>https://market.yandex.ru/card/vitaminy-dlya-detey-zhevatelnyye-multivitaminy-mishki-qeep-60-marmeladok/103665483133?businessId=8291477&amp;clid=8291477&amp;model_id=1947049801&amp;distr_type=8&amp;pp=605</t>
  </si>
  <si>
    <t>4640346711329</t>
  </si>
  <si>
    <t xml:space="preserve">AM.01.07.01.003.R.000301.03.24 от 11.03.2024 </t>
  </si>
  <si>
    <t>аскорбиновая кислота (Витамин C), токоферола  ацетат (Витамин Е), лимонная кислота – регулятор кислотности, натуральный ароматизатор "Апельсин", никотинамид (Витамин В3), ретинола ацетат (Витамин A), холекальциферол (Витамин D3), концентрат сока куркумы – краситель, растительное масло (содержит карнаубский воск – глазирователь), пиридоксин гидрохлорида (Витамин B6), филлохинон (Витамин К1), фолиевая кислота (Витамин В9), биотин, цианокобаламин (Витамин B12). глюкозный сироп, сахар, желатин. На предприятии используется сырье, содержащее продукты переработки молока, рыбы, ракообразных и сои.</t>
  </si>
  <si>
    <t>детям старше 3-х лет и взрослым принимать по 1 пастилке в день во время еды. Не превышать рекомендуемую дозировку</t>
  </si>
  <si>
    <t>https://docs.google.com/document/d/1N-BnunlG4I8MuMYdY1slp5qsr1kkJp6GbBB7dASzTS8/edit?tab=t.0</t>
  </si>
  <si>
    <t>qeepprobiotics1+1</t>
  </si>
  <si>
    <t>БАД Пробиотики ,qeep, 30+30 капсул набор</t>
  </si>
  <si>
    <t>QB101100485</t>
  </si>
  <si>
    <t>Пробиотик и пребиотик для микрофлоры кишечника Пробиофул</t>
  </si>
  <si>
    <t>Пробиотики для взрослых 570 мг Qeep 30+30 капсул</t>
  </si>
  <si>
    <t>https://www.wildberries.ru/catalog/138313003/detail.aspx</t>
  </si>
  <si>
    <t>https://www.ozon.ru/product/814830745</t>
  </si>
  <si>
    <t>2037244389774</t>
  </si>
  <si>
    <t>qeepProbiotic_Complex1+1</t>
  </si>
  <si>
    <t>БАД Пробиотик комп ,qeep, 30+30 капсул набор</t>
  </si>
  <si>
    <t>QB101100480</t>
  </si>
  <si>
    <t>Пробиотики и пребиотики для кишечника бад, для пищеварения</t>
  </si>
  <si>
    <t>Пробиотики для взрослых Qeep 30+30 капсул</t>
  </si>
  <si>
    <t>https://www.wildberries.ru/catalog/148334501/detail.aspx</t>
  </si>
  <si>
    <t>https://www.ozon.ru/product/881228424</t>
  </si>
  <si>
    <t>2037516597500</t>
  </si>
  <si>
    <t>AM.01.06.01.003.R.000230.11.21 от 22.11.2021 г.</t>
  </si>
  <si>
    <t>биомасса бактерий селективная сухая серии «Панбиом» («Panbiom»)» (bifidobacterium bifidum, bifidobacterium adolescentis streptococcus thermophiles, propionibacterium freudenreichii, lactobacillus casei, lactobacillus plantarum, lactobacillus delbrueckii subsp.bulgaricus), лактаза, липаза, лактулоза, рибофлавин, пиридоксина гидрохлорид, тиамина гидрохлорид. Вспомогательные вещества: инулин (носитель), капсула желатиновая (желатин, глицерин), антислеживатели: кремния диоксид, кальция стеарат.</t>
  </si>
  <si>
    <t>взрослым по 1 капсуле 1-3 раза в день во время еды.</t>
  </si>
  <si>
    <t>https://docs.google.com/document/d/1qhJeyy-09B65PljhD1n07YO6rCOv2ZKhrcCbyCZhJz0/edit?usp=sharing</t>
  </si>
  <si>
    <t>qeepProbiotic_Complex</t>
  </si>
  <si>
    <t>БАД Пробиотик комплекс ,qeep, 30 капсул</t>
  </si>
  <si>
    <t>QB101100481</t>
  </si>
  <si>
    <t>Пробиотики для взрослых Qeep 30 капсул</t>
  </si>
  <si>
    <t>https://www.wildberries.ru/catalog/148312764/detail.aspx</t>
  </si>
  <si>
    <t>https://www.ozon.ru/product/881228430</t>
  </si>
  <si>
    <t xml:space="preserve"> 1,5 года
</t>
  </si>
  <si>
    <t>https://docs.google.com/document/d/11aWMQvntJgQc7yisZpPcuQ83g4k9ozCe/edit</t>
  </si>
  <si>
    <t>https://drive.google.com/drive/u/0/folders/1ys4mC4OTFH_BP85zDm4KRvMOf2YheWCY</t>
  </si>
  <si>
    <t>qeep_probiotic_kids_30caps</t>
  </si>
  <si>
    <t>БАД Пробиотики для детей ,qeep, 30 капсул</t>
  </si>
  <si>
    <t>QB101100482</t>
  </si>
  <si>
    <t>Бад пробиотики и пребиотики для иммунитета детей</t>
  </si>
  <si>
    <t>Пробиотики витамины для детей 5 млрд. КОЕ Qeep 30 капсул</t>
  </si>
  <si>
    <t>https://www.wildberries.ru/catalog/159632001/detail.aspx</t>
  </si>
  <si>
    <t>https://www.ozon.ru/product/965078619</t>
  </si>
  <si>
    <t>4620153902431</t>
  </si>
  <si>
    <t>AM.01.06.01.003.R.000133.06.22 от 14.06.2022 г.</t>
  </si>
  <si>
    <t>Пробиотики, пребиотики, лизаты, бета-глюканы, биомасса бактерий селективная сухая серии «Панбиом» («Panbiom»)» содержит бактерии группы: Bifidobacterium bifidum АRТВ-187, Bifidobacterium breve АRТВ-129, Bifidobacterium infantis ARTB-189, Bifidobacterium longum ARTB-184, Lactobaсillus acidophilus АRTB-130, Lactobaсillus plantarum АRTB-135, Lactobacillus casei ARTB-181, Lactobacillus rhamnosus ARTB-180, витамин С (аскорбиновая кислота), цинка цитрат, концентрат плодовоовощной биоферментированный лизированный тыквенный (BB-Bf с комбучей), концентрат плодовоовощной биоферментированный лизированный свеклы LB-Rt Lactobacillus reuteri ARTB-195, витамин D3 (холекальциферол), витамин А (ретинола ацетат). Вспомогательные вещества: инулин (носитель), капсула желатиновая (желатин (носитель), глицерин (агент влагоудерживающий)), магния стеарат растительный (агент антислеживающий), кремния диоксид (агент антислеживающий).</t>
  </si>
  <si>
    <t>детям с трех лет и взрослым принимать по 1 капсуле 2 раза в день во время еды. Капсулы запивать водой комнатной температуры. При необходимости использовать только содержимое капсулы: капсулу раскрыть и высыпать содержимое в негорячую жидкость, при необходимости размешать. Продолжительность приема 1 месяц.</t>
  </si>
  <si>
    <t>индивидуальная непереносимость компонентов. Перед применением детям рекомендуется проконсультироваться с врачом-педиатром.</t>
  </si>
  <si>
    <t>Хранить в недоступном для детей месте, при температуре не выше 25ºС и относительной влажности воздуха не более 60%.</t>
  </si>
  <si>
    <t>https://docs.google.com/document/d/1r9h73pSkIVxTe50Y9uQYKEaK6vNacxibEvRHKUUCOjc/edit?usp=sharing</t>
  </si>
  <si>
    <t>https://drive.google.com/drive/u/0/folders/1-8FHk6FEoGh2R0ji8NSiflz_iXE_3jzB</t>
  </si>
  <si>
    <t>qeep_Prebiotics_Probiotic_Complex</t>
  </si>
  <si>
    <t>БАД Пробиотики, комп ,qeep, 30+30 капсул набор</t>
  </si>
  <si>
    <t>QB101100486</t>
  </si>
  <si>
    <t>Пробиотики и пребиотики бад для кишечника и пищеварения</t>
  </si>
  <si>
    <t>https://www.wildberries.ru/catalog/167680176/detail.aspx</t>
  </si>
  <si>
    <t>https://www.ozon.ru/product/1099704591</t>
  </si>
  <si>
    <t>2038121301612</t>
  </si>
  <si>
    <t xml:space="preserve">AM.01.06.01.003.R.000078.04.22 от 25.04.2022 </t>
  </si>
  <si>
    <t xml:space="preserve">биомасса бактерий селективная сухая BB-Bf серии «Панбиом» («Panbiom») (Bifidobacterium bifidum ARTB-187), биомасса бактерий селективная сухая LB-Pl серии «Панбиом» («Panbiom») (Lactobacillus plantarum ARTB-135), биомасса бактерий селективная сухая PR-Frd серии «Панбиом» («Panbiom») (Propionibacterium freudenreichii ARTB-137), инулин, «Метафул (Metafull)» (комбуча концентрат, биомасса гидролизованная «УЛЬТРАЛИЗАТ ПЕПТИДНЫЙ» BB-Bf Bifidobacterium bifidum (ARTB-187), BB-Ad Bifidobacterium adolescentis (ARTB-127), BB-An Bifidobacterium animalis (ARTB-128), BB-Ln Bifidobacterium longum (ARTB-184), BB-Br Bifidobacterium breve (ARTB-129), BB-If Bifidobacterium infantis (ARTB-189), LB-Ac Lactobacillus acidophilus (ARTB-130), LB-Ac Lactobacillus acidophilus (ARTB-177), LB-Pl Lactobacillus plantarum (ARTB-135), LB-Pl Lactobacillus plantarum (ARTB-175), LB-Bg Lactobacillus delbrueckii subsp.bulgaricus (ARTB-131), LB-Sl Lactobacillus salivarius (ARTB-136), LB-Sl Lactobacillus salivarius (ARTB-142), LB-Rm Lactobacillus rhamnosus (ARTB-183), LB-Rm Lactobacillus rhamnosus (ARTB-180), LB-Hl Lactobacillus helveticus (ARTB-133), LB-Hl Lactobacillus helveticus (ARTB-174), гуммиарабик, молочная кислота, мальтодекстрин, гуаровая камедь (галактоманнан), ксантановая камедь (глюкоманнан)).
Вспомогательные вещества: капсула твердая разъёмная желатиновая (желатин (носитель), глицерин (агент влагоудерживающий)), антислеживатели: кальция стеарат, кремния диоксид.
</t>
  </si>
  <si>
    <t xml:space="preserve">взрослым по 1 капсуле 1-3 раза в день во время еды. Продолжительность приема 1 месяц.
</t>
  </si>
  <si>
    <t>1,5 года.</t>
  </si>
  <si>
    <t>Сибфармконтракт», Россия, 634034, г. Томск, ул. Нахимова 8, стр. 11.
По заказу (организация, уполномоченная принимать претензии от потребителя): ООО «Биг-Л», 127473, Россия, г. Москва, Переулок Самотёчный 1-й, д. 15, cтр. 1, этаж подвал № 0, помещ. I, ком. 1, офис 1</t>
  </si>
  <si>
    <t>qeep_womenprobiotics_60caps</t>
  </si>
  <si>
    <t>БАД Пробиотики женские ,qeep, 60 капсул</t>
  </si>
  <si>
    <t>QB101100483</t>
  </si>
  <si>
    <t>Пробиотик для интимного здоровья микрофлоры и кишечника</t>
  </si>
  <si>
    <t>Пробиотики + Железо 8 мг + витамин Е 5,3 мг + витамин B9 0,2 мг Qeep 60 капсул</t>
  </si>
  <si>
    <t>https://www.wildberries.ru/catalog/188611559/detail.aspx</t>
  </si>
  <si>
    <t>https://www.ozon.ru/product/1286883075</t>
  </si>
  <si>
    <t>AM.01.06.01.003.R.000235.12.21 от 01.12.2021 г.</t>
  </si>
  <si>
    <t>https://drive.google.com/drive/folders/1x-RKGM71E3c5EAEFOlXwVYq4bdNaD-sn</t>
  </si>
  <si>
    <t>пробиотики биомасса бактерий селективная сухая серии «Панбиом» («Panbiom»)» (bifidobacterium bifidum, bifidobacterium breve, propionibacterium freudenreichii, lactobacillus casei, lactobaсillus acidophilus, lactobacillus rhamnosus), изофлавоны сои, железа пирофосфат, лактулоза, витамин Е (токоферола ацетат), витамин В9 (фолиевая кислота), витамин В2 (рибофлавин), витамин В6 (пиридоксина гидрохлорид), витамин В1 (тиамина гидрохлорид), витамин В12 (цианокобаламин). Вспомогательные вещества: инулин (носитель), капсула желатиновая (желатин, глицерин), антислеживатели: кремния диоксид, кальция стеарат.</t>
  </si>
  <si>
    <t xml:space="preserve"> взрослым по 1 капсуле 1-3 раза в день во время еды.
</t>
  </si>
  <si>
    <t>в недоступном для детей месте, при температуре не выше +25°С и относительной влажности воздуха не более 60%.</t>
  </si>
  <si>
    <t>1,5 года</t>
  </si>
  <si>
    <t>https://docs.google.com/document/d/19dvT2CXGSGPZ5hSZAXd0F44IH428h2pdnM5TZWMoYS0/edit?usp=sharing</t>
  </si>
  <si>
    <t>https://docs.google.com/document/d/1LFY2QVZdh5EpIv7aBWckCTgjNUTaPdt7/edit</t>
  </si>
  <si>
    <t>qeep_biotin_5000_60caps</t>
  </si>
  <si>
    <t>Биотин 5000 мкг ,qeep, 60 капсул</t>
  </si>
  <si>
    <t>QB101100510</t>
  </si>
  <si>
    <t>БАД Биотин 5000 мкг витамины для волос и ногтей Biotin</t>
  </si>
  <si>
    <t>Биотин 5000 мкг Qeep 60 капсул</t>
  </si>
  <si>
    <t>https://www.wildberries.ru/catalog/159980276/detail.aspx</t>
  </si>
  <si>
    <t>https://www.ozon.ru/product/967642951</t>
  </si>
  <si>
    <t>4670110185520</t>
  </si>
  <si>
    <t>AM.01.07.01.003.R.000341.07.21 от 02.07.2021г</t>
  </si>
  <si>
    <t>витамин Н (биотин), оливковое масло, капсула(желатин пищевой, глицерин-влагоудерживающий агент, сорбат калия, вода очищенная).</t>
  </si>
  <si>
    <t>принимать по 1 капсуле 1 раз в день во время еды или в соответствии с рекомендациями специалиста. Продолжительность приема: 1 месяц. После перерыва в 1 месяц возможен повторный прием.</t>
  </si>
  <si>
    <t>индивидуальная непереносимость компонентов продукта. Не употреблять во время беременности и в период кормления грудью. Перед применением БАД детям с 14 лет необходимо проконсультироваться с врачом - педиатром. Данный продукт не является лекарственным средством.</t>
  </si>
  <si>
    <t>хранить в сухом, защищенном от прямых солнечных лучей и недоступном для детей месте, при температуре от +5°C до+ 25°C и относительной влажности воздуха не более 75%.</t>
  </si>
  <si>
    <t>https://drive.google.com/drive/u/0/folders/1bBEvN0KgRbMHQ790vpSFS7bTXOrQrnFV</t>
  </si>
  <si>
    <t>qeep_Lecithin_180caps</t>
  </si>
  <si>
    <t>БАД Лецитин ,qeep, 180 капсул</t>
  </si>
  <si>
    <t>QB101100459</t>
  </si>
  <si>
    <t>Бады лецитин витамины для похудения и печени</t>
  </si>
  <si>
    <t>Лецитин 1200 мг Qeep 180 капсул</t>
  </si>
  <si>
    <t>https://www.wildberries.ru/catalog/157970824/detail.aspx</t>
  </si>
  <si>
    <t>https://www.ozon.ru/product/948290832</t>
  </si>
  <si>
    <t>AM.01.07.01.003.R.000340.07.21 от 02.07.2021г</t>
  </si>
  <si>
    <t>подсолнечный лецитин, масло оливковое нерафинированное, капсула желатиновая(желатин пищевой, глицерин-влагоудерживающий агент, сорбат калия, вода очищенная).</t>
  </si>
  <si>
    <t>взрослым по 2 капсулы 2 раза в день  во время приема пищи или в соответствии с рекомендациями специалиста.
Продолжительность приема: 1 месяц. При необходимости прием можно повторить</t>
  </si>
  <si>
    <t>индивидуальная непереносимость компонентов, беременность, кормление грудью. С осторожностью принимать во время обострения: желчекаменной болезни, панкреатита, холецистита.</t>
  </si>
  <si>
    <t>хранить в сухом, защищенном от прямых солнечных лучей и недоступном для детей месте, при температуре от +5°C до+ 25°C и относительной влажности воздуха не более 75%</t>
  </si>
  <si>
    <t>https://docs.google.com/document/d/1KKnLwxSaEbOu5BbZyrEuS83ti0LXxiIes9B8t9JsBrA/edit?usp=sharing</t>
  </si>
  <si>
    <t>https://drive.google.com/drive/u/0/folders/1oLmNklpFvcNr8xCLr6y8iSP-3UjgZntT</t>
  </si>
  <si>
    <t>qeep_tyrosine_90caps</t>
  </si>
  <si>
    <t>БАД Тирозин ,qeep, 90 капсул</t>
  </si>
  <si>
    <t>QB101100499</t>
  </si>
  <si>
    <t>БАДы Л-Тирозин аминокислоты для похудения и энергии</t>
  </si>
  <si>
    <t>Тирозин 762 мг Qeep 90 капсул</t>
  </si>
  <si>
    <t>https://www.wildberries.ru/catalog/158306407/detail.aspx</t>
  </si>
  <si>
    <t>https://www.ozon.ru/product/950391195</t>
  </si>
  <si>
    <t>RU.77.99.11.003.R.002166.07.22 от 05.07.2022.</t>
  </si>
  <si>
    <t>L-тирозин, антислеживающие агенты магниевая соль стеариновой кислоты, тальк пищевой, капсула (желатин, краситель диоксид титана)</t>
  </si>
  <si>
    <t>индивидуальная непереносимость, беременность, кормление грудью, перед приемом необходимо проконсультироваться с врачом.</t>
  </si>
  <si>
    <t>https://docs.google.com/document/d/1KddGQW9GDq287mWP_dxRFNY_0GywMlnL4TwjKSMme9Q/edit?usp=sharing</t>
  </si>
  <si>
    <t>https://drive.google.com/drive/u/0/folders/19m8lrdZHn9QlUhwuhVd3vXY6W7AbwHzm</t>
  </si>
  <si>
    <t>qeep_5htp_60caps</t>
  </si>
  <si>
    <t>БАД 5 HTP, qeep, 60 капсул</t>
  </si>
  <si>
    <t>QB101100400</t>
  </si>
  <si>
    <t>5 НТР с теанином, глицином и витаминами группы B</t>
  </si>
  <si>
    <t>5 HTP 600 мг Qeep 60 капсул</t>
  </si>
  <si>
    <t>https://www.wildberries.ru/catalog/163758027/detail.aspx</t>
  </si>
  <si>
    <t>https://www.ozon.ru/product/1020776527</t>
  </si>
  <si>
    <t>4620153902455</t>
  </si>
  <si>
    <t>RU.77.99.11.003.R.002598.08.20 от 20.08.2020 г.</t>
  </si>
  <si>
    <t>экстракт семян гриффонии (5L-гидрокситриптофан), глицин, L-теанин, кальциевая соль стеариновой кислоты (агент антислеживающий), витамин В6 (пиридоксина гидрохлорид), микрокристаллическая целлюлоза (носитель), крахмал картофельный (носитель), капсула желатиновая (желатин (носитель), глицерин (агент влагоудерживающий)).</t>
  </si>
  <si>
    <t>взрослым по 1 капсуле 1 раз в день во время еды. Продолжительность приема 1 месяц.</t>
  </si>
  <si>
    <t>https://docs.google.com/document/d/1ydm0jUlYk3YSuTDnErCtWOXpgNZrkzslAgSNYUI_juA/edit?usp=sharing</t>
  </si>
  <si>
    <t>https://drive.google.com/drive/u/0/folders/14EzPiNoC20r_DImCcRjqOlTY6wTeMGDE</t>
  </si>
  <si>
    <t>qeep_maslo_chernogo_tmina_60caps</t>
  </si>
  <si>
    <t>БАД Масло черного тмина ,qeep, 60 капсул</t>
  </si>
  <si>
    <t>QB101100465</t>
  </si>
  <si>
    <t>Масло черного тмина холодного отжима 60 шт</t>
  </si>
  <si>
    <t>Масло черного тмина Qeep 60 капсул</t>
  </si>
  <si>
    <t>https://www.wildberries.ru/catalog/159661866/detail.aspx</t>
  </si>
  <si>
    <t>https://www.ozon.ru/product/966794115</t>
  </si>
  <si>
    <t>Масла</t>
  </si>
  <si>
    <t>RU.77.99.11.003.R.004214.11.19 от 22.11.2019 г.</t>
  </si>
  <si>
    <t>масло черного тмина, льняное масло, капсула желатиновая (желатин, глицерин), дигидрокверцетин, кремния диоксид (антислеживающий агент), березовый экстракт сухой, антиокислитель гриндокс (рапсовое масло, аскорбилпальмитат, концентрат смеси токоферолов, лецитин).</t>
  </si>
  <si>
    <t>взрослым по 1 капсуле 1 раз в день во время еды. Продолжительность приёма 1 месяц.</t>
  </si>
  <si>
    <t>https://docs.google.com/document/d/1NkzIaNIrO5zFFMW1Re2vJ8os1yqsSj2X9RsMM3oN4nM/edit?usp=sharing</t>
  </si>
  <si>
    <t>https://drive.google.com/drive/u/0/folders/1enqq2GVvMzhMHRfe5WeWAH_wraJzlmAL</t>
  </si>
  <si>
    <t>qeepspirulina</t>
  </si>
  <si>
    <t>БАД Спирулина хлорелла ,qeep, 60 капсул</t>
  </si>
  <si>
    <t>QB101100494</t>
  </si>
  <si>
    <t>Спирулина хлорелла детокс</t>
  </si>
  <si>
    <t>Спирулина хлорелла 600 мг Qeep 60 капсул</t>
  </si>
  <si>
    <t>https://www.wildberries.ru/catalog/90380690/detail.aspx</t>
  </si>
  <si>
    <t>https://www.ozon.ru/product/617343284</t>
  </si>
  <si>
    <t>https://market.yandex.ru/card/spirulina-khlorella-600-mg-qeep-60-kapsul/101797607977?businessId=8291477&amp;showOriginalKmEmptyOffer=1&amp;ogV=-10</t>
  </si>
  <si>
    <t>Спирулина</t>
  </si>
  <si>
    <t>4630040228490</t>
  </si>
  <si>
    <t>AM.01.06.01.003.R.000122.10.19 от 30.10.2019 г.</t>
  </si>
  <si>
    <t>https://drive.google.com/drive/folders/1PLQXMIWgz1SSxfgHiVhrnIHpMHTfZHrO</t>
  </si>
  <si>
    <t>мумиё алтайское, спирулина порошок, хлорелла порошок, чаги экстракт сухой, бета-каротин, маточное молочко, витамин А (ретинола ацетат). Вспомогательные вещества: целлюлоза микрокристаллическая (носитель), капсула желатиновая (желатин, глицерин), антислеживатели: кальция стеарат, кремния диоксид, натрия стеарил фумарат.</t>
  </si>
  <si>
    <t xml:space="preserve"> в недоступном для детей месте, при температуре не выше +25ºС и относительной влажности воздуха не более 60%.
</t>
  </si>
  <si>
    <t>https://drive.google.com/drive/u/0/folders/1MKFLiU6mHE53UV_DZzC9Nf-pTOzGkwD5</t>
  </si>
  <si>
    <t>qeepspirulina1+1</t>
  </si>
  <si>
    <t>БАД Спирулина хлорелла ,qeep, 60+60 капсул набор</t>
  </si>
  <si>
    <t>QB101100495</t>
  </si>
  <si>
    <t>Спирулина хлорелла витаминный комплекс детокс для похудения</t>
  </si>
  <si>
    <t>Спирулина хлорелла 600 мг Qeep 60+60 капсул</t>
  </si>
  <si>
    <t>https://www.wildberries.ru/catalog/148387857/detail.aspx</t>
  </si>
  <si>
    <t>https://www.ozon.ru/product/871802851</t>
  </si>
  <si>
    <t>2037517688269</t>
  </si>
  <si>
    <t>qeep_spirulina_3000</t>
  </si>
  <si>
    <t>БАД Спирулина ,qeep, 90 капсул</t>
  </si>
  <si>
    <t>QB101100496</t>
  </si>
  <si>
    <t>Спирулина 3000 мг Qeep 90 капсул</t>
  </si>
  <si>
    <t>https://www.wildberries.ru/catalog/165259041/detail.aspx</t>
  </si>
  <si>
    <t>https://www.ozon.ru/product/1032702789</t>
  </si>
  <si>
    <t>AM.01.01.01.003.R.000205.03.23 от 14.03.2023 г</t>
  </si>
  <si>
    <t>спирулина, твёрдая желатиновая капсула</t>
  </si>
  <si>
    <t>Взрослым по 1-2 капсулы 3раза в день.</t>
  </si>
  <si>
    <t>https://docs.google.com/document/d/1Rsg8bq7SZt4GO47lBZ__S9uxG3aOkkvWvCPUQQV5u0s/edit?usp=sharing</t>
  </si>
  <si>
    <t>https://drive.google.com/drive/u/0/folders/1MS-D3YyT4teKpcqhZE0oE6PVxlq_7mvh</t>
  </si>
  <si>
    <t>qeep_spirulinachlor_collagen_6060</t>
  </si>
  <si>
    <t>БАД Спирулина хлорелла + Коллаген ,qeep, 120 капсул набор</t>
  </si>
  <si>
    <t>QB101100491</t>
  </si>
  <si>
    <t>Спирулина и коллаген капсулы детокс</t>
  </si>
  <si>
    <t>Спирулина хлорелла + Коллаген с Витамином С Qeep 120 капсул</t>
  </si>
  <si>
    <t>https://www.wildberries.ru/catalog/167680829/detail.aspx</t>
  </si>
  <si>
    <t>https://www.ozon.ru/product/1099727360</t>
  </si>
  <si>
    <t>2038121312359</t>
  </si>
  <si>
    <t>qeep_spirulinachlor_mctd3_6060</t>
  </si>
  <si>
    <t>БАД Спирулина хлорелла + мст ,qeep, 120 капсул набор</t>
  </si>
  <si>
    <t>QB101100492</t>
  </si>
  <si>
    <t>Спирулина и мст масло капсулы</t>
  </si>
  <si>
    <t>Спирулина хлорелла + Масло мст Витамин Д3 Qeep 120 капсул</t>
  </si>
  <si>
    <t>https://www.wildberries.ru/catalog/167680831/detail.aspx</t>
  </si>
  <si>
    <t>https://www.ozon.ru/product/1099740649</t>
  </si>
  <si>
    <t>2038121312991</t>
  </si>
  <si>
    <t>qeep_spirulinachlor_preprobio_6030</t>
  </si>
  <si>
    <t>БАД Спирулина хлорелла + Пробиотики ,qeep, 90 капсул набор</t>
  </si>
  <si>
    <t>QB101100493</t>
  </si>
  <si>
    <t>Спирулина и пробиотики капсулы</t>
  </si>
  <si>
    <t>Спирулина хлорелла + Пробиотики для взрослых Qeep 90 капсул</t>
  </si>
  <si>
    <t>https://www.wildberries.ru/catalog/167680833/detail.aspx</t>
  </si>
  <si>
    <t>https://www.ozon.ru/product/1099757439</t>
  </si>
  <si>
    <t>2038121314766</t>
  </si>
  <si>
    <t>qeep_spirulina+chrom</t>
  </si>
  <si>
    <t>БАД Спирулина + хром набор</t>
  </si>
  <si>
    <t>QB101100490</t>
  </si>
  <si>
    <t>Спирулина и хром капсулы детокс</t>
  </si>
  <si>
    <t>https://www.wildberries.ru/catalog/155928221/detail.aspx</t>
  </si>
  <si>
    <t>2037698177651</t>
  </si>
  <si>
    <t>qeep_chlorophyll_500ml</t>
  </si>
  <si>
    <t>БАД жидкий хлорофилл ,qeep, 500мл</t>
  </si>
  <si>
    <t>QB101100435</t>
  </si>
  <si>
    <t>https://www.ozon.ru/product/1044887692</t>
  </si>
  <si>
    <t>qeepomega3</t>
  </si>
  <si>
    <t>БАД Омега 1620 мг ,qeep, 30 капсул</t>
  </si>
  <si>
    <t>QB101100471</t>
  </si>
  <si>
    <t>Омега 3 1620 мг EPA 792 мг DHA 528 мг Qeep 30 капсул</t>
  </si>
  <si>
    <t>https://www.wildberries.ru/catalog/91969281/detail.aspx</t>
  </si>
  <si>
    <t>https://www.ozon.ru/product/650632060</t>
  </si>
  <si>
    <t>4630040228483</t>
  </si>
  <si>
    <t>qeepomega3_1+1</t>
  </si>
  <si>
    <t>БАД Омега 1620 мг ,qeep, 30+30 капсул набор</t>
  </si>
  <si>
    <t>QB101100472</t>
  </si>
  <si>
    <t>Омега 3 omega рыбий жир в капсулах 30+30 шт</t>
  </si>
  <si>
    <t>Омега 3 1620 мг EPA 792 мг DHA 528 мг Qeep 30+30 капсул</t>
  </si>
  <si>
    <t>https://www.wildberries.ru/catalog/145755982/detail.aspx</t>
  </si>
  <si>
    <t>https://www.ozon.ru/product/871788218</t>
  </si>
  <si>
    <t>2037448913690</t>
  </si>
  <si>
    <t>qeep_ByeBye_fat_60caps</t>
  </si>
  <si>
    <t>БАД Жиросжигатель byefat ,qeep, 60 капсул</t>
  </si>
  <si>
    <t>QB101100436</t>
  </si>
  <si>
    <t>Жиросжигатель для похудения + L Карнитин</t>
  </si>
  <si>
    <t>Жиросжигатель для похудения Qeep 60 капсул</t>
  </si>
  <si>
    <t>https://www.wildberries.ru/catalog/159631114/detail.aspx</t>
  </si>
  <si>
    <t>https://www.ozon.ru/product/965075765</t>
  </si>
  <si>
    <t>спорт и отдых / тренажеры и фитнес / спортивное питание / жиросжигатели</t>
  </si>
  <si>
    <t>АМ 01.01.01.003.R.000134.02.23 от 27.02.2023 г</t>
  </si>
  <si>
    <t>экстракт гарцинии камбоджийской, L-Карнитин, L-Тартрат, микрокристаллическая целлюлоза (носитель), экстракт лимонника, экстракт зеленого чая, пиколинат хрома, яблочный уксус, стеарат кальция, пиколинат цинка, экстракт клюквы.</t>
  </si>
  <si>
    <t>взрослым по 1 капсуле 3 раза в день после 30 еды. Продолжительность приема 1 месяц. При необходимости прием можно повторить.</t>
  </si>
  <si>
    <t>https://docs.google.com/document/d/1bD8NKZgUCt82CMLzZcJ6mndEZK2Rj81xZB0NJoDksUM/edit</t>
  </si>
  <si>
    <t>https://drive.google.com/drive/u/0/folders/1TGGirFDk3-K0-UV0YN5kp9-qHhTT1tKH</t>
  </si>
  <si>
    <t>qeep_byefat_double_60caps</t>
  </si>
  <si>
    <t>БАД Жиросжигатель double ,qeep, 60 капсул</t>
  </si>
  <si>
    <t>QB101100437</t>
  </si>
  <si>
    <t>БАДы Bye Fat Double Effect похудение метаболизм от отеков</t>
  </si>
  <si>
    <t>https://www.wildberries.ru/catalog/174420257/detail.aspx</t>
  </si>
  <si>
    <t>https://www.ozon.ru/product/1154562310</t>
  </si>
  <si>
    <t>RU.77.99.11.003.R.003301.09.22 от 20.09.2022</t>
  </si>
  <si>
    <t>экстракт плодов гарцинии камбоджийской, экстракт плодов ананаса, капсула (желатин), экстракт зерен зеленого кофе, экстракт семян гуараны, экстракт коры йохимбе, магниевая соль стеариновой кислоты (антислеживающий агент).</t>
  </si>
  <si>
    <t xml:space="preserve"> индивидуальная непереносимость компонентов БАД, беременность и кормление грудью, повышенная нервная возбудимость, бессонница, выраженный атеросклероз, сердечно-сосудистые заболевания,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
</t>
  </si>
  <si>
    <t xml:space="preserve">в сухом, защищенном от попадания прямых солнечных лучей, недоступном для детей месте при температуре не выше 25°С.
</t>
  </si>
  <si>
    <t>https://docs.google.com/document/d/1Ex1P6K19WFJ1VDZE2J3oLMfEFAUDSRcegD1-1BMGdlY/edit?usp=sharing</t>
  </si>
  <si>
    <t>https://drive.google.com/drive/u/0/folders/1Cm6RUNYUuqmBPUfQhdAFYQIU8s7JtAgR</t>
  </si>
  <si>
    <t>ООО «Торгово-производственная компания «САМОРАЗВИТИЕ»</t>
  </si>
  <si>
    <t>Алексей Рябоконь
ООО "ТПК "Саморазвитие"
+7 (981) 848-02-47
8 (800) 444-76-18
 195269, Россия, г. Санкт-Петербург, ул. Учительская, д. 23, литер А, помещение 228-229, тел.: +7 (812) 385-76-18.</t>
  </si>
  <si>
    <t>qeepL_Carnitine</t>
  </si>
  <si>
    <t>БАД L Carnitine ,qeep, 90 капсул</t>
  </si>
  <si>
    <t>QB101100506</t>
  </si>
  <si>
    <t>l карнитин, для похудения жиросжигатель, l carnitine</t>
  </si>
  <si>
    <t>L Carnitine 900 мг Qeep 90 капсул</t>
  </si>
  <si>
    <t>https://www.wildberries.ru/catalog/140946360/detail.aspx</t>
  </si>
  <si>
    <t>https://www.ozon.ru/product/826800291</t>
  </si>
  <si>
    <t>L-карнитины</t>
  </si>
  <si>
    <t>RU.77.99.11.003.R.004908.12.21 от 22.12.2021</t>
  </si>
  <si>
    <t>L-карнитин тартрат, желатиновая капсула (желатин, вода, диоксид титана –краситель), микрокристаллическая целлюлоза – носитель.</t>
  </si>
  <si>
    <t>взрослым по 1–2 капсулы в день во время еды. Продолжительность приема – 1 месяц.</t>
  </si>
  <si>
    <t>Хранить в сухом недоступном для детей месте при температуре не выше 25◦С.и относительной влажности воздуха не более 75%.в закртой упаковке</t>
  </si>
  <si>
    <t>https://docs.google.com/document/d/1Ez_TlM0BOBV2i9xuwexYNojj6TYC_tA_x59HAzongUQ/edit</t>
  </si>
  <si>
    <t>https://drive.google.com/drive/u/0/folders/1P3_-7c4WCYKhA39Sh4hm-xT36mghE_Zw</t>
  </si>
  <si>
    <t>ООО «НПК Современные пищевые технологии», адрес: 188508, Россия, Ленинградская область, м.р-н адрес: 188508, Россия, Ленинградская область, м.р-н Ломоносовский, г.п. Виллозское, тер. Южная часть промзоны Ломоносовский, г.п. Виллозское, тер. Южная часть промзоны Горелово, ул. Заречная, д. 2г, помещ. 50-59.</t>
  </si>
  <si>
    <t>Кирилл Трофимов [ФОФУД.РФ] &lt;kt@4-food.ru&gt; 89626843328</t>
  </si>
  <si>
    <t>qeepcollagen1+1</t>
  </si>
  <si>
    <t>БАД Коллаген с гиалуроновой кислотой ,qeep, 60+60 капсул набор</t>
  </si>
  <si>
    <t>QB101100452</t>
  </si>
  <si>
    <t>Коллаген капсулы с Гиалуроном и витамином C</t>
  </si>
  <si>
    <t>Коллаген I и III типа с Витамином С и Гиалуроновой Кислотой Qeep 60+60 капсул</t>
  </si>
  <si>
    <t>https://www.wildberries.ru/catalog/148386282/detail.aspx</t>
  </si>
  <si>
    <t>https://www.ozon.ru/product/871806460</t>
  </si>
  <si>
    <t>2037517656459</t>
  </si>
  <si>
    <t>qeep_Marine_Collagen_60caps</t>
  </si>
  <si>
    <t>БАД Коллаген морской ,qeep, 60 капсул</t>
  </si>
  <si>
    <t>QB101100447</t>
  </si>
  <si>
    <t>Коллаген морской с витамином C и гиалуроновой кислотой 60 шт</t>
  </si>
  <si>
    <t>Коллаген морской I и II типа для суставов и связок Qeep 60 капсул</t>
  </si>
  <si>
    <t>https://www.wildberries.ru/catalog/150847785/detail.aspx</t>
  </si>
  <si>
    <t>https://www.ozon.ru/product/889954527</t>
  </si>
  <si>
    <t>AM.01.07.01.003.R.000201.02.24 от 19.02.2024</t>
  </si>
  <si>
    <t>коллаген гидролизованный рыбный, желатиновая капсула (желатин, вода, диоксид титана – краситель), аскорбиновая кислота (витамин С), гиалуроновая кислота, микрокристаллическая целлюлоза – носитель.</t>
  </si>
  <si>
    <t>взрослым принимать по 1 капсуле 2 раза в день во время еды. Продолжительность приема: 1 месяц. При необходимости прием можно повторить.</t>
  </si>
  <si>
    <t>индивидуальная непереносимость компонентов БАД, беременность, кормление грудью. Перед применением рекомендуется проконсультироваться с врачом.</t>
  </si>
  <si>
    <t xml:space="preserve">в недоступном для детей месте, при температуре не выше +25ºС и относительной влажности воздуха не более 60%.
</t>
  </si>
  <si>
    <t>https://docs.google.com/document/d/19VXlTPqXLtzeN799ONdGre9WEtPC7qWH9gapNe_qqvM/edit?usp=sharing</t>
  </si>
  <si>
    <t>qeep_joint_support_90caps</t>
  </si>
  <si>
    <t>БАД Глюкозамин хондроитин ,qeep, 90 капсул</t>
  </si>
  <si>
    <t>QB101100417</t>
  </si>
  <si>
    <t>Витаминный комплекс для суставов костей и хрящей</t>
  </si>
  <si>
    <t>Глюкозамин 214 мг Хондроитин 270 мг + Квертецин 14 мг + Витамин С 7 мг Qeep 90 капсул</t>
  </si>
  <si>
    <t>https://www.wildberries.ru/catalog/191073458/detail.aspx</t>
  </si>
  <si>
    <t>https://www.ozon.ru/product/1315703641</t>
  </si>
  <si>
    <t>KZ.16.01.78.003.Е.002291.10.14 от 08.10.2014 г</t>
  </si>
  <si>
    <t>хондроитинсульфат, глюкозамина сульфат, желатин (капсула), экстракт коры ивы, кверцетин, экстракт хвоща, витамин С (аскорбиновая кислота), витамин Е (D,L-альфа-токоферола ацетат), магния оксид (агент антислеживающий).</t>
  </si>
  <si>
    <t>взрослым и детям старше 14 лет по 1 капсуле 2 раза в день во время еды.</t>
  </si>
  <si>
    <t>индивидуальная непереносимость компонентов продукта, беременность и кормление грудью.</t>
  </si>
  <si>
    <t>хранить в сухом, защищенном от попадания прямых солнечных лучей, недоступном для детей месте при температуре не выше + 25°С.</t>
  </si>
  <si>
    <t>https://docs.google.com/document/d/1BhgXxS2EtFhm5AOfO6UxYr4_iI_XUPzcMlYW7XUg8v0/edit?usp=sharing</t>
  </si>
  <si>
    <t>https://drive.google.com/drive/u/0/folders/1xpEsoTf5JEmDcpacUB8fHvBIBxmzfhgf</t>
  </si>
  <si>
    <t>ООО «ВИС», Россия, 193315, г. Санкт-Петербург, ул. Новоселов, д. 49, лит. А, пом. 5-Н. (Адрес места осуществления деятельности по изготовлению продукции: Россия, 197706, г. Санкт-Петербург, г. Сестрорецк, ул. Максима Горького, д. 36/19, лит. А). www.vis-production.ru</t>
  </si>
  <si>
    <t>Татьяна Грудинина gt@rubinfoods.ru 8 909 588 22 96</t>
  </si>
  <si>
    <t>qeepbcaa</t>
  </si>
  <si>
    <t>БАД BCAA ,qeep, 120 капсул</t>
  </si>
  <si>
    <t>QB101100505</t>
  </si>
  <si>
    <t>bcaa в капсулах аминокислота для мышц</t>
  </si>
  <si>
    <t>BCAA капсулы 2:1:1, 620 мг Qeep 120 капсул</t>
  </si>
  <si>
    <t>https://www.wildberries.ru/catalog/140944929/detail.aspx</t>
  </si>
  <si>
    <t>https://www.ozon.ru/product/825733116</t>
  </si>
  <si>
    <t>AM.01.07.01.007.R.000744.11.21 от 29.11.2021</t>
  </si>
  <si>
    <t>L-лейцин, L-изолейцин, L-валин, капсула (желатин, вода, диоксид титана –краситель).</t>
  </si>
  <si>
    <t>взрослым по 3 капсулы в день во время еды. Продолжительность приема 4 недели.</t>
  </si>
  <si>
    <t>Противопоказания: индивидуальная непереносимость ингредиентов. Не рекомендуется использование детьми в возрасте до 18 лет, беременными и кормящими женщинами, а также лицами с заболеваниями почек и печени.</t>
  </si>
  <si>
    <t xml:space="preserve">при температуре от +5 до + 25 С.
</t>
  </si>
  <si>
    <t>https://docs.google.com/document/d/1FVE_45X25rqUYfdloKOhW_C42aOxucCjsOLbO3LoLQw/edit</t>
  </si>
  <si>
    <t>https://drive.google.com/drive/u/0/folders/16dM0utW8LHhfypbkiJRU_yiZA3FNG4hx</t>
  </si>
  <si>
    <t>qeep_bcaa_L_Carnitine</t>
  </si>
  <si>
    <t>БАД BCAA + L Карнитин ,qeep, 120+90 капсул набор</t>
  </si>
  <si>
    <t>QB101100504</t>
  </si>
  <si>
    <t>bcaa в капсулах + l карнитин для жиросжигания</t>
  </si>
  <si>
    <t>BCAA + L Карнитин набор для спорта и похудения, в капсулах qeep 120+90 капсул</t>
  </si>
  <si>
    <t>https://www.wildberries.ru/catalog/167679765/detail.aspx</t>
  </si>
  <si>
    <t>https://www.ozon.ru/product/1099581672</t>
  </si>
  <si>
    <t>2038121282317</t>
  </si>
  <si>
    <t>120+90</t>
  </si>
  <si>
    <t>qeep_Alpha_Lipoic_60caps</t>
  </si>
  <si>
    <t>БАД Альфа-липоевая кислота ,qeep, 60 капсул</t>
  </si>
  <si>
    <t>QB101100401</t>
  </si>
  <si>
    <t>БАД Alpha-Lipoic Acid для похудения, детокс и омоложение</t>
  </si>
  <si>
    <t>Альфа-липоевая кислота для похудения 100 мг Qeep 60 капсул</t>
  </si>
  <si>
    <t>https://www.wildberries.ru/catalog/157011739/detail.aspx</t>
  </si>
  <si>
    <t>https://www.ozon.ru/product/946931550</t>
  </si>
  <si>
    <t>RU.77.99.11.003.R.003718.10.21 от 20.10.2021 г.</t>
  </si>
  <si>
    <t>Альфа-липоевая кислота, микрокристаллическая целлюлоза, капсула (носитель: желатин пищевой).</t>
  </si>
  <si>
    <t>взрослым по  1 капсуле (массой 450 мг)  в день во время еды. Продолжительность приема – 1месяц. При необходимости прием можно повторить. Возможны повторные приемы в течение года.</t>
  </si>
  <si>
    <t>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t>
  </si>
  <si>
    <t>хранить  в оригинальной упаковке, защищенном от попадания прямых солнечных лучей и недоступном для детей месте, при температуре не выше +25°С.</t>
  </si>
  <si>
    <t>https://docs.google.com/document/d/1jaHhHBpO2bz8T39sAGHWI6ILNbXbLTc_dtD69iW5LJg/edit?usp=sharing</t>
  </si>
  <si>
    <t>https://drive.google.com/drive/u/0/folders/1ydIE81ORecrhE_zXXgluf8NbWv1VJ0mY</t>
  </si>
  <si>
    <t>qeep_taurine_90caps</t>
  </si>
  <si>
    <t>БАД Таурин ,qeep, 90 капсул</t>
  </si>
  <si>
    <t>QB101100497</t>
  </si>
  <si>
    <t>Таурин БАД для энергии и бодрости капсулы 1200 мг 90 шт</t>
  </si>
  <si>
    <t>Таурин 1200 мг Qeep 90 капсул</t>
  </si>
  <si>
    <t>https://www.wildberries.ru/catalog/159980480/detail.aspx</t>
  </si>
  <si>
    <t>https://www.ozon.ru/product/967670448</t>
  </si>
  <si>
    <t>4670110185599</t>
  </si>
  <si>
    <t>RU.77.99.11.003.R.003553.09.21 от 30.09.2021</t>
  </si>
  <si>
    <t>L-таурин, твердая капсула (носитель: желатин пищевой, изготовленный из шкур крупного рогатого скота (или свиней), без добавления красителя (диоксида титана).</t>
  </si>
  <si>
    <t>взрослым по 2 капсулы (массой 720мг) в день во время еды. Продолжительность приема 1 месяц. При необходимости, прием можно повторить</t>
  </si>
  <si>
    <t>индивидуальная непереносимость компонентов БАД к пище, беременность, кормление грудью. Перед применением рекомендуется проконсультироваться с врачом</t>
  </si>
  <si>
    <t>хранить в  оригинальной упаковке, защищенном от попадания прямых солнечных лучей и недоступном для детей месте, при температуре не выше 25°С. После вскрытия упаковку хранить плотно закрытой при тех же условиях.</t>
  </si>
  <si>
    <t>https://docs.google.com/document/d/1-QvxRgCUvznKT_2yArsruGdkjpiinc4YRPlDofqHFtM/edit</t>
  </si>
  <si>
    <t>https://drive.google.com/drive/u/0/folders/1hZLz5DV-AP6V5Ym0dLGR2azmPO7k-rYM</t>
  </si>
  <si>
    <t>Смарт-Сэйл</t>
  </si>
  <si>
    <t>kavmaz</t>
  </si>
  <si>
    <t>CPA</t>
  </si>
  <si>
    <t>Мазь для суставов Кавказская мазь , CPA, 40 мл</t>
  </si>
  <si>
    <t>Парафармацевтика</t>
  </si>
  <si>
    <t>Суставы</t>
  </si>
  <si>
    <t>CC101100433</t>
  </si>
  <si>
    <t>Кавказская мазь для суставов и связок обезболивающий</t>
  </si>
  <si>
    <t>Кавказская мазь Натуральное лечебное средство для суставов и связок обезболивающее, Алтея, 40мл</t>
  </si>
  <si>
    <t>Кавказская мазь Натуральное лечебное средство для суставов и связок, крем обезболивающий гель, Алтея, 40мл</t>
  </si>
  <si>
    <t>https://www.wildberries.ru/catalog/222209699/detail.aspx</t>
  </si>
  <si>
    <t>https://www.ozon.ru/product/1527086051</t>
  </si>
  <si>
    <t>https://market.yandex.ru/card/kavkazskaya-maz-naturalnoye-lechebnoye-sredstvo-dlya-sustavov-i-svyazok-obezbolivayushcheye-alteya-40ml/103515411883?businessId=1422090&amp;clid=1422090&amp;model_id=920571571&amp;distr_type=8&amp;pp=605</t>
  </si>
  <si>
    <t>аптека / косметика с лечебным эффектом</t>
  </si>
  <si>
    <t>Олеся</t>
  </si>
  <si>
    <t>Артем</t>
  </si>
  <si>
    <t xml:space="preserve"> ЕАЭС N RU Д-RU.PA07.B.70929/23 от 21.09.2023 по 19.09.2028</t>
  </si>
  <si>
    <t xml:space="preserve"> да</t>
  </si>
  <si>
    <t>Вода, хондроитин сульфат натрия, экстракт маклюры, экстракт коры дуба, троксерутин, экстракт сабельника, пчелиный яд, экстракт босвелии, экстракт хвои, экстракт коры ивы, экстракт лопуха, экстракт мяты, экстракт солодки, экстракт брусники, экстракт лабазника, экстракт красного перца, экстракт прополиса, карбомер, триэтаноламин, феноксиэтанол, этилгексилглицерин.</t>
  </si>
  <si>
    <t xml:space="preserve">наносить тонким слоем на проблемную область 2-3 раза в день. После нанесения тщательно вымыть руки с моющим средством. При попадании в глаза и на слизистые оболочки обильно промыть их водой. 
</t>
  </si>
  <si>
    <t>не рекомендуется использовать во время беременности и детям. Гипоаллергенно. Возможна индивидуальная непереносимость компонентов.</t>
  </si>
  <si>
    <t xml:space="preserve">хранить при температуре до 25°C, избегая попадания прямых солнечных лучей.
</t>
  </si>
  <si>
    <t>ООО Восток-Плюс</t>
  </si>
  <si>
    <t>uromax</t>
  </si>
  <si>
    <t>Пищевая добавка Уромакс , CPA, 20 капсул</t>
  </si>
  <si>
    <t>Простатит</t>
  </si>
  <si>
    <t>CO101100442</t>
  </si>
  <si>
    <t>Средство от простатита Уромакс для простаты и потенции</t>
  </si>
  <si>
    <t>Таблетки от простатита для мужчин оригинал, женьшень корень, Алтея, Уромакс, 20 капсул</t>
  </si>
  <si>
    <t>Таблетки от простатита для мужчин, средство для потенции, женьшень корень, Алтея, Уромакс, 20 капсул</t>
  </si>
  <si>
    <t>https://www.wildberries.ru/catalog/234145577/detail.aspx</t>
  </si>
  <si>
    <t>https://www.ozon.ru/product/1589191436</t>
  </si>
  <si>
    <t>https://market.yandex.ru/card/tabletki-ot-prostatita-dlya-muzhchin-zhenshen-koren-alteya-uromaks-20-kapsul/103515431798?businessId=1422090&amp;clid=1422090&amp;model_id=1286021343&amp;distr_type=8&amp;pp=605</t>
  </si>
  <si>
    <t>аптека / фитопрепараты и питательные комплексы</t>
  </si>
  <si>
    <t>4610030632674;4610030634906</t>
  </si>
  <si>
    <t>ЕАЭС N RU Д-RU.PA01.B.81447/24 от 08.02.2024 по 07.02.2029</t>
  </si>
  <si>
    <t xml:space="preserve">мальтодекстрин, экстракты маки перуанской, ярутки, корня женьшеня, корня эврикомы, йохимбе, ягод годжи, брусничной толокнянки, красного корня, пантов марала, калгана, аира, аниса, диоксид кремния, стеарат кальция.
</t>
  </si>
  <si>
    <t xml:space="preserve">принимать по одной капсуле два раза в день.
</t>
  </si>
  <si>
    <t>индивидуальная непереносимость компонентов.</t>
  </si>
  <si>
    <t xml:space="preserve">хранить при температуре не выше 25 °С в местах, удалённых от прямого солнечного света, отопительных приборов, влаги.
</t>
  </si>
  <si>
    <t>https://docs.google.com/document/d/1mqBrElyjIdOxkOAprMYVaXdQBtNd_VF18tsqniKgZCM/edit</t>
  </si>
  <si>
    <t>ООО «БЬЮТИРИН», 129329, г. Москва, ул. Кольская, д.1, этаж 6, комн.10</t>
  </si>
  <si>
    <t>arterol</t>
  </si>
  <si>
    <t>Пищевая добавка Артерол, CPA, 10 мл</t>
  </si>
  <si>
    <t>Здоровье сердца</t>
  </si>
  <si>
    <t>CO101100432</t>
  </si>
  <si>
    <t>Артерол витамины для сердца и сосудов от давления</t>
  </si>
  <si>
    <t>Средство от давления, витамины для сердца, чистка сосудов, Алтея, Артерол, 10мл</t>
  </si>
  <si>
    <t>https://www.wildberries.ru/catalog/222225755/detail.aspx</t>
  </si>
  <si>
    <t>https://www.ozon.ru/product/1528107368</t>
  </si>
  <si>
    <t>https://market.yandex.ru/card/sredstvo-ot-davleniya-vitaminy-dlya-serdtsa-chistka-sosudov-alteya-arterol-10ml/4661998525?businessId=1422090&amp;clid=1422090&amp;model_id=1736033173&amp;distr_type=8&amp;pp=605</t>
  </si>
  <si>
    <t>ЕАЭС N RU Д-RU.PA08.B.28041/23 от 04.10.2023 по 03.10.2028</t>
  </si>
  <si>
    <t>вода, экстракты гуавы, плодов брусники, листьев гинкго билобы, плодов фенхеля, корней цикория, травы медуницы, кордицепс, ежовик гребенчатый, черный тмин, амарант, кора белой ивы, магний цитрат, лимонная кислота, бензоат натрия, сорбат калия, сукралоза.</t>
  </si>
  <si>
    <t xml:space="preserve">Десять капель разводятся в стакане теплой воды, Данный раствор необходимо принимать 2 раза в день на протяжении полного курса приема, который длится тридцать дней. Допускается осадок естественного происхождения. Перед употреблением взболтать.
</t>
  </si>
  <si>
    <t xml:space="preserve">повышенная чувствительность к компонентам средства.
</t>
  </si>
  <si>
    <t>https://docs.google.com/document/d/1EHtDvxgztV-Ul8TBZawfWzrrCY31RyFh/edit</t>
  </si>
  <si>
    <t>ООО Нутрафарм</t>
  </si>
  <si>
    <t>kinzhal</t>
  </si>
  <si>
    <t>Пищевая добавка Кинжал, CPA, 20 капсул</t>
  </si>
  <si>
    <t>Возбудитель</t>
  </si>
  <si>
    <t>CO101100453</t>
  </si>
  <si>
    <t>Витамины для потенции, эрекции и тестостерона Кинжал</t>
  </si>
  <si>
    <t>Возбудитель для мужчин, средство для потенции и эрекции, витамины для мужчины,Кинжал, 20 капсул</t>
  </si>
  <si>
    <t>Возбудитель для мужчин, средство для потенции и эрекции, витамины для мужчины, Кинжал, 20 капсул</t>
  </si>
  <si>
    <t>https://www.wildberries.ru/catalog/222223765/detail.aspx</t>
  </si>
  <si>
    <t>https://www.ozon.ru/product/1528074808</t>
  </si>
  <si>
    <t>https://market.yandex.ru/card/vozbuditel-dlya-muzhchin-sredstvo-dlya-potentsii-i-erektsii-vitaminy-dlya-muzhchiny-kinzhal-20-kapsul/103529337206?businessId=1422090&amp;clid=1422090&amp;model_id=696711021&amp;distr_type=8&amp;pp=605</t>
  </si>
  <si>
    <t>4610030632476; 4610030633237</t>
  </si>
  <si>
    <t>ЕАЭС N RU Д-RU.РА09.В.88179/23 от 21.11.2023 по 20.11.2028</t>
  </si>
  <si>
    <t xml:space="preserve">мальтодекстрин, экстракты готу колы, эпимедиум, маки перуанской, ярутки, корня женьшеня, корня эврикомы, йохимбе, витамин Е, лактоза, стеарат кальция, диоксид кремния.
</t>
  </si>
  <si>
    <t>принимать один раз в день во время приема еды</t>
  </si>
  <si>
    <t>хранить при температуре не выше 25 °С в местах, удалённых от прямого солнечного света, отопительных приборов, влаги.</t>
  </si>
  <si>
    <t>https://docs.google.com/document/d/1xXS7DHccuHkI_1UHF5MF7NZcHCg5eYSe/edit?usp=drive_web&amp;ouid=104241417680089502627&amp;rtpof=true</t>
  </si>
  <si>
    <t>arterol_1_1_1</t>
  </si>
  <si>
    <t>Пищевая добавка Артерол, CPA, 10 мл, набор из 3 шт</t>
  </si>
  <si>
    <t>CO101100434</t>
  </si>
  <si>
    <t>Средство от давления, витамины для сердца, чистка сосудов, Алтея, Артерол, 10мл х 3</t>
  </si>
  <si>
    <t>https://www.wildberries.ru/catalog/525494446/detail.aspx</t>
  </si>
  <si>
    <t>https://www.ozon.ru/product/2825078710</t>
  </si>
  <si>
    <t>https://market.yandex.ru/card/sredstvo-ot-davleniya-vitaminy-dlya-serdtsa-chistka-sosudov-alteya-arterol-10ml-kh-3/4640700956?businessId=1422090&amp;clid=1422090&amp;model_id=696476475&amp;distr_type=8&amp;pp=605</t>
  </si>
  <si>
    <t>мл-2 шт</t>
  </si>
  <si>
    <t>retinait_krem_1_50ml</t>
  </si>
  <si>
    <t>Алтея</t>
  </si>
  <si>
    <t>Крем для лица Ретинайт 1%, Алтея, 50 мл</t>
  </si>
  <si>
    <t>Красота</t>
  </si>
  <si>
    <t>Ретинол</t>
  </si>
  <si>
    <t>AC101100442</t>
  </si>
  <si>
    <t>MPL532549</t>
  </si>
  <si>
    <t>Крем для лица с липосомальным ретинолом 1% Ретинайт</t>
  </si>
  <si>
    <t>Крем для лица с липосомальным ретинолом 1%, сыворотка для лица от морщин, омоложение, Ретинайт, 50 мл</t>
  </si>
  <si>
    <t>Алтея Крем для лица</t>
  </si>
  <si>
    <t>https://www.wildberries.ru/catalog/526299109/detail.aspx</t>
  </si>
  <si>
    <t>https://www.ozon.ru/product/2829866449</t>
  </si>
  <si>
    <t>https://market.yandex.ru/card/krem-dlya-litsa-s-liposomalnym-retinolom-1-retinayt/4644501567?do-waremd5=jXld2xbC9rOzMPrDdl1zBA&amp;businessId=1422090&amp;generalContext=t%3DshopInShop%3Bbi%3D1422090%3B&amp;ogV=-10</t>
  </si>
  <si>
    <t>https://goldapple.ru/catalogsearch/result?q=99000124421</t>
  </si>
  <si>
    <t>https://www.letu.ru/product/alteya-krem-dlya-litsa-s-liposomalnym-retinolom-1-retinait/177305604?sort=default&amp;open=cleanBeauty%7Eingredient%7EskinNeeds&amp;hide=expectedEffect%7EnotContain%7EskinTypes</t>
  </si>
  <si>
    <t>Даша</t>
  </si>
  <si>
    <t>ЕАЭС N RU Д-RU.РА07.В.92988/25 от 05.09.2025 по 04.09.2030</t>
  </si>
  <si>
    <t>AQUA, ISOPROPYL PALMITATE, ACRYLAMIDE/SODIUM ACRYLATE COPOLYMER, NIACINAMIDE, UREA, SQUALANE, HELIANTHUS ANNUUS (SUNFLOWER) SEED OIL, MINERAL OIL, CYCLOPENTASILOXANE, CAPRYLIC/CAPRIC TRIGLYCERIDE,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t>
  </si>
  <si>
    <t>небольшое количество крема распределить между ладоней. Нанести на сухую кожу лица. Сделать легкий массаж.</t>
  </si>
  <si>
    <t>Меры предосторожности: возможна индивидуальная непереносимость к отдельным компонентам.</t>
  </si>
  <si>
    <t>хранить в сухом недоступном для света месте при температуре от +5 до +25.</t>
  </si>
  <si>
    <t>https://docs.google.com/document/d/1FDNTVe5zY3g7Uhlnkkxc1K9HafFQkNb6/edit?usp=drive_web&amp;ouid=104241417680089502627&amp;rtpof=true</t>
  </si>
  <si>
    <t>https://disk.yandex.ru/d/fra9EvHn3ABrvA</t>
  </si>
  <si>
    <t>Дмитрий, +7 925 506 3468</t>
  </si>
  <si>
    <t>insulight</t>
  </si>
  <si>
    <t>Пищевая добавка Инсулайт, CPA, 49 г</t>
  </si>
  <si>
    <t>Диабет</t>
  </si>
  <si>
    <t>CO101100413</t>
  </si>
  <si>
    <t>Инсулайт витамины для диабетиков от сахарного диабета</t>
  </si>
  <si>
    <t>Диабет витамины при сахарном диабете, Алтея, Инсулайт, 49г</t>
  </si>
  <si>
    <t>Диабет витамины при сахарном диабете, Алтея, комплекс для больных диабетом Инсулайт</t>
  </si>
  <si>
    <t>https://www.wildberries.ru/catalog/122988457/detail.aspx</t>
  </si>
  <si>
    <t>https://www.ozon.ru/product/751246155</t>
  </si>
  <si>
    <t>https://market.yandex.ru/card/insulayt-vitaminy-dlya-diabetikov-ot-sakharnogo-diabeta-49g/103340898158?businessId=1422090&amp;clid=1422090&amp;model_id=1352508276&amp;distr_type=8&amp;pp=605</t>
  </si>
  <si>
    <t>4631136905189 (4610030635446) новый</t>
  </si>
  <si>
    <t>ЕАЭС N RU Д-RU.PA07.B.08686/22 от 11.10.2022 до 03.10.2027</t>
  </si>
  <si>
    <t>экстракт ананаса, экстракт лайма, экстракт мангустина, экстракт папайи, экстракт маракуйи, экстракт грейпфрута, изомальт (Е953), инулин, ксантановая камедь (Е415), пектин, лимонная кислота (Е330), экстракт козлятника, экстракт створок фасоли, экстракт стевии, экстракт пажитника, ароматизатор пищевой «Экзотик»</t>
  </si>
  <si>
    <t>индивидуальная непереносимость одного или нескольких компонентов продукта. Не рекомендуется применять детям, беременным и кормящим матерям.</t>
  </si>
  <si>
    <t xml:space="preserve">хранить при температуре до 25°C, избегая попадания прямых солнечных лучей.
</t>
  </si>
  <si>
    <t>https://drive.google.com/drive/folders/1G6lo-kRQyNnSfgoEJ22qCpQnbf6KBdD7</t>
  </si>
  <si>
    <t>ООО «НУТРАФАРМ», 129626, г. Москва, Муниципальный округ Алексеевский, ул. 1-ая Мытищинская, дом 3, строение 1, этаж 3, каб. 306, ком. 5А</t>
  </si>
  <si>
    <t>nabor_remuver_kremovii</t>
  </si>
  <si>
    <t>Ремувер для нарощенных ресниц, Алтея, 18 г</t>
  </si>
  <si>
    <t>Брови и ресницы</t>
  </si>
  <si>
    <t>AC101100405</t>
  </si>
  <si>
    <t>MPL381167</t>
  </si>
  <si>
    <t>АЛТЕЯ-REMYVRS</t>
  </si>
  <si>
    <t>Кремовый ремувер для снятия ресниц 18 г</t>
  </si>
  <si>
    <t>Ремувер для снятия ресниц, Алтея, 18г</t>
  </si>
  <si>
    <t>Ремувер для снятия ресниц, кремовый ремувер для наращённых ресниц с щеточкой, набор Алтея 18г</t>
  </si>
  <si>
    <t>Ремувер для снятия ресниц</t>
  </si>
  <si>
    <t>Ремувер для снятия ресниц Алтея 18 г</t>
  </si>
  <si>
    <t>https://www.wildberries.ru/catalog/251796954/detail.aspx</t>
  </si>
  <si>
    <t>https://www.ozon.ru/product/1657229241</t>
  </si>
  <si>
    <t>https://market.yandex.ru/card/remuver-dlya-snyatiya-resnits-alteya-15g/103701555890?businessId=1422090&amp;clid=1422090&amp;model_id=625548978&amp;distr_type=8&amp;pp=605</t>
  </si>
  <si>
    <t>https://www.letu.ru/product/alteya-remuver-dlya-snyatiya-resnits/163501098?sort=default&amp;open=cleanBeauty%7Eingredient%7EskinNeeds&amp;hide=expectedEffect%7EnotContain%7EskinTypes</t>
  </si>
  <si>
    <t>https://mm.ru/product/remuver-dlya-snyatiya-resnic-alteya-18-5868852?skuId=13110208</t>
  </si>
  <si>
    <t>Средства для снятия ресниц</t>
  </si>
  <si>
    <t>товары для красоты / косметика, парфюмерия и уход / макияж / аксессуары / ресницы и клей / средства для наращивания ресниц</t>
  </si>
  <si>
    <t>Ремувер для снятия нарощенных ресниц &gt;&gt; Аксессуары для макияжа &gt;&gt; Макияж</t>
  </si>
  <si>
    <t>Средства для ухода за ресницами</t>
  </si>
  <si>
    <t xml:space="preserve"> ЕАЭС N RU Д-RU.РА06.В.78650/24 от 05.08.2024 по 04.08.2029</t>
  </si>
  <si>
    <t xml:space="preserve"> нет</t>
  </si>
  <si>
    <t xml:space="preserve"> distilled water, propylene carbonate, cellulose, parfum, cl 77007</t>
  </si>
  <si>
    <t>микробрашем нанести на место склейки, избегая попадания на кожу и слизистую, через 5 минут, прокручивая ватную палочку, снять наращенные ресницы</t>
  </si>
  <si>
    <t xml:space="preserve">Меры предосторожности: избегать попадания в глаза. </t>
  </si>
  <si>
    <t>при t от +5°C до + 25°C, вдали от солнечных лучей и нагревательных приборов.</t>
  </si>
  <si>
    <t>https://docs.google.com/document/d/1lulW_xs2ZsYnOB16CIdKXYs9CSsJjQmR/edit</t>
  </si>
  <si>
    <t>https://disk.yandex.ru/d/bycXh5b51hSWWw</t>
  </si>
  <si>
    <t>ООО Юниверсо</t>
  </si>
  <si>
    <t>shampun_dlya_rosta_250ml</t>
  </si>
  <si>
    <t>Шампунь для роста волос, Алтея, 250 мл</t>
  </si>
  <si>
    <t>AC101100407</t>
  </si>
  <si>
    <t>MPL381169</t>
  </si>
  <si>
    <t>Шампунь для роста и против выпадения волос 250 мл</t>
  </si>
  <si>
    <t>Шампунь лечебный для роста волос, против выпадения, с красным перцем профессиональный, Алтея, 250 мл</t>
  </si>
  <si>
    <t>Шампунь для роста волос, от выпадения волос профессиональный, Алтея, 250 мл</t>
  </si>
  <si>
    <t>шампунь для роста волос, от выпадения волос профессиональный, алтея, 250 мл</t>
  </si>
  <si>
    <t>Шампунь для роста волос, от выпадения волос профессиональный</t>
  </si>
  <si>
    <t>https://www.wildberries.ru/catalog/214976664/detail.aspx</t>
  </si>
  <si>
    <t>https://www.ozon.ru/product/1500240551</t>
  </si>
  <si>
    <t>https://market.yandex.ru/card/shampun-ot-vypadeniya-volos-dlya-rosta-volos-professionalnyy-alteya-250-ml/103515586487?businessId=1422090&amp;clid=1422090&amp;model_id=845619223&amp;distr_type=8&amp;pp=605</t>
  </si>
  <si>
    <t>https://goldapple.ru/catalogsearch/result?q=99000076213</t>
  </si>
  <si>
    <t>https://www.letu.ru/product/alteya-shampun-dlya-rosta-volos-ot-vypadeniya-volos-professionalnyi/163501107?sort=default&amp;open=cleanBeauty%7Eingredient%7EskinNeeds&amp;hide=expectedEffect%7EnotContain%7EskinTypes%7EhairType</t>
  </si>
  <si>
    <t>Шампуни</t>
  </si>
  <si>
    <t>товары для красоты / косметика, парфюмерия и уход / уход за волосами / шампуни</t>
  </si>
  <si>
    <t>Шампуни и кондиционеры</t>
  </si>
  <si>
    <t>Уход за волосами &gt;&gt; Шампунь для волос &gt;&gt; Уход за волосами</t>
  </si>
  <si>
    <t>ЕАЭС N RU Д-RU.PA01.B.79227/24 от 09.02.2024 до 09.02.2030</t>
  </si>
  <si>
    <t>Aqua, Sodium Laureth Sulfate, Cocamidopropyl Betaine, Sodium Chloride, Cocamide DEA, Polyquaternium-7, Propylene Glycol, Urtica Dioica Leaf Extract, Arctium Lappa Root Extract, Pinus Sylvestric Leaf Extract, Capsicum Annuum Fruit Extract, Polyquaternium-10, PEG-7 Glyceryl Cocoate, PEG-12 Dimethicone, Salvia Officinalis Leaf Extract, Humulus Lupulus Extract, Ethylene Glycol Distearate (And) Ethoxylated Fatty Alcohols C12-C14, Parfum, Citric Acid, Panthenol, Glycerin, PEG-40 Hydroge- nated Castor Oil, Oenothera Biennis Oil, Retinyl Palmitate, Tocopheryl Acetate, 2-Phenoxyethanol, Benzoic Acid, Dehydroacetic Acid, Methylchloroisothi- azolinone, Methylisothiazolinone, Potassium Sorbate, Sodium Benzoate.</t>
  </si>
  <si>
    <t>небольшое количество шампуня нанести на влажные волосы, массирующими движениями добиться образования обильной пены, ополоснуть теплой водой.</t>
  </si>
  <si>
    <t>индивидуальная непереносимость ингредиентов.</t>
  </si>
  <si>
    <t>хранить при температуре не ниже 0ºС и не выше 25ºС</t>
  </si>
  <si>
    <t>https://docs.google.com/document/d/10tb2S4yLd5aaBfcyTzt_9TFm4PsY0gSc/edit?usp=drive_web&amp;ouid=104241417680089502627&amp;rtpof=true</t>
  </si>
  <si>
    <t>ООО "Алтэя"</t>
  </si>
  <si>
    <t>Мария, +7 903 948-34-50</t>
  </si>
  <si>
    <t>syvorotka_dlya_lica_30ml</t>
  </si>
  <si>
    <t>Сыворотка с ниацинамидом для лица, Алтея, 30 мл</t>
  </si>
  <si>
    <t>AC101100432</t>
  </si>
  <si>
    <t>MPL381175</t>
  </si>
  <si>
    <t>Сыворотка для лица от прыщей и акне с ниацинамидом</t>
  </si>
  <si>
    <t>Сыворотка для лица с ниацинамидом для лица антивозрастная, от пигментных пятен, пигментации, Алтея, 30 мл</t>
  </si>
  <si>
    <t>Сыворотка для лица с ниацинамидом от прыщей и черных точек, пигментации, противовоспалительная Алтея, 30 мл</t>
  </si>
  <si>
    <t>Сыворотка для лица с ниацинамидом от прыщей пигментации, Алтея, 30 мл</t>
  </si>
  <si>
    <t>Сыворотка для лица с ниацинамидом от прыщей пигментации</t>
  </si>
  <si>
    <t>https://www.wildberries.ru/catalog/239888358/detail.aspx</t>
  </si>
  <si>
    <t>https://www.ozon.ru/product/1613771317</t>
  </si>
  <si>
    <t>https://goldapple.ru/catalogsearch/result?q=99000076203</t>
  </si>
  <si>
    <t>https://www.letu.ru/product/alteya-syvorotka-dlya-litsa-s-niatsinamidom-ot-pryshchei-pigmentatsii/163501106?sort=default&amp;open=cleanBeauty%7Eingredient%7EskinNeeds&amp;hide=expectedEffect%7EnotContain%7EskinTypes%7EhairType</t>
  </si>
  <si>
    <t>товары для красоты / косметика, парфюмерия и уход / уход за лицом / кремы и сыворотки</t>
  </si>
  <si>
    <t>Уход за лицом &gt;&gt; Уход за лицом &gt;&gt; Сыворотка для лица</t>
  </si>
  <si>
    <t>BY.70.06.01.001.R.001223.05.22 от 20.05.2022</t>
  </si>
  <si>
    <t xml:space="preserve">Aqua, Niacinamide, Divinyldimethicone/Dimethicone Copolymer and C12-13 Pareth-23 and C12-13 Pareth-3, Glycerin, Menyanther trifoliate Еxtract, Butylene Glycol
Saccharide Isomerate, Palmaria palmate extract, Dictyopteris membranacea Extract, Peg -40 Hydrogenated Castor Oil, Boron Nitride, Sodium PCA, Glucose, Urea, Glutamic Acid, Lysine, Allantoin, Lactic Acid, Potassium Sorbate, Sodium Benzoate, Gluconolactone, Calcium gluconate, Parfum, Phenoxyethanol, Ethylhexylglycerin, Triethanolamine, Carbomer, Benzyl Benzoate, Hexyl Cinnamal, Citronellol, Hydroxycitronellal, Linalool, alpha-iso-Methylionone .
</t>
  </si>
  <si>
    <t>наносить утром и/или вечером на чистую кожу лица, шеи и декольте лёгкими массирующими движениями до полного впитывания. Может использоваться как самостоятельно, так и под дневной или ночной кремы.</t>
  </si>
  <si>
    <t xml:space="preserve">хранить при температуре не ниже 5°С и не выше 25°С                     </t>
  </si>
  <si>
    <t>https://docs.google.com/document/d/1-Zp0BtsnDjdJB0oSALH659LOXXJFbAx3/edit?usp=drive_web&amp;ouid=104241417680089502627&amp;rtpof=true</t>
  </si>
  <si>
    <t>https://disk.yandex.ru/d/B_-2oZuM2eEnRg</t>
  </si>
  <si>
    <t>Марвел ООО/Эйвон Косметикс</t>
  </si>
  <si>
    <t>mycoplax</t>
  </si>
  <si>
    <t>Мазь от грибка ногтей Mycoplax, CPA, 15 мл</t>
  </si>
  <si>
    <t>Грибок</t>
  </si>
  <si>
    <t>CC101100417</t>
  </si>
  <si>
    <t>Средство от грибка ногтей и ног Mycoplax Микоплакс</t>
  </si>
  <si>
    <t>Мазь от грибка ногтей на ногах, крем гель Алтея, Микоплакс Mycoplax, 15 мл</t>
  </si>
  <si>
    <t>Крем от грибка ногтей на ногах, мазь против грибка, противогрибковое средство, гель Алтея, Микоплакс Mycoplax, 15 мл</t>
  </si>
  <si>
    <t>https://www.wildberries.ru/catalog/260515862/detail.aspx</t>
  </si>
  <si>
    <t>https://www.ozon.ru/product/1691245886</t>
  </si>
  <si>
    <t>https://market.yandex.ru/card/maz-ot-gribka-nogtey-na-nogakh-krem-gel-alteya-mikoplaks-mycoplax-15-ml/103515410999?businessId=1422090&amp;clid=1422090&amp;model_id=1256821997&amp;distr_type=8&amp;pp=605</t>
  </si>
  <si>
    <t>ЕАЭС N RU Д-RU.PA06.B.47111/24 от 26.07.2024 по 25.07.2029</t>
  </si>
  <si>
    <t xml:space="preserve"> вода, глицерин, бланоза, шаромикс ег 10, сабовакс, экстрактыы стемона японская, кордицепс, жгун-корень монье, плодов черного ореха, календулы, чистотела, индийского лука, листьев эхинацеи, маклюры, экстракт портулака , череды, софоры японской, семян кориандра, шиитаке, алоэ, золотого уса, каланхоэ, орегано, аира, масло амаранта, камформа.
</t>
  </si>
  <si>
    <t>наносить 2-3 раза в день на пораженные участки. После нанесения тщательно вымыть руки с моющим средством. При попадании в глаза и на слизистые оболочки обильно промыть их водой. Для получения стабильного положительного результата рекомендуется курсовое применение.</t>
  </si>
  <si>
    <t xml:space="preserve">хранить при температуре от + 5°С до + 25°С, в недоступном для детей месте.
</t>
  </si>
  <si>
    <t>https://docs.google.com/document/d/14bE0xb0TuGIpnc5vHYSA-pyDq15-A5U1/edit?usp=drive_web&amp;ouid=104241417680089502627&amp;rtpof=true</t>
  </si>
  <si>
    <t>ООО Химфармконтракт</t>
  </si>
  <si>
    <t>yagodniy_spas</t>
  </si>
  <si>
    <t>Пищевая добавка Ягодный спас, CPA, 10 шипучих таблеток</t>
  </si>
  <si>
    <t>Антипаразитарный</t>
  </si>
  <si>
    <t>CO101100407</t>
  </si>
  <si>
    <t>Ягодный спас антипаразитарный комплекс от паразитов</t>
  </si>
  <si>
    <t>Антипаразитарный комплекс от глистов, очищение организма от паразитов, детокс, Алтея, Ягодный спас,10 шипучих таблеток</t>
  </si>
  <si>
    <t>Антипаразитарный комплекс от глистов и паразитов, очищение организма от гельминтов, детокс, Алтея, Ягодный спас, 10 таб.</t>
  </si>
  <si>
    <t>https://www.wildberries.ru/catalog/263802739/detail.aspx</t>
  </si>
  <si>
    <t>https://www.ozon.ru/product/1703614178</t>
  </si>
  <si>
    <t>https://market.yandex.ru/card/antiparazitarnyy-kompleks-ot-glistov-ochishcheniye-organizma-ot-parazitov-detoks-alteya-yagodnyy-spas-10-shipuchikh-tabletok/4661991669?businessId=1422090&amp;clid=1422090&amp;model_id=1782068668&amp;distr_type=8&amp;pp=605</t>
  </si>
  <si>
    <t>ЕАЭС N RU Д-RU.РА08.В.33492/24 от 17.09.2024 по 12.09.2029</t>
  </si>
  <si>
    <t xml:space="preserve">экстракты клюквы, брусники, кизила, ягод годжи, рябины, пижмы, гвоздики, санберри, тыквенных семечек, эвкалипта, абрикосовых косточек, лопуха, имбиря, окопника, корня девясила, корня алтея, коры осины, золототысячника, листа грецкого ореха, бибхитаки, солодки, расторопши, душицы, куркумы, зверобоя, черного тмина, цикория, сенны, ароматизатор, сукралоза, декстроза, сорбитол, лимонная кислота, гидрокарбонат натрия.
</t>
  </si>
  <si>
    <t>взрослым по 1 таблетке в день во время еды, предварительно растворив таблетку в воде (200 мл).</t>
  </si>
  <si>
    <t xml:space="preserve">индивидуальная непереносимость компонентов.
</t>
  </si>
  <si>
    <t>https://docs.google.com/document/d/1lNEP5fW8P5NBXMRghtLBq_SXhZR4a0xN/edit</t>
  </si>
  <si>
    <t>ООО "НутраФарм"</t>
  </si>
  <si>
    <t>uhovit</t>
  </si>
  <si>
    <t>Пищевая добавка Уховит , CPA, 20 капсул</t>
  </si>
  <si>
    <t>Слух</t>
  </si>
  <si>
    <t>CO101100445</t>
  </si>
  <si>
    <t>Уховит витамины для ушей, улучшение слуха</t>
  </si>
  <si>
    <t>Капсулы для улучшения слуха, усилитель слуха, Алтея, Уховит, 20 капсул</t>
  </si>
  <si>
    <t>Капсулы для улучшения слуха, усилитель слуха, средство для улучшения слуха, Алтея, Уховит, 20 капсул</t>
  </si>
  <si>
    <t>https://www.wildberries.ru/catalog/234207568/detail.aspx</t>
  </si>
  <si>
    <t>https://www.ozon.ru/product/1590087137</t>
  </si>
  <si>
    <t>https://market.yandex.ru/card/kapsuly-dlya-uluchsheniya-slukha-usilitel-slukha-alteya-ukhovit-20-kapsul/103515426013?businessId=1422090&amp;clid=1422090&amp;model_id=1164700216&amp;distr_type=8&amp;pp=605</t>
  </si>
  <si>
    <t>4610030632667; 4610030634876</t>
  </si>
  <si>
    <t>ЕАЭС N RU Д-RU.PA01.B.81452/24 от 08.02.2024 по  07.02.2029</t>
  </si>
  <si>
    <t xml:space="preserve">мальтодекстрин, экстракты элеутерококка, малины, аира, гинкго билоба, аниса, тыквенных семян, магния цитрат, цинка цитрат, витамины B1, B6, B12, диоксид кремния, стеарат кальция.
</t>
  </si>
  <si>
    <t>принимать по одной капсуле два раза в день.</t>
  </si>
  <si>
    <t>индивидуальная непереносимость компонентов</t>
  </si>
  <si>
    <t xml:space="preserve">хранить при температуре не выше 25 °С в местах, удалённых от прямого солнечного света, отопительных приборов, влаги.
</t>
  </si>
  <si>
    <t>https://drive.google.com/drive/folders/1oz70kooFlXPPqS2KbfhxCTR9DlHt0gre</t>
  </si>
  <si>
    <t>wbmicelix</t>
  </si>
  <si>
    <t>Пищевая добавка Мицеликс , CPA, 10 стиков</t>
  </si>
  <si>
    <t>CO101100435</t>
  </si>
  <si>
    <t>Пищевая добавка для иммунитета и очищения печени Мицеликс</t>
  </si>
  <si>
    <t>Комплекс Детокс для очищения печени и кишечника, для похудения, детокc для печени, Алтея, Мицеликс, 10 шт</t>
  </si>
  <si>
    <t>https://www.wildberries.ru/catalog/17905602/detail.aspx</t>
  </si>
  <si>
    <t>https://www.ozon.ru/product/291845947</t>
  </si>
  <si>
    <t>https://market.yandex.ru/card/kompleks-detoks-dlya-ochishcheniya-pecheni-i-kishechnika-dlya-pokhudeniya-detokc-dlya-pecheni-alteya-mitseliks-10-sht/103515398245?businessId=1422090&amp;clid=1422090&amp;model_id=625422045&amp;distr_type=8&amp;pp=605</t>
  </si>
  <si>
    <t xml:space="preserve"> ЕАЭС N RU Д-RU.РА03.В.97282/24 от 27.04.2024 по 25.04.2029</t>
  </si>
  <si>
    <t>экстракты кордицепса, рейши, шиитаке, мейтаке, веселки, агарика бразильского, лисички белой.</t>
  </si>
  <si>
    <t>один саше-пакет развести в 100 мл воды или сока. Принимать 1 раз в день натощак за 20 минут до еды.</t>
  </si>
  <si>
    <t>саше</t>
  </si>
  <si>
    <t>sprei_buster_100ml</t>
  </si>
  <si>
    <t>Спрей-Бустер для роста волос, Алтея, 100 мл</t>
  </si>
  <si>
    <t>AC101100418</t>
  </si>
  <si>
    <t>MPL484941</t>
  </si>
  <si>
    <t>АЛТЕЯ-SPREIBU</t>
  </si>
  <si>
    <t>Спрей для роста волос и от выпадения волос никотиновая кислота перец размарин Алтея 100 мл</t>
  </si>
  <si>
    <t>Спрей для роста и от выпадения волос  с красным перцем и розмарином, сыворотка для роста волос Алтея 100 мл</t>
  </si>
  <si>
    <t>спрей для роста и от выпадения волос алтея 100 мл</t>
  </si>
  <si>
    <t>Спрей для роста и от выпадения волос</t>
  </si>
  <si>
    <t>Спрей для волос для роста и от выпадения волос Алтея 100 мл</t>
  </si>
  <si>
    <t>https://www.wildberries.ru/catalog/418228094/detail.aspx</t>
  </si>
  <si>
    <t>https://www.ozon.ru/product/2138241943</t>
  </si>
  <si>
    <t>https://market.yandex.ru/card/sprey-dlya-rosta-i-ot-vypadeniya-volos-alteya-100-ml/4476422826?businessId=1422090&amp;clid=1422090&amp;model_id=625585245&amp;distr_type=8&amp;pp=605</t>
  </si>
  <si>
    <t>https://goldapple.ru/catalogsearch/result?q=99000114724</t>
  </si>
  <si>
    <t>https://www.letu.ru/product/alteya-sprei-dlya-rosta-i-ot-vypadeniya-volos/178102010?sort=default&amp;open=cleanBeauty%7Eingredient%7EskinNeeds&amp;hide=expectedEffect%7EnotContain%7EskinTypes%7EhairType</t>
  </si>
  <si>
    <t>https://mm.ru/product/sprej-dlya-volos-5876463?skuId=13125340</t>
  </si>
  <si>
    <t>Спреи уходовые</t>
  </si>
  <si>
    <t>ЕАЭС N RU Д-RU.PA03.B.29743/25 от 10.04.2025 по 10.04.2030</t>
  </si>
  <si>
    <t>нт</t>
  </si>
  <si>
    <t>не наносите на поврежденную кожу и избегайте попадания в глаза. При попадании в глаза тщательно промойте водой. Возможна индивидуальная непереносимость компонентов.</t>
  </si>
  <si>
    <t>хранить вдали от прямых солнечных лучей и отопительных приборов при температуре от +5 °С до +25 °С в местах, недоступных детям.</t>
  </si>
  <si>
    <t>https://docs.google.com/document/d/1scPonpdIFgslL8OtuqKDeEe2y0ZumXiX/edit?usp=drive_web&amp;ouid=104241417680089502627&amp;rtpof=true</t>
  </si>
  <si>
    <t>https://disk.yandex.ru/d/WjYXWZ8yM06VFA</t>
  </si>
  <si>
    <t>ООО Марвел</t>
  </si>
  <si>
    <t>Эйвон Косметикс</t>
  </si>
  <si>
    <t>Евгений, +7 919 621-50-60</t>
  </si>
  <si>
    <t>kavmaz_40ml_1_1</t>
  </si>
  <si>
    <t>Мазь для суставов Кавказская мазь , CPA, 40 мл, набор из 2 шт</t>
  </si>
  <si>
    <t>CC101100437</t>
  </si>
  <si>
    <t>Кавказская мазь Натуральное лечебное средство для суставов и связок обезболивающее, Алтея, 40 + 40 мл</t>
  </si>
  <si>
    <t>Кавказская мазь Натуральное лечебное средство для суставов и связок обезболивающее, крем Алтея, 40 + 40 мл</t>
  </si>
  <si>
    <t>https://www.wildberries.ru/catalog/304495569/detail.aspx</t>
  </si>
  <si>
    <t>https://www.ozon.ru/product/1792793774</t>
  </si>
  <si>
    <t>https://market.yandex.ru/card/kavkazskaya-maz-naturalnoye-lechebnoye-sredstvo-dlya-sustavov-i-svyazok-obezbolivayushcheye-alteya-40--40-ml/103701539078?businessId=1422090&amp;clid=1422090&amp;model_id=997149439&amp;distr_type=8&amp;pp=605</t>
  </si>
  <si>
    <t>ЕАЭС N RU Д-RU.PA07.B.70929/23 от 21.09.2023 по 19.09.2028</t>
  </si>
  <si>
    <t>retinait_krem_025_50ml</t>
  </si>
  <si>
    <t>Крем для лица Ретинайт 0,25%, Алтея, 50 мл</t>
  </si>
  <si>
    <t>AC101100443</t>
  </si>
  <si>
    <t>MPL532421</t>
  </si>
  <si>
    <t>АЛТЕЯ-RETIN25</t>
  </si>
  <si>
    <t>Крем для лица с липосомальным ретинолом 0,25% Ретинайт</t>
  </si>
  <si>
    <t>Крем для лица с липосомальным ретинолом 0,25% антивозрастной, омоложение, сыворотка для лица от морщин, Ретинайт, 50 мл</t>
  </si>
  <si>
    <t>Крем для лица с липосомальным ретинолом 025% Ретинайт</t>
  </si>
  <si>
    <t>https://www.wildberries.ru/catalog/526620725/detail.aspx</t>
  </si>
  <si>
    <t>https://www.ozon.ru/product/2830096367</t>
  </si>
  <si>
    <t>https://market.yandex.ru/card/krem-dlya-litsa-s-liposomalnym-retinolom-025-retinayt/4644510464?businessId=1422090&amp;clid=1422090&amp;model_id=4936696924&amp;distr_type=8&amp;pp=605</t>
  </si>
  <si>
    <t>https://goldapple.ru/catalogsearch/result?q=99000124418</t>
  </si>
  <si>
    <t>https://www.letu.ru/product/alteya-krem-dlya-litsa-s-liposomalnym-retinolom-025-retinait/177305605?sort=default&amp;open=cleanBeauty%7Eingredient%7EskinNeeds&amp;hide=expectedEffect%7EnotContain%7EskinTypes%7EhairType</t>
  </si>
  <si>
    <t>https://mm.ru/product/krem-dlya-lica-5880783?skuId=13131194</t>
  </si>
  <si>
    <t>https://docs.google.com/document/d/1cSaA4lAcWsL5SRFX_4-taBolZn_GgoP1KgEBd_RgyeQ/edit?tab=t.0</t>
  </si>
  <si>
    <t>https://disk.yandex.ru/d/frwSIspqFDMKcQ</t>
  </si>
  <si>
    <t>retinait_krem_05_50ml</t>
  </si>
  <si>
    <t>Крем для лица Ретинайт 0,5%, Алтея, 50 мл</t>
  </si>
  <si>
    <t>AC101100444</t>
  </si>
  <si>
    <t>Крем для лица с липосомальным ретинолом 0,5% Ретинайт</t>
  </si>
  <si>
    <t>Крем для лица с липосомальным ретинолом 0,5%, сыворотка для лица от морщин,  крем антивозрастной,  Ретинайт,  50 мл</t>
  </si>
  <si>
    <t>Крем для лица с липосомальным ретинолом 0,5% Ретинайт 50 мл</t>
  </si>
  <si>
    <t>https://www.wildberries.ru/catalog/555457305/detail.aspx</t>
  </si>
  <si>
    <t>https://www.ozon.ru/product/2937061626</t>
  </si>
  <si>
    <t>https://market.yandex.ru/card/krem-dlya-litsa-s-liposomalnym-retinolom-05-retinayt/4737525756?businessId=1422090&amp;clid=1422090&amp;model_id=4936696924&amp;distr_type=8&amp;pp=605</t>
  </si>
  <si>
    <t>4660417421759/4648767478777(ДжиЭсЭс)</t>
  </si>
  <si>
    <t>https://docs.google.com/document/d/1eW9stCVnpHScM5yFN6L8U9I2EbyhXMXr/edit</t>
  </si>
  <si>
    <t>https://disk.yandex.ru/d/DmNB5dPy-8qnPg</t>
  </si>
  <si>
    <t>telomeras_60caps</t>
  </si>
  <si>
    <t>Пищевая добавка Теломерас, Алтея, 60 капсул</t>
  </si>
  <si>
    <t>Молодость</t>
  </si>
  <si>
    <t>AB101100407</t>
  </si>
  <si>
    <t>Пищевая добавка теломерас ТА-65</t>
  </si>
  <si>
    <t>Теломераза NMN ТА-65 Алтея 60 капсул</t>
  </si>
  <si>
    <t>Пищевая добавка теломерас, капсулы молодости ТА-65 Алтея 60 капсул</t>
  </si>
  <si>
    <t>https://www.wildberries.ru/catalog/471341724/detail.aspx</t>
  </si>
  <si>
    <t>https://www.ozon.ru/product/2498032276</t>
  </si>
  <si>
    <t>https://market.yandex.ru/card/pishchevaya-dobavka-telomeras-ta-65-alteya-60-kapsul/4537860153?businessId=1422090&amp;clid=1422090&amp;model_id=1352508276&amp;distr_type=8&amp;pp=605</t>
  </si>
  <si>
    <t>Специализированное питание</t>
  </si>
  <si>
    <t>Светлана</t>
  </si>
  <si>
    <t>ЕАЭС N RU Д-RU.РА05.В.34233/25 от 24.06.2025 по 23.06.2028</t>
  </si>
  <si>
    <t>бета-никотинамид мононуклеотид (NMN), экстракт корня куркумы, коэнзим Q10, магния бисглицинат, аскорбат натрия, цинка пиколинат, токоферола ацетат (Витамин Е), экстракт корня астрагала перепончатого (циклоастрогенол, ТА-65), ретинола ацетат (Витамин А), холекальциферол (витамин Д3), желатин (капсула)</t>
  </si>
  <si>
    <t>взрослым по 1 капсуле 2 раза в день.</t>
  </si>
  <si>
    <t>хранить в сухом, защищенном от попадания прямых солнечных лучей, недоступном для детей месте при температуре не выше 25°С</t>
  </si>
  <si>
    <t>https://docs.google.com/document/d/1Jl22__sMvcpWCvZXeq02WUt5xd2EZrXW/edit?usp=drive_web&amp;ouid=104241417680089502627&amp;rtpof=true</t>
  </si>
  <si>
    <t>ООО «Контракт Продукт»,195269, Россия, г. Санкт-Петербург, ул. Учительская, д. 23, литер А, помещение 615. Телефон: 8 (800) 444-76-1</t>
  </si>
  <si>
    <t>retiderm_50ml</t>
  </si>
  <si>
    <t>Крем для лица Ретидерм 0,5%, Алтея, 50 мл</t>
  </si>
  <si>
    <t>AC101100440</t>
  </si>
  <si>
    <t>MPL381168</t>
  </si>
  <si>
    <t>АЛТЕЯ-RETIDER</t>
  </si>
  <si>
    <t>Крем для Лица с Липосомальным Ретинолом 0.5% Ретидерм</t>
  </si>
  <si>
    <t>Крем для лица с ретинолом 0.5, антивозрастной, против морщин, сыворотка от морщин и пигментных пятен, Алтея, Ретидерм, 50 мл</t>
  </si>
  <si>
    <t>Крем для лица с ретинолом 0.5, антивозрастной, сыворотка для лица от морщин и пигментных пятен, Алтея, Ретидерм, 50 мл</t>
  </si>
  <si>
    <t>крем для лица с ретинолом 0.5, сыворотка от морщин и пигментных пятен, алтея, ретидерм, 50 мл</t>
  </si>
  <si>
    <t>Крем для лица с ретинолом, Ретидерм</t>
  </si>
  <si>
    <t>Крем для лица с ретинолом 0.5 антивозрастной от морщин Алтея Ретидерм 50 мл</t>
  </si>
  <si>
    <t>https://www.wildberries.ru/catalog/223764453/detail.aspx</t>
  </si>
  <si>
    <t>https://www.ozon.ru/product/1548072003</t>
  </si>
  <si>
    <t>https://market.yandex.ru/card/krem-dlya-litsa-s-retinolom-05-antivozrastnoy-syvorotka-ot-morshchin-i-pigmentnykh-pyaten-alteya-retiderm-50-ml/4594231761?businessId=1422090&amp;clid=1422090&amp;model_id=1058738765&amp;distr_type=8&amp;pp=605</t>
  </si>
  <si>
    <t>https://goldapple.ru/catalogsearch/result?q=99000076216</t>
  </si>
  <si>
    <t>https://www.letu.ru/product/alteya-krem-dlya-litsa-s-retinolom-0-5-syvorotka-ot-morshchin-i-pigmentnyh-pyaten-retiderm/163501192?sort=default&amp;open=cleanBeauty%7Eingredient%7EskinNeeds&amp;hide=expectedEffect%7EnotContain</t>
  </si>
  <si>
    <t>https://mm.ru/product/krem-dlya-lica-5868814?skuId=13110130</t>
  </si>
  <si>
    <t>4610172186219; 4660417421582</t>
  </si>
  <si>
    <t>ЕАЭС N RU Д-RU.РА04.В.26844/24 от 14.05.2024 по 13.05.2029</t>
  </si>
  <si>
    <t>https://disk.yandex.ru/d/uvvJ9tMYT5mw-Q</t>
  </si>
  <si>
    <t>Восток-Плюс</t>
  </si>
  <si>
    <t>maska_dlya_lica_100ml</t>
  </si>
  <si>
    <t>Маска для лица очищающая, Алтея, 100 мл</t>
  </si>
  <si>
    <t>AC101100426</t>
  </si>
  <si>
    <t>MPL411103</t>
  </si>
  <si>
    <t>Маска для лица из глины очищающая с ниацинамидом</t>
  </si>
  <si>
    <t>Маска для лица очищающая и увлажняющая , для сужения пор Алтея 100 мл</t>
  </si>
  <si>
    <t>Маска для лица очищающая, от прыщей и черных точек с ниацинамидом  Алтея 100 мл</t>
  </si>
  <si>
    <t>маска для лица очищающая и увлажняющая , для сужения пор алтея 100 мл</t>
  </si>
  <si>
    <t>Маска для лица очищающая</t>
  </si>
  <si>
    <t>https://www.wildberries.ru/catalog/373703287/detail.aspx</t>
  </si>
  <si>
    <t>https://www.ozon.ru/product/2015306117</t>
  </si>
  <si>
    <t>https://market.yandex.ru/card/maska-dlya-litsa-ochishchayushchaya-alteya-100-ml/4334343067?businessId=1422090&amp;clid=1422090&amp;model_id=1114890706&amp;distr_type=8&amp;pp=605</t>
  </si>
  <si>
    <t>https://goldapple.ru/catalogsearch/result?q=99000114727</t>
  </si>
  <si>
    <t>https://www.letu.ru/product/alteya-maska-dlya-litsa-ochishchayushchaya/169800215?sort=default&amp;open=cleanBeauty%7Eingredient%7EskinNeeds%7EforWhom&amp;hide=expectedEffect%7EnotContain%7EskinTypes%7EhairType</t>
  </si>
  <si>
    <t>Маски косметические</t>
  </si>
  <si>
    <t>товары для красоты / косметика, парфюмерия и уход / уход за лицом / маски / маски для лица</t>
  </si>
  <si>
    <t>Уход за лицом &gt;&gt; Уход за лицом &gt;&gt; Маска для лица</t>
  </si>
  <si>
    <t>ЕАЭС N RU Д-RU.РА02.В.68283/25 от 11.03.2025 по 10.03.2032</t>
  </si>
  <si>
    <t>Aqua, Kaolin, Isopentyldiol, Sorbitol, Cetearyl Alcohol, Glyceryl Monostearate, Caprylic/Capric Triglyceride, Prunus Amygdalus Dulcis (Sweet Almond) Oil, Butyrospermum Parkii Oil, Spongilla Lacustris Spicule, Panthenol, Bisabolol, Tocopheryl Acetate, Sulfur, Peg 30 Castor Oil, Niacinamide, Allantoin, Xanthan Gum, Ceteareth-20, Parfum, Triethanolamine, Carbomer, Phenoxyethanol, Ethylhexylglycerin, Limonene, Citronellol, Linalool</t>
  </si>
  <si>
    <t>равномерно нанести на подготовленную кожу. Оставить для воздействия на 10-15 минут. Остатки маски смыть теплой водой. Использовать 1-2 раза в неделю</t>
  </si>
  <si>
    <t>не наносите на поврежденную кожу и избегайте попадания в глаза. При попадании в глаза тщательно промойте водой.</t>
  </si>
  <si>
    <t xml:space="preserve">хранить при температуре не ниже 0˚С и не выше 25˚ Не допускается хранить продукцию под непосредственным воздействием солнечного света и вблизи отопительных приборов.  </t>
  </si>
  <si>
    <t>https://docs.google.com/document/d/1Sdio0V3R_svotHe0xQT3HhvmyGTRnpi3/edit?usp=drive_web&amp;ouid=104241417680089502627&amp;rtpof=true</t>
  </si>
  <si>
    <t>https://disk.yandex.ru/d/fS9Mrn674xvlVQ</t>
  </si>
  <si>
    <t>retinait_syvorotka_1_30ml</t>
  </si>
  <si>
    <t>Сыворотка для лица Ретинайт 1%, Алтея, 30 мл</t>
  </si>
  <si>
    <t>AC101100441</t>
  </si>
  <si>
    <t>MPL533706</t>
  </si>
  <si>
    <t>Сыворотка для лица с ретинолом антивозрастная Ретинайт</t>
  </si>
  <si>
    <t>Сыворотка с ретинолом 1% для лица от морщин антивозрастная Алтея 30 мл</t>
  </si>
  <si>
    <t>Сыворотка для лица с ретинолом 1% от морщин, Ретинайт, антивозрастная, ретинол + пептиды Алтея 30 мл</t>
  </si>
  <si>
    <t>Алтея Сыворотка для лица РЕТИНАЙТ 30 мл</t>
  </si>
  <si>
    <t>Сыворотка с ретинолом 1% для лица от морщин антивозрастная Алтея</t>
  </si>
  <si>
    <t>https://www.wildberries.ru/catalog/484600035/detail.aspx</t>
  </si>
  <si>
    <t>https://www.ozon.ru/product/2583177512</t>
  </si>
  <si>
    <t>https://market.yandex.ru/card/syvorotka-s-retinolom-1-dlya-litsa-ot-morshchin-antivozrastnaya-alteya-30-ml/4600666230?do-waremd5=NaUkVbrRb7Gg2HzekrGcuA&amp;businessId=1422090&amp;generalContext=t%3DshopInShop%3Bbi%3D1422090%3B&amp;ogV=-10</t>
  </si>
  <si>
    <t>https://www.letu.ru/product/alteya-syvorotka-s-retinolom-1-dlya-litsa-ot-morshchin-antivozrastnaya-alteya/177305603?sort=default&amp;open=cleanBeauty%7Eingredient%7EskinNeeds%7EforWhom&amp;hide=expectedEffect%7EnotContain%7EskinTypes%7EhairType</t>
  </si>
  <si>
    <t xml:space="preserve"> ЕАЭС N RU Д-RU.РА02.В.68283/25 от 11.03.2025 по 10.03.2032</t>
  </si>
  <si>
    <t xml:space="preserve"> INCI: Aqua, Glycerin, Hydroxyethyl Urea, Simmondsia Chinensis (Jojoba) Seed Oil, Prunus Persica (Peach) Seed Oil, Coco-Caprylate/Caprate, Glyceryl Stearate Citrate, Lecithin, Caprylic/Capric Triglyceride, Retinaldehyde, Centella Asiatica Extract, Phenoxyethanol, Sodium Hyaluronate, Xanthan Gum, Fragrance, Panthenol, Sodium Stearoyl Lactylate, Tocopheryl Acetate, Tapioca Starch, Sodium Alginate, Ethylhexylglycerin, PEG-400, Mannitol, Tromethamine, Glutamic Acid, Arginine Hydrochloride, Alanine, Squalane, Aspartic Acid, Lysine Hydrochloride, Leucine, Valine, Citric Acid, Isopropyl Alcohol, Sodium Lactate, Sorbitol, Glucose, Phenylalanine, Isoleucine, Tyrosine, Histidine Hydrochloride, Hydrolyzed Soy Protein, Bis(Tripeptide-1) Copper Acetate, Beta-Sitosterol</t>
  </si>
  <si>
    <t>нанести легкими массирующими движениями небольшое количество сыворотки на предварительно очищенную и протонизированную кожу лица и декольте. При использовании сыворотки в дневное время суток, рекомендуется использовать крем с SPF защитой.</t>
  </si>
  <si>
    <t>использовать только по назначению. Хранить в недоступном для детей месте. При попадании в глаза, немедленно промыть их обильным количеством чистой воды.</t>
  </si>
  <si>
    <t xml:space="preserve">хранить при температуре от +5 до +25оС, избегать попадания прямых солнечных лучей.
</t>
  </si>
  <si>
    <t xml:space="preserve"> 36 месяцев</t>
  </si>
  <si>
    <t>https://docs.google.com/document/d/16DpBwHzOLaDA4ZV2WtdKFhcOV0ZPk0b7/edit?usp=drive_web&amp;ouid=104241417680089502627&amp;rtpof=true</t>
  </si>
  <si>
    <t>https://disk.yandex.ru/d/xbAEHMHdu2kpbw</t>
  </si>
  <si>
    <t>krem_buster_250ml</t>
  </si>
  <si>
    <t>Антицеллюлитный Крем-Бустер, Алтея, 250 мл</t>
  </si>
  <si>
    <t>AC101100452</t>
  </si>
  <si>
    <t>MPL534369</t>
  </si>
  <si>
    <t>АЛТЕЯ-KREMBUS</t>
  </si>
  <si>
    <t>Антицеллюлитный увлажняющий крем</t>
  </si>
  <si>
    <t>Антицеллюлитный крем гель для тела от целлюлита Алтея 250 мл</t>
  </si>
  <si>
    <t>Антицеллюлитный крем гель для тела,  увлажняющий, лифтинговый, крем-бустер от целлюлита,  Алтея 250 мл</t>
  </si>
  <si>
    <t>Алтея Крем для тела</t>
  </si>
  <si>
    <t>Антицеллюитный крем гель для тела от целлюлита</t>
  </si>
  <si>
    <t>Антицеллюитный крем гель для тела от целлюлита Алтея 250 мл</t>
  </si>
  <si>
    <t>https://www.wildberries.ru/catalog/418262202/detail.aspx</t>
  </si>
  <si>
    <t>https://www.ozon.ru/product/2138376665</t>
  </si>
  <si>
    <t>https://market.yandex.ru/card/krem-dlya-tela-uvlazhnyayushchiy-liftingovyy-alteya-250-ml/4476306934?businessId=1422090&amp;clid=1422090&amp;model_id=1243125469&amp;distr_type=8&amp;pp=605</t>
  </si>
  <si>
    <t>https://www.letu.ru/product/alteya-antitsellyuitnyi-krem-gel-dlya-tela-ot-tsellyulita/177305599?sort=default&amp;open=cleanBeauty%7Eingredient%7EskinNeeds%7EforWhom&amp;hide=expectedEffect%7EnotContain%7EskinTypes%7EhairType</t>
  </si>
  <si>
    <t>https://mm.ru/product/anticellyuitnyj-krem-gel-5878029?skuId=13126165</t>
  </si>
  <si>
    <t>товары для красоты / косметика, парфюмерия и уход / уход за телом / кремы и масла</t>
  </si>
  <si>
    <t>Уход за телом &gt;&gt; Крем для тела &gt;&gt; Уход за телом</t>
  </si>
  <si>
    <t>Крем для ухода за кожей</t>
  </si>
  <si>
    <t>ЕАЭС N RU Д-RU.PA03.B.29780/25 от 10.04.2025 по 31.03.2030</t>
  </si>
  <si>
    <t>: Aqua, Persea Gratissima (Avocado) Oil, Cocos Nucifera (Coconut) Oil, Glycerin, Cetearyl Alcohol, Glyceryl Stearate, Butyrospermum Parkii (Shea) Butter, Prunus Amygdalus Dulcis (Sweet Almond) Oil, Polyacrylamide, Capsicum Annuum Extract, Caffeine, Fragrance, Fucus Vesiculosus Extract, Citrus Limon (Lemon) Essential Oil, Propylene Glycol,  Laminaria Ochroleuca Extract, Hydrolyzed Elastin, Desamido Collagen, Citrus Paradisi (Grapefruit) Oil, Mentha piperita (peppermint) essential oil, Rosemary African Oil, Coffea arabica extract, Esculapius Extract, Phenoxyethanol, C13-14 Isoparaffin, Vitamin E, Menthol, Ethylhexylglycerin, Laureth-7, C.I.15985</t>
  </si>
  <si>
    <t>нанесите на чистую кожу тела легкими массажными движениями. Используйте ежедневно для достижения. Используйте ежедневно для достижения наилучшего результата.</t>
  </si>
  <si>
    <t>от +5 до +25°С, в отсутствие прямых солнечных лучей.</t>
  </si>
  <si>
    <t>https://docs.google.com/document/d/1PuaMMQ_jwFyARhm34IaYmz4cbzHXvdiY/edit</t>
  </si>
  <si>
    <t>https://disk.yandex.ru/d/o0OvQFqnL0d8DA</t>
  </si>
  <si>
    <t xml:space="preserve"> ООО/Эйвон Косметикс</t>
  </si>
  <si>
    <t>gel_antiakne_20ml_v2</t>
  </si>
  <si>
    <t>Корректор точечный Антиакне, Алтея, 20 мл</t>
  </si>
  <si>
    <t>AC201100402</t>
  </si>
  <si>
    <t>MPL497134</t>
  </si>
  <si>
    <t>АЛТЕЯ-GELANTI</t>
  </si>
  <si>
    <t>Крем корректор точечный против прыщей</t>
  </si>
  <si>
    <t>Крем от прыщей точечный/против прыщей, от акне комедонов угрей черных точек, средство для подростков, для проблемной кожи, гель от прыщей на лице cалициловая, азелаиновая кислота. Алтея 20 мл</t>
  </si>
  <si>
    <t>Крем от прыщей точечный, корректор против прыщей, гель от акне комедонов угрей черных точек, антиакне  Алтея 20 мл</t>
  </si>
  <si>
    <t>крем корректор точечный против прыщей,  алтея 20 мл</t>
  </si>
  <si>
    <t>Крем точечный против прыщей, акне, комедонов, угрей и черных точек</t>
  </si>
  <si>
    <t>Крем от прыщей точечный для проблемной кожи гель от прыщей на лице Алтея 20 мл</t>
  </si>
  <si>
    <t>https://www.wildberries.ru/catalog/488959127/detail.aspx</t>
  </si>
  <si>
    <t>https://www.ozon.ru/product/2616859755</t>
  </si>
  <si>
    <t>https://market.yandex.ru/card/krem-ot-pryshchey-tochechnyyprotiv-pryshchey-ot-akne-komedonov-ugrey-chernykh-tochek-sredstvo-dlya-podrostkov-dlya-problemnoy-kozhi-gel-ot-pryshchey-na-litse-calitsilovaya-azelainovaya-kislota-alteya-20-ml/4600273902?businessId=1422090&amp;clid=1422090&amp;model_id=825803004&amp;distr_type=8&amp;pp=605</t>
  </si>
  <si>
    <t>https://goldapple.ru/catalogsearch/result?q=99000114730</t>
  </si>
  <si>
    <t>https://www.letu.ru/product/alteya-krem-tochechnyi-protiv-pryshchei-akne-komedonov-ugrei-i-chernyh-tochek/176300027?sort=default&amp;open=cleanBeauty%7Eingredient%7EskinNeeds%7EforWhom&amp;hide=expectedEffect%7EnotContain%7EskinTypes%7EhairType</t>
  </si>
  <si>
    <t>https://mm.ru/product/krem-ot-pryschej-5880316?skuId=13130071</t>
  </si>
  <si>
    <t>ЕАЭС N RU Д-RU.РА06.В.63653/25 от 04.08.2025 до 31.07.2030</t>
  </si>
  <si>
    <t>Избегать попадания геля на слизистые оболочки и область вокруг глаз. При попадании в глаза тщательно промыть водой.</t>
  </si>
  <si>
    <t xml:space="preserve">Хранят при температуре не ниже 0˚С и не выше 25˚ Не допускается хранить продукцию под непосредственным воздействием солнечного света и вблизи отопительных приборов.  </t>
  </si>
  <si>
    <t>https://docs.google.com/document/d/1jK67nM4qhH4qI66P6ENCOliGj-DpKMDn/edit?usp=drive_web&amp;ouid=104241417680089502627&amp;rtpof=true</t>
  </si>
  <si>
    <t>https://disk.yandex.ru/d/bSRvFwiqsK1_7Q</t>
  </si>
  <si>
    <t>sustalit_75ml</t>
  </si>
  <si>
    <t>Мазь для суставов Сусталит , CPA, 75 мл</t>
  </si>
  <si>
    <t>CC101100431</t>
  </si>
  <si>
    <t>Крем гель для суставов и связок обезболивающий Сусталит</t>
  </si>
  <si>
    <t>Мазь для суставов обезболивающая, крем Алтея, Сусталит, 75 мл</t>
  </si>
  <si>
    <t>Мазь для суставов. Гель обезболивающий, Крем Алтея, Сусталит, Средство от боли в суставах 75 мл</t>
  </si>
  <si>
    <t>https://www.wildberries.ru/catalog/197804490/detail.aspx</t>
  </si>
  <si>
    <t>https://www.ozon.ru/product/1354226463</t>
  </si>
  <si>
    <t>https://market.yandex.ru/card/sustalit-hondro-extra-krem-dnar-prim/103614742298?businessId=1422090&amp;clid=1422090&amp;model_id=1111443278&amp;distr_type=8&amp;pp=605</t>
  </si>
  <si>
    <t>аптека / лекарственные препараты / средства от травм, боли в мышцах и суставах</t>
  </si>
  <si>
    <t>ЕАЭС N RU Д-RU.РА06.В.20033/22 от 12.09.2022 по 04.09.2027</t>
  </si>
  <si>
    <t>вода, каприлилметикон, монтанов, глицерин, воск эмульсионный, монтанокс, моностеарат глицерина, аристофлекс, пихтовое масло, скипидар живичный (терпентиновое масло), камфора, аллантоин, сенсикеа, ПЭГ-40, экстракт корней лопуха большого, хондроитинсульфат, экстракт красного стручкового перца, ментол, мумие, экстракт коры осины обыкновенной, листьев березы обыкновенной, корней сабельника болотного, коры ивы белой, эфирное масло розмарина.</t>
  </si>
  <si>
    <t>крем наносить легкими массирующими движениями на проблемные участки тела 2–3  раза в день.</t>
  </si>
  <si>
    <t>хранить при температуре от +5ºС до +25ºС.</t>
  </si>
  <si>
    <t>https://docs.google.com/document/d/1o1uRrAPR-A5wfaeZeLbca-Wz12ADRvpg/edit</t>
  </si>
  <si>
    <t>ООО "Восток плюс"</t>
  </si>
  <si>
    <t>Алексей rav@biolit.info
моб.: 89138892051</t>
  </si>
  <si>
    <t>kardicin_1_1_1</t>
  </si>
  <si>
    <t>Пищевая добавка Кардицин, CPA, 10 капсул, набор из 3 шт</t>
  </si>
  <si>
    <t>CO101100446</t>
  </si>
  <si>
    <t>Кардицин витамины для сердца и сосудов от давления</t>
  </si>
  <si>
    <t>Средство от давления, витамины для сердца, чистка сосудов, Алтея, Кардицин, 3 шт</t>
  </si>
  <si>
    <t>https://www.wildberries.ru/catalog/176157837/detail.aspx</t>
  </si>
  <si>
    <t>https://www.ozon.ru/product/1129301060</t>
  </si>
  <si>
    <t>https://market.yandex.ru/card/sredstvo-ot-davleniya-vitaminy-dlya-serdtsa-chistka-sosudov-alteya-karditsin-3-sht/103515442073?businessId=1422090&amp;clid=1422090&amp;model_id=1452481401&amp;distr_type=8&amp;pp=605</t>
  </si>
  <si>
    <t>аптека / лекарственные препараты / средства для сердца и сосудов</t>
  </si>
  <si>
    <t>ЕАЭС N RU Д-RU.PA04.B.78364/22 от 02.08.2022 до 10.07.2027</t>
  </si>
  <si>
    <t>пантовый гематоген, экстракт гуавы, экстракт плодов брусники, экстракт листьев гинкго билобы, экстракт плодов фенхеля, экстракт корней диоскореи, экстракт листьев крапивы, экстракт корней цикория, экстракт травы медуницы, магний цитрат.</t>
  </si>
  <si>
    <t>Способ применения: по 1 капсуле 1 раз в день, запивая стаканом воды. Рекомендуется курсовой прием.</t>
  </si>
  <si>
    <t>индивидуальная непереносимость одного или более активных веществ и других компонентов капсул от гипертонии. Не рекомендуется применять в период беременности и лактации, а также в детском возрасте.</t>
  </si>
  <si>
    <t xml:space="preserve">хранить в оригинальной закрытой упаковке в защищенном от прямых солнечных лучей и недоступном для детей месте при температуре не выше +25ºС.
</t>
  </si>
  <si>
    <t>kavmaz_60ml</t>
  </si>
  <si>
    <t>Мазь для суставов Кавказская мазь , CPA, 60 мл</t>
  </si>
  <si>
    <t>CC101100434</t>
  </si>
  <si>
    <t>Кавказская крем мазь для суставов и связок обезболивающий</t>
  </si>
  <si>
    <t>Кавказская мазь Натуральное лечебное средство для суставов и связок обезболивающее, Алтея, 60мл</t>
  </si>
  <si>
    <t>Кавказская мазь Натуральное лечебное средство для суставов и связок, крем обезболивающий, гель Алтея, 60мл</t>
  </si>
  <si>
    <t>https://www.wildberries.ru/catalog/223763365/detail.aspx</t>
  </si>
  <si>
    <t>https://www.ozon.ru/product/1548037857</t>
  </si>
  <si>
    <t>https://market.yandex.ru/card/kavkazskaya-maz-naturalnoye-lechebnoye-sredstvo-dlya-sustavov-i-svyazok-obezbolivayushcheye-alteya-60ml/103515421547?businessId=1422090&amp;clid=1422090&amp;model_id=997149439&amp;distr_type=8&amp;pp=605</t>
  </si>
  <si>
    <t>4693878600524
4660417421292</t>
  </si>
  <si>
    <t>ООО "САН ДЭЙ"</t>
  </si>
  <si>
    <t>maslo_dlya_borodi_50ml</t>
  </si>
  <si>
    <t>Масло для бороды, Алтея, 50 мл</t>
  </si>
  <si>
    <t>Мужское</t>
  </si>
  <si>
    <t>AC101100434</t>
  </si>
  <si>
    <t>MPL381091</t>
  </si>
  <si>
    <t>Масло для бороды и усов смягчающее увлажняющее 50 мл</t>
  </si>
  <si>
    <t>Масло для роста бороды, средство для роста, уход за бородой, смягчающее, Алтея, 50 мл</t>
  </si>
  <si>
    <t>Масло для бороды, средство для роста, уход за бородой, смягчающее, Алтея, 50 мл</t>
  </si>
  <si>
    <t>масло для бороды, средство для роста, уход за бородой, смягчающее, алтея, 50 мл</t>
  </si>
  <si>
    <t>Масло для бороды, средство для роста, уход за бородой, смягчающее</t>
  </si>
  <si>
    <t>https://www.wildberries.ru/catalog/239879972/detail.aspx</t>
  </si>
  <si>
    <t>https://www.ozon.ru/product/1613737006</t>
  </si>
  <si>
    <t>https://market.yandex.ru/card/maslo-dlya-borody-sredstvo-dlya-rosta-ukhod-za-borodoy-smyagchayushcheye-alteya-50-ml/4661983304?businessId=1422090&amp;clid=1422090&amp;model_id=1058742870&amp;distr_type=8&amp;pp=605</t>
  </si>
  <si>
    <t>https://goldapple.ru/catalogsearch/result?q=99000076215</t>
  </si>
  <si>
    <t>https://www.letu.ru/product/alteya-maslo-dlya-borody-sredstvo-dlya-rosta-uhod-za-borodoi-smyagchayushchee/163501101?sort=default&amp;open=cleanBeauty%7Eingredient%7EskinNeeds%7EforWhom&amp;hide=expectedEffect%7EnotContain%7EskinTypes%7EhairType</t>
  </si>
  <si>
    <t>товары для красоты / косметика, парфюмерия и уход / мужчинам / для бороды и усов</t>
  </si>
  <si>
    <t>Бритье и депиляция &gt;&gt; Масло для ухода за бородой &gt;&gt; Уход и стайлинг для бороды</t>
  </si>
  <si>
    <t>ЕАЭС N RU Д-RU.PА04.В.34324/24 от 24.05.2024 по 15.05.2029</t>
  </si>
  <si>
    <t>HELIANTHUS ANNUUS (SUNFLOWER) SEED OIL, GLYCINE SOJA (SOYBEAN) OIL, ISOAMYL LAURATE, RICINUS COMMUNIS (CASTOR) SEED OIL, ARCTIUM LAPPA (BURDOCK) ROOT EXTRACT, ACETYL TETRAPEPTIDE-3, DEXTRAN, TRIFOLIUM PRATENSE (CLOVER) FLOWER EXTRACT, EUCALYPTUS GLOBULUS (EUCALYPTUS) LEAF OIL, MELALEUCA ALTERNIFOLIA (TEA TREE) LEAF OIL, AQUA, BUTYLENE GLYCOL, POLYSORBATE 20, BHT, PARFUM, LINALOOL, LIMONENE, CITRONELLOL, COUMARIN, GERANIOL, EUGENOL.</t>
  </si>
  <si>
    <t>разотрите несколько капель масла в ладонях, нанесите на бороду и кожу под ней, после чего расчешите волосы</t>
  </si>
  <si>
    <t>Меры предосторожности: индивидуальная непереносимость компонентов, входящих в состав.</t>
  </si>
  <si>
    <t>https://docs.google.com/document/d/1D9A2Fhig8i3Md3xMpK1UKPyektOcEy3h/edit?usp=drive_web&amp;ouid=104241417680089502627&amp;rtpof=true</t>
  </si>
  <si>
    <t>Дарья 8 901 331-40-78</t>
  </si>
  <si>
    <t>kinzhal_1_1</t>
  </si>
  <si>
    <t>Пищевая добавка Кинжал, CPA, 20 капсул, набор из 2 шт</t>
  </si>
  <si>
    <t>CO101100455</t>
  </si>
  <si>
    <t>Виаагра Возбудитель для мужчин, средство для потенции и эрекции, витамины для мужчины, Кинжал, 20 капсул х 2</t>
  </si>
  <si>
    <t>Возбудитель для мужчин, средство для потенции и эрекции, витамины для мужчины, Кинжал, 20 капсул х 2</t>
  </si>
  <si>
    <t>https://www.wildberries.ru/catalog/318413341/detail.aspx</t>
  </si>
  <si>
    <t>https://www.ozon.ru/product/1851900175</t>
  </si>
  <si>
    <t>https://market.yandex.ru/card/vozbuditel-dlya-muzhchin-sredstvo-dlya-potentsii-i-erektsii-vitaminy-dlya-muzhchiny-kinzhal-20-kapsul-kh-2/103751021012?businessId=1422090&amp;clid=1422090&amp;model_id=696711021&amp;distr_type=8&amp;pp=605</t>
  </si>
  <si>
    <t>micardin_1_1_1</t>
  </si>
  <si>
    <t>Пищевая добавка Микардин, CPA, 10 капсул, набор из 3 шт</t>
  </si>
  <si>
    <t>CO101100428</t>
  </si>
  <si>
    <t>Микардин витамины для сердца и сосудов от давления бад</t>
  </si>
  <si>
    <t>Средство от давления, витамины для сердца, чистка сосудов, Алтея, Микардин, 3 шт</t>
  </si>
  <si>
    <t>Средство от давления, витамины для сердца и  сосудов, Алтея, Микардин, 3 шт</t>
  </si>
  <si>
    <t>https://www.wildberries.ru/catalog/172162757/detail.aspx</t>
  </si>
  <si>
    <t>https://www.ozon.ru/product/1129297876</t>
  </si>
  <si>
    <t>https://market.yandex.ru/card/vitaminy-dlya-serdtsa-i-sosudov-ot-davleniya-mikardin-alteya-3-upakovki/103596648372?businessId=1422090&amp;clid=1422090&amp;model_id=696476475&amp;distr_type=8&amp;pp=605</t>
  </si>
  <si>
    <t>AM.01.01.01 .003.R.000383.08.22</t>
  </si>
  <si>
    <t>African mango extract (экстракт африканского манго), Gotu Kola extract (экстракт готу колы), Tamarind extract (экстракт тамаринда), Acai extract (экстракт асаи), Blueberry extract (экстракт голубики), Hoodia Gordonii extract (экстракт худии гордони), Quandong extract (экстракт квандонга), витамин С, лимонная кислота.
Вспомогательные вещества: МКЦ, картофельный крахмал.</t>
  </si>
  <si>
    <t>Способ применения: принимать внутрь 1 раз в день во время еды.</t>
  </si>
  <si>
    <t>индивидуальная непереносимость одного или более активных веществ и других компонентов средства. Не рекомендуется применять в период беременности и лактации, а также в детском возрасте.</t>
  </si>
  <si>
    <t xml:space="preserve">хранить при температуре до 25 °C, избегая попадания прямых солнечных лучей.
</t>
  </si>
  <si>
    <t>syvorotka_dlya_rosta_6ml_v2</t>
  </si>
  <si>
    <t>Цена вниз</t>
  </si>
  <si>
    <t>Сыворотка для роста ресниц и бровей, Алтея, 6 мл</t>
  </si>
  <si>
    <t>AC201100400</t>
  </si>
  <si>
    <t>MPL536269</t>
  </si>
  <si>
    <t>Сыворотка для роста ресниц и бровей 6 мл</t>
  </si>
  <si>
    <t>Сыворотка для роста ресниц и бровей, гель для роста, Алтея, 6 мл</t>
  </si>
  <si>
    <t>Алтея Сыворотка для бровей и ресниц, 6 мл</t>
  </si>
  <si>
    <t>Сыворотка для роста ресниц и бровей, гель для роста</t>
  </si>
  <si>
    <t>https://www.wildberries.ru/catalog/455797764/detail.aspx</t>
  </si>
  <si>
    <t>https://www.ozon.ru/product/2396972400</t>
  </si>
  <si>
    <t>https://market.yandex.ru/card/syvorotka-dlya-rosta-resnits-i-brovey-gel-dlya-rosta-alteya-6-ml/4600683436?businessId=1422090&amp;clid=1422090&amp;model_id=1352604652&amp;distr_type=8&amp;pp=605</t>
  </si>
  <si>
    <t>https://www.letu.ru/product/alteya-syvorotka-dlya-rosta-resnits-i-brovei-gel-dlya-rosta/177800031?sort=default&amp;open=cleanBeauty%7Eingredient%7EskinNeeds%7EforWhom&amp;hide=expectedEffect%7EnotContain%7EskinTypes%7EhairType</t>
  </si>
  <si>
    <t>Средства для роста бровей и ресниц</t>
  </si>
  <si>
    <t>товары для красоты / косметика, парфюмерия и уход / макияж / для бровей / тушь и гель для бровей</t>
  </si>
  <si>
    <t>Моделирование и окрашивание для бровей и ресниц</t>
  </si>
  <si>
    <t>Уход за лицом &gt;&gt; Гель для роста ресниц и бровей &gt;&gt; Средства для роста ресниц и бровей</t>
  </si>
  <si>
    <t>ЕАЭС N RU Д-RU.РА08.В.33004/24 от 16.09.2024 по 12.09.2029</t>
  </si>
  <si>
    <t>Distilled water, Panthenol, Aloe Barbadensis leaf juice, Hydrolized Keratin, Glycerin, Biotinoyl Tripeptide-1, Hydrolyzed Wheat Protein, Peg-40, Polyvinylpyrrolidone, Polyacrylate Crosspolymer-6, Iris Leaf Extract, Chamomilla Recutita Extract, Sodium acrylates copolymer (and) Lecithin, Phenoxyethanol, Ethylhexylglycerin, Lactic acid, Parfum.</t>
  </si>
  <si>
    <t>избегать попадания в глаза. При попадании
промыть водой. При необходимости обратиться к врачу.</t>
  </si>
  <si>
    <t>https://docs.google.com/document/d/1AYf1Lcjos7kL4uJETWcXQ4_3LhMcf7jl/edit?usp=drive_web&amp;ouid=104241417680089502627&amp;rtpof=true</t>
  </si>
  <si>
    <t>ООО Юниверсо
Ася, 7 928 038-70-35</t>
  </si>
  <si>
    <t>Ася, +7 928 038-70-35</t>
  </si>
  <si>
    <t>curly_method_300ml</t>
  </si>
  <si>
    <t>Крем для кудрявых волос, Алтея, 300 мл</t>
  </si>
  <si>
    <t>AC101100414</t>
  </si>
  <si>
    <t>MPL483098</t>
  </si>
  <si>
    <t>Крем для кудрявых и вьющихся волос</t>
  </si>
  <si>
    <t>Крем для кудрявых и вьющихся волос Кудрявый метод Алтея 300 мл</t>
  </si>
  <si>
    <t>Крем для кудрявых и вьющихся волос,  кудрявый метод, Алтея 300 мл</t>
  </si>
  <si>
    <t>крем для кудрявых и вьющихся волос алтея 300 мл</t>
  </si>
  <si>
    <t>https://www.wildberries.ru/catalog/399134789/detail.aspx</t>
  </si>
  <si>
    <t>https://www.ozon.ru/product/2067943215</t>
  </si>
  <si>
    <t>https://market.yandex.ru/card/krem-dlya-kudryavykh-i-vyushchikhsya-volos-alteya-300-ml/4476310899?businessId=1422090&amp;clid=1422090&amp;model_id=625585245&amp;distr_type=8&amp;pp=605</t>
  </si>
  <si>
    <t>https://www.letu.ru/product/alteya-krem-dlya-kudryavyh-i-vyushchihsya-volos/178102009?sort=default&amp;open=cleanBeauty%7Eingredient%7EskinNeeds%7EforWhom&amp;hide=expectedEffect%7EnotContain%7EskinTypes%7EhairType</t>
  </si>
  <si>
    <t>Крем для укладки волос &gt;&gt; Средства для укладки волос &gt;&gt; Средства для укладки волос</t>
  </si>
  <si>
    <t>ЕАЭС N RU Д-RU.PA03.B.29767/25 от 10.04.2025 по 31.03.2030</t>
  </si>
  <si>
    <t xml:space="preserve">Aqua, Myristyl Alcohol, Glycerin, PPG-3 Caprylyl Ether, Persea Gratissima (Avocado) Oil, Polyvinylpyrrolidone, Cetrimonium Chloride, Salvia Hispanica (Chia) Seed Oil, Hydrolyzed Keratin, Hydrolyzed Silk Protein, Argania Spinosa Kernel Oil, Plukenetia volubilis oil, Phenoxyethanol, Fragrance, Ethylhexylglycerin, Citric Acid, Sodium Benzoate, Potassium Sorbate, Eugenol, Linalool </t>
  </si>
  <si>
    <t>Нанесите крем на чистые влажные волосы, равномерно распределите, формируя кудри руками. Не смывайте. Высушите волосы. Подходит для техники кудрявый метод.</t>
  </si>
  <si>
    <t>избегайте попадания в глаза. При попадании в глаза промойте водой. Во избежание индивидуальной непереносимости протестируйте на небольшом участке кожи</t>
  </si>
  <si>
    <t>https://docs.google.com/document/d/1oLDo18o1HPvndjVO2C-fwAG2QJ_6bRAv/edit?usp=drive_web&amp;ouid=104241417680089502627&amp;rtpof=true</t>
  </si>
  <si>
    <t>https://disk.yandex.ru/d/xwspFZ6zFX9xPA</t>
  </si>
  <si>
    <t>penka_kudryavii_metod_150ml</t>
  </si>
  <si>
    <t>Пенка для укладки кудрявых волос, Алтея, 150 мл</t>
  </si>
  <si>
    <t>AC101100415</t>
  </si>
  <si>
    <t>MPL534436</t>
  </si>
  <si>
    <t>Пенка для укладки волос</t>
  </si>
  <si>
    <t>Пенка для укладки кудрявых волос Алтея 150 мл кудрявый метод</t>
  </si>
  <si>
    <t>Пенка для укладки кудрявых волос, кудрявый метод, супер фиксация без склеивания, Алтея 150 мл</t>
  </si>
  <si>
    <t>Алтея Пенки и муссы</t>
  </si>
  <si>
    <t>Пенка для укладки кудрявых волос</t>
  </si>
  <si>
    <t>https://www.wildberries.ru/catalog/399763000/detail.aspx</t>
  </si>
  <si>
    <t>https://www.ozon.ru/product/2067952800</t>
  </si>
  <si>
    <t>https://market.yandex.ru/card/penka-dlya-ukladki-volos-alteya-150-ml/4476308791?businessId=1422090&amp;clid=1422090&amp;model_id=1243127253&amp;distr_type=8&amp;pp=605</t>
  </si>
  <si>
    <t>https://goldapple.ru/catalogsearch/result?q=99000125266</t>
  </si>
  <si>
    <t>https://www.letu.ru/product/alteya-penka-dlya-ukladki-kudryavyh-volos/177305598</t>
  </si>
  <si>
    <t>Мусс для укладки волос &gt;&gt; Средства для укладки волос &gt;&gt; Средства для укладки волос</t>
  </si>
  <si>
    <t>EAЭС N RU Д-RU.PA03.B.31526/25 от 03.04.2025 по 31.03.2032</t>
  </si>
  <si>
    <t xml:space="preserve">вода очищенная, поливинилпирролидон, карбомер, ПЭГ-40 гидрогенизированное касторовое масло, гидроксипропил фосфат крахмала, Д-пантенол, протеины пшеницы гидролизат, бетаин, экстракт женьшеня, L аргинин, кокамидопропилбетаин, поликватерниум 7, глицерин, натрия хлорид, парфюмерная композиция, натрия гидроокись, динатрия  ЭДТА, феноксиэтанол этилгексилглицерин, натрия бензоат, сорбат калия, гексил циннамаль, кумарин. </t>
  </si>
  <si>
    <t>Меры предосторожности: Индивидуальная непереносимость компонентов состава</t>
  </si>
  <si>
    <t>https://docs.google.com/document/d/1JBYpklexhI_lswM4ffH148uSYxZWOk_-/edit?usp=drive_web&amp;ouid=104241417680089502627&amp;rtpof=true</t>
  </si>
  <si>
    <t>insulight_BAD_60caps</t>
  </si>
  <si>
    <t>БАД Инсулайт, Алтея, 60 капсул</t>
  </si>
  <si>
    <t>AB101100402</t>
  </si>
  <si>
    <t>Витамины для диабетиков Инсулайт, БАД от сахарного диабета</t>
  </si>
  <si>
    <t>Витамины для диабетиков, для профилактики от сахарного диабета, Алтея, Инсулайт, 60 капсул</t>
  </si>
  <si>
    <t>https://www.wildberries.ru/catalog/229280202/detail.aspx</t>
  </si>
  <si>
    <t>https://www.ozon.ru/product/1566867106</t>
  </si>
  <si>
    <t>https://market.yandex.ru/card/vitaminy-dlya-diabetikov-dlya-profilaktiki-ot-sakharnogo-diabeta-alteya-insulayt-60-kapsul/103515443020?businessId=1422090&amp;clid=1422090&amp;model_id=1352508276&amp;distr_type=8&amp;pp=605</t>
  </si>
  <si>
    <t>AM.01.06.01.003.R.000021.01.24 от 17.01.2024</t>
  </si>
  <si>
    <t>инулин, носитель: целлюлоза микрокристаллическая (Е460), пектин, экстракт сухой створок фасоли, экстракт сухой пажитника, экстракт ананаса, экстракт лайма, экстракт мангустина, экстракт папайи, экстракт маракуйи, экстракт грейпфрута, экстракт козлятника, экстракт джимнемы, антислеживающий агент: диоксид кремния аморфный (Е551), антислеживающий агент: магниевая соль стеариновой кислоты (Е470), желатин*, оксид цинка*</t>
  </si>
  <si>
    <t xml:space="preserve">индивидуальная непереносимость компонентов продукта, беременность, кормление грудью. Перед применением рекомендуется проконсультироваться с врачом. </t>
  </si>
  <si>
    <t xml:space="preserve">хранить в сухом, защищенном от прямых солнечных лучей и недоступном для детей месте при температуре не выше +25°С.  </t>
  </si>
  <si>
    <t>https://docs.google.com/document/d/1JGUaJqNX7-juxkP8FiWdH_9qJd-eNTV-/edit?usp=drive_web&amp;ouid=104241417680089502627&amp;rtpof=true</t>
  </si>
  <si>
    <t>ООО "ЗДРАВФАРМ", 129626, Россия, г. Москва, вн. тер г., Муниципальный округ Алексеевский, ул. 1-я Мытищинская, д3, стр. 1, эт. 6, каб 216, ком. 43</t>
  </si>
  <si>
    <t>krovavii_piling_30ml</t>
  </si>
  <si>
    <t>Кровавый пилинг для лица, Алтея, 30 мл</t>
  </si>
  <si>
    <t>AC101100425</t>
  </si>
  <si>
    <t>MPL411098</t>
  </si>
  <si>
    <t>АЛТЕЯ-KROVAVI</t>
  </si>
  <si>
    <t>Кровавый кислотный пилинг для лица от прыщей от акне AHA BHA салициловая кислота, Алтея 30 мл</t>
  </si>
  <si>
    <t>Кровавый кислотный пилинг для лица от прыщей и акне AHA BHA, Алтея 30 мл</t>
  </si>
  <si>
    <t>кровавый кислотный пилинг для лица от прыщей aha bha, алтея 30 мл</t>
  </si>
  <si>
    <t>Кровавый кислотный пилинг для лица от прыщей от акне салициловая кислота Алтея 30 мл</t>
  </si>
  <si>
    <t>https://www.wildberries.ru/catalog/307871378/detail.aspx</t>
  </si>
  <si>
    <t>https://www.ozon.ru/product/1806079450</t>
  </si>
  <si>
    <t>https://market.yandex.ru/card/krovavyy-kislotnyy-piling-dlya-litsa-ot-pryshchey-aha-bha-alteya-30-ml/103710308859?businessId=1422090&amp;clid=1422090&amp;model_id=930450893&amp;distr_type=8&amp;pp=605</t>
  </si>
  <si>
    <t>https://goldapple.ru/catalogsearch/result?q=99000076205</t>
  </si>
  <si>
    <t>https://www.letu.ru/product/alteya-krovavyi-kislotnyi-piling-dlya-litsa-ot-pryshchei-aha-bha/169800216?sort=default&amp;open=cleanBeauty%7Eingredient%7EskinNeeds%7EforWhom&amp;hide=expectedEffect%7EnotContain%7EskinTypes%7EhairType</t>
  </si>
  <si>
    <t>https://mm.ru/product/krovavyj-kislotnyj-piling-5871877?skuId=13112556</t>
  </si>
  <si>
    <t>товары для красоты / косметика, парфюмерия и уход / уход за лицом / скрабы и пилинги / пилинги для лица</t>
  </si>
  <si>
    <t>4670020498208;4640523970020/4640523970020 ЧЗ</t>
  </si>
  <si>
    <t>AM.02.07.01.001.R.001679.11.24 от 14.11.2024</t>
  </si>
  <si>
    <t>Состав: Aqua, Glycolic Acid, Glycerin, Sodium Hydroxide, Lactic Acid, Salicylic Аcid, Citric Acid, Аcrylic Рolymer, Tasmannia Lanceolata Fruit/Leaf Extract, Sodium Hyaluronate, Xanthan Gum, Polysorbate 20, Phenoxyethanol, Ethylhexylglycerin, Parfum, Е 163, Benzyl Аlcohol.</t>
  </si>
  <si>
    <t xml:space="preserve">: используйте один или два раза в неделю, лучше вечером, на чистую сухую кожу. Не используйте на влажной коже.
Равномерно нанесите на лицо и шею. Не используйте на чувствительной или поврежденной коже.
Оставьте не более чем на 10 минут. Тщательно смойте теплой водой. Завершите уход увлажняющим кремом.
</t>
  </si>
  <si>
    <t>Меры предосторожности: при сильном жжении сразу же смыть средство водой. Обязательно нанесите солнцезащитный крем SPF 15+ зимой и SPF 30+ летом перед выходом на улицу.</t>
  </si>
  <si>
    <t>Условия хранения: хранить при температуре не ниже 0°С и не выше 25°</t>
  </si>
  <si>
    <t>https://docs.google.com/document/d/12r4W9I_eQqcf0HqsUT_JKgNud8De2Jvr/edit</t>
  </si>
  <si>
    <t>https://disk.yandex.ru/d/M7Y9mxFrAwT2Ig</t>
  </si>
  <si>
    <t>Марвел/Эйвон Косметикс</t>
  </si>
  <si>
    <t>skrab_babl_gam_200ml</t>
  </si>
  <si>
    <t>Скраб для кожи головы, Алтея, 200 мл</t>
  </si>
  <si>
    <t>AC101100420</t>
  </si>
  <si>
    <t>MPL534263</t>
  </si>
  <si>
    <t>Скраб пилинг для кожи головы</t>
  </si>
  <si>
    <t>Скраб пилинг для кожи головы, Алтея, 200 мл</t>
  </si>
  <si>
    <t>Скраб пилинг для кожи головы,  аромат "Бабл-Гам" Алтея, 200 мл</t>
  </si>
  <si>
    <t>Алтея Скраб для кожи головы 200 мл</t>
  </si>
  <si>
    <t>https://www.wildberries.ru/catalog/456967436/detail.aspx</t>
  </si>
  <si>
    <t>https://www.ozon.ru/product/2445342489</t>
  </si>
  <si>
    <t>https://market.yandex.ru/card/skrab-piling-dlya-kozhi-golovy-alteya-200-ml/4537865832?businessId=1422090&amp;clid=1422090&amp;model_id=625585245&amp;distr_type=8&amp;pp=605</t>
  </si>
  <si>
    <t>https://goldapple.ru/catalogsearch/result?q=99000125265</t>
  </si>
  <si>
    <t>https://www.letu.ru/product/alteya-skrab-piling-dlya-kozhi-golovy/177400498?sort=default&amp;open=cleanBeauty%7Eingredient%7EskinNeeds%7EforWhom&amp;hide=expectedEffect%7EnotContain%7EskinTypes%7EhairType</t>
  </si>
  <si>
    <t>Скрабы</t>
  </si>
  <si>
    <t>Уход за волосами &gt;&gt; Скраб для кожи головы &gt;&gt; Уход за волосами</t>
  </si>
  <si>
    <t>ЕАЭС N RU Д-RU.РА05.В.43973/25 от 30.06.2025 до 25.06.2030</t>
  </si>
  <si>
    <t>INCI: Water, Cetearyl alcohol, tea tree oil, udipalmitoylethyl hydroxyethylmonium methosulfate, cetearet-20, sunflower oil, cetrimonium chloride, betaine, scrubbing particles, niacinamide, aloe vera gel, glycolic acid, cocamidopropyl betaine, menthol, fragrance, phenoxyethanol, ethylhexiglycerin.</t>
  </si>
  <si>
    <t>небольшое количество средства нанесите на влажную кожу головы. Мягко помассируйте в течение 2-3 минут, затем смыть большим количеством воды.  В заключении процедуры вымыть голову с использованием шампуня. Рекомендуется применять 1 раз в неделю.</t>
  </si>
  <si>
    <t>индивидуальная непереносимость</t>
  </si>
  <si>
    <t>хранить при температуре от +5°C до 25°C и относительной влажности воздуха не более 70%</t>
  </si>
  <si>
    <t>https://docs.google.com/document/d/1os1QTPc153Yd8qYOYe3UEYoxRUxCJIfh/edit?usp=drive_web&amp;ouid=104241417680089502627&amp;rtpof=true</t>
  </si>
  <si>
    <t>kardicin</t>
  </si>
  <si>
    <t>Пищевая добавка Кардицин, CPA, 10 капсул</t>
  </si>
  <si>
    <t>CO101100425</t>
  </si>
  <si>
    <t>Средство от давления, витамины для сердца, чистка сосудов, Алтея, Кардицин, 10мг</t>
  </si>
  <si>
    <t>https://www.wildberries.ru/catalog/100410775/detail.aspx</t>
  </si>
  <si>
    <t>https://www.ozon.ru/product/727886779</t>
  </si>
  <si>
    <t>https://market.yandex.ru/card/vitaminy-dlya-serdtsa-i-sosudov-ot-davleniya-karditsin-alteya/103333761844?businessId=1422090&amp;clid=1422090&amp;model_id=1736033173&amp;distr_type=8&amp;pp=605</t>
  </si>
  <si>
    <t>https://drive.google.com/drive/folders/19nCGaqU6AYPUDCs2x2VOAYSgzlaFwK32</t>
  </si>
  <si>
    <t>ООО «Восток Плюс», 107113, г. Москва, Сокольническая пл., дом 4а, этаж 3, пом.IV, комн.11</t>
  </si>
  <si>
    <t>ekzifol</t>
  </si>
  <si>
    <t>Мазь от грибка ногтей Экзифол, CPA, 30 мл</t>
  </si>
  <si>
    <t>CC101100416</t>
  </si>
  <si>
    <t>Мазь от грибка ногтей и стопы ног противогрибковая Экзифол</t>
  </si>
  <si>
    <t>Мазь от грибка ногтей на ногах, противогрибковое средство для ногтей, Алтея, Экзифол, 30 мл</t>
  </si>
  <si>
    <t>Крем гель от грибка ногтей на ногах, противогрибковое средство для ногтей, мазь против грибка Алтея, Экзифол, 30 мл</t>
  </si>
  <si>
    <t>https://www.wildberries.ru/catalog/234150851/detail.aspx</t>
  </si>
  <si>
    <t>https://www.ozon.ru/product/1590039392</t>
  </si>
  <si>
    <t>https://market.yandex.ru/card/maz-ot-gribka-nogtey-na-nogakh-protivogribkovoye-sredstvo-dlya-nogtey-alteya-ekzifol-30-ml/103515408311?businessId=1422090&amp;clid=1422090&amp;model_id=1256821997&amp;distr_type=8&amp;pp=605</t>
  </si>
  <si>
    <t>ЕАЭС N RU Д-RU.PA01.B.66386/24 от 02.02.2024 по 31.01.2029</t>
  </si>
  <si>
    <t xml:space="preserve">Вода, жгун-корень моннье, экстракт прополиса, экстракт золотого уса, экстракт коры дуба, экстракт календулы, экстракт вербены, карбомер, экстракт каланхоэ, экстракт почек черного тополя, экстракт имбиря, экстракт чайного дерева, экстракт аира, софора желтоватая, фарнезол, экстракт ромашки, экстракт грецкого ореха, триэтаноламин, масло монарды, консервант.
</t>
  </si>
  <si>
    <t xml:space="preserve">наносить 2-3 раза в день на пораженные участки. После нанесения тщательно вымыть руки с моющим средством. При попадании в глаза и на слизистые оболочки обильно промыть их водой.
Для получения стабильного положительного результата рекомендуется курсовое применение.
</t>
  </si>
  <si>
    <t xml:space="preserve">индивидуальная непереносимость одного или нескольких компонентов продукта.
</t>
  </si>
  <si>
    <t>хранить при температуре до 25°С, избегая попадания прямых солнечных лучей.</t>
  </si>
  <si>
    <t>https://drive.google.com/drive/folders/167NlbT0rHFEGVB3u1X31lA3ZgneGv__-</t>
  </si>
  <si>
    <t>ООО «Восток Плюс», 107113, г. Москва, Сокольническая пл., дом 4а, этаж 3.</t>
  </si>
  <si>
    <t>krem_ot_rastyazhek</t>
  </si>
  <si>
    <t>Крем от растяжек, Алтея, 200 мл</t>
  </si>
  <si>
    <t>AC101100451</t>
  </si>
  <si>
    <t>MPL379167</t>
  </si>
  <si>
    <t>Крем для тела от растяжек для беременных и подростков</t>
  </si>
  <si>
    <t>Крем/масло от растяжек для беременных и подростков с эластином, Алтея, 200 мл</t>
  </si>
  <si>
    <t>Крем от растяжек для беременных и подростков с эластином, Алтея, 200 мл</t>
  </si>
  <si>
    <t>крем/масло от растяжек для беременных и подростков с эластином, алтея, 200 мл</t>
  </si>
  <si>
    <t>Крем от растяжек для беременных и подростков с эластином</t>
  </si>
  <si>
    <t>https://www.wildberries.ru/catalog/260388016/detail.aspx</t>
  </si>
  <si>
    <t>https://www.ozon.ru/product/1691475362</t>
  </si>
  <si>
    <t>https://market.yandex.ru/card/krem-ot-rastyazhek-dlya-beremennykh-i-podrostkov-s-elastinom-alteya-200-ml/103515391497?businessId=1422090&amp;clid=1422090&amp;model_id=625358065&amp;distr_type=8&amp;pp=605</t>
  </si>
  <si>
    <t>https://goldapple.ru/catalogsearch/result?q=99000114731</t>
  </si>
  <si>
    <t>https://www.letu.ru/product/alteya-krem-ot-rastyazhek-dlya-beremennyh-i-podrostkov-s-elastinom/168300067?sort=default&amp;open=cleanBeauty%7Eingredient%7EskinNeeds%7EforWhom&amp;hide=expectedEffect%7EnotContain%7EskinTypes%7EhairType</t>
  </si>
  <si>
    <t>детские товары / товары для мам и малышей / товары для мам / уход за лицом и телом</t>
  </si>
  <si>
    <t>4670020497898/4660417421650</t>
  </si>
  <si>
    <t>ЕАЭС N RU Д-RU.PA07.B.04070/24 от 20.08.2024 до 20.08.2031</t>
  </si>
  <si>
    <t xml:space="preserve">Aqua, Glycerin, Prunus Amygdalus Dulcis (Sweet Almond) Oil, Petrolatum, 
Theobroma Cacao (Cocoa) Seed Butter, Cocos Nucifera Oil, Dodecane, Dimethicone,  Glyceryl Monostearate, Butyrospermum Parkii Oil, Cetylstearyl Alcohol, Ceteareth-23, Ceteareth-6, Stearic Acid, Squalane, Linum Usitatissimum (Linseed) Seed Oil, Isopropyl Myristate, Tocopheryl Acetate, Retinyl Palmitate,  Simmondsia Chinensis (Jojoba) Seed Oil, Prunus Persica (Peach) Kernel Oil, Sodium Hyaluronate,Ceteareth-20, Hydrolyzed Collagen, Hydrolyzed Elastin,  Phenoxyethanol, Ethylhexylglycerin, Sodium Polyacrylate, Parfum, ВНТ, Coumarin, Linalool. 
</t>
  </si>
  <si>
    <t>нанесите крем на кожу живота, бедер, ягодиц и груди массажными движениями. Для лучшего эффекта используйте крем утром и вечером.</t>
  </si>
  <si>
    <t>Меры предосторожности: возможна индивидуальная непереносимость отдельных компонентов состава.</t>
  </si>
  <si>
    <t>https://docs.google.com/document/d/1O5PaTGwoyDP1k5pawQDgu7MByJ4AlTcn/edit?usp=drive_web&amp;ouid=104241417680089502627&amp;rtpof=true</t>
  </si>
  <si>
    <t>ООО Алтэя/Восток</t>
  </si>
  <si>
    <t>maska-batter_dlya_rosta_500ml</t>
  </si>
  <si>
    <t>Маска-Баттер для роста волос, Алтея, 500 мл</t>
  </si>
  <si>
    <t>AC101100413</t>
  </si>
  <si>
    <t>MPL411097</t>
  </si>
  <si>
    <t>Маска для роста волос с перцем 500мл</t>
  </si>
  <si>
    <t>Маска для роста волос с перцем, средство для роста волос, для укрепления, Алтея 500мл</t>
  </si>
  <si>
    <t>Маска для роста волос с перцем, маска-баттер 7 в 1 Алтея 500мл</t>
  </si>
  <si>
    <t>маска для роста волос с перцем алтея 500мл</t>
  </si>
  <si>
    <t>Маска для роста волос с перцем</t>
  </si>
  <si>
    <t>https://www.wildberries.ru/catalog/344464243/detail.aspx</t>
  </si>
  <si>
    <t>https://www.ozon.ru/product/1917245431</t>
  </si>
  <si>
    <t>https://market.yandex.ru/card/maska-dlya-rosta-volos-s-pertsem-alteya-500ml/103816810573?businessId=1422090&amp;clid=1422090&amp;model_id=1058774858&amp;distr_type=8&amp;pp=605</t>
  </si>
  <si>
    <t>https://www.letu.ru/product/alteya-maska-dlya-rosta-volos-s-pertsem/175700002?sort=default&amp;open=ingredient%7EforWhom&amp;hide=expectedEffect%7EnotContain%7EhairType</t>
  </si>
  <si>
    <t>Уход за волосами &gt;&gt; Маска для волос &gt;&gt; Уход за волосами</t>
  </si>
  <si>
    <t>ЕАЭС N RU Д-RU.PA11.B.07086/24 от 03.12.2024 по 01.12.2029</t>
  </si>
  <si>
    <t xml:space="preserve">aqua, cetearyl alcohol, glycerin, Coconut Oil refined, dipalmitoethyl hydroxyethylmonium methosulfate, behentrimonium chloride, Burdock (Arctium Lappa) Root Infused Oil, hydroxyethylcellulose, Rosemary African Oil, Capsicum, Ficus carica
</t>
  </si>
  <si>
    <t>перед мытьем волос нанести маску на сухие или влажные волосы и кожу головы, разделяя волосы на проборы. Провести легкий массаж. Оставить на 15-20 минут. Смыть водой и промыть голову шампунем</t>
  </si>
  <si>
    <t>Меры предосторожности: не наносите на поврежденную кожу и избегайте попадания в глаза. При попадании в глаза тщательно промойте водой</t>
  </si>
  <si>
    <t>https://docs.google.com/document/d/18g9fhYJVdG51E_bDog7_l2Aikk4-19_E/edit?usp=drive_web&amp;ouid=104241417680089502627&amp;rtpof=true</t>
  </si>
  <si>
    <t>https://disk.yandex.ru/d/nZLvisrm0ukpzQ</t>
  </si>
  <si>
    <t>yagodniy_spas_1_1</t>
  </si>
  <si>
    <t>CO101100429</t>
  </si>
  <si>
    <t>Средство от давления, витамины для сердца, чистка сосудов, Алтея, Кардицин, 2 шт</t>
  </si>
  <si>
    <t>https://www.wildberries.ru/catalog/331501221/detail.aspx</t>
  </si>
  <si>
    <t>https://www.ozon.ru/product/1129300642</t>
  </si>
  <si>
    <t>https://market.yandex.ru/card/sredstvo-ot-davleniya-vitaminy-dlya-serdtsa-chistka-sosudov-alteya-karditsin-2-sht/103515447164?businessId=1422090&amp;clid=1422090&amp;model_id=1452481401&amp;distr_type=8&amp;pp=605</t>
  </si>
  <si>
    <t>tonik_dlya_lica_200ml</t>
  </si>
  <si>
    <t>Тоник для лица матирующий, Алтея, 200 мл</t>
  </si>
  <si>
    <t>AC101100427</t>
  </si>
  <si>
    <t>MPL440013</t>
  </si>
  <si>
    <t>Тоник для лица очищающий, увлажняющий тонер, лосьон от пигментации, от прыщей и акне, черных точек для подростков с гликолевой салициловой кислотой, центеллой, ниацинамидом, Алтея 200 мл</t>
  </si>
  <si>
    <t>Тоник для лица от прыщей и черных точек очищающий, Алтея 200 мл</t>
  </si>
  <si>
    <t>тоник для лица очищающий, увлажняющий тонер, лосьон от пигментации, от прыщей и акне, черных точек для подростков с гликолевой салициловой кислотой, центеллой, ниацинамидом, алтея 200 мл</t>
  </si>
  <si>
    <t>https://www.wildberries.ru/catalog/385736759/detail.asp</t>
  </si>
  <si>
    <t>https://www.ozon.ru/product/2015547267</t>
  </si>
  <si>
    <t>https://market.yandex.ru/card/tonik-dlya-litsa-ot-pryshchey-i-chernykh-tochek-ochishchayushchiy-alteya-200-ml/4334347819?businessId=1422090&amp;clid=1422090&amp;model_id=968485540&amp;distr_type=8&amp;pp=605</t>
  </si>
  <si>
    <t>https://goldapple.ru/catalogsearch/result?q=99000114728</t>
  </si>
  <si>
    <t>https://www.letu.ru/product/alteya-tonik-dlya-litsa-ot-pryshchei-i-chernyh-tochek-ochishchayushchii/172000552</t>
  </si>
  <si>
    <t>Состав/INCI: Aqua, Butylene Glycol, PEG-12 Dimethicone, Centella Asiatica Leaf Extract, Niacinamide, Allantoin, Zinc PCA, Saccharide Isomerate, Sodium Hyaluronate, Sodium Lactate, Sodium Glycolate, Sodium Citrate, Sodium Malate, Sodium Tartrate, Lactic Acid,  Glycolic Acid, Citric Acid, Malic Acid, Tartaric Acid, Salicylic Аcid, Glycolic Acid, Propylene Glycol, PEG-40 Hydrogenated Castor Oil, Аcrylic Рolymer, Sodium Hydroxide, Polysorbate 80, Parfum, Potassium Sorbate, Sodium Benzoate, Phenoxyethanol, Ethylhexylglycerin.</t>
  </si>
  <si>
    <t>нанесите тоник на ватный диск и протрите лицо, избегая область вокруг глаз.</t>
  </si>
  <si>
    <t>Меры предосторожности: Перед первым использованием необходимо провести тест на чувствительность кожи на локтевом сгибе</t>
  </si>
  <si>
    <t xml:space="preserve">хранят при температуре не ниже плюс 5 ˚С и не выше плюс 25 ˚С Не допускается хранить продукцию под непосредственным воздействием </t>
  </si>
  <si>
    <t>https://docs.google.com/document/d/1pXRLz589MMAJ532BLdEd11VgQ5ZQwreA/edit?usp=drive_web&amp;ouid=104241417680089502627&amp;rtpof=true</t>
  </si>
  <si>
    <t>ООО Правильное решение</t>
  </si>
  <si>
    <t>maska-batter_250ml</t>
  </si>
  <si>
    <t>Маска-Баттер для повреждённых волос, Алтея, 250 мл</t>
  </si>
  <si>
    <t>AC101100410</t>
  </si>
  <si>
    <t>MPL381090</t>
  </si>
  <si>
    <t>АЛТЕЯ-MASKBTR</t>
  </si>
  <si>
    <t>Маска для волос увлажняющая с кератином 250 мл</t>
  </si>
  <si>
    <t>Восстанавливающая маска для волос с кератином увлажняющая, Алтея, 250 мл</t>
  </si>
  <si>
    <t>Маска для волос профессиональная с кератином восстанавливающая, бальзам для волос Алтея, 250 мл</t>
  </si>
  <si>
    <t>маска для волос профессиональная с кератином восстанавливающая, бальзам для волос алтея, 250 мл</t>
  </si>
  <si>
    <t>Маска для волос профессиональная с кератином восстанавливающая, бальзам для волос</t>
  </si>
  <si>
    <t>Маска для волос профессиональная с кератином восстанавливающая бальзам Алтея 250 мл</t>
  </si>
  <si>
    <t>https://www.wildberries.ru/catalog/260383031/detail.aspx</t>
  </si>
  <si>
    <t>https://www.ozon.ru/product/1691464882</t>
  </si>
  <si>
    <t>https://market.yandex.ru/card/maska-dlya-volos-professionalnaya-s-keratinom-vosstanavlivayushchaya-balzam-dlya-volos-alteya-250-ml/103515390557?businessId=1422090&amp;clid=1422090&amp;model_id=625585245&amp;distr_type=8&amp;pp=605</t>
  </si>
  <si>
    <t>https://goldapple.ru/catalogsearch/result?q=99000076210</t>
  </si>
  <si>
    <t>https://www.letu.ru/product/alteya-maska-dlya-volos-professionalnaya-s-keratinom-vosstanavlivayushchaya-balzam-dlya-volos/163501102?sort=default&amp;open=ingredient%7EforWhom%7EskinNeeds%7EcleanBeauty&amp;hide=expectedEffect%7EnotContain%7EhairType</t>
  </si>
  <si>
    <t>https://mm.ru/product/maska-dlya-volos-5868855?skuId=13110233</t>
  </si>
  <si>
    <t>Маски</t>
  </si>
  <si>
    <t>ЕАЭС N RU Д-RU.PA06.B.40121/24 от 31.07.2024 до 31.07.2031</t>
  </si>
  <si>
    <t>Aqua, Cetearyl Alcohol, Glycerin, Behenamidopropyl,  Dimethylamine Amodimethicone (and) Cetrimonium chloride (and) Trideceth-3 (and) Trideceth-15, Persea Gratissima (Avocado) Oil, Olea Europaea (Olive) Fruit Oil, Arctium Lappa Root Extract, Lactic Acid, Ceteareth-20, Bis-Hydroxy/Methoxy Amodimethicone, Polyquaternium-10, Hydrolyzed Keratin, Hydrolysed Silk, Hydrolyzed Wheat Protein, Ricinus Communis Seed Oil, Cocos Nucifera Oil, Propylene Glycol, Prunus Armeniaca Extract, Persea americana Fruit Extract, Punica Granatum Fruit Extract, Musa acuminata Fruit Extract, Potassium Sorbate, Sodium Benzoate, Parfum, Benzyl Alcohol, Methylchloroisothiazolinone,  Methylisothiazolinone, CI 19140/CI42090, CI 15510, Linalool, Limonene, Hexyl Cinnamal.</t>
  </si>
  <si>
    <t xml:space="preserve">Небольшое количество маски, после мытья головы, нанести на чистые, влажные волосы и оставить на 3-5 минут, затем смыть теплой водой.
При сильном повреждении волос, рекомендуется нанести маску на чистые, влажные волосы и оставить на 15-20 мину, затем смыть теплой водой.
</t>
  </si>
  <si>
    <t>https://docs.google.com/document/d/1sb7ycmer-qcAEhVlWgh9l2GHDQ_Oe0sa/edit?usp=drive_web&amp;ouid=104241417680089502627&amp;rtpof=true</t>
  </si>
  <si>
    <t>varifit</t>
  </si>
  <si>
    <t>Крем от варикоза Варифит, CPA, 30 мл</t>
  </si>
  <si>
    <t>Варикоз</t>
  </si>
  <si>
    <t>CC101100406</t>
  </si>
  <si>
    <t>Крем от варикоза усталости и отеков ног Варифит</t>
  </si>
  <si>
    <t>Крем мазь от варикоза, конский каштан, Алтея, Варифит, 30 мл</t>
  </si>
  <si>
    <t>Крем мазь от варикоза, конский каштан, гель от тяжести в ногах Алтея, Варифит, 30 мл</t>
  </si>
  <si>
    <t>https://www.wildberries.ru/catalog/234147545/detail.aspx</t>
  </si>
  <si>
    <t>https://www.ozon.ru/product/1590032182</t>
  </si>
  <si>
    <t>https://market.yandex.ru/card/krem-maz-ot-varikoza-konskiy-kashtan-alteya-varifit-30-ml/103515397749?businessId=1422090&amp;clid=1422090&amp;model_id=1256606336&amp;distr_type=8&amp;pp=605</t>
  </si>
  <si>
    <t>Оздоровительная косметика</t>
  </si>
  <si>
    <t xml:space="preserve">Вода, гирудин, троксерутин, экстракт мяты, экстракт хмеля, экстракт ореха черного, экстракт календулы, карбомер, экстракт хвоща, экстракт тысячелистника, троксерутин, экстракт каштана конского, экстракт маклюры, экстракт корня багульника, триэтаноламин, донник лекарственный, консервант. 
</t>
  </si>
  <si>
    <t xml:space="preserve">
гель нанести тонким слоем на пораженный участок и круговыми движениями втереть в кожу. После нанесения тщательно вымыть руки с моющим средством. При попадании в глаза и на слизистые оболочки обильно промыть их водой.
Для получения стабильного положительного результата рекомендуется курсовое применение.
</t>
  </si>
  <si>
    <t>https://docs.google.com/document/d/1QkeScd1qVCdrTwXY-ZieJNGOjLh9jp49/edit?rtpof=true</t>
  </si>
  <si>
    <t xml:space="preserve">ООО «Восток Плюс», 107113, г. Москва, Сокольническая пл., дом 4а, этаж 3. </t>
  </si>
  <si>
    <t>khvoinitsa</t>
  </si>
  <si>
    <t>Пищевая добавка Хвойница , CPA, 7 саше</t>
  </si>
  <si>
    <t>CO101100437</t>
  </si>
  <si>
    <t>Хвойный экстракт для иммунитета и оздоровления Хвойница</t>
  </si>
  <si>
    <t>Хвойный экстракт для повышения иммунитета и оздоровления Хвойница</t>
  </si>
  <si>
    <t>https://www.wildberries.ru/catalog/104628658/detail.aspx</t>
  </si>
  <si>
    <t>https://www.ozon.ru/product/736435678</t>
  </si>
  <si>
    <t>https://market.yandex.ru/card/khvoynyy-ekstrakt-dlya-immuniteta-i-ozdorovleniya-khvoynitsa-7-sashe/103340899028?do-waremd5=QHlGOQxLdn4Nkbt3Ug8P0w&amp;businessId=1422090&amp;generalContext=t%3DshopInShop%3Bbi%3D1422090%3B&amp;ogV=-10</t>
  </si>
  <si>
    <t>Экстракты пищевые растительные</t>
  </si>
  <si>
    <t>ЕАЭС N RU Д-RU.РА03.В.97282/24 от 27.04.2024 по 25.04.2029</t>
  </si>
  <si>
    <t xml:space="preserve">Хвоя сосны, хвоя можжевельника.
</t>
  </si>
  <si>
    <t>СПОСОБ УПОТРЕБЛЕНИЯ: 1 саше пакет заварить в 200 мл горячей воды. Употреблять 1 саше-пакет в день во время еды. Рекомендуется курсовой прием</t>
  </si>
  <si>
    <t>индивидуальная непереносимость компонентов, беременность, кормление грудью, возраст младше 18 лет, проблемы с ЖКТ. Перед применением необходимо проконсультироваться с врачом.</t>
  </si>
  <si>
    <t xml:space="preserve"> хранить в оригинальной закрытой упаковке в защищенном от прямых солнечных лучей и недоступном для детей месте при температуре не выше +25ºС.
</t>
  </si>
  <si>
    <t>саше по 3г</t>
  </si>
  <si>
    <t>https://drive.google.com/drive/folders/175bOAVUoW15hBtRVK13_l5jJVZntAiAu</t>
  </si>
  <si>
    <t>matte_wax_50ml</t>
  </si>
  <si>
    <t>Воск для укладки волос, Алтея, 50 мл</t>
  </si>
  <si>
    <t>AC101100417</t>
  </si>
  <si>
    <t>MPL485625</t>
  </si>
  <si>
    <t>АЛТЕЯ-MATTEW</t>
  </si>
  <si>
    <t>Гель воск для укладки волос</t>
  </si>
  <si>
    <t>Гель-воск для волос Блеск сверхсильная фиксация Алтея 50 мл</t>
  </si>
  <si>
    <t>Воск для укладки волос, моделирующий, паста-воск, сверхсильной фиксации, Алтея 50 мл</t>
  </si>
  <si>
    <t>воск для укладки волос алтея 50 мл</t>
  </si>
  <si>
    <t>Крем для укладки волос</t>
  </si>
  <si>
    <t>Воск для укладки волос Алтея 50 мл</t>
  </si>
  <si>
    <t>https://www.wildberries.ru/catalog/418209838/detail.aspx</t>
  </si>
  <si>
    <t>https://www.ozon.ru/product/2138175361</t>
  </si>
  <si>
    <t>https://market.yandex.ru/card/vosk-dlya-ukladki-volos-alteya-50-ml/4476315416?businessId=1422090&amp;clid=1422090&amp;model_id=1503630299&amp;distr_type=8&amp;pp=605</t>
  </si>
  <si>
    <t>https://www.letu.ru/product/alteya-krem-dlya-ukladki-volos/178102006?sort=default&amp;open=ingredient%7EforWhom%7EskinNeeds%7EcleanBeauty&amp;hide=expectedEffect%7EnotContain%7EhairType</t>
  </si>
  <si>
    <t>https://mm.ru/product/vosk-dlya-ukladki-volos-alteya-50-5876222?skuId=13124662</t>
  </si>
  <si>
    <t>Воски для волос</t>
  </si>
  <si>
    <t>товары для красоты / косметика, парфюмерия и уход / уход за волосами / для укладки / воск и паста</t>
  </si>
  <si>
    <t>Воск для укладки волос &gt;&gt; Средства для укладки волос &gt;&gt; Средства для укладки волос</t>
  </si>
  <si>
    <t>Воск</t>
  </si>
  <si>
    <t>Aqua, Ceteareth-20, Microcrystalline Wax, Cetearyl Alcohol, Beeswax, Polyvinylpyrrolidone, Liquid Paraffin, Kaolin, Glyceryl Stearate, Fragrance, Phenoxyethanol, Bergamot Essential Oil, Ethylhexylglycerin, Linalool</t>
  </si>
  <si>
    <t xml:space="preserve">Возьмите небольшое количество продукта размером с горошину. Равномерно разотрите средство по ладоням до полного распределения. </t>
  </si>
  <si>
    <t>https://docs.google.com/document/d/1k6sGlZB06CCgdKoCPkks1KREtMI049ud/edit?usp=drive_web&amp;ouid=104241417680089502627&amp;rtpof=true</t>
  </si>
  <si>
    <t>https://disk.yandex.ru/d/P8ipjXjie3UR-Q</t>
  </si>
  <si>
    <t>Ася, 7 928 038-70-35</t>
  </si>
  <si>
    <t>allicil_gribok15ml</t>
  </si>
  <si>
    <t>Мазь от грибка ногтей Аллицил, CPA, 15 мл</t>
  </si>
  <si>
    <t>CC101100414</t>
  </si>
  <si>
    <t>Мазь от грибка ногтей и стопы Аллицил</t>
  </si>
  <si>
    <t>Мазь от грибка ногтей на ногах Аллицил, противогрибковое средство, Алтея,15 мл</t>
  </si>
  <si>
    <t>Крем от грибка ногтей на ногах Аллицил, противогрибковое средство, гель для ухода за ногами,  мазь Алтея 15 мл</t>
  </si>
  <si>
    <t>https://www.wildberries.ru/catalog/151393048/detail.aspx</t>
  </si>
  <si>
    <t>https://www.ozon.ru/product/916705489</t>
  </si>
  <si>
    <t>https://market.yandex.ru/card/maz-ot-gribka-nogtey-i-stopy-nog-protivogribkovaya-allitsil/102072156318?businessId=1422090&amp;clid=1422090&amp;model_id=1256821997&amp;distr_type=8&amp;pp=605</t>
  </si>
  <si>
    <t>ЕАЭС N RU Д-RU.PA01.B.33475/23 от 25.01.2023 до 23.01.2028</t>
  </si>
  <si>
    <t>вода, карбомер, экстракт чеснока, экстракт чёрного ореха, жгун-корень моннье, софора, экстракт чистотела, экстракт стемоны японской, триэтаноламин, камфора, консервант.</t>
  </si>
  <si>
    <t>наносить тонким слоем на проблемную область 2–3 раза в день. Для получения стабильного положительного результата рекомендуется курсовое применение.</t>
  </si>
  <si>
    <t>хранить в оригинальной упаковке, в защищенном от прямых солнечных лучей и недоступном для детей месте при температуре не выше 25°С.</t>
  </si>
  <si>
    <t>мл гель</t>
  </si>
  <si>
    <t>https://drive.google.com/drive/folders/1Ym7nsvAqaEG-eS6oeevSB0uvjPtgJkTx</t>
  </si>
  <si>
    <t>intimvita_300ml</t>
  </si>
  <si>
    <t>Фокус+КЗ</t>
  </si>
  <si>
    <t>Гель для интимной гигиены Интимвита, Алтея, 300 мл</t>
  </si>
  <si>
    <t>AC101100450</t>
  </si>
  <si>
    <t>MPL494932</t>
  </si>
  <si>
    <t>АЛТЕЯ-INTIMVI</t>
  </si>
  <si>
    <t>Гель для интимной гигиены с молочной кислотой ИнтимVita</t>
  </si>
  <si>
    <t>Гель для интимной гигиены с молочной кислотой, Алтея, Интимвита, 300 мл</t>
  </si>
  <si>
    <t>Гель для интимной гигиены с молочной кислотой, крем гель очищающий с ароматом розы Алтея, Интимвита, 300 мл</t>
  </si>
  <si>
    <t>гель для интимной гигиены с молочной кислотой, алтея, интимвита, 300 мл</t>
  </si>
  <si>
    <t>Гель для интимной гигиены с молочной кислотой</t>
  </si>
  <si>
    <t>Гель для интимной гигиены с молочной кислотой Алтея Интимвита 300 мл</t>
  </si>
  <si>
    <t>https://www.wildberries.ru/catalog/480197142/detail.aspx</t>
  </si>
  <si>
    <t>https://www.ozon.ru/product/2545691905</t>
  </si>
  <si>
    <t>https://market.yandex.ru/card/gel-dlya-intimnoy-gigiyeny-s-molochnoy-kislotoy-alteya-intimvita-300-ml/4569590420?businessId=1422090&amp;clid=1422090&amp;model_id=625438732&amp;distr_type=8&amp;pp=605</t>
  </si>
  <si>
    <t>https://goldapple.ru/catalogsearch/result?q=99000114723</t>
  </si>
  <si>
    <t>https://www.letu.ru/product/alteya-gel-dlya-intimnoi-gigieny-s-molochnoi-kislotoi/175700244?sort=default&amp;open=ingredient%7EforWhom%7EskinNeeds%7EcleanBeauty&amp;hide=expectedEffect%7EnotContain%7EhairType%7EskinTypes</t>
  </si>
  <si>
    <t>https://mm.ru/product/gel-dlya-intimnoj-5880311?skuId=13130065</t>
  </si>
  <si>
    <t>товары для красоты / средства и предметы гигиены / средства для интимной гигиены</t>
  </si>
  <si>
    <t>Интимная гигиена</t>
  </si>
  <si>
    <t>Уход за телом &gt;&gt; Средства для гигиены &gt;&gt; Гель для интимной гигиены</t>
  </si>
  <si>
    <t>Средства для интимной гигиены</t>
  </si>
  <si>
    <t>RU.77.99.29.001.R.001146.05.20 от 14.05.2020</t>
  </si>
  <si>
    <t>Aqua, Sodium Laureth Sulfate, Sodium Chloride, Cocamide DEA, Cocamidopropyl Betaine, Glycerin, Betaine, Propylene Glycol, Calendula Officinalis Flower Extract, Chamomilla Recutita Flower Extract, Fragaria Vesca Leaf Extract, Achillea Millefolium Herb Extract, Pyrus Cydonia Fruit Extract, PEG-120 Methyl Glucose Dioleate, Ethylene Glycol Distearate, Ethoxylated Fatty Alcohols C12-C14, Parfum, Phenoxyethanol, Ethylhexylglycerin, Lactic Acid.</t>
  </si>
  <si>
    <t xml:space="preserve">небольшое количество геля нанести на деликатные участки тела, вспенить, тщательно смыть водой. </t>
  </si>
  <si>
    <t>https://docs.google.com/document/d/12qIGuyAqSTiu1mokxns3mboYuqjjl6Xw/edit</t>
  </si>
  <si>
    <t>ООО "ПФК "Две линии", Россия, 659322, Алтайский край, г. Бийск.</t>
  </si>
  <si>
    <t>krem_dlya_vek_30ml</t>
  </si>
  <si>
    <t>Крем для век от отёков, Алтея, 30 мл</t>
  </si>
  <si>
    <t>AC101100429</t>
  </si>
  <si>
    <t>MPL534118</t>
  </si>
  <si>
    <t>Крем для век антивозрастной для кожи вокруг глаз</t>
  </si>
  <si>
    <t>Крем для век и кожи вокруг глаз Жидкие патчи для глаз Алтея 30 мл</t>
  </si>
  <si>
    <t>Крем для век и кожи вокруг глаз, крем от отеков и морщин, жидкие патчи для глаз Алтея 30 мл</t>
  </si>
  <si>
    <t>Крем для век и кожи вокруг глаз Жидкие патчи для глаз</t>
  </si>
  <si>
    <t>https://www.wildberries.ru/catalog/471396076/detail.aspx</t>
  </si>
  <si>
    <t>https://www.ozon.ru/product/2498445505</t>
  </si>
  <si>
    <t>https://market.yandex.ru/card/krem-dlya-vek-i-kozhi-vokrug-glaz-alteya-30-ml/4537862103?businessId=1422090&amp;clid=1422090&amp;model_id=1418565286&amp;distr_type=8&amp;pp=605</t>
  </si>
  <si>
    <t>https://goldapple.ru/catalogsearch/result?q=99000125267</t>
  </si>
  <si>
    <t>https://www.letu.ru/product/alteya-krem-dlya-vek-i-kozhi-vokrug-glaz-zhidkie-patchi-dlya-glaz/177305601?sort=default&amp;open=ingredient%7EforWhom%7EskinNeeds%7EcleanBeauty&amp;hide=expectedEffect%7EnotContain%7EhairType%7EskinTypes</t>
  </si>
  <si>
    <t>товары для красоты / косметика, парфюмерия и уход / уход за лицом / уход за кожей вокруг глаз</t>
  </si>
  <si>
    <t>4670020498918/4660417421643</t>
  </si>
  <si>
    <t>ЕАЭС N RU Д-RU.РА04.В.64144/25 от 27.05.2025 до 27.05.2032</t>
  </si>
  <si>
    <t>Aqua, Isononyl Isonona- noate, Butylene Glycol, Hydroxyethyl Urea, Glycerin, Ceteareth-20, Palmaria Palmata Extract, Palmitoil Tripeptide-5, Propyl Gallate, Gallyl Glucoside, Epigallo- catechin Gallatyl Glucoside, Caffeine, Centaurea Cyanus Flowers Extract, Simmondsia Chinensis (Jojoba) Seed Oil, Olea Europaea (Olive) Fruit Oil, Sodium Hyaluronate, Carbomer, Triethanolamine, Propylene Glycol, Parfum, Potassium Sorbate, Benzyl Alcohol, Ethylhexylglyc- erin, Hexanediol, Polysorbate - 20</t>
  </si>
  <si>
    <t>нанесите крем на предварительно очищенную кожу вокруг глаз, распределите легкими массирующими движениями.</t>
  </si>
  <si>
    <t>https://docs.google.com/document/d/1IpiUK8MnCeVduzvGWU79sV4UxNaOzTqd/edit?usp=drive_web&amp;ouid=104241417680089502627&amp;rtpof=true</t>
  </si>
  <si>
    <t>insulight_1_1</t>
  </si>
  <si>
    <t>Пищевая добавка Инсулайт, CPA, 49 г, набор из 2 шт</t>
  </si>
  <si>
    <t>CO101100415</t>
  </si>
  <si>
    <t>Диабет витамины при сахарном диабете, Алтея, Инсулайт, 49г х 2</t>
  </si>
  <si>
    <t>https://www.wildberries.ru/catalog/525494849/detail.aspx</t>
  </si>
  <si>
    <t>https://www.ozon.ru/product/2825101652</t>
  </si>
  <si>
    <t>https://market.yandex.ru/card/diabet-vitaminy-pri-sakharnom-diabete-alteya-insulayt-49g-kh-2/4640680679?businessId=1422090&amp;clid=1422090&amp;model_id=1352508276&amp;distr_type=8&amp;pp=605</t>
  </si>
  <si>
    <t>растворить 1 мерную ложку порошка (7 граммов) в 150 мл воды. Принимать 1 раз в день во время или сразу после еды</t>
  </si>
  <si>
    <t>urofol</t>
  </si>
  <si>
    <t>Пищевая добавка Урофол, CPA, 20 капсул</t>
  </si>
  <si>
    <t>Цистит</t>
  </si>
  <si>
    <t>CO101100447</t>
  </si>
  <si>
    <t>Урофол добавка при недержании мочи и цистите</t>
  </si>
  <si>
    <t>Таблетки от недержания мочи от цистита, Алтея, Урофол, 20 капсул</t>
  </si>
  <si>
    <t>Таблетки от недержания мочи от цистита, средства от недержания для мочеполовой системы Алтея, Урофол, 20 капсул</t>
  </si>
  <si>
    <t>https://www.wildberries.ru/catalog/222223364/detail.aspx</t>
  </si>
  <si>
    <t>https://www.ozon.ru/product/1528085750</t>
  </si>
  <si>
    <t>https://market.yandex.ru/card/tabletki-ot-nederzhaniya-mochi-ot-tsistita-alteya-urofol-20-kapsul/103515424475?businessId=1422090&amp;clid=1422090&amp;model_id=859804210&amp;distr_type=8&amp;pp=605</t>
  </si>
  <si>
    <t>ЕАЭС N RU Д-RU.PA07.B.70898/23 от 21.09.2023 по 19.09.2028</t>
  </si>
  <si>
    <t xml:space="preserve">панты марала, прополис, экстракт клюквы, экстракт имбиря, экстракт женьшеня, экстракт мяты, экстракт алоэ, экстракт эврикомы, экстракт дамианы, экстракт толокнянки, экстракт плодов пальмы сереноа, пастушья сумка, экстракт эхинацеи, лимонная кислота, витамин С, крахмал, диоксид кремния.
</t>
  </si>
  <si>
    <t>по 1 капсуле 2 раза в день.</t>
  </si>
  <si>
    <t>https://drive.google.com/drive/u/4/folders/1IYmICENA2wXsAIhESf714-wVsoPD0S1V</t>
  </si>
  <si>
    <t>ООО "САН ДЭЙ" (Восток Плюс)</t>
  </si>
  <si>
    <t>silk_hair_300ml</t>
  </si>
  <si>
    <t>Kрем для волос разглаживающий, Алтея, 300 мл</t>
  </si>
  <si>
    <t>AC101100416</t>
  </si>
  <si>
    <t>MPL477653</t>
  </si>
  <si>
    <t>АЛТЕЯ-SILKHAR</t>
  </si>
  <si>
    <t>Разглаживающий крем для волос парфюмированный</t>
  </si>
  <si>
    <t>Kрем для волос разглаживающий праймер кондиционер реконструктор флюид для непослушных или кудрявых волос для кончиков Султан 300мл Алтея La Sultane</t>
  </si>
  <si>
    <t>Разглаживающий крем для волос праймер кондиционер реконструктор флюид для непослушных или кудрявых волос для кончиков Султан де Саба 300мл Алтея</t>
  </si>
  <si>
    <t>разглаживающий крем для волос праймер кондиционер реконструктор флюид для непослушных или кудрявых волос для кончиков 300мл</t>
  </si>
  <si>
    <t>Разглаживающий крем для волос, для непослушных или кудрявых волос для кончиков</t>
  </si>
  <si>
    <t>Kрем для волос разглаживающи для непослушных или кудрявых волос для кончиков 300мл Алтея</t>
  </si>
  <si>
    <t>https://www.wildberries.ru/catalog/399766297/detail.aspx</t>
  </si>
  <si>
    <t>https://www.ozon.ru/product/2067962201</t>
  </si>
  <si>
    <t>https://market.yandex.ru/card/razglazhivayushchiy-krem-dlya-volos-praymer-konditsioner-rekonstruktor-flyuid-dlya-neposlushnykh-ili-kudryavykh-volos-dlya-konchikov-sultan-de-saba-300ml-alteya/4476306819?businessId=1422090&amp;clid=1422090&amp;model_id=1243125374&amp;distr_type=8&amp;pp=605</t>
  </si>
  <si>
    <t>https://www.letu.ru/product/alteya-razglazhivayushchii-krem-dlya-volos-dlya-neposlushnyh-ili-kudryavyh-volos-dlya-konchikov/172700107?sort=default&amp;open=ingredient%7EforWhom%7EskinNeeds%7EcleanBeauty&amp;hide=expectedEffect%7EnotContain%7EhairType%7EskinTypes</t>
  </si>
  <si>
    <t>https://mm.ru/product/krem-dlya-volos-5876205?skuId=13121526</t>
  </si>
  <si>
    <t>товары для красоты / косметика, парфюмерия и уход / уход за волосами / бальзамы и кондиционеры / ополаскиватели для волос</t>
  </si>
  <si>
    <t>Aqua, Behentrimonium Methosulfate, Coco-Сaprylate/Сaprate, Fragrance, Hydrolyzed Keratin, Polyquaternium-37, Hydrolyzed Silk,  Argania Spinosa Oil, Silicone Quaternium-16/Glycidoxy Dimethicone Crosspolymer, Undeceth-11, Undeceth-5,Cetyl Alcohol,  Glyceryl Stearate, PEG-100 Stearate, Disodium EDTA, PHENOXYETHANOL, Ethylhexylglycerin, Citric Acid.</t>
  </si>
  <si>
    <t xml:space="preserve">нанесите необходимое количество крема между ладонями и распределите по вымытым и слегка подсушенным волосам. Расчешите продукт по всей длине, включая кончики, не смывайте, и приступайте к созданию вашей укладки. </t>
  </si>
  <si>
    <t>: избегайте попадания в глаза. При попадании в глаза промойте водой. Во избежание индивидуальной непереносимости протестируйте на небольшом участке кожи.</t>
  </si>
  <si>
    <t>https://docs.google.com/document/d/1cPndhKuQlGxZXbQ4V5apn2_u5dkobJAE/edit</t>
  </si>
  <si>
    <t>https://disk.yandex.ru/d/PhNbKSgkCBiuvw</t>
  </si>
  <si>
    <t>artoks</t>
  </si>
  <si>
    <t>Мазь для суставов Артокс, CPA, 50 мл</t>
  </si>
  <si>
    <t>CC101100401</t>
  </si>
  <si>
    <t>Крем мазь для суставов и связок Артокс обезболивающий</t>
  </si>
  <si>
    <t>Крем от варикоза усталости и отеков ног мазь вен на ногах от варикоза ног крем , Алтея, Дар Дракона, 30 мл</t>
  </si>
  <si>
    <t>Крем от варикоза усталости и отеков ног, гель тонизирующий для ног,  Алтея, Дар Дракона, 30 мл</t>
  </si>
  <si>
    <t>https://www.wildberries.ru/catalog/40812096/detail.aspx</t>
  </si>
  <si>
    <t>https://www.ozon.ru/product/359068917</t>
  </si>
  <si>
    <t>https://market.yandex.ru/card/krem-ot-varikoza-ustalosti-i-otekov-nog-okhlazhdayushchiy-dar-drakona-30-ml/103331098181?businessId=1422090&amp;clid=1422090&amp;model_id=1256604478&amp;distr_type=8&amp;pp=605</t>
  </si>
  <si>
    <t>4631159656396 
4699715545348 
4660417421100</t>
  </si>
  <si>
    <t>ЕАЭС N RU Д-RU.PА01.B.10437/21 от 28.09.2021 по 23.09.2026</t>
  </si>
  <si>
    <t>экстракт коры дуба, коллаген, экстракт конского каштана, хондроитин, глюкозамин, акулий жир, экстракт лютика желтого, экстракт адамова корня, экстракт маклюры, экстракт мяты, панты марала, экстракт сабельника, экстракт хвои, экстракт золотого уса, экстракт прополиса, экстракт березы, экстракт дьявольского когтя, экстракт коры ивы, экстракт хмеля, экстракт бедренца камнеломного.</t>
  </si>
  <si>
    <t>гель нанести тонким слоем на пораженные суставы и круговыми движениями втирать в кожу. Применять 2-3 раза в день до исчезновения воспалительных явлений.</t>
  </si>
  <si>
    <t>https://docs.google.com/document/d/1wa7GGSg0BA9cWgW0s5BKsYDLsxNSp2n0EsDBzotJVvM/edit#</t>
  </si>
  <si>
    <t>gemorekt</t>
  </si>
  <si>
    <t>Крем от гемороя Геморект, CPA, 15 мл</t>
  </si>
  <si>
    <t>Геморрой</t>
  </si>
  <si>
    <t>CC101100408</t>
  </si>
  <si>
    <t>Крем гель от геморроя и трещин Геморект</t>
  </si>
  <si>
    <t>Крем гель от геморроя и анальных трещин / Геморект, 15 мл</t>
  </si>
  <si>
    <t>Крем гель от геморроя и анальных трещин, мазь лечебная, Геморект, 15 мл</t>
  </si>
  <si>
    <t>https://www.wildberries.ru/catalog/234208976/detail.aspx</t>
  </si>
  <si>
    <t>https://www.ozon.ru/product/1590267064</t>
  </si>
  <si>
    <t>https://market.yandex.ru/card/krem-gel-ot-gemorroya-i-analnykh-treshchin--gemorekt-15-ml/103515416657?businessId=1422090&amp;clid=1422090&amp;model_id=625398393&amp;distr_type=8&amp;pp=605</t>
  </si>
  <si>
    <t>ЕАЭС N RU Д-RU.PA03.B.08160/24 от 26.03.2024 по 25.03.2029</t>
  </si>
  <si>
    <t>гинкго билоба, алоэ вера, кора белого дуба, экстракты тысячелистника, календулы, мумие, конского каштана, черного ореха, зверобоя, д-пантенол, прополис, оливковое масло, облепиховое масло, пчелиный воск, вода, глицерин, бланоза, шаромикс ег 10, сабовакс, камфора.</t>
  </si>
  <si>
    <t xml:space="preserve">наносить на проблемный участок 2-3 раза в день. После нанесения тщательно вымыть руки с моющим средством. При попадании в глаза или на слизистые оболочки обильно промыть их водой. Для получения стабильного положительного результата рекомендуется курсовое применение.
</t>
  </si>
  <si>
    <t xml:space="preserve"> индивидуальная непереносимость одного или нескольких компонентов продукта.
</t>
  </si>
  <si>
    <t xml:space="preserve"> хранить при температуре от + 5°С до + 25°С, в недоступном для детей месте.
</t>
  </si>
  <si>
    <t>https://docs.google.com/document/d/1cYanVqgDSqpX9PJ11borNQDYHH_m4Gj1/edit</t>
  </si>
  <si>
    <t xml:space="preserve"> ООО "НутраФарм"
Адрес: 129626, Россия, г. Москва, ул. 1-я Мытищинская, д 3 стр., 1, эт/каб 3/306, к. 5А</t>
  </si>
  <si>
    <t>enzim_pudra_80gr</t>
  </si>
  <si>
    <t>Энзимная пудра, Алтея, 80г</t>
  </si>
  <si>
    <t>AC101100431</t>
  </si>
  <si>
    <t>MPL378812</t>
  </si>
  <si>
    <t>Энзимная пудра для умывания тела и лица, от прыщей, Алтея, 80г</t>
  </si>
  <si>
    <t>Энзимная пудра для умывания лица и тела, пилинг для лица, очищающий, аромат маракуйи Алтея, 80 г</t>
  </si>
  <si>
    <t>энзимная пудра для умывания лица и тела алтея, 80 г</t>
  </si>
  <si>
    <t>https://www.wildberries.ru/catalog/276289241/detail.aspx</t>
  </si>
  <si>
    <t>https://www.ozon.ru/product/1745153183</t>
  </si>
  <si>
    <t>https://market.yandex.ru/card/enzimnaya-pudra-dlya-umyvaniya-litsa-i-tela-alteya-80-g/103599530489?businessId=1422090&amp;generalContext=t%3DshopInShop%3Bbi%3D1422090%3B&amp;showOriginalKmEmptyOffer=1&amp;ogV=-10</t>
  </si>
  <si>
    <t>https://goldapple.ru/catalogsearch/result?q=99000076220</t>
  </si>
  <si>
    <t>https://www.letu.ru/product/alteya-enzimnaya-pudra-dlya-umyvaniya-litsa-i-tela/163001777?sort=default&amp;open=ingredient%7EforWhom%7EskinNeeds%7EcleanBeauty&amp;hide=expectedEffect%7EnotContain%7EhairType%7EskinTypes</t>
  </si>
  <si>
    <t>товары для красоты / косметика, парфюмерия и уход / уход за лицом / очищение и снятие макияжа</t>
  </si>
  <si>
    <t>ЕАЭС N RU Д-RU.PA09.B.04954/24 от 14.10.2024 до 14.10.2031</t>
  </si>
  <si>
    <t xml:space="preserve">Меры предосторожности: возможна индивидуальная непереносимость отдельных компонентов состава.
</t>
  </si>
  <si>
    <t>гр</t>
  </si>
  <si>
    <t>https://docs.google.com/document/d/1tPWJObwi77XC77ljuF4TVHbZp4aCpQ2W/edit?usp=drive_web&amp;ouid=104241417680089502627&amp;rtpof=true</t>
  </si>
  <si>
    <t>berberin_laif_BAD_60caps</t>
  </si>
  <si>
    <t>Внимание на ВБ</t>
  </si>
  <si>
    <t>Пищевая добавка Берберин Лайф, Алтея, 60 капсул</t>
  </si>
  <si>
    <t>AB101100403</t>
  </si>
  <si>
    <t>Берберин для контроля сахара и жиросжигатель холестерина</t>
  </si>
  <si>
    <t>Берберин + хром + коэнзим + B6 для похудения, контроль аппетита и веса, Алтея, Берберин Лайф, 60 капсул</t>
  </si>
  <si>
    <t>https://www.wildberries.ru/catalog/280577427/detail.aspx</t>
  </si>
  <si>
    <t>https://www.ozon.ru/product/1753227855</t>
  </si>
  <si>
    <t>https://market.yandex.ru/card/berberin-dlya-kontrolya-sakhara-i-zhiroszhigatel-kholesterina-alteya-60-kapsul/103621547195?businessId=1422090&amp;clid=1422090&amp;model_id=859804210&amp;distr_type=8&amp;pp=605</t>
  </si>
  <si>
    <t xml:space="preserve">ЕАЭС N RU Д-RU.PA09.B.78964/24 от 24.10.2024 по 23.10.2029 </t>
  </si>
  <si>
    <t>экстракт плодов барбариса, носитель: целлюлоза микрокристаллическая (Е460), коэнзим Q10, агент антислёживающий: магниевая соль стеариновой кислоты (Е470), хрома пиколинат, витамин В6, оболочка капсулы белого цвета (желатин, краситель оксид цинка).</t>
  </si>
  <si>
    <t xml:space="preserve">индивидуальная непереносимость компонентов продукта, детский возраст до 18 лет, беременность, кормление грудью. 
</t>
  </si>
  <si>
    <t>https://docs.google.com/document/d/15npJOwOf4QFRQYsZgY5fl6I-udJYoZMa/edit</t>
  </si>
  <si>
    <t>indolakt_BAD_60caps</t>
  </si>
  <si>
    <t>БАД Индолакт, Алтея, 60 капсул</t>
  </si>
  <si>
    <t>Женское</t>
  </si>
  <si>
    <t>AB101100404</t>
  </si>
  <si>
    <t>Индол-3-карбинол витамины для женщин от мастопатии Индолакт</t>
  </si>
  <si>
    <t>Индол 3 карбинол брокколи витамины с зеленым чаем Алтея, Индолакт, 60 капсул</t>
  </si>
  <si>
    <t>Индол 3 карбинол витамины для женщин от мастопатии, от приливов при климаксе Алтея, Индолакт, 60 капсул</t>
  </si>
  <si>
    <t>https://www.wildberries.ru/catalog/280062078/detail.aspx</t>
  </si>
  <si>
    <t>https://www.ozon.ru/product/1752021365</t>
  </si>
  <si>
    <t>https://market.yandex.ru/card/indol-3-karbinol-vitaminy-dlya-zhenshchin-ot-mastopatii-alteya-60-kapsul/103729785170?businessId=1422090&amp;clid=1422090&amp;model_id=1352508276&amp;distr_type=8&amp;pp=605</t>
  </si>
  <si>
    <t>AM.01.06.01.003.R.000368.09.24 от 27.09.2024</t>
  </si>
  <si>
    <t>носитель: целлюлоза микрокристаллическая (Е460), экстракт брокколи, индол-3-карбинол, экстракт зеленого чая, агент антислеживающий: магниевая соль стеариновой кислоты (Е470), агент антислеживающий: диоксид кремния аморфный (Е551), витамин В9 (фолиевая кислота), оболочка капсулы белого цвета (желатин, краситель: оксид цинка).</t>
  </si>
  <si>
    <t xml:space="preserve">взрослым по 1 капсуле 2 раза в день во время еды.
Продолжительность приема – 1 месяц. При необходимости прием можно повторить. 
</t>
  </si>
  <si>
    <t xml:space="preserve">индивидуальная непереносимость компонентов продукта, беременность, кормление грудью.
Перед применением рекомендуется проконсультироваться с врачом.
</t>
  </si>
  <si>
    <t xml:space="preserve">хранить в сухом, защищенном от прямых солнечных лучей и недоступном для детей месте при температуре не выше +25 °С.  </t>
  </si>
  <si>
    <t>https://docs.google.com/document/d/1QGYk_X04jcPZgUSNLdY-gwYRSWkKVjZP/edit</t>
  </si>
  <si>
    <t xml:space="preserve">ООО «Химфармконтракт», 129329, Россия, г. Москва, вн. тер г., Муниципальный округ Свиблово, ул. Кольская, д.1, этаж/помещение 6/I, ком.10. 
</t>
  </si>
  <si>
    <t>shampun_protiv_perhoti_250ml</t>
  </si>
  <si>
    <t>Шампунь от перхоти, Алтея, 250 мл</t>
  </si>
  <si>
    <t>AC101100406</t>
  </si>
  <si>
    <t>MPL381173</t>
  </si>
  <si>
    <t>АЛТЕЯ-SHPPERH</t>
  </si>
  <si>
    <t>Шампунь для волос от перхоти лечебный</t>
  </si>
  <si>
    <t>Шампунь от перхоти лечебный с климбазолом Алтея, 250мл</t>
  </si>
  <si>
    <t>Шампунь от перхоти и зуда лечебный с климбазолом Алтея, 250мл</t>
  </si>
  <si>
    <t>шампунь от перхоти лечебный с климбазолом алтея, 250мл</t>
  </si>
  <si>
    <t>Шампунь от перхоти с климбазолом</t>
  </si>
  <si>
    <t>Шампунь от перхоти лечебный с климбазолом Алтея 250 мл</t>
  </si>
  <si>
    <t>https://www.wildberries.ru/catalog/208745988/detail.aspx</t>
  </si>
  <si>
    <t>https://www.ozon.ru/product/1440687097</t>
  </si>
  <si>
    <t>https://market.yandex.ru/card/shampun-ot-perkhoti-lechebnyy-s-klimbazolom-alteya-250ml/103515586486?businessId=1422090&amp;clid=1422090&amp;model_id=845619223&amp;distr_type=8&amp;pp=605</t>
  </si>
  <si>
    <t>https://goldapple.ru/catalogsearch/result?q=99000076206</t>
  </si>
  <si>
    <t>https://www.letu.ru/product/alteya-shampun-ot-perhoti-lechebnyi-s-klimbazolom/163501211?sort=default&amp;open=ingredient%7EforWhom%7EskinNeeds%7EcleanBeauty&amp;hide=expectedEffect%7EnotContain%7EhairType%7EskinTypes</t>
  </si>
  <si>
    <t>https://mm.ru/product/shampun-ot-perkhoti-5854278?skuId=13090628</t>
  </si>
  <si>
    <t>ЕАЭС N RU Д-RU.PA05.B.67050/23 от 01.08.2023 по 01.08.2030</t>
  </si>
  <si>
    <t>Aqua, Sodium Laureth Sulfate, Sodium Chloride, Cocamidopropyl Betaine, Cocamide DEA, Glycerin, Guar Hydroxypropyltrimonium Chloride, Climbazole, Isopropyl Alcohol, Propylene Glycol, Lavandula Angustifolia Herb Extract, Sulfur, Peg 30 Castor Oil, Salvia Officinalis Leaf Extract, Mentha Arvensis Herb Oil, Lactic Acid, Parfum, Disodium EDTA, Methylisothiazolinone, Methylchloroisothiazolinone, Potassium Sorbate, Sodium Benzoate, Limonene.</t>
  </si>
  <si>
    <t>https://docs.google.com/document/d/15s1JtKWjxMh_mB7R0W6jPzURy4cM5xoo/edit</t>
  </si>
  <si>
    <t>okospas</t>
  </si>
  <si>
    <t>Пищевая добавка Окоспас, CPA, 10 мл</t>
  </si>
  <si>
    <t>Здоровье глаз</t>
  </si>
  <si>
    <t>CO101100420</t>
  </si>
  <si>
    <t>Витамины для глаз и зрения с лютеином и черникой Окоспас</t>
  </si>
  <si>
    <t>Витамины для глаз и восстановления зрения Окоспас, с лютеином и черникой, 10 мл</t>
  </si>
  <si>
    <t>Витамины для глаз и восстановления зрения, глазные капли с лютеином и черникой,  капли для глаз, Окоспас 10 мл</t>
  </si>
  <si>
    <t>https://www.wildberries.ru/catalog/142843069/detail.aspx</t>
  </si>
  <si>
    <t>https://www.ozon.ru/product/836659639</t>
  </si>
  <si>
    <t>https://market.yandex.ru/card/vitaminy-dlya-glaz-i-vosstanovleniya-zreniya-okospas-s-lyuteinom-i-chernikoy-10-ml/103333760896?businessId=1422090&amp;clid=1422090&amp;model_id=1910365656&amp;distr_type=8&amp;pp=605</t>
  </si>
  <si>
    <t>ЕАЭС N RU Д-RU.PA07.B.69731/22
от 27.10.2022 до 25.10.2027</t>
  </si>
  <si>
    <t>вода, экстракт черники, экстракт шиповника, экстракт пустырника, экстракт черной смородины, лютеин, аскорбиновая кислота, лимонная кислота, твин-60, сорбат калия (Е202), бензоат натрия (Е211), витамины: b2, b4, b5, b6, b12, токоферола ацетат.</t>
  </si>
  <si>
    <t>принимать по 10 капель 2 раза в день во время приема пищи. Рекомендуется курсовой прием средства.</t>
  </si>
  <si>
    <t xml:space="preserve">индивидуальная непереносимость компонентов, беременность, кормление грудью. Не является лекарственным средством.
</t>
  </si>
  <si>
    <t>хранить в оригинальной закрытой упаковке в защищенном от прямых солнечных лучей и недоступном для детей месте при температуре не выше +25 ºС.</t>
  </si>
  <si>
    <t>https://drive.google.com/drive/folders/1p33-8o5MZnuH6gi29-_gZfEF9Gv9XE8Y</t>
  </si>
  <si>
    <t>ООО «Нутрафарм», 129626, г. Москва, Муниципальный округ Алексеевский, ул 1-я Мытищинская, д. 3 стр. 1, этаж/каб. 3/306, ком. 5А.</t>
  </si>
  <si>
    <t>oftalmol</t>
  </si>
  <si>
    <t>Пищевая добавка Офтальмол, CPA, 10 капсул</t>
  </si>
  <si>
    <t>CO101100422</t>
  </si>
  <si>
    <t>Витамины для глаз и зрения Офтальмол</t>
  </si>
  <si>
    <t>Витамины для глаз; лютеин комплекс для глаз для зрения, комплекс витаминов (А, E, С) цинк для улучшения и восстановления зрения, увлажняющие капли / Офтальмол Oftalmol</t>
  </si>
  <si>
    <t>Витамины для глаз, лютеин комплекс витаминов для зрения, для улучшения и восстановления зрения, Офтальмол Oftalmol</t>
  </si>
  <si>
    <t>https://www.wildberries.ru/catalog/224302599/detail.aspx</t>
  </si>
  <si>
    <t>https://www.ozon.ru/product/1542468939</t>
  </si>
  <si>
    <t>https://market.yandex.ru/card/vitaminy-dlya-glaz-lyutein-kompleks-dlya-glaz-dlya-zreniya-kompleks-vitaminov-a-e-s-tsink-dlya-uluchsheniya-i-vosstanovleniya-zreniya-uvlazhnyayushchiye-kapli--oftalmol-oftalmol/103515397915?do-waremd5=48Uklq_yOm0nsEIG5l5J1Q&amp;businessId=1422090&amp;generalContext=t%3DshopInShop%3Bbi%3D1422090%3B&amp;ogV=-10</t>
  </si>
  <si>
    <t>ЕАЭС N RU Д-RU.PA01.B.23632/24 от 19.01.2024 по 18.01.2029</t>
  </si>
  <si>
    <t xml:space="preserve">экстракты черники, шиповника, черной смородины, шафрана, гинкго билоба, зеаксантин, лютеин, цинк, премикс витаминный (витамины: А, Е, С), диоксид кремния, стеарат кальция, мальтодекстрин.
</t>
  </si>
  <si>
    <t xml:space="preserve">принимать один раз в день во время еды
</t>
  </si>
  <si>
    <t xml:space="preserve"> индивидуальная непереносимость одного или нескольких компонентов средства.
</t>
  </si>
  <si>
    <t>https://docs.google.com/document/d/13t-9rrQ0aHtlItQ1BMaoMzU-Xqz2yjw0/edit?usp=drive_web&amp;ouid=104241417680089502627&amp;rtpof=true</t>
  </si>
  <si>
    <t>revmastop_BAD_60caps</t>
  </si>
  <si>
    <t>Пробуем маленькой партией</t>
  </si>
  <si>
    <t>БАД Ревмастоп, Алтея, 60 капсул</t>
  </si>
  <si>
    <t>AB101100417</t>
  </si>
  <si>
    <t>Глюкозамин хондроитин МСМ для суставов Ревмастоп</t>
  </si>
  <si>
    <t>Глюкозамин хондроитин МСМ для суставов и связок Ревмастоп Алтея 60 капсул</t>
  </si>
  <si>
    <t>https://www.wildberries.ru/catalog/286568838/detail.aspx</t>
  </si>
  <si>
    <t>https://www.ozon.ru/product/1761037555</t>
  </si>
  <si>
    <t>https://market.yandex.ru/card/glyukozamin-khondroitin-msm-dlya-sustavov-i-svyazok-revmastop-alteya-60-kapsul/103637124074?do-waremd5=82t9fAMJb6Mw4cpeUhQdMA&amp;businessId=1422090&amp;generalContext=t%3DshopInShop%3Bbi%3D1422090%3B&amp;ogV=-10</t>
  </si>
  <si>
    <t>AM.01.06.01.003.R.000365.09.24 от 25.09.2024</t>
  </si>
  <si>
    <t>экстракт мартинии душистой, носитель: целлюлоза микрокристаллическая (Е460), глюкозамина сульфат, хондроитинсульфат, метилсульфонилметан, агент антислеживающий: магниевая соль стеариновой кислоты (Е470), агент антислеживающий: диоксид кремния аморфный (Е551), оболочка капсулы белого цвета (желатин, краситель: оксид цинка).</t>
  </si>
  <si>
    <t>https://docs.google.com/document/d/1lW-FOvLFyJVlA7QEa_nyR5P20_TJWCi2/edit?usp=drive_web&amp;ouid=104241417680089502627&amp;rtpof=true</t>
  </si>
  <si>
    <t>maslo_dlya_volos_parf_110ml_</t>
  </si>
  <si>
    <t>Масло для волос парфюмированное, Алтея, 110 мл</t>
  </si>
  <si>
    <t>AC201100401</t>
  </si>
  <si>
    <t>MPL498116</t>
  </si>
  <si>
    <t>Масло для волос несмываемое для увлажнения и питания</t>
  </si>
  <si>
    <t>Масло для волос несмываемое профессиональное Tom Ford Lost Cherry, Алтея, 110 мл</t>
  </si>
  <si>
    <t>Масло для волос несмываемое профессиональное Tom Ford Lost Cherry, сыворотка для всех типов волос, Алтея, 110 мл</t>
  </si>
  <si>
    <t>Масло для волос несмываемое</t>
  </si>
  <si>
    <t>https://www.wildberries.ru/catalog/423392974/detail.aspx</t>
  </si>
  <si>
    <t>https://www.ozon.ru/product/2168297398</t>
  </si>
  <si>
    <t>https://market.yandex.ru/card/maslo-dlya-volos-nesmyvayemoye-professionalnoye-tom-ford-lost-cherry-alteya-110-ml/4700257494?businessId=1422090&amp;clid=1422090&amp;model_id=625585245&amp;distr_type=8&amp;pp=605</t>
  </si>
  <si>
    <t>https://www.letu.ru/product/alteya-maslo-dlya-volos-nesmyvaemoe/175800119?sort=default&amp;open=ingredient%7EforWhom%7EskinNeeds%7EcleanBeauty&amp;hide=expectedEffect%7EnotContain%7EhairType%7EskinTypes</t>
  </si>
  <si>
    <t>Уход за волосами &gt;&gt; Уход за волосами &gt;&gt; Масло для волос</t>
  </si>
  <si>
    <t>ЕАЭС N RU Д-RU.PA03.B.93067/24 от 25.04.2024 по 24.04.2029</t>
  </si>
  <si>
    <t>HELIANTHUS ANNUUS (SUNFLOWER) SEED OIL, GLYCINE SOJA (SOYBEAN) OIL, ISOAMYL LAURATE, ARGANIA SPINOSA (ARGAN) KERNEL OIL, SIMMONDSIA CHINENSIS (JOJOBA) SEED OIL, PERSEA GRATISSIMA (AVOCADO) OIL, BHT, PARFUM, COUMARIN.</t>
  </si>
  <si>
    <t>небольшое количество масла нанести на ладони, затем распределить на волосах. Можно наносить на сухие и влажные волосы.</t>
  </si>
  <si>
    <t>индивидуальная непереносимость компонентов, входящих в состав.</t>
  </si>
  <si>
    <t xml:space="preserve">2 года
  ЕСЛИ(ДЛСТР(ВПР(BM236;'спецификация'!D:P;13;ЛОЖЬ))=0;CC236;ВПР(BM236;'спецификация'!D:P;13;ЛОЖЬ));
  CC236
)
</t>
  </si>
  <si>
    <t>https://docs.google.com/document/d/1Z_bjiZB0u3JR8Poso2IGGwwEcgGj6EJx/edit</t>
  </si>
  <si>
    <t>Марвел ООО/Гельтек</t>
  </si>
  <si>
    <t>retinol_boost_krem_dlya_vek_30ml</t>
  </si>
  <si>
    <t>syvorotka_niacin_05_30ml</t>
  </si>
  <si>
    <t>retinait_syvorotka_05_30ml</t>
  </si>
  <si>
    <t>retinait_syvorotka_025_30ml</t>
  </si>
  <si>
    <t>activeprost</t>
  </si>
  <si>
    <t>Пищевая добавка Активпрост , CPA, 10 капсул</t>
  </si>
  <si>
    <t>CO101100440</t>
  </si>
  <si>
    <t>Активпрост комплекс для профилактики простаты и потенции</t>
  </si>
  <si>
    <t>Таблетки от простатита для мужчин для потенции Алтея, Активпрост, 10 штук</t>
  </si>
  <si>
    <t>Таблетки для мужчин от простатита, для мужской силы для потенции Алтея, Активпрост, 10 шт.</t>
  </si>
  <si>
    <t>https://www.wildberries.ru/catalog/103709897/detail.aspx</t>
  </si>
  <si>
    <t>https://www.ozon.ru/product/732602771</t>
  </si>
  <si>
    <t>https://market.yandex.ru/card/sredstvo-ot-prostatita-aktivprost-dlya-prostaty-i-potentsii-10-kapsul/102204313641?businessId=1422090&amp;clid=1422090&amp;model_id=1286021343&amp;distr_type=8&amp;pp=605</t>
  </si>
  <si>
    <t>ЕАЭС N RU Д-RU.PA05.B.47936/22 от 12.09.2022 до 09.08.2027</t>
  </si>
  <si>
    <t>Корень астрагала (astrāgalus), корень ворсянки (dipsacus), корень и корневища шалфея лекарственного (sālvia officinālis), ягоды годжи (lycium barbarum), семена маки перуанской (lepidium meyenii), брусничная толокнянка, березовые почки.</t>
  </si>
  <si>
    <t xml:space="preserve">СПОСОБ ПРИМЕНЕНИЯ: принимать по 1 капсуле 1 раз в день. Рекомендуется курсовой прием.
</t>
  </si>
  <si>
    <t xml:space="preserve">индивидуальная непереносимость компонентов средства, возраст младше 18 лет.
</t>
  </si>
  <si>
    <t xml:space="preserve"> хранить в оригинальной закрытой упаковке в защищенном от прямых солнечных лучей и недоступном для детей месте при температуре не выше +25ºС. 
</t>
  </si>
  <si>
    <t>https://drive.google.com/drive/folders/1HHjM_FJAeVTWbW8zRfbTqpj0HRrwUOne</t>
  </si>
  <si>
    <t>enteroshol</t>
  </si>
  <si>
    <t>Пищевая добавка Энтеросхол, CPA, 20 капсул</t>
  </si>
  <si>
    <t>CO101100416</t>
  </si>
  <si>
    <t>Ферменты для желудка и пищеварения, от вздутия Энтеросхол</t>
  </si>
  <si>
    <t>Таблетки от изжоги, для желудка и печени, чистка печени и желудка, Энтеросхол, 20 капсул</t>
  </si>
  <si>
    <t>Таблетки от изжоги, для желудка и печени, средство для улучшения пищеварения, нормализация ЖКТ  Энтеросхол, 20 капсул</t>
  </si>
  <si>
    <t>https://www.wildberries.ru/catalog/223437682/detail.aspx</t>
  </si>
  <si>
    <t>https://www.ozon.ru/product/1542004482</t>
  </si>
  <si>
    <t>https://market.yandex.ru/card/tabletki-ot-izzhogi-dlya-zheludka-i-pecheni-chistka-pecheni-i-zheludka-enteroskhol-20-kapsul/103515427201?businessId=1422090&amp;clid=1422090&amp;model_id=625422045&amp;distr_type=8&amp;pp=605</t>
  </si>
  <si>
    <t>ЕАЭС N RU Д-RU.PA01.B.12704/24 от 15.01.2024 по 14.01.2029</t>
  </si>
  <si>
    <t>корня алтеи, пижмы, грецкого ореха, семян тмина, календулы, цветков ромашки, мелиссы, ежовика гребенчатый, диоксид кремния, стеарат кальция, мальтодекстрин.</t>
  </si>
  <si>
    <t xml:space="preserve">принимать по одной капсуле два раза в день во время еды.
</t>
  </si>
  <si>
    <t>https://docs.google.com/document/d/1Kef9LNd3XbEIWniTDouf1gK4C7Gl5isH/edit?usp=drive_web&amp;ouid=104241417680089502627&amp;rtpof=true</t>
  </si>
  <si>
    <t>artoks_1_1</t>
  </si>
  <si>
    <t>Мазь для суставов Артокс, CPA, 50 мл, набор из 2 шт</t>
  </si>
  <si>
    <t>CC101100425</t>
  </si>
  <si>
    <t>Мазь для суставов обезболивающая Артокс, панты марала крем Алтея, 50+50 мл</t>
  </si>
  <si>
    <t>Мазь для суставов обезболивающая Артокс, гель панты марала крем Алтея, 50+50 мл</t>
  </si>
  <si>
    <t>https://www.wildberries.ru/catalog/172161336/detail.aspx</t>
  </si>
  <si>
    <t>https://www.ozon.ru/product/1129261950</t>
  </si>
  <si>
    <t>https://market.yandex.ru/card/maz-dlya-sustavov-obezbolivayushchaya-panty-marala-krem-alteya-artoks-3030-ml/103515429719?businessId=1422090&amp;clid=1422090&amp;model_id=1754837206&amp;distr_type=8&amp;pp=605</t>
  </si>
  <si>
    <t>khvoinitsa_1_1</t>
  </si>
  <si>
    <t>CO101100438</t>
  </si>
  <si>
    <t>Хвойный экстракт для повышения  иммунитета и оздоровления Хвойница</t>
  </si>
  <si>
    <t>https://www.wildberries.ru/catalog/176858863/detail.aspx</t>
  </si>
  <si>
    <t>https://www.ozon.ru/product/1191194423</t>
  </si>
  <si>
    <t>https://market.yandex.ru/card/khvoynyy-ekstrakt-dlya-immuniteta-i-ozdorovleniya-khvoynitsa/103515429718?businessId=1422090&amp;clid=1422090&amp;model_id=1111427784&amp;distr_type=8&amp;pp=605</t>
  </si>
  <si>
    <t>daoshen_75ml</t>
  </si>
  <si>
    <t>Мазь от грибка ногтей Даошэн, CPA, 75 мл</t>
  </si>
  <si>
    <t>CC101100415</t>
  </si>
  <si>
    <t>Крем от грибка ногтей для ног и рук Даошен</t>
  </si>
  <si>
    <t>Мазь от грибка ногтей и стопы ног противогрибковая Даошэн. Крем гель от грибка ногтей / 75 мл</t>
  </si>
  <si>
    <t>Крем от грибка ногтей и стопы ног, противогрибковое средство Даошэн, мазь гель против грибка ногтей, 75 мл</t>
  </si>
  <si>
    <t>https://www.wildberries.ru/catalog/197568699/detail.aspx</t>
  </si>
  <si>
    <t>https://www.ozon.ru/product/1350973604</t>
  </si>
  <si>
    <t>https://market.yandex.ru/card/maz-ot-gribka-nogtey-i-stopy-nog-protivogribkovaya-daoshen-krem-gel-ot-gribka-nogtey--75-ml/102622145124?businessId=1422090&amp;clid=1422090&amp;model_id=1443573112&amp;distr_type=8&amp;pp=605</t>
  </si>
  <si>
    <t>ЕАЭС N RU Д-RU.РА02.B.95875/22 от 11.04.2022 до 06.04.2027</t>
  </si>
  <si>
    <t>вода, пропиленгликоль, карбомер, масло миндаля (Oleum amygdalarum), софора желтоватая (Sophora flavescens), стемона японская (Stemona japonica), кордицепс (Cordyceps), жгун-корень монье (Cnidium monnieri), борнеол (Borneol), ментол (Menthol), триклозан (Triclosan), коллоидное серебро (Argentum colloidale), вытяжка из плодов черного ореха (Juglans nigra Extract), экстракт календулы (Calendula Extract), экстракт чистотела (Chelidonium Extract), экстракт листа лопуха (Arctium láppa Extract), экстракт индийского лука (Ornithogalum caudatum Extract), экстракт листьев эхинацеи (Echinacea Extract), экстракт маклюры (Maclura pomifera), экстракт ревеня (Rheum Extract), экстракт лимона (Citrus limon Extract), экстракт грецкого ореха (Juglans regia Extract), консервант.</t>
  </si>
  <si>
    <t>наносить 2 раза в день на пораженные участки.</t>
  </si>
  <si>
    <t>индивидуальная непереносимость одного или нескольких компонентов продукта.</t>
  </si>
  <si>
    <t xml:space="preserve">хранить в сухом месте при температуре не выше 25°С.
</t>
  </si>
  <si>
    <t>https://docs.google.com/document/d/1YBsG9RfkV1uBPrlDq_rGpub4IMTdLtyC-zy-1RxP4rM/edit</t>
  </si>
  <si>
    <t>Алексей rav@biolit.info 
моб.: 89138892051</t>
  </si>
  <si>
    <t>gel_dlya_brovei_6ml</t>
  </si>
  <si>
    <t>Низкомаржинальный товар</t>
  </si>
  <si>
    <t>Гель для бровей, Алтея, 6 мл</t>
  </si>
  <si>
    <t>AC101100400</t>
  </si>
  <si>
    <t>MPL378889</t>
  </si>
  <si>
    <t>Гель для бровей. Фиксирующий Стойкий Прозрачный</t>
  </si>
  <si>
    <t>Гель для бровей с эффектом ламинирования, Алтея, 6 мл</t>
  </si>
  <si>
    <t>Гель для бровей с эффектом ламинирования, ультрафиксация до 24 ч. Алтея, 6 мл</t>
  </si>
  <si>
    <t>гель для бровей с эффектом ламинирования, алтея, 6 мл</t>
  </si>
  <si>
    <t>Гель для бровей с эффектом ламинирования</t>
  </si>
  <si>
    <t>https://www.wildberries.ru/catalog/256005551/detail.aspx</t>
  </si>
  <si>
    <t>https://www.ozon.ru/product/1671085702</t>
  </si>
  <si>
    <t>https://market.yandex.ru/card/gel-dlya-brovey-s-effektom-laminirovaniya-alteya-6-ml/103515384714?businessId=1422090&amp;clid=1422090&amp;model_id=1352604652&amp;distr_type=8&amp;pp=605</t>
  </si>
  <si>
    <t>https://goldapple.ru/catalogsearch/result?q=99000076224</t>
  </si>
  <si>
    <t>https://www.letu.ru/product/alteya-gel-dlya-brovei-s-effektom-laminirovaniya/164000055</t>
  </si>
  <si>
    <t>Гели для бровей</t>
  </si>
  <si>
    <t>Макияж для бровей</t>
  </si>
  <si>
    <t>Средства для бровей &gt;&gt; Макияж &gt;&gt; Гель для бровей</t>
  </si>
  <si>
    <t>ЕАЭС N RU Д-RU.РА07.В.52906/24 от 26.08.2024 по 25.08.2029</t>
  </si>
  <si>
    <t xml:space="preserve">distilled water, pvp, crosspolymer-6, propylene glycol, panthenol, phenoxyethanol, ethylhexylglycerin, parfum. </t>
  </si>
  <si>
    <t>наносить на брови с помощью щеточки</t>
  </si>
  <si>
    <t xml:space="preserve">избегать попадания в глаза. При попадании
промыть водой. При необходимости обратиться к врачу. 
</t>
  </si>
  <si>
    <t>https://docs.google.com/document/d/1R7JJ6Oms-rtX81tYwKZrJctPzar_LWqe/edit</t>
  </si>
  <si>
    <t>https://disk.yandex.ru/d/rzySX6O5InEu0w</t>
  </si>
  <si>
    <t>ООО Юниверсо
Ася, 7 928 038-70-35</t>
  </si>
  <si>
    <t>b_kompleks_BAD_60tabl</t>
  </si>
  <si>
    <t>БАД Витамины группы В, Алтея, 60 жевательных таблеток</t>
  </si>
  <si>
    <t>AB101100406</t>
  </si>
  <si>
    <t>Витамины группы В,Б комплекс</t>
  </si>
  <si>
    <t>Витамины группы В комплекс Алтея 60 жевательных таблеток</t>
  </si>
  <si>
    <t>Витамины группы В комплекс Алтея 60 жевательных таблеток со вкусом апельсина</t>
  </si>
  <si>
    <t>https://www.wildberries.ru/catalog/283835152/detail.aspx</t>
  </si>
  <si>
    <t>https://www.ozon.ru/product/1758604241</t>
  </si>
  <si>
    <t>https://market.yandex.ru/card/vitaminy-gruppy-v-kompleks-alteya-60-zhevatelnykh-tabletok/103637134366?businessId=1422090&amp;clid=1422090&amp;model_id=1352508276&amp;distr_type=8&amp;pp=605</t>
  </si>
  <si>
    <t>AM.01.06.01.003.R.000366.09.24 от 26.09.2024</t>
  </si>
  <si>
    <t>подсластитель: сорбит (Е420), витамин В3/РР (никотинамид), агент антислёживающий: магниевая соль стеариновой кислоты (Е470), витамин В5 (D-кальция пантотенат), агент антислёживающий: диоксид кремния (Е551), ароматизатор натуральный мята, витамин В12 (цианокобаламин), витамин В1 (тиамина гидрохлорид), витамин В2 (рибофлавин), витамин В6 (пиридоксина гидрохлорид), ароматизатор натуральный апельсин, агент антислёживающий: тальк (Е553), сукралоза, витамин В9 (фолиевая кислота), биотин.</t>
  </si>
  <si>
    <t xml:space="preserve">взрослым по 1 таблетке 2 раза в день во время еды. Таблетку следует рассосать во рту или разжевать.
Продолжительность приема – 4 недели. При необходимости прием можно повторить через 2 месяца. Перед применением рекомендуется проконсультироваться с врачом.
</t>
  </si>
  <si>
    <t>https://docs.google.com/document/d/1JCGEbQ0rFuAGo1Sa78gSRb66oku2TGkJ/edit</t>
  </si>
  <si>
    <t xml:space="preserve">ООО «Химфармконтракт», 129329, Россия, г. Москва, вн. тер г., Муниципальный округ Свиблово, ул. Кольская, д.1, этаж/помещение 6/I, ком.10. 
</t>
  </si>
  <si>
    <t>menoflavon_BAD_60caps</t>
  </si>
  <si>
    <t>БАД Мено Флавон, Алтея, 60 капсул</t>
  </si>
  <si>
    <t>AB101100405</t>
  </si>
  <si>
    <t>БАД от приливов при климаксе, при менопаузе Мено флавон</t>
  </si>
  <si>
    <t>Фитоэстрогены для женщин, от приливов при климаксе, при менопаузе, Алтея, Мено Флавон, 60 капсул</t>
  </si>
  <si>
    <t>https://www.wildberries.ru/catalog/239930196/detail.aspx</t>
  </si>
  <si>
    <t>https://www.ozon.ru/product/1614639084</t>
  </si>
  <si>
    <t>https://market.yandex.ru/card/fitoestrogeny-dlya-zhenshchin-ot-prilivov-pri-klimakse-pri-menopauze-alteya-meno-flavon-60-kapsul/103532563710?businessId=1422090&amp;clid=1422090&amp;model_id=1352508276&amp;distr_type=8&amp;pp=605</t>
  </si>
  <si>
    <t>AM.01.06.01.003.R.000199.05.24 от 16.05.2024</t>
  </si>
  <si>
    <t>носитель: целлюлоза микрокристаллическая (Е460), экстракт цимицифуги, экстракт сои, экстракт травы пустырника, агент антислеживающий: магниевая соль стеариновой кислоты (Е470), агент антислеживающий: диоксид кремния аморфный (Е551), витамин В9 (фолиевая кислота), оболочка капсулы белого цвета (желатин, краситель: оксид цинка).</t>
  </si>
  <si>
    <t>индивидуальная непереносимость компонентов продукта, беременность, кормление грудью.</t>
  </si>
  <si>
    <t>https://docs.google.com/document/d/1S5ls-yIE5-j8TWtkTqIpznr692ewcFcW/edit?usp=drive_web&amp;ouid=104241417680089502627&amp;rtpof=true</t>
  </si>
  <si>
    <t>synergel_60ml</t>
  </si>
  <si>
    <t>Мазь для суставов Синергель, CPA, 60 мл</t>
  </si>
  <si>
    <t>CC101100429</t>
  </si>
  <si>
    <t>Крем мазь для суставов и связок Синергель обезболивающий</t>
  </si>
  <si>
    <t>Мазь для суставов обезболивающая от боли в спине, глюкозамин Алтея, Синергель, 60 мл</t>
  </si>
  <si>
    <t>Мазь для суставов гель обезболивающий от боли в спине, крем глюкозамин Алтея, бальзам Синергель, 60 мл</t>
  </si>
  <si>
    <t>https://www.wildberries.ru/catalog/192907992/detail.aspx</t>
  </si>
  <si>
    <t>https://www.ozon.ru/product/1324992259</t>
  </si>
  <si>
    <t>4687790055401
4660417421216</t>
  </si>
  <si>
    <t>ЕАЭС N RU Д-RU.PА01.B.28855/21 от 15.06.2021 по 08.06.2026</t>
  </si>
  <si>
    <t>Вода,яд пчелы, яд скорпиона, яд кобры, яд муравья, экстракт коры дуба, коллаген, экстракт конского каштана, прополис, экстракт улитки, экстракт коры ивы, экстракт багульника, экстракт хмеля, экстракт корня стальника, экстракт дьявольского когтя, хондроитин, глюкозамин, экстракт лютика жёлтого, экстракт адамова корня, метилникотинат, карбомер, экстракт маклюры, эфирное масло эвкалипта, феноксиэтанол, этилгексилглицерин.</t>
  </si>
  <si>
    <t>наносить тонким слоем на проблемную область 2-3 раза в день. После нанесения тщательно вымыть руки с моющим средством. При попадании в глаза и на слизистые оболочки обильно промыть их водой.</t>
  </si>
  <si>
    <t>не рекомендуется использовать во время беременности и детям. Гипоаллергенно. Возможна индивидуальная непереносимость компонентов. Продукт натурального происхождения, допускается опалесценция и выпадение незначительного осадка, не содержит консервантов и синтетических веществ.</t>
  </si>
  <si>
    <t>хранить при температуре от +5 до 25°C, избегая попадания прямых солнечных лучей.</t>
  </si>
  <si>
    <t>https://docs.google.com/document/d/11bHVqHccg0ZWTGeEMwKtbvFkEjoKJKgi/edit</t>
  </si>
  <si>
    <t>trezax</t>
  </si>
  <si>
    <t>Пищевая добавка Трезакс, CPA, 10 мл</t>
  </si>
  <si>
    <t>Алкоголь и Курение</t>
  </si>
  <si>
    <t>CO101100403</t>
  </si>
  <si>
    <t>Капли от алкоголизма и от алкогольной зависимости Трезакс</t>
  </si>
  <si>
    <t>Капли от алкогольной зависимости, от алкогольной зависимости, Алтея, Трезакс, 10 мл</t>
  </si>
  <si>
    <t>Капли от алкогольной зависимости, детокс организма, средство от алкоголизма и запоя Алтея, Трезакс, 10 мл</t>
  </si>
  <si>
    <t>https://www.wildberries.ru/catalog/100410811/detail.aspx</t>
  </si>
  <si>
    <t>https://www.ozon.ru/product/733369927</t>
  </si>
  <si>
    <t>https://market.yandex.ru/card/trezaks-sredstvo-kapli-ot-alkogolizma-alkogolnoy-zavisimosti-pokhmelya-antipokhmelin-brosit-pit--10ml/101824164611?businessId=1422090&amp;clid=1422090&amp;model_id=1088019356&amp;distr_type=8&amp;pp=605</t>
  </si>
  <si>
    <t>ЕАЭС N RU Д-RU.PA05.B.22317/22 от 29.07.2022 до 28.07.2027</t>
  </si>
  <si>
    <t>вода, камедь акации, глицин, янтарная кислота, экстракт сухой артишока, экстракт сухой пустырника сердечного, экстракт сухой кудзу, экстракт сухой элеутерококка, экстракт сухой родиолы розовой, экстракт сухой ивы белой, экстракт сухой зеленого чая, сорбат калия (Е202), бензоат натрия (Е211), витамин В6 (пиридоксина гидрохлорид).</t>
  </si>
  <si>
    <t>СПОСОБ УПОТРЕБЛЕНИЯ: принимать по 10 капель 2 раза в день во время приема пищи.</t>
  </si>
  <si>
    <t xml:space="preserve">хранить в оригинальной закрытой упаковке в защищенном от прямых солнечных лучей и недоступном для детей месте при температуре не выше +25ºС. 
</t>
  </si>
  <si>
    <t>https://drive.google.com/drive/folders/11XsVr5iizE6et7HRFQmjNgOgy08l5W9O</t>
  </si>
  <si>
    <t>kardicin_1_1</t>
  </si>
  <si>
    <t>Пищевая добавка Кардицин, CPA, 10 капсул, набор из 2 шт</t>
  </si>
  <si>
    <t>CO101100459</t>
  </si>
  <si>
    <t>https://www.wildberries.ru/catalog/176157841/detail.aspx</t>
  </si>
  <si>
    <t>uromax_1_1</t>
  </si>
  <si>
    <t>Пищевая добавка Уромакс , CPA, 20 капсул, набор из 2 шт</t>
  </si>
  <si>
    <t>CO101100443</t>
  </si>
  <si>
    <t>Таблетки от простатита для мужчин, женьшень корень, Алтея, Уромакс, 20 капсул х 2</t>
  </si>
  <si>
    <t>Таблетки от простатита для мужчин, средство для потенции, женьшень корень, Алтея, Уромакс, 20 капсул х 2</t>
  </si>
  <si>
    <t>https://www.wildberries.ru/catalog/525496523/detail.aspx</t>
  </si>
  <si>
    <t>https://www.ozon.ru/product/2825142977</t>
  </si>
  <si>
    <t>https://market.yandex.ru/card/tabletki-ot-prostatita-dlya-muzhchin-zhenshen-koren-alteya-uromaks-20-kapsul-kh-2/4640691481?businessId=1422090&amp;clid=1422090&amp;model_id=696711021&amp;distr_type=8&amp;pp=605</t>
  </si>
  <si>
    <t>i_am_alpha_BAD_60caps</t>
  </si>
  <si>
    <t>Слишком перегретая ниша на МП</t>
  </si>
  <si>
    <t>Пищевая добавка  I am alpha, Алтея, 60 капсул</t>
  </si>
  <si>
    <t>AB101100408</t>
  </si>
  <si>
    <t>Бустер тестостерона для мышц БАД йохимбе и мака</t>
  </si>
  <si>
    <t>Тестостерон для мужчин I am alpha Алтея 60 капсул, экдистерон для потенции и мышц спортивный, цинк, тестобустер, витамины для мужчин, бустер</t>
  </si>
  <si>
    <t>Бустер тестостерона для потенции и мышц йохимбе и мака, тестобустер, витамины для мужчин Алтея 60 капсул</t>
  </si>
  <si>
    <t>https://www.wildberries.ru/catalog/280107477/detail.aspx</t>
  </si>
  <si>
    <t>https://www.ozon.ru/product/1752060204</t>
  </si>
  <si>
    <t>https://market.yandex.ru/card/buster-testosterona-dlya-potentsii-i-myshts-yokhimbe-i-maka-alteya-60-kapsul/103618443303?businessId=1422090&amp;clid=1422090&amp;model_id=841569704&amp;distr_type=8&amp;pp=605</t>
  </si>
  <si>
    <t>RU.77.99.11.003.R.003575.10.22 от 12.10.2022</t>
  </si>
  <si>
    <t>экстракт корня маки перуанской, капсула (желатин), экстракт коры йохимбе, магниевая соль стеариновой кислоты (антислеживающий агент), пиридоксина гидрохлорид</t>
  </si>
  <si>
    <t>взрослым по 1 капсуле в день во время еды. Продолжительность приема – 1 месяц. При необходимости прием можно повторить</t>
  </si>
  <si>
    <t>индивидуальная непереносимость компонентов, беременность, кормление грудью, повышенная нервная возбудимость, сердечно-сосудистые заболевания,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t>
  </si>
  <si>
    <t xml:space="preserve">: хранить в сухом, защищенном от попадания прямых солнечных лучей, недоступном для детей месте при температуре не выше 25◦С.                                  </t>
  </si>
  <si>
    <t>https://docs.google.com/document/d/1UHEP5EEgldcZzCkhiO3RuWriT3BCMRbL/edit?rtpof=true&amp;tab=t.0</t>
  </si>
  <si>
    <t>ООО ТПК "Саморазвитие"</t>
  </si>
  <si>
    <t>micardinforte</t>
  </si>
  <si>
    <t>Пищевая добавка Микардин Форте, CPA, 10 капсул</t>
  </si>
  <si>
    <t>CO101100424</t>
  </si>
  <si>
    <t>wbmicardinforte</t>
  </si>
  <si>
    <t>Средство от давления, чистка сосудов, Алтея, Микардин Форте, 10 капсул</t>
  </si>
  <si>
    <t>Средство от давления, витамины для сердца и  сосудов, Алтея, Микардин Форте, 10 капсул</t>
  </si>
  <si>
    <t>https://www.wildberries.ru/catalog/39234691/detail.aspx</t>
  </si>
  <si>
    <t>https://www.ozon.ru/product/313362644</t>
  </si>
  <si>
    <t xml:space="preserve">AM.01.01.01.003.R.000034.03.21
</t>
  </si>
  <si>
    <t>экстракты корня шлемника байкальского (Scutellaria baicalensis Georgi extract), травы пустырника (Leonurus heterophyllus Sweet extract), плодов боярышника (Crataegus pinnatifida extract), плодов рябины черноплодной (Arónia melanocárpa extract), травы золототысячника (Centaurium erythraea extract), травы готу кола (Centella asiatica (L) Urb. extract), плодов асаи (Euterpe oleracea extract), плодов голубики (Vaccinium uliginosum extract), плодов манго (Mangifera L. extract), плодов тамаринда (Tamarindus L. extract), худии гордонии (Hoodia Gordonii extract).</t>
  </si>
  <si>
    <t xml:space="preserve">хранить в оригинальной упаковке, в защищенном от прямых солнечных лучей и недоступном для детей месте при температуре не выше 25°С.
</t>
  </si>
  <si>
    <t>https://docs.google.com/document/d/1a2Bk_TVIkI76mbmsIc63GGTI3ybAhEI6WxV0OC3x3T4/edit</t>
  </si>
  <si>
    <t>wbbiotrin_1_1_1</t>
  </si>
  <si>
    <t>Мазь для суставов Биотрин, CPA, 30 мл, набор из 3 шт</t>
  </si>
  <si>
    <t>CC101100435</t>
  </si>
  <si>
    <t>Крем мазь для суставов и связок Биотрин обезболивающий</t>
  </si>
  <si>
    <t>Мазь для суставов обезболивающая, панты морала,коллаген, хондротин, глюкозамин, Биотрин, 3 шт</t>
  </si>
  <si>
    <t>https://www.wildberries.ru/catalog/172161991/detail.aspx</t>
  </si>
  <si>
    <t>https://www.ozon.ru/product/1646797818</t>
  </si>
  <si>
    <t>https://market.yandex.ru/card/biotrin-krem-gel-dnarprim--2/103544225050?businessId=1422090&amp;clid=1422090&amp;model_id=1103091052&amp;distr_type=8&amp;pp=605</t>
  </si>
  <si>
    <t>ЕАЭС N RU Д-RU.PА01.B.28855/21 от15.06.2021 по 08.06.2026</t>
  </si>
  <si>
    <t>экстракт коры дуба, коллаген, экстракт конского каштана, хондроитин, глюкозамин, змеиный яд, акулий жир, экстракт лютика желтого, 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 панты марала.</t>
  </si>
  <si>
    <t>micardin</t>
  </si>
  <si>
    <t>Пищевая добавка Микардин, CPA, 10 капсул</t>
  </si>
  <si>
    <t>CO101100423</t>
  </si>
  <si>
    <t>Средство от давления, витамины для сердца, чистка сосудов, Алтея, Микардин, 10 капсул</t>
  </si>
  <si>
    <t>https://www.wildberries.ru/catalog/34282538/detail.aspx</t>
  </si>
  <si>
    <t>https://www.ozon.ru/product/296818697</t>
  </si>
  <si>
    <t>https://market.yandex.ru/card/mikardin-vitaminy-dlya-serdtsa-i-sosudov-ot-davleniya-bad--10-kapsul/103340896063?businessId=1422090&amp;clid=1422090&amp;model_id=696476475&amp;distr_type=8&amp;pp=605</t>
  </si>
  <si>
    <t xml:space="preserve">AM.01.01.01 .003.R.000383.08.22
</t>
  </si>
  <si>
    <t>2 года / 730</t>
  </si>
  <si>
    <t>https://docs.google.com/document/d/1Wioo15JffkacSxj0fGy6Ac8drciV8uYIwhAjzxW_bvs/edit</t>
  </si>
  <si>
    <t>artoks_75ml</t>
  </si>
  <si>
    <t>Мазь для суставов Артокс, CPA, 75 мл</t>
  </si>
  <si>
    <t>CC101100428</t>
  </si>
  <si>
    <t>Крем мазь для суставов и связок Артокс обезболивающий, панты марала 75 мл</t>
  </si>
  <si>
    <t>Крем мазь для суставов и связок Артокс, гель обезболивающий,  бальзам панты марала 75 мл</t>
  </si>
  <si>
    <t>https://www.wildberries.ru/catalog/192906679/detail.aspx</t>
  </si>
  <si>
    <t>https://www.ozon.ru/product/1323284376</t>
  </si>
  <si>
    <t>4603320037082
4660417421223; 2038674207638</t>
  </si>
  <si>
    <t>вода, экстракт коры дуба, коллаген, экстракт конского каштана, хондроитин, глюкозамин, акулий жир, экстракт лютика желтого, экстракт адамова корня, экстракт маклюры, экстракт мяты, панты марала, экстракт сабельника, экстракт хвои, экстракт золотого уса, экстракт прополиса, экстракт березы, экстракт дьявольского когтя, экстракт коры ивы, экстракт хмеля, экстракт бедренца камнеломного, карбомер, триэтаноламин, феноксиэтанол, этилгексилглицерин</t>
  </si>
  <si>
    <t>https://drive.google.com/drive/folders/1XzgWgBNcUDPgEqHpkYpIB4d5fNwpLoqD</t>
  </si>
  <si>
    <t>krem_dlya_ruk_75ml</t>
  </si>
  <si>
    <t>Проверить цену  ВБ</t>
  </si>
  <si>
    <t>Крем для рук, Алтея, 75 мл</t>
  </si>
  <si>
    <t>AC101100445</t>
  </si>
  <si>
    <t>MPL379165</t>
  </si>
  <si>
    <t>АЛТЕЯ-KREMDLR</t>
  </si>
  <si>
    <t>Ламеллярный Крем для Рук, Увлажняющий и Питательный</t>
  </si>
  <si>
    <t>Ламеллярный крем для рук с мочевиной, увлажняющий и питательный с маслом кокоса, Алтея, 75 мл</t>
  </si>
  <si>
    <t>ламеллярный крем для рук с мочевиной, увлажняющий и питательный с маслом кокоса, алтея, 75 мл</t>
  </si>
  <si>
    <t>Ламеллярный крем для рук с мочевиной, увлажняющий и питательный с маслом кокоса</t>
  </si>
  <si>
    <t>Ламеллярный крем для рук с мочевиной увлажняющий и питатетельный Алтея 75 мл</t>
  </si>
  <si>
    <t>https://www.wildberries.ru/catalog/205072071/detail.aspx</t>
  </si>
  <si>
    <t>https://www.ozon.ru/product/1413555098</t>
  </si>
  <si>
    <t>https://market.yandex.ru/card/lamellyarnyy-krem-dlya-ruk-s-mochevinoy-uvlazhnyayushchiy-i-pitatelnyy-s-maslom-kokosa-alteya-75-ml/103515429828?do-waremd5=Tila_wUz49J2UwdjYPBvgA&amp;businessId=1422090&amp;generalContext=t%3DshopInShop%3Bbi%3D1422090%3B&amp;ogV=-10</t>
  </si>
  <si>
    <t>https://goldapple.ru/catalogsearch/result?q=99000114729</t>
  </si>
  <si>
    <t>https://www.letu.ru/product/alteya-lamellyarnyi-krem-dlya-ruk-s-mochevinoi-uvlazhnyayushchii-i-pitatelnyi-s-maslom-kokosa/163501122?sort=default&amp;open=ingredient%7EforWhom%7EskinNeeds%7EcleanBeauty&amp;hide=expectedEffect%7EnotContain%7EhairType%7EskinTypes</t>
  </si>
  <si>
    <t>https://mm.ru/product/lamellyarnyj-krem-dlya-5854268?skuId=13090622</t>
  </si>
  <si>
    <t>товары для красоты / косметика, парфюмерия и уход / уход за телом / уход за руками</t>
  </si>
  <si>
    <t>Уход за телом &gt;&gt; Крем для рук &gt;&gt; Уход за руками</t>
  </si>
  <si>
    <t>Кремы для рук</t>
  </si>
  <si>
    <t>4660417421452
4601022298473</t>
  </si>
  <si>
    <t>ЕАЭС N RU Д-RU.PA01.B.66387/24 от 02.02.2024 по 31.01.2029</t>
  </si>
  <si>
    <t>вода, глицерилстеарат, цетеарет-20, цетеарет-12, масло кокосовое, цетеариловый спирт, мочевина, цетилпальмитат, масло кукурузное, глицерин, масло ши, масло жожоба, масло авокадо, этилгексилглицерин, экстракт зелёного чая, масло миндаля, аллантоин, полиакрилат натрия, отдушка, витамин Е, феноксиэтанол.</t>
  </si>
  <si>
    <t>нанести на чистую и сухую кожу рук массажными движениями.</t>
  </si>
  <si>
    <t>индивидуальная непереносимость компонентов крема</t>
  </si>
  <si>
    <t>https://docs.google.com/document/d/12PnKsvXrilyQZmaAKjCBSeqEXJZcjR6Q/edit</t>
  </si>
  <si>
    <t>wbsinergel</t>
  </si>
  <si>
    <t>Мазь для суставов Синергель, CPA, 30 мл</t>
  </si>
  <si>
    <t>CC101100422</t>
  </si>
  <si>
    <t>Мазь для суставов обезболивающая с глюкозамин Алтея, Синергель, 30 мл</t>
  </si>
  <si>
    <t>Мазь для суставов обезболивающая с глюкозамин крем от боли, гель Алтея, Синергель, 30 мл</t>
  </si>
  <si>
    <t>https://www.wildberries.ru/catalog/17905393/detail.aspx</t>
  </si>
  <si>
    <t>https://www.ozon.ru/product/289049035</t>
  </si>
  <si>
    <t xml:space="preserve"> ЕАЭС N RU Д-RU.РА01.В.22855/21 от 15.06.2021 по 08.06.2026</t>
  </si>
  <si>
    <t>otivin</t>
  </si>
  <si>
    <t>Пищевая добавка Отивин , CPA, 10 мл</t>
  </si>
  <si>
    <t>CO101100444</t>
  </si>
  <si>
    <t>Отивин ушные капли для слуха и воспаления ушей</t>
  </si>
  <si>
    <t>Усилитель слуха. Ушные капли. Капли для улучшения слуха, Алтея, Отивин, 10 мл</t>
  </si>
  <si>
    <t>Капли для ушей, усилитель слуха, ушные капли, средство для улучшения слуха, Алтея, Отивин, 10 мл</t>
  </si>
  <si>
    <t>https://www.wildberries.ru/catalog/136138948/detail.aspx</t>
  </si>
  <si>
    <t>https://www.ozon.ru/product/792260062</t>
  </si>
  <si>
    <t>https://market.yandex.ru/card/otivin-ushnyye-kapli-dlya-slukha-i-vospaleniya-ushey10ml/103340901784?businessId=1422090&amp;clid=1422090&amp;model_id=427447470&amp;distr_type=8&amp;pp=605</t>
  </si>
  <si>
    <t>Капли ушные</t>
  </si>
  <si>
    <t>ЕАЭС N RU Д-RU.PA07.B.77119/22 от 28.10.2022 до 21.10.2027</t>
  </si>
  <si>
    <t>вода, экстракт гинкго билоба, экстракт элеутерококка, экстракт малины, экстракт березы, L-аргинин, бетаин, магний цитрат, арабиногалактан, цинка цитрат, аскорбиновая кислота, сорбат калия (Е202), бензоат натрия (Е211), селен, витамины b2, b4, b5, b6, b12.</t>
  </si>
  <si>
    <t xml:space="preserve">принимать во внутрь по 12–16 капель 2 раза в день во время приема пищи. Растворить в 150 мл воды. Рекомендуется курсовой прием. </t>
  </si>
  <si>
    <t>Не применять внутрь уха!
Противопоказания: индивидуальная непереносимость компонентов, беременность, кормление грудью. Не является лекарственным средством.</t>
  </si>
  <si>
    <t xml:space="preserve">хранить в оригинальной закрытой упаковке в защищенном от прямых солнечных лучей и недоступном для детей месте при температуре не выше +25ºС. </t>
  </si>
  <si>
    <t>https://drive.google.com/drive/folders/1EENVnOaBjPEPSi7DayrpD44yN7yf0S9M</t>
  </si>
  <si>
    <t>trezvin</t>
  </si>
  <si>
    <t>Пищевая добавка Трезвин, CPA, 20 капсул</t>
  </si>
  <si>
    <t>CO101100404</t>
  </si>
  <si>
    <t>Капсулы от алкоголизма и от алкогольной зависимости Трезвин</t>
  </si>
  <si>
    <t>Капсулы от алкогольной зависимости, пищевая добавка Трезвин</t>
  </si>
  <si>
    <t>Капсулы от алкогольной зависимости, детокс организма, пищевая добавка Трезвин,  средство от алкоголизма и запоя, 20 шт</t>
  </si>
  <si>
    <t>https://www.wildberries.ru/catalog/223410114/detail.aspx</t>
  </si>
  <si>
    <t>https://www.ozon.ru/product/1541858934</t>
  </si>
  <si>
    <t>https://market.yandex.ru/card/kapsuly-ot-alkogolnoy-zavisimosti-pishchevaya-dobavka-trezvin/103515423526?businessId=1422090&amp;clid=1422090&amp;model_id=1088019356&amp;distr_type=8&amp;pp=605</t>
  </si>
  <si>
    <t>ЕАЭС N RU Д-RU.PA01.B.43724/24 от 26.01.2024 по 22.01.2029</t>
  </si>
  <si>
    <t xml:space="preserve">экстракты сухой кудзы, сухой родиолы розовой, сухой ивы белой, левзеи сафлоровидной, любистока, гриба копринус, плауна булавовидного, зверобоя, витамин В6, диоксид кремния, стеарат кальция, мальтодекстрин.
</t>
  </si>
  <si>
    <t xml:space="preserve"> принимать по 1 капсуле два раза в день во время еды. </t>
  </si>
  <si>
    <t xml:space="preserve">хранить при температуре не выше 25 °С в местах, удалённых от прямого солнечного света, отопительных приборов, влаги.
</t>
  </si>
  <si>
    <t>https://docs.google.com/document/d/1qYbzp6-8K0VmKPMPkrOaveviZSP5Z8uJ/edit?usp=drive_web&amp;ouid=104241417680089502627&amp;rtpof=true</t>
  </si>
  <si>
    <t>micardin_1_1</t>
  </si>
  <si>
    <t>Пищевая добавка Микардин, CPA, 10 капсул, набор из 2 шт</t>
  </si>
  <si>
    <t>CO101100427</t>
  </si>
  <si>
    <t>Средство от давления, витамины для сердца, чистка сосудов, Алтея, Микардин, 2 шт</t>
  </si>
  <si>
    <t>https://www.wildberries.ru/catalog/172162756/detail.aspx</t>
  </si>
  <si>
    <t>https://www.ozon.ru/product/1129297463</t>
  </si>
  <si>
    <t>https://market.yandex.ru/card/sredstvo-ot-davleniya-vitaminy-dlya-serdtsa-chistka-sosudov-alteya-mikardin-2-sht/103515392261?businessId=1422090&amp;clid=1422090&amp;model_id=696476475&amp;distr_type=8&amp;pp=605</t>
  </si>
  <si>
    <t>chudogrib</t>
  </si>
  <si>
    <t>Пищевая добавка Чудо гриб, CPA, 20 капсул</t>
  </si>
  <si>
    <t>Детокс</t>
  </si>
  <si>
    <t>CO101100411</t>
  </si>
  <si>
    <t>Антипаразитарный комплекс от глистов Чудо гриб</t>
  </si>
  <si>
    <t>Антипаразитарный комплекс от глистов, очищение организма от паразитов, детокс, Алтея, Чудо гриб, чудогриб, 20 капсул</t>
  </si>
  <si>
    <t>https://www.wildberries.ru/catalog/222218347/detail.aspx</t>
  </si>
  <si>
    <t>https://www.ozon.ru/product/1528840163</t>
  </si>
  <si>
    <t>https://market.yandex.ru/card/antiparazitarnyy-kompleks-ot-glistov-ochishcheniye-organizma-ot-parazitov-detoks-alteya-chudo-grib-chudogrib-20-kapsul/103515425600?do-waremd5=SIf-rQRVfGigefH8JmbX4g&amp;businessId=1422090&amp;generalContext=t%3DshopInShop%3Bbi%3D1422090%3B&amp;ogV=-10</t>
  </si>
  <si>
    <t>мальтодекстрин, экстракты пижмы, сенны, гвоздики, куркумы, семян кориандра, имбиря, экстракт черного перца, фенхеля, кордицепс, экстракт коры дуба, экстракт семян тмина, ежовик гребенчатый, диоксид кремния, стеарат кальция.</t>
  </si>
  <si>
    <t xml:space="preserve">хранить при температуре не выше 25 °С в местах, удалённых от прямого солнечного света, отопительных приборов, влаги.
</t>
  </si>
  <si>
    <t>24 месяца от даты изготовления. Дата изготовления указана на блистере.</t>
  </si>
  <si>
    <t>https://drive.google.com/drive/folders/19Vi38BgXKQ46JvCJVefT2P-qH4f0QVux</t>
  </si>
  <si>
    <t>psoral</t>
  </si>
  <si>
    <t>Мазь от псориаза Псорал, CPA, 30 мл</t>
  </si>
  <si>
    <t>Псориаз</t>
  </si>
  <si>
    <t>CC101100419</t>
  </si>
  <si>
    <t>Псорал крем мазь от псориаза и дерматита эффективная</t>
  </si>
  <si>
    <t>Мазь от грибка ногтей на ногах, крем гель Алтея, Микоплакс Mycoplax, 15 мл х 2</t>
  </si>
  <si>
    <t>Мазь от грибка ногтей на ногах, крем гель Алтея, противогрибковое средство Микоплакс Mycoplax, 15 мл х 2</t>
  </si>
  <si>
    <t>https://www.wildberries.ru/catalog/136537336/detail.aspx</t>
  </si>
  <si>
    <t>https://www.ozon.ru/product/2825114763</t>
  </si>
  <si>
    <t>https://market.yandex.ru/card/maz-ot-gribka-nogtey-na-nogakh-krem-gel-alteya-mikoplaks-mycoplax-15-ml-kh-2/4640678615?do-waremd5=NIvya4VVZitwBtcaKE64Vg&amp;businessId=1422090&amp;generalContext=t%3DshopInShop%3Bbi%3D1422090%3B&amp;ogV=-10</t>
  </si>
  <si>
    <t>ЕАЭС N RU Д-RU.PA08.B.30783/22 от 17.11.2022 до 16.11.2027</t>
  </si>
  <si>
    <t>вода, морская соль, экстракт череды, экстракт ромашки, морской коллаген, экстракт чистотела, экстракт шалфея, деготь, нафталан, карбопол, консервант.</t>
  </si>
  <si>
    <t xml:space="preserve">наносить гель тонким слоем на пораженные участки кожи 2-3 раза в день. Рекомендуется курсовой прием. 
</t>
  </si>
  <si>
    <t>https://drive.google.com/drive/folders/10l7xEpm1sPcdx8MRENcbgIKJyEw4KNY2</t>
  </si>
  <si>
    <t>solevoy_sprei_200ml</t>
  </si>
  <si>
    <t>Солевой спрей, Алтея, 200 мл</t>
  </si>
  <si>
    <t>AC101100412</t>
  </si>
  <si>
    <t>MPL411095</t>
  </si>
  <si>
    <t>АЛТЕЯ-SOLEVOY</t>
  </si>
  <si>
    <t>Солевой спрей для объема и укладки волос с фиксацией</t>
  </si>
  <si>
    <t>Солевой спрей/ текстурайзер для волос для объема и укладки волос с фиксацией Алтея 200 мл</t>
  </si>
  <si>
    <t>Солевой спрей для объема и укладки волос с фиксацией Алтея 200 мл</t>
  </si>
  <si>
    <t>солевой спрей для объема и укладки волос с фиксацией алтея 200 мл</t>
  </si>
  <si>
    <t>Спрей для волос солевой для объема и укладки волос с фиксацией Алтея 200 мл</t>
  </si>
  <si>
    <t>https://www.wildberries.ru/catalog/326913593/detail.aspx</t>
  </si>
  <si>
    <t>https://www.ozon.ru/product/1860164273</t>
  </si>
  <si>
    <t>https://market.yandex.ru/card/solevoy-sprey-dlya-obyema-i-ukladki-volos-s-fiksatsiyey-alteya-200-ml/103816818779?businessId=1422090&amp;clid=1422090&amp;model_id=1054127194&amp;distr_type=8&amp;pp=605</t>
  </si>
  <si>
    <t>https://goldapple.ru/catalogsearch/result?q=99000076221</t>
  </si>
  <si>
    <t>https://www.letu.ru/product/alteya-solevoi-sprei-dlya-obema-i-ukladki-volos-s-fiksatsiei/171200324?sort=default&amp;open=ingredient%7EforWhom%7EskinNeeds%7EcleanBeauty&amp;hide=expectedEffect%7EnotContain%7EhairType%7EskinTypes</t>
  </si>
  <si>
    <t>https://mm.ru/product/sprej-dlya-volos-5874418?skuId=13117132</t>
  </si>
  <si>
    <t>Спрей для укладки волос &gt;&gt; Средства для укладки волос &gt;&gt; Средства для укладки волос</t>
  </si>
  <si>
    <t>4670020498413; 4670020499816</t>
  </si>
  <si>
    <t>ЕАЭС N RU Д-RU.РА11.В.95138/24 от 09.01.2025 по 09.01.2032</t>
  </si>
  <si>
    <t>вода очищенная, поливинилпирролидон, соль
морская, мочевина, гидролизат кератина, эсктракт розмарина,
Д-пантенол, экстракт орхидеи, пропиленгликоль, карбомер ПЭГ-40
гидрогенизированное касторовое масло, натрия гидроокись,
парфюмерная композиция, твин 20, твин-80, сорбат калия, бензоат
натрия, лимонная кислота, феноксиэтанол, этилгексилглицерин,
бензил салицилат, кумарин, линалоол</t>
  </si>
  <si>
    <t>Хорошо встряхнуть флакон перед применением. Распылить на волосы, распределить руками по длине. Придайте волосам нужную форму с воими руками. Дать волосам высохнуть естественным путём или с помощью фена. Не смывать. При необходимости повторить.</t>
  </si>
  <si>
    <t>Меры предосторожности:
Индивидуальная непереносимость
компонентов состава.</t>
  </si>
  <si>
    <t xml:space="preserve">Условия хранения: хранят
при температуре не ниже плюс
5 ˚С и не выше плюс 25 ˚С.
Не допускается хранить продукцию
под непосредственным
воздействием солнечного света
и вблизи отопительных приборов. </t>
  </si>
  <si>
    <t>https://docs.google.com/document/d/1etHDQRFYpsWU9SYNYY2IprW3gzXxC_sj/edit?usp=drive_web&amp;ouid=104241417680089502627&amp;rtpof=true</t>
  </si>
  <si>
    <t>pink_pepper_50ml</t>
  </si>
  <si>
    <t>Крем для лица pink pepper, Алтея, 50 мл</t>
  </si>
  <si>
    <t>AC101100430</t>
  </si>
  <si>
    <t>MPL533896</t>
  </si>
  <si>
    <t>АЛТЕЯ-PINKREM</t>
  </si>
  <si>
    <t>Крем для лица увлажняющий питательный с ниацинамидом</t>
  </si>
  <si>
    <t>Крем для лица матирующий с ниацинамидом дневной база под макияж Алтея 50 мл</t>
  </si>
  <si>
    <t>Крем для лица увлажняющий питательный с ниацинамидом, как основа под макияж, матирует, Алтея 50 мл</t>
  </si>
  <si>
    <t>Алтея Крем для лица 50 мл</t>
  </si>
  <si>
    <t>Крем для лица увлажняющий питательный с ниацинамидом Алтея 50 мл</t>
  </si>
  <si>
    <t>https://www.wildberries.ru/catalog/484586518/detail.aspx</t>
  </si>
  <si>
    <t>https://www.ozon.ru/product/2583139610</t>
  </si>
  <si>
    <t>https://market.yandex.ru/card/krem-dlya-litsa-uvlazhnyayushchiy-pitatelnyy-s-niatsinamidom-alteya-50-ml/4569591407?businessId=1422090&amp;clid=1422090&amp;model_id=825803004&amp;distr_type=8&amp;pp=605</t>
  </si>
  <si>
    <t>https://www.letu.ru/product/alteya-krem-dlya-litsa-uvlazhnyayushchii-pitatelnyi-s-niatsinamidom/177305602?sort=default&amp;open=ingredient%7EforWhom%7EskinNeeds%7EcleanBeauty&amp;hide=expectedEffect%7EnotContain%7EhairType%7EskinTypes</t>
  </si>
  <si>
    <t>https://mm.ru/product/krem-dlya-lica-5880769?skuId=13131164</t>
  </si>
  <si>
    <t>ЕАЭС N RU Д-RU.PA06.B.20493/25 от 22.07.2025 по 21.07.2030</t>
  </si>
  <si>
    <t>Aqua, Caprylic/Capric Triglycerides, Isononyl Isononanoate, Cetyl Alcohol, Glyceryl Stearate, Glycerin, Glyceryl Stearate Citrate, Simmondsia Chinensis (Jojoba) Seed Oil, Aloe Barbadensis Leaf Juice, Niacinamide, Sodium PCA, Propylene Glycol, Phospholipids, Sphingolipids, Polyacrylamide, Fragrance, Phenoxyethanol, Hyaluronic Acid, Hemp Oil Pressed, C13-C14 Isoparaffin, Ethylhexylglycerin, Lactic Acid, Sodium Benzoate, Potassium Sorbate, Laureth-7, CI 14720, CI 19140.</t>
  </si>
  <si>
    <t xml:space="preserve">наносите крем круговыми движениями на тщательно очищенную кожу лица и шеи. </t>
  </si>
  <si>
    <t>не наносите на поврежденную кожу и избегайте попадания в глаза. При попадании в глаза тщательно промойте водой. Перед применением протестируйте на небольшом участке кожи.</t>
  </si>
  <si>
    <t>https://docs.google.com/document/d/15q1QNzxqv3EYuw1GzMNjptJSfmVMhezO/edit?rtpof=true&amp;tab=t.0</t>
  </si>
  <si>
    <t>ООО "Марвел"</t>
  </si>
  <si>
    <t>piling_100ml</t>
  </si>
  <si>
    <t>Пилинг для кожи головы, Алтея, 100 мл</t>
  </si>
  <si>
    <t>AC101100408</t>
  </si>
  <si>
    <t>MPL381095</t>
  </si>
  <si>
    <t>АЛТЕЯ-PILING</t>
  </si>
  <si>
    <t>Пилинг для кожи головы кислотный очищающий</t>
  </si>
  <si>
    <t>Пилинг для кожи головы профессиональный скраб от перхоти, Алтея, 100 мл</t>
  </si>
  <si>
    <t>скраб для кожи головы профессиональный скраб от перхоти, алтея, 100 мл</t>
  </si>
  <si>
    <t>Пилинг для кожи головы профессиональный скраб от перхоти</t>
  </si>
  <si>
    <t>Пилинг для кожи головы профессиональный скраб от перхоти Алтея 100 мл</t>
  </si>
  <si>
    <t>https://www.wildberries.ru/catalog/216502265/detail.aspx</t>
  </si>
  <si>
    <t>https://www.ozon.ru/product/1500346998</t>
  </si>
  <si>
    <t>https://market.yandex.ru/card/skrab-dlya-kozhi-golovy-professionalnyy-skrab-ot-perkhoti-alteya-100-ml/103515740712?do-waremd5=33NruUgm-dAX5isGmpSLfA&amp;businessId=1422090&amp;generalContext=t%3DshopInShop%3Bbi%3D1422090%3B&amp;ogV=-10</t>
  </si>
  <si>
    <t>https://goldapple.ru/catalogsearch/result?q=99000076204</t>
  </si>
  <si>
    <t>https://www.letu.ru/product/alteya-skrab-dlya-kozhi-golovy-professionalnyi-skrab-ot-perhoti/163501206?sort=default&amp;open=ingredient%7EforWhom%7EskinNeeds%7EcleanBeauty&amp;hide=expectedEffect%7EnotContain%7EhairType%7EskinTypes</t>
  </si>
  <si>
    <t>https://mm.ru/product/piling-dlya-kozhi-5854281?skuId=13090653</t>
  </si>
  <si>
    <t>Уход за волосами &gt;&gt; Пилинг для кожи головы &gt;&gt; Уход за волосами</t>
  </si>
  <si>
    <t>Скрабы и пилинги</t>
  </si>
  <si>
    <t>AM.02.07.01.001.R.001664.10.23 от 19.10.2023</t>
  </si>
  <si>
    <t>Aqua, Polyethylene glycol 400, Niacinamide, Triethanolamine, Carbomer, Salycilyc acid, Lactic Acid, Propylene Glycol, Urtica dioica Leaf Extract, Tilia cordata Flower Extract, Arctium lappa Root Extract, Viola Tricolor Extract, Equisetum arvense Herb Extract, Papain, Panthenol, Arginine, Wheat Germ Protein, Glycerin, PEG-40 Hydrogenated Castor Oil, Oenothera Biennis Oil, Retinyl Palmitate, Tocopheryl Acetate, 2-phenoxyethanol, Benzoic Acid, Dehydroacetic Acid, Parfum, Disodium EDTA, Potassium Sorbate, Sodium Benzoate, Benzyl Alcohol, Methylchloroisothiazolinone, Methylisothiazolinone.</t>
  </si>
  <si>
    <t>нанесите пилинг на сухую кожу головы по проборам. Распределите легкими массажными движениями. Оставьте на 30–40 минут, собрав волосы для удобства. Затем смойте шампунем. При нанесении на влажную кожу головы после мытья с шампунем оставить состав на 15 минут и затем смыть водой. Рекомендуется использовать 1 раз в неделю при сухой и нормальной коже головы. При жирной коже головы – 2–3 раза в неделю.</t>
  </si>
  <si>
    <t>возможна индивидуальная непереносимость компонентов</t>
  </si>
  <si>
    <t>хранить при температуре не ниже 0º С и не выше 25º С</t>
  </si>
  <si>
    <t>https://docs.google.com/document/d/1iGMWcDdWQMpZeDXkJqE5T-tgeyg8417Z/edit</t>
  </si>
  <si>
    <t>gel_brows_5ml</t>
  </si>
  <si>
    <t>Гель для бровей, Алтея, 5 мл</t>
  </si>
  <si>
    <t>AC101100403</t>
  </si>
  <si>
    <t>Гель для бровей с коллагеном и эластином, фиксация на 24 часа, Алтея, 5 мл</t>
  </si>
  <si>
    <t>гель для бровей с коллагеном и эластином, фиксация на 24 часа, алтея, 5 мл</t>
  </si>
  <si>
    <t>https://www.wildberries.ru/catalog/348575805/detail.aspx</t>
  </si>
  <si>
    <t>https://www.ozon.ru/product/1917265136</t>
  </si>
  <si>
    <t>https://market.yandex.ru/card/gel-dlya-brovey-s-kollagenom-i-elastinom-fiksatsiya-na-24-chasa-alteya-5-ml/103816798640?businessId=1422090&amp;clid=1422090&amp;model_id=1352604652&amp;distr_type=8&amp;pp=605</t>
  </si>
  <si>
    <t>https://goldapple.ru/catalogsearch/result?q=99000114725</t>
  </si>
  <si>
    <t xml:space="preserve"> Distilled water, pvp, crosspolymer-6, propylene glycol, panthenol, hydrolyzed collagen (and) hydrolyzed elastin, phenoxyethanol, ethylhexylglycerin, parfum.</t>
  </si>
  <si>
    <t xml:space="preserve">Меры предосторожности: избегать попадания в глаза. При попадании
промыть водой. При необходимости обратиться к врачу. 
</t>
  </si>
  <si>
    <t>https://docs.google.com/document/d/1HtMH8mlh_6dlzBBV-_skuSs_DNkjW62K/edit?usp=drive_web&amp;ouid=104241417680089502627&amp;rtpof=true</t>
  </si>
  <si>
    <t>daoshen</t>
  </si>
  <si>
    <t>Мазь от грибка ногтей Даошэн, CPA, 15 мл</t>
  </si>
  <si>
    <t>CC101100412</t>
  </si>
  <si>
    <t>Мазь от грибка ногтей и стопы ног противогрибковая Даошен</t>
  </si>
  <si>
    <t>Мазь от грибка ногтей на ногах, противогрибковое средство с коллоидным серебром, Алтея, Даошэн, 15 мл</t>
  </si>
  <si>
    <t>Крем от грибка ногтей на ногах, противогрибковое средство с коллоидным серебром, мазь против грибка Алтея,  Даошэн, 15 мл</t>
  </si>
  <si>
    <t>https://www.wildberries.ru/catalog/75182069/detail.aspx</t>
  </si>
  <si>
    <t>https://www.ozon.ru/product/563811764</t>
  </si>
  <si>
    <t>https://market.yandex.ru/card/maz-ot-gribka-nogtey-i-stopy-nog-protivogribkovaya-daoshen-krem-gel-ot-gribka-nogtey--15-ml/103340884471?do-waremd5=wkpUMyBkUUP55s4GzsIcdQ&amp;businessId=1422090&amp;generalContext=t%3DshopInShop%3Bbi%3D1422090%3B&amp;ogV=-10</t>
  </si>
  <si>
    <t>4631144732708
4609555389125</t>
  </si>
  <si>
    <t>sanatsin_1_1</t>
  </si>
  <si>
    <t>Пищевая добавка Санацин, CPA, 20 штук</t>
  </si>
  <si>
    <t>CO101100406</t>
  </si>
  <si>
    <t>Антипаразитарный комплекс от глистов санацин</t>
  </si>
  <si>
    <t>Санацин антипаразитарный комплекс от паразитов и от глистов. Капсулы от глистов, против паразитов / 20 капсул*2</t>
  </si>
  <si>
    <t>Санацин антипаразитарный комплекс от паразитов и глистов. Капсулы от глистов, противопаразитарное средство / 20 капсул*2</t>
  </si>
  <si>
    <t>https://www.wildberries.ru/catalog/176855721/detail.aspx</t>
  </si>
  <si>
    <t>https://www.ozon.ru/product/1188041492</t>
  </si>
  <si>
    <t>https://market.yandex.ru/card/sanatsin-antiparazitarnyy-kompleks-ot-parazitov-i-ot-glistov-kapsuly-ot-glistov-protiv-parazitov--20-kapsul2/103515424470?businessId=1422090&amp;clid=1422090&amp;model_id=1215621363&amp;distr_type=8&amp;pp=605</t>
  </si>
  <si>
    <t>RU.77.99.11.003.R.002344.07.22</t>
  </si>
  <si>
    <t xml:space="preserve">Утренняя капсула (белая): экстракты куркумы, грейпфрута косточек, осины коры, родиолы розовой, черного перца, гвоздики и мяты перечной, аэросил, кальций стеариновокислый, лактоза.       
Вечерняя капсула (красная): экстракты сенны, пижмы, солодки, листа грецкого ореха, черного перца, чеснока, артишока, фенхеля и зверобоя, аэросил, кальций стеариновокислый, лактоза.      </t>
  </si>
  <si>
    <t xml:space="preserve">Способ применения: принимать по 1 капсуле утром и вечером вне зависимости от приёма пищи. </t>
  </si>
  <si>
    <t xml:space="preserve">хранить при температуре до 25°C, избегая попадания прямых солнечных лучей.
</t>
  </si>
  <si>
    <t>maslo_dlya_volos_parf_110ml</t>
  </si>
  <si>
    <t>AC101100409</t>
  </si>
  <si>
    <t>MPL381092</t>
  </si>
  <si>
    <t>Масло для волос парфюмированное, сыворотка для волос Tom Ford Lost Cherry, Алтея, 110 мл</t>
  </si>
  <si>
    <t>масло для волос парфюмированное, сыворотка для волос lost cherry, алтея, 110 мл</t>
  </si>
  <si>
    <t>Масло для волос парфюмированное, сыворотка для волос</t>
  </si>
  <si>
    <t>https://www.wildberries.ru/catalog/233125715/detail.aspx</t>
  </si>
  <si>
    <t>https://www.ozon.ru/product/1583009752</t>
  </si>
  <si>
    <t>https://market.yandex.ru/card/maslo-dlya-volos-parfyumirovannoye-syvorotka-dlya-volos-tom-ford-lost-cherry-alteya-110-ml/103515586622?businessId=1422090&amp;generalContext=t%3DshopInShop%3Bbi%3D1422090%3B&amp;showOriginalKmEmptyOffer=1&amp;ogV=-10</t>
  </si>
  <si>
    <t>https://goldapple.ru/catalogsearch/result?q=99000076212</t>
  </si>
  <si>
    <t>https://www.letu.ru/product/alteya-maslo-dlya-volos-parfyumirovannoe-syvorotka-dlya-volos-tom-ford-lost-cherry/163501100</t>
  </si>
  <si>
    <t>Бриф Масло для волос.docx</t>
  </si>
  <si>
    <t>Марвел/Гельтек</t>
  </si>
  <si>
    <t>gel_for_men_3_in_1_1000ml</t>
  </si>
  <si>
    <t>Гель для душа мужской, Алтея, 1000 мл</t>
  </si>
  <si>
    <t>AC101100435</t>
  </si>
  <si>
    <t>MPL411107</t>
  </si>
  <si>
    <t>Гель для душа мужской парфюмированный 1000 мл</t>
  </si>
  <si>
    <t>Гель для душа мужской парфюмированный Алтея 1000 мл</t>
  </si>
  <si>
    <t>Гель для душа мужской парфюмированный универсальный 3 в 1 Алтея 1000 мл</t>
  </si>
  <si>
    <t>гель для душа мужской парфюмированный алтея 1000 мл</t>
  </si>
  <si>
    <t>Гель для душа мужской парфюмированный</t>
  </si>
  <si>
    <t>https://www.wildberries.ru/catalog/319397405/detail.aspx</t>
  </si>
  <si>
    <t>https://www.ozon.ru/product/1847971373</t>
  </si>
  <si>
    <t>https://market.yandex.ru/card/gel-dlya-dusha-muzhskoy-parfyumirovannyy-alteya-1000-ml/103744710984?businessId=1422090&amp;generalContext=t%3DshopInShop%3Bbi%3D1422090%3B&amp;showOriginalKmEmptyOffer=1&amp;ogV=-10</t>
  </si>
  <si>
    <t>https://goldapple.ru/catalogsearch/result?q=99000081275</t>
  </si>
  <si>
    <t>https://www.letu.ru/product/alteya-gel-dlya-dusha-muzhskoi-parfyumirovannyi/170000349</t>
  </si>
  <si>
    <t>aqua, sodium laureth sulfate, cocamidopropylbetaine, glycerin, cocodiethanolamide, sodium c14-16 olefin sulfonate, Propylene Glycol, Аcus Extract, Yerba Mate Tea Еxtract, Panax Ginseng Root Extract, Citrus Paradisi Fruit Extract, Camellia Sinensis Leaf Extract, Chamomilla Recutita Flower Extract, Potassium sorbate, Citric Acid</t>
  </si>
  <si>
    <t>нанесите на влажное тело/волосы небольшое количество геля с помощью губки или без неё, равномерно распределите гель, лёгкими круговые движениями помассируйте до образования пены, затем тщательно смойте водой. При необходимости повторите процедуру.</t>
  </si>
  <si>
    <t>только для наружного применения. При попадании в глаза промойте их обильным количеством воды. Возможна индивидуальная непереносимость ингредиентов, входящих в состав.</t>
  </si>
  <si>
    <t>: от +5 до +25°С, в отсутствие прямых солнечных лучей.</t>
  </si>
  <si>
    <t>https://docs.google.com/document/d/17Czy-Kg6o-AG-wGhmP4Nd_ez6itfQGfB/edit</t>
  </si>
  <si>
    <t>syvorotka_guk_30ml</t>
  </si>
  <si>
    <t>Сыворотка ГУК для лица, Алтея, 30 мл</t>
  </si>
  <si>
    <t>AC101100433</t>
  </si>
  <si>
    <t>MPL381177</t>
  </si>
  <si>
    <t>Омолаживающая сыворотка для лица увлажняющая анти-эйдж</t>
  </si>
  <si>
    <t>Сыворотка для лица с витамином с, увлажняющая осветляющая с гиалуроновой кислотой, Алтея, 30 мл</t>
  </si>
  <si>
    <t>Сыворотка для лица с витамином С, гиалуроновая кислота, Алтея, 30 мл</t>
  </si>
  <si>
    <t>сыворотка с витамином с, гиалуроновая кислота, алтея, 30 мл</t>
  </si>
  <si>
    <t>Сыворотка с витамином с, гиалуроновая кислота</t>
  </si>
  <si>
    <t>https://www.wildberries.ru/catalog/276474398/detail.aspx</t>
  </si>
  <si>
    <t>https://www.ozon.ru/product/1745303363</t>
  </si>
  <si>
    <t>https://market.yandex.ru/card/syvorotka-dlya-litsa-uvlazhnyayushchaya-gialuronovaya-alteya-30-ml/103599535128?businessId=1422090&amp;clid=1422090&amp;model_id=825803004&amp;distr_type=8&amp;pp=605</t>
  </si>
  <si>
    <t>https://goldapple.ru/catalogsearch/result?q=99000076209</t>
  </si>
  <si>
    <t>https://www.letu.ru/product/alteya-syvorotka-s-vitaminom-s-gialuronovaya-kislota/163501103?sort=default&amp;open=ingredient%7EforWhom%7EskinNeeds%7EcleanBeauty&amp;hide=expectedEffect%7EnotContain%7EhairType%7EskinTypes</t>
  </si>
  <si>
    <t>ЕАЭС N RU Д-RU.PA09.B.04507/24 от 14.10.2024 до 14.10.2031</t>
  </si>
  <si>
    <t>Aqua, Butylene Glycol, Niacinamide, Glycerin, Sodium Hyaluronate, Trehalose, Sodium PCA, Glucose, Urea, Glutamic Acid, Lysine, Allantoin, 3-o-Ethyl Ascorbic Acid, Panthenol, Oenothera Biennis Oil, Retinyl Palmitate, Tocopheryl Acetate, PEG-40 Hydrogenated Castor Oil, Carbomer, Triethanolamine, Parfum, Citric Acid, Disodium EDTA, Lactic Acid, Potassium Sorbate, Sodium Benzoate, Gluconolactone, Calcium gluconate, Benzoic Acid, Dehydroacetic Acid, Phenoxyethanol, Ethylhexylglycerin, Citral, Limonene, Eugenol.</t>
  </si>
  <si>
    <t>наносить на чистую кожу лица, шеи и декольте лёгкими массирующими движениями до полного впитывания. 
Может использоваться как самостоятельно, так и под дневной или ночной кремы.</t>
  </si>
  <si>
    <t>https://docs.google.com/document/d/1SNWRwKOtgUoicXt4MaaybHrvhCKOYmQ4/edit</t>
  </si>
  <si>
    <t>gel_antiakne_20ml</t>
  </si>
  <si>
    <t>AC101100428</t>
  </si>
  <si>
    <t>MPL439819</t>
  </si>
  <si>
    <t>Точечный крем от прыщей. Корректор точечный против прыщей, крем от акне. Салициловая кислота, азелаиновая кислота Алтея 20 мл</t>
  </si>
  <si>
    <t>Крем от прыщей, Корректор точечный против прыщей и акне, Крем-гель для проблемной кожи Алтея 20 мл</t>
  </si>
  <si>
    <t>https://www.wildberries.ru/catalog/381392982/detail.aspx</t>
  </si>
  <si>
    <t>https://www.ozon.ru/product/2015557258</t>
  </si>
  <si>
    <t>https://market.yandex.ru/card/krem-ot-pryshchey-korrektor-tochechnyy-protiv-pryshchey-alteya-20-ml/4334380449?businessId=1422090&amp;generalContext=t%3DshopInShop%3Bbi%3D1422090%3B&amp;showOriginalKmEmptyOffer=1&amp;ogV=-10</t>
  </si>
  <si>
    <t>https://www.letu.ru/product/alteya-tochechnyi-krem-ot-pryshchei-korrektor-tochechnyi-protiv-pryshchei-krem-ot-akne/172000553</t>
  </si>
  <si>
    <t>4670020498482; 4660417421643</t>
  </si>
  <si>
    <t>https://disk.yandex.ru/d/G6U6hNLHYUZOHg/22.05.2025</t>
  </si>
  <si>
    <t>mycoplax_1_1</t>
  </si>
  <si>
    <t>Мазь от грибка ногтей Mycoplax, CPA, 15 мл, набор из 2 шт</t>
  </si>
  <si>
    <t>CC101100451</t>
  </si>
  <si>
    <t>https://www.wildberries.ru/catalog/525495859/detail.aspx</t>
  </si>
  <si>
    <t>nabor_penka_dlya_resnic</t>
  </si>
  <si>
    <t>Пенка для нарощенных ресниц и бровей, Алтея, 150 мл</t>
  </si>
  <si>
    <t>AC101100404</t>
  </si>
  <si>
    <t>АЛТЕЯ-PENKARS</t>
  </si>
  <si>
    <t>Пенка для нарощенных ресниц и умывания лица очищающая</t>
  </si>
  <si>
    <t>Пенка для нарощенных ресниц и для бровей, для умывания и очищения ресниц Алтея 150 мл</t>
  </si>
  <si>
    <t>Пенка для очищения нарощенных ресниц. мусс для умывания лица очищающий Алтея 150 мл</t>
  </si>
  <si>
    <t>пенка для нарощенных ресниц и умывания лица очищающая алтея 150 мл</t>
  </si>
  <si>
    <t>Пенка для нарощенных ресниц и для бровей для умывания и очищения ресниц Алтея 150 мл</t>
  </si>
  <si>
    <t>https://www.wildberries.ru/catalog/319430962/detail.aspx</t>
  </si>
  <si>
    <t>https://www.ozon.ru/product/1847974827</t>
  </si>
  <si>
    <t>https://market.yandex.ru/card/penka-dlya-naroshchennykh-resnits-i-umyvaniya-litsa-ochishchayushchaya-alteya-150-ml/103744706385?businessId=1422090&amp;clid=1422090&amp;model_id=968485540&amp;distr_type=8&amp;pp=605</t>
  </si>
  <si>
    <t>https://goldapple.ru/catalogsearch/result?q=99000076218</t>
  </si>
  <si>
    <t>https://mm.ru/product/penka-dlya-naroschennykh-5873796?skuId=13116237</t>
  </si>
  <si>
    <t xml:space="preserve">ЕАЭС N RU Д-RU.РА11.В.09123/24 от 11.12.2024 по 01.12.2029
</t>
  </si>
  <si>
    <t>Состав: Distilled water, coco glucoside, cocamidopropyl betaine, decyl glucoside, glycerin, panthenol, phenoxyethanol, ethylhexylglycerin, sodium hyaluronate, sodium lactate, lactic acid, parfum.</t>
  </si>
  <si>
    <t>Нанесите на ресницы небольшое количество воздушной пены, аккуратно удалите загрязнения. Перед процедурой наращивания возможно нанесение пенки с помощью специальной щеточки для очищения ресниц.</t>
  </si>
  <si>
    <t>Меры предосторожности: Индивидуальная непереносимость компонентов продукции. Использовать по назначению.</t>
  </si>
  <si>
    <t>https://docs.google.com/document/d/1LXzNZY-PoQKQMSHgsEP6kCQ9-vI2oOTb/edit</t>
  </si>
  <si>
    <t>Retinol_Start_Kit</t>
  </si>
  <si>
    <t>Набор уходовой косметики для лица с ретинолом</t>
  </si>
  <si>
    <t>Набор для лица уходовый косметический бьюти, крем для лица с ретинолом Ретинайт 2 шт.</t>
  </si>
  <si>
    <t>https://www.wildberries.ru/catalog/734357718/detail.aspx</t>
  </si>
  <si>
    <t>https://market.yandex.ru/card/nabor-ukhodovoy-kosmetiki-dlya-litsa-s-retinolom/4949707408?businessId=1422090&amp;generalContext=t%3DshopInShop%3Bbi%3D1422090%3B&amp;showOriginalKmEmptyOffer=1&amp;ogV=-10</t>
  </si>
  <si>
    <t>товары для красоты / косметика, парфюмерия и уход / наборы / косметические наборы</t>
  </si>
  <si>
    <t>https://docs.google.com/document/d/1vlcQ7RIEQmQER9qSmO9WrusM7qUk0sRuKlqG8Fj5Z5g/edit?tab=t.0</t>
  </si>
  <si>
    <t>maska-batter_500ml</t>
  </si>
  <si>
    <t>Маска-Баттер для волос с кератином, Алтея, 500 мл</t>
  </si>
  <si>
    <t>AC101100458</t>
  </si>
  <si>
    <t>Маска для волос с кератином торговой марки «Алтея»</t>
  </si>
  <si>
    <t>Маска для волос с кератином торговой марки Алтея</t>
  </si>
  <si>
    <t>Маска для волос с кератином восстанавливающая, маска-баттер, бальзам для волос Алтея, 500 мл</t>
  </si>
  <si>
    <t>https://www.wildberries.ru/catalog/734865504/detail.aspx</t>
  </si>
  <si>
    <t>https://market.yandex.ru/card/maska-dlya-volos-s-keratinom-torgovoy-marki-alteya/4949699875?businessId=1422090&amp;generalContext=t%3DshopInShop%3Bbi%3D1422090%3B&amp;showOriginalKmEmptyOffer=1&amp;ogV=-10</t>
  </si>
  <si>
    <t>ЕАЭС N RU Д-RU.PA12.B.01372/25 от 29.12.2025 по 28.12.2030</t>
  </si>
  <si>
    <t>Aqua, Cetearyl Alcohol, Glyceryl Stearate, Glycerin, Сetrimonium Сhloride, Behentrimonium Chloride, Hydrolyzed Keratin, Bis (C13-15 Alkoxy) PG Amodimethicone, Hydrolyzed Protein Silk, Argania Spinosa Kernel Oil, Cocos Nucifera Oil, Butyrospermum Parkii (Shea Butter) Oil, Rosa Damascena (Bulgarian Rose) Essential Oil, Ceramide NP, Caprylic/Capric Triglyceride, Hydroxyethylcellulose, Citric acid, Disodium EDTA, Methylchloroisothiazolinone, Methylisothiazolinone, Parfum, CI 14720.</t>
  </si>
  <si>
    <t xml:space="preserve">равномерно распределите маску по всей длине волос, уделяя особое внимание кончикам. Оставьте на несколько минут для лучшего проникновения активных компонентов, затем тщательно смойте теплой водой. </t>
  </si>
  <si>
    <t>только для наружного применения. В случае появления раздражения немедленно прекратите использование. Возможна индивидуальная непереносимость отдельных компонентов, входящих в состав. При попадании в глаза промойте их большим количеством воды.</t>
  </si>
  <si>
    <t>хранить от +5 до +25°С, в недоступном для детей месте.</t>
  </si>
  <si>
    <t>https://docs.google.com/document/d/1dH4zZv3zdqa7U31QYU3-o5xgMsOkMVi7/edit?usp=drive_web&amp;ouid=104241417680089502627&amp;rtpof=true</t>
  </si>
  <si>
    <t>penka_160ml</t>
  </si>
  <si>
    <t>Дизайн</t>
  </si>
  <si>
    <t>Пенка для умывания, Алтея, 160 мл</t>
  </si>
  <si>
    <t>AC101100424</t>
  </si>
  <si>
    <t>MPL381093</t>
  </si>
  <si>
    <t>Пенка для умывания, средство для снятия макияжа, 160 мл</t>
  </si>
  <si>
    <t>Мицеллярная пенка для умывания лица, для снятия макияжа, средство для снятия макияжа, Алтея, 160</t>
  </si>
  <si>
    <t>Мицеллярная пенка для умывания лица, для снятия макияжа, от постакне,  средство для снятия макияжа, Алтея, 160 мл</t>
  </si>
  <si>
    <t>Пенка для умывания, для снятия макияжа, от постакне</t>
  </si>
  <si>
    <t>https://www.wildberries.ru/catalog/244341711/detail.aspx</t>
  </si>
  <si>
    <t>https://www.ozon.ru/product/1629533131</t>
  </si>
  <si>
    <t>https://market.yandex.ru/card/penka-dlya-umyvaniya-dlya-snyatiya-makiyazha-ot-postakne-alteya-160-ml/103515404729?businessId=1422090&amp;clid=1422090&amp;model_id=968485540&amp;distr_type=8&amp;pp=605</t>
  </si>
  <si>
    <t>https://www.letu.ru/product/alteya-penka-dlya-umyvaniya-dlya-snyatiya-makiyazha-ot-postakne/163601074?sort=default&amp;open=ingredient%7EforWhom%7EskinNeeds%7EcleanBeauty&amp;hide=expectedEffect%7EnotContain%7EhairType%7EskinTypes</t>
  </si>
  <si>
    <t>Пенка для снятия макияжа &gt;&gt; Уход за лицом &gt;&gt; Средства для умывания</t>
  </si>
  <si>
    <t>ЕАЭС N RU Д-RU.PA05.B.39658/24 от 01.07.2024 по 01.07.2031</t>
  </si>
  <si>
    <t>Aqua, Disodium Cocoamphodiacetate, Cocamidopropyl Betaine, PEG-40 Hydrogenated Castor Oil, Glycerin, Poloxamer 184, Jasminum Officinale Flower Water, Menyanthes Trifoliata Leaf Extract, Hamamelis Virginiana Leaf Extract, Panthenol, Sodium Hyaluronate, Citrus Aurantifolia (Lime) Juice, Lactic Acid, Disodium EDTA, Propylene Glycol, Polysorbate-80, Sodium Benzoate, Potassium Sorbate, Citric Acid, Parfum, Sodium Chloride, Phenoxyethanol, Ethylhexylglycerin, D-Limonene.</t>
  </si>
  <si>
    <t xml:space="preserve">выдавить при помощи нажатия пенку на ладонь, нанести на влажную кожу лица, помассировать легкими круговыми движениями. Смыть пенку теплой водой. </t>
  </si>
  <si>
    <t>хранить при температуре не ниже +5°С и не выше +25°С</t>
  </si>
  <si>
    <t>https://docs.google.com/document/d/1IHiPt0wx9HEr1y1fnhxljEVaoVmVeite/edit?usp=drive_web&amp;ouid=104241417680089502627&amp;rtpof=true</t>
  </si>
  <si>
    <t>https://disk.yandex.ru/d/bY95hJ25MqI9mA</t>
  </si>
  <si>
    <t>pantogor</t>
  </si>
  <si>
    <t>Мазь для суставов Пантогор , CPA, 30 мл</t>
  </si>
  <si>
    <t>CC101100421</t>
  </si>
  <si>
    <t>wbpantogor</t>
  </si>
  <si>
    <t>Крем мазь для суставов и связок Пантогор обезболивающий</t>
  </si>
  <si>
    <t>Мазь для суставов, крем от боли в суставах обезболивающая, панты марала бальзам Алтея, Пантогор, 30 мл</t>
  </si>
  <si>
    <t>Мазь для суставов, крем от боли в суставах, гель обезболивающий, панты марала бальзам Алтея, Пантогор,  30 мл</t>
  </si>
  <si>
    <t>https://www.wildberries.ru/catalog/17903236/detail.aspx</t>
  </si>
  <si>
    <t>https://www.ozon.ru/product/288894202</t>
  </si>
  <si>
    <t>https://market.yandex.ru/card/krem-maz-dlya-sustavov-i-svyazok-pantogor-obezbolivayushchiy/103340894497?do-waremd5=O6QrJ8vLcgtipz6Jwo7nXA&amp;businessId=1422090&amp;generalContext=t%3DshopInShop%3Bbi%3D1422090%3B&amp;ogV=-10</t>
  </si>
  <si>
    <t>ЕАЭС N RU Д-RU.РА09.В.60972/24 от 18.10.2024 действует до 17.10.2029</t>
  </si>
  <si>
    <t>экстракт лютика желтого, 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 панты марала.</t>
  </si>
  <si>
    <t>гель нанести тонким слоем на пораженные суставы и круговыми движениями втирать в кожу. Применять 2-3 раза в день до исчезновения воспалительных явлений, в среднем от 30 до 45 дней. На курс потребуется 5 упаковок продукта.</t>
  </si>
  <si>
    <t>https://docs.google.com/document/d/1042zbIcQlLRwfB6exQrpoO6RfAGHCGHiQxPJJfG2CvE/edit</t>
  </si>
  <si>
    <t>dardrakona_1_1</t>
  </si>
  <si>
    <t>Крем от варикоза Дар дракона, CPA, 30 мл</t>
  </si>
  <si>
    <t>CC101100404</t>
  </si>
  <si>
    <t>Крем от варикоза усталости и отеков ног Дар Дракона</t>
  </si>
  <si>
    <t>Крем от варикоза усталости и отеков ног охлаждающий Дар Дракона, 30 мл</t>
  </si>
  <si>
    <t>Крем гель от варикоза усталости и отеков ног охлаждающий, мазь от тяжести в ногах  Дар Дракона, 30 мл</t>
  </si>
  <si>
    <t>https://www.wildberries.ru/catalog/176862987/detail.aspx</t>
  </si>
  <si>
    <t>https://www.ozon.ru/product/1188111089</t>
  </si>
  <si>
    <t>https://market.yandex.ru/card/krem-ot-varikoza-ustalosti-i-otekov-nog-okhlazhdayushchiy-dar-drakona-30-ml/103515425318?businessId=1422090&amp;clid=1422090&amp;model_id=1256606336&amp;distr_type=8&amp;pp=605</t>
  </si>
  <si>
    <t>вода (aqua), экстракт конского каштана (Horse Chestnut Seed extract), кротон Лехлера «Кровь дракона» (Lechleri ​​receptus Croto Brut extract), экстракт череды (Burmese extract), экстракт мяты (Mint extract), экстракт березы (Birch extract), экстракт чабреца (Thymus extract), стеариновая кислота (stearic acid),  оливковое масло (olive oil),  глицерин (glycerin), цетеариловый спирт (cereal alcohol), глицерил стеарат (glyceryl stearate), ТЭА (TEA), трилон Б (trilon b), отдушка (fragrance), bht, феноксиэтанол (phenpxyethanol),  этилгексилстеарат (ethylhexylglycerin).</t>
  </si>
  <si>
    <t>наносить тонким слоем на проблемную область 1–2 раза в день. Для получения стабильного положительного результата рекомендуется курсовое применение.</t>
  </si>
  <si>
    <t>хранить в сухом месте при температуре не выше 25°С.</t>
  </si>
  <si>
    <t>wowglam</t>
  </si>
  <si>
    <t>Сыворотка для роста волос WOW GLAM, CPA, 10 шт</t>
  </si>
  <si>
    <t>CC101100439</t>
  </si>
  <si>
    <t>Сыворотка для роста волос с аргинином, 10 ампул WOW GLAM</t>
  </si>
  <si>
    <t>Сыворотка для роста волос, никотиновая кислота, биотин, бетаин, кератин, масло жожоба, Алтея, WOW GLAM, 10 штук по 2 мл</t>
  </si>
  <si>
    <t>Алтея Сыворотка для волос 10 ампул</t>
  </si>
  <si>
    <t>https://www.wildberries.ru/catalog/235967746/detail.aspx</t>
  </si>
  <si>
    <t>https://www.ozon.ru/product/1597150074</t>
  </si>
  <si>
    <t>https://market.yandex.ru/card/syvorotka-dlya-volos-biotin-betain-keratin-maslo-zhozhoba-alteya-wow-glam-10-shtuk-po-2-ml/103515586621?businessId=1422090&amp;clid=1422090&amp;model_id=625585245&amp;distr_type=8&amp;pp=605</t>
  </si>
  <si>
    <t>ЕАЭС N RU Д-RU.PA03.B.08139/24 от 26.03.2024 по 25.03.2029</t>
  </si>
  <si>
    <t>вода, гидролизат коллагена, аргинин, бетаин, биотин, кератин, экстракт гинкго билоба, комплекс витаминов (В1, В3, В5, В6, В7, В9 и В12), календула, касторовое масло, гиалуроновая кислота, масло жожоба, шаромикс eg 10.</t>
  </si>
  <si>
    <t xml:space="preserve"> нанесите содержимое ампулы на влажные и чистые волосы сначала на область выпадения волос, а затем на всю кожу головы. Втирайте в кожу головы массирующими движениями в течение 1 минуты. Применять по одной ампуле в день.
</t>
  </si>
  <si>
    <t>ампул</t>
  </si>
  <si>
    <t>https://docs.google.com/document/d/1UBocNxu0aq1ODGT2vQWtW9BVLPdzsQ8E/edit</t>
  </si>
  <si>
    <t>enzim_pudra_80gr_v2</t>
  </si>
  <si>
    <t>AC201100403</t>
  </si>
  <si>
    <t>MPL536294</t>
  </si>
  <si>
    <t>Энзимная пудра для умывания и очищения кожи</t>
  </si>
  <si>
    <t>Энзимная пудра для умывания лица и тела, пилинг для лица очищающий, от прыщей и черных точек, Алтея, 80г</t>
  </si>
  <si>
    <t>Алтея Пудра энзимная 80 гр.</t>
  </si>
  <si>
    <t>Энзимная пудра для умывания тела и лица, от прыщей</t>
  </si>
  <si>
    <t>https://www.wildberries.ru/catalog/547745952/detail.aspx</t>
  </si>
  <si>
    <t>https://www.ozon.ru/product/2915421784</t>
  </si>
  <si>
    <t>https://market.yandex.ru/card/enzimnaya-pudra-dlya-umyvaniya-tela-i-litsa-ot-pryshchey-alteya-80g/4686492261?do-waremd5=ZCSxaomsuHI_VS6Um-o9Dw&amp;businessId=1422090&amp;generalContext=t%3DshopInShop%3Bbi%3D1422090%3B&amp;ogV=-10</t>
  </si>
  <si>
    <t>https://goldapple.ru/catalogsearch/result?q=99000125143</t>
  </si>
  <si>
    <t>https://www.letu.ru/product/alteya-enzimnaya-pudra-dlya-umyvaniya-tela-i-litsa-ot-pryshchei/177800330?sort=default&amp;open=ingredient%7EforWhom%7EskinNeeds%7EcleanBeauty&amp;hide=expectedEffect%7EnotContain%7EhairType%7EskinTypes</t>
  </si>
  <si>
    <t>vetonus_100ml</t>
  </si>
  <si>
    <t>Крем от варикоза Ветонус, CPA, 100 мл</t>
  </si>
  <si>
    <t>CC101100441</t>
  </si>
  <si>
    <t>Крем для ног от варикоза усталости и отечности Ветонус</t>
  </si>
  <si>
    <t>Крем от варикоза ног, конский каштан / Ветонус, 100 мл</t>
  </si>
  <si>
    <t>Крем от варикоза и отеков ног, гель для ног тонизирующий, конский каштан Ветонус, 100 мл</t>
  </si>
  <si>
    <t>https://www.wildberries.ru/catalog/202337451/detail.aspx</t>
  </si>
  <si>
    <t>https://www.ozon.ru/product/1403753693</t>
  </si>
  <si>
    <t>https://market.yandex.ru/card/krem-ot-varikoza-nog-konskiy-kashtan--vetonus-100-ml/103515789506?businessId=1422090&amp;clid=1422090&amp;model_id=696344170&amp;distr_type=8&amp;pp=605</t>
  </si>
  <si>
    <t>товары для красоты / косметика, парфюмерия и уход / уход за телом / уход за ногами</t>
  </si>
  <si>
    <t>4699373565016
4660417421407</t>
  </si>
  <si>
    <t>вода, гирудин, экстракт трехцветной фиалки, донник лекарственный, экстракт липы, экстракт календулы, экстракт каштана, троксерутин, карбомер, тэа, феноксиэтанол, этилгексилглицерин.</t>
  </si>
  <si>
    <t>наносить тонким слоем на проблемную область 2-3 раза в день. Для получения стабильного положительного результата рекомендуется курсовое применение.</t>
  </si>
  <si>
    <t>kremshelk_100ml</t>
  </si>
  <si>
    <t>Крем для пяток с мочевиной, Алтея, 100 мл</t>
  </si>
  <si>
    <t>Пятки</t>
  </si>
  <si>
    <t>AC101100439</t>
  </si>
  <si>
    <t>MPL379168</t>
  </si>
  <si>
    <t>Крем от трещин и сухости увлажняющий</t>
  </si>
  <si>
    <t>Крем с мочевиной 10% увлажняющий для рук и тела, от трещин на пятках и сухости, 100 мл, Алтея</t>
  </si>
  <si>
    <t>Крем с мочевиной увлажняющий, уход за кожей рук и ног, от сухости и трещин 10% мочевина, 100 мл</t>
  </si>
  <si>
    <t>крем с мочевиной увлажняющий, 10 мочевина, 100 мл</t>
  </si>
  <si>
    <t>Крем с мочевиной увлажняющий, 10% мочевина</t>
  </si>
  <si>
    <t>https://www.wildberries.ru/catalog/205074596/detail.aspx</t>
  </si>
  <si>
    <t>https://www.ozon.ru/product/1413566896</t>
  </si>
  <si>
    <t>https://market.yandex.ru/card/krem-dlya-nog-ot-treshchin-s-mochevinoy-uvlazhnyayushchiy-10-mochevina-100-ml/103515399743?businessId=1422090&amp;clid=1422090&amp;model_id=696344170&amp;distr_type=8&amp;pp=605</t>
  </si>
  <si>
    <t>https://goldapple.ru/catalogsearch/result?q=99000076225</t>
  </si>
  <si>
    <t>https://www.letu.ru/product/alteya-krem-s-mochevinoi-uvlazhnyayushchii-10-mochevina/180800008?sort=default&amp;open=ingredient%7EforWhom%7EskinNeeds%7EcleanBeauty&amp;hide=expectedEffect%7EnotContain%7EhairType%7EskinTypes</t>
  </si>
  <si>
    <t>4670020498437
4611113000977 (старый)</t>
  </si>
  <si>
    <t>ЕАЭС N RU Д-RU.PA01.B.17104/25 от 17.01.2025 по 17.01.2032</t>
  </si>
  <si>
    <t>Aqua, Urea, Cetyl Alcohol, Stearyl Alcohol, Mineral Oil, , Isopropyl palmitate, Glyceryl Monostearate, Glycerin, Ceteareth-20, Ceteareth-12, Cetearyl Alcohol, Cetyl Palmitate, Allantoin, Cocos nucifera (coconut) oil, Vitis Vinifera (Grape) Seed Oil, Phenoxyethanol, Methylparaben, Ethylparaben, Propylparaben, Propylene Glycol, Camellia Sinensis Leaf Extract, Parfum, Calendula Officinalis Flower Extract.</t>
  </si>
  <si>
    <t>Небольшое количество продукта нанести на предварительно очищенную кожу ног и распределить массажными движениями до полного впитывания.</t>
  </si>
  <si>
    <t>Только для наружного применения. при попадании в глаза тщательно промыть водой.</t>
  </si>
  <si>
    <t xml:space="preserve">Хранить при температуре не ниже 0˚С и не выше 25˚ Не допускается хранить продукцию под непосредственным воздействием солнечного света и вблизи отопительных приборов. </t>
  </si>
  <si>
    <t>https://docs.google.com/document/d/1Ke2Youh4VX0Zim_68v3DBBPvL3ht7hnm/edit?usp=drive_web&amp;ouid=104241417680089502627&amp;rtpof=true</t>
  </si>
  <si>
    <t>https://disk.yandex.ru/d/Vp_XkoyY-K5Snw</t>
  </si>
  <si>
    <t>ООО Алтэя</t>
  </si>
  <si>
    <t>alteya_beauty_brows_box</t>
  </si>
  <si>
    <t>Пробный набор / не пошел</t>
  </si>
  <si>
    <t>Набор Гель для бровей, Алтея, 6 мл, Сыворотка для роста ресниц и бровей, Алтея, 6 мл</t>
  </si>
  <si>
    <t>AC101100402</t>
  </si>
  <si>
    <t>Набор для бровей и ресниц косметический Beauty Brows Box</t>
  </si>
  <si>
    <t>Уход за бровями набор Гель для бровей + сыворотка для ресниц, набор для бровей и ресниц, Алтея</t>
  </si>
  <si>
    <t>Уход за бровями, набор для женщин, гель для бровей + сыворотка для ресниц, набор косметический Beauty Brows Box, Алтея</t>
  </si>
  <si>
    <t>https://www.wildberries.ru/catalog/305018458/detail.aspx</t>
  </si>
  <si>
    <t>https://www.ozon.ru/product/1805983376</t>
  </si>
  <si>
    <t>https://market.yandex.ru/card/nabor-dlya-brovey-i-resnits-kosmeticheskiy-beauty-brows-box-alteya/103710294907?businessId=1422090&amp;clid=1422090&amp;model_id=1352604652&amp;distr_type=8&amp;pp=605</t>
  </si>
  <si>
    <t>gel_dlya_brovei_6ml+syvorotka_dlya_rosta_6ml</t>
  </si>
  <si>
    <t>1. Нанесите сыворотку на чистую кожу вокруг бровей и на ресницы каждый вечер перед сном.
2. Утром используйте гель для фиксации бровей, чтобы придать им желаемую форму и стойкость.</t>
  </si>
  <si>
    <t>набор фбс</t>
  </si>
  <si>
    <t>wbpantogor_1_1</t>
  </si>
  <si>
    <t>Мазь для суставов Пантогор , CPA, 30 мл, набор из 2 шт</t>
  </si>
  <si>
    <t>CC101100427</t>
  </si>
  <si>
    <t>Мазь для суставов, крем от боли в суставах обезболивающая, панты марала бальзам Алтея, Пантогор, 2 штуки</t>
  </si>
  <si>
    <t>https://www.wildberries.ru/catalog/172163562/detail.aspx</t>
  </si>
  <si>
    <t>https://www.ozon.ru/product/1154572880</t>
  </si>
  <si>
    <t>https://market.yandex.ru/card/maz-dlya-sustavov-krem-ot-boli-v-sustavakh-obezbolivayushchaya-panty-marala-balzam-alteya-pantogor-2-shtuki/103515438901?businessId=1422090&amp;clid=1422090&amp;model_id=997149439&amp;distr_type=8&amp;pp=605</t>
  </si>
  <si>
    <t>osteofast</t>
  </si>
  <si>
    <t>Мазь для суставов Остеофаст, CPA, 30 мл, набор из 3 шт</t>
  </si>
  <si>
    <t>CC101100436</t>
  </si>
  <si>
    <t>Крем мазь для суставов от боли Osteofast Остеофаст</t>
  </si>
  <si>
    <t>Мазь для суставов обезболивающая, панты марала и глюкозамин, Алтея, Остеофаст, Osteofast, 30 мл</t>
  </si>
  <si>
    <t>https://www.wildberries.ru/catalog/260523262/detail.aspx</t>
  </si>
  <si>
    <t>https://www.ozon.ru/product/1691265016</t>
  </si>
  <si>
    <t>https://market.yandex.ru/card/maz-dlya-sustavov-obezbolivayushchaya-panty-marala-i-glyukozamin-alteya-osteofast-osteofast-30-ml/103515406839?businessId=1422090&amp;clid=1422090&amp;model_id=1103091052&amp;distr_type=8&amp;pp=605</t>
  </si>
  <si>
    <t>ЕАЭС N RU Д-RU.PA06.B.47114/24 от 26.07.2024 по 25.07.2029</t>
  </si>
  <si>
    <t xml:space="preserve">вода, глицерин, пропиленгликоль, эмульгейд, эуксил PE 9010,  цетеариловый спирт, подсолнечное масло, хондроитин, глюкозамин, коллаген, панты марала, мумиё, экстракт чёрного тмина, адамова корня, сабельника, золотого уса, смолы босвеллии пильчатой, первоцвета, дьявольского когтя, каменное масло, пчелиное маточное молочко, прополис. </t>
  </si>
  <si>
    <t>нанести необходимое количество крема на чистую и сухую кожу массирующими движениями до полного впитывания.</t>
  </si>
  <si>
    <t>хранить при температуре от + 5°С до + 25°С, в недоступном для детей месте.</t>
  </si>
  <si>
    <t>https://docs.google.com/document/d/1I3eDzax7yHuoDI6h4JtEVPmvWw159TxL/edit</t>
  </si>
  <si>
    <t>ООО "НутраФарм" 129626, Россия, г. Москва, ул. 1-я Мытищинская, д 3 стр., 1, эт/каб 3/306, к. 5А.</t>
  </si>
  <si>
    <t>pirantoks_BAD_60caps</t>
  </si>
  <si>
    <t>БАД Пирантокс, Алтея, 60 капсул</t>
  </si>
  <si>
    <t>От паразитов</t>
  </si>
  <si>
    <t>AB101100412</t>
  </si>
  <si>
    <t>Пирантокс антипаразитарный комплекс витамины очищение</t>
  </si>
  <si>
    <t>Антипаразитарный комплекс от глистов, очищение организма от паразитов, черный орех детокс, Алтея, Пирантокс, 60 капсул</t>
  </si>
  <si>
    <t>Антипаразитарный комплекс от глистов, очищение организма от паразитов, черный орех детокс Пирантокс,60 капсул</t>
  </si>
  <si>
    <t>https://www.wildberries.ru/catalog/174458749/detail.aspx</t>
  </si>
  <si>
    <t>https://www.ozon.ru/product/1171820923</t>
  </si>
  <si>
    <t>https://market.yandex.ru/card/antiparazitarnyy-kompleks-ot-glistov-chernyy-orekh-ot-parazitov-pizhma-ochishcheniye-organizma-detoks--pirantoks-60-kapsul/103340891677?businessId=1422090&amp;generalContext=t%3DshopInShop%3Bbi%3D1422090%3B&amp;showOriginalKmEmptyOffer=1&amp;ogV=-10</t>
  </si>
  <si>
    <t>RU.77.99.11.003.R.003300.09.22 от 20.09.2022</t>
  </si>
  <si>
    <t>экстракт луковиц чеснока, экстракт цветочных почек гвоздики, капсула (желатин), экстракт цветков пижмы, экстракт листьев черного ореха, пиридоксина гидрохлорид, магниевая соль стеариновой кислоты (агент антислеживающий).</t>
  </si>
  <si>
    <t>взрослым по 1 капсуле 2 раза в день во время еды. Продолжительность приема - 1 месяц. При необходимости прием можно повторить</t>
  </si>
  <si>
    <t>индивидуальная непереносимость компонентов БАД, беременность, кормление грудью, язвенная болезнь желудка и двенадцатиперстной кишки</t>
  </si>
  <si>
    <t>хранить в сухом,защищенном от прямых солнечных лучей и недоступном для детей месте при температуре не выше +25°C</t>
  </si>
  <si>
    <t>https://docs.google.com/document/d/1KtNY5L2T41X1nRsaaw1CISjy_ST7sffZ/edit?usp=drive_web&amp;ouid=104241417680089502627&amp;rtpof=true</t>
  </si>
  <si>
    <t>adenofringreen</t>
  </si>
  <si>
    <t>Пищевая добавка Аденофрин, CPA, 20 капсул</t>
  </si>
  <si>
    <t>CB101100403</t>
  </si>
  <si>
    <t>Средство от простатита Аденофрин для простаты и потенции</t>
  </si>
  <si>
    <t>Таблетки от простатита для мужчин для потенции Алтея, Аденофрин, 20 шт</t>
  </si>
  <si>
    <t>Таблетки от простатита для мужчин для потенции Алтея, для мужской силы для потении Аденофрин, 20 шт</t>
  </si>
  <si>
    <t>https://www.wildberries.ru/catalog/48591133/detail.aspx</t>
  </si>
  <si>
    <t>https://www.ozon.ru/product/396723649</t>
  </si>
  <si>
    <t>https://market.yandex.ru/card/sredstvo-ot-prostatita-adenofrin-dlya-prostaty-i-potentsii/103267667292?businessId=1422090&amp;clid=1422090&amp;model_id=1286021343&amp;distr_type=8&amp;pp=605</t>
  </si>
  <si>
    <t>ЕАЭС N RU Д-RU.PA01.B.01495/21 от 15.07.2021 до 13.07.2026</t>
  </si>
  <si>
    <t>экстракт готу колы (Centella asiatica), экстракт эпимедиума (Epimedium), экстракт маки перуанской (Lepidium meyenii), экстракт ярутки (Thlaspi arvense), витамин Е, лактоза, стеарат кальция, диоксид кремния.</t>
  </si>
  <si>
    <t xml:space="preserve">принимать по 1 капсуле 2 раза в  день. Рекомендуется курсовой прием. </t>
  </si>
  <si>
    <t xml:space="preserve"> хранить при температуре не ниже  0°C и не выше 25°C, избегая попадания прямых солнеч ных лучей. 
</t>
  </si>
  <si>
    <t>https://drive.google.com/drive/folders/1GTK-eGpxTnyxNE-WRq0i12ZC3hskXccd</t>
  </si>
  <si>
    <t>ООО «НОРДФАРМ», 214009, г.Смоленск, микрорайон Южный, дом 4</t>
  </si>
  <si>
    <t>erobrut</t>
  </si>
  <si>
    <t>Пищевая добавка Эробрут, CPA, 20 капсул</t>
  </si>
  <si>
    <t>CO101100454</t>
  </si>
  <si>
    <t>Эробрут возбуждающие для потенции эрекции</t>
  </si>
  <si>
    <t>Возбудитель для мужчин, таблетки для потенции, капсулы для секса, 18+, Эробрут,Алтея, 20 капсул</t>
  </si>
  <si>
    <t>Возбудитель для мужчин, таблетки для потенции, капсулы для секса, 18+, Эробрут, Алтея, 20 капсул</t>
  </si>
  <si>
    <t>https://www.wildberries.ru/catalog/312907312/detail.aspx</t>
  </si>
  <si>
    <t>https://www.ozon.ru/product/1829804935</t>
  </si>
  <si>
    <t>https://market.yandex.ru/card/erobrut-dlya-muzhskoy-potentsii-alteya-20-kapsul/103731200230?businessId=1422090&amp;clid=1422090&amp;model_id=1286021343&amp;distr_type=8&amp;pp=605</t>
  </si>
  <si>
    <t>ЕАЭС N RU Д-RU.РА09.В.50945/24 от 16.10.2024 по 15.10.2029</t>
  </si>
  <si>
    <t xml:space="preserve">мальтодекстрин, сафед мусли, панты морала, цинк, экстракты маки перуанской, йохимбе, сабаль пальметто, женьшеня, африканской сливы, кордицепс, гуарана, диоксид кремния, стеарат кальция.
</t>
  </si>
  <si>
    <t>принимать по одной капсуле один раз в день.</t>
  </si>
  <si>
    <t>https://docs.google.com/document/d/1_LW4amD3r2DRF67sNb09M6SXXUJcpmBf/edit</t>
  </si>
  <si>
    <t>urinofix</t>
  </si>
  <si>
    <t>Пищевая добавка Уринофикс, CPA, 20 капсул</t>
  </si>
  <si>
    <t>CO101100448</t>
  </si>
  <si>
    <t>Уринофикс добавка при недержании мочи и цистите</t>
  </si>
  <si>
    <t>От цистита для женщин, от недержания мочи, Уринофикс, Алтея 20 капсул</t>
  </si>
  <si>
    <t>Уринофикс комплекс от недержания мочи, средство от цистита Алтея,  20 капсул</t>
  </si>
  <si>
    <t>https://www.wildberries.ru/catalog/312910723/detail.aspx</t>
  </si>
  <si>
    <t>https://www.ozon.ru/product/1829803107</t>
  </si>
  <si>
    <t>https://market.yandex.ru/card/urinofiks-kompleks-ot-nederzhaniya-mochi-alteya-20-kapsul/103748752841?businessId=1422090&amp;clid=1422090&amp;model_id=859804210&amp;distr_type=8&amp;pp=605</t>
  </si>
  <si>
    <t>ЕАЭС N RU Д-RU.РА09.В.50933/24 от 16.10.2024 по 15.10.2029</t>
  </si>
  <si>
    <t>мальтодекстрин, d-манноза, экстракт толокнянки, экстракт клюквы, экстракт женьшеня, экстракт брусники, экстракт мяты, экстракт пустырника, экстракт девясила, экстракт эврикомы, экстракт плодов пальмы сереноа., стеарат кальция, диоксид кремния.</t>
  </si>
  <si>
    <t>по 1 капсуле 1 раз в день во время еды.</t>
  </si>
  <si>
    <t>https://docs.google.com/document/d/1Z6VBinNdZuijXdAx7YTOnsXPBFiwcW__/edit</t>
  </si>
  <si>
    <t xml:space="preserve">
Производитель: ООО "НутраФарм"
Адрес: 129626, Россия, г. Москва, ул. 1-я Мытищинская, д 3 стр., 1, эт/каб 3/306, к. 5А. 
Производитель: ООО "НутраФарм"
Адрес: 129626, Россия, г. Москва, ул. 1-я Мытищинская, д 3 стр., 1, эт/каб 3/306, к. 5А. 
</t>
  </si>
  <si>
    <t>syvorotka_dlya_rosta_6ml</t>
  </si>
  <si>
    <t>AC101100401</t>
  </si>
  <si>
    <t>MPL381176</t>
  </si>
  <si>
    <t>АЛТЕЯ-SYVRSTR</t>
  </si>
  <si>
    <t>Сыворотка для роста ресниц и бровей</t>
  </si>
  <si>
    <t>Сыворотка для бровей и ресниц, 6 мл</t>
  </si>
  <si>
    <t>Сыворотка для роста ресниц и бровей гель для роста Алтея 6 мл</t>
  </si>
  <si>
    <t>https://www.wildberries.ru/catalog/266376150/detail.aspx</t>
  </si>
  <si>
    <t>https://www.ozon.ru/product/1713211121</t>
  </si>
  <si>
    <t>https://market.yandex.ru/card/syvorotka-dlya-rosta-resnits-i-brovey-alteya-6-ml/103555035570?businessId=1422090&amp;clid=1422090&amp;model_id=1352604652&amp;distr_type=8&amp;pp=605</t>
  </si>
  <si>
    <t>https://www.letu.ru/product/alteya-syvorotka-dlya-rosta-resnits-i-brovei-gel-dlya-rosta/163501104</t>
  </si>
  <si>
    <t>https://mm.ru/product/syvorotka-dlya-rosta-5869585?skuId=13111541</t>
  </si>
  <si>
    <t>Уход за лицом &gt;&gt; Сыворотка для роста ресниц &gt;&gt; Средства для роста ресниц и бровей</t>
  </si>
  <si>
    <t xml:space="preserve">наносить на брови и ресницы с помощью щеточки. </t>
  </si>
  <si>
    <t>varifit_1_1</t>
  </si>
  <si>
    <t>Крем от варикоза Варифит, CPA, 30 мл, набор из 2 шт</t>
  </si>
  <si>
    <t>CC101100407</t>
  </si>
  <si>
    <t>Крем мазь от варикоза, конский каштан, Алтея, Варифит, 30 мл х 2</t>
  </si>
  <si>
    <t>https://www.wildberries.ru/catalog/525497365/detail.aspx</t>
  </si>
  <si>
    <t>https://www.ozon.ru/product/2825161431</t>
  </si>
  <si>
    <t>https://market.yandex.ru/card/krem-maz-ot-varikoza-konskiy-kashtan-alteya-varifit-30-ml-kh-2/4640676175?businessId=1422090&amp;clid=1422090&amp;model_id=1256606336&amp;distr_type=8&amp;pp=605</t>
  </si>
  <si>
    <t>termo_sprei_200ml</t>
  </si>
  <si>
    <t>Проблема с отдушкой, выводим со старой отдушкой</t>
  </si>
  <si>
    <t>Термозащитный спрей, Алтея, 200 мл</t>
  </si>
  <si>
    <t>AC101100411</t>
  </si>
  <si>
    <t>MPL381178</t>
  </si>
  <si>
    <t>АЛТЕЯ-TERMSPR</t>
  </si>
  <si>
    <t>Восстанавливающая термозащита для волос спрей с кератином</t>
  </si>
  <si>
    <t>Термозащита Спрей для волос 17 в 1 восстанавливающий с кератином, Алтея, 200 мл</t>
  </si>
  <si>
    <t>Спрей для волос 17 в 1 восстанавливающий с кератином, термозащита, Алтея, 200 мл</t>
  </si>
  <si>
    <t>Термозащита для волос профессиональная с кератином, cыворотка для волос</t>
  </si>
  <si>
    <t>Спрей для волос 17 в 1 восстанавливающий с кератином Алтея 200 мл</t>
  </si>
  <si>
    <t>https://www.wildberries.ru/catalog/268373587/detail.aspx</t>
  </si>
  <si>
    <t>https://www.ozon.ru/product/1720926371</t>
  </si>
  <si>
    <t>https://market.yandex.ru/card/syvorotka-dlya-volos-vosstanavlivayushchaya-s-keratinom-alteya-200-ml/103569196030?businessId=1422090&amp;clid=1422090&amp;model_id=1058774858&amp;distr_type=8&amp;pp=605</t>
  </si>
  <si>
    <t>https://www.letu.ru/product/alteya-termozashchita-dlya-volos-professionalnaya-s-keratinom-cyvorotka-dlya-volos/163501105?sort=default&amp;open=ingredient%7EforWhom%7EskinNeeds%7EcleanBeauty&amp;hide=expectedEffect%7EnotContain%7EhairType%7EskinTypes</t>
  </si>
  <si>
    <t>https://mm.ru/product/sprej-dlya-volos-5870813?skuId=13112520</t>
  </si>
  <si>
    <t>ЕАЭС N RU Д-RU.PA08.B.07168/24 от 13.09.2024 по 13.09.2031</t>
  </si>
  <si>
    <t>Aqua, Amodimethicone, Cetearyl Alcohol, Glycerin, Cetrimonium Chloride, Trideceth-12, Ceteareth 20, Polyquaternium-37, Behentrimonium Chloride, Lysine, Histidine, Arginine, Aspartic Acid, Threonine, Serine, Glutamic Acid, Proline, Glycine, Alanine, Valine, Methionine, Isoleucine, Leucine, Tyrosine, Phenylalanine, Cysteine, Sodium PCA, Glucose, Urea, Allantoin, Lactic Acid, Oenothera Biennis Oil, Retinyl Palmitate, Tocopheryl Acetate, Panthenol, Hydrolyzed Keratin, Hydrolysed Silk, Argania Spinosa Kernel Oil, PEG-7 Glyceryl Cocoate, Potassium Sorbate, Sodium Benzoate, Gluconolactone, Calcium Gluconate, PEG-40 Hydrogenated Castor Oil, Benzoic Acid, Dehydroacetic Acid, Parfum, Phenoxyethanol, Ethylhexylglycerin, Limonene, Hexyl Cinnamal, Coumarin, Isoeugenol, Linalool.</t>
  </si>
  <si>
    <t>Перед применением встряхните флакон. Нанесите средство на чистые и подсушенные волосы на расстоянии 10-20 см  в необходимом количестве, распределите по длине волос. Приступите к укладке волос</t>
  </si>
  <si>
    <t>Условия хранения: Хранить при температуре не ниже 5˚С и не выше 25˚ Не допускается хранить продукцию под непосредственным воздействием солнечного света и вблизи отопительных приборов.</t>
  </si>
  <si>
    <t>https://docs.google.com/document/d/1WT4-T3aqOZDA2X0J-IUC1fC3oPYIBka2/edit?usp=drive_web&amp;ouid=104241417680089502627&amp;rtpof=true</t>
  </si>
  <si>
    <t>ekdisteron_ultra_man_60caps</t>
  </si>
  <si>
    <t>Пищевая добавка Экдистерон, Алтея, 60 капсул</t>
  </si>
  <si>
    <t>AB101100410</t>
  </si>
  <si>
    <t>Бустер тестостерона. Экдистерон Ultra man. Витамины</t>
  </si>
  <si>
    <t>Тестостерон для мужчин, экдистерон для потенции и мышц спортивный, цинк, тестобустер, витамины для мужчин, бустер Алтея 60 капсул</t>
  </si>
  <si>
    <t>Тестостерон для мужчин, экдистерон,  для потенции и мышц спортивный, цинк, мужское здоровье, тестобустер, витамины для мужчин, бустер Алтея 60 капсул</t>
  </si>
  <si>
    <t>https://www.wildberries.ru/catalog/409911126/detail.aspx</t>
  </si>
  <si>
    <t>https://www.ozon.ru/product/2099218978</t>
  </si>
  <si>
    <t>https://market.yandex.ru/card/testosteron-dlya-muzhchin-ekdisteron-dlya-potentsii-i-myshts-sportivnyy-tsink-muzhskoye-zdorovye-testobuster-vitaminy-dlya-muzhchin-buster-alteya-60-kapsul/4476310745?businessId=1422090&amp;clid=1422090&amp;model_id=841569704&amp;distr_type=8&amp;pp=605</t>
  </si>
  <si>
    <t>ЕАЭС N RU Д-RU.PA04.B.00354/25 от 28.04.2025 по 27.04.2028</t>
  </si>
  <si>
    <t>экстракт корней левзеи сафлоровидной, экстракт спирулины, магния цитрат, цинка пиколинат, экстракт корня женьшеня, L-глютамин, L-аргинин, мальтодекстрин (наполнитель), желатин (капсула).</t>
  </si>
  <si>
    <t>взрослым по 1 капсуле 1 раз в день в первой половине дня</t>
  </si>
  <si>
    <t>артериальная гипертензия, бессонница, индивидуальная непереносимость компонентов, беременность, кормление грудью.</t>
  </si>
  <si>
    <t>https://docs.google.com/document/d/1c1XLZ9q_YS7o0GQ3og-vSkYD3FTTqw9v/edit?usp=drive_web&amp;ouid=104241417680089502627&amp;rtpof=true</t>
  </si>
  <si>
    <t>psoral_50ml</t>
  </si>
  <si>
    <t>Мазь от псориаза Псорал, CPA, 50 мл</t>
  </si>
  <si>
    <t>CC101100420</t>
  </si>
  <si>
    <t>Увлажняющий крем от псориаза для тела Псорал 50 мл</t>
  </si>
  <si>
    <t>Мазь от псориаза и дерматита, крем от зуда, Алтея, Псорал, 50 мл</t>
  </si>
  <si>
    <t>Мазь от псориаза и дерматита, крем от зуда, крем при псориазе Алтея, Псорал, 50 мл</t>
  </si>
  <si>
    <t>Алтея Крем для тела 50 мл</t>
  </si>
  <si>
    <t>https://www.wildberries.ru/catalog/186794178/detail.aspx</t>
  </si>
  <si>
    <t>https://www.ozon.ru/product/1271351989</t>
  </si>
  <si>
    <t>https://market.yandex.ru/card/krem-ot-psoriaza-i-dermatita-uvlazhnyayushchiy-psoral-50ml/103331699962?businessId=1422090&amp;clid=1422090&amp;model_id=625386382&amp;distr_type=8&amp;pp=605</t>
  </si>
  <si>
    <t>https://goldapple.ru/catalogsearch/result?q=99000125141</t>
  </si>
  <si>
    <t>4670142965169
2042057189688
4660417421087</t>
  </si>
  <si>
    <t>RU Д-RU.PA09.B.36558/22 от 26.12.2022</t>
  </si>
  <si>
    <t>Наносить крем на пораженные участки кожи 2-3 раза в день ежедневно до очистки кожи. При возникновении рецидивов повторить обработку пораженных участков кожи.</t>
  </si>
  <si>
    <t>индивидуальная непереносимость ингредиентов крема.</t>
  </si>
  <si>
    <t xml:space="preserve">Хранить при температуре от +0ºС до +25ºС. </t>
  </si>
  <si>
    <t>https://docs.google.com/document/d/1eFaAq8k4mr0eqlSu71zLkOC8yQPasOCc/edit?usp=drive_web&amp;ouid=104241417680089502627&amp;rtpof=true</t>
  </si>
  <si>
    <t>ООО "Восток-Плюс"</t>
  </si>
  <si>
    <t>wbvaritox</t>
  </si>
  <si>
    <t>Крем от варикоза Varitox, CPA, 30 мл</t>
  </si>
  <si>
    <t>CC101100400</t>
  </si>
  <si>
    <t>Крем от варикоза усталости и отеков охлаждающий Varitox</t>
  </si>
  <si>
    <t>Крем от варикоза усталости и отеков ног охлаждающий Varitox, 30 мл</t>
  </si>
  <si>
    <t>Крем от варикоза усталости и отеков ног охлаждающий, гель тонизирующий, укрепление вен и сосудов, Varitox, 30 мл</t>
  </si>
  <si>
    <t>https://www.wildberries.ru/catalog/17904962/detail.aspx</t>
  </si>
  <si>
    <t>https://www.ozon.ru/product/289030651</t>
  </si>
  <si>
    <t>https://market.yandex.ru/card/krem-ot-varikoza-ustalosti-i-otekov-nog-okhlazhdayushchiy-varitox-30-ml/103515423625?businessId=1422090&amp;clid=1422090&amp;model_id=1256606336&amp;distr_type=8&amp;pp=605</t>
  </si>
  <si>
    <t xml:space="preserve"> ЕАЭС N RU Д-RU.РА09.В.60972/24 от 18.10.2024 действует до 17.10.2029</t>
  </si>
  <si>
    <t>экстракт хмеля, экстракт крапивы, экстракт лабазника, экстракт манжетки, экстракт мать-и-мачехи, экстракт миндаля, экстракт адамова корня, экстракт полыни, экстракт чернобыльника, экстракт листа березы, экстракт ореха черного, экстракт ромашки, экстракт календулы, экстракт фиалки трехцветной, экстракт хвоща, экстракт тысячелистника, экстракт коры дуба, экстракт чеснока, экстракт имбиря, экстракт инжира, экстракт облепихи, экстракт клюквы, экстракт мускатного ореха, экстракт коры ивы, экстракт каштана конского, экстракт калины, прополис, экстракт лимона, экстракт маклюры, экстракт астрагала, экстракт исландского мха, экстракт корня багульника, экстракт паслена, экстракт грецкого ореха, экстракт ревеня, экстракт бессмертника, экстракт лопуха, экстракт мокрицы, вода, консервант, карбомер</t>
  </si>
  <si>
    <t>наносить 3-4 раза в день на пораженные места.</t>
  </si>
  <si>
    <t xml:space="preserve">хранить при температуре до 25 °C, избегая попадания прямых солнечных лучей. 
</t>
  </si>
  <si>
    <t>smokinglock</t>
  </si>
  <si>
    <t>Пищевая добавка Smoking Lock, CPA, 10 мл</t>
  </si>
  <si>
    <t>CO101100402</t>
  </si>
  <si>
    <t>Средство от курения и никотиновой зависимости Smoking Lock</t>
  </si>
  <si>
    <t>От курения средство, от никотиновой зависимости, Алтея, Smoking Lock, 10 мл</t>
  </si>
  <si>
    <t>https://www.wildberries.ru/catalog/95461301/detail.aspx</t>
  </si>
  <si>
    <t>https://www.ozon.ru/product/669955177</t>
  </si>
  <si>
    <t>https://market.yandex.ru/card/sredstvo-ot-kureniya-i-nikotinovoy-zavisimosti-smoking-lock-legkiy-sposob-brosit-kurit-10-ml/103340891622?businessId=1422090&amp;clid=1422090&amp;model_id=427447301&amp;distr_type=8&amp;pp=605</t>
  </si>
  <si>
    <t>ЕАЭС N RU Д-RU.РА08.В.86809/23 от 19.10.2023 до 18.10.2028</t>
  </si>
  <si>
    <t xml:space="preserve">Состав: экстракт аира, экстракт левзеи, экстракт овса, экстракт мяты, экстракт тмина, экстракт фенхеля, экстракт валерианы, экстракт ромашки, экстракт полыни, экстракт тысячелистника, экстракт тыквенных семян, экстракт эвкалипта, экстракт черемухи, экстракт ананаса, экстракт акации, экстракт исландского мха, экстракт горца змеиного, экстракт подорожника, экстракт цветков малины, экстракт багульника, экстракт зверобоя, экстракт прополиса, экстракт душицы, экстракт листа смородины, экстракт плаунца баранца, экстракт родиолы розовой, экстракт лопуха, экстракт цикория, экстракт тимьяна, экстракт имбиря, экстракт хмеля, экстракт вереска, экстракт лимона, экстракт золотого уса, экстракт руты душистой, экстракт кипрея, экстракт каштана.
</t>
  </si>
  <si>
    <t xml:space="preserve">Способ применения: Принимать по 10 капель 5-6 раз в день за 30 минут до еды. 
</t>
  </si>
  <si>
    <t xml:space="preserve">индивидуальная непереносимость одного или нескольких компонентов продукта.
</t>
  </si>
  <si>
    <t>https://docs.google.com/document/d/0B7-1wy6SJH2oeXFtSy1FbU5ZOEk/edit?rtpof=true&amp;resourcekey=0-CZt5ye23dk1CVg4ZIBuu0Q</t>
  </si>
  <si>
    <t>wbmicelix_1_1</t>
  </si>
  <si>
    <t>Пищевая добавка Мицеликс , CPA, 10 стиков, набор из 2 шт</t>
  </si>
  <si>
    <t>CO101100436</t>
  </si>
  <si>
    <t>Комплекс Детокс для очищения печени и кишечника, для похудения, детокc для печени, Алтея, Мицеликс, 10 шт х 2</t>
  </si>
  <si>
    <t>https://www.wildberries.ru/catalog/525496072/detail.aspx</t>
  </si>
  <si>
    <t>https://www.ozon.ru/product/2825129893</t>
  </si>
  <si>
    <t>https://market.yandex.ru/card/kompleks-detoks-dlya-ochishcheniya-pecheni-i-kishechnika-dlya-pokhudeniya-detokc-dlya-pecheni-alteya-mitseliks-10-sht-kh-2/4640678632?businessId=1422090&amp;clid=1422090&amp;model_id=625422045&amp;distr_type=8&amp;pp=605</t>
  </si>
  <si>
    <t>https://docs.google.com/document/d/1eBi8_UD83zerzVOpX5oin0JXKbhIoT-ulLFZbfDnBBM/edit</t>
  </si>
  <si>
    <t>pantogor_100ml</t>
  </si>
  <si>
    <t>Мазь для суставов Пантогор , CPA, 100 мл</t>
  </si>
  <si>
    <t>CC101100430</t>
  </si>
  <si>
    <t>Крем мазь для суставов и связок Пантогор обезболивающий, 100 мл</t>
  </si>
  <si>
    <t>Крем от боли в суставах, Мазь для суставов и связок Пантогор, Гель обезболивающий, Средство для суставов 100 мл</t>
  </si>
  <si>
    <t>https://www.wildberries.ru/catalog/192909505/detail.aspx</t>
  </si>
  <si>
    <t>https://www.ozon.ru/product/1324991816</t>
  </si>
  <si>
    <t>https://market.yandex.ru/card/pantagor-krem-maz-dnarprim/103614742296?businessId=1422090&amp;clid=1422090&amp;model_id=997149439&amp;distr_type=8&amp;pp=605</t>
  </si>
  <si>
    <t>4608956608125
4660417421247</t>
  </si>
  <si>
    <t>EAЭC N RU Д-RU.РД04.B.03319/19 от 11.10.2019</t>
  </si>
  <si>
    <t>панты марала, экстракт лютика желтого, 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t>
  </si>
  <si>
    <t xml:space="preserve">гель нанести тонким слоем на пораженные суставы и круговыми движениями втирать в кожу. Применять 2-3 раза в день до исчезновения воспалительных явлений, в среднем от 30 до 45 дней. </t>
  </si>
  <si>
    <t>не рекомендуется использовать во время беременности и детям. Гипоаллергенно. Возможна индивидуальная непереносимость одного или нескольких компонентов продукта. Продукт натурального происхождения, допускается опалесценция и выпадение незначительного осадка, не содержит консервантов и синтетических веществ.</t>
  </si>
  <si>
    <t>хранить при температуре до 25 °C, избегая попадания прямых солнечных лучей.</t>
  </si>
  <si>
    <t>https://docs.google.com/document/d/19AibZNT71SlwiTp2VdYk-38zxEtoVKBY/edit?usp=drive_web&amp;ouid=104241417680089502627&amp;rtpof=true</t>
  </si>
  <si>
    <t>arterol_1_1</t>
  </si>
  <si>
    <t>Пищевая добавка Артерол, CPA, 10 мл, набор из 2 шт</t>
  </si>
  <si>
    <t>CO101100433</t>
  </si>
  <si>
    <t>Средство от давления, витамины для сердца, чистка сосудов, Алтея, Артерол, 10мл х 2</t>
  </si>
  <si>
    <t>https://www.wildberries.ru/catalog/525491703/detail.aspx</t>
  </si>
  <si>
    <t>https://www.ozon.ru/product/2825063594</t>
  </si>
  <si>
    <t>https://market.yandex.ru/card/sredstvo-ot-davleniya-vitaminy-dlya-serdtsa-chistka-sosudov-alteya-arterol-10ml-kh-2/4640677629?businessId=1422090&amp;clid=1422090&amp;model_id=696476475&amp;distr_type=8&amp;pp=605</t>
  </si>
  <si>
    <t>nabor_remuver_40ml</t>
  </si>
  <si>
    <t>Ремувер для удаления кутикулы, Алтея, 40 мл</t>
  </si>
  <si>
    <t>AC101100447</t>
  </si>
  <si>
    <t>MPL381166</t>
  </si>
  <si>
    <t>АЛТЕЯ-REMUV40</t>
  </si>
  <si>
    <t>Ремувер для удаления кутикулы 40 мл</t>
  </si>
  <si>
    <t>Ремувер для удаления кутикулы,  средство для ногтей Алтея, 40 мл</t>
  </si>
  <si>
    <t>ремувер для удаления кутикулы, алтея, 40 мл</t>
  </si>
  <si>
    <t>Гель для удаления кутикулы, ремувер для кутикулы</t>
  </si>
  <si>
    <t>Ремувер для удаления кутикулы Алтея 40 мл</t>
  </si>
  <si>
    <t>https://www.wildberries.ru/catalog/197560593/detail.aspx</t>
  </si>
  <si>
    <t>https://www.ozon.ru/product/1350956924</t>
  </si>
  <si>
    <t>https://market.yandex.ru/card/remuver-dlya-udaleniya-kutikuly-alteya-40-ml/102622257537?businessId=1422090&amp;clid=1422090&amp;model_id=969577526&amp;distr_type=8&amp;pp=605</t>
  </si>
  <si>
    <t>https://goldapple.ru/catalogsearch/result?q=99000076202</t>
  </si>
  <si>
    <t>https://www.letu.ru/product/alteya-remuver-dlya-udaleniya-kutikuly/163501210</t>
  </si>
  <si>
    <t>https://mm.ru/product/remuver-dlya-udaleniya-kutikuly-alteya-40-5843397?skuId=13065224</t>
  </si>
  <si>
    <t>Уход за кутикулой</t>
  </si>
  <si>
    <t>ЕАЭС N RU Д-RU.РА05.В.72880/22 от 18.08.2022 до 17.08.2027</t>
  </si>
  <si>
    <t>Нанести гель на кутикулу.
Оставить на 30-60 секунд, но не более 2 минут.
Удалить размягченную кутикулу с помощью апельсиновой палочки или пушера.
Тщательно смыть средство теплой водой.</t>
  </si>
  <si>
    <t>https://docs.google.com/document/d/1zxCycQOe4cjhUSjwWga4DaBIQl-pTJIGy_nDNr19FXg/edit</t>
  </si>
  <si>
    <t>chudofrukt_1_1</t>
  </si>
  <si>
    <t>Пищевая добавка Чудо Фрукт, CPA, 10 шипучих таблеток, набор из 2 шт</t>
  </si>
  <si>
    <t>CO101100410</t>
  </si>
  <si>
    <t>Чудо фрукт для похудения таблетки шипучие</t>
  </si>
  <si>
    <t>Шипучие таблетки для похудения, детокс, жиросжигатель, Алтея, Чудо фрукт, 10 шт х 2</t>
  </si>
  <si>
    <t>https://www.wildberries.ru/catalog/172160798/detail.aspx</t>
  </si>
  <si>
    <t>https://www.ozon.ru/product/1154571921</t>
  </si>
  <si>
    <t>ЕАЭС N RU Д-RU.PA04.B.47304/22 от 27.06.2022 до 26.06.2027</t>
  </si>
  <si>
    <t>декстроза, сорбитол, лимонная кислота, гидрокарбонат натрия, экстракт асаи, экстракт ананаса, экстракт лайма, экстракт мангустина, экстракт папайи, экстракт маракуйи, экстракт грейпфрута, ароматизатор «Папайя», сукралоза.</t>
  </si>
  <si>
    <t xml:space="preserve">Способ применения:  По 1 таблетке в день во время еды, предварительно растворив таблетку в 1 стакане воды (200 мл). Рекомендуется ограничить употребление пищи в течение 3-4 часов после приема средства. Для достижения результата необходим курсовой прием.
</t>
  </si>
  <si>
    <t xml:space="preserve"> индивидуальная непереносимость компонентов, беременность, кормление грудью, возраст младше 18 лет. Перед применением необходимо проконсультироваться с врачом. Не является лекарственным средством.
</t>
  </si>
  <si>
    <t xml:space="preserve"> хранить в оригинальной закрытой упаковке в защищенном от прямых солнечных лучей и недоступном для детей месте при температуре не выше +25ºС.
</t>
  </si>
  <si>
    <t>Т-34_BAD_60caps</t>
  </si>
  <si>
    <t>Перегретая ниша внутри МП</t>
  </si>
  <si>
    <t>БАД Т-34, Алтея, 60 капсул</t>
  </si>
  <si>
    <t>AB101100409</t>
  </si>
  <si>
    <t>БАДы Т-34 возбуждающие для потенции эрекции</t>
  </si>
  <si>
    <t>Возбудитель для мужчин, БАД Т-34 возбуждающие для потенции, эрекции, 60 капсул</t>
  </si>
  <si>
    <t>https://www.wildberries.ru/catalog/175788642/detail.aspx</t>
  </si>
  <si>
    <t>https://www.ozon.ru/product/1171921502</t>
  </si>
  <si>
    <t>https://market.yandex.ru/card/vozbuditel-dlya-muzhchin-silnyy-dlya-potentsii-i-erektsii-18/103333756199?do-waremd5=de03anHfV4eglHe3HjlWSQ&amp;businessId=1422090&amp;generalContext=t%3DshopInShop%3Bbi%3D1422090%3B&amp;ogV=-10</t>
  </si>
  <si>
    <t>RU.77.99.11.003.R.000009.01.23 от 09.01.2023</t>
  </si>
  <si>
    <t>экстракт корня Эврикомы длиннолистной, Экстракт листьев Эпимедиума, Экстракт корневища дикого ямса, Экстракт коры катуаба,  L-аргинин, Микрокристаллическая целлюлоза (Е460, носитель); состав оболочки капсулы: желатин</t>
  </si>
  <si>
    <t xml:space="preserve"> взрослым мужчинам по 1 капсуле в день во время еды. Курс приема – 1 месяц, можно повторить через 30 дней.</t>
  </si>
  <si>
    <t>индивидуальная непереносимость компонентов. Перед применением рекомендуется проконсультироваться с врачом.</t>
  </si>
  <si>
    <t>https://docs.google.com/document/d/1jxIhXnXRFmwGkQT12IYQ5dkGJ5THEEum/edit</t>
  </si>
  <si>
    <t>ООО "Витамер"</t>
  </si>
  <si>
    <t>Светлана, тел. 8(495) 625-51-15.
svetlana.rumyanceva@list.ru</t>
  </si>
  <si>
    <t>wbgetsize</t>
  </si>
  <si>
    <t>Игрушка для взрослых Getsize, CPA</t>
  </si>
  <si>
    <t>18+</t>
  </si>
  <si>
    <t>Игрушки для взрослых</t>
  </si>
  <si>
    <t>CO101100456</t>
  </si>
  <si>
    <t>Эрекционная насадка на член для увеличения и эрекции Getsize</t>
  </si>
  <si>
    <t>Насадка для увеличения члена, мастурбатор, секс игрушки, Getsize</t>
  </si>
  <si>
    <t>https://www.wildberries.ru/catalog/17907051/detail.aspx</t>
  </si>
  <si>
    <t>https://www.ozon.ru/product/286744793</t>
  </si>
  <si>
    <t>Возбуждающие средства</t>
  </si>
  <si>
    <t>аптека / интим-товары / стимуляторы / эрекционные кольца</t>
  </si>
  <si>
    <t>вода, глицерин, экстракт трибуллуса, экстракт аралии маньчжурской, экстракт панакса радикса, масло лещины, гидроксиэтилцеллюлоза, полигликоль 400, аллантоин, экстракт ромашки, консервант.</t>
  </si>
  <si>
    <t xml:space="preserve">1) Нанесите гель Getsize на половой член перед использованием тренажера.
2) Использовать тренажер Getsize согласно инструкции.
Применять 1-2 раза в день.
</t>
  </si>
  <si>
    <t xml:space="preserve">в сухом, защищенном от света месте при температуре от +5°С до +25°С.
</t>
  </si>
  <si>
    <t>бессрочно</t>
  </si>
  <si>
    <t>frutaksa_BAD_200gr</t>
  </si>
  <si>
    <t>Низкомаржинальный товар / слишком быстро падает рейтинг</t>
  </si>
  <si>
    <t>БАД Фрутакса, Алтея, 200 г</t>
  </si>
  <si>
    <t>Похудение</t>
  </si>
  <si>
    <t>AB101100414</t>
  </si>
  <si>
    <t>Жиросжигатель для похудения БАД</t>
  </si>
  <si>
    <t>Жиросжигатель, детокс, Алтея, Алтея, Фрутакса, 200 грамм</t>
  </si>
  <si>
    <t>Жиросжигатель, детокс, для похудения со вкусом ананаса Алтея, Фрутакса, 200 грамм, 30 порций</t>
  </si>
  <si>
    <t>https://www.wildberries.ru/catalog/223762749/detail.aspx</t>
  </si>
  <si>
    <t>https://www.ozon.ru/product/1542480921</t>
  </si>
  <si>
    <t>https://market.yandex.ru/card/zhiroszhigatel-dlya-pokhudeniya-sportivnyye-vitaminy-dlya-snizheniya-vesa-bad-frutaksa/103515403562?businessId=1422090&amp;clid=1422090&amp;model_id=967593294&amp;distr_type=8&amp;pp=605</t>
  </si>
  <si>
    <t>AM.01.06.01.003.R.000057.02.24 от 14.02.2024</t>
  </si>
  <si>
    <t>мальтодекстрин, декстроза, инулин, гуаровая камедь, лимонная кислота, ароматизатор ананас, экстракт ананаса, экстракт померанца, экстракт апельсина, экстракт мандарина, экстракт манго, экстракт яблока, экстракт листьев березы, витаминный премикс, стевиозид, экстракт спирулины, медно-натриевый хлорофиллин, хрома пиколинат.</t>
  </si>
  <si>
    <t>взрослым 1 раз в день до приема пищи, растворив содержимое 1 мерной ложки в 200 мл воды.</t>
  </si>
  <si>
    <t>хранить в оригинальной закрытой упаковке в защищенном от прямых солнечных лучей и недоступном для детей месте при температуре не выше +25ºС.</t>
  </si>
  <si>
    <t>порций (200 гр)</t>
  </si>
  <si>
    <t>https://docs.google.com/document/d/1qSKOdAE3uZCuZSUMoOEqXt691on9sb1W/edit</t>
  </si>
  <si>
    <t>ООО "ЗДРАВФАРМ", 129626, Россия, г. Москва, вн. тер г., Муниципальный округ Алексеевский, ул. 1-я Мытищинская, д3, стр. 1, эт. 6, каб 216, ком. 42</t>
  </si>
  <si>
    <t>nabor_remuver_40ml_1_1</t>
  </si>
  <si>
    <t>Оставляем только одинарный</t>
  </si>
  <si>
    <t>Ремувер для удаления кутикулы, Алтея, 40 мл, набор из 2 шт</t>
  </si>
  <si>
    <t>AC101100448</t>
  </si>
  <si>
    <t>Набор ремувер для удаления кутикулы 40 мл х 2</t>
  </si>
  <si>
    <t>Ремувер для удаления кутикулы, Алтея, 40 мл х 2</t>
  </si>
  <si>
    <t>https://www.wildberries.ru/catalog/399759797/detail.aspx</t>
  </si>
  <si>
    <t>https://www.ozon.ru/product/2067921716</t>
  </si>
  <si>
    <t xml:space="preserve">      Нанести гель на кутикулу.
•        Оставить на 30-60 секунд, но не более 2 минут.
•        Удалить размягченную кутикулу с помощью апельсиновой палочки или пушера.
•        Тщательно смыть средство теплой водой.</t>
  </si>
  <si>
    <t xml:space="preserve">3 года
  ЕСЛИ(ДЛСТР(ВПР(BM304;'спецификация'!D:P;13;ЛОЖЬ))=0;CC304;ВПР(BM304;'спецификация'!D:P;13;ЛОЖЬ));
  CC304
)
</t>
  </si>
  <si>
    <t>https://docs.google.com/document/d/1f64VlBJilOy3vMwZtW6ifrCU0Q7kK45I/edit?usp=drive_web&amp;ouid=104241417680089502627&amp;rtpof=true</t>
  </si>
  <si>
    <t>ООО СКЭМ</t>
  </si>
  <si>
    <t>glikiron_BAD_60caps</t>
  </si>
  <si>
    <t>БАД Гликерон, Алтея, 60 капсул</t>
  </si>
  <si>
    <t>AB101100401</t>
  </si>
  <si>
    <t>Гликирон БАД для профилактики диабета</t>
  </si>
  <si>
    <t>Гликирон БАД для профилактики диабета контроль аппетита</t>
  </si>
  <si>
    <t>Гликирон, витамины для профилактики сахарного диабета, контроль аппетита, комплекс при диабете, Алтея 60 шт.</t>
  </si>
  <si>
    <t>https://www.wildberries.ru/catalog/209229089/detail.aspx</t>
  </si>
  <si>
    <t>https://www.ozon.ru/product/1422277198</t>
  </si>
  <si>
    <t>https://market.yandex.ru/card/glikiron-bad-dlya-profilaktiki-diabeta-kontrol-appetita/103515427024?businessId=1422090&amp;clid=1422090&amp;model_id=1352508276&amp;distr_type=8&amp;pp=605</t>
  </si>
  <si>
    <t>AM.01.06.01.003.R.000305.12.23 от 26.12.2023</t>
  </si>
  <si>
    <t>корицы экстракт сухой коры, альфа-липоевая кислота, годжи экстракт сухой плодов, фасоли белой  экстракт сухой плодов, крапивы двудомной экстракт сухой листьев, экстракт сухой топинамбура клубней, агент антислёживающий: кальциевая соль стеариновой кислоты (Е470), агент антислёживающий: диоксид кремния аморфный (Е551), пиколинат хрома, желатин*, носитель: целлюлоза микрокристаллическая (Е460).</t>
  </si>
  <si>
    <t>взрослым по 2 капсулы 1 раз в день во время еды.</t>
  </si>
  <si>
    <t>https://docs.google.com/document/d/1ADGfMzevXRCtvQW1mjXTkDLw9N94ge2c/edit</t>
  </si>
  <si>
    <t>antigiperton</t>
  </si>
  <si>
    <t>Пищевая добавка Антигипертон, CPA, 10 капсул</t>
  </si>
  <si>
    <t>CO101100458</t>
  </si>
  <si>
    <t>Антигипертон витамины для сердца и сосудов от давления 10 шт</t>
  </si>
  <si>
    <t>https://www.wildberries.ru/catalog/616101955/detail.aspx</t>
  </si>
  <si>
    <t>ЕАЭС N RU A-RU.PA10.В.14469/25</t>
  </si>
  <si>
    <t>пантовый гематоген, экстракт гуавы, экстракт плодов брусники, экстракт листьев гинкго билобы, экстракт плодов фенхеля, экстракт корней цикория, экстракт травы медуницы, магний цитрат.</t>
  </si>
  <si>
    <t xml:space="preserve">по 1 капсуле 1 раз в день, запивая стаканом воды. Рекомендуется курсовой прием.
</t>
  </si>
  <si>
    <t xml:space="preserve">беременность, кормление грудью, возраст младше 18 лет. 
Возможна индивидуальная непереносимость компонентов.
</t>
  </si>
  <si>
    <t>https://docs.google.com/document/d/11SdOQnwC57sNfFDOKLJSMc5pCm6He7Nn/edit</t>
  </si>
  <si>
    <t>psoral11</t>
  </si>
  <si>
    <t>Мазь от псориаза и дерматита, крем от зуда, Алтея, Псорал, 30 мл</t>
  </si>
  <si>
    <t>syvorotka_dlya_lica_30ml_v2</t>
  </si>
  <si>
    <t>AC201100432</t>
  </si>
  <si>
    <t>https://www.ozon.ru/product/3159927877</t>
  </si>
  <si>
    <t xml:space="preserve"> ЕАЭС N RU Д-RU.PA06.B.08680/25 от 17.07.2025 по 16.07.2030</t>
  </si>
  <si>
    <t xml:space="preserve"> Aqua, Niacinamide, Butylene Glycol, Glycerin, Menyanther Trifoliate Extract, Saccharide Isomerate, Palmaria Palmata Extract, Dictyopteris Membranacea Extract, PEG-40 Hydrogenated Castor Oil, Sodium PCA, Glucose, Urea, Glutamic Acid, Lysine, Alanine, Lactic Acid, Potassium Sorbate, Sodium Benzoate, Gluconolactone, Calcium Gluconate, Parfum, Phenoxyethanol, Ethylhexylglycerin, Triethanolamine, Carbomer, Geraniol, Citronellol, Linalool, Limonene, Alpha-Isomethyl Ionone.</t>
  </si>
  <si>
    <t xml:space="preserve"> наносить утром и/или вечером на чистую кожу лица, шеи и декольте лёгкими массирующими движениями до полного впитывания. Может использоваться как самостоятельно, так и под дневной или ночной кремы.</t>
  </si>
  <si>
    <t xml:space="preserve"> хранить при температуре не ниже 5°С и не выше 25°С                     </t>
  </si>
  <si>
    <t xml:space="preserve">2 года
</t>
  </si>
  <si>
    <t>krem_spf50_50ml</t>
  </si>
  <si>
    <t>Солнцезащитный крем для лица spf 50, Алтея, 50 мл</t>
  </si>
  <si>
    <t>AC101100455</t>
  </si>
  <si>
    <t>База под макияж увлажняющая с SPF 50 для лица Крем солнцезащитный, крем-флюид, Алтея, 50 мл</t>
  </si>
  <si>
    <t>Солнцезащитный крем SPF 50 для лица, увлажняющий крем от загара с спф 50 мл</t>
  </si>
  <si>
    <t>https://www.wildberries.ru/catalog/668799528/detail.aspx</t>
  </si>
  <si>
    <t>https://www.ozon.ru/product/3164675898</t>
  </si>
  <si>
    <t>https://market.yandex.ru/card/krem-solntsezashchitnyy-spf-50-dlya-litsa-50-ml/4824579506?businessId=1422090&amp;clid=1422090&amp;model_id=1581709876&amp;distr_type=8&amp;pp=605</t>
  </si>
  <si>
    <t>ЕАЭС N RU Д-RU.PA02.B.47821/26 от 13.03.2026 по 12.03.2031</t>
  </si>
  <si>
    <t xml:space="preserve">Deionized Water, Methylene Bis-Benzotriazolyl Tetramethylbutylphenol, Diethylamino Hydroxybenzoyl Hexyl Benzoate, Ceto Stearyl Alcohol, Isoamyl laurate, Hyaluronic Acid, Sodium acrylates copolymer (and) Lecithin, Green Tea Leaf Extract, Glycerin, Glycerol monostearate, Glyceryl Stearate, Ceteareth-20, Ceteareth-12, Cetearyl Alcohol, Cetyl Palmitate
, Bis-Ethylhexyloxyphenol Methoxyphenyl Triazine, Phenoxyethanol, Ethylhexylglycerin, Divinyldimethicone, Ethylhexyl Triazone, Coenzyme Q10, Coenzyme Q10, Disodium edta, Ceramides Complex CR/Water, Pentylene Glycol, Phospholipids, Sphingolipids, Niacinamide, Tapioca Starch, Sodium Polyacrylate, Panthenol, Butyrospermum Parkii, Prunus Amygdalus Dulcis Oil, CI 17200, Parfum
</t>
  </si>
  <si>
    <t>нанесите массирующими движениями на чистую кожу лица. Подходит для ежедневного использования.</t>
  </si>
  <si>
    <t xml:space="preserve"> хранить в сухом недоступном для света месте при температуре от +5 до +25.</t>
  </si>
  <si>
    <t>https://docs.google.com/document/d/1AriInRWnlS9T-O0GNPdp_3inwfwupAI0/edit</t>
  </si>
  <si>
    <t>sanatsin</t>
  </si>
  <si>
    <t>CO101100405</t>
  </si>
  <si>
    <t>От паразитов, от глистов комплекс, Алтея, Санацин, 20 штук</t>
  </si>
  <si>
    <t>Антипаразитарный  комплекс от паразитов, глистов, противопаразитарное средство, Алтея, Санацин, 20 штук</t>
  </si>
  <si>
    <t>https://www.wildberries.ru/catalog/34285227/detail.aspx</t>
  </si>
  <si>
    <t>https://www.ozon.ru/product/296756085</t>
  </si>
  <si>
    <t>https://market.yandex.ru/card/sanatsin-kaps/103544429888?businessId=1422090&amp;clid=1422090&amp;model_id=1782068668&amp;distr_type=8&amp;pp=605</t>
  </si>
  <si>
    <t xml:space="preserve">RU.77.99.11.003.R.002344.07.22
</t>
  </si>
  <si>
    <t>https://docs.google.com/document/d/142vgp_UHRI5uecUA1EXnCHwJdUET3y0fZexy576OLvQ/edit</t>
  </si>
  <si>
    <t>stik_ot_mozoley</t>
  </si>
  <si>
    <t>Карандаш от мозолей, Алтея, 20 г</t>
  </si>
  <si>
    <t>AC101100438</t>
  </si>
  <si>
    <t>MPL381174</t>
  </si>
  <si>
    <t>Крем стик для ног и сухой кожи увлажняющий</t>
  </si>
  <si>
    <t>Карандаш от мозолей, стик от натирания, мозольный пластырь, Алтея, 20 г</t>
  </si>
  <si>
    <t>карандаш от мозолей, стик от натирания, мозольный пластырь, алтея, 20 г</t>
  </si>
  <si>
    <t>Крем-стик для ног от натирания, карандаш от мозолей, мозольный пластырь</t>
  </si>
  <si>
    <t>https://www.wildberries.ru/catalog/263003602/detail.aspx</t>
  </si>
  <si>
    <t>https://www.ozon.ru/product/1702319370</t>
  </si>
  <si>
    <t>https://market.yandex.ru/card/karandash-ot-mozoley-stik-ot-natiraniya-mozolnyy-plastyr-alteya-20-g/103534746275?businessId=1422090&amp;clid=1422090&amp;model_id=683407463&amp;distr_type=8&amp;pp=605</t>
  </si>
  <si>
    <t>https://www.letu.ru/product/alteya-karandash-ot-mozolei-stik-ot-natiraniya-mozolnyi-plastyr/163501203</t>
  </si>
  <si>
    <t>Ортопедические изделия &gt;&gt; Медицинские изделия &gt;&gt; Пластырь мозольный</t>
  </si>
  <si>
    <t>ЕАЭС N RU Д-RU.PA06.B.77628/24 от 16.09.2024 по 04.08.2029</t>
  </si>
  <si>
    <t>Petrolatum, Vitis Vinifera seed oil, Rice (Oriza sativa) bran wax, Palm Pulp Oil, Glyceryl monostearate, Stearic Acid, Colloidal Silver, Polysorbate 80, Lanolin anhydrous Deodorized, Cocos Nucifera (Coconut) Oil, Butyrospermum Parkii Butter, Vitamin E (Tocopherol), Panthenol, Butyl-hydroxytoluene (BHT)</t>
  </si>
  <si>
    <t>откройте защитную крышку, поверните колёсико снизу и нанесите увлажняющий крем-стик на проблемную зону в области ног.</t>
  </si>
  <si>
    <t>Меры предосторожности: возможна индивидуальная непереносимость ингредиентов состава, не допускать попадания на слизистые оболочки.</t>
  </si>
  <si>
    <t>хранить в сухом недоступном для света месте при температуре от +5 до +25 С</t>
  </si>
  <si>
    <t>г (15 мл флакон)</t>
  </si>
  <si>
    <t>https://docs.google.com/document/d/1miW0ikGBU3peC3wv3xjlFMw7Rc2tJP3i/edit</t>
  </si>
  <si>
    <t>ООО М9 Фарм</t>
  </si>
  <si>
    <t>Дмитрий 7 960 841 9108</t>
  </si>
  <si>
    <t>glikiron</t>
  </si>
  <si>
    <t>Пищевая добавка Гликирон, CPA, 50 мл</t>
  </si>
  <si>
    <t>CO101100412</t>
  </si>
  <si>
    <t>Средство и витамины для диабетиков , от диабета гликирон</t>
  </si>
  <si>
    <t>Витаминный комплекс пищевая добавка для диабетиков Гликирон. Для иммунитета, для энергии. Сахарный диабет / 50 мл</t>
  </si>
  <si>
    <t>Витаминный комплекс пищевая добавка для диабетиков Гликирон. для профилактики сахарного диабета,  снижение сахара 50 мл</t>
  </si>
  <si>
    <t>https://www.wildberries.ru/catalog/35495802/detail.aspx</t>
  </si>
  <si>
    <t>https://www.ozon.ru/product/296790094</t>
  </si>
  <si>
    <t>https://market.yandex.ru/card/vitaminnyy-kompleks-dlya-diabetikov-glikiron-dlya-immuniteta-dlya-energii-vitaminy-sakharnyy-diabet--50-ml/101740440649?businessId=1422090&amp;clid=1422090&amp;model_id=1352508276&amp;distr_type=8&amp;pp=605</t>
  </si>
  <si>
    <t>ЕАЭС N RU от 10.02.2021 до 10.02.2026</t>
  </si>
  <si>
    <t>экстракт черники (Vaccinium Spp), экстракт галеги (Galega officinalis L.), экстракт гарцинии (Garcinia Cambogia), экстракт створок фасоли (Phaseolus vulgaris L.), экстракт  красных виноградных листьев (Vitis vinifera L.), экстракт цветков липы (Basswood), экстракт ананаса (Ananas comosus), экстракт фиалки (Viola tricolor L.), экстракт корня одуванчика (Taraxacum officinale), экстракт грецкого ореха (Juglans), экстракт спирулины (Flocci).</t>
  </si>
  <si>
    <t>СПОСОБ ПРИМЕНЕНИЯ: взрослым по 1 чайной ложке (5 мл) в день. 
Курс приема – 1-1,5 мес. При необходимости повторить. (1 упаковка это 10 дней приема).</t>
  </si>
  <si>
    <t xml:space="preserve">хранить при температуре не ниже 0°C и не выше  25°C, избегая попадания прямых солнечных лучей.
</t>
  </si>
  <si>
    <t>https://docs.google.com/document/d/1YWiURDgTmVqJ6nCW6aVW7qaZNY6sPNUGrHWoyLLmJxk/edit</t>
  </si>
  <si>
    <t>vetonus_1_1</t>
  </si>
  <si>
    <t>Крем от варикоза Ветонус, CPA, 30 мл</t>
  </si>
  <si>
    <t>CC101100403</t>
  </si>
  <si>
    <t>Крем от варикоза усталости и отеков ног Ветонус</t>
  </si>
  <si>
    <t>Крем от варикоза усталости и отеков ног Ветонус натуральный, 30 мл</t>
  </si>
  <si>
    <t>Крем от варикоза усталости и отеков ног Ветонус натуральный, гель от тяжести в ногах, мазь для ног 30 мл</t>
  </si>
  <si>
    <t>https://www.wildberries.ru/catalog/176859687/detail.aspx</t>
  </si>
  <si>
    <t>https://www.ozon.ru/product/1188108975</t>
  </si>
  <si>
    <t>https://market.yandex.ru/card/krem-ot-varikoza-ustalosti-i-otekov-nog-vetonus-naturalnyy-30-ml/103515420172?do-waremd5=IvP84Ce4DEFaXdXSkAj7_Q&amp;businessId=1422090&amp;ogV=-10</t>
  </si>
  <si>
    <t>вода, гирудин, экстракт арники, экстракт трехцветной фиалки, донник лекарственный, экстракт липы, экстракт календулы, экстракт каштана, корень солодки, троксерутин, карбомер, тэа, консервант.</t>
  </si>
  <si>
    <t>glukofol</t>
  </si>
  <si>
    <t>Пищевая добавка Глюкофол, CPA, 10 мл</t>
  </si>
  <si>
    <t>CO101100414</t>
  </si>
  <si>
    <t>Глюкофол витамины для диабетиков от сахарного диабета</t>
  </si>
  <si>
    <t>Витамины для диабетиков от сахарного диабета, Алтея, Глюкофол, 10 мл</t>
  </si>
  <si>
    <t>Витамины для диабетиков, капли от сахарного диабета, Алтея, Глюкофол, 10 мл</t>
  </si>
  <si>
    <t>https://www.wildberries.ru/catalog/234152631/detail.aspx</t>
  </si>
  <si>
    <t>https://www.ozon.ru/product/1590064366</t>
  </si>
  <si>
    <t>https://market.yandex.ru/card/vitaminy-dlya-diabetikov-ot-sakharnogo-diabeta-alteya-glyukofol-10-ml/103515407115?businessId=1422090&amp;clid=1422090&amp;model_id=1352508276&amp;distr_type=8&amp;pp=605</t>
  </si>
  <si>
    <t>ЕАЭС N RU Д-RU.PA01.B.95627/24 от 14.02.2024 по 13.02.2029</t>
  </si>
  <si>
    <t xml:space="preserve">экстракты папайи, грейпфрута, стевии, пажитника, галеги, спирулины, девясила, софоры японской, топинамбура, кизила, вода, лимонная кислота, сорбат калия (Е202), бензоат натрия (Е211).
</t>
  </si>
  <si>
    <t xml:space="preserve">принимать по 10 капель два раза в день во время еды. Рекомендуется курсовой приём средства.
</t>
  </si>
  <si>
    <t xml:space="preserve">индивидуальная непереносимость компонентов, беременность, кормление грудью.
</t>
  </si>
  <si>
    <t>https://docs.google.com/document/d/16fd_JnCEH3lED00_-1FMrEFjhBav7hYw/edit?rtpof=true</t>
  </si>
  <si>
    <t>micolan</t>
  </si>
  <si>
    <t>Мазь от грибка ногтей Миколан, CPA, 15 мл</t>
  </si>
  <si>
    <t>CC101100410</t>
  </si>
  <si>
    <t>Мазь от грибка ногтей и стопы ног противогрибковая Миколан</t>
  </si>
  <si>
    <t>Мазь от грибка ногтей на ногах, противогрибковое средство с коллоидным серебром, Алтея, Миколан, 15 мл</t>
  </si>
  <si>
    <t>Крем гель от грибка ногтей на ногах, противогрибковое средство с коллоидным серебром, мазь Алтея, Миколан, 15 мл</t>
  </si>
  <si>
    <t>https://www.wildberries.ru/catalog/37671984/detail.aspx</t>
  </si>
  <si>
    <t>https://www.ozon.ru/product/307654206</t>
  </si>
  <si>
    <t>https://market.yandex.ru/card/maz-ot-gribka-nogtey-i-stopy-nog-protivogribkovaya-mikolan-ot-treshchin--15-ml/103331097324?businessId=1422090&amp;clid=1422090&amp;model_id=1443573112&amp;distr_type=8&amp;pp=605</t>
  </si>
  <si>
    <t>вода, пропиленгликоль, триклозан, коллоидное серебро, полифенолы граната, кордицепс, экстракт прополиса, вытяжка из плодов черного ореха, экстракт мяты перечной, экстракт календулы, экстракт чистотела, экстракт листа лопуха, экстракт индейского лука, экстракт листьев эхинацеи, консервант.</t>
  </si>
  <si>
    <t xml:space="preserve">Способ применения: наносить 2 раза в день на пораженные участки.
</t>
  </si>
  <si>
    <t>https://docs.google.com/document/d/1rhXfUbCVrO68AnmBPDZuMpyWPz41hv1sx65orFor4pI/edit</t>
  </si>
  <si>
    <t>vetonus</t>
  </si>
  <si>
    <t>CC101100402</t>
  </si>
  <si>
    <t>https://www.wildberries.ru/catalog/144854900/detail.aspx</t>
  </si>
  <si>
    <t>https://www.ozon.ru/product/847511103</t>
  </si>
  <si>
    <t>https://market.yandex.ru/card/krem-ot-varikoza-ustalosti-i-otekov-nog-vetonus-30-ml/101961328078?businessId=1422090&amp;clid=1422090&amp;model_id=1256606336&amp;distr_type=8&amp;pp=605</t>
  </si>
  <si>
    <t>https://drive.google.com/drive/folders/1QTaszo4g8yN64w1FPvJn0dZJ05wgOruc</t>
  </si>
  <si>
    <t>brutalax</t>
  </si>
  <si>
    <t>Пищевая добавка Бруталакс, CPA, 20 капсул</t>
  </si>
  <si>
    <t>CO101100451</t>
  </si>
  <si>
    <t>Возбудитель сильный для потенции и эрекции 18+ Бруталакс</t>
  </si>
  <si>
    <t>Возбудитель для мужчин, таблетки для потенции у мужчин, для секса, Бруталакс, 18+</t>
  </si>
  <si>
    <t>Возбудитель для мужчин, средство для потенции и эрекции у мужчин, для секса, витамины для мужчин, Бруталакс, 18+ 20 шт.</t>
  </si>
  <si>
    <t>https://www.wildberries.ru/catalog/41656854/detail.aspx</t>
  </si>
  <si>
    <t>https://www.ozon.ru/product/356313449</t>
  </si>
  <si>
    <t>https://market.yandex.ru/card/vozbuditel-dlya-muzhchin-silnyy-dlya-potentsii-i-erektsii-18/102200689078?businessId=1422090&amp;clid=1422090&amp;model_id=696711021&amp;distr_type=8&amp;pp=605</t>
  </si>
  <si>
    <t>Возбуждающие препараты</t>
  </si>
  <si>
    <t>ЕАЭС N RU Д-RU.PA01.B.93743/21 от 28.09.2021 до 21.09.2026</t>
  </si>
  <si>
    <t>экстракты: сабаль пальметто, йохимбе, африканской сливы (кора дерева), спаржи, можжевельника, тыквы, имбиря, сельдерея,  кипрея, лапчатки и розмарина; ацетат цинка, крахмал, тальк.</t>
  </si>
  <si>
    <t xml:space="preserve"> хранить при температуре до 25°C, избегая попадания прямых солнечных лучей.
</t>
  </si>
  <si>
    <t>https://docs.google.com/document/d/1GCvu-WMehT_cE-J6S0RnKmkGP4601I6OdJob7BBlPSA/edit</t>
  </si>
  <si>
    <t>ООО «НОРДФАРМ», 214009, г.Смоленск, микрорайон Южный, дом 4, офис 4</t>
  </si>
  <si>
    <t>relaksinol_BAD_60caps</t>
  </si>
  <si>
    <t>БАД Релаксинол 400 мг, Алтея, 60 капсул</t>
  </si>
  <si>
    <t>AB101100411</t>
  </si>
  <si>
    <t>Магний цитрат В6 с лавандой Релаксинол</t>
  </si>
  <si>
    <t>Магний В6 с лавандой, Алтея, Релаксинол, 60 капсул</t>
  </si>
  <si>
    <t>Магний цитрат с витамином В6 с лавандой,  антистресс комплекс Алтея, от стресса и усталости Релаксинол, 60 капсул</t>
  </si>
  <si>
    <t>https://www.wildberries.ru/catalog/244342184/detail.aspx</t>
  </si>
  <si>
    <t>https://www.ozon.ru/product/1629559728</t>
  </si>
  <si>
    <t>https://market.yandex.ru/card/magniy-v6-s-lavandoy-alteya-relaksinol-60-kapsul/103515407818?businessId=1422090&amp;clid=1422090&amp;model_id=1352508276&amp;distr_type=8&amp;pp=605</t>
  </si>
  <si>
    <t>AM.01.06.01.003.R.000239.06.24 от 06.06.2024</t>
  </si>
  <si>
    <t xml:space="preserve">магния цитрат, экстракт лаванды, носитель: целлюлоза микрокристаллическая (Е460), агент антислеживающий: магниевая соль стеариновой кислоты (Е470), агент антислеживающий: диоксид кремния аморфный (Е551), витамин В6 (пиридоксина гидрохлорид), желатин, краситель: оксид цинка
*- компонент оболочки
</t>
  </si>
  <si>
    <t>https://docs.google.com/document/d/1yOI53bYFXaQXua0VT8h9kH1v_X9Vnzyb/edit</t>
  </si>
  <si>
    <t>trezor</t>
  </si>
  <si>
    <t>Пищевая добавка Трезор, CPA, 10 стиков</t>
  </si>
  <si>
    <t>CO101100400</t>
  </si>
  <si>
    <t>Средство от алкоголизма и алкогольной зависимости Трезор</t>
  </si>
  <si>
    <t>От алкогольной зависимости, средство от алкоголизма, Алтея, Трезор, 10 стиков</t>
  </si>
  <si>
    <t>Средство т алкогольной зависимости,  детокс организма, стики от алкоголизма и запоя Алтея, Трезор, 10 стиков</t>
  </si>
  <si>
    <t>https://www.wildberries.ru/catalog/18836119/detail.aspx</t>
  </si>
  <si>
    <t>https://www.ozon.ru/product/290202723</t>
  </si>
  <si>
    <t>https://market.yandex.ru/card/sredstvo-ot-alkogolizma-i-alkogolnoy-zavisimosti-trezor-10-sashe/103340893703?businessId=1422090&amp;clid=1422090&amp;model_id=1337113322&amp;distr_type=8&amp;pp=605</t>
  </si>
  <si>
    <t>копринус, толокнянка экстракт, зверобой, тысячелистник, можжевельник, ползучий тимьян, золототысячник, левзеи сафлоровидной, любисток, тиноспора, китайская дереза, кемпферия корень.</t>
  </si>
  <si>
    <t xml:space="preserve">Способ применения: принимать по 1 стику в день во время еды. Содержимое пакетика можно развести с любым напитком или добавить в еду. </t>
  </si>
  <si>
    <t>https://docs.google.com/document/d/1Nuvu-uuTsk1H4RhbLYNR_BjwiOg1OJGlXQKJuizP7mw/edit</t>
  </si>
  <si>
    <t>pirantox</t>
  </si>
  <si>
    <t>Пищевая добавка Пирантокс, CPA, 10 капсул</t>
  </si>
  <si>
    <t>CO101100409</t>
  </si>
  <si>
    <t>Пирантокс антипаразитарный комплекс от паразитов и глистов</t>
  </si>
  <si>
    <t>Антипаразитарный комплекс от глистов, очищение организма от паразитов, детокс, Алтея, Пирантокс, 10 капсул</t>
  </si>
  <si>
    <t>https://www.wildberries.ru/catalog/119939935/detail.aspx</t>
  </si>
  <si>
    <t>https://www.ozon.ru/product/669985038</t>
  </si>
  <si>
    <t>https://market.yandex.ru/card/pirantoks-antiparazitarnyy-kompleks-ot-parazitov-i-glistov-10-kapsul-detoks/101806805904?businessId=1422090&amp;clid=1422090&amp;model_id=1215621363&amp;distr_type=8&amp;pp=605</t>
  </si>
  <si>
    <t xml:space="preserve">Экстракты пижмы, сенны, солодки, куркумы, листа грецкого ореха, семян кориандра, сосновых шишек,  гвоздики, горечавки, имбиря, вытяжка из тыквенных семян, экстракт черного перца, экстракт чеснока, артишока, фенхеля и зверобоя, аэросил, кальций стеариновокислый, лактоза.
</t>
  </si>
  <si>
    <t xml:space="preserve">СПОСОБ УПОТРЕБЛЕНИЯ: принимать по 1 капсуле в день, запивая стаканом воды.
</t>
  </si>
  <si>
    <t xml:space="preserve">не рекомендуется применять детям до 12 лет, беременным и кормящим женщинам.
</t>
  </si>
  <si>
    <t xml:space="preserve">хранить в сухом месте при температуре не выше 25°С.
</t>
  </si>
  <si>
    <t>https://drive.google.com/drive/folders/1XRY9UtFFAHzTtIg3FmvFdksfS3v21j1a</t>
  </si>
  <si>
    <t>wbbiotrin</t>
  </si>
  <si>
    <t>Мазь для суставов Биотрин, CPA, 30 мл</t>
  </si>
  <si>
    <t>CC101100423</t>
  </si>
  <si>
    <t>Мазь для суставов обезболивающая, панты морала,коллаген, хондротин, глюкозамин, Биотрин, 30 мл</t>
  </si>
  <si>
    <t>Мазь для суставов обезболивающая, крем панты морала, бальзам коллаген, хондротин, глюкозамин, гель Биотрин, 30 мл</t>
  </si>
  <si>
    <t>https://www.wildberries.ru/catalog/17905705/detail.aspx</t>
  </si>
  <si>
    <t>https://www.ozon.ru/product/289386465</t>
  </si>
  <si>
    <t>https://market.yandex.ru/card/krem-maz-dlya-sustavov-i-svyazok-biotrin-obezbolivayushchiy-30-ml/103340891723?businessId=1422090&amp;clid=1422090&amp;model_id=49499284&amp;distr_type=8&amp;pp=605</t>
  </si>
  <si>
    <t>есть запах, такой ментолово-травяной что ли</t>
  </si>
  <si>
    <t>gel_dlya_britya_300ml</t>
  </si>
  <si>
    <t>Гель для бритья, Алтея, 300 мл</t>
  </si>
  <si>
    <t>AC101100436</t>
  </si>
  <si>
    <t>АЛТЕЯ-GELDLBR</t>
  </si>
  <si>
    <t>Гель для бритья мужской охлаждающий с ментолом</t>
  </si>
  <si>
    <t>Гель для бритья мужской охлаждающий с ментолом Алтея 300 мл</t>
  </si>
  <si>
    <t>Гель для бритья мужской охлаждающий с ментолом Алтея, 300 мл</t>
  </si>
  <si>
    <t>Гель для бритья алтея 300 мл</t>
  </si>
  <si>
    <t>https://www.wildberries.ru/catalog/484548663/detail.aspx</t>
  </si>
  <si>
    <t>https://www.ozon.ru/product/2583100450</t>
  </si>
  <si>
    <t>https://market.yandex.ru/card/gel-dlya-britya-muzhskoy-okhlazhdayushchiy-s-mentolom-alteya-300-ml/4600676003?businessId=1422090&amp;clid=1422090&amp;model_id=1351525345&amp;distr_type=8&amp;pp=605</t>
  </si>
  <si>
    <t>https://mm.ru/product/gel-dlya-britya-5880768?skuId=13131162</t>
  </si>
  <si>
    <t>товары для красоты / косметика, парфюмерия и уход / мужчинам / средства для бритья / средства для бритья</t>
  </si>
  <si>
    <t>Средства до и после бритья</t>
  </si>
  <si>
    <t>ЕАЭС N RU Д-RU.PA04.B.83964/25 от 17.07.2025 по 01.06.2030</t>
  </si>
  <si>
    <t>Гель для бритья</t>
  </si>
  <si>
    <t>равномерно нанесите гель на сухую, предварительно очищенную кожу, и приступайте к бритью.</t>
  </si>
  <si>
    <t xml:space="preserve">хранить при температуре от +5 до +25оС, избегать попадания прямых солнечных лучей.
</t>
  </si>
  <si>
    <t>https://docs.google.com/document/d/1C-nkMsWIC8pzvf18QVp9LWKkWu_mwrHP/edit?usp=drive_web&amp;ouid=104241417680089502627&amp;rtpof=true</t>
  </si>
  <si>
    <t>limfaks_BAD_30caps</t>
  </si>
  <si>
    <t>БАД Лимфакс, Алтея, 30 капсул</t>
  </si>
  <si>
    <t>AB101100400</t>
  </si>
  <si>
    <t>Лимфакс для поддержания и очищения лимфатической системы</t>
  </si>
  <si>
    <t>Биологически активная добавка к пище: "Комплекс для здоровья лимфатической системы" Лимфакс</t>
  </si>
  <si>
    <t>Детокc, комплекс для очищения организма, для лимфы, от отеков, Алтея, Лимфакс, 30 капсул</t>
  </si>
  <si>
    <t>https://www.wildberries.ru/catalog/276258805/detail.aspx</t>
  </si>
  <si>
    <t>https://www.ozon.ru/product/1745055145</t>
  </si>
  <si>
    <t>https://market.yandex.ru/card/kompleks-dlya-podderzhaniya-i-ochishcheniya-limfaticheskoy-sistemy-alteya-30-kapsul/103599446650?businessId=1422090&amp;clid=1422090&amp;model_id=1215621363&amp;distr_type=8&amp;pp=605</t>
  </si>
  <si>
    <t>AM.01.06.01.003.R.000361.09.24 от 23.09.2024</t>
  </si>
  <si>
    <t>носитель: целлюлоза микрокристаллическая (Е460), экстракт череды, экстракт вишни, экстракт лопуха, экстракт крапивы, экстракт петрушки, экстракт зеленого чая, экстракт мяты, экстракт померанца, экстракт софоры японской, агент антислеживающий: магниевая соль стеариновой кислоты (Е470), агент антислеживающий: диоксид кремния аморфный (Е551), оболочка капсулы белого цвета (желатин, краситель: оксид цинка).</t>
  </si>
  <si>
    <t xml:space="preserve">взрослым по 1 капсуле 2 раза в день во время еды.
Продолжительность приема – 15 дней. При необходимости прием можно повторить. 
</t>
  </si>
  <si>
    <t xml:space="preserve">: хранить в сухом, защищенном от прямых солнечных лучей и недоступном для детей месте при температуре не выше +25 °С.  </t>
  </si>
  <si>
    <t>https://docs.google.com/document/d/1oD9n8QawKqk5lJVA06yTNjvgAgVvrLqJ/edit</t>
  </si>
  <si>
    <t>wboptitrin</t>
  </si>
  <si>
    <t>Пищевая добавка Оптитрин, CPA, 7 ампул</t>
  </si>
  <si>
    <t>CO101100417</t>
  </si>
  <si>
    <t>Витамины для глаз и зрения с лютеином и черникой Оптитрин</t>
  </si>
  <si>
    <t>Витамины для глаз, лютеин комплекс для зрения, Оптитрин, 7 ампул</t>
  </si>
  <si>
    <t>Витамины для глаз, лютеин комплекс для зрения, капли для глаз, Оптитрин, 7 капсул</t>
  </si>
  <si>
    <t>https://www.wildberries.ru/catalog/17898843/detail.aspx</t>
  </si>
  <si>
    <t>https://www.ozon.ru/product/291860206</t>
  </si>
  <si>
    <t>https://market.yandex.ru/card/vitaminy-dlya-glaz-lyutein-kompleks-dlya-zreniya-optitrin-7-kapsul/103515413326?do-waremd5=JAujGbh4d-GOLhXGWiMHzQ&amp;businessId=1422090&amp;ogV=-10</t>
  </si>
  <si>
    <t>ЕАЭС N RU Д-RU.ЗЭ01.B. 00530/19 от 18.11.2019 до 17.11.2024</t>
  </si>
  <si>
    <t xml:space="preserve">Состав синий ампулы: вода, регулятор кислотности лимонная кислота, растительные экстракты (плодов черники, плодов шиповника, листьев березы, андрографиса, фукуса), лютеин, витамин с, консервант калия сорбат, краситель.
Состав зеленой ампулы: вода, регулятор кислотности лимонная кислота, премикс витаминный (витамины: А, Д3, Е, С, В1, В2, В3, В5, В6, В9, В12, Н), консервант калия сорбат, краситель.
Состав оранжевой ампулы: вода, регулятор кислотности лимонная кислота, растительные экстракты (плодов черники, листьев крапивы, плодов черной смородины, гинкго билоба, колеус форсколии, дикого ямса), цинк, краситель. </t>
  </si>
  <si>
    <t>Способ употребления: содержимое 1 ампулы (2,5 мл) развести в ½ (100 мл) стакана воды. Взрослым принимать по 1 ампуле в день независимо от приема пищи. Первые 3 дня ампулы синего цвета, следующие 2 дня ампулы зеленого цвета, следующие 2 дня ампулы оранжевого цвета.</t>
  </si>
  <si>
    <t xml:space="preserve">при температуре не выше 25°С. Допускается выпадение осадка растительного происхождения.
</t>
  </si>
  <si>
    <t>t34poten10caps</t>
  </si>
  <si>
    <t>Пищевая добавка Т 34, CPA, 20 капсул</t>
  </si>
  <si>
    <t>CO101100452</t>
  </si>
  <si>
    <t>Возбудитель для мужчин, таблетки для потенции, капсулы для секса, 18+, Т-34</t>
  </si>
  <si>
    <t>Возбудитель для мужчин, таблетки для потенции и эрекции, капсулы для мужчин для секса, 18+, Т-34, 10 шт.</t>
  </si>
  <si>
    <t>https://www.wildberries.ru/catalog/150790885/detail.aspx</t>
  </si>
  <si>
    <t>https://www.ozon.ru/product/889458318</t>
  </si>
  <si>
    <t>https://market.yandex.ru/card/vozbuditel-dlya-muzhchin-silnyy-dlya-potentsii-i-erektsii-18/103340892602?businessId=1422090&amp;clid=1422090&amp;model_id=696711021&amp;distr_type=8&amp;pp=605</t>
  </si>
  <si>
    <t>ЕАЭС N RU Д-RU.РА08.В.93267/22</t>
  </si>
  <si>
    <t>экстракт корня женьшеня, экстракт корня эврикомы, экстракт йохимбе, экстракт перуанской маки, диоксид кремния.</t>
  </si>
  <si>
    <t>принимать по 1 капсуле в день до или после еды. Рекомендуется курсовой прием.</t>
  </si>
  <si>
    <t>индивидуальная непереносимость компонентов средства.</t>
  </si>
  <si>
    <t>https://drive.google.com/drive/folders/1-_g6dP9mUTOZY5TXHtfVQPbGN4-3xuZ1</t>
  </si>
  <si>
    <t>okucin</t>
  </si>
  <si>
    <t>Пищевая добавка Окуцин, CPA, 10 мл</t>
  </si>
  <si>
    <t>CO101100419</t>
  </si>
  <si>
    <t>Витамины для глаз и зрения лютеин с зеаксантином Окуцин</t>
  </si>
  <si>
    <t>Витамины для глаз и восстановления зрения, лютеин, Окуцин, Алтея, 10 мл</t>
  </si>
  <si>
    <t>Витамины для глаз и восстановления зрения, капли для глаз для улучшения зрения, лютеин, Окуцин, Алтея, 10 мл</t>
  </si>
  <si>
    <t>https://www.wildberries.ru/catalog/49570192/detail.aspx</t>
  </si>
  <si>
    <t>https://www.ozon.ru/product/399457649</t>
  </si>
  <si>
    <t>https://market.yandex.ru/card/vitaminy-dlya-glaz-i-zreniya-lyutein-s-zeaksantinom-i-chernikoy--7-sashe/103257870570?businessId=1422090&amp;clid=1422090&amp;model_id=1109007651&amp;distr_type=8&amp;pp=605</t>
  </si>
  <si>
    <t>Мальтодекстрин, регулятор кислотности лимонная кислота, экстракт плодов черники, лютеин, зеаксантин, экстракт корней женьшеня, экстракт шафрана, экстракт виноградных косточек, экстракт корневищ аира, премикс витаминный (витамины: А, Д3, Е, С, В1, В2, В3, В5, В6, В9, В12, биотин), ароматизатор «Лесные ягоды», подсластитель сукралоза.</t>
  </si>
  <si>
    <t xml:space="preserve">содержимое 1 саше развести в 200 мл воды. Взрослым принимать по 1 саше в день, независимо от приема пищи. </t>
  </si>
  <si>
    <t xml:space="preserve"> индивидуальная непереносимость одного или нескольких компонентов средства.
</t>
  </si>
  <si>
    <t>https://docs.google.com/document/d/1V9qC6KinvCAParcdMTC_bM7LSF6qsv08ln80SUNZ1gk/edit</t>
  </si>
  <si>
    <t>biotrin_60ml</t>
  </si>
  <si>
    <t>Мазь для суставов Биотрин, CPA, 60 мл</t>
  </si>
  <si>
    <t>CC101100445</t>
  </si>
  <si>
    <t>Крем мазь для суставов и связок Биотрин обезболивающий 60 мл</t>
  </si>
  <si>
    <t>Мазь для суставов обезболивающая, панты морала, хондротин, глюкозамин, Биотрин, 60 мл</t>
  </si>
  <si>
    <t>Мазь для суставов обезболивающая, крем панты морала, хондротин, гель глюкозамин, бальзам Биотрин, 60 мл</t>
  </si>
  <si>
    <t>https://www.wildberries.ru/catalog/186784742/detail.aspx</t>
  </si>
  <si>
    <t>https://www.ozon.ru/product/1271273685</t>
  </si>
  <si>
    <t>https://market.yandex.ru/card/biotrin-krem-gel-dnarprim/103544223742?businessId=1422090&amp;clid=1422090&amp;model_id=49499284&amp;distr_type=8&amp;pp=605</t>
  </si>
  <si>
    <t>панты марала, экстракт коры дуба, коллаген, экстракт конского каштана, хондроитин, глюкозамин, змеиный яд, акулий жир, экстракт лютика желтого, 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t>
  </si>
  <si>
    <t>Лечебное средство</t>
  </si>
  <si>
    <t>adenofrin</t>
  </si>
  <si>
    <t>CO101100457</t>
  </si>
  <si>
    <t>Возбудитель сильный для потенции мужчин Аденофрин</t>
  </si>
  <si>
    <t>Возбудитель для мужчин, для эрекции, для потенции, для секса. 18+ / Аденофрин</t>
  </si>
  <si>
    <t>https://www.wildberries.ru/catalog/34298650/detail.aspx</t>
  </si>
  <si>
    <t>https://www.ozon.ru/product/296818197</t>
  </si>
  <si>
    <t>экстракт готу колы, экстракт гокшура, экстракт эпимедиум, экстракт маки перуанской, экстракт ярутки, витамин Е, лактоза, стеарат кальция, диоксид кремния.</t>
  </si>
  <si>
    <t>Способ применения; по 1 капсуле 2 раза в день во время еды.</t>
  </si>
  <si>
    <t>хранить в сухом месте при
температуре не выше 25°С.</t>
  </si>
  <si>
    <t>https://drive.google.com/drive/folders/1hyJcX_K11KG6JDu6WDUSRPr-efqOSfzE</t>
  </si>
  <si>
    <t>dardrakona_75ml</t>
  </si>
  <si>
    <t>Крем от варикоза Дар дракона, CPA, 75 мл</t>
  </si>
  <si>
    <t>CC101100405</t>
  </si>
  <si>
    <t>Крем для ног от варикоза усталости охлаждающий Дар дракона</t>
  </si>
  <si>
    <t>Крем от варикоза усталости и отеков ног, Алтея, Дар Дракона, 75 мл</t>
  </si>
  <si>
    <t>Крем от варикоза, Гель от усталости и отеков ног,  Мазь от тяжести в ногах Алтея, Дар Дракона, 75 мл</t>
  </si>
  <si>
    <t>https://www.wildberries.ru/catalog/197567632/detail.aspx</t>
  </si>
  <si>
    <t>https://www.ozon.ru/product/1350973968</t>
  </si>
  <si>
    <t>https://market.yandex.ru/card/krem-ot-varikoza-ustalosti-i-otekov-nog-okhlazhdayushchiy-dar-drakona-75-ml/102622361536?do-waremd5=cThDMtAyPeECGciX4Kkl_w&amp;businessId=1422090&amp;ogV=-10</t>
  </si>
  <si>
    <t>ЕАЭС N RU Д-RU.PA06.B.42107/23 от 14.08.2023 до 13.08.2028</t>
  </si>
  <si>
    <t>sinergel_30ml_1_1</t>
  </si>
  <si>
    <t>Мазь для суставов Синергель , CPA, 30 мл, набор из 2 шт</t>
  </si>
  <si>
    <t>CC101100438</t>
  </si>
  <si>
    <t>Мазь для суставов обезболивающая с глюкозамин Алтея, Синергель, 30 мл х 2</t>
  </si>
  <si>
    <t>Мазь для суставов обезболивающая с глюкозамин и панты марала Алтея,  гель от боли, Синергель, 30 мл х 2</t>
  </si>
  <si>
    <t>https://www.wildberries.ru/catalog/318414683/detail.aspx</t>
  </si>
  <si>
    <t>https://www.ozon.ru/product/1851902167</t>
  </si>
  <si>
    <t>https://market.yandex.ru/card/gel-dlya-sustavov-obezbolevayushchaya-s-glyukozamin-i-panty-marala-alteya-sinergel-30-ml-kh-2/103816798171?do-waremd5=sDKZdCExsnYqHTKTvZWqyQ&amp;businessId=1422090&amp;ogV=-10</t>
  </si>
  <si>
    <t>ЕАЭС N RU Д-RU.РА01.В.22855/21 от 15.06.2021 по 08.06.2026</t>
  </si>
  <si>
    <t>яд пчелы, яд скорпиона, яд кобры, яд муравья, экстракт коры дуба, коллаген, экстракт конского каштана, прополис, экстракт улитки, экстракт коры ивы, экстракт багульника, экстракт хмеля, экстракт корня стальника, экстракт дьявольского когтя, хондроитин, глюкозамин, экстракт лютика жёлтого, экстракт адамова корня, метилникотинат, экстракт маклюры, эфирное масло эвкалипта.</t>
  </si>
  <si>
    <t>разогревающий эффект</t>
  </si>
  <si>
    <t xml:space="preserve">наносить тонким слоем на проблемную область 2-3 раза в день. После нанесения тщательно вымыть руки с моющим средством. При попадании в глаза и на слизистые оболочки обильно промыть их водой. </t>
  </si>
  <si>
    <t>30+30 мл</t>
  </si>
  <si>
    <t>wbbiotrin_1_1</t>
  </si>
  <si>
    <t>Мазь для суставов Биотрин, CPA, 30 мл, набор из 2 шт</t>
  </si>
  <si>
    <t>CC101100426</t>
  </si>
  <si>
    <t>Мазь для суставов обезболивающая, панты морала,коллаген, хондротин, глюкозамин, Биотрин, 2 шт</t>
  </si>
  <si>
    <t>https://www.wildberries.ru/catalog/172161836/detail.aspx</t>
  </si>
  <si>
    <t>https://www.ozon.ru/product/1154565320</t>
  </si>
  <si>
    <t>https://market.yandex.ru/card/biotrin-krem-gel-dnarprim--1/103544230414?businessId=1422090&amp;clid=1422090&amp;model_id=1103091052&amp;distr_type=8&amp;pp=605</t>
  </si>
  <si>
    <t>wbgetsizegel</t>
  </si>
  <si>
    <t>Лубрикант Getsize CPA, 30 мл</t>
  </si>
  <si>
    <t>Смазка</t>
  </si>
  <si>
    <t>CC101100449</t>
  </si>
  <si>
    <t>Гель-смазка возбуждающая Getsize с разогревающим эффектом</t>
  </si>
  <si>
    <t>Возбуждающая смазка лубрикант для увеличения члена на водной основе съедобная, Алтея, Getsize, 30 мл</t>
  </si>
  <si>
    <t>Возбуждающая интимная  гель смазка лубрикант для увеличения члена на водной основе съедобная, Алтея, Getsize, 30 мл</t>
  </si>
  <si>
    <t>https://www.wildberries.ru/catalog/17891620/detail.aspx</t>
  </si>
  <si>
    <t>https://market.yandex.ru/card/vozbuzhdayushchaya-smazka-lubrikant-dlya-uvelicheniya-chlena-na-vodnoy-osnove-syedobnaya-alteya-getsize-30-ml/103515446251?businessId=1422090&amp;clid=1422090&amp;model_id=625474577&amp;distr_type=8&amp;pp=605</t>
  </si>
  <si>
    <t>аптека / интим-товары / интимная косметика и парфюмерия / интимная косметика и гигиена</t>
  </si>
  <si>
    <t>https://docs.google.com/document/d/1rK79ueSXwFLmuL3ulnvb9aN0ZA8JY1gLSbRsjbVMr80/edit</t>
  </si>
  <si>
    <t>wbvizox</t>
  </si>
  <si>
    <t>Пищевая добавка Визокс, CPA, 10 мл</t>
  </si>
  <si>
    <t>CO101100418</t>
  </si>
  <si>
    <t>Витамины для глаз и зрения с лютеином и черникой Vizox</t>
  </si>
  <si>
    <t>Витамины для глаз, комплекс для зрения с лютеином и черникой Алтея, Визокс, Vizox, 10 мл</t>
  </si>
  <si>
    <t>Витамины для глаз, глазные капли, комплекс для зрения с лютеином и черникой, капли для глаз Алтея, Визокс, Vizox, 10 мл</t>
  </si>
  <si>
    <t>https://www.wildberries.ru/catalog/41349600/detail.aspx</t>
  </si>
  <si>
    <t>https://www.ozon.ru/product/327231771</t>
  </si>
  <si>
    <t>ЕАЭС N RU Д-RU.PA08.B.86809/23 от 19.10.2023 до 18.10.2028</t>
  </si>
  <si>
    <t>экстракт аира, экстракт ирги, экстракт лимонника, экстракт черники, экстракт земляники, экстракт клюквы, экстракт морошки, экстракт крапивы, экстракт одуванчика, экстракт первоцвета, экстракт шиповника, экстракт пустырника, экстракт смородины, экстракт элеутерококка, экстракт женьшеня, экстракт арники, экстракт магнолии, экстракт чеснока, экстракт аронии, экстракт алоэ, экстракт календулы, экстракт толокнянки, экстракт кукурузных рылец, экстракт мяты, экстракт чабреца, экстракт лимона, экстракт лайма, экстракт фенхеля, экстракт укропа, экстракт петрушки, экстракт очанки, экстракт виноградных косточек, экстракт василька, экстракт коры сосны, экстракт пассифлоры, экстракт подорожника, .</t>
  </si>
  <si>
    <t>Способ применения: развести 10 капель в 50 мл воды или фруктового сока, выпить за 30-40 мин до еды. Принимать 3 раза в день.</t>
  </si>
  <si>
    <t xml:space="preserve"> хранить при температуре до 25 °C, избегая попадания прямых солнечных лучей.
</t>
  </si>
  <si>
    <t>https://docs.google.com/document/d/1ld0niFTBcvasI9B_5Tqfn2Wy1crI-MDcBDswnylS_VI/edit</t>
  </si>
  <si>
    <t>wbalkotoxic</t>
  </si>
  <si>
    <t>Пищевая добавка Alkotoxic, CPA, 10 мл</t>
  </si>
  <si>
    <t>CO101100401</t>
  </si>
  <si>
    <t>Капли от алкоголизма и средство от алкогольной зависимости Alkotoxic</t>
  </si>
  <si>
    <t>Капли от алкогольной зависимости, от алкоголизма от запоя, от похмелья Alkotoxic, 10 мл</t>
  </si>
  <si>
    <t>https://www.wildberries.ru/catalog/35422984/detail.aspx</t>
  </si>
  <si>
    <t>https://www.ozon.ru/product/299140637</t>
  </si>
  <si>
    <t>экстракт гриба копринус, вытяжка из лавра эфиопского, вытяжка хрустальника алтайского, экстракт зеленого чая, экстракт плауна булавовидного, экстракт гриба шиитаке, вытяжка травы эхинацея, экстракт тимьяна ползучего, экстракт зверобоя, экстракт полыни, экстракт золототысячника, экстракт копытня европейского, экстракт прополиса, экстракт синюхи, экстракт татарника, экстракт топинамбура.</t>
  </si>
  <si>
    <t>Способ применения
Минимальный курс: принимать по 2 капли 4 раза в день.
Рекомендуемый курс: принимать по 10 капель 4 раза в день.
Можно добавлять в первые блюда и напитки.</t>
  </si>
  <si>
    <t xml:space="preserve">хранить при температуре до 25°C, избегая попадания прямых солнечных лучей.
</t>
  </si>
  <si>
    <t>https://docs.google.com/document/d/1JYJZh8aG1analngDOepf85thWepYrXrRlLyQDuqIJns/edit</t>
  </si>
  <si>
    <t>chudofrukt</t>
  </si>
  <si>
    <t>Пищевая добавка Чудо Фрукт, CPA, 10 шипучих таблеток</t>
  </si>
  <si>
    <t>CO101100408</t>
  </si>
  <si>
    <t>Шипучие таблетки для похудения, детокс, жиросжигатель, Алтея, Чудо фрукт, 10 таблеток</t>
  </si>
  <si>
    <t>Шипучие таблетки для похудения, детокс, жиросжигатель,  средство для похудения, Алтея, Чудо фрукт, 10 таблеток</t>
  </si>
  <si>
    <t>https://www.wildberries.ru/catalog/111902604/detail.aspx</t>
  </si>
  <si>
    <t>https://www.ozon.ru/product/636852972</t>
  </si>
  <si>
    <t>https://market.yandex.ru/card/zhiroszhigatel-tabletki-dlya-pokhudeniya-detoks-alteya-chudo-frukt-10-tabletok/101806792616?businessId=1422090&amp;clid=1422090&amp;model_id=967593294&amp;distr_type=8&amp;pp=605</t>
  </si>
  <si>
    <t>"Способ применения:  По 1 таблетке в день во время еды, предварительно растворив таблетку в 1 стакане воды (200 мл). Рекомендуется ограничить употребление пищи в течение 3-4 часов после приема средства. Для достижения результата необходим курсовой прием.
"</t>
  </si>
  <si>
    <t>шипучих таблеток</t>
  </si>
  <si>
    <t>https://docs.google.com/document/d/1eMNa3Qh7JWIeVbBCJJ0SQ1uZ-tW7yPtim_lye7GsG3Q/edit</t>
  </si>
  <si>
    <t>fruitalica</t>
  </si>
  <si>
    <t>Пищевая добавка Фруталика , CPA, 10 капсул</t>
  </si>
  <si>
    <t>CB101100401</t>
  </si>
  <si>
    <t>Жиросжигатель для похудения эффективные Фруталика</t>
  </si>
  <si>
    <t>Таблетки для похудения, жиросжигатель, детокс Алтея, Фруталика, 10 капсул</t>
  </si>
  <si>
    <t>Таблетки для похудения, жиросжигатель,  подавление аппетита, детокс Алтея, Фруталика, 10 капсул</t>
  </si>
  <si>
    <t>https://www.wildberries.ru/catalog/34283989/detail.aspx</t>
  </si>
  <si>
    <t>https://www.ozon.ru/product/301630774</t>
  </si>
  <si>
    <t>https://market.yandex.ru/card/tabletki-dlya-pokhudeniya-zhiroszhigatel-detoks-alteya-frutalika-10-kapsul/102174014381?businessId=1422090&amp;clid=1422090&amp;model_id=967593294&amp;distr_type=8&amp;pp=605</t>
  </si>
  <si>
    <t>АМ.01.01.01.003.R.000181.05.22</t>
  </si>
  <si>
    <t xml:space="preserve">African mango extract (экстракт африканского манго), Gotu Kola extract (экстракт готу колы), Tamarind extract (экстракт тамаринда), Acai extract (экстракт асаи), Blueberry extract (экстракт голубики), Hoodia Gordonii extract (экстракт худии гордони), Quandong extract (экстракт квандонга).
Вспомогательные вещества: МКЦ, картофельный крахмал. </t>
  </si>
  <si>
    <t>принимать по 1 капсуле в день. Для повышения эффективности рекомендуется выпивать 6-8 стаканов чистой воды в сутки – способствует выведению токсинов. Не допускать перерывов между приемами пищи более 3 часов.</t>
  </si>
  <si>
    <t xml:space="preserve">хранить при температуре до 25°C в темном месте, защищенном от прямого света и источников нагревания.
</t>
  </si>
  <si>
    <t>https://drive.google.com/drive/u/2/folders/1w2IlSH4Nx6ABa3z3BGanIQ2jPN6-YVlw</t>
  </si>
  <si>
    <t xml:space="preserve">ООО «Восток Плюс», 107113, г. </t>
  </si>
  <si>
    <t>papiderm</t>
  </si>
  <si>
    <t>Пищевая добавка Папидерм , CPA, 10 мл</t>
  </si>
  <si>
    <t>Папиломы</t>
  </si>
  <si>
    <t>CO101100439</t>
  </si>
  <si>
    <t>wbpapiderm</t>
  </si>
  <si>
    <t>Средство от папиллом и бородавок удаление Papiderm</t>
  </si>
  <si>
    <t>Средство от бородавок, удаление папиллом, Алтея, Папидерм, 11 мл</t>
  </si>
  <si>
    <t>https://www.wildberries.ru/catalog/41351094/detail.aspx</t>
  </si>
  <si>
    <t>https://www.ozon.ru/product/327232798</t>
  </si>
  <si>
    <t>https://market.yandex.ru/card/pishchevaya-dobavka-sredstvo-ot-papillom-i-borodavok-udaleniye-papiderm/101436838678?businessId=1422090&amp;clid=1422090&amp;model_id=1429807841&amp;distr_type=8&amp;pp=605</t>
  </si>
  <si>
    <t>экстракт чистотела, экстракт кордицепса китайского, экстракт желтокорня канадского, экстракт адамового яблока, экстракт чеснока, экстракт окопника, экстракт княжника алтайского, экстракт пихты, экстракт сосны, экстракт жостера, экстракт чабреца, экстракт прополиса,  экстракт каланхоэ, экстракт побегов картофеля, экстракт картофеля, экстракт мумиё, экстракт маклюры, экстракт грецкого ореха, экстракт расторопши, экстракт черного ореха, экстракт лимона, экстракт  березы, экстракт мелиссы, экстракт мяты, экстракт гидрастиса канадского, экстракт шиитаке, экстракт лисички белой, экстракт эхинацеи, экстракт одуванчика, экстракт подорожника, экстракт хвоща, экстракт рябины, экстракт каштана.</t>
  </si>
  <si>
    <t>Способ применения: в неполную столовую ложку тёплой воды добавьте 10-15 капель. Запейте четвертью стакана воды. Принимать 2 раза в день. 
Наружно на пораженное место наносить 3-4 раза в день.</t>
  </si>
  <si>
    <t>https://docs.google.com/document/d/1k27HGmD8tcAF0g-0FxobSpwtDTyfYARlR1zN7DYGEf4/edit</t>
  </si>
  <si>
    <t>Восток Плюс</t>
  </si>
  <si>
    <t>wbneomaxblue</t>
  </si>
  <si>
    <t>Пищевая добавка Neomax blue, CPA, 10 шт</t>
  </si>
  <si>
    <t>CO101100449</t>
  </si>
  <si>
    <t>Neomax Blue БАД для мужчин, для тонуса и энергии</t>
  </si>
  <si>
    <t>Таблетки для мужчин для секса, возбудитель, средство для потенции и эрекции,витамины для мужчины, Neomax blue, Неомаксблу, 10 штук</t>
  </si>
  <si>
    <t>Таблетки для мужчин для секса, возбудитель, средство для потенции и эрекции, витамины Neomax blue, Неомаксблу, 10 шт.</t>
  </si>
  <si>
    <t>https://www.wildberries.ru/catalog/17902935/detail.aspx</t>
  </si>
  <si>
    <t>https://www.ozon.ru/product/295356614</t>
  </si>
  <si>
    <t>https://market.yandex.ru/card/vozbuditel-dlya-muzhchin-silnyy-dlya-potentsii-i-erektsii-18vozbuditel-dlya-muzhchin-silnyy-dlya-potentsii-i-erektsii-18--neomax-blue-neomaksblu/103515619478?businessId=1422090&amp;showOriginalKmEmptyOffer=1&amp;ogV=-10</t>
  </si>
  <si>
    <t xml:space="preserve">RU.77.99.11.003.R.004698.12.19
</t>
  </si>
  <si>
    <t>экстракт корня маки перуанской (Lepidium meyenii), экстракт коры муиры пуама (Ptychopetalum olacoides), экстракт семян пажитника греческого (Trigonella foenum – graecum), лактоза пищевая, экстракт листьев Дамианы (Turnera diffusa), цитрат цинка, желатин, краситель (титана диоксид Е 171).</t>
  </si>
  <si>
    <t>Рекомендации по применению: взрослым по 1 капсуле 2 раза в день во время еды. Продолжительность приема – 1 месяц. При необходимости прием можно повторить.</t>
  </si>
  <si>
    <t>индивидуальная непереносимость одного или нескольких компонентов продукта. Не рекомендуется применять детям, беременным и кормящим матерям.
Перед применением рекомендуется проконсультироваться с врачом.</t>
  </si>
  <si>
    <t xml:space="preserve">хранить в сухом, защищенном от попадания прямых солнечных лучей, недоступном для детей месте, при температуре не выше +25°С.
</t>
  </si>
  <si>
    <t>https://docs.google.com/document/d/1aDrLIW7wDt74oaO3ff_ckEPC6hsT4aOJMmoU-SVeuW0/edit</t>
  </si>
  <si>
    <t>urolgan</t>
  </si>
  <si>
    <t>Пищевая добавка Уролган , CPA, 10 мл</t>
  </si>
  <si>
    <t>CO101100441</t>
  </si>
  <si>
    <t>Уролган капли при простатите</t>
  </si>
  <si>
    <t>Средство от простатита для потенции Уролган</t>
  </si>
  <si>
    <t>Средство от простатита для потенции, защита от простатита для мужчин Уролган</t>
  </si>
  <si>
    <t>https://www.wildberries.ru/catalog/223155748/detail.aspx</t>
  </si>
  <si>
    <t>https://www.ozon.ru/product/1541839778</t>
  </si>
  <si>
    <t>https://market.yandex.ru/card/sredstvo-ot-prostatita-dlya-potentsii-urolgan/103515423988?businessId=1422090&amp;clid=1422090&amp;model_id=696711021&amp;distr_type=8&amp;pp=605</t>
  </si>
  <si>
    <t>ЕАЭС N RU Д-RU.PA01.B.29828/24 от 26.01.2024 по 22.01.2029</t>
  </si>
  <si>
    <t xml:space="preserve"> вода, экстракты эпимедиума, ярутки, корня астрагала, корня и корневища шалфея лекарственного, ягод годжи, семян маки перуанской, брусничной толокнянки, пантов марала, лимонная кислота, сорбат калия (Е202), бензоат натрия (Е211).
</t>
  </si>
  <si>
    <t xml:space="preserve">принимать по 10 капель 2 раза в день во время приема пищи.
</t>
  </si>
  <si>
    <t>https://docs.google.com/document/d/1ELk6rwKWaBQYzPKRqTkOmYKbizqqM5y2/edit</t>
  </si>
  <si>
    <t>wbneomax</t>
  </si>
  <si>
    <t>Пищевая добавка Neomax, CPA, 13 шт</t>
  </si>
  <si>
    <t>CO101100450</t>
  </si>
  <si>
    <t>Возбудитель афродизиак для потенции и эрекции Neomax</t>
  </si>
  <si>
    <t>Таблетки для мужчин для секса, возбудитель, средство для потенции и эрекции, витамины для мужчины, Neomax, Неомакс, 13 штук</t>
  </si>
  <si>
    <t>https://www.wildberries.ru/catalog/45641409/detail.aspx</t>
  </si>
  <si>
    <t>https://www.ozon.ru/product/291910198</t>
  </si>
  <si>
    <t>ЕАЭС N RU Д-RU.ТР06.B.14277/19 от 22.10.2019 до 21.10.2024</t>
  </si>
  <si>
    <t>Состав красных капсул: экстракт фукуса, экстракт корня эврикомы, экстракт жгучей мукуны, экстракт левзеи сафлоровидной, экстракт дьявольского когтя, экстракт трибулуса. Состав синих капсул: экстракт корня маки перуанской (Lepidium meyenii), экстракт коры муиры пуама (Ptychopetalum olacoides), экстракт семян пажитника греческого (Trigonella foenum – graecum), лактоза пищевая, экстракт листьев Дамианы (Turnera diffusa), цитрат цинка, желатин, краситель (титана диоксид Е 171).</t>
  </si>
  <si>
    <t>синих + 3 красные капсул</t>
  </si>
  <si>
    <t>https://docs.google.com/document/d/1aDrLIW7wDt74oaO3ff_ckEPC6hsT4aOJMmoU-SVeuW0/editt</t>
  </si>
  <si>
    <t>frutalika_BAD_60caps</t>
  </si>
  <si>
    <t>БАД Фруталика, Алтея, 60 капсул</t>
  </si>
  <si>
    <t>AB101100415</t>
  </si>
  <si>
    <t>Жиросжигатель для похудения, спортивные витамины Фруталика</t>
  </si>
  <si>
    <t>Пиколинат хрома для похудения, детокс, жиросжигатель, Алтея, Фруталика, 60 капсул</t>
  </si>
  <si>
    <t>https://www.wildberries.ru/catalog/223763016/detail.aspx</t>
  </si>
  <si>
    <t>https://www.ozon.ru/product/1548063119</t>
  </si>
  <si>
    <t>https://market.yandex.ru/card/pikolinat-khroma-dlya-pokhudeniya-detoks-zhiroszhigatel-alteya-frutalika-60-kapsul/103515412410?businessId=1422090&amp;clid=1422090&amp;model_id=967593294&amp;distr_type=8&amp;pp=605</t>
  </si>
  <si>
    <t>AM.01.06.01.003.R.000041.02.24 от 07.02.2024</t>
  </si>
  <si>
    <t>экстракт гарцинии камбоджийской, экстракт африканского манго, экстракт готу-кола, экстракт чабреца, экстракт асаи, экстракт голубики, экстракт худии гордона, антислеживающий агент: диоксид кремния аморфный (Е551), антислеживающий агент: магниевая соль стеариновой кислоты (Е470), пиколинат хрома, желатин*, оксид цинка*, целлюлоза микрокристаллическая (Е460).</t>
  </si>
  <si>
    <t xml:space="preserve">взрослым по 1 капсуле 1 раз в день во время еды.
Продолжительность приема – 4  недели. При необходимости прием можно повторить через 2 месяца. </t>
  </si>
  <si>
    <t>https://docs.google.com/document/d/1ugrv4klaPXoafgs1u8VnUefUaHLryZrV/edit</t>
  </si>
  <si>
    <t>chudofrukt_BAD_60caps</t>
  </si>
  <si>
    <t>БАД Чудофрукт, Алтея, 60 капсул</t>
  </si>
  <si>
    <t>AB101100413</t>
  </si>
  <si>
    <t>Жиросжигатель для похудения ЧУДОФРУКТ</t>
  </si>
  <si>
    <t>Таблетки для похудения, жиросжигатель детокс для снижения веса, Алтея, Чудофрукт, 60 капсул</t>
  </si>
  <si>
    <t>https://www.wildberries.ru/catalog/167208205/detail.aspx</t>
  </si>
  <si>
    <t>https://www.ozon.ru/product/1082252130</t>
  </si>
  <si>
    <t>https://market.yandex.ru/card/tabletki-dlya-pokhudeniya-zhiroszhigatel-detoks-dlya-snizheniya-vesa-alteya-chudofrukt-60-kapsul/102076571670?businessId=1422090&amp;clid=1422090&amp;model_id=967593294&amp;distr_type=8&amp;pp=605</t>
  </si>
  <si>
    <t>AM.01.06.01.003.R.000040.02.24 от 07.02.2024</t>
  </si>
  <si>
    <t>L-карнитин, липоевая кислота, L-аргинин, экстракт сухой померанца плодов, кальциевая соль стеариновой кислоты (Е470, агент антислеживающий), диоксид кремния аморфный (551, агент антислеживающий), пиколинат хрома, целлюлоза микрокристаллическая (Е460, носитель), желатин.</t>
  </si>
  <si>
    <t>https://docs.google.com/document/d/15KVhRbS1K3HQ2oUPAIE7QTFnQPrzkh6u/edit?usp=drive_link&amp;ouid=104241417680089502627&amp;rtpof=true&amp;sd=true</t>
  </si>
  <si>
    <t>Владислав i.ivanov@zdravpharm.ru
тг: https://t.me/VladislavNiceQ</t>
  </si>
  <si>
    <t>dolgar</t>
  </si>
  <si>
    <t>Мазь от грибка ногтей Долгар, CPA, 15 мл</t>
  </si>
  <si>
    <t>CC101100409</t>
  </si>
  <si>
    <t>Мазь от грибка ногтей и стопы ног противогрибковая, Долгар</t>
  </si>
  <si>
    <t>Мазь от грибка ногтей на ногах, противогрибковое средство с коллоидным серебром, Алтея, Долгар, 15 мл</t>
  </si>
  <si>
    <t>Крем гель от грибка ногтей на ногах, противогрибковое средство с коллоидным серебром, мазь Алтея, Долгар, 15 мл</t>
  </si>
  <si>
    <t>https://www.wildberries.ru/catalog/18953630/detail.aspx</t>
  </si>
  <si>
    <t>https://www.ozon.ru/product/290413438</t>
  </si>
  <si>
    <t>https://market.yandex.ru/card/maz-ot-gribka-nogtey-i-stopy-nog-protivogribkovaya--dolgar-15-ml/103340894535?cpa=1&amp;noreask=1&amp;rt=22&amp;was_redir=1&amp;businessId=1422090&amp;_redirectCount=1</t>
  </si>
  <si>
    <t>Способ применения: наносить 2 раза в день на пораженные участки.</t>
  </si>
  <si>
    <t xml:space="preserve"> хранить при температуре до 25°C, избегая попадания прямых солнечных лучей.
</t>
  </si>
  <si>
    <t>https://docs.google.com/document/d/1O0D3KaR9O-x0-0V5LAUtW-hUnaCC7cBVMSlSgE-1-9k/edit</t>
  </si>
  <si>
    <t>gel_parfum_tabacco_vanille_450ml</t>
  </si>
  <si>
    <t>Гель для душа Tobacco Vanille, Алтея,450 мл</t>
  </si>
  <si>
    <t>AC101100449</t>
  </si>
  <si>
    <t>MPL411108</t>
  </si>
  <si>
    <t>АЛТЕЯ-GELPART</t>
  </si>
  <si>
    <t>Гель для душа парфюмированный Tobacco Vanille</t>
  </si>
  <si>
    <t>Гель для душа женский парфюмированный Tobacco Vanille, Алтея, 450 мл</t>
  </si>
  <si>
    <t>гель для душа женский парфюмированный tobacco vanille, алтея, 450 мл</t>
  </si>
  <si>
    <t>Гель для душа женский парфюмированный Tobacco Vanille</t>
  </si>
  <si>
    <t>Гель для душа женский парфюмированный Tobacco Vanille Алтея 450 мл</t>
  </si>
  <si>
    <t>https://www.wildberries.ru/catalog/302594163/detail.aspx</t>
  </si>
  <si>
    <t>https://www.ozon.ru/product/1793172927</t>
  </si>
  <si>
    <t>https://market.yandex.ru/card/gel-dlya-dusha-zhenskiy-parfyumirovannyy-tobacco-vanille-alteya-450-ml/103701553227?do-waremd5=WifJkqHNEf6oe4v1y_GntA&amp;businessId=1422090&amp;ogV=-10</t>
  </si>
  <si>
    <t>https://goldapple.ru/catalogsearch/result?q=99000081276</t>
  </si>
  <si>
    <t>https://www.letu.ru/product/alteya-gel-dlya-dusha-zhenskii-parfyumirovannyi-tobacco-vanille/170000362?sort=default&amp;open=ingredient%7EforWhom%7EskinNeeds%7EcleanBeauty&amp;hide=expectedEffect%7EnotContain%7EhairType%7EskinTypes</t>
  </si>
  <si>
    <t>https://mm.ru/product/gel-dlya-dusha-5871280?skuId=13112535</t>
  </si>
  <si>
    <t>Гели для душа</t>
  </si>
  <si>
    <t xml:space="preserve">Aqua, Sodium Laureth Sulfate, Cocamidopropyl Betaine, Sodium Chloride, Glycerin, Fragrance, Decyl Glucoside, Styrene/Acrylates Copolymer, Sweet almond oil, polyflyceryl-4 Esters, avocado oil, Methylchloroisothiazolinone, Aloe Barbadensis Leaf Juice, Disodium Ethylenediaminetetraacetic Acid, Citric Acid, Methylisothiazolinone. </t>
  </si>
  <si>
    <t xml:space="preserve">Нанесите гель для душа на влажную кожу, массажными движениями вспеньте и помассируйте, а затем тщательно смойте. </t>
  </si>
  <si>
    <t>Меры предосторожности: не наносите на поврежденную кожу и избегайте попадания в глаза. При попадании в глаза тщательно промойте водой.</t>
  </si>
  <si>
    <t>хранить при температуре не ниже 0°С и не выше 25°</t>
  </si>
  <si>
    <t>https://drive.google.com/drive/u/4/folders/1uVw6kmQ9Ss01vrlH3uWNVeWoa-uBLBXV</t>
  </si>
  <si>
    <t>dardrakona</t>
  </si>
  <si>
    <t>CC101100448</t>
  </si>
  <si>
    <t>Крем от варикоза усталости и отеков ног дар дракона</t>
  </si>
  <si>
    <t>https://www.wildberries.ru/catalog/44552189/detail.aspx</t>
  </si>
  <si>
    <t>4631160098901
2038674207621
4660417421117</t>
  </si>
  <si>
    <t>https://docs.google.com/document/d/1B7rbzGLuD6E_hHo1CUV8yc_CfZZjoBRssyTbxY-i4S8/edit</t>
  </si>
  <si>
    <t>retinait_krem_01_50ml</t>
  </si>
  <si>
    <t>Крем для лица Ретинайт с церамидами, Алтея, 50 мл</t>
  </si>
  <si>
    <t>AC101100460</t>
  </si>
  <si>
    <t>Крем для лица с ретинолом и церамидами 50 мл Ретинайт</t>
  </si>
  <si>
    <t>Крем для лица с ретинолом и церамидами  0,1%, антивозрастной, омоложение, сыворотка для лица от морщин,  Ретинайт,  50 мл</t>
  </si>
  <si>
    <t>Алтея Крем для лица алтея</t>
  </si>
  <si>
    <t>https://www.wildberries.ru/catalog/580359518/detail.aspx</t>
  </si>
  <si>
    <t>https://www.ozon.ru/product/3043803801</t>
  </si>
  <si>
    <t>https://market.yandex.ru/card/krem-dlya-litsa-s-retinolom-i-tseramidami-50-ml-retinayt/4737519927?businessId=1422090&amp;clid=1422090&amp;model_id=4936696924&amp;distr_type=8&amp;pp=605</t>
  </si>
  <si>
    <t>ЕАЭС N RU Д-RU.PA09.B.61166/25 от 23.10.2025 по 22.10.2030</t>
  </si>
  <si>
    <t>Aqua, Caprylic/Capric Triglyceride, Cetearyl Alcohol,  Glycerin,  Jasminum officinale flower water, Glyceryl monostearate, Sorbitan Olivate, Cetearyl Olivate, Hydrogenated Lecithin,  Sucrose stearate, Ceramide NP, Ceramide AP, Ceramide AS, Ceramide NG, Glycosphingolipids, Niacinamide,  Camellia Sinensis Leaf Extract,  1,2-Hexanediol, Phenoxyethanol, Retinol, Polysorbate 20, Polyglyceryl-10 Myristate, Ethyl Lauroyl Arginate HCl, Hydrated Silica, Vitamin Е (Tocoferol), 3-o-Ethyl Ascorbic Acid, Ethylhexylglycerin, Citric Acid</t>
  </si>
  <si>
    <t>небольшое количество крема распределите по лицу легкими массажными движениями, избегая области вокруг глаз. Используйте крем на ночь.</t>
  </si>
  <si>
    <t>https://docs.google.com/document/d/1BKPMNiJYIwLSyKjEJQ-ES1RQ5PH2WQbz/edit?usp=drive_web&amp;ouid=104241417680089502627&amp;rtpof=true</t>
  </si>
  <si>
    <t>https://disk.yandex.ru/d/LMcWGT9OQnwaPg</t>
  </si>
  <si>
    <t>alteya_young_skin_box</t>
  </si>
  <si>
    <t>Пробный набор / не зашел</t>
  </si>
  <si>
    <t>Набор Ретидерм, Алтея, 50 мл, Сыворотка для лица с ниацинамидом, Алтея, 30 мл</t>
  </si>
  <si>
    <t>Наборы</t>
  </si>
  <si>
    <t>AC101100437</t>
  </si>
  <si>
    <t>Набор для лица уходовый косметический бьюти Young Skin Box</t>
  </si>
  <si>
    <t>Подарочный набор для женщин. Набор для лица уходовый косметический бьюти Young Skin Box Алтея</t>
  </si>
  <si>
    <t>Подарочный набор для женщин. Набор для лица уходовый косметический бьюти Young Skin Box Алтея 2 шт</t>
  </si>
  <si>
    <t>https://www.wildberries.ru/catalog/302460733/detail.aspx</t>
  </si>
  <si>
    <t>https://www.ozon.ru/product/1805976932</t>
  </si>
  <si>
    <t>https://market.yandex.ru/card/nabor-dlya-litsa-ukhodovyy-kosmeticheskiy-byuti-young-skin-box-alteya/103710293979?businessId=1422090&amp;clid=1422090&amp;model_id=4949707407&amp;distr_type=8&amp;pp=605</t>
  </si>
  <si>
    <t>retiderm_50ml+syvorotka_dlya_lica_30ml</t>
  </si>
  <si>
    <t>1. Наносите Ретидерм на очищенную кожу лица вечером, избегая области вокруг глаз.
2. Утром используйте Сыворотку с ниацинамидом перед увлажняющим кремом.</t>
  </si>
  <si>
    <t>krem-filler_15ml</t>
  </si>
  <si>
    <t>Крем-Филлер для зоны вокруг глаз, Алтея, 15 мл</t>
  </si>
  <si>
    <t>AC101100423</t>
  </si>
  <si>
    <t>MPL379166</t>
  </si>
  <si>
    <t>Крем филлер антивозрастной против морщин для век и лица</t>
  </si>
  <si>
    <t>Крем для лица антивозрастной, Крем филлер вокруг глаз, с коллагеном с ниацинамидом, Алтея, 15 мл</t>
  </si>
  <si>
    <t>крем для лица антивозрастной, крем филлер вокруг глаз, с коллагеном с ниацинамидом, алтея, 15 мл</t>
  </si>
  <si>
    <t>Крем для лица антивозрастной, крем филлер вокруг глаз, с коллагеном с ниацинамидом</t>
  </si>
  <si>
    <t>https://www.wildberries.ru/catalog/223763841/detail.aspx</t>
  </si>
  <si>
    <t>https://www.ozon.ru/product/1548065919</t>
  </si>
  <si>
    <t>https://market.yandex.ru/card/krem-dlya-litsa-antivozrastnoy-krem-filler-vokrug-glaz-s-kollagenom-s-niatsinamidom-alteya-15-ml/103515402868?businessId=1422090&amp;clid=1422090&amp;model_id=1956097793&amp;distr_type=8&amp;pp=605</t>
  </si>
  <si>
    <t>https://www.letu.ru/product/alteya-krem-dlya-litsa-antivozrastnoi-krem-filler-vokrug-glaz-s-kollagenom-s-niatsinamidom/163200008?sort=default&amp;open=ingredient%7EforWhom%7EskinNeeds%7EcleanBeauty&amp;hide=expectedEffect%7EnotContain%7EhairType%7EskinTypes</t>
  </si>
  <si>
    <t xml:space="preserve"> ЕАЭС N RU Д-RU.PA02.B.04006/24 от 11.03.2024 по 15.02.2029</t>
  </si>
  <si>
    <t xml:space="preserve"> Aqua, Propylene Glycol, Polysorbate 80, Dipropylene Glycol, Candelilla Wax, Caprylic/Capric Triglyceride, Glyceryl Monostearate, Cetearyl Alcohol, Stearic Acid, Colloidal Gold, Polyvinylpyrrolidone, Phenoxyethanol, Ethylhexylglycerin, Maltodexstrin, Elastin, Nicotinamide, Sorbitan Oleate, Lactic Acid, Butyrospermum Parkii (Shea) Butter, Tocopheryl Acetate, Hydrolyzed Collagen,  Triethanolamine, Sodium Hydroxide, Tetrasodium EDTA</t>
  </si>
  <si>
    <t>Нанесите крем-стик на влажную очищенную кожу век, дождитесь впитывания.</t>
  </si>
  <si>
    <t>Меры предосторожности: индивидуальная непереносимость ингредиентов состава.</t>
  </si>
  <si>
    <t>https://docs.google.com/document/d/1a8k7lT27Pb8JWZfsNnKgOnpCeRJjYR5N/edit</t>
  </si>
  <si>
    <t>vosk_stik_15ml</t>
  </si>
  <si>
    <t>Воск-Стик для укладки волос, Алтея, 15 мл</t>
  </si>
  <si>
    <t>AC101100421</t>
  </si>
  <si>
    <t>MPL553766</t>
  </si>
  <si>
    <t>Воск стик для укладки и фиксации волос</t>
  </si>
  <si>
    <t>Воск стик для укладки волос,  для всех типов волос, воск-стик ультра фиксация, 15 мл</t>
  </si>
  <si>
    <t>Воск стик для волос алтея 15 мл</t>
  </si>
  <si>
    <t>https://www.wildberries.ru/catalog/538087651/detail.aspx</t>
  </si>
  <si>
    <t>https://www.ozon.ru/product/2860142614</t>
  </si>
  <si>
    <t>https://market.yandex.ru/card/vosk-stik-dlya-ukladki-i-fiksatsii-volos/4737518234?businessId=1422090&amp;showOriginalKmEmptyOffer=1&amp;ogV=-10</t>
  </si>
  <si>
    <t>https://www.letu.ru/product/alteya-vosk-stik-dlya-ukladki-i-fiksatsii-volos/179100032?sort=default&amp;open=ingredient%7EforWhom%7EskinNeeds%7EcleanBeauty&amp;hide=expectedEffect%7EnotContain%7EhairType%7EskinTypes</t>
  </si>
  <si>
    <t>ЕАЭС N RU Д-RU.PA08.B.67210/25 от 26.09.2025 по 25.09.2030</t>
  </si>
  <si>
    <t>Petrolatum, Caprylic/Capric Triglyceride, Ceresin, Microcrystalline Wax, Hydrogenated Vegetable Oil, Beeswax, Hydrogenated Palm Acid, Stearyl Stearate, Cetearyl Alcohol, Hydrated Silica, Candelilla Wax, Lanolin, Cyclopentasiloxane, Butyl-Hydroxytoluene (BHT), Hamamelis Virginiana Leaf Extract, Talc, Panthenol, Persea Gratissima (Avocado) Fruit Extract, Polysorbate 80, Parfum</t>
  </si>
  <si>
    <t>откройте защитную крышку, поверните колёсико снизу и нанесите воск на чистые сухие или влажные волосы от корней к кончикам. Равномерно распределите по волосам, придав необходимую форму.</t>
  </si>
  <si>
    <t xml:space="preserve">
Меры предосторожности: возможна индивидуальная непереносимость ингредиентов состава, не допускать попадания на слизистые оболочки
</t>
  </si>
  <si>
    <t>Условия хранения: хранить в сухом недоступном для света месте при температуре от +5 до +25 С</t>
  </si>
  <si>
    <t>https://docs.google.com/document/d/1Ald6fQsE021QICja7CuLzjJxwIfb09ZX/edit</t>
  </si>
  <si>
    <t>М9 Фарм</t>
  </si>
  <si>
    <t>Арнест</t>
  </si>
  <si>
    <t>retinait_krem_1_5_50ml</t>
  </si>
  <si>
    <t>Крем для лица Ретинайт 1,5%, Алтея, 50 мл</t>
  </si>
  <si>
    <t>AC101100461</t>
  </si>
  <si>
    <t>Крем для Лица с Липосомальным Ретинолом 1.5% Ретинайт</t>
  </si>
  <si>
    <t>Крем для лица с липосомальным ретинолом 1.5%, сыворотка для лица от морщин, крем антивозрастной, Ретинайт, 50 мл</t>
  </si>
  <si>
    <t>https://www.wildberries.ru/catalog/727028589/detail.aspx</t>
  </si>
  <si>
    <t>https://market.yandex.ru/card/krem-dlya-litsa-s-liposomalnym-retinolom-15-retinayt/4928672266?businessId=1422090&amp;showOriginalKmEmptyOffer=1&amp;ogV=-10</t>
  </si>
  <si>
    <t xml:space="preserve"> ЕАЭС N RU Д-RU.PA07.B.92988/25 от 05.09.2025 по 04.09.2030</t>
  </si>
  <si>
    <t xml:space="preserve"> AQUA, ISOPROPYL PALMITATE, ACRYLAMIDE/SODIUM ACRYLATE COPOLYMER, NIACINAMIDE, UREA, SQUALANE, HELIANTHUS ANNUUS (SUNFLOWER) SEED OIL, MINERAL OIL, CYCLOPENTASILOXANE, CAPRYLIC/CAPRIC TRIGLYCERIDE,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t>
  </si>
  <si>
    <t xml:space="preserve"> 36 месяца</t>
  </si>
  <si>
    <t>https://disk.yandex.ru/d/Yz-DcWLXpRfFLQ</t>
  </si>
  <si>
    <t>wbgetsize1gel2</t>
  </si>
  <si>
    <t>Игрушка для взрослых Кольцо, CPA</t>
  </si>
  <si>
    <t>CB101100402</t>
  </si>
  <si>
    <t>Эрекционная насадка на член для увеличения и эрекции 18+</t>
  </si>
  <si>
    <t>Эрекционное кольцо для мужчин, насадка на член, кольцо для эрекции, товары для взрослых</t>
  </si>
  <si>
    <t>https://www.wildberries.ru/catalog/17908721/detail.aspx</t>
  </si>
  <si>
    <t>https://www.ozon.ru/product/290029361</t>
  </si>
  <si>
    <t xml:space="preserve"> ЕАЭС N RU Д-RU.PД04.B.03319/19 от11.10.2019 по 10.10.2024</t>
  </si>
  <si>
    <t>Состав геля: вода, глицерин, экстракт трибуллуса, экстракт аралии маньчжурской, экстракт панакса радикса, масло лещины, гидроксиэтилцеллюлоза, полигликоль 400, аллантоин, экстракт ромашки, консервант. Состав тренажера: пластик, медицинский силикон.</t>
  </si>
  <si>
    <t>кольцо, 2 геля * 30 мл</t>
  </si>
  <si>
    <t>гель 2 года / 730;                                                                    тренажер бессрочно</t>
  </si>
  <si>
    <t>гель 24 месяца;                                                                    тренажер бессрочно</t>
  </si>
  <si>
    <t>wbvaranga</t>
  </si>
  <si>
    <t>Мазь от грибка Варанга , CPA, 10 мл</t>
  </si>
  <si>
    <t>CC101100442</t>
  </si>
  <si>
    <t>Мазь от грибка ногтей и стопы ног противогрибковая Варанга</t>
  </si>
  <si>
    <t>Мазь от грибка ногтей Варанга, Алтея, 10 мл</t>
  </si>
  <si>
    <t>https://www.wildberries.ru/catalog/41327376/detail.aspx</t>
  </si>
  <si>
    <t>https://www.ozon.ru/product/327231451</t>
  </si>
  <si>
    <t>ЕАЭС N RU Д-RU.РД04.B.03319/19 от 11.10.2019 до 10.10.2024</t>
  </si>
  <si>
    <t>экстракт прополиса, экстракт эвкалипта, экстракт золотого уса, экстракт цветов сирени, экстракт коры дуба, экстракт календулы, экстракт вербены, экстракт хвоща, экстракт ежевики, экстракт каланхоэ, экстракт кофе, экстракт чеснока, экстракт почек черного тополя, экстракт имбиря, экстракт полыни, экстракт чистотела, экстракт сосны, экстракт мяты,экстракт чайного дерева , экстракт молочая, экстракт дурнишника, экстракт лимона, экстракт листа рябины, экстракт чабреца, экстракт орегано, экстракт морских водорослей, экстракт аира, экстракт индийского лука, экстракт шалфея, экстракт ромашки, экстракт смолы абрикоса (камедь), экстракт бадьяна.</t>
  </si>
  <si>
    <t>Способ применения: Наносить средство 2- 3 раза в день на пораженные места.</t>
  </si>
  <si>
    <t xml:space="preserve"> хранить при температуре до 25 °C, избегая попадания прямых солнечных лучей.
</t>
  </si>
  <si>
    <t>https://docs.google.com/document/d/0B7-1wy6SJH2oSHRhOXlYZXFuRnc/edit?resourcekey=0-qpweuMfstOx0PTpcXhALng</t>
  </si>
  <si>
    <t>sustalit</t>
  </si>
  <si>
    <t>Мазь для суставов Сусталит , CPA, 30 мл</t>
  </si>
  <si>
    <t>CC101100443</t>
  </si>
  <si>
    <t>Крем мазь для суставов и связок Сусталит обезболивающий</t>
  </si>
  <si>
    <t>Мазь для суставов обезболивающая, крем глюкозамин и хондроитин, Сусталит, 30 мл</t>
  </si>
  <si>
    <t>Мазь для суставов, гель обезболивающий, крем от боли в суставах. Глюкозамин и хондроитин, Сусталит, 30 мл</t>
  </si>
  <si>
    <t>https://www.wildberries.ru/catalog/109014186/detail.aspx</t>
  </si>
  <si>
    <t>https://www.ozon.ru/product/743548429</t>
  </si>
  <si>
    <t>https://market.yandex.ru/card/krem-dlya-ukhoda-za-kozhey-maz-dlya-sustavov-i-svyazok-sustalit-obezbolivayushchiy/103340884504?businessId=1422090&amp;clid=1422090&amp;model_id=1111443278&amp;distr_type=8&amp;pp=605</t>
  </si>
  <si>
    <t>вытяжка из пантов алтайского марала, экстракт конского каштана, экстракт сабельника, экстракт чёрного тмина, экстракт ягеля, экстракт босвеллии (ладана), глюкозамина сульфат, хондроитина сульфат, витамин Д3, желчь.</t>
  </si>
  <si>
    <t xml:space="preserve">мазь нанести тонким слоем на пораженные суставы и круговыми движениями втирать в кожу. Применять 2-3 раза в день до исчезновения воспалительных явлений.
</t>
  </si>
  <si>
    <t xml:space="preserve">не рекомендуется использовать во время беременности и детям.
Гипоаллергенно. Возможна индивидуальная непереносимость компонентов.
</t>
  </si>
  <si>
    <t>https://drive.google.com/drive/folders/1KHPhOeLNDS-nl8lTKKj5_YfkghstNVSm</t>
  </si>
  <si>
    <t>ООО «Восток Плюс», 107113, г. Москва, Сокольническая пл., дом 4а, этаж 3, пом.IV, комн.09</t>
  </si>
  <si>
    <t>visitCREAMamarant</t>
  </si>
  <si>
    <t>Крем для рук Амарант, CPA, 30 мл</t>
  </si>
  <si>
    <t>CC101100444</t>
  </si>
  <si>
    <t>Крем для рук питательный</t>
  </si>
  <si>
    <t>Крем для рук питательный Амарант, 75 мл</t>
  </si>
  <si>
    <t>https://www.wildberries.ru/catalog/181469548/detail.aspx</t>
  </si>
  <si>
    <t>https://www.ozon.ru/product/1235751364</t>
  </si>
  <si>
    <t>вывод</t>
  </si>
  <si>
    <t>вода, этилгексилкокоат, цетил стеарил полиглюкозид, цетеарил глюкозид, цетеариловый спирт, цетил стеариловый спирт, масло амаранта, масло миндаля,масло ши, масло какао, парфюмерная композиция, циклометикон,феноксиэтанол, метилизотиазолинон, метилхлоризотиазолинон, полиакрилат натрия, карбомер натрия</t>
  </si>
  <si>
    <t>Нанести на чистую и сухую кожу рук массажными движениями</t>
  </si>
  <si>
    <t>Хранить при температуре от +5 до +25 и относительной влажности воздуха не более 70%</t>
  </si>
  <si>
    <t>https://drive.google.com/drive/u/2/folders/1B2krPcTeVp0y2ay8BfvnjLUaeeVOYv3q</t>
  </si>
  <si>
    <t>ООО "САНАТА"</t>
  </si>
  <si>
    <t>sanaсin_BAD_60caps</t>
  </si>
  <si>
    <t>БАД Санацин, CPA, 60 капсул</t>
  </si>
  <si>
    <t>CB101100404</t>
  </si>
  <si>
    <t>Санацин БАДы для жкт метаболизма и иммунитета, 60 капсул</t>
  </si>
  <si>
    <t>Капсулы пробиотик, энзимы, д манноза, метабиотик, Санацин, Алтея, 60 капсул</t>
  </si>
  <si>
    <t>https://www.wildberries.ru/catalog/186787859/detail.aspx</t>
  </si>
  <si>
    <t>https://www.ozon.ru/product/1271264152</t>
  </si>
  <si>
    <t>https://market.yandex.ru/card/sanatsin-antiparazitarnyy-kompleks-ot-parazitov-i-ot-glistov--protiv-parazitov--20-kapsul/103340888401?businessId=1422090&amp;showOriginalKmEmptyOffer=1&amp;ogV=-10</t>
  </si>
  <si>
    <t>AM.01.06.01.003.R.000231.11.21 от 22.11.2021</t>
  </si>
  <si>
    <t>биомасса бактерий селективная сухая серии «Панбиом» («Panbiom»)» (Bifidobacterium bifidum, Bifidobacterium longum, Bifidobacterium adolescentis), биомасса гидролизованная сухая «Ультрализат пептидный» (Bifidobacterium bifidum, Bifidobacterium longum, Bifidobacterium adolescentis), лактулоза, манноза. Вспомогательные вещества: инулин (носитель), капсула желатиновая (желатин (носитель), глицерин (влагоудерживающий агент)), антислеживатели: кремния диоксид, кальция стеарат.</t>
  </si>
  <si>
    <t>Взрослым по 1 капсуле 1 - 3 раза в день во время еды.</t>
  </si>
  <si>
    <t>https://docs.google.com/document/d/15jRkt5CacCJg4zkp4SkzNLsqLdsVkxq-/edit?usp=drive_web&amp;ouid=104241417680089502627&amp;rtpof=true</t>
  </si>
  <si>
    <t>ООО "Сибфармконтракт"</t>
  </si>
  <si>
    <t>Гаврикова Елена gavrikova@artlife.ru 8 (3822) 556092 доб. 202</t>
  </si>
  <si>
    <t>mikardin plus_BAD_60 caps</t>
  </si>
  <si>
    <t>БАД Микардин Плюс, CPA, 60 капсул</t>
  </si>
  <si>
    <t>CO101100460</t>
  </si>
  <si>
    <t>Микардин + БАДы для сердца и сосудов от давления</t>
  </si>
  <si>
    <t>Средство для сердца и сосудов от давления, чистка сосудов, Микардин Плюс, Алтея, 60 капсул</t>
  </si>
  <si>
    <t>https://www.wildberries.ru/catalog/188613392/detail.aspx</t>
  </si>
  <si>
    <t>https://www.ozon.ru/product/1283151299</t>
  </si>
  <si>
    <t>https://market.yandex.ru/card/bad-mikardin-plyus-aterolayf-bady-dlya-serdtsa-i-sosudov-ot-davleniya-60-kapsul/103515434782?businessId=1422090&amp;showOriginalKmEmptyOffer=1&amp;ogV=-10</t>
  </si>
  <si>
    <t xml:space="preserve"> вывод</t>
  </si>
  <si>
    <t>monarda_30ml</t>
  </si>
  <si>
    <t>Старый товар</t>
  </si>
  <si>
    <t>Масло монарды и экстракт зеленого чая для ногтей, универсальное, Алтея, 30 мл</t>
  </si>
  <si>
    <t>intimvita_200ml</t>
  </si>
  <si>
    <t>Перезавели новый объем</t>
  </si>
  <si>
    <t>Гель для интимной гигиены Интимвита, Алтея, 200 мл</t>
  </si>
  <si>
    <t>AC101100454</t>
  </si>
  <si>
    <t>MPL378978</t>
  </si>
  <si>
    <t>Гель для интимной гигиены с молочной кислотой, Алтея, Интимвита, 200 мл</t>
  </si>
  <si>
    <t>Гель для интимной гигиены с молочной кислотой Интимвита</t>
  </si>
  <si>
    <t>https://www.wildberries.ru/catalog/232481242/detail.aspx</t>
  </si>
  <si>
    <t>https://www.ozon.ru/product/1581991716</t>
  </si>
  <si>
    <t>https://market.yandex.ru/card/gel-dlya-intimnoy-gigiyeny-s-molochnoy-kislotoy-alteya-intimvita-200-ml/103515446782?businessId=1422090&amp;showOriginalKmEmptyOffer=1&amp;ogV=-10</t>
  </si>
  <si>
    <t>https://www.letu.ru/product/alteya-gel-dlya-intimnoi-gigieny-s-molochnoi-kislotoi-intimvita/164000027</t>
  </si>
  <si>
    <t xml:space="preserve"> RU.77.99.29.001.R.001146.05.20 от 14.05.2020</t>
  </si>
  <si>
    <t xml:space="preserve"> Aqua, Sodium Laureth Sulfate, Sodium Chloride, Cocamide DEA, Cocamidopropyl Betaine, Glycerin, Betaine, Propylene Glycol, Calendula Officinalis Flower Extract, Chamomilla Recutita Flower Extract, Fragaria Vesca Leaf Extract, Achillea Millefolium Herb Extract, Pyrus Cydonia Fruit Extract, PEG-120 Methyl Glucose Dioleate, Ethylene Glycol Distearate, Ethoxylated Fatty Alcohols C12-C14, Parfum, Phenoxyethanol, Ethylhexylglycerin, Lactic Acid.</t>
  </si>
  <si>
    <t xml:space="preserve"> 24 месяца</t>
  </si>
  <si>
    <t>https://docs.google.com/document/d/1WyzCEuwt6Qx4U3CniNCJHuhEDiAfsJWB/edit?usp=drive_web&amp;ouid=104241417680089502627&amp;rtpof=true</t>
  </si>
  <si>
    <t>biotrin_60mlV1</t>
  </si>
  <si>
    <t>Тестовый SKU</t>
  </si>
  <si>
    <t>qeep_maman_200ml</t>
  </si>
  <si>
    <t xml:space="preserve"> Красота</t>
  </si>
  <si>
    <t>Крем от растяжек, подходит для беременных и для подростков</t>
  </si>
  <si>
    <t>Крем от растяжек для беременных и для подростков, для груди и тела, увлажняющий Qeep 200 мл</t>
  </si>
  <si>
    <t>https://www.wildberries.ru/catalog/716103412/detail.aspx</t>
  </si>
  <si>
    <t>https://market.yandex.ru/card/krem-ot-rastyazhek-podkhodit-dlya-beremennykh-i-dlya-podrostkov/4914680343?businessId=8291477&amp;showOriginalKmEmptyOffer=1&amp;ogV=-10</t>
  </si>
  <si>
    <t>Aqua, Glycerin, Prunus Amygdalus Dulcis (Sweet Almond) Oil, Petrolatum, 
Theobroma Cacao (Cocoa) Seed Butter, Cocos Nucifera Oil, Dodecane, Dimethicone,  Glyceryl Monostearate, Butyrospermum Parkii Oil, Cetylstearyl Alcohol, Ceteareth-23, Ceteareth-6, Stearic Acid, Squalane, Linum Usitatissimum (Linseed) Seed Oil, Isopropyl Myristate, Tocopheryl Acetate, Retinyl Palmitate,  Simmondsia Chinensis (Jojoba) Seed Oil, Prunus Persica (Peach) Kernel Oil, Sodium Hyaluronate,Ceteareth-20, Hydrolyzed Collagen, Hydrolyzed Elastin,  Phenoxyethanol, Ethylhexylglycerin, Sodium Polyacrylate, Parfum, ВНТ, Coumarin, Linalool. "</t>
  </si>
  <si>
    <t>https://docs.google.com/document/d/1PUnCA264rLeHwOHUrYhTjbX6bEBK-JVTFGbDD868y-o/edit?tab=t.0</t>
  </si>
  <si>
    <t>qeep_inositolzinc_11</t>
  </si>
  <si>
    <t>Набор Инозитол 1500 мг + Цинк бисглицинат 25 мг</t>
  </si>
  <si>
    <t>https://www.wildberries.ru/catalog/723135494/detail.aspx</t>
  </si>
  <si>
    <t>https://market.yandex.ru/card/nabor-inozitol-1500-mg--tsink-bisglitsinat-25-mg/4914700613?businessId=8291477&amp;showOriginalKmEmptyOffer=1&amp;ogV=-10</t>
  </si>
  <si>
    <t>qeep_omegamagn_11</t>
  </si>
  <si>
    <t>Омега 3 и Магний цитрат 635 мг - поддержка сердца и нервов</t>
  </si>
  <si>
    <t>https://www.wildberries.ru/catalog/723220708/detail.aspx</t>
  </si>
  <si>
    <t>https://market.yandex.ru/card/omega-3-i-magniy-tsitrat-635-mg---podderzhka-serdtsa-i-nervov/4914676196?businessId=8291477&amp;showOriginalKmEmptyOffer=1&amp;ogV=-10</t>
  </si>
  <si>
    <t>qeep_sivitc_11</t>
  </si>
  <si>
    <t>Набор для красоты Beauty Complex + Витамин С 500 мг</t>
  </si>
  <si>
    <t>https://www.wildberries.ru/catalog/723490719/detail.aspx</t>
  </si>
  <si>
    <t>https://market.yandex.ru/card/nabor-dlya-krasoty-beauty-complex--vitamin-s-500-mg/4914732726?businessId=8291477&amp;generalContext=t%3DshopInShop%3Bbi%3D1422090%3B&amp;showOriginalKmEmptyOffer=1&amp;ogV=-10</t>
  </si>
  <si>
    <t>copywbgetsize1gel2</t>
  </si>
  <si>
    <t>getsize1gel2</t>
  </si>
  <si>
    <t>GETSIZE / Комплекс для увеличения полового члена. Эрекционное кольцо 1 шт и лубрикант интимная смазка, 30 мл*2</t>
  </si>
  <si>
    <t>https://www.wildberries.ru/catalog/214221270/detail.aspx</t>
  </si>
  <si>
    <t>Насадки на член</t>
  </si>
  <si>
    <t>аптека / интим-товары / секс-игрушки</t>
  </si>
  <si>
    <t>sustalit_30ml_1_1</t>
  </si>
  <si>
    <t>CC101100447</t>
  </si>
  <si>
    <t>https://www.wildberries.ru/catalog/318415062/detail.aspx</t>
  </si>
  <si>
    <t>Вода, масло черного тмина, масло оливы, масло вечерней примулы, вытяжка из пантов алтайского марала, экстракт конского каштана, экстракт сабельника, экстракт чёрного тмин,глицерил стеарат, карбомер, экстракт ягеля, экстракт босвелии (ладана), глюкозамин сульфат, хондроитина сульфат, витамин Д3, желчь, тэа, камфора, феноксиэтанол, этилгексилглицерин.</t>
  </si>
  <si>
    <t>не рекомендуется использовать во время беременности и детям.</t>
  </si>
  <si>
    <t>trezvin_1_1</t>
  </si>
  <si>
    <t>CO101100430</t>
  </si>
  <si>
    <t>https://www.wildberries.ru/catalog/525336870/detail.aspx</t>
  </si>
  <si>
    <t>Екатерина +7 916 793 5428</t>
  </si>
  <si>
    <t>qeep_proprebio_probiokids_3030caps</t>
  </si>
  <si>
    <t>БАД Набор пробиотики и пребиотики</t>
  </si>
  <si>
    <t>QB101100527</t>
  </si>
  <si>
    <t>https://www.wildberries.ru/catalog/172647498/detail.aspx</t>
  </si>
  <si>
    <t>2038323133011</t>
  </si>
  <si>
    <t>qeep_omegaprem_omegakids_9090caps</t>
  </si>
  <si>
    <t>БАД Набор омега для взрослых и детей</t>
  </si>
  <si>
    <t>QB101100529</t>
  </si>
  <si>
    <t>Омега 3 omega рыбий жир в капсулах, для детей</t>
  </si>
  <si>
    <t>https://www.wildberries.ru/catalog/172647794/detail.aspx</t>
  </si>
  <si>
    <t>2038323178135</t>
  </si>
  <si>
    <t>qeep_coenzyme_biotin_3060caps</t>
  </si>
  <si>
    <t>БАД Набор коэнзим биотин</t>
  </si>
  <si>
    <t>QB101100528</t>
  </si>
  <si>
    <t>Коэнзим q10 капсулы + биотин 5000 мкг</t>
  </si>
  <si>
    <t>https://www.wildberries.ru/catalog/172648280/detail.aspx</t>
  </si>
  <si>
    <t>2038323211221</t>
  </si>
  <si>
    <t xml:space="preserve">оливковое масло нерафинированное, витамин В3 (никотинамид), кверцетин, коэнзим Q10, витамин В5 (пантотенат кальция), витамин В6 (пиридоксина гидрохлорид), витамин В1 (тиамина мононитрат), витамин В2 (рибофлавин), витамин В9 (фолиевая кислота), витамин Н (биотин), витамин В12 (цианокобаламин). Вспомогательные вещества: капсула желатиновая (желатин, глицерин агент влагоудерживающий, сорбит агент влагоудерживающий), кремния диоксид (носитель), антиокислитель гриндокс (аскорбилпальмитат, натуральный концентрат смеси токоферолов, лецитин, рапсовое масло).
</t>
  </si>
  <si>
    <t xml:space="preserve"> взрослым по 1 капсуле 1-2 раза в день во время еды. Продолжительность приёма 1 месяц.
</t>
  </si>
  <si>
    <t>qeep_coenzyme_omega3_3030caps</t>
  </si>
  <si>
    <t>БАД Набор коэнзим и омега</t>
  </si>
  <si>
    <t>QB101100526</t>
  </si>
  <si>
    <t>Коэнзим q10 капсулы + Omega 3</t>
  </si>
  <si>
    <t>https://www.wildberries.ru/catalog/172648470/detail.aspx</t>
  </si>
  <si>
    <t>2038323241549</t>
  </si>
  <si>
    <t>qeep_taurine_90caps_2</t>
  </si>
  <si>
    <t>БАД Таурин 90 капсул</t>
  </si>
  <si>
    <t>QB101100516</t>
  </si>
  <si>
    <t>БАД Таурин капсулы 90 шт витамины для энергии</t>
  </si>
  <si>
    <t>https://www.wildberries.ru/catalog/174090982/detail.aspx</t>
  </si>
  <si>
    <t>2038464322282</t>
  </si>
  <si>
    <t>действующее вещество: L-таурин, твердая капсула (носитель: желатин пищевой, изготовленный из шкур крупного рогатого скота (или свиней), без добавления красителя (диоксида титана).</t>
  </si>
  <si>
    <t xml:space="preserve"> взрослым по 2 капсулы (массой 720мг) в день во время еды. Продолжительность приема 1 месяц. При необходимости, прием можно повторить
</t>
  </si>
  <si>
    <t xml:space="preserve">индивидуальная непереносимость компонентов БАД к пище, беременность, кормление грудью. Перед применением рекомендуется проконсультироваться с врачом
</t>
  </si>
  <si>
    <t xml:space="preserve"> хранить в  оригинальной упаковке, защищенном от попадания прямых солнечных лучей и недоступном для детей месте, при температуре не выше 25°С. После вскрытия упаковку хранить плотно закрытой при тех же условиях.
</t>
  </si>
  <si>
    <t xml:space="preserve"> ООО Арсенал Атлета, 443535, Россия, Самарская область, Волжский муниципальный район, сельское поселение Лопатино, село Лопатино, улица Мира, здание 16/8, офис 1, тел.: +7 (902) 580 30 82,     e-mail: yozavod@gmail.com.
</t>
  </si>
  <si>
    <t>qeep_tribusterone_60caps</t>
  </si>
  <si>
    <t>БАД Трибустерон 60 капсул</t>
  </si>
  <si>
    <t>QB101100522</t>
  </si>
  <si>
    <t>Бустер тестостерона для мужчин Трибустерон 60 капсул</t>
  </si>
  <si>
    <t>https://www.wildberries.ru/catalog/567074424/detail.aspx</t>
  </si>
  <si>
    <t>D-аспарагиновая кислота, экстракт корня маки перуанской, цитрат цинка, экстракт чёрного перца (Bioperine®), экстракт трибулуса, экстракт корня радиолы розовой, экстракт корня эхинацеи, твердая желатиновая капсула.</t>
  </si>
  <si>
    <t>https://docs.google.com/document/d/1gdLeErGHptRMKGEWx79XbZOtaNGA21D3eWALHFMJ-pA/edit?tab=t.0</t>
  </si>
  <si>
    <t>biotrin</t>
  </si>
  <si>
    <t>Крем мазь для суставов и связок Биотрин обезболивающий, гель от боли в суставах 30 мл</t>
  </si>
  <si>
    <t>https://docs.google.com/document/d/1J7Mb1fr2H2W4Ccar67YOzbsgfVH6WYUb7BARi8oiw0s/edit</t>
  </si>
  <si>
    <t>chudofruct_1_1</t>
  </si>
  <si>
    <t>Шипучие таблетки для похудения, средство для похудения,  детокс, жиросжигатель, Алтея, Чудо фрукт, 10*2</t>
  </si>
  <si>
    <t>https://market.yandex.ru/card/shipuchiye-tabletki-dlya-pokhudeniya-detoks-zhiroszhigatel-alteya-chudo-frukt-2-shtuki/103515429013?do-waremd5=TKk9IE1Frz0tSiL4GS1urA&amp;businessId=1422090&amp;ogV=-10</t>
  </si>
  <si>
    <t>getsize</t>
  </si>
  <si>
    <t xml:space="preserve">Эрекционная насадка для увеличения члена, мастурбатор, секс игрушки 18+		</t>
  </si>
  <si>
    <t>https://market.yandex.ru/card/erektsionnaya-nasadka-na-chlen-dlya-uvelicheniya-i-erektsii-18/101436893899?businessId=1422090&amp;clid=1422090&amp;model_id=855435754&amp;distr_type=8&amp;pp=605</t>
  </si>
  <si>
    <t>Эрекционное кольцо</t>
  </si>
  <si>
    <t>ЕАЭС N RU Д-RU.PД04.B.03319/19 от11.10.2019 по 10.10.2024</t>
  </si>
  <si>
    <t>пластик, медицинский силикон</t>
  </si>
  <si>
    <t>micelix</t>
  </si>
  <si>
    <t>Комплекс Детокс для иммунитета, детокс для очищения печени и кишечника, грибной сбор Мицеликс, 10 саше</t>
  </si>
  <si>
    <t>https://market.yandex.ru/card/pishchevaya-dobavka-dlya-immuniteta-i-ochishcheniya-pecheni-mitseliks-10-sashe/103331698965?businessId=1422090&amp;clid=1422090&amp;model_id=1782008415&amp;distr_type=8&amp;pp=605</t>
  </si>
  <si>
    <t>БАД для ускорения обмена веществ</t>
  </si>
  <si>
    <t>optitrin</t>
  </si>
  <si>
    <t>Витамины для глаз и зрения с лютеином и черникой, глазные капли Оптитрин, капли для глаз, 7 ампул</t>
  </si>
  <si>
    <t>https://market.yandex.ru/card/vitaminy-dlya-glaz-i-zreniya-s-lyuteinom-i-chernikoy-optitrin--7-ampul/101436838679?businessId=1422090&amp;clid=1422090&amp;model_id=1109007651&amp;distr_type=8&amp;pp=605</t>
  </si>
  <si>
    <t>Витаминный комплекс</t>
  </si>
  <si>
    <t>4627099781915, 4631136905394</t>
  </si>
  <si>
    <t>https://docs.google.com/document/d/1vy0foGn1s9vERD3UtQuB0CBrmVAmgpIpwkKYHfysbo0/edit</t>
  </si>
  <si>
    <t>ООО «КАПИТАЛПРОДУКТ», 140060, Московская область, город Люберцы, рабочий поселок Октябрьский, улица 60 лет Победы, дом 5, этаж 1, помещение 1-8, нежилое помещение IV</t>
  </si>
  <si>
    <t>remuver_40ml</t>
  </si>
  <si>
    <t>Ремувер для удаления кутикулы, средство для быстрого удаления кутикулы, Алтея, 40 мл</t>
  </si>
  <si>
    <t>Средство для удаления кутикулы</t>
  </si>
  <si>
    <t>sinergel</t>
  </si>
  <si>
    <t>Крем мазь для суставов и связок Синергель обезболивающий, противовоспалительный гель от боли, от отеков в ногах 30 мл</t>
  </si>
  <si>
    <t>https://market.yandex.ru/card/krem-maz-dlya-sustavov-i-svyazok-sinergel-obezbolivayushchiy-protivovospalitelnyy-krem-gel-ot-boli-ot-otekov-v-nogakh-dlya-poyasnitsy-30-ml/103340894562?businessId=1422090&amp;clid=1422090&amp;model_id=49508284&amp;distr_type=8&amp;pp=605</t>
  </si>
  <si>
    <t>https://docs.google.com/document/d/1_zk9KuYPLukUxVNe67r7KqGVhAF5LBd40DishYwhKtw/edit</t>
  </si>
  <si>
    <t>varitox</t>
  </si>
  <si>
    <t>Крем от варикоза усталости и отеков ног,  охлаждающий, тонизирующий , снимает отечность ног Varitox , 30 мл</t>
  </si>
  <si>
    <t>https://market.yandex.ru/card/varitox-krem-fl/103543849805?businessId=1422090&amp;clid=1422090&amp;model_id=696344170&amp;distr_type=8&amp;pp=605</t>
  </si>
  <si>
    <t>https://docs.google.com/document/d/0B7-1wy6SJH2oWmNnTU9mdGgwTjA/edit?rtpof=true&amp;resourcekey=0-anWRMH8mm47pdMr2XxYS9Q</t>
  </si>
  <si>
    <t>qeep_spiculeglow_30ml</t>
  </si>
  <si>
    <t>ЕАЭС N RU Д-RU.PA01.B.46906/26 от 01.02.2026</t>
  </si>
  <si>
    <t>https://drive.google.com/drive/u/0/folders/1pTueQK9CWTBCSFGwxMvkHygJ9VpI0DPx</t>
  </si>
  <si>
    <t>Aqua, Nicotinamide, Propylene Glycol, Glycerin, Cetearyl Olivate, Sorbitan Olivate, Simmondsia Chinensis (Jojoba) Seed Oil, Hydrolyzed Sponge, Desamido Collagen, Sodium Hyaluronate, Allantoin, Rubus Idaeus Fruit Extract, Althaea Officinalis Root Extract, Cyanocobalamin, Bambusa Vulgaris Extract, Carbomer, Phenoxyethanol, Ethylhexylglycerin, Disodium Edta, Fragrance, CI 14720.</t>
  </si>
  <si>
    <t xml:space="preserve">Нанесите тонким слоем сыворотку на предварительно очищенную протонизированную кожу лица. 
</t>
  </si>
  <si>
    <t xml:space="preserve">Меры предосторожности: возможна индивидуальная непереносимость отдельных компонентов состава.
</t>
  </si>
  <si>
    <t>хранить при температуре не ниже 0°С и не выше 25°С.</t>
  </si>
  <si>
    <t>https://docs.google.com/document/d/1jlzikAujb1zNeMS35WOuifbpT4RWUUzm-jNuxwVeEuw/edit?tab=t.0</t>
  </si>
  <si>
    <t>qeep_magnmalat_60caps</t>
  </si>
  <si>
    <t>AM.01.08.01.003.R.000322.06.24</t>
  </si>
  <si>
    <t>https://drive.google.com/drive/u/0/folders/15-fPql0mFxkzoDoVdt1aoec2cBrX3F72</t>
  </si>
  <si>
    <t xml:space="preserve">магния малат, оболочка капсулы (гидроксипропилметилцеллюлоза), микрокристаллическая целлюлоза (носитель), витамин В6 (пиридоксаль-5-фосфат), магниевая соль стеариновой кислоты (агент антислеживающий).
</t>
  </si>
  <si>
    <t xml:space="preserve"> взрослым по 1 капсуле 1 раз в день во время еды. Продолжительность приёма 1 месяц.
</t>
  </si>
  <si>
    <t>хранить в упаковке изготовителя, в сухом недоступном для детей месте при температуре не выше +25°С.</t>
  </si>
  <si>
    <t>https://docs.google.com/document/d/16T1_MSNEeotSZWPShlDL-a2vCmkfKkeIkczP_x2mXHM/edit?tab=t.0</t>
  </si>
  <si>
    <t>ООО "Рубин"</t>
  </si>
  <si>
    <t>qeep_magntreonat_90caps</t>
  </si>
  <si>
    <t>AM.01.08.01.003.R.000495.10.24</t>
  </si>
  <si>
    <t>https://drive.google.com/drive/u/0/folders/1tog8_MCRUSIgm_Z7OKHyqcdk5Ej3mgSP</t>
  </si>
  <si>
    <t>магния L-треонат, оболочка капсулы (гидроксипропилметилцеллюлоза), микрокристаллическая целлюлоза (носитель).</t>
  </si>
  <si>
    <t xml:space="preserve"> взрослым по 1 капсуле 3 раза в день во время еды. Продолжительность приёма 1 месяц.
</t>
  </si>
  <si>
    <t>https://docs.google.com/document/d/10rQ5oKf9Tqd2vEsWrktSsCsl1Dh2i_fWZecsDq3tjH4/edit?tab=t.0</t>
  </si>
  <si>
    <t>qeep_artichoke_60aps</t>
  </si>
  <si>
    <t>https://drive.google.com/drive/u/0/folders/1EQaB2VdgOJizfpk-hFls1Sc0FBsyrSXO</t>
  </si>
  <si>
    <t xml:space="preserve">микрокристаллическая целлюлоза (носитель), экстракт листа артишока, капсула (желатин), магниевая соль стеариновой кислоты (агент антислеживающий), пиридоксина гидрохлорид.
</t>
  </si>
  <si>
    <t xml:space="preserve"> взрослым по 1 капсуле 2 раза в день во время еды. Продолжительность приёма 1 месяц.
</t>
  </si>
  <si>
    <t>https://docs.google.com/document/d/1JEuJTeZcaAVm5tl2ZiCPjX3Cq3CY9qRC90hxE-IjLVk/edit?tab=t.0</t>
  </si>
  <si>
    <t>qeep_tonic_200ml_v2</t>
  </si>
  <si>
    <t>aqua, Nicotinamide, Glycerin, centella asiatica leaf extract, PEG 40, hydrogenated castor oil, zinc PCA, Allantoin, Salicylic acid, glycolic acid, alteromonas fermant extract, betaine, sodium PCA, sorbitol, serine, glycine, glutamic acid, alanine, lysine, arginine, threonine, proline, sodium hyaluronate, lactic acid, citric acid, phenoxyethanol, ethylhexylglycerin, parfum.</t>
  </si>
  <si>
    <t>harly_dog_pads_6090_30pcs</t>
  </si>
  <si>
    <t>Пеленки для собак 60х90, Harly, 30 штук</t>
  </si>
  <si>
    <t>qeep_beardoil_50ml</t>
  </si>
  <si>
    <t>qeep Perfect Man масло для бороды 50 мл</t>
  </si>
  <si>
    <t xml:space="preserve">Helianthus annus seed oil, Arctium Lappa (Root) Extract, Caprylic/Capric Triglyceride, Prunus Amygdalus Dulcis Oil, Macadamia Ternifolia Seed Oil, Vitis Vinifera (Grape) Seed Oil, Tocopherryl Acetate, BHT, Parfum, Linalool. </t>
  </si>
  <si>
    <t>нанесите 3-5 капель масла на ладони, разотрите и равномерно распределите по вымытой и слегка влажной бороде, от корней до кончиков. Для лучшего эффекта используйте ежедневно или через день.</t>
  </si>
  <si>
    <t>храните в недоступном для детей месте. При хранении соблюдайте температуру от +5°C до +25°C.</t>
  </si>
  <si>
    <t>https://docs.google.com/document/d/1vKUDaNWIrymYdHEsJ0UP6UHsRDapAZxvx-mFTHlS-rU/edit?tab=t.0</t>
  </si>
  <si>
    <t>qeep_beardshampoo_400ml</t>
  </si>
  <si>
    <t>qeep Perfect Man Шампунь для бороды 400 мл</t>
  </si>
  <si>
    <t xml:space="preserve">Aqua, Sodium C12-18 Olefin Sulfonate, Cocamidopropyl Betaine, Disodium Laureth Sulfosucinate, Coco Glucoside, Laureth-7, Cocamide DEA, Glycol Distearate, Sodium Chloride, Menthol, Camellia Sinensis Leaf Extract, Panthenol, Guar Hydroxypropyltrimonium Chloride, Mentha Piperita (Peppermint) Oil, Citric Acid, Methylchloroisothiazolinone, Methylisothiazolinone, Parfum, Linalool. </t>
  </si>
  <si>
    <t>нанесите небольшое количество шампуня на влажную бороду, помассируйте кожу у корней волос и распределите по всей длине. Тщательно смойте теплой водой. Используйте 2-3 раза в неделю или по мере необходимости</t>
  </si>
  <si>
    <t>https://docs.google.com/document/d/1Jph7cGhrQX5NU9s38o4btFtFDRX07TNZQkVcX_jHjgo/edit?tab=t.0</t>
  </si>
  <si>
    <t>qeep_chlorophyll_malina_500ml</t>
  </si>
  <si>
    <t>qeep Хлорофилл мята-малина 500 мл</t>
  </si>
  <si>
    <t>AM.01.01.01.003.R.000123.02.26 от 13.02.2026г.</t>
  </si>
  <si>
    <t>https://drive.google.com/drive/u/0/folders/1EUvdVpb27VhFoFhfTgkew2pkU0T16ZOF</t>
  </si>
  <si>
    <t>вода подготовленная столовая, экстракт люцерны (Medicago sativa L) (хлорофилл 30%), медные комплексы хлорофиллинов Е141(ii), сорбат калия (консервант (Е 202)), бензоат натрия (консервант (Е 211)), лимонная кислота (регулятор кислотности (Е 330)), экстракт мяты, пищевой ароматизатор.</t>
  </si>
  <si>
    <t>смешайте 25 мл продукта, используя мерный колпачок на бутылке, в 100 мл теплой воды или любого напитка. Рекомендуется принимать 1-2 порции в день во время приема пищи.</t>
  </si>
  <si>
    <t>хранить в оригинальной закрытой упаковке в сухом, защищенном от прямых солнечных и недоступном для детей месте, при температуре от + 5 0С до + 25 0С. После вскрытия упаковки продукт хранить не более 8 недель в сухом прохладном месте, в плотно закрытой бутылке при температуре от + 5 0С до + 15 0С без прямого попадания солнечных лучей.</t>
  </si>
  <si>
    <t>https://docs.google.com/document/d/1R_VsAtXBMumlGOtU2Z3tQ5YatZFZ1AsVaVnXXzGmnlw/edit?tab=t.0</t>
  </si>
  <si>
    <t>qeep_chlorophyll_smorod_500ml</t>
  </si>
  <si>
    <t>qeep Хлорофилл мята-смородина 500 мл</t>
  </si>
  <si>
    <t>https://drive.google.com/drive/u/0/folders/110T_U6yiW1hbq_5dtrd03Wu9RgL_mTsG</t>
  </si>
  <si>
    <t>https://docs.google.com/document/d/1s08Zi93hLK8BJCf01Qb13mG4E8tjM4gSFfDc7V0l-Vc/edit?tab=t.0</t>
  </si>
  <si>
    <t>qeep_arginine2175_90caps</t>
  </si>
  <si>
    <t>qeep Аргинин 2175 мг 90 капсул</t>
  </si>
  <si>
    <t>AM.01.11.01.003.R.000431.07.24 от 26.07.2024</t>
  </si>
  <si>
    <t>https://drive.google.com/drive/u/0/folders/1iCglCfQGl6yrb6ZnmUFibQ8ViKnnhX6H</t>
  </si>
  <si>
    <t xml:space="preserve">L-аргинин альфа кетоглутарат, капсула (желатин), магниевая соль стеариновой кислоты (антислеживающий агент). </t>
  </si>
  <si>
    <t>взрослым принимать по 1 капсуле 3 раза в день во время еды. Продолжительность приема: 1 месяц. При необходимости прием можно повторить.</t>
  </si>
  <si>
    <t>https://docs.google.com/document/d/1TdACiGyBE9eVpjIZ45WkEH_sw3q-zFHyUZkIFnSCiX8/edit?tab=t.0</t>
  </si>
  <si>
    <t>spicul_gel_mask_75ml</t>
  </si>
  <si>
    <t>Гелевая маска со спикулами, 75 мл</t>
  </si>
  <si>
    <t>Water, Ethoxydiglycol, Glycerin, Propanediol, Caprylyl/Capryl Glucoside, Caprylyl Glycol, Ammonium Polyacryloyldimethyl Taurate, Benzophenone-4, Panthenol, Aloe Barbadensis Leaf Juice, Allantoin, Salicylic Acid , Acrylic Polymer, Caffeine, Hyaluronic Acid, Spicule (Hydrolyzed Sponge), Vinegar (and) Pyrus Malus (Apple) Fruit Extract (and) Water (and) Fructose (and) Glucose (and) Gluconic Acid (and) Gluconolactone (and) Caesalpinia Spinosa Gum (and) Citrus Limon (Lemon) Fruit Extract (and) Tamarindus Indica Fruit Extract, Niacinamide, Morus Alba Bark Extract, Illicium Verum (Anise) Fruit Extract, Houttuynia Cordata Extract, Centella Asiatica Extract, Moringa Oleifera Leaf Powder, Citric acid, Methylchloroisothiazolinone, Methylisothiazolinone, Phenoxyethanol, Benzisothiazolinone, Methylisothiazolinone, Parfum, CI 17200</t>
  </si>
  <si>
    <t xml:space="preserve"> нанести необходимое количество маски на сухую, предварительно очищенную кожу, избегая области глаз и губ. Сделать массаж, слегка надавливая на кожу. Спустя 20 минут смыть остатки средства. Сразу после умывания на коже можно будет почувствовать остатки спикул. Спикулы полностью растворятся в течение часа.  </t>
  </si>
  <si>
    <t xml:space="preserve"> возможна индивидуальная непереносимость к отдельным компонентам.</t>
  </si>
  <si>
    <t xml:space="preserve"> не ниже 0 °C и не выше +25 °C, при отсутствии непосредственного воздействия солнечного света, в недоступном для детей месте.</t>
  </si>
  <si>
    <t>cardicin_BAD_60caps</t>
  </si>
  <si>
    <t>gidrofilnoe_maslo_150ml</t>
  </si>
  <si>
    <t>spiculboost_30ml</t>
  </si>
  <si>
    <t>Сыворотка для лица SPICULBOOST, Алтея, 30 мл</t>
  </si>
  <si>
    <t>termo_sprei_200ml_v2</t>
  </si>
  <si>
    <t>Спрей для волос 17 в 1 восстанавливающий с кератином, Алтея, 200 мл</t>
  </si>
  <si>
    <t xml:space="preserve"> Волосы</t>
  </si>
  <si>
    <t>Набор Крем для лица Ретинайт 0,25%,50 мл + Крем для лица Ретинайт 0,5%,50 мл</t>
  </si>
  <si>
    <t>Retinol_Full_Journey</t>
  </si>
  <si>
    <t>Набор Крем для лица Ретинайт 0,25%,50 мл + Крем для лица Ретинайт 0,5%,50 мл + Крем для лица Ретинайт 1%,50 мл</t>
  </si>
  <si>
    <t>Strong_Hair</t>
  </si>
  <si>
    <t>Набор для роста волос Шампунь с красным перцем, 250 мл + Маска с красным перцем, 500 мл</t>
  </si>
  <si>
    <t>shampun_kudryavii_metod_500ml</t>
  </si>
  <si>
    <t>Шампунь для кудрявых волос, Алтея, 500 мл</t>
  </si>
  <si>
    <t>balzam_kudryavii_metod_500ml</t>
  </si>
  <si>
    <t>Бальзам для кудрявых волос, Алтея, 500 мл</t>
  </si>
  <si>
    <t>termo_maslo_100ml</t>
  </si>
  <si>
    <t>Термозащитное масло для волос, Алтея, 100 мл</t>
  </si>
  <si>
    <t>Сыворотка для лица Ретинайт 0,25%, Алтея, 30 мл</t>
  </si>
  <si>
    <t>Сыворотка для лица с ниацинамидом 0,5%, Алтея, 30 мл</t>
  </si>
  <si>
    <t>harly_seniordog_100tabs</t>
  </si>
  <si>
    <t>Harly Витамины для пожилых собак</t>
  </si>
  <si>
    <t>https://drive.google.com/drive/folders/19ydyHLPXzkBkLsrkebYk3MSdzRhl1pIC</t>
  </si>
  <si>
    <t xml:space="preserve">Состав : лактоза, дрожжи пивные сухие кормовые; апикомплекс, являющийся водным извлечением из продуктов пчеловодства: подмор пчёл; фитокомплекс, являющийся водным извлечением из растительного сырья: мелиссы лекарственной травы, боярышника плодов, пустырника травы, донника травы, валерианы лекарственной корней и корневищ, мяты перечной листьев, котовника травы, тысячелистника обыкновенного травы, горца птичьего(спорыша) травы, сушеницы топяной травы, буквицы травы; комплекс минеральный (кальция фосфат дефторированный), комплексная вкусоароматическая пищевая добавка «Бекон», крахмал картофельный, кальция стеарат, поливинилпирролидон, L-карнитин, коллагена гидролизат, сера молотая кормовая.
</t>
  </si>
  <si>
    <t>ежедневно 2 раза в сутки перед кормлением или вместе с основным кормом.собакам мелких пород (до 10 кг) по 0,5 г (1 шт.);собакам средних размеров (до 30 кг) по 1 г (2 шт.);собакам крупных размеров (свыше 30 кг) по 1,5 г (3 шт.).Применять до достижения желаемого результата или на постоянной основе.</t>
  </si>
  <si>
    <t>Хранить при температуре от +0 до +25 °C, избегать попадания прямых солнечных лучей.</t>
  </si>
  <si>
    <t>гранул</t>
  </si>
  <si>
    <t>18 мес</t>
  </si>
  <si>
    <t>https://docs.google.com/document/d/1IrZQCENtihaYhTGvtfPZCVgp48YQpD70ziwYyFmCWsE/edit?tab=t.0</t>
  </si>
  <si>
    <t>https://disk.yandex.ru/d/kq2033NzNtf_7w</t>
  </si>
  <si>
    <t>harly_seniorcat_100tabs</t>
  </si>
  <si>
    <t>Harly Витамины для пожилых кошек</t>
  </si>
  <si>
    <t>Состав : лактоза, дрожжи пивные сухие кормовые; апикомплекс, являющийся водным извлечением из продуктов пчеловодства: подмор пчёл; фитокомплекс, 
являющийся водным извлечением из растительного сырья: мелиссы лекарственной травы, боярышника плодов, пустырника травы, донника травы, валерианы лекарственной корней и корневищ, 
мяты перечной листьев, котовника травы, тысячелистника обыкновенного травы , горца птичьего(спорыша) травы, сушеницы топяной травы, буквицы травы; комплекс минеральный (кальция фосфат дефторированный),
 мука рыбная, крахмал картофельный, кальция стеарат, поливинилпирролидон, L-карнитин, коллагена гидролизат , таурин, сера молотая кормовая.</t>
  </si>
  <si>
    <t>Рекомендации по кормлению: животным с 6 летнего возраста, ежедневно 2 раза в сутки по 0,5 г (1 шт.) перед кормлением или вместе с основным кормом.Применять до достижения желаемого результата или на постоянной основе.</t>
  </si>
  <si>
    <t xml:space="preserve">18 мес </t>
  </si>
  <si>
    <t>https://docs.google.com/document/d/1B60DteuHARAHVmpy8QTkCkZcFcqd3NC-HnDgoYqpbxQ/edit?tab=t.0</t>
  </si>
  <si>
    <t>qeep_spiculemask_75ml</t>
  </si>
  <si>
    <t>qeep Spicule Glow маска для лица 75 мл</t>
  </si>
  <si>
    <t>https://docs.google.com/document/d/1NddRITKXoKhRnrAhUcxD7ZrlnhPBuUMBIFh7P2Pvk1M/edit?tab=t.0</t>
  </si>
  <si>
    <t>lifting_maska_pdrn_75ml</t>
  </si>
  <si>
    <t>Лифтинг-Маска с ПДРН (PDRN) и пептидами, 75 мл</t>
  </si>
  <si>
    <t>Water, Isopropyl Alcohol, Polyvinyl Alcohol, Glycerin, Propanediol, Niacinamide, Caffeine, Desamido Collagen (and) Sodium Hyaluronate, Hyaluronic Acid, Panthenol, Glycine, PEG-400, Mannitol, Tromethamine, GlutamicAcid, Arginine HCI, Alanine, Aspartic Acid, Lysine Hydrochloride, Leucine, Valine, Citric Acid, Sodium Lactate, Sorbitol, Glucose, Phenylalanine, Isoleucine, Tyrosine, Histidine Hydrochloride, Hydrolyzed Soy Protein, Bis (Tripeptide-1) Copper Acetate, Phenoxyethanol (and) Ethylhexylglycerin, Xanthan Gum, 1,2-Hexanediol, Sodium DNA,  Panax Ginseng Root Extract, Rosa Damascena Flower Extract, Narcissus Tazetta Bulb Extract, Pentylene Glycol, Acetyl Dipeptide-1 Cetyl Ester, Citric acid, Parfum</t>
  </si>
  <si>
    <t>Артикул</t>
  </si>
  <si>
    <t>Артикул ВБ</t>
  </si>
  <si>
    <t>Плечо производства (дн)</t>
  </si>
  <si>
    <t>Итого</t>
  </si>
  <si>
    <t>реальный показатель в днях +/-</t>
  </si>
  <si>
    <t>fbs_qeepmultivitamin</t>
  </si>
  <si>
    <t>fbs_qeep_glutamine_90caps</t>
  </si>
  <si>
    <t>artoks_50ml</t>
  </si>
  <si>
    <t>qeepTVL_Carnitine</t>
  </si>
  <si>
    <t>qeepTVmultivitamins</t>
  </si>
  <si>
    <t>qeepTVomega_3_1620</t>
  </si>
  <si>
    <t>qeepTVomega_kids</t>
  </si>
  <si>
    <t>qeepTVProbiotic_Complex</t>
  </si>
  <si>
    <t>qeepTVselenium</t>
  </si>
  <si>
    <t>qeepTVspirulina_chlorella</t>
  </si>
  <si>
    <t>qeepTVtripleIron</t>
  </si>
  <si>
    <t>qeepTVVita_minerals_for_kids</t>
  </si>
  <si>
    <t>qeepTVwomen_multi</t>
  </si>
  <si>
    <t>qeepTVZeolite</t>
  </si>
  <si>
    <t>ergeron</t>
  </si>
  <si>
    <t>qeepTVzinc</t>
  </si>
  <si>
    <t>qeepwomenmulti1_1</t>
  </si>
  <si>
    <t>qoenzyme1_1</t>
  </si>
  <si>
    <t>qeepchrom1_1</t>
  </si>
  <si>
    <t>qeepantioxy1_1</t>
  </si>
  <si>
    <t>qeepcollagen1_1</t>
  </si>
  <si>
    <t>qeepd3k3_1_1</t>
  </si>
  <si>
    <t>copywbneomaxblue</t>
  </si>
  <si>
    <t>qeepTVcollagen_peptides_lemon</t>
  </si>
  <si>
    <t>qeepTVcollagen_peptides_mango</t>
  </si>
  <si>
    <t>qeepTVprobiotics_Prebiotics</t>
  </si>
  <si>
    <t>remuver_kremovii_15g</t>
  </si>
  <si>
    <t>qeepomega3_1_1</t>
  </si>
  <si>
    <t>sustalit_75ml_analog_sustalit_75ml</t>
  </si>
  <si>
    <t>qeepProbiotic_Complex1_1</t>
  </si>
  <si>
    <t>qeepprobiotics1_1</t>
  </si>
  <si>
    <t>qeep_remover_40ml</t>
  </si>
  <si>
    <t>chudofrukt_BAD_60caps_new</t>
  </si>
  <si>
    <t>qeepspirulina1_1</t>
  </si>
  <si>
    <t>qeep_spirulina_chrom</t>
  </si>
  <si>
    <t>indermaspray</t>
  </si>
  <si>
    <t>dialux</t>
  </si>
  <si>
    <t>qeepTVacne_control</t>
  </si>
  <si>
    <t>qeepTVantioxidants</t>
  </si>
  <si>
    <t>qeepTVbcaa</t>
  </si>
  <si>
    <t>qeepTVchromium</t>
  </si>
  <si>
    <t>qeepTVcoenzyme_q10</t>
  </si>
  <si>
    <t>qeepTVcollagen</t>
  </si>
  <si>
    <t>qeepTVcollagen_peptides_Natural</t>
  </si>
  <si>
    <t>qeepTVcurcumin</t>
  </si>
  <si>
    <t>qeepTVcurcumin_500mg_60caps</t>
  </si>
  <si>
    <t>qeepTVd3_MCT</t>
  </si>
  <si>
    <t>qeepTVinositol</t>
  </si>
  <si>
    <t>qeepTVK2_D3</t>
  </si>
  <si>
    <t>mikardin_BAD_60caps</t>
  </si>
  <si>
    <t>mycelix</t>
  </si>
  <si>
    <t>artoks50wb</t>
  </si>
  <si>
    <t>micardin2</t>
  </si>
  <si>
    <t>retinait_30ml</t>
  </si>
  <si>
    <t>T-34_BAD_60caps</t>
  </si>
  <si>
    <t>kremshelk_100ml_</t>
  </si>
  <si>
    <t>sanatsin2</t>
  </si>
  <si>
    <t>maska-batter_500ml/AC101100458</t>
  </si>
  <si>
    <t>loson_dlya_tela_300ml</t>
  </si>
  <si>
    <t>holemin</t>
  </si>
  <si>
    <t>wbholemin</t>
  </si>
  <si>
    <t>biglmicardin</t>
  </si>
  <si>
    <t>biglmicelix</t>
  </si>
  <si>
    <t>biglpantogor</t>
  </si>
  <si>
    <t>smokinglock2</t>
  </si>
  <si>
    <t>optitrin2</t>
  </si>
  <si>
    <t>neomaxblue</t>
  </si>
  <si>
    <t>alkotoxic</t>
  </si>
  <si>
    <t>frutalika_blister</t>
  </si>
  <si>
    <t>getsizegel</t>
  </si>
  <si>
    <t>adenofrin2</t>
  </si>
  <si>
    <t>neomax</t>
  </si>
  <si>
    <t>varitoxgel</t>
  </si>
  <si>
    <t>varangasalve</t>
  </si>
  <si>
    <t>sustalit2</t>
  </si>
  <si>
    <t>vizox</t>
  </si>
  <si>
    <t>wbmikardinforte</t>
  </si>
  <si>
    <t>сhudofrukt_1_1</t>
  </si>
  <si>
    <t>Qeep_manbox</t>
  </si>
  <si>
    <t>qeep_zink_apteka</t>
  </si>
  <si>
    <t>harly_sardineoil_250ml</t>
  </si>
  <si>
    <t>SKU МП (Общие)</t>
  </si>
  <si>
    <t>Артикул после изменений</t>
  </si>
  <si>
    <t>Наименование / Наименование для печати</t>
  </si>
  <si>
    <t>AB101100416</t>
  </si>
  <si>
    <t>БАД Кардицин, Алтея, 60 капсул</t>
  </si>
  <si>
    <t>AC101100422</t>
  </si>
  <si>
    <t>Гидрофильное масло, Алтея, 150 мл</t>
  </si>
  <si>
    <t>AC101100459</t>
  </si>
  <si>
    <t>Крем для век и проблемных зон с ретинолом и микроиглами, Алтея, 30 мл</t>
  </si>
  <si>
    <t>AC101100456</t>
  </si>
  <si>
    <t>Лосьон для тела, Алтея, 300 мл</t>
  </si>
  <si>
    <t>CC101100432</t>
  </si>
  <si>
    <t>CC101100418</t>
  </si>
  <si>
    <t>CC101100413</t>
  </si>
  <si>
    <t>CC101100411</t>
  </si>
  <si>
    <t>CO101100431</t>
  </si>
  <si>
    <t>CO101100426</t>
  </si>
  <si>
    <t>CO101100421</t>
  </si>
  <si>
    <t>AC101100446</t>
  </si>
  <si>
    <t>AC101100462</t>
  </si>
  <si>
    <t>AC101100457</t>
  </si>
  <si>
    <t>Сыворотка для лица Ретинайт 0,5%, Алтея, 30 мл</t>
  </si>
  <si>
    <t>1</t>
  </si>
  <si>
    <t>Документы</t>
  </si>
  <si>
    <t>Показания</t>
  </si>
  <si>
    <t>Примечание</t>
  </si>
  <si>
    <t>Срок годности</t>
  </si>
  <si>
    <t>Ссылка на этикетку</t>
  </si>
  <si>
    <t>Категория Озон</t>
  </si>
  <si>
    <t>Категория ВБ</t>
  </si>
  <si>
    <t xml:space="preserve">Количество </t>
  </si>
  <si>
    <t>Изготовитель</t>
  </si>
  <si>
    <t>Размеры, ДШВ, см</t>
  </si>
  <si>
    <t>150262548</t>
  </si>
  <si>
    <t>2309903100</t>
  </si>
  <si>
    <t>100 таблеток</t>
  </si>
  <si>
    <t>https://docs.google.com/document/d/1KrubQ-0vyv0ACXWpsvi2rKzSmCHo-oaH6Yt-ldIJbow/edit?usp=sharing</t>
  </si>
  <si>
    <t>8*4*4</t>
  </si>
  <si>
    <t>Harly Витамины для животных</t>
  </si>
  <si>
    <t>Кормовая добавка</t>
  </si>
  <si>
    <t>150253274</t>
  </si>
  <si>
    <t>https://docs.google.com/document/d/1TOReHJ1zwoGP8EyYRvz-RLLgc6hu_DVxmQK4EyovVBo/edit?usp=sharing</t>
  </si>
  <si>
    <t>163687757</t>
  </si>
  <si>
    <t>https://docs.google.com/document/d/1DCwCXm0wATG5KfXl4pXNLGAM2OD8jtGDZcLd_Q3mGX8/edit</t>
  </si>
  <si>
    <t>163683380</t>
  </si>
  <si>
    <t>https://docs.google.com/document/d/1SyOAPl8g26XPGyIc6c_DeSrSDO3ufDRichMAbJMTMjc/edit</t>
  </si>
  <si>
    <t>163688556</t>
  </si>
  <si>
    <t>https://docs.google.com/document/d/18cTuEvPpQqdGZ6zshKKuDh9DDmAjUQw6PcfejF7PhHE/edit</t>
  </si>
  <si>
    <t>147699360</t>
  </si>
  <si>
    <t>2106909808</t>
  </si>
  <si>
    <t>AM.01.01.01.003.R.000793.11.22 от 28.11.2022</t>
  </si>
  <si>
    <t>магния цитрат, мальтодекстрин, лимонная кислота, пищевой ароматизатор, сукралоза.</t>
  </si>
  <si>
    <t>для реализации населению в качестве биологически активной добавки к пище - дополнительного источника магния.</t>
  </si>
  <si>
    <t>1 порцию (6 грамм, одна чайная ложка) размешать в 100-150 мл сока или воды, принимать 1 раз в день. Продолжительность приёма - 1 месяц. При необходимости прием можно повторить.</t>
  </si>
  <si>
    <t>Противопоказания: 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рекомендуется проконсультироваться с врачом.</t>
  </si>
  <si>
    <t xml:space="preserve">хранить не более 8 недель в сухом прохладном месте, в плотно закрытой упаковке, в местах, не доступных для детей. В процессе хранения допускается естественное комкование. 
</t>
  </si>
  <si>
    <t>180 г</t>
  </si>
  <si>
    <t xml:space="preserve">24 месяца
</t>
  </si>
  <si>
    <t>https://docs.google.com/document/u/0/d/1STtF6356r6tpKS4n4c7IDkx8OGC7YT455qRUh2pFy6A/mobilebasic</t>
  </si>
  <si>
    <t>13*8,5*8,5</t>
  </si>
  <si>
    <t>https://drive.google.com/drive/u/0/folders/1EHF8zunq3PJSmrIK2aB4E5lE41VKVXWJ</t>
  </si>
  <si>
    <t>БАД успокоительный</t>
  </si>
  <si>
    <t>128833711</t>
  </si>
  <si>
    <t>3304990000</t>
  </si>
  <si>
    <t>акне, комедоны, прыщи, раны, гнойники</t>
  </si>
  <si>
    <t>30 мл</t>
  </si>
  <si>
    <t>10*4*3</t>
  </si>
  <si>
    <t>Сыворотка для лица</t>
  </si>
  <si>
    <t>91969061</t>
  </si>
  <si>
    <t xml:space="preserve">биологически активная добавка к пище рекомендуется в качестве дополнительного источника витаминов А, Е, С, источника дигидрокверцетина, линолевой кислоты.
</t>
  </si>
  <si>
    <t>30 шт</t>
  </si>
  <si>
    <t>10*6*6</t>
  </si>
  <si>
    <t>Витамины</t>
  </si>
  <si>
    <t>149730224</t>
  </si>
  <si>
    <t>21*14*5,7</t>
  </si>
  <si>
    <t>140944929</t>
  </si>
  <si>
    <t>3504009000</t>
  </si>
  <si>
    <t xml:space="preserve">для спортсменов </t>
  </si>
  <si>
    <t>12*6*6</t>
  </si>
  <si>
    <t>BCAA</t>
  </si>
  <si>
    <t>123030751</t>
  </si>
  <si>
    <t xml:space="preserve">Для реализации населению в качестве биологически активной добавки к пище – дополнительного источника хрома, источника бромелайна
</t>
  </si>
  <si>
    <t>60 шт</t>
  </si>
  <si>
    <t>10*4*4</t>
  </si>
  <si>
    <t>БАД для контроля аппетита</t>
  </si>
  <si>
    <t>161355809</t>
  </si>
  <si>
    <t>90476399</t>
  </si>
  <si>
    <t xml:space="preserve">биологически активная добавка к пище рекомендуется в качестве источника витамина С, дигидрокверцетина, бетулина, глюкозамина, гиалуроновой и гуминовых кислот.
</t>
  </si>
  <si>
    <t>5,5*5,5*9,5</t>
  </si>
  <si>
    <t>Препарат для суставов и связок</t>
  </si>
  <si>
    <t>148386282</t>
  </si>
  <si>
    <t>150847785</t>
  </si>
  <si>
    <t>биологически активная добавка к пище рекомендуется в качестве источника витамина С, дигидрокверцетина, бетулина, глюкозамина, гиалуроновой и гуминовых кислот.</t>
  </si>
  <si>
    <t>4*6*13</t>
  </si>
  <si>
    <t>131852033</t>
  </si>
  <si>
    <t xml:space="preserve"> для реализации населению в качестве биологически активной добавки к пище – дополнительного источника коллагена и витамина C.
</t>
  </si>
  <si>
    <t>131852032</t>
  </si>
  <si>
    <t>131852035</t>
  </si>
  <si>
    <t>91969213</t>
  </si>
  <si>
    <t xml:space="preserve">в качестве биологически активной добавки к пище – источника куркумина и линолевой кислоты.
</t>
  </si>
  <si>
    <t>148382531</t>
  </si>
  <si>
    <t>4*6*7</t>
  </si>
  <si>
    <t>134150432</t>
  </si>
  <si>
    <t>биологически активная добавка к пище рекомендуется в качестве дополнительного источника витаминов К2 и D3.</t>
  </si>
  <si>
    <t>60 капсул</t>
  </si>
  <si>
    <t>152169206</t>
  </si>
  <si>
    <t>142963712</t>
  </si>
  <si>
    <t>в качестве активной биодобавки к пище, источник инозитола</t>
  </si>
  <si>
    <t>11*5,2*5,2</t>
  </si>
  <si>
    <t>140946360</t>
  </si>
  <si>
    <t xml:space="preserve">(продолжение, начало на бланке свидетельства):
Места реализации определяются национальным законодательством государств-членов Евразийского экономического союза. </t>
  </si>
  <si>
    <t>12*10*6</t>
  </si>
  <si>
    <t>L-карнитин</t>
  </si>
  <si>
    <t>133851547</t>
  </si>
  <si>
    <t>биологически активная добавка к пище рекомендуется в качестве дополнительного источника витамина D3.</t>
  </si>
  <si>
    <t>90471365</t>
  </si>
  <si>
    <t xml:space="preserve">биологически активная добавка к пище рекомендуется в качестве источника эйкозапентаеновой кислоты, докозагексаеновой кислоты, ликопина, коэнзима Q10, витамина Д3, селена, содержит карнозин.
</t>
  </si>
  <si>
    <t>5*5*9,5</t>
  </si>
  <si>
    <t>Лечебное питание</t>
  </si>
  <si>
    <t>138757897</t>
  </si>
  <si>
    <t xml:space="preserve">биологически активная добавка к пище рекомендуется в качестве дополнительного источника полиненасыщенных жирных кислот Омега-3, витаминов D и Е. </t>
  </si>
  <si>
    <t>9,5*5,5*5,5</t>
  </si>
  <si>
    <t>БАД жирные кислоты</t>
  </si>
  <si>
    <t>91969281</t>
  </si>
  <si>
    <t xml:space="preserve">биологически активная добавка к пище рекомендуется в качестве дополнительного источника полиненасыщенных жирных кислот Омега-3 (эйкозапентаеновой кислоты, докозагексаеновой кислоты).
</t>
  </si>
  <si>
    <t>145755982</t>
  </si>
  <si>
    <t>161948275</t>
  </si>
  <si>
    <t>6*6*11</t>
  </si>
  <si>
    <t>148312764</t>
  </si>
  <si>
    <t xml:space="preserve">биологически активная добавка к пище рекомендуется в качестве источника пробиотических бактерий (бифидобактерий, лактобактерий и пропионовокислых бактерий).
</t>
  </si>
  <si>
    <t>БАД пробиотик</t>
  </si>
  <si>
    <t>148334501</t>
  </si>
  <si>
    <t>91969350</t>
  </si>
  <si>
    <t>БАД для ЖКТ</t>
  </si>
  <si>
    <t>138313003</t>
  </si>
  <si>
    <t>138754901</t>
  </si>
  <si>
    <t>в качестве биологически активной добавки к пище –дополнительного источника селена.</t>
  </si>
  <si>
    <t>90380690</t>
  </si>
  <si>
    <t>2106909803</t>
  </si>
  <si>
    <t xml:space="preserve">биологически активная добавка к пище рекомендуется в качестве дополнительного источника витамина А, источника бета-каротина, гуминовых кислот.
</t>
  </si>
  <si>
    <t>БАД для снижения веса</t>
  </si>
  <si>
    <t>148387857</t>
  </si>
  <si>
    <t>155928221</t>
  </si>
  <si>
    <t>133694038</t>
  </si>
  <si>
    <t>в качестве биологически активной добавки к пище – дополнительного источника железа, витаминов С, В9, В12.</t>
  </si>
  <si>
    <t>91968870</t>
  </si>
  <si>
    <t xml:space="preserve"> рекомендуется в качестве биологически активной добавки к пище – дополнительного источника витаминов А, Д3, Е, В3, В6, В9, В12, С, К и биотина</t>
  </si>
  <si>
    <t>90382271</t>
  </si>
  <si>
    <t>2936290001</t>
  </si>
  <si>
    <t xml:space="preserve">биологически активная добавка к пище рекомендуется в качестве источника омега-3 ПНЖК (эйкозапентаеновой и докозагексаеновая кислот), глицирризиновой кислоты, ресвератрола, дополнительного источника витаминов А, Е, D3, В6, В9, биотина.
</t>
  </si>
  <si>
    <t>170004552</t>
  </si>
  <si>
    <t>5*9*9</t>
  </si>
  <si>
    <t>148386453</t>
  </si>
  <si>
    <t>133689253</t>
  </si>
  <si>
    <t xml:space="preserve">в качестве БАД к пище источника витамина С. Улучшает функциональное состояние нервной системы (ЭЗ РАМН ГУ НИИП №72/Э-5250/б-05 от 09.06.2005 г., ЭЗ ЭС по регистрации БАД к пище, детского питания и пищевых добавок №01/ЭС-512-15 от 8.05.2015 г.) </t>
  </si>
  <si>
    <t>120 таблеток</t>
  </si>
  <si>
    <t>7*7*8</t>
  </si>
  <si>
    <t>Добавки пищевые</t>
  </si>
  <si>
    <t>138758948</t>
  </si>
  <si>
    <t xml:space="preserve">в качестве биологически активной добавки к пище - дополнительного источника цинка.
</t>
  </si>
  <si>
    <t>90 таблеток</t>
  </si>
  <si>
    <t>https://docs.google.com/document/d/15goaZsodHJ1l5podAkd4_-he2OmcpZvk8j1jfFg4jSc/edit</t>
  </si>
  <si>
    <t>9,5*5,2*5,2</t>
  </si>
  <si>
    <t xml:space="preserve">	90343752</t>
  </si>
  <si>
    <t xml:space="preserve">биологически активная добавка к пище рекомендуется в качестве дополнительного источника витаминов В1, В2, В3, В5, В6, В9, В12, Н, источника кверцетина, коэнзима Q10.
</t>
  </si>
  <si>
    <t>БАД тонизирующий и общеукрепляющий</t>
  </si>
  <si>
    <t>145755886</t>
  </si>
  <si>
    <t>156995682</t>
  </si>
  <si>
    <t>в качестве биологически активной добавки к пище  - в виде источника цинка, D-аспарагиновой кислоты.</t>
  </si>
  <si>
    <t>60 капс</t>
  </si>
  <si>
    <t>https://docs.google.com/document/d/1L9ygDa-KkGHroaAaHGaX7BV8sTcAnCjJbxyBG_owuks/edit</t>
  </si>
  <si>
    <t>6,5*6,5*12</t>
  </si>
  <si>
    <t>Средства для повышения тестостерона</t>
  </si>
  <si>
    <t>157007801</t>
  </si>
  <si>
    <t>для реализации населению в качестве биологически активной добавки к пище - источника гингозидов, дополнительного источника витамина С.</t>
  </si>
  <si>
    <t>60 табл</t>
  </si>
  <si>
    <t>157382017</t>
  </si>
  <si>
    <t>биологически активная добавка к пище рекомендуется в качестве дополнительного источника витамина Д3.</t>
  </si>
  <si>
    <t>3,5*3,5*11</t>
  </si>
  <si>
    <t>157970824</t>
  </si>
  <si>
    <t>рекомендуется в качестве биологически активной добавки – источника фосфолипидов.</t>
  </si>
  <si>
    <t>180 капс</t>
  </si>
  <si>
    <t>7,5*7,5*12</t>
  </si>
  <si>
    <t>БАД для головного мозга</t>
  </si>
  <si>
    <t>159631114</t>
  </si>
  <si>
    <t xml:space="preserve">для реализации населению в качестве биологически активной добавки к пище - дополнительного источника гидроксилимонной кислоты, карнитина, схизандрина, полифенолов, цинка и хрома.
</t>
  </si>
  <si>
    <t>6*6*11,5</t>
  </si>
  <si>
    <t>Жиросжигатель</t>
  </si>
  <si>
    <t>159734040</t>
  </si>
  <si>
    <t>биологически активная добавка к пище рекомендуется в качестве источника омега-3 ПНЖК, эйкозапентаеновой и докозагексаеновой кислот, ацетил-L-карнитина, янтарной кислоты, флавоновых гликозидов, дополнительного источника витаминов В1, В3, В5, В6, В12.</t>
  </si>
  <si>
    <t>158114551</t>
  </si>
  <si>
    <t>в качестве активной биодобавки к пище, источник L-аргинина</t>
  </si>
  <si>
    <t>5*5*11</t>
  </si>
  <si>
    <t>Моно аминокислота спортивная</t>
  </si>
  <si>
    <t>158306407</t>
  </si>
  <si>
    <t xml:space="preserve"> в качестве активной биодобавки к пище, источник L- тирозина</t>
  </si>
  <si>
    <t>4,8*4,8*11</t>
  </si>
  <si>
    <t>157011739</t>
  </si>
  <si>
    <t>для реализации населению в качестве биологически активной добавки к пище – источника альфа-липоевой кислоты.</t>
  </si>
  <si>
    <t>4,7*4,7*9</t>
  </si>
  <si>
    <t>165592674</t>
  </si>
  <si>
    <t>AM.01.01.01.003.R.000324.05.24</t>
  </si>
  <si>
    <t>медный комплекс хлорофилла, столовая минеральная вода, регулятор кислотности лимонная кислота, эфирное масло мяты, консерванты: бензоат натрия и сорбат калия.</t>
  </si>
  <si>
    <t>для реализации населению в качестве биологически активной добавки к пище – дополнительного источника хлорофилла.</t>
  </si>
  <si>
    <t xml:space="preserve">взрослым принимать 25 мл 1 раз в день смешав со 100 мл тёплой воды или любым напитком во время приема пищи. </t>
  </si>
  <si>
    <t>500 мл</t>
  </si>
  <si>
    <t>https://docs.google.com/document/d/1icGC3laPId0aH1xPM3kM2OhdslpOPzJQWhaXVNoILFo/edit?usp=sharing</t>
  </si>
  <si>
    <t>6*6*21</t>
  </si>
  <si>
    <t>163758027</t>
  </si>
  <si>
    <t>биологически активная добавка к пище рекомендуется в качестве дополнительного источника витамина В6, содержит аминокислоты: L-теанин и 5-гидрокситриптофан.</t>
  </si>
  <si>
    <t>5*11*11</t>
  </si>
  <si>
    <t>159632001</t>
  </si>
  <si>
    <t>биологически активная добавка к пище рекомендуется в качестве дополнительного источника витаминов А, С, D3, цинка, источника бета-глюканов, пробиотических микроорганизмов (бифидобактерии и лактобактерии).</t>
  </si>
  <si>
    <t>2*5*10</t>
  </si>
  <si>
    <t>159661866</t>
  </si>
  <si>
    <t>биологически активная добавка к пище рекомендуется в качестве источника дигидрокверцетина, бетулина, альфа-линоленовой кислоты (омега-3), содержащей линолевую кислоту (омега-6).</t>
  </si>
  <si>
    <t>159980276</t>
  </si>
  <si>
    <t>рекомендуется в качестве биологически активной добавки к пище –дополнительного источника витамина Н.</t>
  </si>
  <si>
    <t>5*5*9</t>
  </si>
  <si>
    <t>БАД для поддержания здоровья волос, ногтей и кожи</t>
  </si>
  <si>
    <t>159980480</t>
  </si>
  <si>
    <t>для реализации населению в качестве биологически активной добавки к пище – источника таурина.</t>
  </si>
  <si>
    <t>2*6*12</t>
  </si>
  <si>
    <t>174090982</t>
  </si>
  <si>
    <t>7*7*12</t>
  </si>
  <si>
    <t>159980608</t>
  </si>
  <si>
    <t xml:space="preserve">рекомендуется в качестве биологически активной добавки к пище – дополнительного источника витаминов А, Д3, Е, В3, В6, В9, В12, С, К и биотина.  </t>
  </si>
  <si>
    <t>161526543</t>
  </si>
  <si>
    <t>рекомендуется в качестве биологически активной добавки к пище – источника флаволигнанов (силимарин и силибин), содержащей флавоноиды (рутин), полифенольные соединения (танины).</t>
  </si>
  <si>
    <t>6*6*10</t>
  </si>
  <si>
    <t>БАД для печени</t>
  </si>
  <si>
    <t>165259041</t>
  </si>
  <si>
    <t xml:space="preserve">для реализации населению в качестве биологически активной добавки к пище - дополнительного источника белка, содержащей витамины группы В, А, Е, аминокислоты, хлореллу, бета-каротин, гамма - линоленовую кислоту, пищевые волокна.
</t>
  </si>
  <si>
    <t>6*6*12</t>
  </si>
  <si>
    <t>165252790</t>
  </si>
  <si>
    <t>6*6*11,6</t>
  </si>
  <si>
    <t>165241082</t>
  </si>
  <si>
    <t xml:space="preserve"> рекомендуется в качестве БАД к пище, дополнительного 
источника магния, цинка, витамина В6.
</t>
  </si>
  <si>
    <t>https://docs.google.com/document/d/1fg4-_l84BW1CqwxQl2RK2Lu-_6kp4NT2milLplWRE1E/edit</t>
  </si>
  <si>
    <t>168867550</t>
  </si>
  <si>
    <t>биологически активная добавка к пище рекомендуется в качестве дополнительного источника витаминов В5, В6, магния, пробиотических микроорганизмов (лактобактерии).</t>
  </si>
  <si>
    <t>4*7*10</t>
  </si>
  <si>
    <t>167273376</t>
  </si>
  <si>
    <t>в качестве биологически активной добавки к пище - дополнительного источника альфа-линоленовой кислоты (семейства омега-3) и фолиевой кислоты.</t>
  </si>
  <si>
    <t>3*7*10</t>
  </si>
  <si>
    <t>167679765</t>
  </si>
  <si>
    <t>21*15*6</t>
  </si>
  <si>
    <t>167680087</t>
  </si>
  <si>
    <t>21*14*6</t>
  </si>
  <si>
    <t>167680176</t>
  </si>
  <si>
    <t>167680829</t>
  </si>
  <si>
    <t>25*19*5</t>
  </si>
  <si>
    <t>167680831</t>
  </si>
  <si>
    <t>167680833</t>
  </si>
  <si>
    <t>169962249</t>
  </si>
  <si>
    <t>в качестве биологически активной добавки к пище - в виде источника флавоноловых и глицина.</t>
  </si>
  <si>
    <t>169963867</t>
  </si>
  <si>
    <t xml:space="preserve">для реализации населению в качестве биологически активной добавки к пище – источника бетаина.
</t>
  </si>
  <si>
    <t>5*8*15</t>
  </si>
  <si>
    <t>170000477</t>
  </si>
  <si>
    <t xml:space="preserve"> для питания детей дошкольного и школьного возраста от 3-х лет и старше.
</t>
  </si>
  <si>
    <t>400г</t>
  </si>
  <si>
    <t>7*9*15</t>
  </si>
  <si>
    <t>Какао-порошок</t>
  </si>
  <si>
    <t>172647498</t>
  </si>
  <si>
    <t>172647794</t>
  </si>
  <si>
    <t>172648280</t>
  </si>
  <si>
    <t xml:space="preserve">биологически активная добавка к пище рекомендуется в качестве дополнительного источника витаминов В1, В2, В3, В5, В6, В9, В12, Н, источника кверцетина, коэнзима Q10.
</t>
  </si>
  <si>
    <t>172648470</t>
  </si>
  <si>
    <t>176110742</t>
  </si>
  <si>
    <t xml:space="preserve"> биологически активная добавка к пище рекомендуется в качестве дополнительного источн</t>
  </si>
  <si>
    <t>4*5*10</t>
  </si>
  <si>
    <t>БАД для костей и суставов</t>
  </si>
  <si>
    <t>176110909</t>
  </si>
  <si>
    <t xml:space="preserve">в качестве биологически активной добавки к пище - дополнительного источника витамина С
</t>
  </si>
  <si>
    <t>2*7*10</t>
  </si>
  <si>
    <t>174420257</t>
  </si>
  <si>
    <t xml:space="preserve"> для реализации населению через аптечную сеть и специализированные магазины, отделы торговой сети в качестве биологически активной добавки к пище - источника гидроксилимонной кислоты, бромелайна, содержащей йохимбин.
</t>
  </si>
  <si>
    <t>4,5*4,5*8,5</t>
  </si>
  <si>
    <t>186730528</t>
  </si>
  <si>
    <t xml:space="preserve"> биологически активная добавка к пище hекомендуется в качестве биологически активной добавки к пище - источника витаминов В3, В5, В6, В1, В2, В9, В12
</t>
  </si>
  <si>
    <t>6*7*12</t>
  </si>
  <si>
    <t>177867999</t>
  </si>
  <si>
    <t xml:space="preserve">биологически активная добавка к пище рекомендуется в качестве источника аминокислот.
</t>
  </si>
  <si>
    <t>Аминокислотный комплекс</t>
  </si>
  <si>
    <t xml:space="preserve">186777993	</t>
  </si>
  <si>
    <t xml:space="preserve">биологически активная добавка к пище рекомендуется в качестве дополнительного источника йода, кобальта.
</t>
  </si>
  <si>
    <t>3*7*8</t>
  </si>
  <si>
    <t>191073458</t>
  </si>
  <si>
    <t>рекомендуется в качестве биологически активной добавки к пище - источника глюкозамина, хондроитинсульфата, кверцетина и витаминов С, Е.</t>
  </si>
  <si>
    <t>186780052</t>
  </si>
  <si>
    <t xml:space="preserve">для реализации населению в качестве биологически активной добавки к пище – источника ресвератрола.
</t>
  </si>
  <si>
    <t>5,5*5,5*9,7</t>
  </si>
  <si>
    <t>БАД для вен и сосудов</t>
  </si>
  <si>
    <t>188611559</t>
  </si>
  <si>
    <t xml:space="preserve"> для реализации населению в качестве биологически активной добавки к пище - источника пробиотических бактерий (бифидобактерий, лактобактерий, пропионовокислых бактерий), изофлавонов, дополнительного источника железа, витаминов Е, В9, В12.
</t>
  </si>
  <si>
    <t>БАД пребиотик</t>
  </si>
  <si>
    <t>188602690</t>
  </si>
  <si>
    <t>биологически активная добавка к пище рекомендуется в качестве источника коэнзима Q10, дополнительного источника полиненасыщенных жирных кислот (ПНЖК) омега-3, в том числе эйкозапентаеновой и докозагексаеновой кислот.</t>
  </si>
  <si>
    <t>188493994</t>
  </si>
  <si>
    <t xml:space="preserve">для реализации населению в качестве биологически активной добавки к пище – содержащей мелатонин.
</t>
  </si>
  <si>
    <t>4*9*4,3</t>
  </si>
  <si>
    <t>fbs_qeep_melatonin2mg_90tabs</t>
  </si>
  <si>
    <t>fbs1_qeep_melatonin2mg_90tabs</t>
  </si>
  <si>
    <t>fbs2_qeep_melatonin2mg_90tabs</t>
  </si>
  <si>
    <t>fbs3_qeep_melatonin2mg_90tabs</t>
  </si>
  <si>
    <t>193123880</t>
  </si>
  <si>
    <t>рекомендуется в качестве биологически активной добавки к пище – источника флавоноидов (рутина), полифенолов (танинов).</t>
  </si>
  <si>
    <t>8*6*11</t>
  </si>
  <si>
    <t>БАД от паразитов</t>
  </si>
  <si>
    <t>220091999</t>
  </si>
  <si>
    <t>в качестве биологически активной добавки к пище – как дополнительного источника витамина С и полисахаридов.</t>
  </si>
  <si>
    <t>6,2*6,2*12</t>
  </si>
  <si>
    <t>Пищевая добавка</t>
  </si>
  <si>
    <t>Грибы</t>
  </si>
  <si>
    <t>196519115</t>
  </si>
  <si>
    <t>для реализации населению в качестве биологически активной добавки к пище - дополнительного источника витамина D3.</t>
  </si>
  <si>
    <t>4,8*4,8*9,2</t>
  </si>
  <si>
    <t>198421782</t>
  </si>
  <si>
    <t>в качестве биологически активной добавки к пище – как дополнительного источника витамина В6, содержащей берберин.</t>
  </si>
  <si>
    <t>6*13*4</t>
  </si>
  <si>
    <t>206027291</t>
  </si>
  <si>
    <t>5*6*10</t>
  </si>
  <si>
    <t>206020100</t>
  </si>
  <si>
    <t>4,5*4,5*9</t>
  </si>
  <si>
    <t>5,3*5,3*9,2</t>
  </si>
  <si>
    <t>219926965</t>
  </si>
  <si>
    <t>3307900008</t>
  </si>
  <si>
    <t>7*7*18</t>
  </si>
  <si>
    <t>Шампунь для животных</t>
  </si>
  <si>
    <t>221232387</t>
  </si>
  <si>
    <t>для реализации населению в качестве комплексной добавки к пище - дополнительного источника витамина А.</t>
  </si>
  <si>
    <t>5,4*9,5*5,4</t>
  </si>
  <si>
    <t>228329542</t>
  </si>
  <si>
    <t>для реализации населению в качестве биологически активной добавки к пище – дополнительного источника биотина, гиалуроновой кислоты, В12, коллагена, содержащие витамины С, D3, В1, В5.</t>
  </si>
  <si>
    <t>14 шотов по 25мл</t>
  </si>
  <si>
    <t>15,5*4,5*12,5</t>
  </si>
  <si>
    <t>228329661</t>
  </si>
  <si>
    <t>228329662</t>
  </si>
  <si>
    <t>228331343</t>
  </si>
  <si>
    <t>в качестве биологически активной добавки к пище - дополнительного источника полиненасыщенных жирных кислот (ПНЖК) Омега-3 (в т.ч. эйкозапентаеновой, докозагексаеновой, альфа-липноленовой кислот).</t>
  </si>
  <si>
    <t>229246778</t>
  </si>
  <si>
    <t>300 г</t>
  </si>
  <si>
    <t>9*9*11</t>
  </si>
  <si>
    <t>Креатин моногидрат</t>
  </si>
  <si>
    <t>229177840</t>
  </si>
  <si>
    <t>5,4*5,4*9</t>
  </si>
  <si>
    <t>232451654</t>
  </si>
  <si>
    <t>3004900002</t>
  </si>
  <si>
    <t>Применяют для гигиенического ухода за ушами собак и кошек, страдающих отодектозом, с целью очищения ушной раковины и слухового прохода от продуктов жизнедеятельности паразитов. Комплекс терпеноидов растений фитокомплекса и эфирного масла сосны обеспечивает мягкое оздоровительное воздействие на ткани уха.</t>
  </si>
  <si>
    <t>10 мл</t>
  </si>
  <si>
    <t>5*7*5</t>
  </si>
  <si>
    <t>232462000</t>
  </si>
  <si>
    <t xml:space="preserve">рекомендуется в качестве биологически активной добавки к пище – дополнительного источника витаминов А, D3, Е, С, В1, В2, РР, В6, В12, пантотеновой кислоты, фолацина, цинка, йода, селена. </t>
  </si>
  <si>
    <t>5,7*5,7*11</t>
  </si>
  <si>
    <t>Витаминно минеральный комплекс</t>
  </si>
  <si>
    <t>БАД</t>
  </si>
  <si>
    <t>232465954</t>
  </si>
  <si>
    <t>4,5*4,5*7,5</t>
  </si>
  <si>
    <t>232468472</t>
  </si>
  <si>
    <t>5*5*8</t>
  </si>
  <si>
    <t>232785020</t>
  </si>
  <si>
    <t>9619002100</t>
  </si>
  <si>
    <t>10*23*20</t>
  </si>
  <si>
    <t>233815804</t>
  </si>
  <si>
    <t xml:space="preserve">2309109000 </t>
  </si>
  <si>
    <t>2 кг</t>
  </si>
  <si>
    <t>22*36*8</t>
  </si>
  <si>
    <t>233855851</t>
  </si>
  <si>
    <t>22*42*6</t>
  </si>
  <si>
    <t>240166228</t>
  </si>
  <si>
    <t>240169330</t>
  </si>
  <si>
    <t>250 мл</t>
  </si>
  <si>
    <t>5*5*22</t>
  </si>
  <si>
    <t>Кондиционер для животных</t>
  </si>
  <si>
    <t>240173672</t>
  </si>
  <si>
    <t>10*7*25</t>
  </si>
  <si>
    <t>Средство для уборки за животными</t>
  </si>
  <si>
    <t>445333054</t>
  </si>
  <si>
    <t>255209721</t>
  </si>
  <si>
    <t>qeep_remover_40ml
qeep_nabor_remuver_40ml</t>
  </si>
  <si>
    <t>3304300000</t>
  </si>
  <si>
    <t>40 мл</t>
  </si>
  <si>
    <t>15*9*6</t>
  </si>
  <si>
    <t>400501943</t>
  </si>
  <si>
    <t>14,5*9,5*4,5</t>
  </si>
  <si>
    <t>255212157</t>
  </si>
  <si>
    <t>7,5*7,5*16</t>
  </si>
  <si>
    <t>263835222</t>
  </si>
  <si>
    <t>2309109000</t>
  </si>
  <si>
    <t>37*23*6</t>
  </si>
  <si>
    <t>263831566</t>
  </si>
  <si>
    <t>265523439</t>
  </si>
  <si>
    <t>2309909609</t>
  </si>
  <si>
    <t>75 мл</t>
  </si>
  <si>
    <t>5*5*14,5</t>
  </si>
  <si>
    <t>473683865</t>
  </si>
  <si>
    <t>4646536748595</t>
  </si>
  <si>
    <t>265543042</t>
  </si>
  <si>
    <t>266214623</t>
  </si>
  <si>
    <t>268884161</t>
  </si>
  <si>
    <t xml:space="preserve">3305900009
</t>
  </si>
  <si>
    <t>200 мл</t>
  </si>
  <si>
    <t>4,5*4,5*18</t>
  </si>
  <si>
    <t>270128827</t>
  </si>
  <si>
    <t>300г</t>
  </si>
  <si>
    <t>8,5*8,5*12,7</t>
  </si>
  <si>
    <t>270128828</t>
  </si>
  <si>
    <t>270360740</t>
  </si>
  <si>
    <t>271462078</t>
  </si>
  <si>
    <t>5*5*8,5</t>
  </si>
  <si>
    <t>271680783</t>
  </si>
  <si>
    <t>276247301</t>
  </si>
  <si>
    <t>3,5*3,5*7,5</t>
  </si>
  <si>
    <t>311795896</t>
  </si>
  <si>
    <t>294499169</t>
  </si>
  <si>
    <t>150 капс</t>
  </si>
  <si>
    <t>19*13*11</t>
  </si>
  <si>
    <t>294499466</t>
  </si>
  <si>
    <t>22,5*15*9</t>
  </si>
  <si>
    <t>294499845</t>
  </si>
  <si>
    <t>293061661</t>
  </si>
  <si>
    <t>11,5*6,5*6,5</t>
  </si>
  <si>
    <t>293062934</t>
  </si>
  <si>
    <t>302436449</t>
  </si>
  <si>
    <t>2914698000</t>
  </si>
  <si>
    <t>4,5*4,5*9,5</t>
  </si>
  <si>
    <t>302419362</t>
  </si>
  <si>
    <t>3305</t>
  </si>
  <si>
    <t>450 мл</t>
  </si>
  <si>
    <t>6*6*22</t>
  </si>
  <si>
    <t>307874530</t>
  </si>
  <si>
    <t>7*7*16</t>
  </si>
  <si>
    <t>325209184</t>
  </si>
  <si>
    <t>4,5*4,5*16</t>
  </si>
  <si>
    <t>325216323</t>
  </si>
  <si>
    <t>326154767</t>
  </si>
  <si>
    <t>3,5*3,5*11,5</t>
  </si>
  <si>
    <t>337468231</t>
  </si>
  <si>
    <t>381335309</t>
  </si>
  <si>
    <t>1504209000</t>
  </si>
  <si>
    <t>150 мл</t>
  </si>
  <si>
    <t>4,5*4,5*16,5</t>
  </si>
  <si>
    <t>385728241</t>
  </si>
  <si>
    <t>100 мл</t>
  </si>
  <si>
    <t>4,2*4,2*16</t>
  </si>
  <si>
    <t>377788941</t>
  </si>
  <si>
    <t>3305900009</t>
  </si>
  <si>
    <t>5*5*16</t>
  </si>
  <si>
    <t>392028939</t>
  </si>
  <si>
    <t>20 мл</t>
  </si>
  <si>
    <t>3*3*14</t>
  </si>
  <si>
    <t>417262785</t>
  </si>
  <si>
    <t>432821274</t>
  </si>
  <si>
    <t>60 штук</t>
  </si>
  <si>
    <t>7*7*13</t>
  </si>
  <si>
    <t>432841134</t>
  </si>
  <si>
    <t>418733480</t>
  </si>
  <si>
    <t>17,5*11,5*6</t>
  </si>
  <si>
    <t>449423638</t>
  </si>
  <si>
    <t>9*4*13</t>
  </si>
  <si>
    <t>484619244</t>
  </si>
  <si>
    <t>4,5*4,5*17,5</t>
  </si>
  <si>
    <t>494708852</t>
  </si>
  <si>
    <t>вода, глицерин, гидроксиэтилцеллюлоза, ПЭГ 40, гидрогенизированное касторовое масло, ПЭГ-400 полиэтиленгликоль, аллантоин, экстракт прополиса, экстракт ромашки, экстракт коры дуба, пропиленгликоль, хлорид натрия, ментол, субтилизин, глюкозооксидаза, д-пантенол, подсластитель, сорбат калия, бензоат натрия.</t>
  </si>
  <si>
    <t>гель нанести на десны и зубы питомца при помощи специальной зубной щетки, ватной палочки или чистого пальца, и круговыми движениями обработать зубы. Не требует смывания.</t>
  </si>
  <si>
    <t>50 мл</t>
  </si>
  <si>
    <t>3,5*3,5*10</t>
  </si>
  <si>
    <t>549611709</t>
  </si>
  <si>
    <t>3*3*11</t>
  </si>
  <si>
    <t>559225020</t>
  </si>
  <si>
    <t>5*2,5*11</t>
  </si>
  <si>
    <t>549551191</t>
  </si>
  <si>
    <t>80 г</t>
  </si>
  <si>
    <t>4,5*4,5*14</t>
  </si>
  <si>
    <t>559173569</t>
  </si>
  <si>
    <t>4,7*4,7*11</t>
  </si>
  <si>
    <t>568667310</t>
  </si>
  <si>
    <t>588937927</t>
  </si>
  <si>
    <t>120 капс</t>
  </si>
  <si>
    <t>5,5*5,5*11</t>
  </si>
  <si>
    <t>617717249</t>
  </si>
  <si>
    <t>7*3,5*17</t>
  </si>
  <si>
    <t>687712933</t>
  </si>
  <si>
    <t>692599189</t>
  </si>
  <si>
    <t>681199239</t>
  </si>
  <si>
    <t>3.5*3,5*11</t>
  </si>
  <si>
    <t>716103412</t>
  </si>
  <si>
    <t xml:space="preserve">Aqua, Glycerin, Prunus Amygdalus Dulcis (Sweet Almond) Oil, Petrolatum, 
Theobroma Cacao (Cocoa) Seed Butter, Cocos Nucifera Oil, Dodecane, Dimethicone,  Glyceryl Monostearate, Butyrospermum Parkii Oil, Cetylstearyl Alcohol, Ceteareth-23, Ceteareth-6, Stearic Acid, Squalane, Linum Usitatissimum (Linseed) Seed Oil, Isopropyl Myristate, Tocopheryl Acetate, Retinyl Palmitate,  Simmondsia Chinensis (Jojoba) Seed Oil, Prunus Persica (Peach) Kernel Oil, Sodium Hyaluronate,Ceteareth-20, Hydrolyzed Collagen, Hydrolyzed Elastin,  Phenoxyethanol, Ethylhexylglycerin, Sodium Polyacrylate, Parfum, ВНТ, Coumarin, Linalool. </t>
  </si>
  <si>
    <t>4.5*4,5*19</t>
  </si>
  <si>
    <t>723135494</t>
  </si>
  <si>
    <t>4660401460146</t>
  </si>
  <si>
    <t>по фбс (без чз)</t>
  </si>
  <si>
    <t>60 капс+90таб</t>
  </si>
  <si>
    <t>https://docs.google.com/spreadsheets/d/1Un7TVtaMXlE2TZN-zT7HmqGJT5GuMX5hZGo4IMpS2Zo/edit?gid=0#gid=0</t>
  </si>
  <si>
    <t>723220708</t>
  </si>
  <si>
    <t>4660401460122</t>
  </si>
  <si>
    <t>90 капсул + 120 капсул</t>
  </si>
  <si>
    <t>723490719</t>
  </si>
  <si>
    <t>4660401460139</t>
  </si>
  <si>
    <t>90 капсул + 90 капсул</t>
  </si>
  <si>
    <t>Артикул (+срм)</t>
  </si>
  <si>
    <t>документы</t>
  </si>
  <si>
    <t>срок годности</t>
  </si>
  <si>
    <t>Файл продакшена</t>
  </si>
  <si>
    <t>размеры, дшв, см</t>
  </si>
  <si>
    <t>альфа-липоевая кислота, L-карнитин, L-аргинин, экстракт померанца, экстракт спирулины, экстракт коры йохимбе, экстракт зеленого кофе, пиколинат хрома, желатин*, оксид цинка*, носитель: целлюлоза микрокристаллическая (Е460), антислеживающий агент: диоксид кремния аморфный (Е551), антислеживающий агент: магниевая соль стеариновой кислоты (Е470).</t>
  </si>
  <si>
    <t xml:space="preserve"> взрослым по 1 капсуле 2 раза в день во время еды.</t>
  </si>
  <si>
    <t>https://docs.google.com/document/d/1RUbO82D2zTbgBe4aPf6CfuwQ-KXKhY5_/edit</t>
  </si>
  <si>
    <t>4*5*9</t>
  </si>
  <si>
    <t>комплексные пищевые добавки</t>
  </si>
  <si>
    <t>добавки пищевые</t>
  </si>
  <si>
    <t>30 порций (200 гр)</t>
  </si>
  <si>
    <t>9*9*9,8</t>
  </si>
  <si>
    <t>средство для снижения веса</t>
  </si>
  <si>
    <t>3*4*9</t>
  </si>
  <si>
    <t>AM.01.01.01.003.R.000908.12.22 от 28.12.2022</t>
  </si>
  <si>
    <t>экстракты корней лопуха большого, травы пустырника сердечного, плодов боярышника кроваво-красного, травы солянки холмовой, концентрированные соки плодов аронии, плодов калины обыкновенной, экстракты листьев березы обыкновенной, травы гречихи посевной, травы череды трехраздельной, чеснок посевной сушеный, концентрированный сок плодов клюквы обыкновенной, стеарат магния, крахмал кукурузный.</t>
  </si>
  <si>
    <t>взрослым принимать по 1 капсуле 2 раза в день за полчаса до еды, при необходимости можно увеличить до 3 раз в день.</t>
  </si>
  <si>
    <t>индивидуальная непереносимость ингредиентов продукта, беременность, кормление грудью, вегетососудистая дистония по гипотоническому типу, гипотоническая болезнь. Перед применением рекомендуется проконсультироваться с врачом.</t>
  </si>
  <si>
    <t>https://docs.google.com/document/d/1b5m7dc0jWUiMp7O5c5lgX5q4Qh4COcNg/edit?usp=drive_link&amp;ouid=104241417680089502627&amp;rtpof=true&amp;sd=true</t>
  </si>
  <si>
    <t>ООО "Биолит"</t>
  </si>
  <si>
    <t>5,5*5,5*10</t>
  </si>
  <si>
    <t>5*9,5*5</t>
  </si>
  <si>
    <t>5,6*10*5,6</t>
  </si>
  <si>
    <t>13,8*5,2*13,8</t>
  </si>
  <si>
    <t>4,5*14,5*4,5</t>
  </si>
  <si>
    <t>6,5*6,5*4,5</t>
  </si>
  <si>
    <t>20 г (15 мл флакон)</t>
  </si>
  <si>
    <t>1,5*3,5*7,5</t>
  </si>
  <si>
    <t>6*6*7</t>
  </si>
  <si>
    <t>4*4*19</t>
  </si>
  <si>
    <t>8*14*5</t>
  </si>
  <si>
    <t>5*15*4</t>
  </si>
  <si>
    <t>60 мл</t>
  </si>
  <si>
    <t>4*4*11,5</t>
  </si>
  <si>
    <t>nabor_remuver_40ml
remuver_40ml</t>
  </si>
  <si>
    <t>5,5*16,7*5,5</t>
  </si>
  <si>
    <t>Шампунь для волос</t>
  </si>
  <si>
    <t>300 мл</t>
  </si>
  <si>
    <t>14,7*9,5*4,4</t>
  </si>
  <si>
    <t xml:space="preserve">
Меры предосторожности: возможна индивидуальная непереносимость ингредиентов состава, не допускать попадания на слизистые оболочки
</t>
  </si>
  <si>
    <t>15 мл</t>
  </si>
  <si>
    <t>7,5*3,5*2</t>
  </si>
  <si>
    <t>17,5*6*11,5</t>
  </si>
  <si>
    <t>5,5*5,5*17</t>
  </si>
  <si>
    <t>4,5*4,7*14</t>
  </si>
  <si>
    <t>Пилинг для кожи головы</t>
  </si>
  <si>
    <t>110 мл</t>
  </si>
  <si>
    <t>3*5*16</t>
  </si>
  <si>
    <t>Масло для волос</t>
  </si>
  <si>
    <t>maslo_dlya_volos_parf_110ml_v2</t>
  </si>
  <si>
    <t>9,2*9,2*9,5</t>
  </si>
  <si>
    <t>8,5*8,5*6</t>
  </si>
  <si>
    <t>5*9*5</t>
  </si>
  <si>
    <t>HELIANTHUS ANNUUS (SUNFLOWER) SEED OIL, SORBETH-30 TETRAOLEATE, CAPRYLIC/CAPRIC TRIGLYCERIDE, ETHYLHEXYL PALMITATE, VITIS VINIFERA (GRAPE) SEED OIL, BUTYROSPERMUM PARKII (SHEA) BUTTER, LAVANDULA ANGUSTIFOLIA (LAVENDER) HERB OIL, TOCOPHEROL, BHT, LINALOOL, LIMONENE.</t>
  </si>
  <si>
    <t>небольшое количество масла распределить между ладней. Нанести на сухую кожу лица. Эмульгировать масло водой. Сделать легкий массаж. Полностью смыть эмульсию с лица.</t>
  </si>
  <si>
    <t>возможна индивидуальная непереносимость к отдельным компонентам, перед применением протестировать масло на небольшом участке кожи. При попадании масла в глаза, тщательно промойте большим количеством воды.</t>
  </si>
  <si>
    <t>: хранить в сухом недоступном для света месте при температуре от +5 до +25.</t>
  </si>
  <si>
    <t>https://docs.google.com/document/d/1FQqlknbbu81zCEVfNfQ_0sM9nUjexgPt/edit</t>
  </si>
  <si>
    <t>5*5*14</t>
  </si>
  <si>
    <t>Средство для снятия макияжа</t>
  </si>
  <si>
    <t>Гидрофильные масла</t>
  </si>
  <si>
    <t>krem-filler_15ml_v2</t>
  </si>
  <si>
    <t>Aqua, Propylene Glycol, Polysorbate 80, Glyceryl Monostearate, Dipropylene Glycol, Candelilla Wax, Caprylic/Capric Triglyceride, Cetearyl Alcohol, Stearic Acid, Colloidal Gold, Hydrolyzed Collagen, Nicotinamide, Elastin, Sorbitan Oleate, Tocopherol (Vitamin E), Butyrospermum Parkii (Shea) Butter, Phenoxyethanol, Ethylhexylglycerin, Sodium Hydroxide, Tetrasodium EDTA.</t>
  </si>
  <si>
    <t>7*4*2</t>
  </si>
  <si>
    <t>Красота и здоровье/Уход за лицом/Увлажнение и питание/Кремы</t>
  </si>
  <si>
    <t>160 мл</t>
  </si>
  <si>
    <t>4*5*18</t>
  </si>
  <si>
    <t>3*3*11,3</t>
  </si>
  <si>
    <t>Красота и здоровье/Уход за лицом/Увлажнение и питание/Сыворотки</t>
  </si>
  <si>
    <t>5*3*10</t>
  </si>
  <si>
    <t>6*6*16</t>
  </si>
  <si>
    <t>5,5*5,5*6,5</t>
  </si>
  <si>
    <t>retinait_syvorotka_1_30ml (было retinait_30ml)</t>
  </si>
  <si>
    <t>INCI: Aqua, Glycerin, Hydroxyethyl Urea, Simmondsia Chinensis (Jojoba) Seed Oil, Prunus Persica (Peach) Seed Oil, Coco-Caprylate/Caprate, Glyceryl Stearate Citrate, Lecithin, Caprylic/Capric Triglyceride, Retinaldehyde, Centella Asiatica Extract, Phenoxyethanol, Sodium Hyaluronate, Xanthan Gum, Fragrance, Panthenol, Sodium Stearoyl Lactylate, Tocopheryl Acetate, Tapioca Starch, Sodium Alginate, Ethylhexylglycerin, PEG-400, Mannitol, Tromethamine, Glutamic Acid, Arginine Hydrochloride, Alanine, Squalane, Aspartic Acid, Lysine Hydrochloride, Leucine, Valine, Citric Acid, Isopropyl Alcohol, Sodium Lactate, Sorbitol, Glucose, Phenylalanine, Isoleucine, Tyrosine, Histidine Hydrochloride, Hydrolyzed Soy Protein, Bis(Tripeptide-1) Copper Acetate, Beta-Sitosterol</t>
  </si>
  <si>
    <t>https://docs.google.com/document/d/1nXgL9F4E3SbzFg77Xalv2Gse9SgkCdRf/edit</t>
  </si>
  <si>
    <t>3,5*3,5*10,5</t>
  </si>
  <si>
    <t>9*4*14</t>
  </si>
  <si>
    <t>4*9*13</t>
  </si>
  <si>
    <t>3*3*11,4</t>
  </si>
  <si>
    <t>80 гр</t>
  </si>
  <si>
    <t>4,5*4,5*13</t>
  </si>
  <si>
    <t>Средство для умывания</t>
  </si>
  <si>
    <t>нанести на очищенную и тонизированную кожу легкими похлопывающими движениями.</t>
  </si>
  <si>
    <t>Условия хранения: от +5 до +25°С, в отсутствие прямых солнечных лучей.</t>
  </si>
  <si>
    <t>4670020498208;4603312714007</t>
  </si>
  <si>
    <t>6,5*6,5*5</t>
  </si>
  <si>
    <t>4,3*4*10,5</t>
  </si>
  <si>
    <t>3,5*3*12,5</t>
  </si>
  <si>
    <t>3*3*9</t>
  </si>
  <si>
    <t>Сыворотки для лица</t>
  </si>
  <si>
    <t>Aqua, Butylene Glycol, Cetearyl Alcohol, Glycerin, Caprylic/Capric Triglyceride, Cetearyl Olivate(and) Sorbitan Olivate,  Niacinamide, Glyceryl monostearate,  Camelia sinensis leaf extract, Phenoxyethanol, Parfum, Retinol,Tocopherol, 3-o-Ethyl Ascorbic Acid, Ethylhexylglycerin, Xanthan Gum, Hydrolyzed Sponge, Polysorbate 20, Palmitoyl Tripeptide-1, Palmitoyl Tetrapeptide-7, Polyglyceryl-10 Myristate, Ethyl Lauroyl Arginate HCl, CI 75810</t>
  </si>
  <si>
    <t xml:space="preserve">Во время вечернего ухода распределите крем по коже вокруг глаз на предварительно очищенную кожу, избегая попадания на слизистую. Для проблемных зон (например, носогубные складки, морщины на лбу) нанесите крем легкими массирующими движениями и дождитесь полного впитывания. </t>
  </si>
  <si>
    <t>возможна индивидуальная непереносимость к отдельным компонентам.</t>
  </si>
  <si>
    <t>https://docs.google.com/document/d/174Jh88r9E4GJrUABGQZNC4uuiFCZe3Nj/edit?usp=drive_web&amp;ouid=104241417680089502627&amp;rtpof=true</t>
  </si>
  <si>
    <t>7*12*4</t>
  </si>
  <si>
    <t>9*5,5*17,5</t>
  </si>
  <si>
    <t>1000 мл</t>
  </si>
  <si>
    <t>8*8*28</t>
  </si>
  <si>
    <t>5,5*5,5*21</t>
  </si>
  <si>
    <t>Бады</t>
  </si>
  <si>
    <t>30 капсул</t>
  </si>
  <si>
    <t>nabor_remuver_kremovii
(remuver_kremovii_15g)</t>
  </si>
  <si>
    <t>distilled water, propylene carbonate, cellulose, parfum, cl</t>
  </si>
  <si>
    <t>15 г</t>
  </si>
  <si>
    <t>6 мл</t>
  </si>
  <si>
    <t>1,4*1,4*12,5</t>
  </si>
  <si>
    <t xml:space="preserve">Гели </t>
  </si>
  <si>
    <t>5 мл</t>
  </si>
  <si>
    <t>11,5*1,3*1,3</t>
  </si>
  <si>
    <t>25*7,5*7</t>
  </si>
  <si>
    <t>15*9*5,5</t>
  </si>
  <si>
    <t>1,5*1,5*12,5</t>
  </si>
  <si>
    <t>Витаминные комплексы</t>
  </si>
  <si>
    <t>232481242</t>
  </si>
  <si>
    <t>ШК Общий</t>
  </si>
  <si>
    <t>вес, г</t>
  </si>
  <si>
    <t>Наименование</t>
  </si>
  <si>
    <t>Категории Озон</t>
  </si>
  <si>
    <t>Категории ВБ</t>
  </si>
  <si>
    <t>10*3,5*3,5</t>
  </si>
  <si>
    <t>Возбуждающее средство</t>
  </si>
  <si>
    <t>1 шт</t>
  </si>
  <si>
    <t>9*9*4,5</t>
  </si>
  <si>
    <t>1 кольцо, 2 геля * 30 мл</t>
  </si>
  <si>
    <t>22*14,7*6</t>
  </si>
  <si>
    <t>10 капсул</t>
  </si>
  <si>
    <t>11*6*1,5</t>
  </si>
  <si>
    <t>20 капсул</t>
  </si>
  <si>
    <t>8,2*6,2*8,2</t>
  </si>
  <si>
    <t>7*8*3</t>
  </si>
  <si>
    <t>4*4*8</t>
  </si>
  <si>
    <t>6*4,5*4,5</t>
  </si>
  <si>
    <t>10 синих + 3 красные капсул</t>
  </si>
  <si>
    <t>8*5*5</t>
  </si>
  <si>
    <t>20+20</t>
  </si>
  <si>
    <t>8*8*3</t>
  </si>
  <si>
    <t>11*6*3</t>
  </si>
  <si>
    <t>6*10*3</t>
  </si>
  <si>
    <t>13,5*8,5*5,5</t>
  </si>
  <si>
    <t>11*2,5*6,5</t>
  </si>
  <si>
    <t>11*6,5*2,5</t>
  </si>
  <si>
    <t>10*6,5*1,5</t>
  </si>
  <si>
    <t>15*22*6</t>
  </si>
  <si>
    <t>6*6*5,5</t>
  </si>
  <si>
    <t>10*3,7*3,7</t>
  </si>
  <si>
    <t>кремы, мази, заморозки</t>
  </si>
  <si>
    <t>artoks, artoks_50ml</t>
  </si>
  <si>
    <t>14*6*4</t>
  </si>
  <si>
    <t>4682266453224; 4660417421438</t>
  </si>
  <si>
    <t>ЕАЭС N RU Д-RU.PА06.B.20033/ от 12.09.2021 по 04.09.2027</t>
  </si>
  <si>
    <t>14,5*4,5*14,5</t>
  </si>
  <si>
    <t>14*6*6</t>
  </si>
  <si>
    <t>kavmaz, kavmaz_40ml</t>
  </si>
  <si>
    <t>4655778499073
4681196490217 
4660417421315</t>
  </si>
  <si>
    <t xml:space="preserve">Вода, хондроитин сульфат натрия, экстракт маклюры, экстракт коры дуба, троксерутин, экстракт сабельника, пчелиный яд, экстракт босвелии, экстракт хвои, экстракт коры ивы, экстракт лопуха, экстракт мяты, экстракт солодки, экстракт брусники, экстракт лабазника, экстракт красного перца, экстракт прополиса, карбомер, триэтаноламин, феноксиэтанол, этилгексилглицерин.
</t>
  </si>
  <si>
    <t>ООО «Восток Плюс», 107113, г. Москва, Сокольническая пл., дом 4а, этаж 3, пом.IV, комн.10</t>
  </si>
  <si>
    <t>4,4*4,5*12</t>
  </si>
  <si>
    <t>Парафармацевтика
Лечебные средства
Кремы, мази, заморозки</t>
  </si>
  <si>
    <t>80 мл</t>
  </si>
  <si>
    <t>17,5*11,5*6,5</t>
  </si>
  <si>
    <t>13,5*6*4</t>
  </si>
  <si>
    <t>1*14*6</t>
  </si>
  <si>
    <t>4,5*4,5*13,5</t>
  </si>
  <si>
    <t>4,5*12*4,5</t>
  </si>
  <si>
    <t>Лечебные средства
Кремы, мази, заморозки</t>
  </si>
  <si>
    <t>10,5*1*6,5</t>
  </si>
  <si>
    <t>10 шипучих таблеток</t>
  </si>
  <si>
    <t>10*4*3,5</t>
  </si>
  <si>
    <t>9,6*3,1*3,1</t>
  </si>
  <si>
    <t>9,5*2,8*2,8</t>
  </si>
  <si>
    <t>9,5*4*3</t>
  </si>
  <si>
    <t>10*3*3</t>
  </si>
  <si>
    <t>Гель для ухода за кожей</t>
  </si>
  <si>
    <t>3*3*15</t>
  </si>
  <si>
    <t>15 мл гель</t>
  </si>
  <si>
    <t>13*9*4</t>
  </si>
  <si>
    <t>Уход за телом
Увлажнение и питание
Гели и муссы</t>
  </si>
  <si>
    <t>10 саше</t>
  </si>
  <si>
    <t>9*5,5*2,8</t>
  </si>
  <si>
    <t>8*3*3,5</t>
  </si>
  <si>
    <t>7*8*1</t>
  </si>
  <si>
    <t>7,5*5*6</t>
  </si>
  <si>
    <t>7 саше по 3г</t>
  </si>
  <si>
    <t>6,5*6,5*11</t>
  </si>
  <si>
    <t>7 ампул</t>
  </si>
  <si>
    <t>12*8*1,5</t>
  </si>
  <si>
    <t>7,8*3,1*3,1</t>
  </si>
  <si>
    <t>7*10*1</t>
  </si>
  <si>
    <t>7 саше</t>
  </si>
  <si>
    <t>13,2*5*5</t>
  </si>
  <si>
    <t>8,2*3,5*3</t>
  </si>
  <si>
    <t>11*5,5*5</t>
  </si>
  <si>
    <t>5*8*3</t>
  </si>
  <si>
    <t>Комплексная пищевая добавка</t>
  </si>
  <si>
    <t>Пищевые добавки</t>
  </si>
  <si>
    <t>10 мл-2 шт</t>
  </si>
  <si>
    <t>10,5*6,5*1,5</t>
  </si>
  <si>
    <t>11*7*1,5</t>
  </si>
  <si>
    <t>8*6*2</t>
  </si>
  <si>
    <t>6,5*10,5*1.5</t>
  </si>
  <si>
    <t>10 таблеток</t>
  </si>
  <si>
    <t>7*11*3</t>
  </si>
  <si>
    <t>10+10</t>
  </si>
  <si>
    <t>10*6*5</t>
  </si>
  <si>
    <t>49г</t>
  </si>
  <si>
    <t>9,2*6,5*6,5</t>
  </si>
  <si>
    <t>16*11*6</t>
  </si>
  <si>
    <t>3*8*3</t>
  </si>
  <si>
    <t>4*3*9,5</t>
  </si>
  <si>
    <t>9,1*3*3</t>
  </si>
  <si>
    <t>Псорал</t>
  </si>
  <si>
    <t>10 ампул</t>
  </si>
  <si>
    <t>8*10*2,5</t>
  </si>
  <si>
    <t>Красота и гигиена &gt; Косметика для ухода за волосами &gt; Сыворотка для волос</t>
  </si>
  <si>
    <t>3*12*3</t>
  </si>
  <si>
    <t>Лечебные средства</t>
  </si>
  <si>
    <t>Декларация о соответствии</t>
  </si>
  <si>
    <t>экстракт вереска, экстракт ромашки, экстракт портулака, экстракт прополиса, экстракт череды, экстракт овса, вытяжка из семян огурца посевного, экстракт лавра благородного, экстракт мяты, экстракт софоры японской, экстракт цветов бузины, экстракт брусники, экстракт укропа, экстракт пастернака, экстракт расторопши, экстракт семян кориандра, экстракт черного ореха, экстракт каштана, экстракт чистотела, экстракт календулы, масло амаранта, экстракт диоскореи кавказской, экстракт артишока, экстракт чертополоха святого, экстракт сельдерея, экстракт девясила, экстракт лопуха, экстракт иван-чая, экстракт корня пырея, экстракт плодов шиповника, экстракт корней шиповника, экстракт чеснока, экстракт шиитаке, экстракт рейши, экстракт кордицепса, экстракт алоэ, экстракт березовых почек, экстракт клевера.</t>
  </si>
  <si>
    <t>https://docs.google.com/document/d/182CPmtrYud84OsemhFg1morJwye2-COYIy8wsih91Oc/edit</t>
  </si>
  <si>
    <t>wbgelmifort</t>
  </si>
  <si>
    <t>Состав: букко (баросма), экстракт семян кориандра, экстракт грибов лисичек, экстракт сосновых шишек, вытяжка из арбузных семечек, экстракт красного вина, вытяжка из лесной земляники, экстракт корней валерианы, экстракт чеснока, вытяжка из тыквенных семян, экстракт полыни, вытяжка из гранатовой кожуры, экстракт редьки черной, экстракт грейпфрута, экстракт свеклы, вытяжка моркови дикой, экстракт пижмы, экстракт чернобыльника, вытяжка грецкого ореха, экстракт гвоздики, экстракт тысячелистника, экстракт зверобоя, экстракт коры дуба, экстракт коры крушины, экстракт кедра, экстракт корней дягиля, экстракт имбиря, экстракт розмарина, экстракт семян тмина, экстракт  горечавки, вытяжка манчжурского ореха, экстракт лимона, экстракт семени льна, экстракт шафрана, экстракт лавра благородного, экстракт корня кровохлебки, экстракт коры осины, вытяжка почек и листа березы, вытяжка семян амаранта.</t>
  </si>
  <si>
    <t>https://docs.google.com/document/d/1tENDG4J8fjYwVteZR590ysxc4lYxbzeEpm-KuV9Ancg/edit</t>
  </si>
  <si>
    <t>7even</t>
  </si>
  <si>
    <t xml:space="preserve">Состав: African mango extract (экстракт африканского манго), Gotu Kola extract (экстракт готу колы), Tamarind extract (экстракт тамаринда), Acai extract (экстракт асаи), Blueberry extract (экстракт голубики), Hoodia Gordonii extract (экстракт худии гордони), Quandong extract (экстракт квандонга).
Вспомогательные вещества: МКЦ, картофельный крахмал. </t>
  </si>
  <si>
    <t>не рекомендуется принимать детям и во время беременности. Возможна индивидуальная реакция на компоненты.</t>
  </si>
  <si>
    <t>6*4,5*2</t>
  </si>
  <si>
    <t>receptgor</t>
  </si>
  <si>
    <t>дс</t>
  </si>
  <si>
    <t>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 пчелиное маточное молочко.</t>
  </si>
  <si>
    <t xml:space="preserve">экстракт ряски, вытяжка из дегтя березового, экстракт портулака , экстракт прополиса, экстракт череды, экстракт овса, вытяжка из семян огурца посевного, экстракт лавра благородного, экстракт мяты, экстракт софоры японской, экстракт цветов бузины, экстракт брусники, экстракт укропа, экстракт пастернака, экстракт расторопши, экстракт семян кориандра, экстракт черного ореха, экстракт каштана, экстракт чистотела, экстракт календулы, масло амаранта, экстракт сельдерея, экстракт девясила, вытяжка из клубне картофеля, экстракт лопуха, экстракт иван-чая, экстракт корня пырея, экстракт плодов шиповника, экстракт корней шиповника, экстракт чеснока, экстракт шиитаке, экстракт рейши, экстракт кордицепса, экстракт алоэ, экстракты кактуса канарского и мексиканского, экстракт березовых почек, экстракт клевера. </t>
  </si>
  <si>
    <t xml:space="preserve">2 года / 730 </t>
  </si>
  <si>
    <t>https://docs.google.com/document/d/0B7-1wy6SJH2oWGZBbk90dUE4eTA/edit?resourcekey=0-E73Vh1voPTy-RiX4E8Py2w</t>
  </si>
  <si>
    <t>11*3,5*3,5</t>
  </si>
  <si>
    <t>wbaisu</t>
  </si>
  <si>
    <t>Не подлежит сертификации</t>
  </si>
  <si>
    <t>подушка с криогелем</t>
  </si>
  <si>
    <t>10*4,5*3,5</t>
  </si>
  <si>
    <t>injoint</t>
  </si>
  <si>
    <t>экстракт змеиного яда, пчелиный яд, экстракт пантов марала, изопропиловый спирт, поливиниловый спирт, глицерин, димексид, эфирное масло пихты, экстракт красного перца, витамин В3, экстракт хмеля, масло облепихи, экстракты алоэ.</t>
  </si>
  <si>
    <t>возможна индивидуальная непереносимость компонентов.</t>
  </si>
  <si>
    <t>5*5*2</t>
  </si>
  <si>
    <t>allegard</t>
  </si>
  <si>
    <t>экстракт ряски, экстракт дурнишника, экстракт череды, экстракт лопуха, экстракт одуванчика, экстракт чернобыльника, экстракт ромашки, экстракт тысячелистника, экстракт шиповника, экстракт хвоща, экстракт золототысячника, экстракт чистотела, экстракт календулы, экстракт калины, экстракт короставника, экстракт пиона, экстракт девясила, экстракт валерианы, экстракт аира, экстракт чабреца, экстракт мумиё, экстракт корней малины, экстракт овса, экстракт лавра благородного, экстракт медуницы, экстракт облепихи, экстракт клевера, экстракт сельдерея, экстракт спирея, экстракт мяты.</t>
  </si>
  <si>
    <t>Гипоаллергенно. Возможна индивидуальная непереносимость компонентов.</t>
  </si>
  <si>
    <t>ironprost</t>
  </si>
  <si>
    <t>Состав: экстракт помидора, экстракт грецкого ореха, экстракт имбиря, экстракт прополиса, экстракт сельдерея, экстракт жень-шеня, экстракт гинко-билоба, экстракт готу коалы, экстракт пастернака, экстракт зеленого чая, экстракт облепихи, экстракт чеснока, экстракт хмеля, экстракт клевера, экстракт ашваганды, экстракт гокшуры, экстракт горянки, экстракт маки перуанской, экстракт йохимбе, экстракт кава кавы, экстракт аира, экстракт цветов сирени, экстракт любистика, экстракт семян тыквы, экстракт алоэ, экстракт шиитаке, экстракт рейши, экстракт чабреца, экстракт крыжовника, экстракт конопляного семени, экстракт золотого корня, экстракт левзеи, экстракт красного корня, экстракт анемоны, экстракт осины коры, экстракт пихты, экстракт повелики, экстракт спаржи, экстракт дубровника, экстракт аралии, экстракт полыни, экстракт красного вина, экстракт руты, экстракт ярутки.</t>
  </si>
  <si>
    <t>personalslim</t>
  </si>
  <si>
    <t>Состав:  экстракт худии гордони, экстракт зеленого кофе, экстракт овса, экстракт ячменя, экстракт мяты, экстракт цикория, экстракт петрушки, экстракт рейши, экстракт шиитаке, экстракт одуванчика, экстракт коры крушины, экстракт бузины, экстракт липы, экстракт фенхеля, экстракт тысячелистника, экстракт можжевельника, экстракт пихты, экстракт зеленого чая, экстракт лимона, экстракт имбиря, экстракт чеснока, экстракт толокнянки, экстракт сены, экстракт трехцветной фиалки, экстракт горца, экстракт грейпфрута, экстракт свеклы, экстракт моркови, экстракт алоэ, экстракт полыни, экстракт ястребинки, экстракт любистока, экстракт цистозиры бородатой, экстракт огурца, экстракт хвоща, экстракт укропа, экстракт барбариса, экстракт володушки, экстракт дягиля, экстракт семени льна, экстракт березы листа, экстракт ежевики, экстракт лимонника, экстракт листьев вишни, экстракт дымянки.</t>
  </si>
  <si>
    <t>11*4*3</t>
  </si>
  <si>
    <t>skinmatrix</t>
  </si>
  <si>
    <t xml:space="preserve">Состав крема: экстракт зеленого чая, экстракт овса, экстракт крапивы, экстракт мяты, экстракт гвоздики, экстракт календулы, экстракт мать-и-мачехи, экстракт хвоща, экстракт спирулины, экстракт конского каштана, экстракт ромашки, экстракт центеллы, экстракт гинкго билоба, экстракт гриба рейши и шиитаке, экстракт финика, экстракт смородины, экстракт иван-чая, экстракт бадана, экстракт таволги, экстракт боярышника, экстракт лаванды, полисорбат 80, экстракт одуванчика, экстракт ламинарии, экстракт апельсина, экстракт шалфея, экстракт чеснока, экстракт алоэ, экстракт ананаса, сорбат калия экстракт бамбука, экстракт петрушки, экстракт ягод годжи, экстракт инжира, экстракт лопуха, экстракт моркови, экстракт череды, экстракт розмарина, экстракт эмблики, масло виноградной косточки. </t>
  </si>
  <si>
    <t>weexfive</t>
  </si>
  <si>
    <t xml:space="preserve">Состав жидкости: вода, регулятор кислотности лимонная кислота, L-карнитин тартрат, конъюгированная линолевая кислота, альфа-липоевая кислота, экстракты растительные (листьев зеленого чая, спирулины, плодов гуараны), хрома пиколинат, ароматизатор “Абрикос” (натуральные вкусоароматические вещества, носители мальтодекстрин и гуммиарабик, антиокислители, аскорбиновая кислота и альфа-токоферол), консервант калия сорбат, краситель тартразин.
Состав порошка: мальтодекстрин, регулятор кислотности лимонная кислота, экстракты растительные (ананаса, косточек грейпфрута, корня женьшеня), премикс витаминный (витамины А, D3, Е, С, В1, В2, В3, В5, В6, В9, В12, Н). </t>
  </si>
  <si>
    <t>32,2*23*5</t>
  </si>
  <si>
    <t>wballigatorcaps</t>
  </si>
  <si>
    <t>Состав: экстракт готу кола, экстракт красной щетки, сибирское каменное масло, калган, йохимбе, медвежий лук, экстракт женьшеня, экстракт прополиса, витамин Е, лактоза, стеарат кальция, диоксид кремния.</t>
  </si>
  <si>
    <t>индивидуальная непереносимость одного или нескольких компонентов средства.</t>
  </si>
  <si>
    <t>5,5*5*5</t>
  </si>
  <si>
    <t>wballigatordrops</t>
  </si>
  <si>
    <t>Состав: экстракт базилика, экстракт сельдерея, экстракт прополиса, экстракт шиитаке, экстракт рейши, экстракт имбиря, экстракт йохимбе, экстракт гуто-колы, экстракт мумиё, экстракт сибирского каменного масла, экстракт женьшеня, экстракт укропа, экстракт пихты, экстракт лимона, экстракт красного корня, экстракт пантов марала, экстракт красной щетки, экстракт калгана, экстракт белого перца, экстракт мангостина, экстракт коры калины, экстракт чеснока,  экстракт плодов боярышника,  экстракт  кедровых орехов, экстракт грецкого ореха,  экстракт вербены, экстракт медвежьего лука, экстракт моркови дикой, экстракт левзеи, экстракт крапивы, экстракт пажитника, экстракт ятрышника, экстракт барвинка, экстракт аира, экстракт аниса, экстракт  льнянки, экстракт цетрарии.</t>
  </si>
  <si>
    <t>wbweex1cream1</t>
  </si>
  <si>
    <t>Состав жидкости: вода, регулятор кислотности лимонная кислота, L-карнитин тартрат, конъюгированная линолевая кислота, альфа-липоевая кислота, экстракты растительные (листьев зеленого чая, спирулины, плодов гуараны), хрома пиколинат, ароматизатор “Абрикос” (натуральные вкусоароматические вещества, носители мальтодекстрин и гуммиарабик, антиокислители, аскорбиновая кислота и альфа-токоферол), консервант калия сорбат, краситель тартразин.
Состав порошка: мальтодекстрин, регулятор кислотности лимонная кислота, экстракты растительные (ананаса, косточек грейпфрута, корня женьшеня), премикс витаминный (витамины А, D3, Е, С, В1, В2, В3, В5, В6, В9, В12, Н). Состав Weex Cream: вода, масло растительное, глицерин, масло андиробы, смесь масел (кунжутное масло, масло семян латука, масло рукколы, касторовое масло, масло арганы, масло зародышей пшеницы, масло жожоба), ламинария, экстракт гинкго билоба, экстракт гуараны, экстракт мята перечная, экстракт календулы, метилпарабен, карбопол, триэтаноламин, пропилпарабен, витамин Е (в масле), бета каротин, краситель, отдушка.</t>
  </si>
  <si>
    <t>индивидуальная непереносимость одного или нескольких компонентов продукта. Не рекомендуется применять детям, беременным и кормящим матерям. Не использовать при язвенных болезнях и проблемах жкт.</t>
  </si>
  <si>
    <t>22*15*6</t>
  </si>
  <si>
    <t>wbaisugel</t>
  </si>
  <si>
    <t>вода, горец японский, готу кола трава, кассия, гель алоэ вера, гидроксиэтилцеллюлоза, экстракт шалфея, экстракт конского каштана, экстракт чистотела, экстракт календулы, экстракт прополиса, экстракт из листьев осины, экстракт ромашки, экстракт подорожника, масло семян тыквы, экстракт расторопши, масло нарцисса, Д-пантенол, аллантоин, бисаболол, трилон Б, консервант.</t>
  </si>
  <si>
    <t>https://docs.google.com/document/d/1rMwZeqzWObUbEmcFgsSpq6PqH3_H23v-2he8-Z-t0kg/edit</t>
  </si>
  <si>
    <t>wbaisu1gel2</t>
  </si>
  <si>
    <t>гелевая основа</t>
  </si>
  <si>
    <t>1 подушка, 2 геля * 30 мл</t>
  </si>
  <si>
    <t>https://docs.google.com/document/d/1rMwZeqzWObUbEmcFgsSpq6PqH3_H23v-2he8-Z-t0kg/editt</t>
  </si>
  <si>
    <t>18,5*14*4,5</t>
  </si>
  <si>
    <t>kettox</t>
  </si>
  <si>
    <t xml:space="preserve">Состав: African mango extract (экстракт африканского манго), Gotu Kola extract (экстракт готу колы), Tamarind extract (экстракт тамаринда), Acai extract (экстракт асаи), Blueberry extract (экстракт голубики), Hoodia Gordonii extract (экстракт худии гордони), Quandong extract (экстракт квандонга).
Вспомогательные вещества: МКЦ, картофельный крахмал. </t>
  </si>
  <si>
    <t>https://docs.google.com/document/d/10EgVRRdH9WNa7uzbJJ3yOvdBdMJZXVRF84OW_zEaBtE/edit</t>
  </si>
  <si>
    <t>5,5*4*1</t>
  </si>
  <si>
    <t>wbweexcream</t>
  </si>
  <si>
    <t>вода, масло растительное, глицерин, масло андиробы, смесь масел (кунжутное масло, масло семян латука, масло рукколы, касторовое масло, масло арганы, масло зародышей пшеницы, масло жожоба), ламинария, экстракт гинкго билоба, экстракт гуараны, экстракт мята перечная, экстракт календулы, метилпарабен, карбопол, триэтаноламин, пропилпарабен, витамин Е (в масле), бета каротин, краситель, отдушка.</t>
  </si>
  <si>
    <t>2 года / 730                После вскрытия хранить 12 месяцев.</t>
  </si>
  <si>
    <t>https://docs.google.com/document/d/1n1KtGaQCm8cmIC3uGOmAviNGR6sKohMsAgnWiBCLiZg/edit</t>
  </si>
  <si>
    <t>17*5*5</t>
  </si>
  <si>
    <t>wbweex3cream1</t>
  </si>
  <si>
    <t>Состав жидкости: вода, регулятор кислотности лимонная кислота, L-карнитин тартрат, конъюгированная линолевая кислота, альфа-липоевая кислота, экстракты растительные (листьев зеленого чая, спирулины, плодов гуараны), хрома пиколинат, ароматизатор “Абрикос” (натуральные вкусоароматические вещества, носители мальтодекстрин и гуммиарабик, антиокислители, аскорбиновая кислота и альфа-токоферол), консервант калия сорбат, краситель тартразин.
Состав порошка: мальтодекстрин, регулятор кислотности лимонная кислота, экстракты растительные (ананаса, косточек грейпфрута, корня женьшеня), премикс витаминный (витамины А, D3, Е, С, В1, В2, В3, В5, В6, В9, В12, Н). Состав Weex Cream: вода, масло растительное, глицерин, масло андиробы, смесь масел (кунжутное масло, масло семян латука, масло рукколы, касторовое масло, масло арганы, масло зародышей пшеницы, масло жожоба), ламинария, экстракт гинкго билоба, экстракт гуараны, экстракт мята перечная, экстракт календулы, метилпарабен, карбопол, триэтаноламин, пропилпарабен, витамин Е (в масле), бета каротин, краситель, отдушка.</t>
  </si>
  <si>
    <t>25,6*18,6*5</t>
  </si>
  <si>
    <t>wburofortduo</t>
  </si>
  <si>
    <t>Состав: корень циатулы, корица, хохлатка, подорожник азиатский, сафлор красильный, пыльца рогоза, клубень хохлатки янхусуо, гирчовник китайский, борнейская камфора.</t>
  </si>
  <si>
    <t>индивидуальная непереносимость одного или нескольких компонентов продукта. Не рекомендуется применять детям, беременным и кормящим матерям. Не использовать на открытые раны.</t>
  </si>
  <si>
    <t>https://docs.google.com/document/d/1TCblgQJvkpanO1FSOvWfLgHHXmMsYYbu_cvrl5in1qI/edit</t>
  </si>
  <si>
    <t>11*11*1</t>
  </si>
  <si>
    <t>urofortduocaps</t>
  </si>
  <si>
    <t>Состав: панты марала, прополис, экстракт крапивы, экстракт имбиря, экстракт женьшеня, экстракт полыни, экстракт алоэ, экстракт эврикомы, экстракт дамианы, экстракт толокнянки, экстракт лопуха, экстракт лапчатки, экстракт омелы, экстракт эхинацеи, лимонная кислота, витамин С, крахмал, диоксид кремния.</t>
  </si>
  <si>
    <t>https://docs.google.com/document/d/1TCblgQJvkpanO1FSOvWfLgHHXmMsYYbu_cvrl5in1qI/editt</t>
  </si>
  <si>
    <t>wbhondraktin</t>
  </si>
  <si>
    <t>Состав: носитель микрокристаллическая целлюлоза, декстроза, регуляторы кислотности: лимонная кислота безводная, натрия гидрокарбонат и натрий карбонат безводный, глюкозамин сульфат калия хлорид, метилсульфонилметан, хондроитинсульфат, экстракт смолы босвеллии пильчатой, экстракт листьев крапивы, экстракт гарпагофитума (коготь дьявола), экстракт травы сабельника, гиалуроновая кислота (гиалуронат натрия), минеральный премикс (кальция карбонат, калия хлорид, магния оксид, железа сульфат, калия йодат, натрия селенит, цинка оксид, меди сульфат, марганца сульфат), экстракт мартинии душистой.</t>
  </si>
  <si>
    <t>15 таблеток</t>
  </si>
  <si>
    <t>https://docs.google.com/document/d/1URT-srn9Xz4SQgi4XUCx9L-3VUZdye8O_NJZS56bEfA/edit</t>
  </si>
  <si>
    <t>adapalexnew</t>
  </si>
  <si>
    <t xml:space="preserve">Состав крема с формулой A-Dapalex: вода, глицерин, A-Dapalex, масло вазелиновое, этилгексилстеарат, цетеариловый спирт, цетеарет 20, экстракт ромашки, масло виноградной косточки, масло абрикосовой косточки, диметикон, протеин, полиакрилат натрия, консервант.                                                                                                 Состав поддерживающего крема: вода, глицерин, масло вазелиновое, масло виноградной косточки, этилгексилстеарат, экстракт ромашки, цетеариловый спирт, цетеарет 20, масло абрикосовой косточки, диметикон, протеин, полиакрилат натрия, консервант. </t>
  </si>
  <si>
    <t>https://docs.google.com/document/d/1ExQXTK71cqxAoqGN-a_bt54zWOnEvzcGhUjvHLrRNHU/editt</t>
  </si>
  <si>
    <t>5*5*3</t>
  </si>
  <si>
    <t>wbadapalex</t>
  </si>
  <si>
    <t xml:space="preserve">Состав крема с формулой A-Dapalex: вода, глицерин, A-Dapalex, масло вазелиновое, этилгексилстеарат, цетеариловый спирт, цетеарет 20, экстракт ромашки, масло виноградной косточки, масло абрикосовой косточки, диметикон, протеин, полиакрилат натрия, консервант. Состав поддерживающего крема: вода, глицерин, масло вазелиновое, масло виноградной косточки, этилгексилстеарат, экстракт ромашки, цетеариловый спирт, цетеарет 20, масло абрикосовой косточки, диметикон, протеин, полиакрилат натрия, консервант. </t>
  </si>
  <si>
    <t>3 года / 1095</t>
  </si>
  <si>
    <t>https://docs.google.com/document/d/1ExQXTK71cqxAoqGN-a_bt54zWOnEvzcGhUjvHLrRNHU/edit</t>
  </si>
  <si>
    <t>bionic</t>
  </si>
  <si>
    <t>вода, пропилен гликоль, силикат натрия, карбоксиметилцеллюлоза, гиалуроновая кислота, диазонидилмочевина, метилпарабен, пропилпарабен (натуральные консерванты), гидролизат коллагена, витамин Е, масло амаранта, масло облепихи, гликолевая кислота, витамин А.</t>
  </si>
  <si>
    <t>https://docs.google.com/document/d/1frw3bhNToCtXAfKnxCDyiJjiJUh5mEaDOnsLrSUbpAQ/edit</t>
  </si>
  <si>
    <t>6,5*6*6,5</t>
  </si>
  <si>
    <t>wbgrassfit</t>
  </si>
  <si>
    <t>100% органические ростки пшеницы, спрессованные.</t>
  </si>
  <si>
    <t>20 таблеток</t>
  </si>
  <si>
    <t>1 год / 365</t>
  </si>
  <si>
    <t>https://docs.google.com/document/d/19GXQsKLKhN-7wxq2hN6PaWzZ2_H4nXvTsbOdQRyDC04/edit</t>
  </si>
  <si>
    <t>5*2*2</t>
  </si>
  <si>
    <t>wbgrassfit3</t>
  </si>
  <si>
    <t>20 табл * 3</t>
  </si>
  <si>
    <t>https://docs.google.com/document/d/19GXQsKLKhN-7wxq2hN6PaWzZ2_H4nXvTsbOdQRyDC04/editt</t>
  </si>
  <si>
    <t>18,5*14*4</t>
  </si>
  <si>
    <t>weex</t>
  </si>
  <si>
    <t xml:space="preserve">Состав жидкости: вода, регулятор кислотности лимонная кислота, L-карнитин тартрат, конъюгированная линолевая кислота, альфа-липоевая кислота, экстракты растительные (листьев зеленого чая, спирулины, плодов гуараны), хрома пиколинат, ароматизатор “Абрикос” (натуральные вкусоароматические вещества, носители мальтодекстрин и гуммиарабик, антиокислители, аскорбиновая кислота и альфа-токоферол), консервант калия сорбат, краситель тартразин.
Состав порошка: мальтодекстрин, регулятор кислотности лимонная кислота, экстракты растительные (ананаса, косточек грейпфрута, корня женьшеня), премикс витаминный (витамины А, D3, Е, С, В1, В2, В3, В5, В6, В9, В12, Н). </t>
  </si>
  <si>
    <t>5*5*13.5</t>
  </si>
  <si>
    <t>weexpink</t>
  </si>
  <si>
    <t>https://docs.google.com/document/d/1C25j9S-gjiXcr_sFJOxAs-lSmerzNPjj6ZOZva-_32E/edit</t>
  </si>
  <si>
    <t>5*17*5</t>
  </si>
  <si>
    <t>wbweexthree</t>
  </si>
  <si>
    <t>150мл * 3</t>
  </si>
  <si>
    <t>25,8*19*5</t>
  </si>
  <si>
    <t>ritme</t>
  </si>
  <si>
    <t xml:space="preserve">Состав:
1 ампула (красная): гуарана, экстракт зеленого чая, витамин С.
2 ампула (синяя): карнитин, липоевая кислота, экстракт померанца.
3 ампула (розовая): пиколинат хрома.
</t>
  </si>
  <si>
    <t>18 ампул</t>
  </si>
  <si>
    <t>https://docs.google.com/document/d/1LCIJhd3vEPvBELv5OM-Koc7PCsL6fwrV3aPGBwNtJ4k/edit</t>
  </si>
  <si>
    <t>13*9*5</t>
  </si>
  <si>
    <t>Состав: экстракт ольхи, экстракт грецкого ореха, экстракт манжетки, экстракт аралии, экстракт солодки, экстракт лещины, экстракт козлятника, экстракт ивы белой, экстракт девясила, экстракт цветов сирени, экстракт створок фасоли, экстракт крапивы, экстракт одуванчика, экстракт можжевельника, экстракт лавра благородного, экстракт тыквенных плодоножек, экстракт плодов рябины, экстракт сельдерея, экстракт липы, экстракт мумиё, экстракт лимона, экстракт мяты, экстракт курильского чая, экстракт лопуха корня, экстракт льна, экстракт черники, листа смородины, экстракт подорожника, экстракт сафоры японской, экстракт солодки, экстракт брусники, экстракт толокнянки, экстракт пырея, экстракт топинамбура, экстракт кизила, экстракт шиповника, экстракт земляники.</t>
  </si>
  <si>
    <t>https://docs.google.com/document/d/0B7-1wy6SJH2oU3ZFdFA3M0FnbjA/edit?resourcekey=0-ZVVhLR2eTMu2CIzOYU8aDA</t>
  </si>
  <si>
    <t>13*6*10</t>
  </si>
  <si>
    <t>hypertonium</t>
  </si>
  <si>
    <t>Состав: экстракт боярышника, экстракт пустырника, экстракт листьев и ягод черники, экстракт брусники, экстракт земляники, экстракт сушеницы, экстракт листа березы, экстракт валерианы, экстракт черноплодной рябины, экстракт астрагала, экстракт семя укропа,  экстракт шиповника, экстракт пастушьей сумки, экстракт спорыша, экстракт донника, экстракт  буквицы, экстракт мяты, экстракт мелисы, экстракт софоры японской,  экстракт  семени льна, экстракт  ромашки, экстракт календулы, экстракт шиитаке,   экстракт моркови дикой,  экстракт лабазника,  экстракт клевера, экстракт  подмаренника, экстракт чернобыльника, экстракт малины, экстракт лапчатки гусиной,  экстракт синюхи, экстракт вероники, экстракт яснотки.</t>
  </si>
  <si>
    <t>https://docs.google.com/document/d/1933PDZXuCrUT2MoAMm3XDTixHeOwIDHVTYexQN9Ke14/edit</t>
  </si>
  <si>
    <t>Состав: экстракт любистока, экстракт маки перуанской. экстракт эврикомы, родиола розовая, женьшень, пажитник, экстракт саган-дайля, йохимбе, имбирь, петрушка, корица  аскорбат натрия, аскорбиновая кислота, мальтодекстрин, лактоза, сахароза, диоксид кремния.</t>
  </si>
  <si>
    <t>https://docs.google.com/document/d/1xGjLWq8EQkhaKm3ZA55TPJsD2IQRlahzMW_SFH6NuJI/edit</t>
  </si>
  <si>
    <t>wbklearin</t>
  </si>
  <si>
    <t>вода, пропиленгликоль, изопропиловый спирт, тербинафин гидрохлорид, камфора, ментол, экстракт мяты, ионы серебра, кальция стеарат, консервант.</t>
  </si>
  <si>
    <t>20 саше</t>
  </si>
  <si>
    <t>https://docs.google.com/document/d/1coldJxWrXQJSGxuvzh_RGYr8_BNQ7AxhnkmHLYDr73g/edit</t>
  </si>
  <si>
    <t>6,5*6,5*6,5</t>
  </si>
  <si>
    <t>SKU МП (артикул постащика)</t>
  </si>
  <si>
    <t>SKU WB</t>
  </si>
  <si>
    <t>SKU 1C</t>
  </si>
  <si>
    <t>SKU OZON</t>
  </si>
  <si>
    <t>SKU YA</t>
  </si>
  <si>
    <t>SKU Letu</t>
  </si>
  <si>
    <t>SKU GA</t>
  </si>
  <si>
    <t>Артикул ОЗОН</t>
  </si>
  <si>
    <t>Артикул ЯМ</t>
  </si>
  <si>
    <t>Артикул Летуаль</t>
  </si>
  <si>
    <t>Артикул Золотое Яблоко</t>
  </si>
  <si>
    <t>Смарт-Сэйл-Сэйл</t>
  </si>
  <si>
    <t>Наименование старое</t>
  </si>
  <si>
    <t>Наименование новое</t>
  </si>
  <si>
    <t>Ссылка</t>
  </si>
  <si>
    <t>Подкатегория</t>
  </si>
  <si>
    <t>ОКДП2</t>
  </si>
  <si>
    <t>Длинна</t>
  </si>
  <si>
    <t>Коробов в ряду</t>
  </si>
  <si>
    <t>БАД/Пищевая добавка</t>
  </si>
  <si>
    <t>10.89.19.210</t>
  </si>
  <si>
    <t>Женское здоровье</t>
  </si>
  <si>
    <t>Кожа, волосы и ногти</t>
  </si>
  <si>
    <t>БАД Магний цитрат в порошке, 180 г</t>
  </si>
  <si>
    <t>Пробиотики для взрослых 570 мг Qeep 30 капсул</t>
  </si>
  <si>
    <t>БАД спирулина + хром</t>
  </si>
  <si>
    <t>БАД Цеолит</t>
  </si>
  <si>
    <t>20.42.15.149</t>
  </si>
  <si>
    <t>20.42.15.139</t>
  </si>
  <si>
    <t>20.42.17.120</t>
  </si>
  <si>
    <t>20.42.13</t>
  </si>
  <si>
    <t>20.42.17</t>
  </si>
  <si>
    <t>20.42.15.120</t>
  </si>
  <si>
    <t>20.42.15.133</t>
  </si>
  <si>
    <t>Жидкая добавка</t>
  </si>
  <si>
    <t>10.92.10.219</t>
  </si>
  <si>
    <t>Аксессуары и уход</t>
  </si>
  <si>
    <t>17.22.12.120</t>
  </si>
  <si>
    <t xml:space="preserve">20.42.19.190 </t>
  </si>
  <si>
    <t>32.50.13.190</t>
  </si>
  <si>
    <t>20.42.19.145</t>
  </si>
  <si>
    <t>10.92.10.111</t>
  </si>
  <si>
    <t>20.42.19.140</t>
  </si>
  <si>
    <t>Корм</t>
  </si>
  <si>
    <t>10.92.10.112</t>
  </si>
  <si>
    <t>21.10.60.194</t>
  </si>
  <si>
    <t>10.89.19.150</t>
  </si>
  <si>
    <t>Капли от алкогольной зависимости, от алкоголизма от запоя, Alkotoxic, 10 мл</t>
  </si>
  <si>
    <t>20.42.15.190</t>
  </si>
  <si>
    <t>Крем от варикоза усталости и отеков ног, Алтея, Дар Дракона, 30 мл</t>
  </si>
  <si>
    <t>Средство от давления, витамины для сердца, чистка сосудов, Алтея, Антигипертон</t>
  </si>
  <si>
    <t>Папилломы</t>
  </si>
  <si>
    <t>Мужское здоровье</t>
  </si>
  <si>
    <t>ЛОР</t>
  </si>
  <si>
    <t>Мазь для суставов обезболивающая Артокс, панты марала крем Алтея, 50 мл</t>
  </si>
  <si>
    <t>Таблетки для мужчин для секса, возбудитель, средство для потенции и эрекции, витамины для мужчины, Neomax blue, Неомаксблу, 10 штук</t>
  </si>
  <si>
    <t>20.42.15.141</t>
  </si>
  <si>
    <t>21.20.20</t>
  </si>
  <si>
    <t>Таблетки от давления при гипертонии для сердца, чистка сосудов, Алтея, Кардицин, 60 капсул</t>
  </si>
  <si>
    <t xml:space="preserve">20.42.14 </t>
  </si>
  <si>
    <t>Уход за бровями набор Гель для бровей + сыворотка для ресниц, набор для бровей и ресниц косметический Beauty Brows Box, Алтея</t>
  </si>
  <si>
    <t xml:space="preserve">20.42.19 </t>
  </si>
  <si>
    <t xml:space="preserve">20.42.13 </t>
  </si>
  <si>
    <t>20.42.15</t>
  </si>
  <si>
    <t>Крем для кудрявых и вьющихся волос Алтея 300 мл</t>
  </si>
  <si>
    <t>Пенка для укладки кудрявых волос Алтея 150 мл</t>
  </si>
  <si>
    <t>Спрей для волос для роста и от выпадения волос никотиновая кислота перец размарин Алтея 100 мл</t>
  </si>
  <si>
    <t>MPL378893</t>
  </si>
  <si>
    <t>Гидрофильное масло для снятия макияжа с лавандой, Алтея , 150 мл</t>
  </si>
  <si>
    <t>20.42.15.130</t>
  </si>
  <si>
    <t>20.42.15.130ё</t>
  </si>
  <si>
    <t>Сыворотка с ниацинамидом для лица антивозрастная, от пигментных пятен для лица, пигментации, Алтея, 30 мл</t>
  </si>
  <si>
    <t>Сыворотка с витамином с, увлажняющая с гиалуроновой кислотой, Алтея, 30 мл</t>
  </si>
  <si>
    <t>Мужская косметика</t>
  </si>
  <si>
    <t>20.42.19.110</t>
  </si>
  <si>
    <t>20.42.15.142</t>
  </si>
  <si>
    <t>20.42.15.140</t>
  </si>
  <si>
    <t>20.42.25.130</t>
  </si>
  <si>
    <t>20.42.15.150</t>
  </si>
  <si>
    <t>Сыворотка для лица с ниацинамидом Алтея</t>
  </si>
  <si>
    <t>qeep Retinol - крем с ретинолом 1%, 50 мл</t>
  </si>
  <si>
    <t>qeep Retinol - крем с ретинолом 1,5%, 50 мл</t>
  </si>
  <si>
    <t>qeep SPF 50 крем солнцезащитный 50 мл</t>
  </si>
  <si>
    <t>Маска-Баттер, с кератином, тотальное восстановление, Алтея, 500 мл</t>
  </si>
  <si>
    <t>Хлорофилл 500 мл</t>
  </si>
  <si>
    <t>qeep Таурин 90 капсул</t>
  </si>
  <si>
    <t>qeep Мелатонин 90 таблеток</t>
  </si>
  <si>
    <t>qeep Биомелатонин 60 капсул</t>
  </si>
  <si>
    <t>qeep Коэнзим</t>
  </si>
  <si>
    <t>qeep Крем с ретиноло 0,5</t>
  </si>
  <si>
    <t>qeep Инозитол 1500 мг</t>
  </si>
  <si>
    <t>Harly Воск для лап 50 мл</t>
  </si>
  <si>
    <t>qeep Трибустерон 60 капсул</t>
  </si>
  <si>
    <t>qeep Пробиотик детокс</t>
  </si>
  <si>
    <t>qeep ZMA 120 капсул</t>
  </si>
  <si>
    <t>Harly Масло лосося 250 мл</t>
  </si>
  <si>
    <t>CC101100446</t>
  </si>
  <si>
    <t>qeep Набор Байфет и пробиотики</t>
  </si>
  <si>
    <t>qeep Набор коэнзим и омега</t>
  </si>
  <si>
    <t>qeep Набор пробиотики и пребиотики</t>
  </si>
  <si>
    <t>qeep Набор коэнзим биотин</t>
  </si>
  <si>
    <t>qeep Набор омега для взрослых и детей</t>
  </si>
  <si>
    <t>Сыворотка для роста волос, биотин, бетаин, кератин, масло жожоба, Алтея, WOW GLAM, 10 штук по 2 мл</t>
  </si>
  <si>
    <t>Андрей</t>
  </si>
  <si>
    <t>Статус</t>
  </si>
  <si>
    <t>Коммент</t>
  </si>
  <si>
    <t>Высокий себес / плохой запуск</t>
  </si>
  <si>
    <t>ВБ</t>
  </si>
  <si>
    <t>не все данные нужны</t>
  </si>
  <si>
    <t>убрать себес</t>
  </si>
  <si>
    <t>убрать поставщиков</t>
  </si>
  <si>
    <t>процесс</t>
  </si>
  <si>
    <t>как часто обновляется этот файл</t>
  </si>
  <si>
    <t>кто ответственный за те или иные данные</t>
  </si>
  <si>
    <t>коммерция</t>
  </si>
  <si>
    <t>дизайн</t>
  </si>
  <si>
    <t>логистика</t>
  </si>
  <si>
    <t>сделать скринкаст по файлу</t>
  </si>
  <si>
    <t>источники данных</t>
  </si>
  <si>
    <t>выходные артефакты</t>
  </si>
  <si>
    <t>не зависимых таблиц , откуда берем данные</t>
  </si>
  <si>
    <t>есть только таблицы , откуда берутся данные отсюда</t>
  </si>
  <si>
    <t>дедлайн</t>
  </si>
  <si>
    <t>указать все старые файлы</t>
  </si>
  <si>
    <t>регламент</t>
  </si>
  <si>
    <t>ознакомлен и старый файл перестал вести</t>
  </si>
  <si>
    <t>Ответственные</t>
  </si>
  <si>
    <t>https://disk.yandex.ru/d/Rb4h9JhvCFZscg</t>
  </si>
  <si>
    <t>https://disk.yandex.ru/d/iO_TaD7U2A8-rw</t>
  </si>
  <si>
    <t>https://disk.yandex.ru/d/8mE8ip6Wqh99dQ</t>
  </si>
  <si>
    <t>Сердце</t>
  </si>
  <si>
    <t>БАДы Кардицин от давления при гипертонии для сердца</t>
  </si>
  <si>
    <t>https://www.wildberries.ru/catalog/174464512/detail.aspx</t>
  </si>
  <si>
    <t>https://www.ozon.ru/product/1171930661</t>
  </si>
  <si>
    <t>https://market.yandex.ru/card/karditsin-vitaminy-dlya-serdtsa-i-sosudov-ot-davleniya-bad--60-kapsul-dlya-immuniteta/103340891630?businessId=1422090&amp;clid=1422090&amp;model_id=1452481401&amp;distr_type=8&amp;pp=605</t>
  </si>
  <si>
    <t>https://disk.yandex.ru/d/kecS7gn8qPo4ZA</t>
  </si>
  <si>
    <t>https://www.wildberries.ru/catalog/385736759/detail.aspx</t>
  </si>
  <si>
    <t>Гидрофильное масло для лица и умывания</t>
  </si>
  <si>
    <t>гидрофильное масло для снятия макияжа с лавандой, алтея , 150 мл</t>
  </si>
  <si>
    <t>Гидрофильное масло для снятия макияжа с лавандой</t>
  </si>
  <si>
    <t>https://www.wildberries.ru/catalog/221229640/detail.aspx</t>
  </si>
  <si>
    <t>https://www.ozon.ru/product/1526983919</t>
  </si>
  <si>
    <t>https://market.yandex.ru/card/gidrofilnoye-maslo-dlya-snyatiya-makiyazha-s-lavandoy-alteya--150-ml/103515417439?businessId=1422090&amp;clid=1422090&amp;model_id=968485540&amp;distr_type=8&amp;pp=605</t>
  </si>
  <si>
    <t>https://goldapple.ru/catalogsearch/result?q=99000076222</t>
  </si>
  <si>
    <t>https://www.letu.ru/product/alteya-gidrofilnoe-maslo-dlya-snyatiya-makiyazha-s-lavandoi/164100036</t>
  </si>
  <si>
    <t>Масло для умывания &gt;&gt; Уход за лицом &gt;&gt; Средства для умывания</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</si>
</sst>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р.-419]#,##0.00"/>
    <numFmt numFmtId="165" formatCode="dd.mm"/>
    <numFmt numFmtId="166" formatCode="dd/mm/yyyy"/>
    <numFmt numFmtId="167" formatCode="dd.mm.yyyy"/>
    <numFmt numFmtId="168" formatCode="dd/mm"/>
    <numFmt numFmtId="169" formatCode="d.m"/>
    <numFmt numFmtId="170" formatCode="[$р.-419]#,##0"/>
    <numFmt numFmtId="171" formatCode="dd.MM.yyyy"/>
  </numFmts>
  <fonts count="64">
    <font>
      <sz val="10.0"/>
      <color rgb="FF000000"/>
      <name val="Arial"/>
      <scheme val="minor"/>
    </font>
    <font>
      <b/>
      <sz val="10.0"/>
      <color rgb="FFFF0000"/>
      <name val="Arial"/>
      <scheme val="minor"/>
    </font>
    <font>
      <color theme="1"/>
      <name val="Arial"/>
      <scheme val="minor"/>
    </font>
    <font>
      <b/>
      <sz val="11.0"/>
      <color theme="1"/>
      <name val="Arial"/>
      <scheme val="minor"/>
    </font>
    <font>
      <u/>
      <color theme="1"/>
      <name val="Arial"/>
      <scheme val="minor"/>
    </font>
    <font>
      <u/>
      <color theme="1"/>
      <name val="Arial"/>
      <scheme val="minor"/>
    </font>
    <font>
      <b/>
      <color theme="1"/>
      <name val="Arial"/>
      <scheme val="minor"/>
    </font>
    <font/>
    <font>
      <u/>
      <color rgb="FF0000FF"/>
    </font>
    <font>
      <u/>
      <color rgb="FF0000FF"/>
    </font>
    <font>
      <u/>
      <color rgb="FF0000FF"/>
    </font>
    <font>
      <u/>
      <color rgb="FF0000FF"/>
    </font>
    <font>
      <color theme="1"/>
      <name val="Arial"/>
    </font>
    <font>
      <sz val="11.0"/>
      <color rgb="FF000000"/>
      <name val="Calibri"/>
    </font>
    <font>
      <color rgb="FF000000"/>
      <name val="Arial"/>
    </font>
    <font>
      <sz val="12.0"/>
      <color rgb="FF000000"/>
      <name val="Calibri"/>
    </font>
    <font>
      <sz val="8.0"/>
      <color theme="1"/>
      <name val="Calibri"/>
    </font>
    <font>
      <sz val="11.0"/>
      <color theme="1"/>
      <name val="Calibri"/>
    </font>
    <font>
      <u/>
      <color rgb="FF0000FF"/>
      <name val="Arial"/>
    </font>
    <font>
      <b/>
      <color theme="1"/>
      <name val="Arial"/>
    </font>
    <font>
      <sz val="11.0"/>
      <color rgb="FF000000"/>
      <name val="&quot;Aptos Narrow&quot;"/>
    </font>
    <font>
      <b/>
      <sz val="8.0"/>
      <color theme="1"/>
      <name val="Arial"/>
    </font>
    <font>
      <sz val="8.0"/>
      <color theme="1"/>
      <name val="Arial"/>
    </font>
    <font>
      <u/>
      <sz val="8.0"/>
      <color rgb="FF1155CC"/>
      <name val="Arial"/>
    </font>
    <font>
      <u/>
      <sz val="8.0"/>
      <color rgb="FF1155CC"/>
      <name val="Arial"/>
    </font>
    <font>
      <u/>
      <sz val="8.0"/>
      <color rgb="FF1155CC"/>
      <name val="Arial"/>
    </font>
    <font>
      <b/>
      <u/>
      <sz val="8.0"/>
      <color rgb="FF1155CC"/>
      <name val="Arial"/>
    </font>
    <font>
      <u/>
      <sz val="8.0"/>
      <color rgb="FF1155CC"/>
      <name val="Arial"/>
    </font>
    <font>
      <u/>
      <sz val="8.0"/>
      <color rgb="FF1155CC"/>
      <name val="Arial"/>
    </font>
    <font>
      <sz val="9.0"/>
      <color theme="1"/>
      <name val="Calibri"/>
    </font>
    <font>
      <color theme="1"/>
      <name val="Calibri"/>
    </font>
    <font>
      <u/>
      <sz val="8.0"/>
      <color rgb="FF1155CC"/>
      <name val="Arial"/>
    </font>
    <font>
      <b/>
      <sz val="8.0"/>
      <color theme="1"/>
      <name val="Calibri"/>
    </font>
    <font>
      <u/>
      <sz val="8.0"/>
      <color rgb="FF1155CC"/>
      <name val="Calibri"/>
    </font>
    <font>
      <u/>
      <sz val="8.0"/>
      <color rgb="FF1155CC"/>
      <name val="Calibri"/>
    </font>
    <font>
      <sz val="8.0"/>
      <color rgb="FF3C4043"/>
      <name val="Calibri"/>
    </font>
    <font>
      <u/>
      <sz val="8.0"/>
      <color rgb="FF1155CC"/>
      <name val="Calibri"/>
    </font>
    <font>
      <b/>
      <u/>
      <sz val="8.0"/>
      <color rgb="FF1155CC"/>
      <name val="Calibri"/>
    </font>
    <font>
      <b/>
      <sz val="11.0"/>
      <color theme="1"/>
      <name val="Calibri"/>
    </font>
    <font>
      <sz val="9.0"/>
      <color rgb="FF191817"/>
      <name val="YS Text"/>
    </font>
    <font>
      <color rgb="FFFF0000"/>
      <name val="Arial"/>
    </font>
    <font>
      <sz val="11.0"/>
      <color rgb="FFFF0000"/>
      <name val="Calibri"/>
    </font>
    <font>
      <u/>
      <sz val="8.0"/>
      <color rgb="FF1155CC"/>
      <name val="Arial"/>
    </font>
    <font>
      <u/>
      <sz val="8.0"/>
      <color theme="1"/>
      <name val="Arial"/>
    </font>
    <font>
      <u/>
      <sz val="8.0"/>
      <color rgb="FF1155CC"/>
      <name val="Arial"/>
    </font>
    <font>
      <sz val="8.0"/>
      <color rgb="FF1F1F1F"/>
      <name val="Arial"/>
    </font>
    <font>
      <u/>
      <sz val="8.0"/>
      <color rgb="FF1155CC"/>
      <name val="Arial"/>
    </font>
    <font>
      <u/>
      <sz val="8.0"/>
      <color theme="1"/>
      <name val="Arial"/>
    </font>
    <font>
      <u/>
      <sz val="8.0"/>
      <color theme="1"/>
      <name val="Arial"/>
    </font>
    <font>
      <sz val="8.0"/>
      <color rgb="FF48556E"/>
      <name val="Arial"/>
    </font>
    <font>
      <u/>
      <sz val="8.0"/>
      <color rgb="FF1155CC"/>
      <name val="Arial"/>
    </font>
    <font>
      <u/>
      <sz val="8.0"/>
      <color theme="1"/>
      <name val="Arial"/>
    </font>
    <font>
      <sz val="8.0"/>
      <color rgb="FF001122"/>
      <name val="Arial"/>
    </font>
    <font>
      <u/>
      <sz val="8.0"/>
      <color rgb="FF1155CC"/>
      <name val="Arial"/>
    </font>
    <font>
      <b/>
      <u/>
      <sz val="8.0"/>
      <color rgb="FF1155CC"/>
      <name val="Arial"/>
    </font>
    <font>
      <b/>
      <u/>
      <sz val="8.0"/>
      <color rgb="FF1155CC"/>
      <name val="Arial"/>
    </font>
    <font>
      <u/>
      <sz val="8.0"/>
      <color rgb="FF4A86E8"/>
      <name val="Arial"/>
    </font>
    <font>
      <sz val="8.0"/>
      <color rgb="FF4A86E8"/>
      <name val="Arial"/>
    </font>
    <font>
      <u/>
      <sz val="8.0"/>
      <color theme="1"/>
      <name val="Arial"/>
    </font>
    <font>
      <u/>
      <color theme="1"/>
      <name val="Arial"/>
    </font>
    <font>
      <sz val="8.0"/>
      <color rgb="FFFF0000"/>
      <name val="Arial"/>
    </font>
    <font>
      <u/>
      <sz val="8.0"/>
      <color rgb="FF1155CC"/>
      <name val="Arial"/>
    </font>
    <font>
      <u/>
      <sz val="8.0"/>
      <color rgb="FF1155CC"/>
      <name val="Arial"/>
    </font>
    <font>
      <b/>
      <sz val="10.0"/>
      <color theme="1"/>
      <name val="Arial"/>
      <scheme val="minor"/>
    </font>
  </fonts>
  <fills count="32">
    <fill>
      <patternFill patternType="none"/>
    </fill>
    <fill>
      <patternFill patternType="lightGray"/>
    </fill>
    <fill>
      <patternFill patternType="solid">
        <fgColor rgb="FFFCE5CD"/>
        <bgColor rgb="FFFCE5CD"/>
      </patternFill>
    </fill>
    <fill>
      <patternFill patternType="solid">
        <fgColor rgb="FFF4CCCC"/>
        <bgColor rgb="FFF4CCCC"/>
      </patternFill>
    </fill>
    <fill>
      <patternFill patternType="solid">
        <fgColor rgb="FFD9EAD3"/>
        <bgColor rgb="FFD9EAD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F9CB9C"/>
        <bgColor rgb="FFF9CB9C"/>
      </patternFill>
    </fill>
    <fill>
      <patternFill patternType="solid">
        <fgColor rgb="FFB6D7A8"/>
        <bgColor rgb="FFB6D7A8"/>
      </patternFill>
    </fill>
    <fill>
      <patternFill patternType="solid">
        <fgColor rgb="FF00FFFF"/>
        <bgColor rgb="FF00FFFF"/>
      </patternFill>
    </fill>
    <fill>
      <patternFill patternType="solid">
        <fgColor rgb="FFA2C4C9"/>
        <bgColor rgb="FFA2C4C9"/>
      </patternFill>
    </fill>
    <fill>
      <patternFill patternType="solid">
        <fgColor rgb="FFD0E0E3"/>
        <bgColor rgb="FFD0E0E3"/>
      </patternFill>
    </fill>
    <fill>
      <patternFill patternType="solid">
        <fgColor rgb="FFF1C232"/>
        <bgColor rgb="FFF1C232"/>
      </patternFill>
    </fill>
    <fill>
      <patternFill patternType="solid">
        <fgColor rgb="FF8E7CC3"/>
        <bgColor rgb="FF8E7CC3"/>
      </patternFill>
    </fill>
    <fill>
      <patternFill patternType="solid">
        <fgColor rgb="FFE06666"/>
        <bgColor rgb="FFE06666"/>
      </patternFill>
    </fill>
    <fill>
      <patternFill patternType="solid">
        <fgColor rgb="FFD9D9D9"/>
        <bgColor rgb="FFD9D9D9"/>
      </patternFill>
    </fill>
    <fill>
      <patternFill patternType="solid">
        <fgColor rgb="FF6AA84F"/>
        <bgColor rgb="FF6AA84F"/>
      </patternFill>
    </fill>
    <fill>
      <patternFill patternType="solid">
        <fgColor rgb="FFB7E1CD"/>
        <bgColor rgb="FFB7E1CD"/>
      </patternFill>
    </fill>
    <fill>
      <patternFill patternType="solid">
        <fgColor rgb="FFFFE599"/>
        <bgColor rgb="FFFFE599"/>
      </patternFill>
    </fill>
    <fill>
      <patternFill patternType="solid">
        <fgColor rgb="FFF6B26B"/>
        <bgColor rgb="FFF6B26B"/>
      </patternFill>
    </fill>
    <fill>
      <patternFill patternType="solid">
        <fgColor rgb="FFC27BA0"/>
        <bgColor rgb="FFC27BA0"/>
      </patternFill>
    </fill>
    <fill>
      <patternFill patternType="solid">
        <fgColor rgb="FFD9D2E9"/>
        <bgColor rgb="FFD9D2E9"/>
      </patternFill>
    </fill>
    <fill>
      <patternFill patternType="solid">
        <fgColor rgb="FFFFF2CC"/>
        <bgColor rgb="FFFFF2CC"/>
      </patternFill>
    </fill>
    <fill>
      <patternFill patternType="solid">
        <fgColor rgb="FF00FF00"/>
        <bgColor rgb="FF00FF00"/>
      </patternFill>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
      <patternFill patternType="solid">
        <fgColor rgb="FFCFE2F3"/>
        <bgColor rgb="FFCFE2F3"/>
      </patternFill>
    </fill>
    <fill>
      <patternFill patternType="solid">
        <fgColor rgb="FFD5A6BD"/>
        <bgColor rgb="FFD5A6BD"/>
      </patternFill>
    </fill>
    <fill>
      <patternFill patternType="solid">
        <fgColor rgb="FF4285F4"/>
        <bgColor rgb="FF4285F4"/>
      </patternFill>
    </fill>
  </fills>
  <borders count="15">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FFFFFF"/>
      </right>
    </border>
    <border>
      <top style="thin">
        <color rgb="FFF0F0F3"/>
      </top>
      <bottom style="thin">
        <color rgb="FFF0F0F3"/>
      </bottom>
    </border>
  </borders>
  <cellStyleXfs count="1">
    <xf borderId="0" fillId="0" fontId="0" numFmtId="0" applyAlignment="1" applyFont="1"/>
  </cellStyleXfs>
  <cellXfs count="336">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2" numFmtId="0" xfId="0" applyAlignment="1" applyFont="1">
      <alignment vertical="center"/>
    </xf>
    <xf borderId="0" fillId="0" fontId="3" numFmtId="0" xfId="0" applyAlignment="1" applyFont="1">
      <alignment horizontal="center" readingOrder="0" textRotation="90" vertical="center"/>
    </xf>
    <xf borderId="0" fillId="0" fontId="3" numFmtId="0" xfId="0" applyAlignment="1" applyFont="1">
      <alignment horizontal="center" readingOrder="0" shrinkToFit="0" textRotation="90" vertical="center" wrapText="1"/>
    </xf>
    <xf borderId="0" fillId="0" fontId="2" numFmtId="164" xfId="0" applyAlignment="1" applyFont="1" applyNumberFormat="1">
      <alignment vertical="center"/>
    </xf>
    <xf borderId="0" fillId="0" fontId="2" numFmtId="0" xfId="0" applyAlignment="1" applyFont="1">
      <alignment readingOrder="0" vertical="center"/>
    </xf>
    <xf borderId="0" fillId="0" fontId="4" numFmtId="0" xfId="0" applyAlignment="1" applyFont="1">
      <alignment readingOrder="0" vertical="center"/>
    </xf>
    <xf borderId="0" fillId="0" fontId="5" numFmtId="164" xfId="0" applyAlignment="1" applyFont="1" applyNumberFormat="1">
      <alignment readingOrder="0" vertical="center"/>
    </xf>
    <xf borderId="0" fillId="2" fontId="2" numFmtId="0" xfId="0" applyAlignment="1" applyFill="1" applyFont="1">
      <alignment vertical="center"/>
    </xf>
    <xf borderId="0" fillId="2" fontId="2" numFmtId="0" xfId="0" applyAlignment="1" applyFont="1">
      <alignment readingOrder="0" vertical="center"/>
    </xf>
    <xf borderId="1" fillId="2" fontId="6" numFmtId="0" xfId="0" applyAlignment="1" applyBorder="1" applyFont="1">
      <alignment horizontal="center" readingOrder="0" shrinkToFit="0" vertical="center" wrapText="1"/>
    </xf>
    <xf borderId="2" fillId="0" fontId="7" numFmtId="0" xfId="0" applyBorder="1" applyFont="1"/>
    <xf borderId="3" fillId="0" fontId="7" numFmtId="0" xfId="0" applyBorder="1" applyFont="1"/>
    <xf borderId="0" fillId="3" fontId="2" numFmtId="0" xfId="0" applyAlignment="1" applyFill="1" applyFont="1">
      <alignment readingOrder="0" vertical="center"/>
    </xf>
    <xf borderId="1" fillId="0" fontId="6" numFmtId="0" xfId="0" applyAlignment="1" applyBorder="1" applyFont="1">
      <alignment horizontal="center" readingOrder="0" shrinkToFit="0" vertical="center" wrapText="1"/>
    </xf>
    <xf borderId="4" fillId="0" fontId="6" numFmtId="164" xfId="0" applyAlignment="1" applyBorder="1" applyFont="1" applyNumberForma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0" fillId="4" fontId="2" numFmtId="0" xfId="0" applyAlignment="1" applyFill="1" applyFont="1">
      <alignment vertical="center"/>
    </xf>
    <xf borderId="0" fillId="4" fontId="2" numFmtId="0" xfId="0" applyAlignment="1" applyFont="1">
      <alignment readingOrder="0" vertical="center"/>
    </xf>
    <xf borderId="0" fillId="2" fontId="8"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shrinkToFit="0" vertical="center" wrapText="0"/>
    </xf>
    <xf borderId="0" fillId="4" fontId="2" numFmtId="164" xfId="0" applyAlignment="1" applyFont="1" applyNumberFormat="1">
      <alignment readingOrder="0" vertical="center"/>
    </xf>
    <xf borderId="0" fillId="0" fontId="6"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5" fillId="5" fontId="6" numFmtId="0" xfId="0" applyAlignment="1" applyBorder="1" applyFill="1" applyFont="1">
      <alignment horizontal="center" readingOrder="0" shrinkToFit="0" vertical="center" wrapText="1"/>
    </xf>
    <xf borderId="6" fillId="0" fontId="6" numFmtId="0" xfId="0" applyAlignment="1" applyBorder="1" applyFont="1">
      <alignment horizontal="center" readingOrder="0" shrinkToFit="0" vertical="center" wrapText="1"/>
    </xf>
    <xf borderId="5" fillId="0" fontId="6" numFmtId="164" xfId="0" applyAlignment="1" applyBorder="1" applyFont="1" applyNumberFormat="1">
      <alignment horizontal="center" readingOrder="0" shrinkToFit="0" vertical="center" wrapText="1"/>
    </xf>
    <xf borderId="6" fillId="0" fontId="6" numFmtId="164" xfId="0" applyAlignment="1" applyBorder="1" applyFont="1" applyNumberFormat="1">
      <alignment horizontal="center" readingOrder="0" shrinkToFit="0" vertical="center" wrapText="1"/>
    </xf>
    <xf borderId="0" fillId="0" fontId="6" numFmtId="0" xfId="0" applyAlignment="1" applyFont="1">
      <alignment horizontal="center" shrinkToFit="0" vertical="center" wrapText="1"/>
    </xf>
    <xf borderId="0" fillId="4" fontId="6"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0" fontId="6" numFmtId="164" xfId="0" applyAlignment="1" applyFont="1" applyNumberFormat="1">
      <alignment horizontal="center" readingOrder="0" shrinkToFit="0" vertical="center" wrapText="1"/>
    </xf>
    <xf borderId="7" fillId="2" fontId="6" numFmtId="0" xfId="0" applyAlignment="1" applyBorder="1" applyFont="1">
      <alignment horizontal="center" readingOrder="0" shrinkToFit="0" vertical="center" wrapText="1"/>
    </xf>
    <xf borderId="5" fillId="4" fontId="6" numFmtId="0" xfId="0" applyAlignment="1" applyBorder="1" applyFont="1">
      <alignment horizontal="center" readingOrder="0" shrinkToFit="0" vertical="center" wrapText="1"/>
    </xf>
    <xf borderId="8" fillId="4" fontId="6" numFmtId="0" xfId="0" applyAlignment="1" applyBorder="1" applyFont="1">
      <alignment horizontal="center" readingOrder="0" shrinkToFit="0" vertical="center" wrapText="1"/>
    </xf>
    <xf borderId="6" fillId="4" fontId="6"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8" fillId="0" fontId="6" numFmtId="0" xfId="0" applyAlignment="1" applyBorder="1" applyFont="1">
      <alignment horizontal="center" readingOrder="0" shrinkToFit="0" vertical="center" wrapText="1"/>
    </xf>
    <xf borderId="5" fillId="2" fontId="6" numFmtId="0" xfId="0" applyAlignment="1" applyBorder="1" applyFont="1">
      <alignment horizontal="center" readingOrder="0" shrinkToFit="0" vertical="center" wrapText="1"/>
    </xf>
    <xf borderId="8" fillId="2" fontId="6" numFmtId="0" xfId="0" applyAlignment="1" applyBorder="1" applyFont="1">
      <alignment horizontal="center" readingOrder="0" shrinkToFit="0" vertical="center" wrapText="1"/>
    </xf>
    <xf borderId="6" fillId="2" fontId="6" numFmtId="0" xfId="0" applyAlignment="1" applyBorder="1" applyFont="1">
      <alignment horizontal="center" readingOrder="0" shrinkToFit="0" vertical="center" wrapText="1"/>
    </xf>
    <xf borderId="0" fillId="0" fontId="2" numFmtId="0" xfId="0" applyAlignment="1" applyFont="1">
      <alignment shrinkToFit="0" vertical="center" wrapText="0"/>
    </xf>
    <xf borderId="0" fillId="0" fontId="9" numFmtId="0" xfId="0" applyAlignment="1" applyFont="1">
      <alignment readingOrder="0" shrinkToFit="0" vertical="center" wrapText="0"/>
    </xf>
    <xf borderId="0" fillId="0" fontId="2" numFmtId="0" xfId="0" applyAlignment="1" applyFont="1">
      <alignment readingOrder="0" shrinkToFit="0" vertical="center" wrapText="0"/>
    </xf>
    <xf borderId="0" fillId="0" fontId="10" numFmtId="0" xfId="0" applyAlignment="1" applyFont="1">
      <alignment readingOrder="0" shrinkToFit="0" vertical="center" wrapText="0"/>
    </xf>
    <xf borderId="0" fillId="0" fontId="2" numFmtId="165" xfId="0" applyAlignment="1" applyFont="1" applyNumberFormat="1">
      <alignment readingOrder="0" shrinkToFit="0" vertical="center" wrapText="0"/>
    </xf>
    <xf borderId="0" fillId="0" fontId="11" numFmtId="0" xfId="0" applyAlignment="1" applyFont="1">
      <alignment readingOrder="0"/>
    </xf>
    <xf borderId="0" fillId="0" fontId="2" numFmtId="164" xfId="0" applyAlignment="1" applyFont="1" applyNumberFormat="1">
      <alignment readingOrder="0" shrinkToFit="0" vertical="center" wrapText="0"/>
    </xf>
    <xf borderId="0" fillId="0" fontId="2" numFmtId="166" xfId="0" applyAlignment="1" applyFont="1" applyNumberFormat="1">
      <alignment readingOrder="0" shrinkToFit="0" vertical="center" wrapText="0"/>
    </xf>
    <xf borderId="0" fillId="2" fontId="2" numFmtId="0" xfId="0" applyAlignment="1" applyFont="1">
      <alignment readingOrder="0" shrinkToFit="0" vertical="center" wrapText="0"/>
    </xf>
    <xf borderId="0" fillId="0" fontId="12" numFmtId="0" xfId="0" applyAlignment="1" applyFont="1">
      <alignment vertical="center"/>
    </xf>
    <xf borderId="0" fillId="0" fontId="12" numFmtId="0" xfId="0" applyAlignment="1" applyFont="1">
      <alignment vertical="center"/>
    </xf>
    <xf borderId="0" fillId="0" fontId="2" numFmtId="165" xfId="0" applyAlignment="1" applyFont="1" applyNumberFormat="1">
      <alignment readingOrder="0" shrinkToFit="0" vertical="center" wrapText="0"/>
    </xf>
    <xf borderId="0" fillId="0" fontId="13" numFmtId="0" xfId="0" applyAlignment="1" applyFont="1">
      <alignment readingOrder="0" shrinkToFit="0" vertical="center" wrapText="0"/>
    </xf>
    <xf borderId="0" fillId="0" fontId="2" numFmtId="167" xfId="0" applyAlignment="1" applyFont="1" applyNumberFormat="1">
      <alignment readingOrder="0" shrinkToFit="0" vertical="center" wrapText="0"/>
    </xf>
    <xf borderId="0" fillId="0" fontId="2" numFmtId="168" xfId="0" applyAlignment="1" applyFont="1" applyNumberFormat="1">
      <alignment readingOrder="0" shrinkToFit="0" vertical="center" wrapText="0"/>
    </xf>
    <xf borderId="0" fillId="6" fontId="14" numFmtId="0" xfId="0" applyAlignment="1" applyFill="1" applyFont="1">
      <alignment readingOrder="0" shrinkToFit="0" vertical="center" wrapText="0"/>
    </xf>
    <xf borderId="0" fillId="0" fontId="14" numFmtId="0" xfId="0" applyAlignment="1" applyFont="1">
      <alignment readingOrder="0" vertical="bottom"/>
    </xf>
    <xf borderId="0" fillId="6" fontId="2" numFmtId="0" xfId="0" applyAlignment="1" applyFont="1">
      <alignment readingOrder="0" shrinkToFit="0" vertical="center" wrapText="0"/>
    </xf>
    <xf borderId="0" fillId="0" fontId="2" numFmtId="49" xfId="0" applyAlignment="1" applyFont="1" applyNumberFormat="1">
      <alignment shrinkToFit="0" vertical="center" wrapText="0"/>
    </xf>
    <xf borderId="0" fillId="0" fontId="2" numFmtId="0" xfId="0" applyAlignment="1" applyFont="1">
      <alignment readingOrder="0"/>
    </xf>
    <xf borderId="0" fillId="0" fontId="2" numFmtId="0" xfId="0" applyAlignment="1" applyFont="1">
      <alignment horizontal="right" readingOrder="0" shrinkToFit="0" vertical="center" wrapText="0"/>
    </xf>
    <xf borderId="0" fillId="0" fontId="15" numFmtId="0" xfId="0" applyAlignment="1" applyFont="1">
      <alignment readingOrder="0" shrinkToFit="0" vertical="center" wrapText="0"/>
    </xf>
    <xf borderId="0" fillId="0" fontId="12" numFmtId="0" xfId="0" applyAlignment="1" applyFont="1">
      <alignment horizontal="right" vertical="bottom"/>
    </xf>
    <xf borderId="0" fillId="0" fontId="14" numFmtId="0" xfId="0" applyAlignment="1" applyFont="1">
      <alignment vertical="bottom"/>
    </xf>
    <xf borderId="0" fillId="0" fontId="13" numFmtId="0" xfId="0" applyAlignment="1" applyFont="1">
      <alignment horizontal="right" readingOrder="0"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xf borderId="9" fillId="0" fontId="16" numFmtId="0" xfId="0" applyAlignment="1" applyBorder="1" applyFont="1">
      <alignment shrinkToFit="0" vertical="bottom" wrapText="0"/>
    </xf>
    <xf borderId="9" fillId="0" fontId="12" numFmtId="0" xfId="0" applyAlignment="1" applyBorder="1" applyFont="1">
      <alignment vertical="bottom"/>
    </xf>
    <xf borderId="0" fillId="0" fontId="13" numFmtId="0" xfId="0" applyAlignment="1" applyFont="1">
      <alignment readingOrder="0" shrinkToFit="0" vertical="center" wrapText="0"/>
    </xf>
    <xf borderId="0" fillId="0" fontId="13" numFmtId="0" xfId="0" applyAlignment="1" applyFont="1">
      <alignment shrinkToFit="0" vertical="center" wrapText="0"/>
    </xf>
    <xf borderId="0" fillId="0" fontId="12" numFmtId="0" xfId="0" applyAlignment="1" applyFont="1">
      <alignment horizontal="center" readingOrder="0" shrinkToFit="0" wrapText="0"/>
    </xf>
    <xf borderId="0" fillId="0" fontId="12" numFmtId="0" xfId="0" applyAlignment="1" applyFont="1">
      <alignment horizontal="center" shrinkToFit="0" wrapText="0"/>
    </xf>
    <xf borderId="0" fillId="0" fontId="12" numFmtId="0" xfId="0" applyAlignment="1" applyFont="1">
      <alignment shrinkToFit="0" wrapText="0"/>
    </xf>
    <xf borderId="0" fillId="0" fontId="12" numFmtId="0" xfId="0" applyAlignment="1" applyFont="1">
      <alignment vertical="bottom"/>
    </xf>
    <xf borderId="0" fillId="0" fontId="12" numFmtId="0" xfId="0" applyAlignment="1" applyFont="1">
      <alignment readingOrder="0" vertical="bottom"/>
    </xf>
    <xf borderId="0" fillId="0" fontId="17" numFmtId="0" xfId="0" applyAlignment="1" applyFont="1">
      <alignment shrinkToFit="0" wrapText="0"/>
    </xf>
    <xf borderId="0" fillId="0" fontId="12" numFmtId="0" xfId="0" applyAlignment="1" applyFont="1">
      <alignment vertical="bottom"/>
    </xf>
    <xf borderId="0" fillId="0" fontId="12" numFmtId="0" xfId="0" applyAlignment="1" applyFont="1">
      <alignment shrinkToFit="0" vertical="bottom" wrapText="1"/>
    </xf>
    <xf borderId="0" fillId="0" fontId="12" numFmtId="0" xfId="0" applyAlignment="1" applyFont="1">
      <alignment readingOrder="0" shrinkToFit="0" vertical="bottom" wrapText="1"/>
    </xf>
    <xf borderId="0" fillId="0" fontId="18" numFmtId="0" xfId="0" applyAlignment="1" applyFont="1">
      <alignment readingOrder="0" shrinkToFit="0" vertical="bottom" wrapText="1"/>
    </xf>
    <xf borderId="0" fillId="0" fontId="17" numFmtId="0" xfId="0" applyAlignment="1" applyFont="1">
      <alignment readingOrder="0"/>
    </xf>
    <xf borderId="0" fillId="0" fontId="2" numFmtId="0" xfId="0" applyAlignment="1" applyFont="1">
      <alignment horizontal="center" readingOrder="0" shrinkToFit="0" vertical="center" wrapText="0"/>
    </xf>
    <xf borderId="0" fillId="7" fontId="19" numFmtId="0" xfId="0" applyAlignment="1" applyFill="1" applyFont="1">
      <alignment horizontal="center" shrinkToFit="0" vertical="bottom" wrapText="1"/>
    </xf>
    <xf borderId="0" fillId="7" fontId="12" numFmtId="0" xfId="0" applyAlignment="1" applyFont="1">
      <alignment vertical="bottom"/>
    </xf>
    <xf borderId="0" fillId="0" fontId="2" numFmtId="0" xfId="0" applyFont="1"/>
    <xf borderId="0" fillId="0" fontId="20" numFmtId="0" xfId="0" applyAlignment="1" applyFont="1">
      <alignment readingOrder="0" shrinkToFit="0" vertical="bottom" wrapText="0"/>
    </xf>
    <xf borderId="0" fillId="0" fontId="21" numFmtId="49" xfId="0" applyAlignment="1" applyFont="1" applyNumberFormat="1">
      <alignment shrinkToFit="0" vertical="bottom" wrapText="0"/>
    </xf>
    <xf borderId="0" fillId="0" fontId="19" numFmtId="0" xfId="0" applyAlignment="1" applyFont="1">
      <alignment horizontal="center" shrinkToFit="0" wrapText="1"/>
    </xf>
    <xf borderId="0" fillId="0" fontId="6" numFmtId="0" xfId="0" applyAlignment="1" applyFont="1">
      <alignment readingOrder="0"/>
    </xf>
    <xf borderId="0" fillId="4" fontId="6" numFmtId="0" xfId="0" applyAlignment="1" applyFont="1">
      <alignment readingOrder="0"/>
    </xf>
    <xf borderId="0" fillId="0" fontId="2" numFmtId="164" xfId="0" applyAlignment="1" applyFont="1" applyNumberFormat="1">
      <alignment readingOrder="0"/>
    </xf>
    <xf borderId="0" fillId="0" fontId="2" numFmtId="49" xfId="0" applyFont="1" applyNumberFormat="1"/>
    <xf borderId="0" fillId="4" fontId="2" numFmtId="0" xfId="0" applyFont="1"/>
    <xf borderId="0" fillId="0" fontId="2" numFmtId="169" xfId="0" applyFont="1" applyNumberFormat="1"/>
    <xf borderId="0" fillId="8" fontId="2" numFmtId="0" xfId="0" applyFill="1" applyFont="1"/>
    <xf borderId="0" fillId="6" fontId="2" numFmtId="0" xfId="0" applyFont="1"/>
    <xf borderId="0" fillId="0" fontId="21" numFmtId="0" xfId="0" applyAlignment="1" applyFont="1">
      <alignment shrinkToFit="0" vertical="bottom" wrapText="0"/>
    </xf>
    <xf borderId="0" fillId="0" fontId="21" numFmtId="49" xfId="0" applyAlignment="1" applyFont="1" applyNumberFormat="1">
      <alignment readingOrder="0" shrinkToFit="0" vertical="bottom" wrapText="0"/>
    </xf>
    <xf borderId="0" fillId="0" fontId="12" numFmtId="49" xfId="0" applyAlignment="1" applyFont="1" applyNumberFormat="1">
      <alignment vertical="bottom"/>
    </xf>
    <xf borderId="0" fillId="2" fontId="12" numFmtId="49" xfId="0" applyAlignment="1" applyFont="1" applyNumberFormat="1">
      <alignment vertical="bottom"/>
    </xf>
    <xf borderId="0" fillId="2" fontId="22" numFmtId="49" xfId="0" applyAlignment="1" applyFont="1" applyNumberFormat="1">
      <alignment shrinkToFit="0" vertical="bottom" wrapText="0"/>
    </xf>
    <xf borderId="9" fillId="0" fontId="21" numFmtId="0" xfId="0" applyAlignment="1" applyBorder="1" applyFont="1">
      <alignment shrinkToFit="0" vertical="bottom" wrapText="0"/>
    </xf>
    <xf borderId="9" fillId="0" fontId="21" numFmtId="49" xfId="0" applyAlignment="1" applyBorder="1" applyFont="1" applyNumberFormat="1">
      <alignment shrinkToFit="0" vertical="bottom" wrapText="0"/>
    </xf>
    <xf borderId="9" fillId="0" fontId="12" numFmtId="49" xfId="0" applyAlignment="1" applyBorder="1" applyFont="1" applyNumberFormat="1">
      <alignment vertical="bottom"/>
    </xf>
    <xf borderId="9" fillId="0" fontId="22" numFmtId="49" xfId="0" applyAlignment="1" applyBorder="1" applyFont="1" applyNumberFormat="1">
      <alignment shrinkToFit="0" vertical="bottom" wrapText="0"/>
    </xf>
    <xf borderId="9" fillId="0" fontId="21" numFmtId="49" xfId="0" applyAlignment="1" applyBorder="1" applyFont="1" applyNumberFormat="1">
      <alignment horizontal="center" shrinkToFit="0" vertical="bottom" wrapText="0"/>
    </xf>
    <xf borderId="9" fillId="2" fontId="21" numFmtId="49" xfId="0" applyAlignment="1" applyBorder="1" applyFont="1" applyNumberFormat="1">
      <alignment shrinkToFit="0" vertical="bottom" wrapText="0"/>
    </xf>
    <xf borderId="9" fillId="2" fontId="12" numFmtId="49" xfId="0" applyAlignment="1" applyBorder="1" applyFont="1" applyNumberFormat="1">
      <alignment vertical="bottom"/>
    </xf>
    <xf borderId="10" fillId="3" fontId="21" numFmtId="0" xfId="0" applyAlignment="1" applyBorder="1" applyFont="1">
      <alignment shrinkToFit="0" vertical="bottom" wrapText="0"/>
    </xf>
    <xf borderId="9" fillId="0" fontId="22" numFmtId="0" xfId="0" applyAlignment="1" applyBorder="1" applyFont="1">
      <alignment shrinkToFit="0" vertical="bottom" wrapText="0"/>
    </xf>
    <xf borderId="9" fillId="0" fontId="23" numFmtId="0" xfId="0" applyAlignment="1" applyBorder="1" applyFont="1">
      <alignment shrinkToFit="0" vertical="bottom" wrapText="0"/>
    </xf>
    <xf borderId="0" fillId="0" fontId="22" numFmtId="0" xfId="0" applyAlignment="1" applyFont="1">
      <alignment shrinkToFit="0" vertical="bottom" wrapText="0"/>
    </xf>
    <xf borderId="11" fillId="0" fontId="7" numFmtId="0" xfId="0" applyBorder="1" applyFont="1"/>
    <xf borderId="12" fillId="0" fontId="7" numFmtId="0" xfId="0" applyBorder="1" applyFont="1"/>
    <xf borderId="9" fillId="5" fontId="21" numFmtId="0" xfId="0" applyAlignment="1" applyBorder="1" applyFont="1">
      <alignment shrinkToFit="0" vertical="bottom" wrapText="0"/>
    </xf>
    <xf borderId="9" fillId="9" fontId="21" numFmtId="0" xfId="0" applyAlignment="1" applyBorder="1" applyFill="1" applyFont="1">
      <alignment shrinkToFit="0" vertical="bottom" wrapText="0"/>
    </xf>
    <xf borderId="10" fillId="10" fontId="21" numFmtId="0" xfId="0" applyAlignment="1" applyBorder="1" applyFill="1" applyFont="1">
      <alignment shrinkToFit="0" vertical="bottom" wrapText="0"/>
    </xf>
    <xf borderId="9" fillId="11" fontId="12" numFmtId="0" xfId="0" applyAlignment="1" applyBorder="1" applyFill="1" applyFont="1">
      <alignment vertical="bottom"/>
    </xf>
    <xf borderId="0" fillId="11" fontId="22" numFmtId="0" xfId="0" applyAlignment="1" applyFont="1">
      <alignment vertical="bottom"/>
    </xf>
    <xf borderId="0" fillId="11" fontId="12" numFmtId="0" xfId="0" applyAlignment="1" applyFont="1">
      <alignment vertical="bottom"/>
    </xf>
    <xf borderId="0" fillId="3" fontId="22" numFmtId="0" xfId="0" applyAlignment="1" applyFont="1">
      <alignment shrinkToFit="0" vertical="bottom" wrapText="0"/>
    </xf>
    <xf borderId="9" fillId="12" fontId="21" numFmtId="0" xfId="0" applyAlignment="1" applyBorder="1" applyFill="1" applyFont="1">
      <alignment shrinkToFit="0" vertical="bottom" wrapText="0"/>
    </xf>
    <xf borderId="10" fillId="13" fontId="21" numFmtId="0" xfId="0" applyAlignment="1" applyBorder="1" applyFill="1" applyFont="1">
      <alignment shrinkToFit="0" vertical="bottom" wrapText="0"/>
    </xf>
    <xf borderId="9" fillId="3" fontId="22" numFmtId="0" xfId="0" applyAlignment="1" applyBorder="1" applyFont="1">
      <alignment shrinkToFit="0" vertical="bottom" wrapText="0"/>
    </xf>
    <xf borderId="9" fillId="3" fontId="12" numFmtId="0" xfId="0" applyAlignment="1" applyBorder="1" applyFont="1">
      <alignment vertical="bottom"/>
    </xf>
    <xf borderId="9" fillId="3" fontId="24" numFmtId="0" xfId="0" applyAlignment="1" applyBorder="1" applyFont="1">
      <alignment shrinkToFit="0" vertical="bottom" wrapText="0"/>
    </xf>
    <xf borderId="9" fillId="11" fontId="22" numFmtId="0" xfId="0" applyAlignment="1" applyBorder="1" applyFont="1">
      <alignment vertical="bottom"/>
    </xf>
    <xf borderId="10" fillId="14" fontId="12" numFmtId="0" xfId="0" applyAlignment="1" applyBorder="1" applyFill="1" applyFont="1">
      <alignment vertical="bottom"/>
    </xf>
    <xf borderId="9" fillId="15" fontId="22" numFmtId="0" xfId="0" applyAlignment="1" applyBorder="1" applyFill="1" applyFont="1">
      <alignment shrinkToFit="0" vertical="bottom" wrapText="0"/>
    </xf>
    <xf borderId="10" fillId="16" fontId="21" numFmtId="0" xfId="0" applyAlignment="1" applyBorder="1" applyFill="1" applyFont="1">
      <alignment shrinkToFit="0" vertical="bottom" wrapText="0"/>
    </xf>
    <xf borderId="9" fillId="0" fontId="22" numFmtId="0" xfId="0" applyAlignment="1" applyBorder="1" applyFont="1">
      <alignment vertical="bottom"/>
    </xf>
    <xf borderId="9" fillId="7" fontId="22" numFmtId="0" xfId="0" applyAlignment="1" applyBorder="1" applyFont="1">
      <alignment vertical="bottom"/>
    </xf>
    <xf borderId="9" fillId="7" fontId="12" numFmtId="0" xfId="0" applyAlignment="1" applyBorder="1" applyFont="1">
      <alignment vertical="bottom"/>
    </xf>
    <xf borderId="9" fillId="7" fontId="22" numFmtId="0" xfId="0" applyAlignment="1" applyBorder="1" applyFont="1">
      <alignment shrinkToFit="0" vertical="bottom" wrapText="0"/>
    </xf>
    <xf borderId="9" fillId="6" fontId="22" numFmtId="0" xfId="0" applyAlignment="1" applyBorder="1" applyFont="1">
      <alignment shrinkToFit="0" vertical="bottom" wrapText="0"/>
    </xf>
    <xf borderId="9" fillId="6" fontId="12" numFmtId="0" xfId="0" applyAlignment="1" applyBorder="1" applyFont="1">
      <alignment vertical="bottom"/>
    </xf>
    <xf borderId="9" fillId="6" fontId="25" numFmtId="0" xfId="0" applyAlignment="1" applyBorder="1" applyFont="1">
      <alignment shrinkToFit="0" vertical="bottom" wrapText="0"/>
    </xf>
    <xf borderId="9" fillId="11" fontId="22" numFmtId="0" xfId="0" applyAlignment="1" applyBorder="1" applyFont="1">
      <alignment shrinkToFit="0" vertical="bottom" wrapText="0"/>
    </xf>
    <xf borderId="9" fillId="6" fontId="22" numFmtId="0" xfId="0" applyAlignment="1" applyBorder="1" applyFont="1">
      <alignment vertical="bottom"/>
    </xf>
    <xf borderId="9" fillId="0" fontId="26" numFmtId="0" xfId="0" applyAlignment="1" applyBorder="1" applyFont="1">
      <alignment shrinkToFit="0" vertical="bottom" wrapText="0"/>
    </xf>
    <xf borderId="9" fillId="16" fontId="12" numFmtId="0" xfId="0" applyAlignment="1" applyBorder="1" applyFont="1">
      <alignment vertical="bottom"/>
    </xf>
    <xf borderId="10" fillId="17" fontId="21" numFmtId="0" xfId="0" applyAlignment="1" applyBorder="1" applyFill="1" applyFont="1">
      <alignment shrinkToFit="0" vertical="bottom" wrapText="0"/>
    </xf>
    <xf borderId="10" fillId="18" fontId="21" numFmtId="0" xfId="0" applyAlignment="1" applyBorder="1" applyFill="1" applyFont="1">
      <alignment shrinkToFit="0" vertical="bottom" wrapText="0"/>
    </xf>
    <xf borderId="0" fillId="11" fontId="22" numFmtId="49" xfId="0" applyAlignment="1" applyFont="1" applyNumberFormat="1">
      <alignment vertical="bottom"/>
    </xf>
    <xf borderId="0" fillId="7" fontId="22" numFmtId="0" xfId="0" applyAlignment="1" applyFont="1">
      <alignment vertical="bottom"/>
    </xf>
    <xf borderId="9" fillId="18" fontId="12" numFmtId="0" xfId="0" applyAlignment="1" applyBorder="1" applyFont="1">
      <alignment vertical="bottom"/>
    </xf>
    <xf borderId="10" fillId="19" fontId="22" numFmtId="0" xfId="0" applyAlignment="1" applyBorder="1" applyFill="1" applyFont="1">
      <alignment shrinkToFit="0" vertical="bottom" wrapText="0"/>
    </xf>
    <xf borderId="0" fillId="19" fontId="22" numFmtId="0" xfId="0" applyAlignment="1" applyFont="1">
      <alignment shrinkToFit="0" vertical="bottom" wrapText="0"/>
    </xf>
    <xf borderId="9" fillId="19" fontId="22" numFmtId="0" xfId="0" applyAlignment="1" applyBorder="1" applyFont="1">
      <alignment shrinkToFit="0" vertical="bottom" wrapText="0"/>
    </xf>
    <xf borderId="9" fillId="19" fontId="27" numFmtId="0" xfId="0" applyAlignment="1" applyBorder="1" applyFont="1">
      <alignment shrinkToFit="0" vertical="bottom" wrapText="0"/>
    </xf>
    <xf borderId="9" fillId="19" fontId="22" numFmtId="0" xfId="0" applyAlignment="1" applyBorder="1" applyFont="1">
      <alignment vertical="bottom"/>
    </xf>
    <xf borderId="9" fillId="20" fontId="21" numFmtId="0" xfId="0" applyAlignment="1" applyBorder="1" applyFill="1" applyFont="1">
      <alignment shrinkToFit="0" vertical="bottom" wrapText="0"/>
    </xf>
    <xf borderId="9" fillId="0" fontId="21" numFmtId="0" xfId="0" applyAlignment="1" applyBorder="1" applyFont="1">
      <alignment shrinkToFit="0" vertical="bottom" wrapText="0"/>
    </xf>
    <xf borderId="10" fillId="21" fontId="21" numFmtId="0" xfId="0" applyAlignment="1" applyBorder="1" applyFill="1" applyFont="1">
      <alignment shrinkToFit="0" vertical="bottom" wrapText="0"/>
    </xf>
    <xf borderId="9" fillId="11" fontId="22" numFmtId="0" xfId="0" applyAlignment="1" applyBorder="1" applyFont="1">
      <alignment horizontal="right" vertical="bottom"/>
    </xf>
    <xf borderId="9" fillId="0" fontId="22" numFmtId="0" xfId="0" applyAlignment="1" applyBorder="1" applyFont="1">
      <alignment horizontal="right" vertical="bottom"/>
    </xf>
    <xf borderId="9" fillId="0" fontId="28" numFmtId="0" xfId="0" applyAlignment="1" applyBorder="1" applyFont="1">
      <alignment vertical="bottom"/>
    </xf>
    <xf borderId="0" fillId="11" fontId="29" numFmtId="0" xfId="0" applyAlignment="1" applyFont="1">
      <alignment vertical="bottom"/>
    </xf>
    <xf borderId="0" fillId="11" fontId="30" numFmtId="0" xfId="0" applyAlignment="1" applyFont="1">
      <alignment vertical="bottom"/>
    </xf>
    <xf borderId="9" fillId="22" fontId="22" numFmtId="0" xfId="0" applyAlignment="1" applyBorder="1" applyFill="1" applyFont="1">
      <alignment shrinkToFit="0" vertical="bottom" wrapText="0"/>
    </xf>
    <xf borderId="9" fillId="23" fontId="22" numFmtId="0" xfId="0" applyAlignment="1" applyBorder="1" applyFill="1" applyFont="1">
      <alignment shrinkToFit="0" vertical="bottom" wrapText="0"/>
    </xf>
    <xf borderId="9" fillId="8" fontId="21" numFmtId="0" xfId="0" applyAlignment="1" applyBorder="1" applyFont="1">
      <alignment shrinkToFit="0" vertical="bottom" wrapText="0"/>
    </xf>
    <xf borderId="9" fillId="8" fontId="22" numFmtId="0" xfId="0" applyAlignment="1" applyBorder="1" applyFont="1">
      <alignment shrinkToFit="0" vertical="bottom" wrapText="0"/>
    </xf>
    <xf borderId="9" fillId="8" fontId="12" numFmtId="0" xfId="0" applyAlignment="1" applyBorder="1" applyFont="1">
      <alignment vertical="bottom"/>
    </xf>
    <xf borderId="9" fillId="8" fontId="31" numFmtId="0" xfId="0" applyAlignment="1" applyBorder="1" applyFont="1">
      <alignment shrinkToFit="0" vertical="bottom" wrapText="0"/>
    </xf>
    <xf borderId="0" fillId="0" fontId="32" numFmtId="0" xfId="0" applyAlignment="1" applyFont="1">
      <alignment readingOrder="0" shrinkToFit="0" vertical="bottom" wrapText="0"/>
    </xf>
    <xf borderId="0" fillId="0" fontId="32" numFmtId="49" xfId="0" applyAlignment="1" applyFont="1" applyNumberFormat="1">
      <alignment shrinkToFit="0" vertical="bottom" wrapText="0"/>
    </xf>
    <xf borderId="0" fillId="0" fontId="32" numFmtId="0" xfId="0" applyAlignment="1" applyFont="1">
      <alignment shrinkToFit="0" vertical="bottom" wrapText="0"/>
    </xf>
    <xf borderId="0" fillId="2" fontId="16" numFmtId="0" xfId="0" applyAlignment="1" applyFont="1">
      <alignment horizontal="center" shrinkToFit="0" vertical="bottom" wrapText="0"/>
    </xf>
    <xf borderId="9" fillId="0" fontId="32" numFmtId="0" xfId="0" applyAlignment="1" applyBorder="1" applyFont="1">
      <alignment shrinkToFit="0" vertical="bottom" wrapText="0"/>
    </xf>
    <xf borderId="9" fillId="0" fontId="16" numFmtId="0" xfId="0" applyAlignment="1" applyBorder="1" applyFont="1">
      <alignment shrinkToFit="0" vertical="bottom" wrapText="0"/>
    </xf>
    <xf borderId="9" fillId="7" fontId="16" numFmtId="0" xfId="0" applyAlignment="1" applyBorder="1" applyFont="1">
      <alignment shrinkToFit="0" vertical="bottom" wrapText="0"/>
    </xf>
    <xf borderId="9" fillId="0" fontId="33" numFmtId="0" xfId="0" applyAlignment="1" applyBorder="1" applyFont="1">
      <alignment shrinkToFit="0" vertical="bottom" wrapText="0"/>
    </xf>
    <xf borderId="0" fillId="11" fontId="16" numFmtId="0" xfId="0" applyAlignment="1" applyFont="1">
      <alignment vertical="bottom"/>
    </xf>
    <xf borderId="0" fillId="7" fontId="16" numFmtId="0" xfId="0" applyAlignment="1" applyFont="1">
      <alignment shrinkToFit="0" vertical="bottom" wrapText="0"/>
    </xf>
    <xf borderId="9" fillId="0" fontId="16" numFmtId="0" xfId="0" applyAlignment="1" applyBorder="1" applyFont="1">
      <alignment horizontal="right" shrinkToFit="0" vertical="bottom" wrapText="0"/>
    </xf>
    <xf borderId="0" fillId="7" fontId="32" numFmtId="0" xfId="0" applyAlignment="1" applyFont="1">
      <alignment shrinkToFit="0" vertical="bottom" wrapText="0"/>
    </xf>
    <xf borderId="0" fillId="7" fontId="16" numFmtId="0" xfId="0" applyAlignment="1" applyFont="1">
      <alignment vertical="bottom"/>
    </xf>
    <xf borderId="9" fillId="24" fontId="32" numFmtId="0" xfId="0" applyAlignment="1" applyBorder="1" applyFill="1" applyFont="1">
      <alignment shrinkToFit="0" vertical="bottom" wrapText="0"/>
    </xf>
    <xf borderId="9" fillId="24" fontId="16" numFmtId="0" xfId="0" applyAlignment="1" applyBorder="1" applyFont="1">
      <alignment shrinkToFit="0" vertical="bottom" wrapText="0"/>
    </xf>
    <xf borderId="9" fillId="24" fontId="12" numFmtId="0" xfId="0" applyAlignment="1" applyBorder="1" applyFont="1">
      <alignment vertical="bottom"/>
    </xf>
    <xf borderId="0" fillId="0" fontId="16" numFmtId="0" xfId="0" applyAlignment="1" applyFont="1">
      <alignment shrinkToFit="0" vertical="bottom" wrapText="0"/>
    </xf>
    <xf borderId="9" fillId="6" fontId="32" numFmtId="0" xfId="0" applyAlignment="1" applyBorder="1" applyFont="1">
      <alignment shrinkToFit="0" vertical="bottom" wrapText="0"/>
    </xf>
    <xf borderId="9" fillId="6" fontId="16" numFmtId="0" xfId="0" applyAlignment="1" applyBorder="1" applyFont="1">
      <alignment shrinkToFit="0" vertical="bottom" wrapText="0"/>
    </xf>
    <xf borderId="0" fillId="6" fontId="12" numFmtId="0" xfId="0" applyAlignment="1" applyFont="1">
      <alignment vertical="bottom"/>
    </xf>
    <xf borderId="9" fillId="3" fontId="32" numFmtId="0" xfId="0" applyAlignment="1" applyBorder="1" applyFont="1">
      <alignment shrinkToFit="0" vertical="bottom" wrapText="0"/>
    </xf>
    <xf borderId="9" fillId="3" fontId="16" numFmtId="0" xfId="0" applyAlignment="1" applyBorder="1" applyFont="1">
      <alignment shrinkToFit="0" vertical="bottom" wrapText="0"/>
    </xf>
    <xf borderId="9" fillId="3" fontId="34" numFmtId="0" xfId="0" applyAlignment="1" applyBorder="1" applyFont="1">
      <alignment shrinkToFit="0" vertical="bottom" wrapText="0"/>
    </xf>
    <xf borderId="0" fillId="3" fontId="12" numFmtId="0" xfId="0" applyAlignment="1" applyFont="1">
      <alignment vertical="bottom"/>
    </xf>
    <xf borderId="9" fillId="0" fontId="35" numFmtId="0" xfId="0" applyAlignment="1" applyBorder="1" applyFont="1">
      <alignment shrinkToFit="0" vertical="bottom" wrapText="0"/>
    </xf>
    <xf borderId="0" fillId="24" fontId="32" numFmtId="0" xfId="0" applyAlignment="1" applyFont="1">
      <alignment shrinkToFit="0" vertical="bottom" wrapText="0"/>
    </xf>
    <xf borderId="0" fillId="6" fontId="16" numFmtId="0" xfId="0" applyAlignment="1" applyFont="1">
      <alignment vertical="bottom"/>
    </xf>
    <xf borderId="9" fillId="6" fontId="16" numFmtId="169" xfId="0" applyAlignment="1" applyBorder="1" applyFont="1" applyNumberFormat="1">
      <alignment shrinkToFit="0" vertical="bottom" wrapText="0"/>
    </xf>
    <xf borderId="9" fillId="6" fontId="36" numFmtId="0" xfId="0" applyAlignment="1" applyBorder="1" applyFont="1">
      <alignment shrinkToFit="0" vertical="bottom" wrapText="0"/>
    </xf>
    <xf borderId="9" fillId="0" fontId="37" numFmtId="0" xfId="0" applyAlignment="1" applyBorder="1" applyFont="1">
      <alignment shrinkToFit="0" vertical="bottom" wrapText="0"/>
    </xf>
    <xf borderId="0" fillId="25" fontId="38" numFmtId="0" xfId="0" applyAlignment="1" applyFill="1" applyFont="1">
      <alignment horizontal="center" shrinkToFit="0" vertical="bottom" wrapText="1"/>
    </xf>
    <xf borderId="0" fillId="25" fontId="38" numFmtId="0" xfId="0" applyAlignment="1" applyFont="1">
      <alignment horizontal="center" readingOrder="0" shrinkToFit="0" vertical="bottom" wrapText="1"/>
    </xf>
    <xf borderId="0" fillId="26" fontId="19" numFmtId="0" xfId="0" applyAlignment="1" applyFill="1" applyFont="1">
      <alignment vertical="bottom"/>
    </xf>
    <xf borderId="0" fillId="17" fontId="19" numFmtId="0" xfId="0" applyAlignment="1" applyFont="1">
      <alignment vertical="bottom"/>
    </xf>
    <xf borderId="0" fillId="27" fontId="19" numFmtId="0" xfId="0" applyAlignment="1" applyFill="1" applyFont="1">
      <alignment vertical="bottom"/>
    </xf>
    <xf borderId="0" fillId="0" fontId="38" numFmtId="0" xfId="0" applyAlignment="1" applyFont="1">
      <alignment horizontal="center" shrinkToFit="0" vertical="bottom" wrapText="0"/>
    </xf>
    <xf borderId="0" fillId="25" fontId="38" numFmtId="0" xfId="0" applyAlignment="1" applyFont="1">
      <alignment horizontal="center" shrinkToFit="0" vertical="bottom" wrapText="0"/>
    </xf>
    <xf borderId="0" fillId="0" fontId="38" numFmtId="0" xfId="0" applyAlignment="1" applyFont="1">
      <alignment horizontal="center" shrinkToFit="0" vertical="bottom" wrapText="1"/>
    </xf>
    <xf borderId="0" fillId="25" fontId="38" numFmtId="0" xfId="0" applyAlignment="1" applyFont="1">
      <alignment shrinkToFit="0" vertical="bottom" wrapText="1"/>
    </xf>
    <xf borderId="0" fillId="0" fontId="19" numFmtId="0" xfId="0" applyAlignment="1" applyFont="1">
      <alignment vertical="bottom"/>
    </xf>
    <xf borderId="0" fillId="25" fontId="19" numFmtId="0" xfId="0" applyAlignment="1" applyFont="1">
      <alignment vertical="bottom"/>
    </xf>
    <xf borderId="0" fillId="28" fontId="19" numFmtId="0" xfId="0" applyAlignment="1" applyFill="1" applyFont="1">
      <alignment vertical="bottom"/>
    </xf>
    <xf borderId="0" fillId="0" fontId="17" numFmtId="0" xfId="0" applyAlignment="1" applyFont="1">
      <alignment vertical="bottom"/>
    </xf>
    <xf borderId="0" fillId="6" fontId="17" numFmtId="0" xfId="0" applyAlignment="1" applyFont="1">
      <alignment horizontal="right" vertical="bottom"/>
    </xf>
    <xf borderId="0" fillId="0" fontId="17" numFmtId="0" xfId="0" applyAlignment="1" applyFont="1">
      <alignment horizontal="right" vertical="bottom"/>
    </xf>
    <xf borderId="0" fillId="0" fontId="17" numFmtId="0" xfId="0" applyAlignment="1" applyFont="1">
      <alignment shrinkToFit="0" vertical="bottom" wrapText="0"/>
    </xf>
    <xf borderId="0" fillId="2" fontId="17" numFmtId="0" xfId="0" applyAlignment="1" applyFont="1">
      <alignment vertical="bottom"/>
    </xf>
    <xf borderId="0" fillId="0" fontId="12" numFmtId="0" xfId="0" applyAlignment="1" applyFont="1">
      <alignment horizontal="right" vertical="bottom"/>
    </xf>
    <xf borderId="0" fillId="0" fontId="13" numFmtId="0" xfId="0" applyAlignment="1" applyFont="1">
      <alignment horizontal="right" readingOrder="0" shrinkToFit="0" vertical="bottom" wrapText="0"/>
    </xf>
    <xf borderId="0" fillId="25" fontId="12" numFmtId="0" xfId="0" applyAlignment="1" applyFont="1">
      <alignment horizontal="right" vertical="bottom"/>
    </xf>
    <xf borderId="0" fillId="6" fontId="39" numFmtId="0" xfId="0" applyAlignment="1" applyFont="1">
      <alignment vertical="bottom"/>
    </xf>
    <xf borderId="0" fillId="7" fontId="39" numFmtId="0" xfId="0" applyAlignment="1" applyFont="1">
      <alignment horizontal="right" vertical="bottom"/>
    </xf>
    <xf borderId="0" fillId="0" fontId="17" numFmtId="0" xfId="0" applyAlignment="1" applyFont="1">
      <alignment horizontal="center" vertical="bottom"/>
    </xf>
    <xf borderId="0" fillId="0" fontId="17" numFmtId="0" xfId="0" applyAlignment="1" applyFont="1">
      <alignment horizontal="center" shrinkToFit="0" vertical="bottom" wrapText="0"/>
    </xf>
    <xf borderId="0" fillId="6" fontId="17" numFmtId="0" xfId="0" applyAlignment="1" applyFont="1">
      <alignment horizontal="center" vertical="bottom"/>
    </xf>
    <xf borderId="0" fillId="4" fontId="13" numFmtId="0" xfId="0" applyAlignment="1" applyFont="1">
      <alignment horizontal="right" readingOrder="0" shrinkToFit="0" vertical="bottom" wrapText="0"/>
    </xf>
    <xf borderId="0" fillId="6" fontId="17" numFmtId="0" xfId="0" applyAlignment="1" applyFont="1">
      <alignment vertical="bottom"/>
    </xf>
    <xf borderId="0" fillId="0" fontId="17" numFmtId="0" xfId="0" applyAlignment="1" applyFont="1">
      <alignment readingOrder="0" vertical="bottom"/>
    </xf>
    <xf borderId="0" fillId="25" fontId="12" numFmtId="0" xfId="0" applyAlignment="1" applyFont="1">
      <alignment vertical="bottom"/>
    </xf>
    <xf borderId="0" fillId="0" fontId="40" numFmtId="0" xfId="0" applyAlignment="1" applyFont="1">
      <alignment vertical="bottom"/>
    </xf>
    <xf borderId="0" fillId="6" fontId="40" numFmtId="0" xfId="0" applyAlignment="1" applyFont="1">
      <alignment vertical="bottom"/>
    </xf>
    <xf borderId="0" fillId="0" fontId="41" numFmtId="0" xfId="0" applyAlignment="1" applyFont="1">
      <alignment vertical="bottom"/>
    </xf>
    <xf borderId="0" fillId="0" fontId="40" numFmtId="0" xfId="0" applyAlignment="1" applyFont="1">
      <alignment horizontal="right" vertical="bottom"/>
    </xf>
    <xf borderId="0" fillId="25" fontId="40" numFmtId="0" xfId="0" applyAlignment="1" applyFont="1">
      <alignment horizontal="right" vertical="bottom"/>
    </xf>
    <xf borderId="13" fillId="0" fontId="12" numFmtId="0" xfId="0" applyAlignment="1" applyBorder="1" applyFont="1">
      <alignment vertical="bottom"/>
    </xf>
    <xf borderId="0" fillId="0" fontId="12" numFmtId="0" xfId="0" applyFont="1"/>
    <xf borderId="0" fillId="0" fontId="19" numFmtId="0" xfId="0" applyAlignment="1" applyFont="1">
      <alignment horizontal="center"/>
    </xf>
    <xf borderId="0" fillId="0" fontId="19" numFmtId="0" xfId="0" applyAlignment="1" applyFont="1">
      <alignment horizontal="center" readingOrder="0" shrinkToFit="0" wrapText="1"/>
    </xf>
    <xf borderId="0" fillId="0" fontId="12" numFmtId="0" xfId="0" applyAlignment="1" applyFont="1">
      <alignment readingOrder="0"/>
    </xf>
    <xf borderId="0" fillId="29" fontId="12" numFmtId="0" xfId="0" applyFill="1" applyFont="1"/>
    <xf borderId="0" fillId="2" fontId="12" numFmtId="0" xfId="0" applyFont="1"/>
    <xf borderId="0" fillId="0" fontId="2" numFmtId="164" xfId="0" applyFont="1" applyNumberFormat="1"/>
    <xf borderId="0" fillId="0" fontId="2" numFmtId="9" xfId="0" applyFont="1" applyNumberFormat="1"/>
    <xf borderId="0" fillId="0" fontId="2" numFmtId="170" xfId="0" applyFont="1" applyNumberFormat="1"/>
    <xf borderId="0" fillId="0" fontId="2" numFmtId="10" xfId="0" applyFont="1" applyNumberFormat="1"/>
    <xf borderId="0" fillId="25" fontId="2" numFmtId="0" xfId="0" applyFont="1"/>
    <xf borderId="0" fillId="0" fontId="2" numFmtId="3" xfId="0" applyFont="1" applyNumberFormat="1"/>
    <xf borderId="0" fillId="25" fontId="2" numFmtId="10" xfId="0" applyFont="1" applyNumberFormat="1"/>
    <xf borderId="0" fillId="30" fontId="2" numFmtId="0" xfId="0" applyAlignment="1" applyFill="1" applyFont="1">
      <alignment readingOrder="0"/>
    </xf>
    <xf borderId="0" fillId="30" fontId="2" numFmtId="0" xfId="0" applyFont="1"/>
    <xf borderId="0" fillId="0" fontId="21" numFmtId="0" xfId="0" applyAlignment="1" applyFont="1">
      <alignment horizontal="center" readingOrder="0" vertical="bottom"/>
    </xf>
    <xf borderId="0" fillId="0" fontId="21" numFmtId="49" xfId="0" applyAlignment="1" applyFont="1" applyNumberFormat="1">
      <alignment horizontal="center" readingOrder="0" shrinkToFit="0" vertical="bottom" wrapText="0"/>
    </xf>
    <xf borderId="0" fillId="8" fontId="21" numFmtId="49" xfId="0" applyAlignment="1" applyFont="1" applyNumberFormat="1">
      <alignment horizontal="center" readingOrder="0" shrinkToFit="0" vertical="bottom" wrapText="0"/>
    </xf>
    <xf borderId="0" fillId="7" fontId="21" numFmtId="0" xfId="0" applyAlignment="1" applyFont="1">
      <alignment horizontal="center" readingOrder="0" shrinkToFit="0" vertical="bottom" wrapText="0"/>
    </xf>
    <xf borderId="0" fillId="0" fontId="21" numFmtId="0" xfId="0" applyAlignment="1" applyFont="1">
      <alignment vertical="bottom"/>
    </xf>
    <xf borderId="0" fillId="8" fontId="21" numFmtId="49" xfId="0" applyAlignment="1" applyFont="1" applyNumberFormat="1">
      <alignment shrinkToFit="0" vertical="bottom" wrapText="0"/>
    </xf>
    <xf borderId="0" fillId="0" fontId="21" numFmtId="0" xfId="0" applyAlignment="1" applyFont="1">
      <alignment shrinkToFit="0" vertical="bottom" wrapText="0"/>
    </xf>
    <xf borderId="9" fillId="10" fontId="21" numFmtId="0" xfId="0" applyAlignment="1" applyBorder="1" applyFont="1">
      <alignment shrinkToFit="0" vertical="bottom" wrapText="0"/>
    </xf>
    <xf borderId="0" fillId="2" fontId="21" numFmtId="0" xfId="0" applyAlignment="1" applyFont="1">
      <alignment horizontal="center" shrinkToFit="0" vertical="bottom" wrapText="0"/>
    </xf>
    <xf borderId="0" fillId="7" fontId="21" numFmtId="0" xfId="0" applyAlignment="1" applyFont="1">
      <alignment horizontal="center" shrinkToFit="0" vertical="bottom" wrapText="0"/>
    </xf>
    <xf borderId="0" fillId="0" fontId="22" numFmtId="49" xfId="0" applyAlignment="1" applyFont="1" applyNumberFormat="1">
      <alignment shrinkToFit="0" vertical="bottom" wrapText="0"/>
    </xf>
    <xf borderId="0" fillId="8" fontId="22" numFmtId="49" xfId="0" applyAlignment="1" applyFont="1" applyNumberFormat="1">
      <alignment shrinkToFit="0" vertical="bottom" wrapText="0"/>
    </xf>
    <xf borderId="0" fillId="0" fontId="42" numFmtId="0" xfId="0" applyAlignment="1" applyFont="1">
      <alignment shrinkToFit="0" vertical="bottom" wrapText="0"/>
    </xf>
    <xf borderId="0" fillId="7" fontId="22" numFmtId="0" xfId="0" applyAlignment="1" applyFont="1">
      <alignment shrinkToFit="0" vertical="bottom" wrapText="0"/>
    </xf>
    <xf borderId="0" fillId="7" fontId="43" numFmtId="0" xfId="0" applyAlignment="1" applyFont="1">
      <alignment readingOrder="0" shrinkToFit="0" vertical="bottom" wrapText="0"/>
    </xf>
    <xf borderId="0" fillId="7" fontId="22" numFmtId="0" xfId="0" applyAlignment="1" applyFont="1">
      <alignment readingOrder="0" shrinkToFit="0" vertical="bottom" wrapText="0"/>
    </xf>
    <xf borderId="0" fillId="11" fontId="12" numFmtId="49" xfId="0" applyAlignment="1" applyFont="1" applyNumberFormat="1">
      <alignment vertical="bottom"/>
    </xf>
    <xf borderId="0" fillId="8" fontId="22" numFmtId="49" xfId="0" applyAlignment="1" applyFont="1" applyNumberFormat="1">
      <alignment vertical="bottom"/>
    </xf>
    <xf borderId="0" fillId="7" fontId="12" numFmtId="0" xfId="0" applyAlignment="1" applyFont="1">
      <alignment readingOrder="0" vertical="bottom"/>
    </xf>
    <xf borderId="9" fillId="10" fontId="12" numFmtId="0" xfId="0" applyAlignment="1" applyBorder="1" applyFont="1">
      <alignment vertical="bottom"/>
    </xf>
    <xf borderId="9" fillId="10" fontId="22" numFmtId="0" xfId="0" applyAlignment="1" applyBorder="1" applyFont="1">
      <alignment shrinkToFit="0" vertical="bottom" wrapText="0"/>
    </xf>
    <xf borderId="0" fillId="31" fontId="44" numFmtId="0" xfId="0" applyAlignment="1" applyFill="1" applyFont="1">
      <alignment shrinkToFit="0" vertical="bottom" wrapText="0"/>
    </xf>
    <xf borderId="0" fillId="11" fontId="22" numFmtId="0" xfId="0" applyAlignment="1" applyFont="1">
      <alignment shrinkToFit="0" vertical="bottom" wrapText="0"/>
    </xf>
    <xf borderId="0" fillId="3" fontId="21" numFmtId="0" xfId="0" applyAlignment="1" applyFont="1">
      <alignment shrinkToFit="0" vertical="bottom" wrapText="0"/>
    </xf>
    <xf borderId="0" fillId="3" fontId="22" numFmtId="49" xfId="0" applyAlignment="1" applyFont="1" applyNumberFormat="1">
      <alignment shrinkToFit="0" vertical="bottom" wrapText="0"/>
    </xf>
    <xf borderId="0" fillId="3" fontId="45" numFmtId="49" xfId="0" applyAlignment="1" applyFont="1" applyNumberFormat="1">
      <alignment shrinkToFit="0" vertical="bottom" wrapText="0"/>
    </xf>
    <xf borderId="0" fillId="3" fontId="46" numFmtId="0" xfId="0" applyAlignment="1" applyFont="1">
      <alignment shrinkToFit="0" vertical="bottom" wrapText="0"/>
    </xf>
    <xf borderId="0" fillId="7" fontId="22" numFmtId="49" xfId="0" applyAlignment="1" applyFont="1" applyNumberFormat="1">
      <alignment shrinkToFit="0" vertical="bottom" wrapText="0"/>
    </xf>
    <xf borderId="0" fillId="7" fontId="45" numFmtId="49" xfId="0" applyAlignment="1" applyFont="1" applyNumberFormat="1">
      <alignment shrinkToFit="0" vertical="bottom" wrapText="0"/>
    </xf>
    <xf borderId="0" fillId="0" fontId="47" numFmtId="0" xfId="0" applyAlignment="1" applyFont="1">
      <alignment shrinkToFit="0" vertical="bottom" wrapText="0"/>
    </xf>
    <xf borderId="0" fillId="24" fontId="21" numFmtId="0" xfId="0" applyAlignment="1" applyFont="1">
      <alignment shrinkToFit="0" vertical="bottom" wrapText="0"/>
    </xf>
    <xf borderId="0" fillId="24" fontId="12" numFmtId="49" xfId="0" applyAlignment="1" applyFont="1" applyNumberFormat="1">
      <alignment vertical="bottom"/>
    </xf>
    <xf borderId="0" fillId="24" fontId="22" numFmtId="49" xfId="0" applyAlignment="1" applyFont="1" applyNumberFormat="1">
      <alignment shrinkToFit="0" vertical="bottom" wrapText="0"/>
    </xf>
    <xf borderId="0" fillId="24" fontId="12" numFmtId="0" xfId="0" applyAlignment="1" applyFont="1">
      <alignment vertical="bottom"/>
    </xf>
    <xf borderId="0" fillId="24" fontId="22" numFmtId="0" xfId="0" applyAlignment="1" applyFont="1">
      <alignment shrinkToFit="0" vertical="bottom" wrapText="0"/>
    </xf>
    <xf borderId="0" fillId="24" fontId="48" numFmtId="0" xfId="0" applyAlignment="1" applyFont="1">
      <alignment shrinkToFit="0" vertical="bottom" wrapText="0"/>
    </xf>
    <xf borderId="0" fillId="3" fontId="49" numFmtId="0" xfId="0" applyAlignment="1" applyFont="1">
      <alignment vertical="bottom"/>
    </xf>
    <xf borderId="0" fillId="7" fontId="49" numFmtId="0" xfId="0" applyAlignment="1" applyFont="1">
      <alignment readingOrder="0" vertical="bottom"/>
    </xf>
    <xf borderId="0" fillId="7" fontId="45" numFmtId="0" xfId="0" applyAlignment="1" applyFont="1">
      <alignment shrinkToFit="0" vertical="bottom" wrapText="0"/>
    </xf>
    <xf borderId="0" fillId="11" fontId="21" numFmtId="0" xfId="0" applyAlignment="1" applyFont="1">
      <alignment shrinkToFit="0" vertical="bottom" wrapText="0"/>
    </xf>
    <xf borderId="0" fillId="11" fontId="22" numFmtId="49" xfId="0" applyAlignment="1" applyFont="1" applyNumberFormat="1">
      <alignment shrinkToFit="0" vertical="bottom" wrapText="0"/>
    </xf>
    <xf borderId="0" fillId="25" fontId="50" numFmtId="0" xfId="0" applyAlignment="1" applyFont="1">
      <alignment shrinkToFit="0" vertical="bottom" wrapText="0"/>
    </xf>
    <xf borderId="9" fillId="24" fontId="22" numFmtId="0" xfId="0" applyAlignment="1" applyBorder="1" applyFont="1">
      <alignment shrinkToFit="0" vertical="bottom" wrapText="0"/>
    </xf>
    <xf borderId="0" fillId="3" fontId="21" numFmtId="49" xfId="0" applyAlignment="1" applyFont="1" applyNumberFormat="1">
      <alignment shrinkToFit="0" vertical="bottom" wrapText="0"/>
    </xf>
    <xf borderId="0" fillId="3" fontId="12" numFmtId="49" xfId="0" applyAlignment="1" applyFont="1" applyNumberFormat="1">
      <alignment vertical="bottom"/>
    </xf>
    <xf borderId="0" fillId="3" fontId="51" numFmtId="0" xfId="0" applyAlignment="1" applyFont="1">
      <alignment shrinkToFit="0" vertical="bottom" wrapText="0"/>
    </xf>
    <xf borderId="0" fillId="8" fontId="12" numFmtId="49" xfId="0" applyAlignment="1" applyFont="1" applyNumberFormat="1">
      <alignment vertical="bottom"/>
    </xf>
    <xf borderId="0" fillId="7" fontId="52" numFmtId="0" xfId="0" applyAlignment="1" applyFont="1">
      <alignment shrinkToFit="0" vertical="bottom" wrapText="0"/>
    </xf>
    <xf borderId="0" fillId="24" fontId="21" numFmtId="49" xfId="0" applyAlignment="1" applyFont="1" applyNumberFormat="1">
      <alignment shrinkToFit="0" vertical="bottom" wrapText="0"/>
    </xf>
    <xf borderId="0" fillId="24" fontId="53" numFmtId="0" xfId="0" applyAlignment="1" applyFont="1">
      <alignment shrinkToFit="0" vertical="bottom" wrapText="0"/>
    </xf>
    <xf borderId="0" fillId="8" fontId="22" numFmtId="0" xfId="0" applyAlignment="1" applyFont="1">
      <alignment shrinkToFit="0" vertical="bottom" wrapText="0"/>
    </xf>
    <xf borderId="0" fillId="8" fontId="22" numFmtId="0" xfId="0" applyAlignment="1" applyFont="1">
      <alignment vertical="bottom"/>
    </xf>
    <xf borderId="0" fillId="3" fontId="22" numFmtId="0" xfId="0" applyAlignment="1" applyFont="1">
      <alignment shrinkToFit="0" wrapText="0"/>
    </xf>
    <xf borderId="0" fillId="11" fontId="21" numFmtId="49" xfId="0" applyAlignment="1" applyFont="1" applyNumberFormat="1">
      <alignment vertical="bottom"/>
    </xf>
    <xf borderId="0" fillId="3" fontId="54" numFmtId="0" xfId="0" applyAlignment="1" applyFont="1">
      <alignment shrinkToFit="0" vertical="bottom" wrapText="0"/>
    </xf>
    <xf borderId="0" fillId="0" fontId="55" numFmtId="0" xfId="0" applyAlignment="1" applyFont="1">
      <alignment shrinkToFit="0" vertical="bottom" wrapText="0"/>
    </xf>
    <xf borderId="0" fillId="11" fontId="21" numFmtId="49" xfId="0" applyAlignment="1" applyFont="1" applyNumberFormat="1">
      <alignment shrinkToFit="0" vertical="bottom" wrapText="0"/>
    </xf>
    <xf borderId="0" fillId="0" fontId="56" numFmtId="0" xfId="0" applyAlignment="1" applyFont="1">
      <alignment shrinkToFit="0" vertical="bottom" wrapText="0"/>
    </xf>
    <xf borderId="0" fillId="0" fontId="57" numFmtId="0" xfId="0" applyAlignment="1" applyFont="1">
      <alignment shrinkToFit="0" vertical="bottom" wrapText="0"/>
    </xf>
    <xf borderId="0" fillId="11" fontId="45" numFmtId="49" xfId="0" applyAlignment="1" applyFont="1" applyNumberFormat="1">
      <alignment shrinkToFit="0" vertical="bottom" wrapText="0"/>
    </xf>
    <xf borderId="0" fillId="3" fontId="21" numFmtId="0" xfId="0" applyAlignment="1" applyFont="1">
      <alignment shrinkToFit="0" wrapText="0"/>
    </xf>
    <xf borderId="0" fillId="3" fontId="58" numFmtId="49" xfId="0" applyAlignment="1" applyFont="1" applyNumberFormat="1">
      <alignment shrinkToFit="0" vertical="bottom" wrapText="0"/>
    </xf>
    <xf borderId="14" fillId="3" fontId="22" numFmtId="49" xfId="0" applyAlignment="1" applyBorder="1" applyFont="1" applyNumberFormat="1">
      <alignment shrinkToFit="0" vertical="bottom" wrapText="0"/>
    </xf>
    <xf borderId="0" fillId="6" fontId="21" numFmtId="49" xfId="0" applyAlignment="1" applyFont="1" applyNumberFormat="1">
      <alignment shrinkToFit="0" vertical="bottom" wrapText="0"/>
    </xf>
    <xf borderId="0" fillId="6" fontId="12" numFmtId="49" xfId="0" applyAlignment="1" applyFont="1" applyNumberFormat="1">
      <alignment vertical="bottom"/>
    </xf>
    <xf borderId="0" fillId="11" fontId="21" numFmtId="49" xfId="0" applyAlignment="1" applyFont="1" applyNumberFormat="1">
      <alignment shrinkToFit="0" wrapText="0"/>
    </xf>
    <xf borderId="0" fillId="0" fontId="22" numFmtId="0" xfId="0" applyAlignment="1" applyFont="1">
      <alignment vertical="bottom"/>
    </xf>
    <xf borderId="0" fillId="6" fontId="22" numFmtId="49" xfId="0" applyAlignment="1" applyFont="1" applyNumberFormat="1">
      <alignment shrinkToFit="0" vertical="bottom" wrapText="0"/>
    </xf>
    <xf borderId="0" fillId="6" fontId="22" numFmtId="0" xfId="0" applyAlignment="1" applyFont="1">
      <alignment shrinkToFit="0" vertical="bottom" wrapText="0"/>
    </xf>
    <xf borderId="0" fillId="6" fontId="22" numFmtId="0" xfId="0" applyAlignment="1" applyFont="1">
      <alignment vertical="bottom"/>
    </xf>
    <xf borderId="0" fillId="7" fontId="59" numFmtId="0" xfId="0" applyAlignment="1" applyFont="1">
      <alignment readingOrder="0" vertical="bottom"/>
    </xf>
    <xf borderId="0" fillId="0" fontId="22" numFmtId="49" xfId="0" applyAlignment="1" applyFont="1" applyNumberFormat="1">
      <alignment vertical="bottom"/>
    </xf>
    <xf borderId="0" fillId="0" fontId="60" numFmtId="0" xfId="0" applyAlignment="1" applyFont="1">
      <alignment shrinkToFit="0" vertical="bottom" wrapText="0"/>
    </xf>
    <xf borderId="0" fillId="11" fontId="29" numFmtId="49" xfId="0" applyAlignment="1" applyFont="1" applyNumberFormat="1">
      <alignment vertical="bottom"/>
    </xf>
    <xf borderId="0" fillId="8" fontId="29" numFmtId="49" xfId="0" applyAlignment="1" applyFont="1" applyNumberFormat="1">
      <alignment vertical="bottom"/>
    </xf>
    <xf borderId="0" fillId="6" fontId="22" numFmtId="0" xfId="0" applyAlignment="1" applyFont="1">
      <alignment shrinkToFit="0" vertical="bottom" wrapText="1"/>
    </xf>
    <xf borderId="0" fillId="6" fontId="61" numFmtId="0" xfId="0" applyAlignment="1" applyFont="1">
      <alignment shrinkToFit="0" vertical="bottom" wrapText="0"/>
    </xf>
    <xf borderId="0" fillId="0" fontId="62" numFmtId="0" xfId="0" applyAlignment="1" applyFont="1">
      <alignment shrinkToFit="0" wrapText="0"/>
    </xf>
    <xf borderId="0" fillId="8" fontId="2" numFmtId="0" xfId="0" applyAlignment="1" applyFont="1">
      <alignment readingOrder="0"/>
    </xf>
    <xf borderId="0" fillId="2" fontId="2" numFmtId="0" xfId="0" applyAlignment="1" applyFont="1">
      <alignment readingOrder="0"/>
    </xf>
    <xf borderId="0" fillId="2" fontId="2" numFmtId="0" xfId="0" applyFont="1"/>
    <xf borderId="0" fillId="4" fontId="2" numFmtId="0" xfId="0" applyAlignment="1" applyFont="1">
      <alignment readingOrder="0"/>
    </xf>
    <xf borderId="0" fillId="4" fontId="2" numFmtId="0" xfId="0" applyAlignment="1" applyFont="1">
      <alignment readingOrder="0" shrinkToFit="0" wrapText="0"/>
    </xf>
    <xf borderId="0" fillId="0" fontId="2" numFmtId="171" xfId="0" applyAlignment="1" applyFont="1" applyNumberFormat="1">
      <alignment readingOrder="0"/>
    </xf>
    <xf borderId="0" fillId="0" fontId="63" numFmtId="0" xfId="0" applyAlignment="1" applyFont="1">
      <alignment readingOrder="0" shrinkToFit="0" vertical="center" wrapText="0"/>
    </xf>
    <xf borderId="7" fillId="4" fontId="6" numFmtId="0" xfId="0" applyAlignment="1" applyBorder="1" applyFont="1">
      <alignment horizontal="center" readingOrder="0" shrinkToFit="0" vertical="center" wrapText="1"/>
    </xf>
    <xf borderId="0" fillId="0" fontId="2" numFmtId="164" xfId="0" applyAlignment="1" applyFont="1" applyNumberForma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ladislav Aleksandrovich Papaev" id="{998d84d4-a9fc-484d-afb3-752f97919e07}" providerId="google-sheets"/>
  <x18tc:person displayName="Yuriy Vasilievich Ivanov" id="{90eeb233-6a27-479f-b59d-25be561c060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Y164" dT="2026-01-15T08:00:52.00" personId="{998d84d4-a9fc-484d-afb3-752f97919e07}" id="{788bf68d-e79a-47c6-87aa-67f354d3750c}" done="0">
    <x18tc:text xml:space="preserve">посмотреть</x18tc:text>
  </x18tc:threadedComment>
  <x18tc:threadedComment ref="CF1" dT="2026-01-22T10:30:26.00" personId="{90eeb233-6a27-479f-b59d-25be561c060f}" id="{f6879327-9504-46ab-a80b-58b5ec01df42}" done="0">
    <x18tc:text xml:space="preserve">Узнать кто вносил в старую таблицу</x18tc:text>
  </x18tc:threadedComment>
  <x18tc:threadedComment ref="BY128" dT="2026-01-15T07:58:42.00" personId="{998d84d4-a9fc-484d-afb3-752f97919e07}" id="{a45ab393-dcde-459b-95a6-c56407a80333}" done="0">
    <x18tc:text xml:space="preserve">посмотреть</x18tc:text>
  </x18tc:threadedComment>
  <x18tc:threadedComment ref="BY316" dT="2026-01-15T08:06:51.00" personId="{998d84d4-a9fc-484d-afb3-752f97919e07}" id="{bc398c79-5aa9-4d3e-9182-3ddfbf197f4a}" done="0">
    <x18tc:text xml:space="preserve">посмотреть</x18tc:text>
  </x18tc:threadedComment>
  <x18tc:threadedComment ref="BY144" dT="2026-01-15T08:00:13.00" personId="{998d84d4-a9fc-484d-afb3-752f97919e07}" id="{72fe7c06-b1e9-47dd-a13c-b3c34153d380}" done="0">
    <x18tc:text xml:space="preserve">посмотреть</x18tc:text>
  </x18tc:threadedComment>
  <x18tc:threadedComment ref="BY131" dT="2026-01-15T07:59:13.00" personId="{998d84d4-a9fc-484d-afb3-752f97919e07}" id="{82ce1e2c-17c9-46e3-88ca-26eb6e4ebeeb}" done="0">
    <x18tc:text xml:space="preserve">посмотреть</x18tc:text>
  </x18tc:threadedComment>
  <x18tc:threadedComment ref="BY335" dT="2026-01-15T08:07:19.00" personId="{998d84d4-a9fc-484d-afb3-752f97919e07}" id="{5548817a-435a-4892-b7bd-7e0553fc4baa}" done="0">
    <x18tc:text xml:space="preserve">посмотреть</x18tc:text>
  </x18tc:threadedComment>
  <x18tc:threadedComment ref="BY145" dT="2026-01-15T08:00:20.00" personId="{998d84d4-a9fc-484d-afb3-752f97919e07}" id="{ba3a891f-798d-4a1f-a7ae-caa7d30dd9c0}" done="0">
    <x18tc:text xml:space="preserve">посмотреть</x18tc:text>
  </x18tc:threadedComment>
  <x18tc:threadedComment ref="BY370" dT="2026-01-15T07:54:39.00" personId="{998d84d4-a9fc-484d-afb3-752f97919e07}" id="{c37e5636-db42-4d63-bc67-cdb53d7459f3}" done="0">
    <x18tc:text xml:space="preserve">посмотреть</x18tc:text>
  </x18tc:threadedComment>
  <x18tc:threadedComment ref="BY220" dT="2026-01-15T08:04:53.00" personId="{998d84d4-a9fc-484d-afb3-752f97919e07}" id="{18a86d79-f67d-4c7c-b5cc-dbcd70da62dd}" done="0">
    <x18tc:text xml:space="preserve">посмотреть</x18tc:text>
  </x18tc:threadedComment>
  <x18tc:threadedComment ref="BY95" dT="2026-01-15T07:56:28.00" personId="{998d84d4-a9fc-484d-afb3-752f97919e07}" id="{adab6151-f48f-4509-9d62-c2518e1f4a29}" done="0">
    <x18tc:text xml:space="preserve">посмотреть</x18tc:text>
  </x18tc:threadedComment>
  <x18tc:threadedComment ref="BY309" dT="2026-01-15T08:06:23.00" personId="{998d84d4-a9fc-484d-afb3-752f97919e07}" id="{68513295-b55d-4f41-88df-6e1fdce4efa3}" done="0">
    <x18tc:text xml:space="preserve">посмотреть</x18tc:text>
  </x18tc:threadedComment>
  <x18tc:threadedComment ref="BY136" dT="2026-01-15T07:59:42.00" personId="{998d84d4-a9fc-484d-afb3-752f97919e07}" id="{dda5a8c4-cde9-4920-8865-3ad1c991911a}" done="0">
    <x18tc:text xml:space="preserve">посмотреть</x18tc:text>
  </x18tc:threadedComment>
  <x18tc:threadedComment ref="BY345" dT="2026-01-15T07:53:01.00" personId="{998d84d4-a9fc-484d-afb3-752f97919e07}" id="{80ca216d-c7cb-486a-8835-77bb04f86830}" done="0">
    <x18tc:text xml:space="preserve">посмотреть</x18tc:text>
  </x18tc:threadedComment>
  <x18tc:threadedComment ref="BY172" dT="2026-01-15T08:01:16.00" personId="{998d84d4-a9fc-484d-afb3-752f97919e07}" id="{c452ac92-7130-42dc-a38e-6e95cd672d9f}" done="0">
    <x18tc:text xml:space="preserve">посмотреть</x18tc:text>
  </x18tc:threadedComment>
  <x18tc:threadedComment ref="CO4" dT="2026-01-22T10:32:46.00" personId="{90eeb233-6a27-479f-b59d-25be561c060f}" id="{55932dff-d6a2-40ab-b372-4accb5415270}" done="0">
    <x18tc:text xml:space="preserve">Под вопросом 
Где все взять в одном месте?</x18tc:text>
  </x18tc:threadedComment>
  <x18tc:threadedComment ref="BY356" dT="2026-01-15T07:53:27.00" personId="{998d84d4-a9fc-484d-afb3-752f97919e07}" id="{1571372a-e958-4879-989e-325c87fd19ad}" done="0">
    <x18tc:text xml:space="preserve">посмотреть</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ozon.ru/product/650452213" TargetMode="External"/><Relationship Id="rId194" Type="http://schemas.openxmlformats.org/officeDocument/2006/relationships/hyperlink" Target="https://market.yandex.ru/card/kremniy-35-mg-qeep-90-kapsul/103398260189?businessId=8291477&amp;clid=8291477&amp;model_id=838753782&amp;distr_type=8&amp;pp=605" TargetMode="External"/><Relationship Id="rId193" Type="http://schemas.openxmlformats.org/officeDocument/2006/relationships/hyperlink" Target="https://www.ozon.ru/product/1408116280" TargetMode="External"/><Relationship Id="rId192" Type="http://schemas.openxmlformats.org/officeDocument/2006/relationships/hyperlink" Target="https://www.wildberries.ru/catalog/206027291/detail.aspx" TargetMode="External"/><Relationship Id="rId191" Type="http://schemas.openxmlformats.org/officeDocument/2006/relationships/hyperlink" Target="https://market.yandex.ru/card/digidrokvertsetin--vitamin-a-s-ye-25-mg-qeep-30-kapsul/101805120670?businessId=8291477&amp;clid=8291477&amp;model_id=1111706245&amp;distr_type=8&amp;pp=605" TargetMode="External"/><Relationship Id="rId187" Type="http://schemas.openxmlformats.org/officeDocument/2006/relationships/hyperlink" Target="https://market.yandex.ru/card/vitaminy-dlya-zhenshchin-qeep-60-kapsul/103398256606?businessId=8291477&amp;clid=8291477&amp;model_id=1111706245&amp;distr_type=8&amp;pp=605" TargetMode="External"/><Relationship Id="rId186" Type="http://schemas.openxmlformats.org/officeDocument/2006/relationships/hyperlink" Target="https://www.ozon.ru/product/1500211407" TargetMode="External"/><Relationship Id="rId185" Type="http://schemas.openxmlformats.org/officeDocument/2006/relationships/hyperlink" Target="https://www.wildberries.ru/catalog/216488606/detail.aspx" TargetMode="External"/><Relationship Id="rId184" Type="http://schemas.openxmlformats.org/officeDocument/2006/relationships/hyperlink" Target="https://drive.google.com/drive/folders/12NLK4M-zsS_xNSg_z9brf6p0g7tOFi-w" TargetMode="External"/><Relationship Id="rId189" Type="http://schemas.openxmlformats.org/officeDocument/2006/relationships/hyperlink" Target="https://www.wildberries.ru/catalog/91969061/detail.aspx" TargetMode="External"/><Relationship Id="rId188" Type="http://schemas.openxmlformats.org/officeDocument/2006/relationships/hyperlink" Target="https://drive.google.com/drive/folders/1uTF3PrNOTzgxxcX3uhJ5NATQKzjzaT2t" TargetMode="External"/><Relationship Id="rId183" Type="http://schemas.openxmlformats.org/officeDocument/2006/relationships/hyperlink" Target="https://www.ozon.ru/product/1408084489" TargetMode="External"/><Relationship Id="rId182" Type="http://schemas.openxmlformats.org/officeDocument/2006/relationships/hyperlink" Target="https://www.wildberries.ru/catalog/206020100/detail.aspx" TargetMode="External"/><Relationship Id="rId181" Type="http://schemas.openxmlformats.org/officeDocument/2006/relationships/hyperlink" Target="https://drive.google.com/drive/folders/1hP-3TexPulE2xNhZ0KlXzCHc8aIJ2ux7" TargetMode="External"/><Relationship Id="rId180" Type="http://schemas.openxmlformats.org/officeDocument/2006/relationships/hyperlink" Target="https://market.yandex.ru/card/biopurin-ot-podagry-dlya-sustavov-qeep-60-kapsul/103812558261?businessId=8291477&amp;clid=8291477&amp;model_id=973159540&amp;distr_type=8&amp;pp=605" TargetMode="External"/><Relationship Id="rId176" Type="http://schemas.openxmlformats.org/officeDocument/2006/relationships/hyperlink" Target="https://market.yandex.ru/card/koenzim-q10-vitaminy-dlya-serdtsa-i-sosudov-qeep-30-kapsul/103689767957?businessId=8291477&amp;clid=8291477&amp;model_id=1268975231&amp;distr_type=8&amp;pp=605" TargetMode="External"/><Relationship Id="rId175" Type="http://schemas.openxmlformats.org/officeDocument/2006/relationships/hyperlink" Target="https://www.ozon.ru/product/1785810392" TargetMode="External"/><Relationship Id="rId174" Type="http://schemas.openxmlformats.org/officeDocument/2006/relationships/hyperlink" Target="https://www.wildberries.ru/catalog/302436449/detail.aspx" TargetMode="External"/><Relationship Id="rId173" Type="http://schemas.openxmlformats.org/officeDocument/2006/relationships/hyperlink" Target="https://drive.google.com/drive/folders/1z8D3umXCI2M6KCJyeirlPDZ2j20UoYfG" TargetMode="External"/><Relationship Id="rId179" Type="http://schemas.openxmlformats.org/officeDocument/2006/relationships/hyperlink" Target="https://www.ozon.ru/product/1884226546" TargetMode="External"/><Relationship Id="rId178" Type="http://schemas.openxmlformats.org/officeDocument/2006/relationships/hyperlink" Target="https://www.wildberries.ru/catalog/337468231/detail.aspx" TargetMode="External"/><Relationship Id="rId177" Type="http://schemas.openxmlformats.org/officeDocument/2006/relationships/hyperlink" Target="https://drive.google.com/drive/folders/1hPlN19xPrlRyphMqsWwBx67MXsHQJSce" TargetMode="External"/><Relationship Id="rId198" Type="http://schemas.openxmlformats.org/officeDocument/2006/relationships/hyperlink" Target="https://www.ozon.ru/product/616948885" TargetMode="External"/><Relationship Id="rId197" Type="http://schemas.openxmlformats.org/officeDocument/2006/relationships/hyperlink" Target="https://www.wildberries.ru/catalog/90343752/detail.aspx" TargetMode="External"/><Relationship Id="rId196" Type="http://schemas.openxmlformats.org/officeDocument/2006/relationships/hyperlink" Target="https://drive.google.com/drive/folders/1I551mOcieiloH0nGEV4x905NSikzHmB-" TargetMode="External"/><Relationship Id="rId195" Type="http://schemas.openxmlformats.org/officeDocument/2006/relationships/hyperlink" Target="https://goldapple.ru/catalogsearch/result?q=99000118641" TargetMode="External"/><Relationship Id="rId199" Type="http://schemas.openxmlformats.org/officeDocument/2006/relationships/hyperlink" Target="https://www.wildberries.ru/catalog/417262785/detail.aspx" TargetMode="External"/><Relationship Id="rId150" Type="http://schemas.openxmlformats.org/officeDocument/2006/relationships/hyperlink" Target="https://drive.google.com/drive/folders/1mWkENWzV8LFCasWOb9Z2fVT4g_8zzLup" TargetMode="External"/><Relationship Id="rId392" Type="http://schemas.openxmlformats.org/officeDocument/2006/relationships/hyperlink" Target="https://disk.yandex.ru/d/Ev_QLf4Dw5w-rA" TargetMode="External"/><Relationship Id="rId391" Type="http://schemas.openxmlformats.org/officeDocument/2006/relationships/hyperlink" Target="https://drive.google.com/drive/folders/18YV64pOQ5afw2SLx3F1h2HjXmX2aFP3f" TargetMode="External"/><Relationship Id="rId390" Type="http://schemas.openxmlformats.org/officeDocument/2006/relationships/hyperlink" Target="https://market.yandex.ru/card/pelenki-dlya-sobak-60-na-40-pelenki-odnorazovyye-30-shtuk/103396708130?businessId=8291477&amp;clid=8291477&amp;model_id=484297924&amp;distr_type=8&amp;pp=605"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market.yandex.ru/card/lososevoye-maslo-dlya-sobak-i-koshek-s-maslom-lososya-rybiy-zhir-omega-3-dlya-zhivotnykh-harly-250-ml/4764708144?businessId=8291477&amp;clid=8291477&amp;model_id=838121044&amp;distr_type=8&amp;pp=605" TargetMode="External"/><Relationship Id="rId4" Type="http://schemas.openxmlformats.org/officeDocument/2006/relationships/hyperlink" Target="https://docs.google.com/spreadsheets/d/1LR__5ROKBkaIcEHxXYak771Ja7zPr-wSzyfHGTyh2vo/edit?gid=1985852842" TargetMode="External"/><Relationship Id="rId148" Type="http://schemas.openxmlformats.org/officeDocument/2006/relationships/hyperlink" Target="https://www.ozon.ru/product/3106984552" TargetMode="External"/><Relationship Id="rId1090" Type="http://schemas.openxmlformats.org/officeDocument/2006/relationships/hyperlink" Target="https://www.ozon.ru/product/1154571921" TargetMode="External"/><Relationship Id="rId1091" Type="http://schemas.openxmlformats.org/officeDocument/2006/relationships/hyperlink" Target="https://www.wildberries.ru/catalog/175788642/detail.aspx" TargetMode="External"/><Relationship Id="rId1092" Type="http://schemas.openxmlformats.org/officeDocument/2006/relationships/hyperlink" Target="https://www.ozon.ru/product/1171921502" TargetMode="External"/><Relationship Id="rId1093" Type="http://schemas.openxmlformats.org/officeDocument/2006/relationships/hyperlink" Target="https://market.yandex.ru/card/vozbuditel-dlya-muzhchin-silnyy-dlya-potentsii-i-erektsii-18/103333756199?do-waremd5=de03anHfV4eglHe3HjlWSQ&amp;businessId=1422090&amp;generalContext=t%3DshopInShop%3Bbi%3D1422090%3B&amp;ogV=-10" TargetMode="External"/><Relationship Id="rId1094" Type="http://schemas.openxmlformats.org/officeDocument/2006/relationships/hyperlink" Target="https://www.wildberries.ru/catalog/17907051/detail.aspx" TargetMode="External"/><Relationship Id="rId9" Type="http://schemas.openxmlformats.org/officeDocument/2006/relationships/hyperlink" Target="https://www.wildberries.ru/catalog/473683865/detail.aspx" TargetMode="External"/><Relationship Id="rId143" Type="http://schemas.openxmlformats.org/officeDocument/2006/relationships/hyperlink" Target="https://www.wildberries.ru/catalog/588937927/detail.aspx" TargetMode="External"/><Relationship Id="rId385" Type="http://schemas.openxmlformats.org/officeDocument/2006/relationships/hyperlink" Target="https://www.ozon.ru/product/967623667" TargetMode="External"/><Relationship Id="rId1095" Type="http://schemas.openxmlformats.org/officeDocument/2006/relationships/hyperlink" Target="https://www.ozon.ru/product/286744793" TargetMode="External"/><Relationship Id="rId142" Type="http://schemas.openxmlformats.org/officeDocument/2006/relationships/hyperlink" Target="https://disk.yandex.ru/d/PryAeo5LcSBWJw" TargetMode="External"/><Relationship Id="rId384" Type="http://schemas.openxmlformats.org/officeDocument/2006/relationships/hyperlink" Target="https://www.wildberries.ru/catalog/159734040/detail.aspx" TargetMode="External"/><Relationship Id="rId1096" Type="http://schemas.openxmlformats.org/officeDocument/2006/relationships/hyperlink" Target="https://www.wildberries.ru/catalog/223762749/detail.aspx" TargetMode="External"/><Relationship Id="rId141" Type="http://schemas.openxmlformats.org/officeDocument/2006/relationships/hyperlink" Target="https://drive.google.com/drive/folders/1zKli08gC7aQQz0moHj-M5xlo3KGR6t-7" TargetMode="External"/><Relationship Id="rId383" Type="http://schemas.openxmlformats.org/officeDocument/2006/relationships/hyperlink" Target="https://drive.google.com/drive/folders/1F6wCfWMR8E7YBEiicg4_eT3K-h5utQWZ" TargetMode="External"/><Relationship Id="rId1097" Type="http://schemas.openxmlformats.org/officeDocument/2006/relationships/hyperlink" Target="https://www.ozon.ru/product/1542480921" TargetMode="External"/><Relationship Id="rId140" Type="http://schemas.openxmlformats.org/officeDocument/2006/relationships/hyperlink" Target="https://market.yandex.ru/card/probiotiki-dlya-vzroslykh-vosstanovleniye-mikroflory-qeep-probiotic-detox-60-kapsul/4737198096?businessId=8291477&amp;clid=8291477&amp;model_id=696148335&amp;distr_type=8&amp;pp=605" TargetMode="External"/><Relationship Id="rId382" Type="http://schemas.openxmlformats.org/officeDocument/2006/relationships/hyperlink" Target="https://market.yandex.ru/card/ginko-biloba-360-mg-qeep-90-kapsul/102318027321?businessId=8291477&amp;clid=8291477&amp;model_id=1268975231&amp;distr_type=8&amp;pp=605" TargetMode="External"/><Relationship Id="rId1098" Type="http://schemas.openxmlformats.org/officeDocument/2006/relationships/hyperlink" Target="https://market.yandex.ru/card/zhiroszhigatel-dlya-pokhudeniya-sportivnyye-vitaminy-dlya-snizheniya-vesa-bad-frutaksa/103515403562?businessId=1422090&amp;clid=1422090&amp;model_id=967593294&amp;distr_type=8&amp;pp=605" TargetMode="External"/><Relationship Id="rId5" Type="http://schemas.openxmlformats.org/officeDocument/2006/relationships/hyperlink" Target="https://docs.google.com/spreadsheets/d/1LR__5ROKBkaIcEHxXYak771Ja7zPr-wSzyfHGTyh2vo/edit?gid=1985852842" TargetMode="External"/><Relationship Id="rId147" Type="http://schemas.openxmlformats.org/officeDocument/2006/relationships/hyperlink" Target="https://www.wildberries.ru/catalog/617717249/detail.aspx" TargetMode="External"/><Relationship Id="rId389" Type="http://schemas.openxmlformats.org/officeDocument/2006/relationships/hyperlink" Target="https://www.ozon.ru/product/1581834792" TargetMode="External"/><Relationship Id="rId1099" Type="http://schemas.openxmlformats.org/officeDocument/2006/relationships/hyperlink" Target="https://www.wildberries.ru/catalog/399759797/detail.aspx" TargetMode="External"/><Relationship Id="rId6" Type="http://schemas.openxmlformats.org/officeDocument/2006/relationships/hyperlink" Target="https://docs.google.com/spreadsheets/d/1LR__5ROKBkaIcEHxXYak771Ja7zPr-wSzyfHGTyh2vo/edit?gid=1985852842" TargetMode="External"/><Relationship Id="rId146" Type="http://schemas.openxmlformats.org/officeDocument/2006/relationships/hyperlink" Target="https://drive.google.com/drive/folders/1rV8K5p1fq6qOIW7VD0lGtibqmVER_wvl" TargetMode="External"/><Relationship Id="rId388" Type="http://schemas.openxmlformats.org/officeDocument/2006/relationships/hyperlink" Target="https://www.wildberries.ru/catalog/232785020/detail.aspx" TargetMode="External"/><Relationship Id="rId7" Type="http://schemas.openxmlformats.org/officeDocument/2006/relationships/hyperlink" Target="https://docs.google.com/spreadsheets/d/17_XO2j1ZOpxuF-ec-XjJ1MfSfYG6z_-XGdA7Rfh5n54/edit?pli=1&amp;gid=583249148" TargetMode="External"/><Relationship Id="rId145" Type="http://schemas.openxmlformats.org/officeDocument/2006/relationships/hyperlink" Target="https://market.yandex.ru/card/zma-testosteron-dlya-muzhchin-tsink--magniy--asparaginovaya-kislota--v6-qeep-ekdisteron-120-kapsul/4737102558?businessId=8291477&amp;clid=8291477&amp;model_id=925062646&amp;distr_type=8&amp;pp=605" TargetMode="External"/><Relationship Id="rId387" Type="http://schemas.openxmlformats.org/officeDocument/2006/relationships/hyperlink" Target="https://drive.google.com/drive/folders/1A5n8wsKAPxDPdS5cdUltQbmVm2SkFKQ1" TargetMode="External"/><Relationship Id="rId8" Type="http://schemas.openxmlformats.org/officeDocument/2006/relationships/hyperlink" Target="http://kma.biz/" TargetMode="External"/><Relationship Id="rId144" Type="http://schemas.openxmlformats.org/officeDocument/2006/relationships/hyperlink" Target="https://www.ozon.ru/product/3044876607" TargetMode="External"/><Relationship Id="rId386" Type="http://schemas.openxmlformats.org/officeDocument/2006/relationships/hyperlink" Target="https://market.yandex.ru/card/vitaminy-dlya-pamyati-i-mozga-qeep-60-kapsul/102196237159?businessId=8291477&amp;clid=8291477&amp;model_id=804540706&amp;distr_type=8&amp;pp=605" TargetMode="External"/><Relationship Id="rId381" Type="http://schemas.openxmlformats.org/officeDocument/2006/relationships/hyperlink" Target="https://www.ozon.ru/product/1101364594" TargetMode="External"/><Relationship Id="rId380" Type="http://schemas.openxmlformats.org/officeDocument/2006/relationships/hyperlink" Target="https://www.wildberries.ru/catalog/169962249/detail.aspx" TargetMode="External"/><Relationship Id="rId139" Type="http://schemas.openxmlformats.org/officeDocument/2006/relationships/hyperlink" Target="https://www.ozon.ru/product/3010994519" TargetMode="External"/><Relationship Id="rId138" Type="http://schemas.openxmlformats.org/officeDocument/2006/relationships/hyperlink" Target="https://www.wildberries.ru/catalog/568667310/detail.aspx" TargetMode="External"/><Relationship Id="rId137" Type="http://schemas.openxmlformats.org/officeDocument/2006/relationships/hyperlink" Target="https://drive.google.com/drive/folders/1_QPjS9mJZl1HeJQYZvxo5r41lee-IUVq" TargetMode="External"/><Relationship Id="rId379" Type="http://schemas.openxmlformats.org/officeDocument/2006/relationships/hyperlink" Target="https://disk.yandex.ru/d/Tr65XYmvk_1Xow" TargetMode="External"/><Relationship Id="rId1080" Type="http://schemas.openxmlformats.org/officeDocument/2006/relationships/hyperlink" Target="https://www.wildberries.ru/catalog/525491703/detail.aspx" TargetMode="External"/><Relationship Id="rId1081" Type="http://schemas.openxmlformats.org/officeDocument/2006/relationships/hyperlink" Target="https://www.ozon.ru/product/2825063594" TargetMode="External"/><Relationship Id="rId1082" Type="http://schemas.openxmlformats.org/officeDocument/2006/relationships/hyperlink" Target="https://market.yandex.ru/card/sredstvo-ot-davleniya-vitaminy-dlya-serdtsa-chistka-sosudov-alteya-arterol-10ml-kh-2/4640677629?businessId=1422090&amp;clid=1422090&amp;model_id=696476475&amp;distr_type=8&amp;pp=605" TargetMode="External"/><Relationship Id="rId1083" Type="http://schemas.openxmlformats.org/officeDocument/2006/relationships/hyperlink" Target="https://www.wildberries.ru/catalog/197560593/detail.aspx" TargetMode="External"/><Relationship Id="rId132" Type="http://schemas.openxmlformats.org/officeDocument/2006/relationships/hyperlink" Target="https://drive.google.com/drive/folders/1tJn-U5-4SUwDVUMhCm0kivRx5EnuKk0S" TargetMode="External"/><Relationship Id="rId374" Type="http://schemas.openxmlformats.org/officeDocument/2006/relationships/hyperlink" Target="https://www.wildberries.ru/catalog/265543042/detail.aspx" TargetMode="External"/><Relationship Id="rId1084" Type="http://schemas.openxmlformats.org/officeDocument/2006/relationships/hyperlink" Target="https://www.ozon.ru/product/1350956924" TargetMode="External"/><Relationship Id="rId131" Type="http://schemas.openxmlformats.org/officeDocument/2006/relationships/hyperlink" Target="https://market.yandex.ru/card/mio-inozitol-1500-mg-qeep-60-kapsul/4737110307?businessId=8291477&amp;clid=8291477&amp;model_id=1111706245&amp;distr_type=8&amp;pp=605" TargetMode="External"/><Relationship Id="rId373" Type="http://schemas.openxmlformats.org/officeDocument/2006/relationships/hyperlink" Target="https://www.ozon.ru/product/1613731894" TargetMode="External"/><Relationship Id="rId1085" Type="http://schemas.openxmlformats.org/officeDocument/2006/relationships/hyperlink" Target="https://market.yandex.ru/card/remuver-dlya-udaleniya-kutikuly-alteya-40-ml/102622257537?businessId=1422090&amp;clid=1422090&amp;model_id=969577526&amp;distr_type=8&amp;pp=605" TargetMode="External"/><Relationship Id="rId130" Type="http://schemas.openxmlformats.org/officeDocument/2006/relationships/hyperlink" Target="https://www.ozon.ru/product/2946850815" TargetMode="External"/><Relationship Id="rId372" Type="http://schemas.openxmlformats.org/officeDocument/2006/relationships/hyperlink" Target="https://www.wildberries.ru/catalog/240173672/detail.aspx" TargetMode="External"/><Relationship Id="rId1086" Type="http://schemas.openxmlformats.org/officeDocument/2006/relationships/hyperlink" Target="https://goldapple.ru/catalogsearch/result?q=99000076202" TargetMode="External"/><Relationship Id="rId371" Type="http://schemas.openxmlformats.org/officeDocument/2006/relationships/hyperlink" Target="https://disk.yandex.ru/d/sW4lRxXupp7BjA" TargetMode="External"/><Relationship Id="rId1087" Type="http://schemas.openxmlformats.org/officeDocument/2006/relationships/hyperlink" Target="https://www.letu.ru/product/alteya-remuver-dlya-udaleniya-kutikuly/163501210" TargetMode="External"/><Relationship Id="rId136" Type="http://schemas.openxmlformats.org/officeDocument/2006/relationships/hyperlink" Target="https://market.yandex.ru/card/shampun-dlya-sobak-i-koshek-s-konditsionerom-500-ml/103397002661?businessId=8291477&amp;clid=8291477&amp;model_id=965085250&amp;distr_type=8&amp;pp=605" TargetMode="External"/><Relationship Id="rId378" Type="http://schemas.openxmlformats.org/officeDocument/2006/relationships/hyperlink" Target="https://drive.google.com/drive/folders/1GlGAe44AZJIFNnlMaxHBj1GFQE2M3CXI" TargetMode="External"/><Relationship Id="rId1088" Type="http://schemas.openxmlformats.org/officeDocument/2006/relationships/hyperlink" Target="https://mm.ru/product/remuver-dlya-udaleniya-kutikuly-alteya-40-5843397?skuId=13065224" TargetMode="External"/><Relationship Id="rId135" Type="http://schemas.openxmlformats.org/officeDocument/2006/relationships/hyperlink" Target="https://www.ozon.ru/product/1503121227" TargetMode="External"/><Relationship Id="rId377" Type="http://schemas.openxmlformats.org/officeDocument/2006/relationships/hyperlink" Target="https://goldapple.ru/catalogsearch/result?q=99000121326" TargetMode="External"/><Relationship Id="rId1089" Type="http://schemas.openxmlformats.org/officeDocument/2006/relationships/hyperlink" Target="https://www.wildberries.ru/catalog/172160798/detail.aspx" TargetMode="External"/><Relationship Id="rId134" Type="http://schemas.openxmlformats.org/officeDocument/2006/relationships/hyperlink" Target="https://www.wildberries.ru/catalog/559225020/detail.aspx" TargetMode="External"/><Relationship Id="rId376" Type="http://schemas.openxmlformats.org/officeDocument/2006/relationships/hyperlink" Target="https://market.yandex.ru/card/magniy-tsitrat-635-mg-s-vitaminom-v6-qeep-120-kapsul/103555039361?businessId=8291477&amp;clid=8291477&amp;model_id=1280856904&amp;distr_type=8&amp;pp=605" TargetMode="External"/><Relationship Id="rId133" Type="http://schemas.openxmlformats.org/officeDocument/2006/relationships/hyperlink" Target="https://disk.yandex.ru/d/1ndXL8wYq_YmVg" TargetMode="External"/><Relationship Id="rId375" Type="http://schemas.openxmlformats.org/officeDocument/2006/relationships/hyperlink" Target="https://www.ozon.ru/product/1713149756" TargetMode="External"/><Relationship Id="rId172" Type="http://schemas.openxmlformats.org/officeDocument/2006/relationships/hyperlink" Target="https://goldapple.ru/catalogsearch/result?q=99000117795" TargetMode="External"/><Relationship Id="rId171" Type="http://schemas.openxmlformats.org/officeDocument/2006/relationships/hyperlink" Target="https://market.yandex.ru/card/biotin-10000-mkg-qeep-60-kapsul/103665479999?businessId=8291477&amp;clid=8291477&amp;model_id=838753782&amp;distr_type=8&amp;pp=605" TargetMode="External"/><Relationship Id="rId170" Type="http://schemas.openxmlformats.org/officeDocument/2006/relationships/hyperlink" Target="https://www.ozon.ru/product/1773394130" TargetMode="External"/><Relationship Id="rId165" Type="http://schemas.openxmlformats.org/officeDocument/2006/relationships/hyperlink" Target="https://disk.yandex.ru/d/kWCbF653aZ0amQ" TargetMode="External"/><Relationship Id="rId164" Type="http://schemas.openxmlformats.org/officeDocument/2006/relationships/hyperlink" Target="https://market.yandex.ru/card/krem-dlya-litsa-s-liposomalnym-retinolom-1/4842304692?businessId=8291477&amp;clid=8291477&amp;model_id=1453951928&amp;distr_type=8&amp;pp=605" TargetMode="External"/><Relationship Id="rId163" Type="http://schemas.openxmlformats.org/officeDocument/2006/relationships/hyperlink" Target="https://www.ozon.ru/product/3219081694" TargetMode="External"/><Relationship Id="rId162" Type="http://schemas.openxmlformats.org/officeDocument/2006/relationships/hyperlink" Target="https://www.wildberries.ru/catalog/687712933/detail.aspx" TargetMode="External"/><Relationship Id="rId169" Type="http://schemas.openxmlformats.org/officeDocument/2006/relationships/hyperlink" Target="https://www.wildberries.ru/catalog/311795896/detail.aspx" TargetMode="External"/><Relationship Id="rId168" Type="http://schemas.openxmlformats.org/officeDocument/2006/relationships/hyperlink" Target="https://market.yandex.ru/card/krem-dlya-litsa-s-liposomalnym-retinolom-15/4842314518?businessId=8291477&amp;clid=8291477&amp;model_id=1453951928&amp;distr_type=8&amp;pp=605" TargetMode="External"/><Relationship Id="rId167" Type="http://schemas.openxmlformats.org/officeDocument/2006/relationships/hyperlink" Target="https://www.ozon.ru/product/3220730122" TargetMode="External"/><Relationship Id="rId166" Type="http://schemas.openxmlformats.org/officeDocument/2006/relationships/hyperlink" Target="https://www.wildberries.ru/catalog/692599189/detail.aspx" TargetMode="External"/><Relationship Id="rId161" Type="http://schemas.openxmlformats.org/officeDocument/2006/relationships/hyperlink" Target="https://drive.google.com/drive/folders/1GcFduMhHSQj_HtTQiHBS8B-cdpu5Eyhz" TargetMode="External"/><Relationship Id="rId160" Type="http://schemas.openxmlformats.org/officeDocument/2006/relationships/hyperlink" Target="https://market.yandex.ru/card/krem-solntsezashchitnyy-spf-50-dlya-litsa-50-ml/4824577371?businessId=8291477&amp;clid=8291477&amp;model_id=1581702225&amp;distr_type=8&amp;pp=605" TargetMode="External"/><Relationship Id="rId159" Type="http://schemas.openxmlformats.org/officeDocument/2006/relationships/hyperlink" Target="https://www.ozon.ru/product/3190972100" TargetMode="External"/><Relationship Id="rId154" Type="http://schemas.openxmlformats.org/officeDocument/2006/relationships/hyperlink" Target="https://market.yandex.ru/card/bad-chlorophyll-500-ml-zhidkiy-khlorofill-so-vkusom-myaty-500ml/4787246513?businessId=8291477&amp;clid=8291477&amp;model_id=1826260757&amp;distr_type=8&amp;pp=605" TargetMode="External"/><Relationship Id="rId396" Type="http://schemas.openxmlformats.org/officeDocument/2006/relationships/hyperlink" Target="https://www.letu.ru/product/qeep-remuver-gel-dlya-udaleniya-kutikuly/168000535?sort=default&amp;open=ingredient%7EcleanBeauty%7EskinNeeds%7EforWhom&amp;hide=expectedEffect%7EnotContain%7EskinTypes%7EhairType" TargetMode="External"/><Relationship Id="rId153" Type="http://schemas.openxmlformats.org/officeDocument/2006/relationships/hyperlink" Target="https://www.ozon.ru/product/3108027348" TargetMode="External"/><Relationship Id="rId395" Type="http://schemas.openxmlformats.org/officeDocument/2006/relationships/hyperlink" Target="https://market.yandex.ru/card/remuver-gel-qeep-dlya-udaleniya-kutikuly-40-ml/103477930205?businessId=8291477&amp;clid=8291477&amp;model_id=570718272&amp;distr_type=8&amp;pp=605" TargetMode="External"/><Relationship Id="rId152" Type="http://schemas.openxmlformats.org/officeDocument/2006/relationships/hyperlink" Target="https://www.wildberries.ru/catalog/165592674/detail.aspx" TargetMode="External"/><Relationship Id="rId394" Type="http://schemas.openxmlformats.org/officeDocument/2006/relationships/hyperlink" Target="https://www.ozon.ru/product/1666962684" TargetMode="External"/><Relationship Id="rId151" Type="http://schemas.openxmlformats.org/officeDocument/2006/relationships/hyperlink" Target="https://disk.yandex.ru/d/ZObw08ht-L3EKg" TargetMode="External"/><Relationship Id="rId393" Type="http://schemas.openxmlformats.org/officeDocument/2006/relationships/hyperlink" Target="https://www.wildberries.ru/catalog/255209721/detail.aspx" TargetMode="External"/><Relationship Id="rId158" Type="http://schemas.openxmlformats.org/officeDocument/2006/relationships/hyperlink" Target="https://www.wildberries.ru/catalog/681199239/detail.aspx" TargetMode="External"/><Relationship Id="rId157" Type="http://schemas.openxmlformats.org/officeDocument/2006/relationships/hyperlink" Target="https://disk.yandex.ru/d/VLjP4IaPPTLyzQ" TargetMode="External"/><Relationship Id="rId399" Type="http://schemas.openxmlformats.org/officeDocument/2006/relationships/hyperlink" Target="https://www.wildberries.ru/catalog/400501943/detail.aspx" TargetMode="External"/><Relationship Id="rId156" Type="http://schemas.openxmlformats.org/officeDocument/2006/relationships/hyperlink" Target="https://docs.google.com/document/d/104ULlyOAuV1IDK64Sv8iDI3_Bj64t1baZTUGBsWJfz4/edit?tab=t.0" TargetMode="External"/><Relationship Id="rId398" Type="http://schemas.openxmlformats.org/officeDocument/2006/relationships/hyperlink" Target="https://docs.google.com/document/d/1-QgLOrJKtPmist03i6P1GWfh-k2GBrAFRAkqqtYP9mk/edit?tab=t.0" TargetMode="External"/><Relationship Id="rId155" Type="http://schemas.openxmlformats.org/officeDocument/2006/relationships/hyperlink" Target="https://drive.google.com/drive/folders/1ldsojot3L5fpXNicn_hj4PzJwj0hpgp8" TargetMode="External"/><Relationship Id="rId397" Type="http://schemas.openxmlformats.org/officeDocument/2006/relationships/hyperlink" Target="https://drive.google.com/drive/folders/1Wr2srOap72j1Y5wZfJZ-K0k3yCqb_3oq" TargetMode="External"/><Relationship Id="rId808" Type="http://schemas.openxmlformats.org/officeDocument/2006/relationships/hyperlink" Target="https://www.ozon.ru/product/2545691905" TargetMode="External"/><Relationship Id="rId807" Type="http://schemas.openxmlformats.org/officeDocument/2006/relationships/hyperlink" Target="https://www.wildberries.ru/catalog/480197142/detail.aspx" TargetMode="External"/><Relationship Id="rId806" Type="http://schemas.openxmlformats.org/officeDocument/2006/relationships/hyperlink" Target="https://market.yandex.ru/card/maz-ot-gribka-nogtey-i-stopy-nog-protivogribkovaya-allitsil/102072156318?businessId=1422090&amp;clid=1422090&amp;model_id=1256821997&amp;distr_type=8&amp;pp=605" TargetMode="External"/><Relationship Id="rId805" Type="http://schemas.openxmlformats.org/officeDocument/2006/relationships/hyperlink" Target="https://www.ozon.ru/product/916705489" TargetMode="External"/><Relationship Id="rId809" Type="http://schemas.openxmlformats.org/officeDocument/2006/relationships/hyperlink" Target="https://market.yandex.ru/card/gel-dlya-intimnoy-gigiyeny-s-molochnoy-kislotoy-alteya-intimvita-300-ml/4569590420?businessId=1422090&amp;clid=1422090&amp;model_id=625438732&amp;distr_type=8&amp;pp=605" TargetMode="External"/><Relationship Id="rId800" Type="http://schemas.openxmlformats.org/officeDocument/2006/relationships/hyperlink" Target="https://market.yandex.ru/card/vosk-dlya-ukladki-volos-alteya-50-ml/4476315416?businessId=1422090&amp;clid=1422090&amp;model_id=1503630299&amp;distr_type=8&amp;pp=605" TargetMode="External"/><Relationship Id="rId804" Type="http://schemas.openxmlformats.org/officeDocument/2006/relationships/hyperlink" Target="https://www.wildberries.ru/catalog/151393048/detail.aspx" TargetMode="External"/><Relationship Id="rId803" Type="http://schemas.openxmlformats.org/officeDocument/2006/relationships/hyperlink" Target="https://disk.yandex.ru/d/P8ipjXjie3UR-Q" TargetMode="External"/><Relationship Id="rId802" Type="http://schemas.openxmlformats.org/officeDocument/2006/relationships/hyperlink" Target="https://mm.ru/product/vosk-dlya-ukladki-volos-alteya-50-5876222?skuId=13124662" TargetMode="External"/><Relationship Id="rId801" Type="http://schemas.openxmlformats.org/officeDocument/2006/relationships/hyperlink" Target="https://www.letu.ru/product/alteya-krem-dlya-ukladki-volos/178102006?sort=default&amp;open=ingredient%7EforWhom%7EskinNeeds%7EcleanBeauty&amp;hide=expectedEffect%7EnotContain%7EhairType" TargetMode="External"/><Relationship Id="rId40" Type="http://schemas.openxmlformats.org/officeDocument/2006/relationships/hyperlink" Target="https://www.ozon.ru/product/884578393" TargetMode="External"/><Relationship Id="rId42" Type="http://schemas.openxmlformats.org/officeDocument/2006/relationships/hyperlink" Target="https://drive.google.com/drive/folders/1IQ51gbZJ8MzYP29NXeoOOScaQ0jQZK3C" TargetMode="External"/><Relationship Id="rId41" Type="http://schemas.openxmlformats.org/officeDocument/2006/relationships/hyperlink" Target="https://market.yandex.ru/card/joint-care-funktsionalnyy-korm-dlya-sobak-dlya-sustavov/103542518194?businessId=8291477&amp;clid=8291477&amp;model_id=44500663&amp;distr_type=8&amp;pp=605" TargetMode="External"/><Relationship Id="rId44" Type="http://schemas.openxmlformats.org/officeDocument/2006/relationships/hyperlink" Target="https://drive.google.com/drive/u/0/folders/1g_p7fO6i6NuPWi4GRMAvunnDvxfLGqJC" TargetMode="External"/><Relationship Id="rId43" Type="http://schemas.openxmlformats.org/officeDocument/2006/relationships/hyperlink" Target="https://docs.google.com/document/d/1P2KK6r50RbQvRpU3E3b6nd7ld16cP7H7MoVk9M_1Ums/edit?tab=t.0" TargetMode="External"/><Relationship Id="rId46" Type="http://schemas.openxmlformats.org/officeDocument/2006/relationships/hyperlink" Target="https://docs.google.com/document/d/1BKKy3Blk0MIwdeRBkS6P1iBdo8cf4Nqv_AtheYEpn50/edit?tab=t.0" TargetMode="External"/><Relationship Id="rId45" Type="http://schemas.openxmlformats.org/officeDocument/2006/relationships/hyperlink" Target="https://drive.google.com/drive/u/0/folders/1f6GGEzLVv8y1ay2J45GONVZoZVXjddLa" TargetMode="External"/><Relationship Id="rId509" Type="http://schemas.openxmlformats.org/officeDocument/2006/relationships/hyperlink" Target="https://www.wildberries.ru/catalog/161355809/detail.aspx" TargetMode="External"/><Relationship Id="rId508" Type="http://schemas.openxmlformats.org/officeDocument/2006/relationships/hyperlink" Target="https://market.yandex.ru/card/tsink-khelat-25-mg-qeep-30-tabletok/103398260185?businessId=8291477&amp;clid=8291477&amp;model_id=838753782&amp;distr_type=8&amp;pp=605" TargetMode="External"/><Relationship Id="rId503" Type="http://schemas.openxmlformats.org/officeDocument/2006/relationships/hyperlink" Target="https://www.wildberries.ru/catalog/186777993/detail.aspx" TargetMode="External"/><Relationship Id="rId745" Type="http://schemas.openxmlformats.org/officeDocument/2006/relationships/hyperlink" Target="https://goldapple.ru/catalogsearch/result?q=99000125266" TargetMode="External"/><Relationship Id="rId987" Type="http://schemas.openxmlformats.org/officeDocument/2006/relationships/hyperlink" Target="https://www.wildberries.ru/catalog/525495859/detail.aspx" TargetMode="External"/><Relationship Id="rId502" Type="http://schemas.openxmlformats.org/officeDocument/2006/relationships/hyperlink" Target="https://www.ozon.ru/product/1180963859" TargetMode="External"/><Relationship Id="rId744" Type="http://schemas.openxmlformats.org/officeDocument/2006/relationships/hyperlink" Target="https://market.yandex.ru/card/penka-dlya-ukladki-volos-alteya-150-ml/4476308791?businessId=1422090&amp;clid=1422090&amp;model_id=1243127253&amp;distr_type=8&amp;pp=605" TargetMode="External"/><Relationship Id="rId986" Type="http://schemas.openxmlformats.org/officeDocument/2006/relationships/hyperlink" Target="https://disk.yandex.ru/d/G6U6hNLHYUZOHg/22.05.2025" TargetMode="External"/><Relationship Id="rId501" Type="http://schemas.openxmlformats.org/officeDocument/2006/relationships/hyperlink" Target="https://www.wildberries.ru/catalog/176110742/detail.aspx" TargetMode="External"/><Relationship Id="rId743" Type="http://schemas.openxmlformats.org/officeDocument/2006/relationships/hyperlink" Target="https://www.ozon.ru/product/2067952800" TargetMode="External"/><Relationship Id="rId985" Type="http://schemas.openxmlformats.org/officeDocument/2006/relationships/hyperlink" Target="https://www.letu.ru/product/alteya-tochechnyi-krem-ot-pryshchei-korrektor-tochechnyi-protiv-pryshchei-krem-ot-akne/172000553" TargetMode="External"/><Relationship Id="rId500" Type="http://schemas.openxmlformats.org/officeDocument/2006/relationships/hyperlink" Target="https://drive.google.com/drive/folders/1Jcn4RMclkAtu9Eg88kCcztJsTsKo8Ss3" TargetMode="External"/><Relationship Id="rId742" Type="http://schemas.openxmlformats.org/officeDocument/2006/relationships/hyperlink" Target="https://www.wildberries.ru/catalog/399763000/detail.aspx" TargetMode="External"/><Relationship Id="rId984" Type="http://schemas.openxmlformats.org/officeDocument/2006/relationships/hyperlink" Target="https://market.yandex.ru/card/krem-ot-pryshchey-korrektor-tochechnyy-protiv-pryshchey-alteya-20-ml/4334380449?businessId=1422090&amp;generalContext=t%3DshopInShop%3Bbi%3D1422090%3B&amp;showOriginalKmEmptyOffer=1&amp;ogV=-10" TargetMode="External"/><Relationship Id="rId507" Type="http://schemas.openxmlformats.org/officeDocument/2006/relationships/hyperlink" Target="https://www.ozon.ru/product/1566740410" TargetMode="External"/><Relationship Id="rId749" Type="http://schemas.openxmlformats.org/officeDocument/2006/relationships/hyperlink" Target="https://market.yandex.ru/card/vitaminy-dlya-diabetikov-dlya-profilaktiki-ot-sakharnogo-diabeta-alteya-insulayt-60-kapsul/103515443020?businessId=1422090&amp;clid=1422090&amp;model_id=1352508276&amp;distr_type=8&amp;pp=605" TargetMode="External"/><Relationship Id="rId506" Type="http://schemas.openxmlformats.org/officeDocument/2006/relationships/hyperlink" Target="https://www.wildberries.ru/catalog/229177840/detail.aspx" TargetMode="External"/><Relationship Id="rId748" Type="http://schemas.openxmlformats.org/officeDocument/2006/relationships/hyperlink" Target="https://www.ozon.ru/product/1566867106" TargetMode="External"/><Relationship Id="rId505" Type="http://schemas.openxmlformats.org/officeDocument/2006/relationships/hyperlink" Target="https://market.yandex.ru/card/yod-200-mkg-qeep-60-kapsul/102626043688?businessId=8291477&amp;showOriginalKmEmptyOffer=1&amp;ogV=-10" TargetMode="External"/><Relationship Id="rId747" Type="http://schemas.openxmlformats.org/officeDocument/2006/relationships/hyperlink" Target="https://www.wildberries.ru/catalog/229280202/detail.aspx" TargetMode="External"/><Relationship Id="rId989" Type="http://schemas.openxmlformats.org/officeDocument/2006/relationships/hyperlink" Target="https://market.yandex.ru/card/maz-ot-gribka-nogtey-na-nogakh-krem-gel-alteya-mikoplaks-mycoplax-15-ml-kh-2/4640678615?do-waremd5=NIvya4VVZitwBtcaKE64Vg&amp;businessId=1422090&amp;generalContext=t%3DshopInShop%3Bbi%3D1422090%3B&amp;ogV=-10" TargetMode="External"/><Relationship Id="rId504" Type="http://schemas.openxmlformats.org/officeDocument/2006/relationships/hyperlink" Target="https://www.ozon.ru/product/1271349661" TargetMode="External"/><Relationship Id="rId746" Type="http://schemas.openxmlformats.org/officeDocument/2006/relationships/hyperlink" Target="https://www.letu.ru/product/alteya-penka-dlya-ukladki-kudryavyh-volos/177305598" TargetMode="External"/><Relationship Id="rId988" Type="http://schemas.openxmlformats.org/officeDocument/2006/relationships/hyperlink" Target="https://www.ozon.ru/product/2825114763" TargetMode="External"/><Relationship Id="rId48" Type="http://schemas.openxmlformats.org/officeDocument/2006/relationships/hyperlink" Target="https://www.ozon.ru/product/1018530861" TargetMode="External"/><Relationship Id="rId47" Type="http://schemas.openxmlformats.org/officeDocument/2006/relationships/hyperlink" Target="https://www.wildberries.ru/catalog/163687757/detail.aspx" TargetMode="External"/><Relationship Id="rId49" Type="http://schemas.openxmlformats.org/officeDocument/2006/relationships/hyperlink" Target="https://market.yandex.ru/card/teeth--bones-funktsionalnyy-korm-dlya-zubov-i-kostey-dlya-sobak/103614081636?businessId=8291477&amp;clid=8291477&amp;model_id=44502679&amp;distr_type=8&amp;pp=605" TargetMode="External"/><Relationship Id="rId741" Type="http://schemas.openxmlformats.org/officeDocument/2006/relationships/hyperlink" Target="https://disk.yandex.ru/d/xwspFZ6zFX9xPA" TargetMode="External"/><Relationship Id="rId983" Type="http://schemas.openxmlformats.org/officeDocument/2006/relationships/hyperlink" Target="https://www.ozon.ru/product/2015557258" TargetMode="External"/><Relationship Id="rId740" Type="http://schemas.openxmlformats.org/officeDocument/2006/relationships/hyperlink" Target="https://www.letu.ru/product/alteya-krem-dlya-kudryavyh-i-vyushchihsya-volos/178102009?sort=default&amp;open=cleanBeauty%7Eingredient%7EskinNeeds%7EforWhom&amp;hide=expectedEffect%7EnotContain%7EskinTypes%7EhairType" TargetMode="External"/><Relationship Id="rId982" Type="http://schemas.openxmlformats.org/officeDocument/2006/relationships/hyperlink" Target="https://www.wildberries.ru/catalog/381392982/detail.aspx" TargetMode="External"/><Relationship Id="rId981" Type="http://schemas.openxmlformats.org/officeDocument/2006/relationships/hyperlink" Target="https://www.letu.ru/product/alteya-syvorotka-s-vitaminom-s-gialuronovaya-kislota/163501103?sort=default&amp;open=ingredient%7EforWhom%7EskinNeeds%7EcleanBeauty&amp;hide=expectedEffect%7EnotContain%7EhairType%7EskinTypes" TargetMode="External"/><Relationship Id="rId980" Type="http://schemas.openxmlformats.org/officeDocument/2006/relationships/hyperlink" Target="https://goldapple.ru/catalogsearch/result?q=99000076209" TargetMode="External"/><Relationship Id="rId31" Type="http://schemas.openxmlformats.org/officeDocument/2006/relationships/hyperlink" Target="https://market.yandex.ru/card/skin--coat-funktsionalnyy-korm-dlya-sobak-dlya-shersti/103614081637?businessId=8291477&amp;clid=8291477&amp;model_id=44886188&amp;distr_type=8&amp;pp=605" TargetMode="External"/><Relationship Id="rId30" Type="http://schemas.openxmlformats.org/officeDocument/2006/relationships/hyperlink" Target="https://www.ozon.ru/product/884560852" TargetMode="External"/><Relationship Id="rId33" Type="http://schemas.openxmlformats.org/officeDocument/2006/relationships/hyperlink" Target="https://docs.google.com/document/d/1UikjX911kCO0UpzSvjsVdQLtyppRaN72OG_7o70i1iQ/edit?tab=t.0" TargetMode="External"/><Relationship Id="rId32" Type="http://schemas.openxmlformats.org/officeDocument/2006/relationships/hyperlink" Target="https://drive.google.com/drive/folders/1MFf-7yPFgLdMXDrXjcxVgFiVJH8U2vuD" TargetMode="External"/><Relationship Id="rId35" Type="http://schemas.openxmlformats.org/officeDocument/2006/relationships/hyperlink" Target="https://www.wildberries.ru/catalog/232468472/detail.aspx" TargetMode="External"/><Relationship Id="rId34" Type="http://schemas.openxmlformats.org/officeDocument/2006/relationships/hyperlink" Target="https://drive.google.com/drive/u/0/folders/1g_p7fO6i6NuPWi4GRMAvunnDvxfLGqJC" TargetMode="External"/><Relationship Id="rId739" Type="http://schemas.openxmlformats.org/officeDocument/2006/relationships/hyperlink" Target="https://market.yandex.ru/card/krem-dlya-kudryavykh-i-vyushchikhsya-volos-alteya-300-ml/4476310899?businessId=1422090&amp;clid=1422090&amp;model_id=625585245&amp;distr_type=8&amp;pp=605" TargetMode="External"/><Relationship Id="rId734" Type="http://schemas.openxmlformats.org/officeDocument/2006/relationships/hyperlink" Target="https://www.ozon.ru/product/2396972400" TargetMode="External"/><Relationship Id="rId976" Type="http://schemas.openxmlformats.org/officeDocument/2006/relationships/hyperlink" Target="https://www.letu.ru/product/alteya-gel-dlya-dusha-muzhskoi-parfyumirovannyi/170000349" TargetMode="External"/><Relationship Id="rId733" Type="http://schemas.openxmlformats.org/officeDocument/2006/relationships/hyperlink" Target="https://www.wildberries.ru/catalog/455797764/detail.aspx" TargetMode="External"/><Relationship Id="rId975" Type="http://schemas.openxmlformats.org/officeDocument/2006/relationships/hyperlink" Target="https://goldapple.ru/catalogsearch/result?q=99000081275" TargetMode="External"/><Relationship Id="rId732" Type="http://schemas.openxmlformats.org/officeDocument/2006/relationships/hyperlink" Target="https://market.yandex.ru/card/vitaminy-dlya-serdtsa-i-sosudov-ot-davleniya-mikardin-alteya-3-upakovki/103596648372?businessId=1422090&amp;clid=1422090&amp;model_id=696476475&amp;distr_type=8&amp;pp=605" TargetMode="External"/><Relationship Id="rId974" Type="http://schemas.openxmlformats.org/officeDocument/2006/relationships/hyperlink" Target="https://market.yandex.ru/card/gel-dlya-dusha-muzhskoy-parfyumirovannyy-alteya-1000-ml/103744710984?businessId=1422090&amp;generalContext=t%3DshopInShop%3Bbi%3D1422090%3B&amp;showOriginalKmEmptyOffer=1&amp;ogV=-10" TargetMode="External"/><Relationship Id="rId731" Type="http://schemas.openxmlformats.org/officeDocument/2006/relationships/hyperlink" Target="https://www.ozon.ru/product/1129297876" TargetMode="External"/><Relationship Id="rId973" Type="http://schemas.openxmlformats.org/officeDocument/2006/relationships/hyperlink" Target="https://www.ozon.ru/product/1847971373" TargetMode="External"/><Relationship Id="rId738" Type="http://schemas.openxmlformats.org/officeDocument/2006/relationships/hyperlink" Target="https://www.ozon.ru/product/2067943215" TargetMode="External"/><Relationship Id="rId737" Type="http://schemas.openxmlformats.org/officeDocument/2006/relationships/hyperlink" Target="https://www.wildberries.ru/catalog/399134789/detail.aspx" TargetMode="External"/><Relationship Id="rId979" Type="http://schemas.openxmlformats.org/officeDocument/2006/relationships/hyperlink" Target="https://market.yandex.ru/card/syvorotka-dlya-litsa-uvlazhnyayushchaya-gialuronovaya-alteya-30-ml/103599535128?businessId=1422090&amp;clid=1422090&amp;model_id=825803004&amp;distr_type=8&amp;pp=605" TargetMode="External"/><Relationship Id="rId736" Type="http://schemas.openxmlformats.org/officeDocument/2006/relationships/hyperlink" Target="https://www.letu.ru/product/alteya-syvorotka-dlya-rosta-resnits-i-brovei-gel-dlya-rosta/177800031?sort=default&amp;open=cleanBeauty%7Eingredient%7EskinNeeds%7EforWhom&amp;hide=expectedEffect%7EnotContain%7EskinTypes%7EhairType" TargetMode="External"/><Relationship Id="rId978" Type="http://schemas.openxmlformats.org/officeDocument/2006/relationships/hyperlink" Target="https://www.ozon.ru/product/1745303363" TargetMode="External"/><Relationship Id="rId735" Type="http://schemas.openxmlformats.org/officeDocument/2006/relationships/hyperlink" Target="https://market.yandex.ru/card/syvorotka-dlya-rosta-resnits-i-brovey-gel-dlya-rosta-alteya-6-ml/4600683436?businessId=1422090&amp;clid=1422090&amp;model_id=1352604652&amp;distr_type=8&amp;pp=605" TargetMode="External"/><Relationship Id="rId977" Type="http://schemas.openxmlformats.org/officeDocument/2006/relationships/hyperlink" Target="https://www.wildberries.ru/catalog/276474398/detail.aspx" TargetMode="External"/><Relationship Id="rId37" Type="http://schemas.openxmlformats.org/officeDocument/2006/relationships/hyperlink" Target="https://market.yandex.ru/card/anti-allergy-dlya-sobak--1/103542523691?businessId=8291477&amp;clid=8291477&amp;model_id=679202716&amp;distr_type=8&amp;pp=605" TargetMode="External"/><Relationship Id="rId36" Type="http://schemas.openxmlformats.org/officeDocument/2006/relationships/hyperlink" Target="https://www.ozon.ru/product/1581829359" TargetMode="External"/><Relationship Id="rId39" Type="http://schemas.openxmlformats.org/officeDocument/2006/relationships/hyperlink" Target="https://www.wildberries.ru/catalog/150262548/detail.aspx" TargetMode="External"/><Relationship Id="rId38" Type="http://schemas.openxmlformats.org/officeDocument/2006/relationships/hyperlink" Target="https://drive.google.com/drive/folders/1o1P40yl_7ZR8-xRy4wZf7EhJzyXZkr3-" TargetMode="External"/><Relationship Id="rId730" Type="http://schemas.openxmlformats.org/officeDocument/2006/relationships/hyperlink" Target="https://www.wildberries.ru/catalog/172162757/detail.aspx" TargetMode="External"/><Relationship Id="rId972" Type="http://schemas.openxmlformats.org/officeDocument/2006/relationships/hyperlink" Target="https://www.wildberries.ru/catalog/319397405/detail.aspx" TargetMode="External"/><Relationship Id="rId971" Type="http://schemas.openxmlformats.org/officeDocument/2006/relationships/hyperlink" Target="https://www.letu.ru/product/alteya-maslo-dlya-volos-parfyumirovannoe-syvorotka-dlya-volos-tom-ford-lost-cherry/163501100" TargetMode="External"/><Relationship Id="rId970" Type="http://schemas.openxmlformats.org/officeDocument/2006/relationships/hyperlink" Target="https://goldapple.ru/catalogsearch/result?q=99000076212" TargetMode="External"/><Relationship Id="rId1114" Type="http://schemas.openxmlformats.org/officeDocument/2006/relationships/hyperlink" Target="https://www.wildberries.ru/catalog/34285227/detail.aspx" TargetMode="External"/><Relationship Id="rId1115" Type="http://schemas.openxmlformats.org/officeDocument/2006/relationships/hyperlink" Target="https://www.ozon.ru/product/296756085" TargetMode="External"/><Relationship Id="rId20" Type="http://schemas.openxmlformats.org/officeDocument/2006/relationships/hyperlink" Target="https://www.wildberries.ru/catalog/163688556/detail.aspx" TargetMode="External"/><Relationship Id="rId1116" Type="http://schemas.openxmlformats.org/officeDocument/2006/relationships/hyperlink" Target="https://market.yandex.ru/card/sanatsin-kaps/103544429888?businessId=1422090&amp;clid=1422090&amp;model_id=1782068668&amp;distr_type=8&amp;pp=605" TargetMode="External"/><Relationship Id="rId1117" Type="http://schemas.openxmlformats.org/officeDocument/2006/relationships/hyperlink" Target="https://www.wildberries.ru/catalog/263003602/detail.aspx" TargetMode="External"/><Relationship Id="rId22" Type="http://schemas.openxmlformats.org/officeDocument/2006/relationships/hyperlink" Target="https://market.yandex.ru/card/teeth--bones-funktsionalnyy-korm-dlya-zubov-i-kostey-dlya-koshek/103614081635?businessId=8291477&amp;clid=8291477&amp;model_id=44500665&amp;distr_type=8&amp;pp=605" TargetMode="External"/><Relationship Id="rId1118" Type="http://schemas.openxmlformats.org/officeDocument/2006/relationships/hyperlink" Target="https://www.ozon.ru/product/1702319370" TargetMode="External"/><Relationship Id="rId21" Type="http://schemas.openxmlformats.org/officeDocument/2006/relationships/hyperlink" Target="https://www.ozon.ru/product/1018532111" TargetMode="External"/><Relationship Id="rId1119" Type="http://schemas.openxmlformats.org/officeDocument/2006/relationships/hyperlink" Target="https://market.yandex.ru/card/karandash-ot-mozoley-stik-ot-natiraniya-mozolnyy-plastyr-alteya-20-g/103534746275?businessId=1422090&amp;clid=1422090&amp;model_id=683407463&amp;distr_type=8&amp;pp=605" TargetMode="External"/><Relationship Id="rId24" Type="http://schemas.openxmlformats.org/officeDocument/2006/relationships/hyperlink" Target="https://docs.google.com/document/d/1nRMqrHOUL-HxNDtP1kKkagtZQlN6WmJEcH715UB0ctc/edit?tab=t.0" TargetMode="External"/><Relationship Id="rId23" Type="http://schemas.openxmlformats.org/officeDocument/2006/relationships/hyperlink" Target="https://drive.google.com/drive/folders/1mpyXfn29J6FjP1QVEKQT3NjykIDvNJyV" TargetMode="External"/><Relationship Id="rId525" Type="http://schemas.openxmlformats.org/officeDocument/2006/relationships/hyperlink" Target="https://www.wildberries.ru/catalog/148386453/detail.aspx" TargetMode="External"/><Relationship Id="rId767" Type="http://schemas.openxmlformats.org/officeDocument/2006/relationships/hyperlink" Target="https://market.yandex.ru/card/maz-ot-gribka-nogtey-na-nogakh-protivogribkovoye-sredstvo-dlya-nogtey-alteya-ekzifol-30-ml/103515408311?businessId=1422090&amp;clid=1422090&amp;model_id=1256821997&amp;distr_type=8&amp;pp=605" TargetMode="External"/><Relationship Id="rId524" Type="http://schemas.openxmlformats.org/officeDocument/2006/relationships/hyperlink" Target="https://www.ozon.ru/product/618268309" TargetMode="External"/><Relationship Id="rId766" Type="http://schemas.openxmlformats.org/officeDocument/2006/relationships/hyperlink" Target="https://www.ozon.ru/product/1590039392" TargetMode="External"/><Relationship Id="rId523" Type="http://schemas.openxmlformats.org/officeDocument/2006/relationships/hyperlink" Target="https://www.wildberries.ru/catalog/90471365/detail.aspx" TargetMode="External"/><Relationship Id="rId765" Type="http://schemas.openxmlformats.org/officeDocument/2006/relationships/hyperlink" Target="https://www.wildberries.ru/catalog/234150851/detail.aspx" TargetMode="External"/><Relationship Id="rId522" Type="http://schemas.openxmlformats.org/officeDocument/2006/relationships/hyperlink" Target="https://www.ozon.ru/product/617417253" TargetMode="External"/><Relationship Id="rId764" Type="http://schemas.openxmlformats.org/officeDocument/2006/relationships/hyperlink" Target="https://market.yandex.ru/card/vitaminy-dlya-serdtsa-i-sosudov-ot-davleniya-karditsin-alteya/103333761844?businessId=1422090&amp;clid=1422090&amp;model_id=1736033173&amp;distr_type=8&amp;pp=605" TargetMode="External"/><Relationship Id="rId529" Type="http://schemas.openxmlformats.org/officeDocument/2006/relationships/hyperlink" Target="https://www.wildberries.ru/catalog/149730224/detail.aspx" TargetMode="External"/><Relationship Id="rId528" Type="http://schemas.openxmlformats.org/officeDocument/2006/relationships/hyperlink" Target="https://www.ozon.ru/product/872805901" TargetMode="External"/><Relationship Id="rId527" Type="http://schemas.openxmlformats.org/officeDocument/2006/relationships/hyperlink" Target="https://www.wildberries.ru/catalog/145755886/detail.aspx" TargetMode="External"/><Relationship Id="rId769" Type="http://schemas.openxmlformats.org/officeDocument/2006/relationships/hyperlink" Target="https://www.ozon.ru/product/1691475362" TargetMode="External"/><Relationship Id="rId526" Type="http://schemas.openxmlformats.org/officeDocument/2006/relationships/hyperlink" Target="https://www.ozon.ru/product/871809764" TargetMode="External"/><Relationship Id="rId768" Type="http://schemas.openxmlformats.org/officeDocument/2006/relationships/hyperlink" Target="https://www.wildberries.ru/catalog/260388016/detail.aspx" TargetMode="External"/><Relationship Id="rId26" Type="http://schemas.openxmlformats.org/officeDocument/2006/relationships/hyperlink" Target="https://www.wildberries.ru/catalog/265523439/detail.aspx" TargetMode="External"/><Relationship Id="rId25" Type="http://schemas.openxmlformats.org/officeDocument/2006/relationships/hyperlink" Target="https://drive.google.com/drive/u/0/folders/1g_p7fO6i6NuPWi4GRMAvunnDvxfLGqJC" TargetMode="External"/><Relationship Id="rId28" Type="http://schemas.openxmlformats.org/officeDocument/2006/relationships/hyperlink" Target="https://market.yandex.ru/card/harly-pasta-dlya-vyvedeniya-shersti/103614089888?businessId=8291477&amp;clid=8291477&amp;model_id=824211224&amp;distr_type=8&amp;pp=605" TargetMode="External"/><Relationship Id="rId27" Type="http://schemas.openxmlformats.org/officeDocument/2006/relationships/hyperlink" Target="https://www.ozon.ru/product/1711363073" TargetMode="External"/><Relationship Id="rId521" Type="http://schemas.openxmlformats.org/officeDocument/2006/relationships/hyperlink" Target="https://www.wildberries.ru/catalog/90382271/detail.aspx" TargetMode="External"/><Relationship Id="rId763" Type="http://schemas.openxmlformats.org/officeDocument/2006/relationships/hyperlink" Target="https://www.ozon.ru/product/727886779" TargetMode="External"/><Relationship Id="rId1110" Type="http://schemas.openxmlformats.org/officeDocument/2006/relationships/hyperlink" Target="https://disk.yandex.ru/d/B_-2oZuM2eEnRg" TargetMode="External"/><Relationship Id="rId29" Type="http://schemas.openxmlformats.org/officeDocument/2006/relationships/hyperlink" Target="https://www.wildberries.ru/catalog/150253274/detail.aspx" TargetMode="External"/><Relationship Id="rId520" Type="http://schemas.openxmlformats.org/officeDocument/2006/relationships/hyperlink" Target="https://www.ozon.ru/product/967716766" TargetMode="External"/><Relationship Id="rId762" Type="http://schemas.openxmlformats.org/officeDocument/2006/relationships/hyperlink" Target="https://www.wildberries.ru/catalog/100410775/detail.aspx" TargetMode="External"/><Relationship Id="rId1111" Type="http://schemas.openxmlformats.org/officeDocument/2006/relationships/hyperlink" Target="https://www.wildberries.ru/catalog/668799528/detail.aspx" TargetMode="External"/><Relationship Id="rId761" Type="http://schemas.openxmlformats.org/officeDocument/2006/relationships/hyperlink" Target="https://www.letu.ru/product/alteya-skrab-piling-dlya-kozhi-golovy/177400498?sort=default&amp;open=cleanBeauty%7Eingredient%7EskinNeeds%7EforWhom&amp;hide=expectedEffect%7EnotContain%7EskinTypes%7EhairType" TargetMode="External"/><Relationship Id="rId1112" Type="http://schemas.openxmlformats.org/officeDocument/2006/relationships/hyperlink" Target="https://www.ozon.ru/product/3164675898" TargetMode="External"/><Relationship Id="rId760" Type="http://schemas.openxmlformats.org/officeDocument/2006/relationships/hyperlink" Target="https://goldapple.ru/catalogsearch/result?q=99000125265" TargetMode="External"/><Relationship Id="rId1113" Type="http://schemas.openxmlformats.org/officeDocument/2006/relationships/hyperlink" Target="https://market.yandex.ru/card/krem-solntsezashchitnyy-spf-50-dlya-litsa-50-ml/4824579506?businessId=1422090&amp;clid=1422090&amp;model_id=1581709876&amp;distr_type=8&amp;pp=605" TargetMode="External"/><Relationship Id="rId1103" Type="http://schemas.openxmlformats.org/officeDocument/2006/relationships/hyperlink" Target="https://www.ozon.ru/product/1422277198" TargetMode="External"/><Relationship Id="rId1104" Type="http://schemas.openxmlformats.org/officeDocument/2006/relationships/hyperlink" Target="https://market.yandex.ru/card/glikiron-bad-dlya-profilaktiki-diabeta-kontrol-appetita/103515427024?businessId=1422090&amp;clid=1422090&amp;model_id=1352508276&amp;distr_type=8&amp;pp=605" TargetMode="External"/><Relationship Id="rId1105" Type="http://schemas.openxmlformats.org/officeDocument/2006/relationships/hyperlink" Target="https://www.wildberries.ru/catalog/616101955/detail.aspx" TargetMode="External"/><Relationship Id="rId1106" Type="http://schemas.openxmlformats.org/officeDocument/2006/relationships/hyperlink" Target="https://www.ozon.ru/product/1129297876" TargetMode="External"/><Relationship Id="rId11" Type="http://schemas.openxmlformats.org/officeDocument/2006/relationships/hyperlink" Target="https://drive.google.com/drive/folders/1PqXUMTMlCs1-1shAXBWFmXZz1thQTrG7" TargetMode="External"/><Relationship Id="rId1107" Type="http://schemas.openxmlformats.org/officeDocument/2006/relationships/hyperlink" Target="https://market.yandex.ru/card/vitaminy-dlya-serdtsa-i-sosudov-ot-davleniya-mikardin-alteya-3-upakovki/103596648372?businessId=1422090&amp;clid=1422090&amp;model_id=696476475&amp;distr_type=8&amp;pp=605" TargetMode="External"/><Relationship Id="rId10" Type="http://schemas.openxmlformats.org/officeDocument/2006/relationships/hyperlink" Target="https://www.ozon.ru/product/2517120405" TargetMode="External"/><Relationship Id="rId1108" Type="http://schemas.openxmlformats.org/officeDocument/2006/relationships/hyperlink" Target="https://www.ozon.ru/product/3159927877" TargetMode="External"/><Relationship Id="rId13" Type="http://schemas.openxmlformats.org/officeDocument/2006/relationships/hyperlink" Target="https://disk.yandex.ru/d/5CofSvNzSJz4RA" TargetMode="External"/><Relationship Id="rId1109" Type="http://schemas.openxmlformats.org/officeDocument/2006/relationships/hyperlink" Target="https://docs.google.com/document/d/1-Zp0BtsnDjdJB0oSALH659LOXXJFbAx3/edit?usp=drive_web&amp;ouid=104241417680089502627&amp;rtpof=true" TargetMode="External"/><Relationship Id="rId12" Type="http://schemas.openxmlformats.org/officeDocument/2006/relationships/hyperlink" Target="https://docs.google.com/document/d/1XPxvc0_rnwY-m_Fi8Z3tguz_Y9D15h6gupsd_lqR5Tk/edit" TargetMode="External"/><Relationship Id="rId519" Type="http://schemas.openxmlformats.org/officeDocument/2006/relationships/hyperlink" Target="https://www.wildberries.ru/catalog/159980608/detail.aspx" TargetMode="External"/><Relationship Id="rId514" Type="http://schemas.openxmlformats.org/officeDocument/2006/relationships/hyperlink" Target="https://www.ozon.ru/product/784856113" TargetMode="External"/><Relationship Id="rId756" Type="http://schemas.openxmlformats.org/officeDocument/2006/relationships/hyperlink" Target="https://disk.yandex.ru/d/M7Y9mxFrAwT2Ig" TargetMode="External"/><Relationship Id="rId998" Type="http://schemas.openxmlformats.org/officeDocument/2006/relationships/hyperlink" Target="https://market.yandex.ru/card/maska-dlya-volos-s-keratinom-torgovoy-marki-alteya/4949699875?businessId=1422090&amp;generalContext=t%3DshopInShop%3Bbi%3D1422090%3B&amp;showOriginalKmEmptyOffer=1&amp;ogV=-10" TargetMode="External"/><Relationship Id="rId513" Type="http://schemas.openxmlformats.org/officeDocument/2006/relationships/hyperlink" Target="https://www.wildberries.ru/catalog/134150432/detail.aspx" TargetMode="External"/><Relationship Id="rId755" Type="http://schemas.openxmlformats.org/officeDocument/2006/relationships/hyperlink" Target="https://mm.ru/product/krovavyj-kislotnyj-piling-5871877?skuId=13112556" TargetMode="External"/><Relationship Id="rId997" Type="http://schemas.openxmlformats.org/officeDocument/2006/relationships/hyperlink" Target="https://www.wildberries.ru/catalog/734865504/detail.aspx" TargetMode="External"/><Relationship Id="rId512" Type="http://schemas.openxmlformats.org/officeDocument/2006/relationships/hyperlink" Target="https://www.ozon.ru/product/782091641" TargetMode="External"/><Relationship Id="rId754" Type="http://schemas.openxmlformats.org/officeDocument/2006/relationships/hyperlink" Target="https://www.letu.ru/product/alteya-krovavyi-kislotnyi-piling-dlya-litsa-ot-pryshchei-aha-bha/169800216?sort=default&amp;open=cleanBeauty%7Eingredient%7EskinNeeds%7EforWhom&amp;hide=expectedEffect%7EnotContain%7EskinTypes%7EhairType" TargetMode="External"/><Relationship Id="rId996" Type="http://schemas.openxmlformats.org/officeDocument/2006/relationships/hyperlink" Target="https://market.yandex.ru/card/nabor-ukhodovoy-kosmetiki-dlya-litsa-s-retinolom/4949707408?businessId=1422090&amp;generalContext=t%3DshopInShop%3Bbi%3D1422090%3B&amp;showOriginalKmEmptyOffer=1&amp;ogV=-10" TargetMode="External"/><Relationship Id="rId511" Type="http://schemas.openxmlformats.org/officeDocument/2006/relationships/hyperlink" Target="https://www.wildberries.ru/catalog/133851547/detail.aspx" TargetMode="External"/><Relationship Id="rId753" Type="http://schemas.openxmlformats.org/officeDocument/2006/relationships/hyperlink" Target="https://goldapple.ru/catalogsearch/result?q=99000076205" TargetMode="External"/><Relationship Id="rId995" Type="http://schemas.openxmlformats.org/officeDocument/2006/relationships/hyperlink" Target="https://www.wildberries.ru/catalog/734357718/detail.aspx" TargetMode="External"/><Relationship Id="rId518" Type="http://schemas.openxmlformats.org/officeDocument/2006/relationships/hyperlink" Target="https://www.ozon.ru/product/637790722" TargetMode="External"/><Relationship Id="rId517" Type="http://schemas.openxmlformats.org/officeDocument/2006/relationships/hyperlink" Target="https://www.wildberries.ru/catalog/91968870/detail.aspx" TargetMode="External"/><Relationship Id="rId759" Type="http://schemas.openxmlformats.org/officeDocument/2006/relationships/hyperlink" Target="https://market.yandex.ru/card/skrab-piling-dlya-kozhi-golovy-alteya-200-ml/4537865832?businessId=1422090&amp;clid=1422090&amp;model_id=625585245&amp;distr_type=8&amp;pp=605" TargetMode="External"/><Relationship Id="rId516" Type="http://schemas.openxmlformats.org/officeDocument/2006/relationships/hyperlink" Target="https://www.ozon.ru/product/901402455" TargetMode="External"/><Relationship Id="rId758" Type="http://schemas.openxmlformats.org/officeDocument/2006/relationships/hyperlink" Target="https://www.ozon.ru/product/2445342489" TargetMode="External"/><Relationship Id="rId515" Type="http://schemas.openxmlformats.org/officeDocument/2006/relationships/hyperlink" Target="https://www.wildberries.ru/catalog/152169206/detail.aspx" TargetMode="External"/><Relationship Id="rId757" Type="http://schemas.openxmlformats.org/officeDocument/2006/relationships/hyperlink" Target="https://www.wildberries.ru/catalog/456967436/detail.aspx" TargetMode="External"/><Relationship Id="rId999" Type="http://schemas.openxmlformats.org/officeDocument/2006/relationships/hyperlink" Target="https://www.wildberries.ru/catalog/244341711/detail.aspx" TargetMode="External"/><Relationship Id="rId15" Type="http://schemas.openxmlformats.org/officeDocument/2006/relationships/hyperlink" Target="https://www.ozon.ru/product/1010948247" TargetMode="External"/><Relationship Id="rId990" Type="http://schemas.openxmlformats.org/officeDocument/2006/relationships/hyperlink" Target="https://www.wildberries.ru/catalog/319430962/detail.aspx" TargetMode="External"/><Relationship Id="rId14" Type="http://schemas.openxmlformats.org/officeDocument/2006/relationships/hyperlink" Target="https://www.wildberries.ru/catalog/163683380/detail.aspx" TargetMode="External"/><Relationship Id="rId17" Type="http://schemas.openxmlformats.org/officeDocument/2006/relationships/hyperlink" Target="https://drive.google.com/drive/folders/1EJ8QC9PqNnODOuu3qt12V3UPgRlQGVat" TargetMode="External"/><Relationship Id="rId16" Type="http://schemas.openxmlformats.org/officeDocument/2006/relationships/hyperlink" Target="https://market.yandex.ru/card/cat-support-dlya-kastrirovannykh-i-sterilizovannykh-kotov/103542519891?businessId=8291477&amp;clid=8291477&amp;model_id=44497703&amp;distr_type=8&amp;pp=605" TargetMode="External"/><Relationship Id="rId19" Type="http://schemas.openxmlformats.org/officeDocument/2006/relationships/hyperlink" Target="https://drive.google.com/drive/u/0/folders/1g_p7fO6i6NuPWi4GRMAvunnDvxfLGqJC" TargetMode="External"/><Relationship Id="rId510" Type="http://schemas.openxmlformats.org/officeDocument/2006/relationships/hyperlink" Target="https://www.ozon.ru/product/983821094" TargetMode="External"/><Relationship Id="rId752" Type="http://schemas.openxmlformats.org/officeDocument/2006/relationships/hyperlink" Target="https://market.yandex.ru/card/krovavyy-kislotnyy-piling-dlya-litsa-ot-pryshchey-aha-bha-alteya-30-ml/103710308859?businessId=1422090&amp;clid=1422090&amp;model_id=930450893&amp;distr_type=8&amp;pp=605" TargetMode="External"/><Relationship Id="rId994" Type="http://schemas.openxmlformats.org/officeDocument/2006/relationships/hyperlink" Target="https://mm.ru/product/penka-dlya-naroschennykh-5873796?skuId=13116237" TargetMode="External"/><Relationship Id="rId18" Type="http://schemas.openxmlformats.org/officeDocument/2006/relationships/hyperlink" Target="https://docs.google.com/document/d/1RTioq-2_e3hK5brYg7srNivrKihOx92EEEbnue87y00/edit?tab=t.0" TargetMode="External"/><Relationship Id="rId751" Type="http://schemas.openxmlformats.org/officeDocument/2006/relationships/hyperlink" Target="https://www.ozon.ru/product/1806079450" TargetMode="External"/><Relationship Id="rId993" Type="http://schemas.openxmlformats.org/officeDocument/2006/relationships/hyperlink" Target="https://goldapple.ru/catalogsearch/result?q=99000076218" TargetMode="External"/><Relationship Id="rId1100" Type="http://schemas.openxmlformats.org/officeDocument/2006/relationships/hyperlink" Target="https://www.ozon.ru/product/2067921716" TargetMode="External"/><Relationship Id="rId750" Type="http://schemas.openxmlformats.org/officeDocument/2006/relationships/hyperlink" Target="https://www.wildberries.ru/catalog/307871378/detail.aspx" TargetMode="External"/><Relationship Id="rId992" Type="http://schemas.openxmlformats.org/officeDocument/2006/relationships/hyperlink" Target="https://market.yandex.ru/card/penka-dlya-naroshchennykh-resnits-i-umyvaniya-litsa-ochishchayushchaya-alteya-150-ml/103744706385?businessId=1422090&amp;clid=1422090&amp;model_id=968485540&amp;distr_type=8&amp;pp=605" TargetMode="External"/><Relationship Id="rId1101" Type="http://schemas.openxmlformats.org/officeDocument/2006/relationships/hyperlink" Target="https://docs.google.com/document/d/1f64VlBJilOy3vMwZtW6ifrCU0Q7kK45I/edit?usp=drive_web&amp;ouid=104241417680089502627&amp;rtpof=true" TargetMode="External"/><Relationship Id="rId991" Type="http://schemas.openxmlformats.org/officeDocument/2006/relationships/hyperlink" Target="https://www.ozon.ru/product/1847974827" TargetMode="External"/><Relationship Id="rId1102" Type="http://schemas.openxmlformats.org/officeDocument/2006/relationships/hyperlink" Target="https://www.wildberries.ru/catalog/209229089/detail.aspx" TargetMode="External"/><Relationship Id="rId84" Type="http://schemas.openxmlformats.org/officeDocument/2006/relationships/hyperlink" Target="https://www.ozon.ru/product/1773856028" TargetMode="External"/><Relationship Id="rId83" Type="http://schemas.openxmlformats.org/officeDocument/2006/relationships/hyperlink" Target="https://www.wildberries.ru/catalog/293062934/detail.aspx" TargetMode="External"/><Relationship Id="rId86" Type="http://schemas.openxmlformats.org/officeDocument/2006/relationships/hyperlink" Target="https://goldapple.ru/catalogsearch/result?q=99000117794" TargetMode="External"/><Relationship Id="rId85" Type="http://schemas.openxmlformats.org/officeDocument/2006/relationships/hyperlink" Target="https://market.yandex.ru/card/vitaminy-dlya-detey-magniy-tsitrat-zhevatelnyye-marmeladki-qeep-60-shtuk/103665495848?businessId=8291477&amp;clid=8291477&amp;model_id=1947049801&amp;distr_type=8&amp;pp=605" TargetMode="External"/><Relationship Id="rId88" Type="http://schemas.openxmlformats.org/officeDocument/2006/relationships/hyperlink" Target="https://www.wildberries.ru/catalog/432841134/detail.aspx" TargetMode="External"/><Relationship Id="rId87" Type="http://schemas.openxmlformats.org/officeDocument/2006/relationships/hyperlink" Target="https://drive.google.com/drive/folders/18RmLZdwskR-wJY5i0_FQQ25ZkllrDPc-" TargetMode="External"/><Relationship Id="rId89" Type="http://schemas.openxmlformats.org/officeDocument/2006/relationships/hyperlink" Target="https://www.ozon.ru/product/2214748873" TargetMode="External"/><Relationship Id="rId709" Type="http://schemas.openxmlformats.org/officeDocument/2006/relationships/hyperlink" Target="https://goldapple.ru/catalogsearch/result?q=99000114730" TargetMode="External"/><Relationship Id="rId708" Type="http://schemas.openxmlformats.org/officeDocument/2006/relationships/hyperlink" Target="https://market.yandex.ru/card/krem-ot-pryshchey-tochechnyyprotiv-pryshchey-ot-akne-komedonov-ugrey-chernykh-tochek-sredstvo-dlya-podrostkov-dlya-problemnoy-kozhi-gel-ot-pryshchey-na-litse-calitsilovaya-azelainovaya-kislota-alteya-20-ml/4600273902?businessId=1422090&amp;clid=1422090&amp;model_id=825803004&amp;distr_type=8&amp;pp=605" TargetMode="External"/><Relationship Id="rId707" Type="http://schemas.openxmlformats.org/officeDocument/2006/relationships/hyperlink" Target="https://www.ozon.ru/product/2616859755" TargetMode="External"/><Relationship Id="rId949" Type="http://schemas.openxmlformats.org/officeDocument/2006/relationships/hyperlink" Target="https://www.letu.ru/product/alteya-krem-dlya-litsa-uvlazhnyayushchii-pitatelnyi-s-niatsinamidom/177305602?sort=default&amp;open=ingredient%7EforWhom%7EskinNeeds%7EcleanBeauty&amp;hide=expectedEffect%7EnotContain%7EhairType%7EskinTypes" TargetMode="External"/><Relationship Id="rId706" Type="http://schemas.openxmlformats.org/officeDocument/2006/relationships/hyperlink" Target="https://www.wildberries.ru/catalog/488959127/detail.aspx" TargetMode="External"/><Relationship Id="rId948" Type="http://schemas.openxmlformats.org/officeDocument/2006/relationships/hyperlink" Target="https://market.yandex.ru/card/krem-dlya-litsa-uvlazhnyayushchiy-pitatelnyy-s-niatsinamidom-alteya-50-ml/4569591407?businessId=1422090&amp;clid=1422090&amp;model_id=825803004&amp;distr_type=8&amp;pp=605" TargetMode="External"/><Relationship Id="rId80" Type="http://schemas.openxmlformats.org/officeDocument/2006/relationships/hyperlink" Target="https://www.wildberries.ru/catalog/138757897/detail.aspx" TargetMode="External"/><Relationship Id="rId82" Type="http://schemas.openxmlformats.org/officeDocument/2006/relationships/hyperlink" Target="https://drive.google.com/drive/folders/1hjNWvHCJR_wfGIdgHTvU153navLEZsF2" TargetMode="External"/><Relationship Id="rId81" Type="http://schemas.openxmlformats.org/officeDocument/2006/relationships/hyperlink" Target="https://www.ozon.ru/product/809466646" TargetMode="External"/><Relationship Id="rId701" Type="http://schemas.openxmlformats.org/officeDocument/2006/relationships/hyperlink" Target="https://www.ozon.ru/product/2138376665" TargetMode="External"/><Relationship Id="rId943" Type="http://schemas.openxmlformats.org/officeDocument/2006/relationships/hyperlink" Target="https://goldapple.ru/catalogsearch/result?q=99000076221" TargetMode="External"/><Relationship Id="rId700" Type="http://schemas.openxmlformats.org/officeDocument/2006/relationships/hyperlink" Target="https://www.wildberries.ru/catalog/418262202/detail.aspx" TargetMode="External"/><Relationship Id="rId942" Type="http://schemas.openxmlformats.org/officeDocument/2006/relationships/hyperlink" Target="https://market.yandex.ru/card/solevoy-sprey-dlya-obyema-i-ukladki-volos-s-fiksatsiyey-alteya-200-ml/103816818779?businessId=1422090&amp;clid=1422090&amp;model_id=1054127194&amp;distr_type=8&amp;pp=605" TargetMode="External"/><Relationship Id="rId941" Type="http://schemas.openxmlformats.org/officeDocument/2006/relationships/hyperlink" Target="https://www.ozon.ru/product/1860164273" TargetMode="External"/><Relationship Id="rId940" Type="http://schemas.openxmlformats.org/officeDocument/2006/relationships/hyperlink" Target="https://www.wildberries.ru/catalog/326913593/detail.aspx" TargetMode="External"/><Relationship Id="rId705" Type="http://schemas.openxmlformats.org/officeDocument/2006/relationships/hyperlink" Target="https://disk.yandex.ru/d/o0OvQFqnL0d8DA" TargetMode="External"/><Relationship Id="rId947" Type="http://schemas.openxmlformats.org/officeDocument/2006/relationships/hyperlink" Target="https://www.ozon.ru/product/2583139610" TargetMode="External"/><Relationship Id="rId704" Type="http://schemas.openxmlformats.org/officeDocument/2006/relationships/hyperlink" Target="https://mm.ru/product/anticellyuitnyj-krem-gel-5878029?skuId=13126165" TargetMode="External"/><Relationship Id="rId946" Type="http://schemas.openxmlformats.org/officeDocument/2006/relationships/hyperlink" Target="https://www.wildberries.ru/catalog/484586518/detail.aspx" TargetMode="External"/><Relationship Id="rId703" Type="http://schemas.openxmlformats.org/officeDocument/2006/relationships/hyperlink" Target="https://www.letu.ru/product/alteya-antitsellyuitnyi-krem-gel-dlya-tela-ot-tsellyulita/177305599?sort=default&amp;open=cleanBeauty%7Eingredient%7EskinNeeds%7EforWhom&amp;hide=expectedEffect%7EnotContain%7EskinTypes%7EhairType" TargetMode="External"/><Relationship Id="rId945" Type="http://schemas.openxmlformats.org/officeDocument/2006/relationships/hyperlink" Target="https://mm.ru/product/sprej-dlya-volos-5874418?skuId=13117132" TargetMode="External"/><Relationship Id="rId702" Type="http://schemas.openxmlformats.org/officeDocument/2006/relationships/hyperlink" Target="https://market.yandex.ru/card/krem-dlya-tela-uvlazhnyayushchiy-liftingovyy-alteya-250-ml/4476306934?businessId=1422090&amp;clid=1422090&amp;model_id=1243125469&amp;distr_type=8&amp;pp=605" TargetMode="External"/><Relationship Id="rId944" Type="http://schemas.openxmlformats.org/officeDocument/2006/relationships/hyperlink" Target="https://www.letu.ru/product/alteya-solevoi-sprei-dlya-obema-i-ukladki-volos-s-fiksatsiei/171200324?sort=default&amp;open=ingredient%7EforWhom%7EskinNeeds%7EcleanBeauty&amp;hide=expectedEffect%7EnotContain%7EhairType%7EskinTypes" TargetMode="External"/><Relationship Id="rId73" Type="http://schemas.openxmlformats.org/officeDocument/2006/relationships/hyperlink" Target="https://www.letu.ru/product/qeep-sprei-dlya-volos-17-v-1-mnogofunktsionalnyi-s-keratinom/168000614?sort=default&amp;open=ingredient&amp;hide=expectedEffect" TargetMode="External"/><Relationship Id="rId72" Type="http://schemas.openxmlformats.org/officeDocument/2006/relationships/hyperlink" Target="https://market.yandex.ru/card/sprey-dlya-volos-mnogofunktsionalnyy-s-keratinom-qeep-200-ml/103578859652?businessId=8291477&amp;clid=8291477&amp;model_id=1103677448&amp;distr_type=8&amp;pp=605" TargetMode="External"/><Relationship Id="rId75" Type="http://schemas.openxmlformats.org/officeDocument/2006/relationships/hyperlink" Target="https://www.wildberries.ru/catalog/432821274/detail.aspx" TargetMode="External"/><Relationship Id="rId74" Type="http://schemas.openxmlformats.org/officeDocument/2006/relationships/hyperlink" Target="https://drive.google.com/drive/folders/1D9_9YHYClR7hdKWe5YPLWdcJy578H-4u" TargetMode="External"/><Relationship Id="rId77" Type="http://schemas.openxmlformats.org/officeDocument/2006/relationships/hyperlink" Target="https://market.yandex.ru/card/vitamin-d3-dlya-detey-zhevatelnyy-qeep-60-marmeladok/4476305013?businessId=8291477&amp;clid=8291477&amp;model_id=1947049801&amp;distr_type=8&amp;pp=605" TargetMode="External"/><Relationship Id="rId76" Type="http://schemas.openxmlformats.org/officeDocument/2006/relationships/hyperlink" Target="https://www.ozon.ru/product/2214705163" TargetMode="External"/><Relationship Id="rId79" Type="http://schemas.openxmlformats.org/officeDocument/2006/relationships/hyperlink" Target="https://drive.google.com/drive/folders/1jZ4eqgWNd8vmt2FebMgnvRLrkJrCvx9w" TargetMode="External"/><Relationship Id="rId78" Type="http://schemas.openxmlformats.org/officeDocument/2006/relationships/hyperlink" Target="https://goldapple.ru/catalogsearch/result?q=99000117740" TargetMode="External"/><Relationship Id="rId939" Type="http://schemas.openxmlformats.org/officeDocument/2006/relationships/hyperlink" Target="https://market.yandex.ru/card/maz-ot-gribka-nogtey-na-nogakh-krem-gel-alteya-mikoplaks-mycoplax-15-ml-kh-2/4640678615?do-waremd5=NIvya4VVZitwBtcaKE64Vg&amp;businessId=1422090&amp;generalContext=t%3DshopInShop%3Bbi%3D1422090%3B&amp;ogV=-10" TargetMode="External"/><Relationship Id="rId938" Type="http://schemas.openxmlformats.org/officeDocument/2006/relationships/hyperlink" Target="https://www.ozon.ru/product/2825114763" TargetMode="External"/><Relationship Id="rId937" Type="http://schemas.openxmlformats.org/officeDocument/2006/relationships/hyperlink" Target="https://www.wildberries.ru/catalog/136537336/detail.aspx" TargetMode="External"/><Relationship Id="rId71" Type="http://schemas.openxmlformats.org/officeDocument/2006/relationships/hyperlink" Target="https://www.ozon.ru/product/1729383128" TargetMode="External"/><Relationship Id="rId70" Type="http://schemas.openxmlformats.org/officeDocument/2006/relationships/hyperlink" Target="https://www.wildberries.ru/catalog/268884161/detail.aspx" TargetMode="External"/><Relationship Id="rId932" Type="http://schemas.openxmlformats.org/officeDocument/2006/relationships/hyperlink" Target="https://www.ozon.ru/product/1129297463" TargetMode="External"/><Relationship Id="rId931" Type="http://schemas.openxmlformats.org/officeDocument/2006/relationships/hyperlink" Target="https://www.wildberries.ru/catalog/172162756/detail.aspx" TargetMode="External"/><Relationship Id="rId930" Type="http://schemas.openxmlformats.org/officeDocument/2006/relationships/hyperlink" Target="https://market.yandex.ru/card/kapsuly-ot-alkogolnoy-zavisimosti-pishchevaya-dobavka-trezvin/103515423526?businessId=1422090&amp;clid=1422090&amp;model_id=1088019356&amp;distr_type=8&amp;pp=605" TargetMode="External"/><Relationship Id="rId936" Type="http://schemas.openxmlformats.org/officeDocument/2006/relationships/hyperlink" Target="https://market.yandex.ru/card/antiparazitarnyy-kompleks-ot-glistov-ochishcheniye-organizma-ot-parazitov-detoks-alteya-chudo-grib-chudogrib-20-kapsul/103515425600?do-waremd5=SIf-rQRVfGigefH8JmbX4g&amp;businessId=1422090&amp;generalContext=t%3DshopInShop%3Bbi%3D1422090%3B&amp;ogV=-10" TargetMode="External"/><Relationship Id="rId935" Type="http://schemas.openxmlformats.org/officeDocument/2006/relationships/hyperlink" Target="https://www.ozon.ru/product/1528840163" TargetMode="External"/><Relationship Id="rId934" Type="http://schemas.openxmlformats.org/officeDocument/2006/relationships/hyperlink" Target="https://www.wildberries.ru/catalog/222218347/detail.aspx" TargetMode="External"/><Relationship Id="rId933" Type="http://schemas.openxmlformats.org/officeDocument/2006/relationships/hyperlink" Target="https://market.yandex.ru/card/sredstvo-ot-davleniya-vitaminy-dlya-serdtsa-chistka-sosudov-alteya-mikardin-2-sht/103515392261?businessId=1422090&amp;clid=1422090&amp;model_id=696476475&amp;distr_type=8&amp;pp=605" TargetMode="External"/><Relationship Id="rId62" Type="http://schemas.openxmlformats.org/officeDocument/2006/relationships/hyperlink" Target="https://docs.google.com/document/d/1as7qSPL_FDh8Gb9PLz5CNARde-H9drK_5pJMeQf_GK8/edit?tab=t.0" TargetMode="External"/><Relationship Id="rId1312" Type="http://schemas.openxmlformats.org/officeDocument/2006/relationships/hyperlink" Target="https://docs.google.com/document/d/1NddRITKXoKhRnrAhUcxD7ZrlnhPBuUMBIFh7P2Pvk1M/edit?tab=t.0" TargetMode="External"/><Relationship Id="rId61" Type="http://schemas.openxmlformats.org/officeDocument/2006/relationships/hyperlink" Target="https://drive.google.com/drive/folders/1tkb0VjzFG6nTETD90FvT27TX2vLzgDjy" TargetMode="External"/><Relationship Id="rId1313" Type="http://schemas.openxmlformats.org/officeDocument/2006/relationships/drawing" Target="../drawings/drawing1.xml"/><Relationship Id="rId64" Type="http://schemas.openxmlformats.org/officeDocument/2006/relationships/hyperlink" Target="https://www.ozon.ru/product/2354324278" TargetMode="External"/><Relationship Id="rId1314" Type="http://schemas.openxmlformats.org/officeDocument/2006/relationships/vmlDrawing" Target="../drawings/vmlDrawing1.vml"/><Relationship Id="rId63" Type="http://schemas.openxmlformats.org/officeDocument/2006/relationships/hyperlink" Target="https://www.wildberries.ru/catalog/449423638/detail.aspx" TargetMode="External"/><Relationship Id="rId66" Type="http://schemas.openxmlformats.org/officeDocument/2006/relationships/hyperlink" Target="https://goldapple.ru/catalogsearch/result?q=99000115954" TargetMode="External"/><Relationship Id="rId65" Type="http://schemas.openxmlformats.org/officeDocument/2006/relationships/hyperlink" Target="https://market.yandex.ru/card/sprey-dlya-rosta-i-ot-vypadeniya-volos-qeep-100-ml/4480600215?businessId=8291477&amp;clid=8291477&amp;model_id=4909516636&amp;distr_type=8&amp;pp=605" TargetMode="External"/><Relationship Id="rId68" Type="http://schemas.openxmlformats.org/officeDocument/2006/relationships/hyperlink" Target="https://drive.google.com/drive/folders/1ejD8pLP3trBa83tKqhil3_9DZnl-zh1B" TargetMode="External"/><Relationship Id="rId67" Type="http://schemas.openxmlformats.org/officeDocument/2006/relationships/hyperlink" Target="https://www.letu.ru/product/qeep-sprei-dlya-volos-dlya-rosta-i-ot-vypadeniya-volos/175700153" TargetMode="External"/><Relationship Id="rId729" Type="http://schemas.openxmlformats.org/officeDocument/2006/relationships/hyperlink" Target="https://market.yandex.ru/card/vozbuditel-dlya-muzhchin-sredstvo-dlya-potentsii-i-erektsii-vitaminy-dlya-muzhchiny-kinzhal-20-kapsul-kh-2/103751021012?businessId=1422090&amp;clid=1422090&amp;model_id=696711021&amp;distr_type=8&amp;pp=605" TargetMode="External"/><Relationship Id="rId728" Type="http://schemas.openxmlformats.org/officeDocument/2006/relationships/hyperlink" Target="https://www.ozon.ru/product/1851900175" TargetMode="External"/><Relationship Id="rId60" Type="http://schemas.openxmlformats.org/officeDocument/2006/relationships/hyperlink" Target="https://mm.ru/product/sprej-dlya-volos-5898539?skuId=13170083" TargetMode="External"/><Relationship Id="rId723" Type="http://schemas.openxmlformats.org/officeDocument/2006/relationships/hyperlink" Target="https://www.ozon.ru/product/1613737006" TargetMode="External"/><Relationship Id="rId965" Type="http://schemas.openxmlformats.org/officeDocument/2006/relationships/hyperlink" Target="https://www.ozon.ru/product/1188041492" TargetMode="External"/><Relationship Id="rId722" Type="http://schemas.openxmlformats.org/officeDocument/2006/relationships/hyperlink" Target="https://www.wildberries.ru/catalog/239879972/detail.aspx" TargetMode="External"/><Relationship Id="rId964" Type="http://schemas.openxmlformats.org/officeDocument/2006/relationships/hyperlink" Target="https://www.wildberries.ru/catalog/176855721/detail.aspx" TargetMode="External"/><Relationship Id="rId721" Type="http://schemas.openxmlformats.org/officeDocument/2006/relationships/hyperlink" Target="https://market.yandex.ru/card/kavkazskaya-maz-naturalnoye-lechebnoye-sredstvo-dlya-sustavov-i-svyazok-obezbolivayushcheye-alteya-60ml/103515421547?businessId=1422090&amp;clid=1422090&amp;model_id=997149439&amp;distr_type=8&amp;pp=605" TargetMode="External"/><Relationship Id="rId963" Type="http://schemas.openxmlformats.org/officeDocument/2006/relationships/hyperlink" Target="https://market.yandex.ru/card/maz-ot-gribka-nogtey-i-stopy-nog-protivogribkovaya-daoshen-krem-gel-ot-gribka-nogtey--15-ml/103340884471?do-waremd5=wkpUMyBkUUP55s4GzsIcdQ&amp;businessId=1422090&amp;generalContext=t%3DshopInShop%3Bbi%3D1422090%3B&amp;ogV=-10" TargetMode="External"/><Relationship Id="rId720" Type="http://schemas.openxmlformats.org/officeDocument/2006/relationships/hyperlink" Target="https://www.ozon.ru/product/1548037857" TargetMode="External"/><Relationship Id="rId962" Type="http://schemas.openxmlformats.org/officeDocument/2006/relationships/hyperlink" Target="https://www.ozon.ru/product/563811764" TargetMode="External"/><Relationship Id="rId727" Type="http://schemas.openxmlformats.org/officeDocument/2006/relationships/hyperlink" Target="https://www.wildberries.ru/catalog/318413341/detail.aspx" TargetMode="External"/><Relationship Id="rId969" Type="http://schemas.openxmlformats.org/officeDocument/2006/relationships/hyperlink" Target="https://market.yandex.ru/card/maslo-dlya-volos-parfyumirovannoye-syvorotka-dlya-volos-tom-ford-lost-cherry-alteya-110-ml/103515586622?businessId=1422090&amp;generalContext=t%3DshopInShop%3Bbi%3D1422090%3B&amp;showOriginalKmEmptyOffer=1&amp;ogV=-10" TargetMode="External"/><Relationship Id="rId726" Type="http://schemas.openxmlformats.org/officeDocument/2006/relationships/hyperlink" Target="https://www.letu.ru/product/alteya-maslo-dlya-borody-sredstvo-dlya-rosta-uhod-za-borodoi-smyagchayushchee/163501101?sort=default&amp;open=cleanBeauty%7Eingredient%7EskinNeeds%7EforWhom&amp;hide=expectedEffect%7EnotContain%7EskinTypes%7EhairType" TargetMode="External"/><Relationship Id="rId968" Type="http://schemas.openxmlformats.org/officeDocument/2006/relationships/hyperlink" Target="https://www.ozon.ru/product/1583009752" TargetMode="External"/><Relationship Id="rId725" Type="http://schemas.openxmlformats.org/officeDocument/2006/relationships/hyperlink" Target="https://goldapple.ru/catalogsearch/result?q=99000076215" TargetMode="External"/><Relationship Id="rId967" Type="http://schemas.openxmlformats.org/officeDocument/2006/relationships/hyperlink" Target="https://www.wildberries.ru/catalog/233125715/detail.aspx" TargetMode="External"/><Relationship Id="rId724" Type="http://schemas.openxmlformats.org/officeDocument/2006/relationships/hyperlink" Target="https://market.yandex.ru/card/maslo-dlya-borody-sredstvo-dlya-rosta-ukhod-za-borodoy-smyagchayushcheye-alteya-50-ml/4661983304?businessId=1422090&amp;clid=1422090&amp;model_id=1058742870&amp;distr_type=8&amp;pp=605" TargetMode="External"/><Relationship Id="rId966" Type="http://schemas.openxmlformats.org/officeDocument/2006/relationships/hyperlink" Target="https://market.yandex.ru/card/sanatsin-antiparazitarnyy-kompleks-ot-parazitov-i-ot-glistov-kapsuly-ot-glistov-protiv-parazitov--20-kapsul2/103515424470?businessId=1422090&amp;clid=1422090&amp;model_id=1215621363&amp;distr_type=8&amp;pp=605" TargetMode="External"/><Relationship Id="rId69" Type="http://schemas.openxmlformats.org/officeDocument/2006/relationships/hyperlink" Target="https://disk.yandex.ru/d/uHOU2gc2rR089A" TargetMode="External"/><Relationship Id="rId961" Type="http://schemas.openxmlformats.org/officeDocument/2006/relationships/hyperlink" Target="https://www.wildberries.ru/catalog/75182069/detail.aspx" TargetMode="External"/><Relationship Id="rId960" Type="http://schemas.openxmlformats.org/officeDocument/2006/relationships/hyperlink" Target="https://goldapple.ru/catalogsearch/result?q=99000114725" TargetMode="External"/><Relationship Id="rId1310" Type="http://schemas.openxmlformats.org/officeDocument/2006/relationships/hyperlink" Target="https://docs.google.com/document/d/1B60DteuHARAHVmpy8QTkCkZcFcqd3NC-HnDgoYqpbxQ/edit?tab=t.0" TargetMode="External"/><Relationship Id="rId1311" Type="http://schemas.openxmlformats.org/officeDocument/2006/relationships/hyperlink" Target="https://disk.yandex.ru/d/kq2033NzNtf_7w" TargetMode="External"/><Relationship Id="rId51" Type="http://schemas.openxmlformats.org/officeDocument/2006/relationships/hyperlink" Target="https://docs.google.com/document/d/1GIhxI6rjxcKWcXkVQWFOUMR8k_q55sJ6ghopBpX2UKc/edit?tab=t.0" TargetMode="External"/><Relationship Id="rId1301" Type="http://schemas.openxmlformats.org/officeDocument/2006/relationships/hyperlink" Target="https://docs.google.com/document/d/1R_VsAtXBMumlGOtU2Z3tQ5YatZFZ1AsVaVnXXzGmnlw/edit?tab=t.0" TargetMode="External"/><Relationship Id="rId50" Type="http://schemas.openxmlformats.org/officeDocument/2006/relationships/hyperlink" Target="https://drive.google.com/drive/folders/1p5gWqcP76Vsv2Evi4DwpeTeky0kE3iyV" TargetMode="External"/><Relationship Id="rId1302" Type="http://schemas.openxmlformats.org/officeDocument/2006/relationships/hyperlink" Target="https://drive.google.com/drive/u/0/folders/110T_U6yiW1hbq_5dtrd03Wu9RgL_mTsG" TargetMode="External"/><Relationship Id="rId53" Type="http://schemas.openxmlformats.org/officeDocument/2006/relationships/hyperlink" Target="https://www.wildberries.ru/catalog/232465954/detail.aspx" TargetMode="External"/><Relationship Id="rId1303" Type="http://schemas.openxmlformats.org/officeDocument/2006/relationships/hyperlink" Target="https://docs.google.com/document/d/1s08Zi93hLK8BJCf01Qb13mG4E8tjM4gSFfDc7V0l-Vc/edit?tab=t.0" TargetMode="External"/><Relationship Id="rId52" Type="http://schemas.openxmlformats.org/officeDocument/2006/relationships/hyperlink" Target="https://drive.google.com/drive/u/0/folders/1g_p7fO6i6NuPWi4GRMAvunnDvxfLGqJC" TargetMode="External"/><Relationship Id="rId1304" Type="http://schemas.openxmlformats.org/officeDocument/2006/relationships/hyperlink" Target="https://drive.google.com/drive/u/0/folders/1iCglCfQGl6yrb6ZnmUFibQ8ViKnnhX6H" TargetMode="External"/><Relationship Id="rId55" Type="http://schemas.openxmlformats.org/officeDocument/2006/relationships/hyperlink" Target="https://market.yandex.ru/card/dog-and-cat-probiotics--1/103542563878?businessId=8291477&amp;clid=8291477&amp;model_id=616053073&amp;distr_type=8&amp;pp=605" TargetMode="External"/><Relationship Id="rId1305" Type="http://schemas.openxmlformats.org/officeDocument/2006/relationships/hyperlink" Target="https://docs.google.com/document/d/1TdACiGyBE9eVpjIZ45WkEH_sw3q-zFHyUZkIFnSCiX8/edit?tab=t.0" TargetMode="External"/><Relationship Id="rId54" Type="http://schemas.openxmlformats.org/officeDocument/2006/relationships/hyperlink" Target="https://www.ozon.ru/product/1581825452" TargetMode="External"/><Relationship Id="rId1306" Type="http://schemas.openxmlformats.org/officeDocument/2006/relationships/hyperlink" Target="https://drive.google.com/drive/folders/19ydyHLPXzkBkLsrkebYk3MSdzRhl1pIC" TargetMode="External"/><Relationship Id="rId57" Type="http://schemas.openxmlformats.org/officeDocument/2006/relationships/hyperlink" Target="https://www.wildberries.ru/catalog/377788941/detail.aspx" TargetMode="External"/><Relationship Id="rId1307" Type="http://schemas.openxmlformats.org/officeDocument/2006/relationships/hyperlink" Target="https://docs.google.com/document/d/1IrZQCENtihaYhTGvtfPZCVgp48YQpD70ziwYyFmCWsE/edit?tab=t.0" TargetMode="External"/><Relationship Id="rId56" Type="http://schemas.openxmlformats.org/officeDocument/2006/relationships/hyperlink" Target="https://drive.google.com/drive/folders/1L065BxHDMUdVQxodAmNqzK24QFsduBfI" TargetMode="External"/><Relationship Id="rId1308" Type="http://schemas.openxmlformats.org/officeDocument/2006/relationships/hyperlink" Target="https://disk.yandex.ru/d/kq2033NzNtf_7w" TargetMode="External"/><Relationship Id="rId1309" Type="http://schemas.openxmlformats.org/officeDocument/2006/relationships/hyperlink" Target="https://drive.google.com/drive/folders/19ydyHLPXzkBkLsrkebYk3MSdzRhl1pIC" TargetMode="External"/><Relationship Id="rId719" Type="http://schemas.openxmlformats.org/officeDocument/2006/relationships/hyperlink" Target="https://www.wildberries.ru/catalog/223763365/detail.aspx" TargetMode="External"/><Relationship Id="rId718" Type="http://schemas.openxmlformats.org/officeDocument/2006/relationships/hyperlink" Target="https://market.yandex.ru/card/sredstvo-ot-davleniya-vitaminy-dlya-serdtsa-chistka-sosudov-alteya-karditsin-3-sht/103515442073?businessId=1422090&amp;clid=1422090&amp;model_id=1452481401&amp;distr_type=8&amp;pp=605" TargetMode="External"/><Relationship Id="rId717" Type="http://schemas.openxmlformats.org/officeDocument/2006/relationships/hyperlink" Target="https://www.ozon.ru/product/1129301060" TargetMode="External"/><Relationship Id="rId959" Type="http://schemas.openxmlformats.org/officeDocument/2006/relationships/hyperlink" Target="https://market.yandex.ru/card/gel-dlya-brovey-s-kollagenom-i-elastinom-fiksatsiya-na-24-chasa-alteya-5-ml/103816798640?businessId=1422090&amp;clid=1422090&amp;model_id=1352604652&amp;distr_type=8&amp;pp=605" TargetMode="External"/><Relationship Id="rId712" Type="http://schemas.openxmlformats.org/officeDocument/2006/relationships/hyperlink" Target="https://disk.yandex.ru/d/bSRvFwiqsK1_7Q" TargetMode="External"/><Relationship Id="rId954" Type="http://schemas.openxmlformats.org/officeDocument/2006/relationships/hyperlink" Target="https://goldapple.ru/catalogsearch/result?q=99000076204" TargetMode="External"/><Relationship Id="rId711" Type="http://schemas.openxmlformats.org/officeDocument/2006/relationships/hyperlink" Target="https://mm.ru/product/krem-ot-pryschej-5880316?skuId=13130071" TargetMode="External"/><Relationship Id="rId953" Type="http://schemas.openxmlformats.org/officeDocument/2006/relationships/hyperlink" Target="https://market.yandex.ru/card/skrab-dlya-kozhi-golovy-professionalnyy-skrab-ot-perkhoti-alteya-100-ml/103515740712?do-waremd5=33NruUgm-dAX5isGmpSLfA&amp;businessId=1422090&amp;generalContext=t%3DshopInShop%3Bbi%3D1422090%3B&amp;ogV=-10" TargetMode="External"/><Relationship Id="rId710" Type="http://schemas.openxmlformats.org/officeDocument/2006/relationships/hyperlink" Target="https://www.letu.ru/product/alteya-krem-tochechnyi-protiv-pryshchei-akne-komedonov-ugrei-i-chernyh-tochek/176300027?sort=default&amp;open=cleanBeauty%7Eingredient%7EskinNeeds%7EforWhom&amp;hide=expectedEffect%7EnotContain%7EskinTypes%7EhairType" TargetMode="External"/><Relationship Id="rId952" Type="http://schemas.openxmlformats.org/officeDocument/2006/relationships/hyperlink" Target="https://www.ozon.ru/product/1500346998" TargetMode="External"/><Relationship Id="rId951" Type="http://schemas.openxmlformats.org/officeDocument/2006/relationships/hyperlink" Target="https://www.wildberries.ru/catalog/216502265/detail.aspx" TargetMode="External"/><Relationship Id="rId716" Type="http://schemas.openxmlformats.org/officeDocument/2006/relationships/hyperlink" Target="https://www.wildberries.ru/catalog/176157837/detail.aspx" TargetMode="External"/><Relationship Id="rId958" Type="http://schemas.openxmlformats.org/officeDocument/2006/relationships/hyperlink" Target="https://www.ozon.ru/product/1917265136" TargetMode="External"/><Relationship Id="rId715" Type="http://schemas.openxmlformats.org/officeDocument/2006/relationships/hyperlink" Target="https://market.yandex.ru/card/sustalit-hondro-extra-krem-dnar-prim/103614742298?businessId=1422090&amp;clid=1422090&amp;model_id=1111443278&amp;distr_type=8&amp;pp=605" TargetMode="External"/><Relationship Id="rId957" Type="http://schemas.openxmlformats.org/officeDocument/2006/relationships/hyperlink" Target="https://www.wildberries.ru/catalog/348575805/detail.aspx" TargetMode="External"/><Relationship Id="rId714" Type="http://schemas.openxmlformats.org/officeDocument/2006/relationships/hyperlink" Target="https://www.ozon.ru/product/1354226463" TargetMode="External"/><Relationship Id="rId956" Type="http://schemas.openxmlformats.org/officeDocument/2006/relationships/hyperlink" Target="https://mm.ru/product/piling-dlya-kozhi-5854281?skuId=13090653" TargetMode="External"/><Relationship Id="rId713" Type="http://schemas.openxmlformats.org/officeDocument/2006/relationships/hyperlink" Target="https://www.wildberries.ru/catalog/197804490/detail.aspx" TargetMode="External"/><Relationship Id="rId955" Type="http://schemas.openxmlformats.org/officeDocument/2006/relationships/hyperlink" Target="https://www.letu.ru/product/alteya-skrab-dlya-kozhi-golovy-professionalnyi-skrab-ot-perhoti/163501206?sort=default&amp;open=ingredient%7EforWhom%7EskinNeeds%7EcleanBeauty&amp;hide=expectedEffect%7EnotContain%7EhairType%7EskinTypes" TargetMode="External"/><Relationship Id="rId59" Type="http://schemas.openxmlformats.org/officeDocument/2006/relationships/hyperlink" Target="https://market.yandex.ru/card/sprey-dlya-obyema-i-ukladki-volos-s-fiksatsiyey-qeep-200-ml/4315768672?businessId=8291477&amp;clid=8291477&amp;model_id=1103677448&amp;distr_type=8&amp;pp=605" TargetMode="External"/><Relationship Id="rId58" Type="http://schemas.openxmlformats.org/officeDocument/2006/relationships/hyperlink" Target="https://www.ozon.ru/product/2018960887" TargetMode="External"/><Relationship Id="rId950" Type="http://schemas.openxmlformats.org/officeDocument/2006/relationships/hyperlink" Target="https://mm.ru/product/krem-dlya-lica-5880769?skuId=13131164" TargetMode="External"/><Relationship Id="rId1300" Type="http://schemas.openxmlformats.org/officeDocument/2006/relationships/hyperlink" Target="https://drive.google.com/drive/u/0/folders/1EUvdVpb27VhFoFhfTgkew2pkU0T16ZOF" TargetMode="External"/><Relationship Id="rId590" Type="http://schemas.openxmlformats.org/officeDocument/2006/relationships/hyperlink" Target="https://www.wildberries.ru/catalog/148386282/detail.aspx" TargetMode="External"/><Relationship Id="rId107" Type="http://schemas.openxmlformats.org/officeDocument/2006/relationships/hyperlink" Target="https://market.yandex.ru/card/mio-inozitol-820-mg-qeep-60-kapsul/101948470526?businessId=8291477&amp;clid=8291477&amp;model_id=1111706245&amp;distr_type=8&amp;pp=605" TargetMode="External"/><Relationship Id="rId349" Type="http://schemas.openxmlformats.org/officeDocument/2006/relationships/hyperlink" Target="https://disk.yandex.ru/d/DHGCxeKB1P0eQA" TargetMode="External"/><Relationship Id="rId106" Type="http://schemas.openxmlformats.org/officeDocument/2006/relationships/hyperlink" Target="https://www.ozon.ru/product/835603195" TargetMode="External"/><Relationship Id="rId348" Type="http://schemas.openxmlformats.org/officeDocument/2006/relationships/hyperlink" Target="https://www.letu.ru/product/qeep-tochechnyi-krem-ot-pryshchei-korrektor-tochechnyi-protiv-pryshchei-krem-ot-akne/171505556?sort=default&amp;open=ingredient%7EcleanBeauty%7EskinNeeds%7EforWhom&amp;hide=expectedEffect%7EnotContain%7EskinTypes" TargetMode="External"/><Relationship Id="rId105" Type="http://schemas.openxmlformats.org/officeDocument/2006/relationships/hyperlink" Target="https://www.wildberries.ru/catalog/142963712/detail.aspx" TargetMode="External"/><Relationship Id="rId347" Type="http://schemas.openxmlformats.org/officeDocument/2006/relationships/hyperlink" Target="https://market.yandex.ru/card/krem-korrektor-tochechnyy-protiv-pryshchey-qeep-20-ml/4335655895?businessId=8291477&amp;clid=8291477&amp;model_id=1453951928&amp;distr_type=8&amp;pp=605" TargetMode="External"/><Relationship Id="rId589" Type="http://schemas.openxmlformats.org/officeDocument/2006/relationships/hyperlink" Target="https://www.ozon.ru/product/826800291" TargetMode="External"/><Relationship Id="rId104" Type="http://schemas.openxmlformats.org/officeDocument/2006/relationships/hyperlink" Target="https://drive.google.com/drive/folders/1yXjmu5hDb-Pz71Rz8yc1YcRLpSpxr7Mh" TargetMode="External"/><Relationship Id="rId346" Type="http://schemas.openxmlformats.org/officeDocument/2006/relationships/hyperlink" Target="https://www.ozon.ru/product/2039052035" TargetMode="External"/><Relationship Id="rId588" Type="http://schemas.openxmlformats.org/officeDocument/2006/relationships/hyperlink" Target="https://www.wildberries.ru/catalog/140946360/detail.aspx" TargetMode="External"/><Relationship Id="rId109" Type="http://schemas.openxmlformats.org/officeDocument/2006/relationships/hyperlink" Target="https://drive.google.com/drive/folders/1SbDMn90SltH25aZ7xTxoAGf0JGRDj0Wa" TargetMode="External"/><Relationship Id="rId1170" Type="http://schemas.openxmlformats.org/officeDocument/2006/relationships/hyperlink" Target="https://www.wildberries.ru/catalog/34298650/detail.aspx" TargetMode="External"/><Relationship Id="rId108" Type="http://schemas.openxmlformats.org/officeDocument/2006/relationships/hyperlink" Target="https://goldapple.ru/catalogsearch/result?q=99000121336" TargetMode="External"/><Relationship Id="rId1171" Type="http://schemas.openxmlformats.org/officeDocument/2006/relationships/hyperlink" Target="https://www.ozon.ru/product/296818197" TargetMode="External"/><Relationship Id="rId341" Type="http://schemas.openxmlformats.org/officeDocument/2006/relationships/hyperlink" Target="https://www.ozon.ru/product/2142858345" TargetMode="External"/><Relationship Id="rId583" Type="http://schemas.openxmlformats.org/officeDocument/2006/relationships/hyperlink" Target="https://www.ozon.ru/product/871788218" TargetMode="External"/><Relationship Id="rId1172" Type="http://schemas.openxmlformats.org/officeDocument/2006/relationships/hyperlink" Target="https://www.wildberries.ru/catalog/197567632/detail.aspx" TargetMode="External"/><Relationship Id="rId340" Type="http://schemas.openxmlformats.org/officeDocument/2006/relationships/hyperlink" Target="https://www.wildberries.ru/catalog/418733480/detail.aspx" TargetMode="External"/><Relationship Id="rId582" Type="http://schemas.openxmlformats.org/officeDocument/2006/relationships/hyperlink" Target="https://www.wildberries.ru/catalog/145755982/detail.aspx" TargetMode="External"/><Relationship Id="rId1173" Type="http://schemas.openxmlformats.org/officeDocument/2006/relationships/hyperlink" Target="https://www.ozon.ru/product/1350973968" TargetMode="External"/><Relationship Id="rId581" Type="http://schemas.openxmlformats.org/officeDocument/2006/relationships/hyperlink" Target="https://www.ozon.ru/product/650632060" TargetMode="External"/><Relationship Id="rId1174" Type="http://schemas.openxmlformats.org/officeDocument/2006/relationships/hyperlink" Target="https://market.yandex.ru/card/krem-ot-varikoza-ustalosti-i-otekov-nog-okhlazhdayushchiy-dar-drakona-75-ml/102622361536?do-waremd5=cThDMtAyPeECGciX4Kkl_w&amp;businessId=1422090&amp;ogV=-10" TargetMode="External"/><Relationship Id="rId580" Type="http://schemas.openxmlformats.org/officeDocument/2006/relationships/hyperlink" Target="https://www.wildberries.ru/catalog/91969281/detail.aspx" TargetMode="External"/><Relationship Id="rId1175" Type="http://schemas.openxmlformats.org/officeDocument/2006/relationships/hyperlink" Target="https://www.wildberries.ru/catalog/318414683/detail.aspx" TargetMode="External"/><Relationship Id="rId103" Type="http://schemas.openxmlformats.org/officeDocument/2006/relationships/hyperlink" Target="https://goldapple.ru/catalogsearch/result?q=99000118637" TargetMode="External"/><Relationship Id="rId345" Type="http://schemas.openxmlformats.org/officeDocument/2006/relationships/hyperlink" Target="https://www.wildberries.ru/catalog/392028939/detail.aspx" TargetMode="External"/><Relationship Id="rId587" Type="http://schemas.openxmlformats.org/officeDocument/2006/relationships/hyperlink" Target="https://www.ozon.ru/product/1154562310" TargetMode="External"/><Relationship Id="rId1176" Type="http://schemas.openxmlformats.org/officeDocument/2006/relationships/hyperlink" Target="https://www.ozon.ru/product/1851902167" TargetMode="External"/><Relationship Id="rId102" Type="http://schemas.openxmlformats.org/officeDocument/2006/relationships/hyperlink" Target="https://market.yandex.ru/card/berberin-500-mg-qeep-60-kapsul/103374785698?businessId=8291477&amp;clid=8291477&amp;model_id=1826260757&amp;distr_type=8&amp;pp=605" TargetMode="External"/><Relationship Id="rId344" Type="http://schemas.openxmlformats.org/officeDocument/2006/relationships/hyperlink" Target="https://drive.google.com/drive/folders/1N_iV4-JIlT-rhmdRh2_8aabJ-jevy7xf" TargetMode="External"/><Relationship Id="rId586" Type="http://schemas.openxmlformats.org/officeDocument/2006/relationships/hyperlink" Target="https://www.wildberries.ru/catalog/174420257/detail.aspx" TargetMode="External"/><Relationship Id="rId1177" Type="http://schemas.openxmlformats.org/officeDocument/2006/relationships/hyperlink" Target="https://market.yandex.ru/card/gel-dlya-sustavov-obezbolevayushchaya-s-glyukozamin-i-panty-marala-alteya-sinergel-30-ml-kh-2/103816798171?do-waremd5=sDKZdCExsnYqHTKTvZWqyQ&amp;businessId=1422090&amp;ogV=-10" TargetMode="External"/><Relationship Id="rId101" Type="http://schemas.openxmlformats.org/officeDocument/2006/relationships/hyperlink" Target="https://www.ozon.ru/product/1361997453" TargetMode="External"/><Relationship Id="rId343" Type="http://schemas.openxmlformats.org/officeDocument/2006/relationships/hyperlink" Target="https://www.letu.ru/product/qeep-tonik-dlya-litsa-ot-pryshchei-i-chernyh-tochek-ochishchayushchii/175700156?sort=default&amp;open=ingredient%7EcleanBeauty%7EskinNeeds&amp;hide=expectedEffect%7EnotContain%7EskinTypes" TargetMode="External"/><Relationship Id="rId585" Type="http://schemas.openxmlformats.org/officeDocument/2006/relationships/hyperlink" Target="https://www.ozon.ru/product/965075765" TargetMode="External"/><Relationship Id="rId1178" Type="http://schemas.openxmlformats.org/officeDocument/2006/relationships/hyperlink" Target="https://www.wildberries.ru/catalog/172161836/detail.aspx" TargetMode="External"/><Relationship Id="rId100" Type="http://schemas.openxmlformats.org/officeDocument/2006/relationships/hyperlink" Target="https://www.wildberries.ru/catalog/198421782/detail.aspx" TargetMode="External"/><Relationship Id="rId342" Type="http://schemas.openxmlformats.org/officeDocument/2006/relationships/hyperlink" Target="https://market.yandex.ru/card/tonik-dlya-litsa-ot-pryshchey-i-chernykh-tochek-ochishchayushchiy-qeep-200-ml/4476364348?businessId=8291477&amp;clid=8291477&amp;model_id=1243169397&amp;distr_type=8&amp;pp=605" TargetMode="External"/><Relationship Id="rId584" Type="http://schemas.openxmlformats.org/officeDocument/2006/relationships/hyperlink" Target="https://www.wildberries.ru/catalog/159631114/detail.aspx" TargetMode="External"/><Relationship Id="rId1179" Type="http://schemas.openxmlformats.org/officeDocument/2006/relationships/hyperlink" Target="https://www.ozon.ru/product/1154565320" TargetMode="External"/><Relationship Id="rId1169" Type="http://schemas.openxmlformats.org/officeDocument/2006/relationships/hyperlink" Target="https://market.yandex.ru/card/biotrin-krem-gel-dnarprim/103544223742?businessId=1422090&amp;clid=1422090&amp;model_id=49499284&amp;distr_type=8&amp;pp=605" TargetMode="External"/><Relationship Id="rId338" Type="http://schemas.openxmlformats.org/officeDocument/2006/relationships/hyperlink" Target="https://mm.ru/product/krovavyj-kislotnyj-piling-5898538?skuId=13170076" TargetMode="External"/><Relationship Id="rId337" Type="http://schemas.openxmlformats.org/officeDocument/2006/relationships/hyperlink" Target="https://www.letu.ru/product/qeep-krovavyi-kislotnyi-piling-dlya-litsa-ot-pryshchei-aha-bha/168000621?sort=default&amp;open=ingredient%7EcleanBeauty&amp;hide=expectedEffect%7EnotContain%7EskinTypes" TargetMode="External"/><Relationship Id="rId579" Type="http://schemas.openxmlformats.org/officeDocument/2006/relationships/hyperlink" Target="https://docs.google.com/document/d/104ULlyOAuV1IDK64Sv8iDI3_Bj64t1baZTUGBsWJfz4/edit?tab=t.0" TargetMode="External"/><Relationship Id="rId336" Type="http://schemas.openxmlformats.org/officeDocument/2006/relationships/hyperlink" Target="https://market.yandex.ru/card/krovavyy-kislotnyy-piling-dlya-litsa-ot-pryshchey-aha-bha-qeep-30-ml/103812560928?businessId=8291477&amp;clid=8291477&amp;model_id=1453951928&amp;distr_type=8&amp;pp=605" TargetMode="External"/><Relationship Id="rId578" Type="http://schemas.openxmlformats.org/officeDocument/2006/relationships/hyperlink" Target="https://www.ozon.ru/product/1044887692" TargetMode="External"/><Relationship Id="rId335" Type="http://schemas.openxmlformats.org/officeDocument/2006/relationships/hyperlink" Target="https://www.ozon.ru/product/1856657517" TargetMode="External"/><Relationship Id="rId577" Type="http://schemas.openxmlformats.org/officeDocument/2006/relationships/hyperlink" Target="https://www.wildberries.ru/catalog/155928221/detail.aspx" TargetMode="External"/><Relationship Id="rId339" Type="http://schemas.openxmlformats.org/officeDocument/2006/relationships/hyperlink" Target="https://drive.google.com/drive/folders/1deQipkbSGt53Z6oxrBJmZCjjjhcAzsmU" TargetMode="External"/><Relationship Id="rId1160" Type="http://schemas.openxmlformats.org/officeDocument/2006/relationships/hyperlink" Target="https://market.yandex.ru/card/vitaminy-dlya-glaz-lyutein-kompleks-dlya-zreniya-optitrin-7-kapsul/103515413326?do-waremd5=JAujGbh4d-GOLhXGWiMHzQ&amp;businessId=1422090&amp;ogV=-10" TargetMode="External"/><Relationship Id="rId330" Type="http://schemas.openxmlformats.org/officeDocument/2006/relationships/hyperlink" Target="https://market.yandex.ru/card/korm-dlya-sobak-melkikh-porod-sukhoy-yagnenok-harly-2-kg/103536211764?businessId=8291477&amp;clid=8291477&amp;model_id=684105335&amp;distr_type=8&amp;pp=605" TargetMode="External"/><Relationship Id="rId572" Type="http://schemas.openxmlformats.org/officeDocument/2006/relationships/hyperlink" Target="https://www.ozon.ru/product/1099727360" TargetMode="External"/><Relationship Id="rId1161" Type="http://schemas.openxmlformats.org/officeDocument/2006/relationships/hyperlink" Target="https://www.wildberries.ru/catalog/150790885/detail.aspx" TargetMode="External"/><Relationship Id="rId571" Type="http://schemas.openxmlformats.org/officeDocument/2006/relationships/hyperlink" Target="https://www.wildberries.ru/catalog/167680829/detail.aspx" TargetMode="External"/><Relationship Id="rId1162" Type="http://schemas.openxmlformats.org/officeDocument/2006/relationships/hyperlink" Target="https://www.ozon.ru/product/889458318" TargetMode="External"/><Relationship Id="rId570" Type="http://schemas.openxmlformats.org/officeDocument/2006/relationships/hyperlink" Target="https://www.ozon.ru/product/1032702789" TargetMode="External"/><Relationship Id="rId1163" Type="http://schemas.openxmlformats.org/officeDocument/2006/relationships/hyperlink" Target="https://market.yandex.ru/card/vozbuditel-dlya-muzhchin-silnyy-dlya-potentsii-i-erektsii-18/103340892602?businessId=1422090&amp;clid=1422090&amp;model_id=696711021&amp;distr_type=8&amp;pp=605" TargetMode="External"/><Relationship Id="rId1164" Type="http://schemas.openxmlformats.org/officeDocument/2006/relationships/hyperlink" Target="https://www.wildberries.ru/catalog/49570192/detail.aspx" TargetMode="External"/><Relationship Id="rId334" Type="http://schemas.openxmlformats.org/officeDocument/2006/relationships/hyperlink" Target="https://www.wildberries.ru/catalog/326154767/detail.aspx" TargetMode="External"/><Relationship Id="rId576" Type="http://schemas.openxmlformats.org/officeDocument/2006/relationships/hyperlink" Target="https://www.ozon.ru/product/1099757439" TargetMode="External"/><Relationship Id="rId1165" Type="http://schemas.openxmlformats.org/officeDocument/2006/relationships/hyperlink" Target="https://www.ozon.ru/product/399457649" TargetMode="External"/><Relationship Id="rId333" Type="http://schemas.openxmlformats.org/officeDocument/2006/relationships/hyperlink" Target="https://www.ozon.ru/product/1710553197" TargetMode="External"/><Relationship Id="rId575" Type="http://schemas.openxmlformats.org/officeDocument/2006/relationships/hyperlink" Target="https://www.wildberries.ru/catalog/167680833/detail.aspx" TargetMode="External"/><Relationship Id="rId1166" Type="http://schemas.openxmlformats.org/officeDocument/2006/relationships/hyperlink" Target="https://market.yandex.ru/card/vitaminy-dlya-glaz-i-zreniya-lyutein-s-zeaksantinom-i-chernikoy--7-sashe/103257870570?businessId=1422090&amp;clid=1422090&amp;model_id=1109007651&amp;distr_type=8&amp;pp=605" TargetMode="External"/><Relationship Id="rId332" Type="http://schemas.openxmlformats.org/officeDocument/2006/relationships/hyperlink" Target="https://www.wildberries.ru/catalog/263831566/detail.aspx" TargetMode="External"/><Relationship Id="rId574" Type="http://schemas.openxmlformats.org/officeDocument/2006/relationships/hyperlink" Target="https://www.ozon.ru/product/1099740649" TargetMode="External"/><Relationship Id="rId1167" Type="http://schemas.openxmlformats.org/officeDocument/2006/relationships/hyperlink" Target="https://www.wildberries.ru/catalog/186784742/detail.aspx" TargetMode="External"/><Relationship Id="rId331" Type="http://schemas.openxmlformats.org/officeDocument/2006/relationships/hyperlink" Target="https://drive.google.com/drive/folders/1cNjoy1Utv6NLngIyJo2_-WrCTLpq1Pbe" TargetMode="External"/><Relationship Id="rId573" Type="http://schemas.openxmlformats.org/officeDocument/2006/relationships/hyperlink" Target="https://www.wildberries.ru/catalog/167680831/detail.aspx" TargetMode="External"/><Relationship Id="rId1168" Type="http://schemas.openxmlformats.org/officeDocument/2006/relationships/hyperlink" Target="https://www.ozon.ru/product/1271273685" TargetMode="External"/><Relationship Id="rId370" Type="http://schemas.openxmlformats.org/officeDocument/2006/relationships/hyperlink" Target="https://drive.google.com/drive/folders/1QfanO0ZYba8UpZM_RxW5iU3lKYA5wt6W" TargetMode="External"/><Relationship Id="rId129" Type="http://schemas.openxmlformats.org/officeDocument/2006/relationships/hyperlink" Target="https://www.wildberries.ru/catalog/559173569/detail.aspx" TargetMode="External"/><Relationship Id="rId128" Type="http://schemas.openxmlformats.org/officeDocument/2006/relationships/hyperlink" Target="https://disk.yandex.ru/d/iO_TaD7U2A8-rw/18.02.2026" TargetMode="External"/><Relationship Id="rId127" Type="http://schemas.openxmlformats.org/officeDocument/2006/relationships/hyperlink" Target="https://drive.google.com/drive/folders/1q2apvTtvQEh0yeNpyR4Csa1wlhvTiKVX" TargetMode="External"/><Relationship Id="rId369" Type="http://schemas.openxmlformats.org/officeDocument/2006/relationships/hyperlink" Target="https://market.yandex.ru/card/neytralizator-zapakhov-zhivotnykh-ot-koshachyey-mochi-500-ml/4476321741?businessId=8291477&amp;clid=8291477&amp;model_id=1247485777&amp;distr_type=8&amp;pp=605" TargetMode="External"/><Relationship Id="rId126" Type="http://schemas.openxmlformats.org/officeDocument/2006/relationships/hyperlink" Target="https://mm.ru/product/krem-dlya-lica-s-liposomalnym-retinolom-5898608?skuId=13170183" TargetMode="External"/><Relationship Id="rId368" Type="http://schemas.openxmlformats.org/officeDocument/2006/relationships/hyperlink" Target="https://www.ozon.ru/product/2344269342" TargetMode="External"/><Relationship Id="rId1190" Type="http://schemas.openxmlformats.org/officeDocument/2006/relationships/hyperlink" Target="https://market.yandex.ru/card/zhiroszhigatel-tabletki-dlya-pokhudeniya-detoks-alteya-chudo-frukt-10-tabletok/101806792616?businessId=1422090&amp;clid=1422090&amp;model_id=967593294&amp;distr_type=8&amp;pp=605" TargetMode="External"/><Relationship Id="rId1191" Type="http://schemas.openxmlformats.org/officeDocument/2006/relationships/hyperlink" Target="https://www.wildberries.ru/catalog/34283989/detail.aspx" TargetMode="External"/><Relationship Id="rId1192" Type="http://schemas.openxmlformats.org/officeDocument/2006/relationships/hyperlink" Target="https://www.ozon.ru/product/301630774" TargetMode="External"/><Relationship Id="rId1193" Type="http://schemas.openxmlformats.org/officeDocument/2006/relationships/hyperlink" Target="https://market.yandex.ru/card/tabletki-dlya-pokhudeniya-zhiroszhigatel-detoks-alteya-frutalika-10-kapsul/102174014381?businessId=1422090&amp;clid=1422090&amp;model_id=967593294&amp;distr_type=8&amp;pp=605" TargetMode="External"/><Relationship Id="rId121" Type="http://schemas.openxmlformats.org/officeDocument/2006/relationships/hyperlink" Target="https://drive.google.com/drive/folders/1sMpHVVo7fru69JaemeaE4lTRbQomIz9y" TargetMode="External"/><Relationship Id="rId363" Type="http://schemas.openxmlformats.org/officeDocument/2006/relationships/hyperlink" Target="https://www.wildberries.ru/catalog/381335309/detail.aspx" TargetMode="External"/><Relationship Id="rId1194" Type="http://schemas.openxmlformats.org/officeDocument/2006/relationships/hyperlink" Target="https://www.wildberries.ru/catalog/41351094/detail.aspx" TargetMode="External"/><Relationship Id="rId120" Type="http://schemas.openxmlformats.org/officeDocument/2006/relationships/hyperlink" Target="https://www.letu.ru/product/qeep-enzimnaya-pudra-dlya-umyvaniya-litsa-i-tela/177800329?sort=default&amp;open=ingredient%7EcleanBeauty&amp;hide=expectedEffect%7EnotContain%7EskinTypes" TargetMode="External"/><Relationship Id="rId362" Type="http://schemas.openxmlformats.org/officeDocument/2006/relationships/hyperlink" Target="https://disk.yandex.ru/d/l_-Vj9wohPs4Uw" TargetMode="External"/><Relationship Id="rId1195" Type="http://schemas.openxmlformats.org/officeDocument/2006/relationships/hyperlink" Target="https://www.ozon.ru/product/327232798" TargetMode="External"/><Relationship Id="rId361" Type="http://schemas.openxmlformats.org/officeDocument/2006/relationships/hyperlink" Target="https://docs.google.com/document/d/1A8Rn2xZ7XhZwg1VuFPB1LhEepVNfwIvedRrh5j_lUSE/edit?tab=t.0" TargetMode="External"/><Relationship Id="rId1196" Type="http://schemas.openxmlformats.org/officeDocument/2006/relationships/hyperlink" Target="https://market.yandex.ru/card/pishchevaya-dobavka-sredstvo-ot-papillom-i-borodavok-udaleniye-papiderm/101436838678?businessId=1422090&amp;clid=1422090&amp;model_id=1429807841&amp;distr_type=8&amp;pp=605" TargetMode="External"/><Relationship Id="rId360" Type="http://schemas.openxmlformats.org/officeDocument/2006/relationships/hyperlink" Target="https://drive.google.com/drive/folders/1fTvdatwyFwJ5K6b6NcBwWZ7Cb6KZFtEg" TargetMode="External"/><Relationship Id="rId1197" Type="http://schemas.openxmlformats.org/officeDocument/2006/relationships/hyperlink" Target="https://www.wildberries.ru/catalog/17902935/detail.aspx" TargetMode="External"/><Relationship Id="rId125" Type="http://schemas.openxmlformats.org/officeDocument/2006/relationships/hyperlink" Target="https://www.letu.ru/product/qeep-krem-dlya-litsa-s-liposomalnym-retinolom-0-5-/178100057?sort=default&amp;open=ingredient%7EcleanBeauty&amp;hide=expectedEffect%7EnotContain%7EskinTypes" TargetMode="External"/><Relationship Id="rId367" Type="http://schemas.openxmlformats.org/officeDocument/2006/relationships/hyperlink" Target="https://www.wildberries.ru/catalog/445333054/detail.aspx" TargetMode="External"/><Relationship Id="rId1198" Type="http://schemas.openxmlformats.org/officeDocument/2006/relationships/hyperlink" Target="https://www.ozon.ru/product/295356614" TargetMode="External"/><Relationship Id="rId124" Type="http://schemas.openxmlformats.org/officeDocument/2006/relationships/hyperlink" Target="https://market.yandex.ru/card/krem-dlya-litsa-s-liposomalnym-retinolom-05/4695750936?businessId=8291477&amp;clid=8291477&amp;model_id=1453951928&amp;distr_type=8&amp;pp=605" TargetMode="External"/><Relationship Id="rId366" Type="http://schemas.openxmlformats.org/officeDocument/2006/relationships/hyperlink" Target="https://disk.yandex.ru/d/ZObw08ht-L3EKg" TargetMode="External"/><Relationship Id="rId1199" Type="http://schemas.openxmlformats.org/officeDocument/2006/relationships/hyperlink" Target="https://market.yandex.ru/card/vozbuditel-dlya-muzhchin-silnyy-dlya-potentsii-i-erektsii-18vozbuditel-dlya-muzhchin-silnyy-dlya-potentsii-i-erektsii-18--neomax-blue-neomaksblu/103515619478?businessId=1422090&amp;showOriginalKmEmptyOffer=1&amp;ogV=-10" TargetMode="External"/><Relationship Id="rId123" Type="http://schemas.openxmlformats.org/officeDocument/2006/relationships/hyperlink" Target="https://www.ozon.ru/product/2921798266" TargetMode="External"/><Relationship Id="rId365" Type="http://schemas.openxmlformats.org/officeDocument/2006/relationships/hyperlink" Target="https://market.yandex.ru/card/lososevoye-maslo-dlya-sobak-i-koshek-rybiy-zhir-maslo-lososya-omega-3-dlya-zhivotnykh-harly-150-ml/4334505684?businessId=8291477&amp;clid=8291477&amp;model_id=838121044&amp;distr_type=8&amp;pp=605" TargetMode="External"/><Relationship Id="rId122" Type="http://schemas.openxmlformats.org/officeDocument/2006/relationships/hyperlink" Target="https://www.wildberries.ru/catalog/549611709/detail.aspx" TargetMode="External"/><Relationship Id="rId364" Type="http://schemas.openxmlformats.org/officeDocument/2006/relationships/hyperlink" Target="https://www.ozon.ru/product/2019073769" TargetMode="External"/><Relationship Id="rId95" Type="http://schemas.openxmlformats.org/officeDocument/2006/relationships/hyperlink" Target="https://market.yandex.ru/card/mylo-dlya-lap-sobak-s-pantenolom-i-kolloidnym-serebrom-harly-500-ml/103724222997?businessId=8291477&amp;clid=8291477&amp;model_id=944504526&amp;distr_type=8&amp;pp=605" TargetMode="External"/><Relationship Id="rId94" Type="http://schemas.openxmlformats.org/officeDocument/2006/relationships/hyperlink" Target="https://www.ozon.ru/product/1828993605" TargetMode="External"/><Relationship Id="rId97" Type="http://schemas.openxmlformats.org/officeDocument/2006/relationships/hyperlink" Target="https://disk.yandex.ru/d/Xz_B17SiYOGjpw" TargetMode="External"/><Relationship Id="rId96" Type="http://schemas.openxmlformats.org/officeDocument/2006/relationships/hyperlink" Target="https://drive.google.com/drive/folders/1YcoxDfDh4ruJhBG56E2T7u94bh1w79DC" TargetMode="External"/><Relationship Id="rId99" Type="http://schemas.openxmlformats.org/officeDocument/2006/relationships/hyperlink" Target="https://www.ozon.ru/product/1745032627" TargetMode="External"/><Relationship Id="rId98" Type="http://schemas.openxmlformats.org/officeDocument/2006/relationships/hyperlink" Target="https://www.wildberries.ru/catalog/276247301/detail.aspx" TargetMode="External"/><Relationship Id="rId91" Type="http://schemas.openxmlformats.org/officeDocument/2006/relationships/hyperlink" Target="https://goldapple.ru/catalogsearch/result?q=99000117739" TargetMode="External"/><Relationship Id="rId90" Type="http://schemas.openxmlformats.org/officeDocument/2006/relationships/hyperlink" Target="https://market.yandex.ru/card/vitamin-s-dlya-detey-zhevatelnyy-qeep-60-zhevatelnykh-marmeladok/4476310330?businessId=8291477&amp;clid=8291477&amp;model_id=1947049801&amp;distr_type=8&amp;pp=605" TargetMode="External"/><Relationship Id="rId93" Type="http://schemas.openxmlformats.org/officeDocument/2006/relationships/hyperlink" Target="https://www.wildberries.ru/catalog/307874530/detail.aspx" TargetMode="External"/><Relationship Id="rId92" Type="http://schemas.openxmlformats.org/officeDocument/2006/relationships/hyperlink" Target="https://drive.google.com/drive/folders/1-Pgr3i2_OqiWQSo8yCWIZcaUHTKtWguF" TargetMode="External"/><Relationship Id="rId118" Type="http://schemas.openxmlformats.org/officeDocument/2006/relationships/hyperlink" Target="https://www.ozon.ru/product/2921727205" TargetMode="External"/><Relationship Id="rId117" Type="http://schemas.openxmlformats.org/officeDocument/2006/relationships/hyperlink" Target="https://www.wildberries.ru/catalog/549551191/detail.aspx" TargetMode="External"/><Relationship Id="rId359" Type="http://schemas.openxmlformats.org/officeDocument/2006/relationships/hyperlink" Target="https://mm.ru/product/tochechnyj-krem-ot-5898606?skuId=13170180" TargetMode="External"/><Relationship Id="rId116" Type="http://schemas.openxmlformats.org/officeDocument/2006/relationships/hyperlink" Target="https://www.ozon.ru/product/1283143901" TargetMode="External"/><Relationship Id="rId358" Type="http://schemas.openxmlformats.org/officeDocument/2006/relationships/hyperlink" Target="https://www.letu.ru/product/qeep-tochechnyi-krem-ot-pryshchei-krem-ot-akne/181200150?sort=default&amp;open=ingredient%7EcleanBeauty%7EskinNeeds%7EforWhom&amp;hide=expectedEffect%7EnotContain%7EskinTypes%7EhairType" TargetMode="External"/><Relationship Id="rId115" Type="http://schemas.openxmlformats.org/officeDocument/2006/relationships/hyperlink" Target="https://www.wildberries.ru/catalog/188602690/detail.aspx" TargetMode="External"/><Relationship Id="rId357" Type="http://schemas.openxmlformats.org/officeDocument/2006/relationships/hyperlink" Target="https://www.ozon.ru/product/2589302298" TargetMode="External"/><Relationship Id="rId599" Type="http://schemas.openxmlformats.org/officeDocument/2006/relationships/hyperlink" Target="https://www.ozon.ru/product/1099581672" TargetMode="External"/><Relationship Id="rId1180" Type="http://schemas.openxmlformats.org/officeDocument/2006/relationships/hyperlink" Target="https://market.yandex.ru/card/biotrin-krem-gel-dnarprim--1/103544230414?businessId=1422090&amp;clid=1422090&amp;model_id=1103091052&amp;distr_type=8&amp;pp=605" TargetMode="External"/><Relationship Id="rId1181" Type="http://schemas.openxmlformats.org/officeDocument/2006/relationships/hyperlink" Target="https://www.wildberries.ru/catalog/17891620/detail.aspx" TargetMode="External"/><Relationship Id="rId119" Type="http://schemas.openxmlformats.org/officeDocument/2006/relationships/hyperlink" Target="https://market.yandex.ru/card/enzimnaya-pudra-dlya-umyvaniya-litsa-i-tela/4693953993?businessId=8291477&amp;clid=8291477&amp;model_id=1243169397&amp;distr_type=8&amp;pp=605" TargetMode="External"/><Relationship Id="rId1182" Type="http://schemas.openxmlformats.org/officeDocument/2006/relationships/hyperlink" Target="https://www.ozon.ru/product/1597150074" TargetMode="External"/><Relationship Id="rId110" Type="http://schemas.openxmlformats.org/officeDocument/2006/relationships/hyperlink" Target="https://disk.yandex.ru/d/Y1y6LE7lT5p4ew" TargetMode="External"/><Relationship Id="rId352" Type="http://schemas.openxmlformats.org/officeDocument/2006/relationships/hyperlink" Target="https://market.yandex.ru/card/penka-dlya-ukladki-volos-ciao-bella-qeep-150-ml/4569564653?businessId=8291477&amp;clid=8291477&amp;model_id=1324200631&amp;distr_type=8&amp;pp=605" TargetMode="External"/><Relationship Id="rId594" Type="http://schemas.openxmlformats.org/officeDocument/2006/relationships/hyperlink" Target="https://www.wildberries.ru/catalog/191073458/detail.aspx" TargetMode="External"/><Relationship Id="rId1183" Type="http://schemas.openxmlformats.org/officeDocument/2006/relationships/hyperlink" Target="https://market.yandex.ru/card/vozbuzhdayushchaya-smazka-lubrikant-dlya-uvelicheniya-chlena-na-vodnoy-osnove-syedobnaya-alteya-getsize-30-ml/103515446251?businessId=1422090&amp;clid=1422090&amp;model_id=625474577&amp;distr_type=8&amp;pp=605" TargetMode="External"/><Relationship Id="rId351" Type="http://schemas.openxmlformats.org/officeDocument/2006/relationships/hyperlink" Target="https://www.ozon.ru/product/2583231387" TargetMode="External"/><Relationship Id="rId593" Type="http://schemas.openxmlformats.org/officeDocument/2006/relationships/hyperlink" Target="https://www.ozon.ru/product/889954527" TargetMode="External"/><Relationship Id="rId1184" Type="http://schemas.openxmlformats.org/officeDocument/2006/relationships/hyperlink" Target="https://www.wildberries.ru/catalog/41349600/detail.aspx" TargetMode="External"/><Relationship Id="rId350" Type="http://schemas.openxmlformats.org/officeDocument/2006/relationships/hyperlink" Target="https://www.wildberries.ru/catalog/484619244/detail.aspx" TargetMode="External"/><Relationship Id="rId592" Type="http://schemas.openxmlformats.org/officeDocument/2006/relationships/hyperlink" Target="https://www.wildberries.ru/catalog/150847785/detail.aspx" TargetMode="External"/><Relationship Id="rId1185" Type="http://schemas.openxmlformats.org/officeDocument/2006/relationships/hyperlink" Target="https://www.ozon.ru/product/327231771" TargetMode="External"/><Relationship Id="rId591" Type="http://schemas.openxmlformats.org/officeDocument/2006/relationships/hyperlink" Target="https://www.ozon.ru/product/871806460" TargetMode="External"/><Relationship Id="rId1186" Type="http://schemas.openxmlformats.org/officeDocument/2006/relationships/hyperlink" Target="https://www.wildberries.ru/catalog/35422984/detail.aspx" TargetMode="External"/><Relationship Id="rId114" Type="http://schemas.openxmlformats.org/officeDocument/2006/relationships/hyperlink" Target="https://www.ozon.ru/product/1283138723" TargetMode="External"/><Relationship Id="rId356" Type="http://schemas.openxmlformats.org/officeDocument/2006/relationships/hyperlink" Target="https://drive.google.com/drive/folders/164J0p_zaDeJASVIXpfp2cNcFcGA0Er2i" TargetMode="External"/><Relationship Id="rId598" Type="http://schemas.openxmlformats.org/officeDocument/2006/relationships/hyperlink" Target="https://www.wildberries.ru/catalog/167679765/detail.aspx" TargetMode="External"/><Relationship Id="rId1187" Type="http://schemas.openxmlformats.org/officeDocument/2006/relationships/hyperlink" Target="https://www.ozon.ru/product/299140637" TargetMode="External"/><Relationship Id="rId113" Type="http://schemas.openxmlformats.org/officeDocument/2006/relationships/hyperlink" Target="https://www.wildberries.ru/catalog/188493994/detail.aspx" TargetMode="External"/><Relationship Id="rId355" Type="http://schemas.openxmlformats.org/officeDocument/2006/relationships/hyperlink" Target="https://mm.ru/product/penka-dlya-ukladki-5898602?skuId=13170174" TargetMode="External"/><Relationship Id="rId597" Type="http://schemas.openxmlformats.org/officeDocument/2006/relationships/hyperlink" Target="https://www.ozon.ru/product/825733116" TargetMode="External"/><Relationship Id="rId1188" Type="http://schemas.openxmlformats.org/officeDocument/2006/relationships/hyperlink" Target="https://www.wildberries.ru/catalog/111902604/detail.aspx" TargetMode="External"/><Relationship Id="rId112" Type="http://schemas.openxmlformats.org/officeDocument/2006/relationships/hyperlink" Target="https://www.ozon.ru/product/1099614303" TargetMode="External"/><Relationship Id="rId354" Type="http://schemas.openxmlformats.org/officeDocument/2006/relationships/hyperlink" Target="https://www.letu.ru/product/qeep-penka-dlya-ukladki-volos-u-kornei-ciao-bella/177400516" TargetMode="External"/><Relationship Id="rId596" Type="http://schemas.openxmlformats.org/officeDocument/2006/relationships/hyperlink" Target="https://www.wildberries.ru/catalog/140944929/detail.aspx" TargetMode="External"/><Relationship Id="rId1189" Type="http://schemas.openxmlformats.org/officeDocument/2006/relationships/hyperlink" Target="https://www.ozon.ru/product/636852972" TargetMode="External"/><Relationship Id="rId111" Type="http://schemas.openxmlformats.org/officeDocument/2006/relationships/hyperlink" Target="https://www.wildberries.ru/catalog/167680087/detail.aspx" TargetMode="External"/><Relationship Id="rId353" Type="http://schemas.openxmlformats.org/officeDocument/2006/relationships/hyperlink" Target="https://goldapple.ru/catalogsearch/result?q=99000115782" TargetMode="External"/><Relationship Id="rId595" Type="http://schemas.openxmlformats.org/officeDocument/2006/relationships/hyperlink" Target="https://www.ozon.ru/product/1315703641" TargetMode="External"/><Relationship Id="rId1136" Type="http://schemas.openxmlformats.org/officeDocument/2006/relationships/hyperlink" Target="https://www.wildberries.ru/catalog/41656854/detail.aspx" TargetMode="External"/><Relationship Id="rId1137" Type="http://schemas.openxmlformats.org/officeDocument/2006/relationships/hyperlink" Target="https://www.ozon.ru/product/356313449" TargetMode="External"/><Relationship Id="rId1138" Type="http://schemas.openxmlformats.org/officeDocument/2006/relationships/hyperlink" Target="https://market.yandex.ru/card/vozbuditel-dlya-muzhchin-silnyy-dlya-potentsii-i-erektsii-18/102200689078?businessId=1422090&amp;clid=1422090&amp;model_id=696711021&amp;distr_type=8&amp;pp=605" TargetMode="External"/><Relationship Id="rId1139" Type="http://schemas.openxmlformats.org/officeDocument/2006/relationships/hyperlink" Target="https://www.wildberries.ru/catalog/244342184/detail.aspx" TargetMode="External"/><Relationship Id="rId305" Type="http://schemas.openxmlformats.org/officeDocument/2006/relationships/hyperlink" Target="https://market.yandex.ru/card/kollagen-i-i-iii-tipa-s-vitaminom-s-i-gialuronovoy-kislotoy-qeep-60-kapsul/101824298337?businessId=8291477&amp;clid=8291477&amp;model_id=1111517446&amp;distr_type=8&amp;pp=605" TargetMode="External"/><Relationship Id="rId547" Type="http://schemas.openxmlformats.org/officeDocument/2006/relationships/hyperlink" Target="https://www.ozon.ru/product/965078619" TargetMode="External"/><Relationship Id="rId789" Type="http://schemas.openxmlformats.org/officeDocument/2006/relationships/hyperlink" Target="https://goldapple.ru/catalogsearch/result?q=99000076210" TargetMode="External"/><Relationship Id="rId304" Type="http://schemas.openxmlformats.org/officeDocument/2006/relationships/hyperlink" Target="https://www.ozon.ru/product/616963626" TargetMode="External"/><Relationship Id="rId546" Type="http://schemas.openxmlformats.org/officeDocument/2006/relationships/hyperlink" Target="https://www.wildberries.ru/catalog/159632001/detail.aspx" TargetMode="External"/><Relationship Id="rId788" Type="http://schemas.openxmlformats.org/officeDocument/2006/relationships/hyperlink" Target="https://market.yandex.ru/card/maska-dlya-volos-professionalnaya-s-keratinom-vosstanavlivayushchaya-balzam-dlya-volos-alteya-250-ml/103515390557?businessId=1422090&amp;clid=1422090&amp;model_id=625585245&amp;distr_type=8&amp;pp=605" TargetMode="External"/><Relationship Id="rId303" Type="http://schemas.openxmlformats.org/officeDocument/2006/relationships/hyperlink" Target="https://www.wildberries.ru/catalog/90476399/detail.aspx" TargetMode="External"/><Relationship Id="rId545" Type="http://schemas.openxmlformats.org/officeDocument/2006/relationships/hyperlink" Target="https://www.ozon.ru/product/881228430" TargetMode="External"/><Relationship Id="rId787" Type="http://schemas.openxmlformats.org/officeDocument/2006/relationships/hyperlink" Target="https://www.ozon.ru/product/1691464882" TargetMode="External"/><Relationship Id="rId302" Type="http://schemas.openxmlformats.org/officeDocument/2006/relationships/hyperlink" Target="https://docs.google.com/document/d/1TdX7bOpUzizlnYsgpZjEVStPU6vGcEkVmx0izqrKJlM/edit?usp=sharing" TargetMode="External"/><Relationship Id="rId544" Type="http://schemas.openxmlformats.org/officeDocument/2006/relationships/hyperlink" Target="https://www.wildberries.ru/catalog/148312764/detail.aspx" TargetMode="External"/><Relationship Id="rId786" Type="http://schemas.openxmlformats.org/officeDocument/2006/relationships/hyperlink" Target="https://www.wildberries.ru/catalog/260383031/detail.aspx" TargetMode="External"/><Relationship Id="rId309" Type="http://schemas.openxmlformats.org/officeDocument/2006/relationships/hyperlink" Target="https://market.yandex.ru/card/kollagen-zhidkiy-govyazhiy-5000-mg-qeep-malina-14-shotov-po-25-ml/103397906850?businessId=8291477&amp;showOriginalKmEmptyOffer=1&amp;ogV=-10" TargetMode="External"/><Relationship Id="rId308" Type="http://schemas.openxmlformats.org/officeDocument/2006/relationships/hyperlink" Target="https://www.ozon.ru/product/1563742150" TargetMode="External"/><Relationship Id="rId307" Type="http://schemas.openxmlformats.org/officeDocument/2006/relationships/hyperlink" Target="https://www.wildberries.ru/catalog/228329662/detail.aspx" TargetMode="External"/><Relationship Id="rId549" Type="http://schemas.openxmlformats.org/officeDocument/2006/relationships/hyperlink" Target="https://www.ozon.ru/product/1099704591" TargetMode="External"/><Relationship Id="rId306" Type="http://schemas.openxmlformats.org/officeDocument/2006/relationships/hyperlink" Target="https://drive.google.com/drive/u/0/folders/1vOiIY1XsOr2O40QbZVdluwtxKotRe-0N" TargetMode="External"/><Relationship Id="rId548" Type="http://schemas.openxmlformats.org/officeDocument/2006/relationships/hyperlink" Target="https://www.wildberries.ru/catalog/167680176/detail.aspx" TargetMode="External"/><Relationship Id="rId781" Type="http://schemas.openxmlformats.org/officeDocument/2006/relationships/hyperlink" Target="https://www.wildberries.ru/catalog/385736759/detail.aspx" TargetMode="External"/><Relationship Id="rId780" Type="http://schemas.openxmlformats.org/officeDocument/2006/relationships/hyperlink" Target="https://market.yandex.ru/card/sredstvo-ot-davleniya-vitaminy-dlya-serdtsa-chistka-sosudov-alteya-karditsin-2-sht/103515447164?businessId=1422090&amp;clid=1422090&amp;model_id=1452481401&amp;distr_type=8&amp;pp=605" TargetMode="External"/><Relationship Id="rId1130" Type="http://schemas.openxmlformats.org/officeDocument/2006/relationships/hyperlink" Target="https://www.wildberries.ru/catalog/37671984/detail.aspx" TargetMode="External"/><Relationship Id="rId1131" Type="http://schemas.openxmlformats.org/officeDocument/2006/relationships/hyperlink" Target="https://www.ozon.ru/product/307654206" TargetMode="External"/><Relationship Id="rId301" Type="http://schemas.openxmlformats.org/officeDocument/2006/relationships/hyperlink" Target="https://market.yandex.ru/card/kollagen-zhidkiy-govyazhiy-5000-mg-qeep-apelsin-14-shotov-po-25-ml/103397906851?businessId=8291477&amp;showOriginalKmEmptyOffer=1&amp;ogV=-10" TargetMode="External"/><Relationship Id="rId543" Type="http://schemas.openxmlformats.org/officeDocument/2006/relationships/hyperlink" Target="https://www.ozon.ru/product/881228424" TargetMode="External"/><Relationship Id="rId785" Type="http://schemas.openxmlformats.org/officeDocument/2006/relationships/hyperlink" Target="https://www.letu.ru/product/alteya-tonik-dlya-litsa-ot-pryshchei-i-chernyh-tochek-ochishchayushchii/172000552" TargetMode="External"/><Relationship Id="rId1132" Type="http://schemas.openxmlformats.org/officeDocument/2006/relationships/hyperlink" Target="https://market.yandex.ru/card/maz-ot-gribka-nogtey-i-stopy-nog-protivogribkovaya-mikolan-ot-treshchin--15-ml/103331097324?businessId=1422090&amp;clid=1422090&amp;model_id=1443573112&amp;distr_type=8&amp;pp=605" TargetMode="External"/><Relationship Id="rId300" Type="http://schemas.openxmlformats.org/officeDocument/2006/relationships/hyperlink" Target="https://www.ozon.ru/product/1563742059" TargetMode="External"/><Relationship Id="rId542" Type="http://schemas.openxmlformats.org/officeDocument/2006/relationships/hyperlink" Target="https://www.wildberries.ru/catalog/148334501/detail.aspx" TargetMode="External"/><Relationship Id="rId784" Type="http://schemas.openxmlformats.org/officeDocument/2006/relationships/hyperlink" Target="https://goldapple.ru/catalogsearch/result?q=99000114728" TargetMode="External"/><Relationship Id="rId1133" Type="http://schemas.openxmlformats.org/officeDocument/2006/relationships/hyperlink" Target="https://www.wildberries.ru/catalog/144854900/detail.aspx" TargetMode="External"/><Relationship Id="rId541" Type="http://schemas.openxmlformats.org/officeDocument/2006/relationships/hyperlink" Target="https://www.ozon.ru/product/814830745" TargetMode="External"/><Relationship Id="rId783" Type="http://schemas.openxmlformats.org/officeDocument/2006/relationships/hyperlink" Target="https://market.yandex.ru/card/tonik-dlya-litsa-ot-pryshchey-i-chernykh-tochek-ochishchayushchiy-alteya-200-ml/4334347819?businessId=1422090&amp;clid=1422090&amp;model_id=968485540&amp;distr_type=8&amp;pp=605" TargetMode="External"/><Relationship Id="rId1134" Type="http://schemas.openxmlformats.org/officeDocument/2006/relationships/hyperlink" Target="https://www.ozon.ru/product/847511103" TargetMode="External"/><Relationship Id="rId540" Type="http://schemas.openxmlformats.org/officeDocument/2006/relationships/hyperlink" Target="https://www.wildberries.ru/catalog/138313003/detail.aspx" TargetMode="External"/><Relationship Id="rId782" Type="http://schemas.openxmlformats.org/officeDocument/2006/relationships/hyperlink" Target="https://www.ozon.ru/product/2015547267" TargetMode="External"/><Relationship Id="rId1135" Type="http://schemas.openxmlformats.org/officeDocument/2006/relationships/hyperlink" Target="https://market.yandex.ru/card/krem-ot-varikoza-ustalosti-i-otekov-nog-vetonus-30-ml/101961328078?businessId=1422090&amp;clid=1422090&amp;model_id=1256606336&amp;distr_type=8&amp;pp=605" TargetMode="External"/><Relationship Id="rId1125" Type="http://schemas.openxmlformats.org/officeDocument/2006/relationships/hyperlink" Target="https://www.ozon.ru/product/1188108975" TargetMode="External"/><Relationship Id="rId1126" Type="http://schemas.openxmlformats.org/officeDocument/2006/relationships/hyperlink" Target="https://market.yandex.ru/card/krem-ot-varikoza-ustalosti-i-otekov-nog-vetonus-naturalnyy-30-ml/103515420172?do-waremd5=IvP84Ce4DEFaXdXSkAj7_Q&amp;businessId=1422090&amp;ogV=-10" TargetMode="External"/><Relationship Id="rId1127" Type="http://schemas.openxmlformats.org/officeDocument/2006/relationships/hyperlink" Target="https://www.wildberries.ru/catalog/234152631/detail.aspx" TargetMode="External"/><Relationship Id="rId1128" Type="http://schemas.openxmlformats.org/officeDocument/2006/relationships/hyperlink" Target="https://www.ozon.ru/product/1590064366" TargetMode="External"/><Relationship Id="rId1129" Type="http://schemas.openxmlformats.org/officeDocument/2006/relationships/hyperlink" Target="https://market.yandex.ru/card/vitaminy-dlya-diabetikov-ot-sakharnogo-diabeta-alteya-glyukofol-10-ml/103515407115?businessId=1422090&amp;clid=1422090&amp;model_id=1352508276&amp;distr_type=8&amp;pp=605" TargetMode="External"/><Relationship Id="rId536" Type="http://schemas.openxmlformats.org/officeDocument/2006/relationships/hyperlink" Target="https://www.ozon.ru/product/751282312" TargetMode="External"/><Relationship Id="rId778" Type="http://schemas.openxmlformats.org/officeDocument/2006/relationships/hyperlink" Target="https://www.wildberries.ru/catalog/331501221/detail.aspx" TargetMode="External"/><Relationship Id="rId535" Type="http://schemas.openxmlformats.org/officeDocument/2006/relationships/hyperlink" Target="https://www.wildberries.ru/catalog/123030751/detail.aspx" TargetMode="External"/><Relationship Id="rId777" Type="http://schemas.openxmlformats.org/officeDocument/2006/relationships/hyperlink" Target="https://disk.yandex.ru/d/nZLvisrm0ukpzQ" TargetMode="External"/><Relationship Id="rId534" Type="http://schemas.openxmlformats.org/officeDocument/2006/relationships/hyperlink" Target="https://www.ozon.ru/product/1082288574" TargetMode="External"/><Relationship Id="rId776" Type="http://schemas.openxmlformats.org/officeDocument/2006/relationships/hyperlink" Target="https://www.letu.ru/product/alteya-maska-dlya-rosta-volos-s-pertsem/175700002?sort=default&amp;open=ingredient%7EforWhom&amp;hide=expectedEffect%7EnotContain%7EhairType" TargetMode="External"/><Relationship Id="rId533" Type="http://schemas.openxmlformats.org/officeDocument/2006/relationships/hyperlink" Target="https://www.wildberries.ru/catalog/168867550/detail.aspx" TargetMode="External"/><Relationship Id="rId775" Type="http://schemas.openxmlformats.org/officeDocument/2006/relationships/hyperlink" Target="https://market.yandex.ru/card/maska-dlya-rosta-volos-s-pertsem-alteya-500ml/103816810573?businessId=1422090&amp;clid=1422090&amp;model_id=1058774858&amp;distr_type=8&amp;pp=605" TargetMode="External"/><Relationship Id="rId539" Type="http://schemas.openxmlformats.org/officeDocument/2006/relationships/hyperlink" Target="https://market.yandex.ru/card/vitaminy-dlya-detey-zhevatelnyye-multivitaminy-mishki-qeep-60-marmeladok/103665483133?businessId=8291477&amp;clid=8291477&amp;model_id=1947049801&amp;distr_type=8&amp;pp=605" TargetMode="External"/><Relationship Id="rId538" Type="http://schemas.openxmlformats.org/officeDocument/2006/relationships/hyperlink" Target="https://www.ozon.ru/product/1773844375" TargetMode="External"/><Relationship Id="rId537" Type="http://schemas.openxmlformats.org/officeDocument/2006/relationships/hyperlink" Target="https://www.wildberries.ru/catalog/293061661/detail.aspx" TargetMode="External"/><Relationship Id="rId779" Type="http://schemas.openxmlformats.org/officeDocument/2006/relationships/hyperlink" Target="https://www.ozon.ru/product/1129300642" TargetMode="External"/><Relationship Id="rId770" Type="http://schemas.openxmlformats.org/officeDocument/2006/relationships/hyperlink" Target="https://market.yandex.ru/card/krem-ot-rastyazhek-dlya-beremennykh-i-podrostkov-s-elastinom-alteya-200-ml/103515391497?businessId=1422090&amp;clid=1422090&amp;model_id=625358065&amp;distr_type=8&amp;pp=605" TargetMode="External"/><Relationship Id="rId1120" Type="http://schemas.openxmlformats.org/officeDocument/2006/relationships/hyperlink" Target="https://www.letu.ru/product/alteya-karandash-ot-mozolei-stik-ot-natiraniya-mozolnyi-plastyr/163501203" TargetMode="External"/><Relationship Id="rId532" Type="http://schemas.openxmlformats.org/officeDocument/2006/relationships/hyperlink" Target="https://www.ozon.ru/product/1092025113" TargetMode="External"/><Relationship Id="rId774" Type="http://schemas.openxmlformats.org/officeDocument/2006/relationships/hyperlink" Target="https://www.ozon.ru/product/1917245431" TargetMode="External"/><Relationship Id="rId1121" Type="http://schemas.openxmlformats.org/officeDocument/2006/relationships/hyperlink" Target="https://www.wildberries.ru/catalog/35495802/detail.aspx" TargetMode="External"/><Relationship Id="rId531" Type="http://schemas.openxmlformats.org/officeDocument/2006/relationships/hyperlink" Target="https://www.wildberries.ru/catalog/170004552/detail.aspx" TargetMode="External"/><Relationship Id="rId773" Type="http://schemas.openxmlformats.org/officeDocument/2006/relationships/hyperlink" Target="https://www.wildberries.ru/catalog/344464243/detail.aspx" TargetMode="External"/><Relationship Id="rId1122" Type="http://schemas.openxmlformats.org/officeDocument/2006/relationships/hyperlink" Target="https://www.ozon.ru/product/296790094" TargetMode="External"/><Relationship Id="rId530" Type="http://schemas.openxmlformats.org/officeDocument/2006/relationships/hyperlink" Target="https://www.ozon.ru/product/880444120" TargetMode="External"/><Relationship Id="rId772" Type="http://schemas.openxmlformats.org/officeDocument/2006/relationships/hyperlink" Target="https://www.letu.ru/product/alteya-krem-ot-rastyazhek-dlya-beremennyh-i-podrostkov-s-elastinom/168300067?sort=default&amp;open=cleanBeauty%7Eingredient%7EskinNeeds%7EforWhom&amp;hide=expectedEffect%7EnotContain%7EskinTypes%7EhairType" TargetMode="External"/><Relationship Id="rId1123" Type="http://schemas.openxmlformats.org/officeDocument/2006/relationships/hyperlink" Target="https://market.yandex.ru/card/vitaminnyy-kompleks-dlya-diabetikov-glikiron-dlya-immuniteta-dlya-energii-vitaminy-sakharnyy-diabet--50-ml/101740440649?businessId=1422090&amp;clid=1422090&amp;model_id=1352508276&amp;distr_type=8&amp;pp=605" TargetMode="External"/><Relationship Id="rId771" Type="http://schemas.openxmlformats.org/officeDocument/2006/relationships/hyperlink" Target="https://goldapple.ru/catalogsearch/result?q=99000114731" TargetMode="External"/><Relationship Id="rId1124" Type="http://schemas.openxmlformats.org/officeDocument/2006/relationships/hyperlink" Target="https://www.wildberries.ru/catalog/176859687/detail.aspx" TargetMode="External"/><Relationship Id="rId1158" Type="http://schemas.openxmlformats.org/officeDocument/2006/relationships/hyperlink" Target="https://www.wildberries.ru/catalog/17898843/detail.aspx" TargetMode="External"/><Relationship Id="rId1159" Type="http://schemas.openxmlformats.org/officeDocument/2006/relationships/hyperlink" Target="https://www.ozon.ru/product/291860206" TargetMode="External"/><Relationship Id="rId327" Type="http://schemas.openxmlformats.org/officeDocument/2006/relationships/hyperlink" Target="https://market.yandex.ru/card/sukhoy-korm-dlya-sterilizovannykh-koshek-i-kastrirovannykh-kotov-harly-cat-premium-s-indeykoy-i-vitaminami-2-kg/103396954723?businessId=8291477&amp;clid=8291477&amp;model_id=1512218114&amp;distr_type=8&amp;pp=605" TargetMode="External"/><Relationship Id="rId569" Type="http://schemas.openxmlformats.org/officeDocument/2006/relationships/hyperlink" Target="https://www.wildberries.ru/catalog/165259041/detail.aspx" TargetMode="External"/><Relationship Id="rId326" Type="http://schemas.openxmlformats.org/officeDocument/2006/relationships/hyperlink" Target="https://www.ozon.ru/product/1591515871" TargetMode="External"/><Relationship Id="rId568" Type="http://schemas.openxmlformats.org/officeDocument/2006/relationships/hyperlink" Target="https://www.ozon.ru/product/871802851" TargetMode="External"/><Relationship Id="rId325" Type="http://schemas.openxmlformats.org/officeDocument/2006/relationships/hyperlink" Target="https://www.wildberries.ru/catalog/233815804/detail.aspx" TargetMode="External"/><Relationship Id="rId567" Type="http://schemas.openxmlformats.org/officeDocument/2006/relationships/hyperlink" Target="https://www.wildberries.ru/catalog/148387857/detail.aspx" TargetMode="External"/><Relationship Id="rId324" Type="http://schemas.openxmlformats.org/officeDocument/2006/relationships/hyperlink" Target="https://drive.google.com/drive/folders/1xjKGrJ3DM-_XaFohRIPrDbFXq1i-mW-F" TargetMode="External"/><Relationship Id="rId566" Type="http://schemas.openxmlformats.org/officeDocument/2006/relationships/hyperlink" Target="https://drive.google.com/drive/folders/1PLQXMIWgz1SSxfgHiVhrnIHpMHTfZHrO" TargetMode="External"/><Relationship Id="rId329" Type="http://schemas.openxmlformats.org/officeDocument/2006/relationships/hyperlink" Target="https://www.ozon.ru/product/1703901908" TargetMode="External"/><Relationship Id="rId328" Type="http://schemas.openxmlformats.org/officeDocument/2006/relationships/hyperlink" Target="https://www.wildberries.ru/catalog/263835222/detail.aspx" TargetMode="External"/><Relationship Id="rId561" Type="http://schemas.openxmlformats.org/officeDocument/2006/relationships/hyperlink" Target="https://www.wildberries.ru/catalog/159661866/detail.aspx" TargetMode="External"/><Relationship Id="rId1150" Type="http://schemas.openxmlformats.org/officeDocument/2006/relationships/hyperlink" Target="https://market.yandex.ru/card/krem-maz-dlya-sustavov-i-svyazok-biotrin-obezbolivayushchiy-30-ml/103340891723?businessId=1422090&amp;clid=1422090&amp;model_id=49499284&amp;distr_type=8&amp;pp=605" TargetMode="External"/><Relationship Id="rId560" Type="http://schemas.openxmlformats.org/officeDocument/2006/relationships/hyperlink" Target="https://www.ozon.ru/product/1020776527" TargetMode="External"/><Relationship Id="rId1151" Type="http://schemas.openxmlformats.org/officeDocument/2006/relationships/hyperlink" Target="https://www.wildberries.ru/catalog/484548663/detail.aspx" TargetMode="External"/><Relationship Id="rId1152" Type="http://schemas.openxmlformats.org/officeDocument/2006/relationships/hyperlink" Target="https://www.ozon.ru/product/2583100450" TargetMode="External"/><Relationship Id="rId1153" Type="http://schemas.openxmlformats.org/officeDocument/2006/relationships/hyperlink" Target="https://market.yandex.ru/card/gel-dlya-britya-muzhskoy-okhlazhdayushchiy-s-mentolom-alteya-300-ml/4600676003?businessId=1422090&amp;clid=1422090&amp;model_id=1351525345&amp;distr_type=8&amp;pp=605" TargetMode="External"/><Relationship Id="rId323" Type="http://schemas.openxmlformats.org/officeDocument/2006/relationships/hyperlink" Target="https://market.yandex.ru/card/sukhoy-korm-dlya-sterilizovannykh-koshek-i-kastrirovannykh-kotov-harly-cat-premium-s-telyatinoy-i-vitaminami-2-kg/103396954722?businessId=8291477&amp;showOriginalKmEmptyOffer=1&amp;ogV=-10" TargetMode="External"/><Relationship Id="rId565" Type="http://schemas.openxmlformats.org/officeDocument/2006/relationships/hyperlink" Target="https://market.yandex.ru/card/spirulina-khlorella-600-mg-qeep-60-kapsul/101797607977?businessId=8291477&amp;showOriginalKmEmptyOffer=1&amp;ogV=-10" TargetMode="External"/><Relationship Id="rId1154" Type="http://schemas.openxmlformats.org/officeDocument/2006/relationships/hyperlink" Target="https://mm.ru/product/gel-dlya-britya-5880768?skuId=13131162" TargetMode="External"/><Relationship Id="rId322" Type="http://schemas.openxmlformats.org/officeDocument/2006/relationships/hyperlink" Target="https://www.ozon.ru/product/1596646080" TargetMode="External"/><Relationship Id="rId564" Type="http://schemas.openxmlformats.org/officeDocument/2006/relationships/hyperlink" Target="https://www.ozon.ru/product/617343284" TargetMode="External"/><Relationship Id="rId1155" Type="http://schemas.openxmlformats.org/officeDocument/2006/relationships/hyperlink" Target="https://www.wildberries.ru/catalog/276258805/detail.aspx" TargetMode="External"/><Relationship Id="rId321" Type="http://schemas.openxmlformats.org/officeDocument/2006/relationships/hyperlink" Target="https://www.wildberries.ru/catalog/233855851/detail.aspx" TargetMode="External"/><Relationship Id="rId563" Type="http://schemas.openxmlformats.org/officeDocument/2006/relationships/hyperlink" Target="https://www.wildberries.ru/catalog/90380690/detail.aspx" TargetMode="External"/><Relationship Id="rId1156" Type="http://schemas.openxmlformats.org/officeDocument/2006/relationships/hyperlink" Target="https://www.ozon.ru/product/1745055145" TargetMode="External"/><Relationship Id="rId320" Type="http://schemas.openxmlformats.org/officeDocument/2006/relationships/hyperlink" Target="https://drive.google.com/drive/folders/1cT0FX1mgChHvXfSI56eS9VjnbnH47GC5" TargetMode="External"/><Relationship Id="rId562" Type="http://schemas.openxmlformats.org/officeDocument/2006/relationships/hyperlink" Target="https://www.ozon.ru/product/966794115" TargetMode="External"/><Relationship Id="rId1157" Type="http://schemas.openxmlformats.org/officeDocument/2006/relationships/hyperlink" Target="https://market.yandex.ru/card/kompleks-dlya-podderzhaniya-i-ochishcheniya-limfaticheskoy-sistemy-alteya-30-kapsul/103599446650?businessId=1422090&amp;clid=1422090&amp;model_id=1215621363&amp;distr_type=8&amp;pp=605" TargetMode="External"/><Relationship Id="rId1147" Type="http://schemas.openxmlformats.org/officeDocument/2006/relationships/hyperlink" Target="https://market.yandex.ru/card/pirantoks-antiparazitarnyy-kompleks-ot-parazitov-i-glistov-10-kapsul-detoks/101806805904?businessId=1422090&amp;clid=1422090&amp;model_id=1215621363&amp;distr_type=8&amp;pp=605" TargetMode="External"/><Relationship Id="rId1148" Type="http://schemas.openxmlformats.org/officeDocument/2006/relationships/hyperlink" Target="https://www.wildberries.ru/catalog/17905705/detail.aspx" TargetMode="External"/><Relationship Id="rId1149" Type="http://schemas.openxmlformats.org/officeDocument/2006/relationships/hyperlink" Target="https://www.ozon.ru/product/289386465" TargetMode="External"/><Relationship Id="rId316" Type="http://schemas.openxmlformats.org/officeDocument/2006/relationships/hyperlink" Target="https://market.yandex.ru/card/kollagen-peptidnyy-poroshok-dlya-sustavov-i-svyazok-so-vkusom-limona-5500-mg-qeep-30-portsiy/101841345736?businessId=8291477&amp;clid=8291477&amp;model_id=1111517446&amp;distr_type=8&amp;pp=605" TargetMode="External"/><Relationship Id="rId558" Type="http://schemas.openxmlformats.org/officeDocument/2006/relationships/hyperlink" Target="https://www.ozon.ru/product/950391195" TargetMode="External"/><Relationship Id="rId315" Type="http://schemas.openxmlformats.org/officeDocument/2006/relationships/hyperlink" Target="https://www.ozon.ru/product/772327930" TargetMode="External"/><Relationship Id="rId557" Type="http://schemas.openxmlformats.org/officeDocument/2006/relationships/hyperlink" Target="https://www.wildberries.ru/catalog/158306407/detail.aspx" TargetMode="External"/><Relationship Id="rId799" Type="http://schemas.openxmlformats.org/officeDocument/2006/relationships/hyperlink" Target="https://www.ozon.ru/product/2138175361" TargetMode="External"/><Relationship Id="rId314" Type="http://schemas.openxmlformats.org/officeDocument/2006/relationships/hyperlink" Target="https://www.wildberries.ru/catalog/131852033/detail.aspx" TargetMode="External"/><Relationship Id="rId556" Type="http://schemas.openxmlformats.org/officeDocument/2006/relationships/hyperlink" Target="https://www.ozon.ru/product/948290832" TargetMode="External"/><Relationship Id="rId798" Type="http://schemas.openxmlformats.org/officeDocument/2006/relationships/hyperlink" Target="https://www.wildberries.ru/catalog/418209838/detail.aspx" TargetMode="External"/><Relationship Id="rId313" Type="http://schemas.openxmlformats.org/officeDocument/2006/relationships/hyperlink" Target="https://market.yandex.ru/card/kollagen-peptidnyy-poroshok-dlya-sustavov-i-svyazok-5500-mg-qeep-30-portsiy/101841345735?businessId=8291477&amp;clid=8291477&amp;model_id=1111517446&amp;distr_type=8&amp;pp=605" TargetMode="External"/><Relationship Id="rId555" Type="http://schemas.openxmlformats.org/officeDocument/2006/relationships/hyperlink" Target="https://www.wildberries.ru/catalog/157970824/detail.aspx" TargetMode="External"/><Relationship Id="rId797" Type="http://schemas.openxmlformats.org/officeDocument/2006/relationships/hyperlink" Target="https://market.yandex.ru/card/khvoynyy-ekstrakt-dlya-immuniteta-i-ozdorovleniya-khvoynitsa-7-sashe/103340899028?do-waremd5=QHlGOQxLdn4Nkbt3Ug8P0w&amp;businessId=1422090&amp;generalContext=t%3DshopInShop%3Bbi%3D1422090%3B&amp;ogV=-10" TargetMode="External"/><Relationship Id="rId319" Type="http://schemas.openxmlformats.org/officeDocument/2006/relationships/hyperlink" Target="https://market.yandex.ru/card/kollagen-peptidnyy-poroshok-dlya-sustavov-i-svyazok-so-vkusom-mango-5500-mg-qeep-30-portsiy/101841345737?businessId=8291477&amp;clid=8291477&amp;model_id=1111517446&amp;distr_type=8&amp;pp=605" TargetMode="External"/><Relationship Id="rId318" Type="http://schemas.openxmlformats.org/officeDocument/2006/relationships/hyperlink" Target="https://www.ozon.ru/product/771659759" TargetMode="External"/><Relationship Id="rId317" Type="http://schemas.openxmlformats.org/officeDocument/2006/relationships/hyperlink" Target="https://www.wildberries.ru/catalog/131852032/detail.aspx" TargetMode="External"/><Relationship Id="rId559" Type="http://schemas.openxmlformats.org/officeDocument/2006/relationships/hyperlink" Target="https://www.wildberries.ru/catalog/163758027/detail.aspx" TargetMode="External"/><Relationship Id="rId550" Type="http://schemas.openxmlformats.org/officeDocument/2006/relationships/hyperlink" Target="https://www.wildberries.ru/catalog/188611559/detail.aspx" TargetMode="External"/><Relationship Id="rId792" Type="http://schemas.openxmlformats.org/officeDocument/2006/relationships/hyperlink" Target="https://www.wildberries.ru/catalog/234147545/detail.aspx" TargetMode="External"/><Relationship Id="rId791" Type="http://schemas.openxmlformats.org/officeDocument/2006/relationships/hyperlink" Target="https://mm.ru/product/maska-dlya-volos-5868855?skuId=13110233" TargetMode="External"/><Relationship Id="rId1140" Type="http://schemas.openxmlformats.org/officeDocument/2006/relationships/hyperlink" Target="https://www.ozon.ru/product/1629559728" TargetMode="External"/><Relationship Id="rId790" Type="http://schemas.openxmlformats.org/officeDocument/2006/relationships/hyperlink" Target="https://www.letu.ru/product/alteya-maska-dlya-volos-professionalnaya-s-keratinom-vosstanavlivayushchaya-balzam-dlya-volos/163501102?sort=default&amp;open=ingredient%7EforWhom%7EskinNeeds%7EcleanBeauty&amp;hide=expectedEffect%7EnotContain%7EhairType" TargetMode="External"/><Relationship Id="rId1141" Type="http://schemas.openxmlformats.org/officeDocument/2006/relationships/hyperlink" Target="https://market.yandex.ru/card/magniy-v6-s-lavandoy-alteya-relaksinol-60-kapsul/103515407818?businessId=1422090&amp;clid=1422090&amp;model_id=1352508276&amp;distr_type=8&amp;pp=605" TargetMode="External"/><Relationship Id="rId1142" Type="http://schemas.openxmlformats.org/officeDocument/2006/relationships/hyperlink" Target="https://www.wildberries.ru/catalog/18836119/detail.aspx" TargetMode="External"/><Relationship Id="rId312" Type="http://schemas.openxmlformats.org/officeDocument/2006/relationships/hyperlink" Target="https://www.ozon.ru/product/772327923" TargetMode="External"/><Relationship Id="rId554" Type="http://schemas.openxmlformats.org/officeDocument/2006/relationships/hyperlink" Target="https://www.ozon.ru/product/967642951" TargetMode="External"/><Relationship Id="rId796" Type="http://schemas.openxmlformats.org/officeDocument/2006/relationships/hyperlink" Target="https://www.ozon.ru/product/736435678" TargetMode="External"/><Relationship Id="rId1143" Type="http://schemas.openxmlformats.org/officeDocument/2006/relationships/hyperlink" Target="https://www.ozon.ru/product/290202723" TargetMode="External"/><Relationship Id="rId311" Type="http://schemas.openxmlformats.org/officeDocument/2006/relationships/hyperlink" Target="https://www.wildberries.ru/catalog/131852035/detail.aspx" TargetMode="External"/><Relationship Id="rId553" Type="http://schemas.openxmlformats.org/officeDocument/2006/relationships/hyperlink" Target="https://www.wildberries.ru/catalog/159980276/detail.aspx" TargetMode="External"/><Relationship Id="rId795" Type="http://schemas.openxmlformats.org/officeDocument/2006/relationships/hyperlink" Target="https://www.wildberries.ru/catalog/104628658/detail.aspx" TargetMode="External"/><Relationship Id="rId1144" Type="http://schemas.openxmlformats.org/officeDocument/2006/relationships/hyperlink" Target="https://market.yandex.ru/card/sredstvo-ot-alkogolizma-i-alkogolnoy-zavisimosti-trezor-10-sashe/103340893703?businessId=1422090&amp;clid=1422090&amp;model_id=1337113322&amp;distr_type=8&amp;pp=605" TargetMode="External"/><Relationship Id="rId310" Type="http://schemas.openxmlformats.org/officeDocument/2006/relationships/hyperlink" Target="https://docs.google.com/document/d/1TdX7bOpUzizlnYsgpZjEVStPU6vGcEkVmx0izqrKJlM/edit?usp=sharing" TargetMode="External"/><Relationship Id="rId552" Type="http://schemas.openxmlformats.org/officeDocument/2006/relationships/hyperlink" Target="https://drive.google.com/drive/folders/1x-RKGM71E3c5EAEFOlXwVYq4bdNaD-sn" TargetMode="External"/><Relationship Id="rId794" Type="http://schemas.openxmlformats.org/officeDocument/2006/relationships/hyperlink" Target="https://market.yandex.ru/card/krem-maz-ot-varikoza-konskiy-kashtan-alteya-varifit-30-ml/103515397749?businessId=1422090&amp;clid=1422090&amp;model_id=1256606336&amp;distr_type=8&amp;pp=605" TargetMode="External"/><Relationship Id="rId1145" Type="http://schemas.openxmlformats.org/officeDocument/2006/relationships/hyperlink" Target="https://www.wildberries.ru/catalog/119939935/detail.aspx" TargetMode="External"/><Relationship Id="rId551" Type="http://schemas.openxmlformats.org/officeDocument/2006/relationships/hyperlink" Target="https://www.ozon.ru/product/1286883075" TargetMode="External"/><Relationship Id="rId793" Type="http://schemas.openxmlformats.org/officeDocument/2006/relationships/hyperlink" Target="https://www.ozon.ru/product/1590032182" TargetMode="External"/><Relationship Id="rId1146" Type="http://schemas.openxmlformats.org/officeDocument/2006/relationships/hyperlink" Target="https://www.ozon.ru/product/669985038" TargetMode="External"/><Relationship Id="rId297" Type="http://schemas.openxmlformats.org/officeDocument/2006/relationships/hyperlink" Target="https://www.ozon.ru/product/1563742020" TargetMode="External"/><Relationship Id="rId296" Type="http://schemas.openxmlformats.org/officeDocument/2006/relationships/hyperlink" Target="https://www.wildberries.ru/catalog/228329542/detail.aspx" TargetMode="External"/><Relationship Id="rId295" Type="http://schemas.openxmlformats.org/officeDocument/2006/relationships/hyperlink" Target="https://disk.yandex.ru/d/QgMX7JJSA0ZCdg" TargetMode="External"/><Relationship Id="rId294" Type="http://schemas.openxmlformats.org/officeDocument/2006/relationships/hyperlink" Target="https://drive.google.com/drive/folders/1RduJO02y0QEdXb8BjVojXxZmne38XFVi" TargetMode="External"/><Relationship Id="rId299" Type="http://schemas.openxmlformats.org/officeDocument/2006/relationships/hyperlink" Target="https://www.wildberries.ru/catalog/228329661/detail.aspx" TargetMode="External"/><Relationship Id="rId298" Type="http://schemas.openxmlformats.org/officeDocument/2006/relationships/hyperlink" Target="https://market.yandex.ru/card/kollagen-zhidkiy-govyazhiy-5000-mg-qeep-yabloko-14-shotov-po-25-ml/103397906852?businessId=8291477&amp;showOriginalKmEmptyOffer=1&amp;ogV=-10" TargetMode="External"/><Relationship Id="rId271" Type="http://schemas.openxmlformats.org/officeDocument/2006/relationships/hyperlink" Target="https://www.wildberries.ru/catalog/209196024/detail.aspx" TargetMode="External"/><Relationship Id="rId270" Type="http://schemas.openxmlformats.org/officeDocument/2006/relationships/hyperlink" Target="https://drive.google.com/drive/folders/1moRzguS5Ptx9hhgAKcigDTHgVdJci-MP" TargetMode="External"/><Relationship Id="rId269" Type="http://schemas.openxmlformats.org/officeDocument/2006/relationships/hyperlink" Target="https://www.ozon.ru/product/1032695400" TargetMode="External"/><Relationship Id="rId264" Type="http://schemas.openxmlformats.org/officeDocument/2006/relationships/hyperlink" Target="https://www.ozon.ru/product/814824220" TargetMode="External"/><Relationship Id="rId263" Type="http://schemas.openxmlformats.org/officeDocument/2006/relationships/hyperlink" Target="https://www.wildberries.ru/catalog/138758948/detail.aspx" TargetMode="External"/><Relationship Id="rId262" Type="http://schemas.openxmlformats.org/officeDocument/2006/relationships/hyperlink" Target="https://drive.google.com/drive/folders/1nyCK7KtfFdw6ATDyZiUsp-8R_xsvasJf" TargetMode="External"/><Relationship Id="rId261" Type="http://schemas.openxmlformats.org/officeDocument/2006/relationships/hyperlink" Target="https://goldapple.ru/catalogsearch/result?q=99000121335" TargetMode="External"/><Relationship Id="rId268" Type="http://schemas.openxmlformats.org/officeDocument/2006/relationships/hyperlink" Target="https://www.wildberries.ru/catalog/165252790/detail.aspx" TargetMode="External"/><Relationship Id="rId267" Type="http://schemas.openxmlformats.org/officeDocument/2006/relationships/hyperlink" Target="https://disk.yandex.ru/d/uDHcYb7tZ1TpXQ" TargetMode="External"/><Relationship Id="rId266" Type="http://schemas.openxmlformats.org/officeDocument/2006/relationships/hyperlink" Target="https://docs.google.com/document/d/1V53-Zl8DYEAmao39JYKuOjznb2bYtKbB0kr7sWdpYbE/edit?tab=t.0" TargetMode="External"/><Relationship Id="rId265" Type="http://schemas.openxmlformats.org/officeDocument/2006/relationships/hyperlink" Target="https://market.yandex.ru/card/tsink-khelat-25-mg-qeep-90-tabletok/101948497015?businessId=8291477&amp;clid=8291477&amp;model_id=838753782&amp;distr_type=8&amp;pp=605" TargetMode="External"/><Relationship Id="rId260" Type="http://schemas.openxmlformats.org/officeDocument/2006/relationships/hyperlink" Target="https://market.yandex.ru/card/vitamin-d3-kapli-500-me-qeep-30-ml/102019832737?businessId=8291477&amp;clid=8291477&amp;model_id=1111672191&amp;distr_type=8&amp;pp=605" TargetMode="External"/><Relationship Id="rId259" Type="http://schemas.openxmlformats.org/officeDocument/2006/relationships/hyperlink" Target="https://www.ozon.ru/product/945003764" TargetMode="External"/><Relationship Id="rId258" Type="http://schemas.openxmlformats.org/officeDocument/2006/relationships/hyperlink" Target="https://www.wildberries.ru/catalog/157382017/detail.aspx" TargetMode="External"/><Relationship Id="rId253" Type="http://schemas.openxmlformats.org/officeDocument/2006/relationships/hyperlink" Target="https://drive.google.com/drive/folders/11V47raeGUzjMoy3mBCMqpcGPyba8nnqr" TargetMode="External"/><Relationship Id="rId495" Type="http://schemas.openxmlformats.org/officeDocument/2006/relationships/hyperlink" Target="https://market.yandex.ru/card/vitaminy-dlya-immuniteta-kompleks-d3-vitamin-s-i-tsink-khelat-qeep/103665484859?businessId=8291477&amp;clid=8291477&amp;model_id=1111672191&amp;distr_type=8&amp;pp=605" TargetMode="External"/><Relationship Id="rId252" Type="http://schemas.openxmlformats.org/officeDocument/2006/relationships/hyperlink" Target="https://market.yandex.ru/card/vitamin-s-500-mg-qeep-90-kapsul/103374785702?businessId=8291477&amp;clid=8291477&amp;model_id=1826260757&amp;distr_type=8&amp;pp=605" TargetMode="External"/><Relationship Id="rId494" Type="http://schemas.openxmlformats.org/officeDocument/2006/relationships/hyperlink" Target="https://www.ozon.ru/product/1773357213" TargetMode="External"/><Relationship Id="rId251" Type="http://schemas.openxmlformats.org/officeDocument/2006/relationships/hyperlink" Target="https://www.ozon.ru/product/1181035529" TargetMode="External"/><Relationship Id="rId493" Type="http://schemas.openxmlformats.org/officeDocument/2006/relationships/hyperlink" Target="https://www.wildberries.ru/catalog/294499845/detail.aspx" TargetMode="External"/><Relationship Id="rId250" Type="http://schemas.openxmlformats.org/officeDocument/2006/relationships/hyperlink" Target="https://www.wildberries.ru/catalog/176110909/detail.aspx" TargetMode="External"/><Relationship Id="rId492" Type="http://schemas.openxmlformats.org/officeDocument/2006/relationships/hyperlink" Target="https://market.yandex.ru/card/kompleks-vitaminov-dlya-zhenshchin-omega-3-biotin-kollagen-qeep/103665478170?businessId=8291477&amp;showOriginalKmEmptyOffer=1&amp;ogV=-10" TargetMode="External"/><Relationship Id="rId257" Type="http://schemas.openxmlformats.org/officeDocument/2006/relationships/hyperlink" Target="https://goldapple.ru/catalogsearch/result?q=99000122833" TargetMode="External"/><Relationship Id="rId499" Type="http://schemas.openxmlformats.org/officeDocument/2006/relationships/hyperlink" Target="https://www.ozon.ru/product/809190803" TargetMode="External"/><Relationship Id="rId256" Type="http://schemas.openxmlformats.org/officeDocument/2006/relationships/hyperlink" Target="https://market.yandex.ru/card/kurkumin-500-mg-qeep-60-kapsul/103262837666?businessId=8291477&amp;clid=8291477&amp;model_id=1826260757&amp;distr_type=8&amp;pp=605" TargetMode="External"/><Relationship Id="rId498" Type="http://schemas.openxmlformats.org/officeDocument/2006/relationships/hyperlink" Target="https://www.wildberries.ru/catalog/138754901/detail.aspx" TargetMode="External"/><Relationship Id="rId255" Type="http://schemas.openxmlformats.org/officeDocument/2006/relationships/hyperlink" Target="https://www.ozon.ru/product/881205774" TargetMode="External"/><Relationship Id="rId497" Type="http://schemas.openxmlformats.org/officeDocument/2006/relationships/hyperlink" Target="https://www.ozon.ru/product/786142411" TargetMode="External"/><Relationship Id="rId254" Type="http://schemas.openxmlformats.org/officeDocument/2006/relationships/hyperlink" Target="https://www.wildberries.ru/catalog/148382531/detail.aspx" TargetMode="External"/><Relationship Id="rId496" Type="http://schemas.openxmlformats.org/officeDocument/2006/relationships/hyperlink" Target="https://www.wildberries.ru/catalog/133694038/detail.aspx" TargetMode="External"/><Relationship Id="rId293" Type="http://schemas.openxmlformats.org/officeDocument/2006/relationships/hyperlink" Target="https://market.yandex.ru/card/loson-dlya-glaz-sobak-i-koshek-ochishchayushchiy-harly-100-ml/4335656072?businessId=8291477&amp;clid=8291477&amp;model_id=973176873&amp;distr_type=8&amp;pp=605" TargetMode="External"/><Relationship Id="rId292" Type="http://schemas.openxmlformats.org/officeDocument/2006/relationships/hyperlink" Target="https://www.ozon.ru/product/2022703709" TargetMode="External"/><Relationship Id="rId291" Type="http://schemas.openxmlformats.org/officeDocument/2006/relationships/hyperlink" Target="https://www.wildberries.ru/catalog/385728241/detail.aspx" TargetMode="External"/><Relationship Id="rId290" Type="http://schemas.openxmlformats.org/officeDocument/2006/relationships/hyperlink" Target="https://drive.google.com/drive/folders/1aiTWi4fH9Tu-9saz_vCQ_noHCVaBPg3B" TargetMode="External"/><Relationship Id="rId286" Type="http://schemas.openxmlformats.org/officeDocument/2006/relationships/hyperlink" Target="https://drive.google.com/drive/folders/1_ynF5VJKS5hkP0AnYAzDsSbtn4cLVINv" TargetMode="External"/><Relationship Id="rId285" Type="http://schemas.openxmlformats.org/officeDocument/2006/relationships/hyperlink" Target="https://market.yandex.ru/card/vitamin-a-10000-me-qeep-90-kapsul/103398256607?businessId=8291477&amp;clid=8291477&amp;model_id=838753782&amp;distr_type=8&amp;pp=605" TargetMode="External"/><Relationship Id="rId284" Type="http://schemas.openxmlformats.org/officeDocument/2006/relationships/hyperlink" Target="https://www.ozon.ru/product/1539152458" TargetMode="External"/><Relationship Id="rId283" Type="http://schemas.openxmlformats.org/officeDocument/2006/relationships/hyperlink" Target="https://www.wildberries.ru/catalog/221232387/detail.aspx" TargetMode="External"/><Relationship Id="rId289" Type="http://schemas.openxmlformats.org/officeDocument/2006/relationships/hyperlink" Target="https://market.yandex.ru/card/ushnyye-kapli-dlya-chistki-ushey-sobak-i-koshek-harly/103397002660?businessId=8291477&amp;clid=8291477&amp;model_id=973176873&amp;distr_type=8&amp;pp=605" TargetMode="External"/><Relationship Id="rId288" Type="http://schemas.openxmlformats.org/officeDocument/2006/relationships/hyperlink" Target="https://www.ozon.ru/product/1580754644" TargetMode="External"/><Relationship Id="rId287" Type="http://schemas.openxmlformats.org/officeDocument/2006/relationships/hyperlink" Target="https://www.wildberries.ru/catalog/232451654/detail.aspx" TargetMode="External"/><Relationship Id="rId282" Type="http://schemas.openxmlformats.org/officeDocument/2006/relationships/hyperlink" Target="https://market.yandex.ru/card/kurkumin-130-mg-qeep-60-kapsul/102210720237?businessId=8291477&amp;clid=8291477&amp;model_id=1826260757&amp;distr_type=8&amp;pp=605" TargetMode="External"/><Relationship Id="rId281" Type="http://schemas.openxmlformats.org/officeDocument/2006/relationships/hyperlink" Target="https://www.ozon.ru/product/650726667" TargetMode="External"/><Relationship Id="rId280" Type="http://schemas.openxmlformats.org/officeDocument/2006/relationships/hyperlink" Target="https://www.wildberries.ru/catalog/91969213/detail.aspx" TargetMode="External"/><Relationship Id="rId275" Type="http://schemas.openxmlformats.org/officeDocument/2006/relationships/hyperlink" Target="https://drive.google.com/drive/folders/1Ff011wv7rQ4F7-IgqVQmiO7I_ZhEFkeB" TargetMode="External"/><Relationship Id="rId274" Type="http://schemas.openxmlformats.org/officeDocument/2006/relationships/hyperlink" Target="https://goldapple.ru/catalogsearch/result?q=99000121333" TargetMode="External"/><Relationship Id="rId273" Type="http://schemas.openxmlformats.org/officeDocument/2006/relationships/hyperlink" Target="https://market.yandex.ru/card/vitamin-d3-5000-me-k2-125-mkg-qeep-120-tabletok/103398256605?businessId=8291477&amp;clid=8291477&amp;model_id=1111672191&amp;distr_type=8&amp;pp=605" TargetMode="External"/><Relationship Id="rId272" Type="http://schemas.openxmlformats.org/officeDocument/2006/relationships/hyperlink" Target="https://www.ozon.ru/product/1499949331" TargetMode="External"/><Relationship Id="rId279" Type="http://schemas.openxmlformats.org/officeDocument/2006/relationships/hyperlink" Target="https://drive.google.com/drive/folders/1uNAsNA4oVTOq2LtvWwLXiSjLMH4BX0SI" TargetMode="External"/><Relationship Id="rId278" Type="http://schemas.openxmlformats.org/officeDocument/2006/relationships/hyperlink" Target="https://market.yandex.ru/card/vitamin-d3-2000-me-120-kapsul/103374785697?businessId=8291477&amp;clid=8291477&amp;model_id=1826260757&amp;distr_type=8&amp;pp=605" TargetMode="External"/><Relationship Id="rId277" Type="http://schemas.openxmlformats.org/officeDocument/2006/relationships/hyperlink" Target="https://www.ozon.ru/product/1342066127" TargetMode="External"/><Relationship Id="rId276" Type="http://schemas.openxmlformats.org/officeDocument/2006/relationships/hyperlink" Target="https://www.wildberries.ru/catalog/196519115/detail.aspx" TargetMode="External"/><Relationship Id="rId907" Type="http://schemas.openxmlformats.org/officeDocument/2006/relationships/hyperlink" Target="https://www.wildberries.ru/catalog/39234691/detail.aspx" TargetMode="External"/><Relationship Id="rId906" Type="http://schemas.openxmlformats.org/officeDocument/2006/relationships/hyperlink" Target="https://market.yandex.ru/card/buster-testosterona-dlya-potentsii-i-myshts-yokhimbe-i-maka-alteya-60-kapsul/103618443303?businessId=1422090&amp;clid=1422090&amp;model_id=841569704&amp;distr_type=8&amp;pp=605" TargetMode="External"/><Relationship Id="rId905" Type="http://schemas.openxmlformats.org/officeDocument/2006/relationships/hyperlink" Target="https://www.ozon.ru/product/1752060204" TargetMode="External"/><Relationship Id="rId904" Type="http://schemas.openxmlformats.org/officeDocument/2006/relationships/hyperlink" Target="https://www.wildberries.ru/catalog/280107477/detail.aspx" TargetMode="External"/><Relationship Id="rId909" Type="http://schemas.openxmlformats.org/officeDocument/2006/relationships/hyperlink" Target="https://www.wildberries.ru/catalog/172161991/detail.aspx" TargetMode="External"/><Relationship Id="rId908" Type="http://schemas.openxmlformats.org/officeDocument/2006/relationships/hyperlink" Target="https://www.ozon.ru/product/313362644" TargetMode="External"/><Relationship Id="rId903" Type="http://schemas.openxmlformats.org/officeDocument/2006/relationships/hyperlink" Target="https://market.yandex.ru/card/tabletki-ot-prostatita-dlya-muzhchin-zhenshen-koren-alteya-uromaks-20-kapsul-kh-2/4640691481?businessId=1422090&amp;clid=1422090&amp;model_id=696711021&amp;distr_type=8&amp;pp=605" TargetMode="External"/><Relationship Id="rId902" Type="http://schemas.openxmlformats.org/officeDocument/2006/relationships/hyperlink" Target="https://www.ozon.ru/product/2825142977" TargetMode="External"/><Relationship Id="rId901" Type="http://schemas.openxmlformats.org/officeDocument/2006/relationships/hyperlink" Target="https://www.wildberries.ru/catalog/525496523/detail.aspx" TargetMode="External"/><Relationship Id="rId900" Type="http://schemas.openxmlformats.org/officeDocument/2006/relationships/hyperlink" Target="https://market.yandex.ru/card/sredstvo-ot-davleniya-vitaminy-dlya-serdtsa-chistka-sosudov-alteya-karditsin-2-sht/103515447164?businessId=1422090&amp;clid=1422090&amp;model_id=1452481401&amp;distr_type=8&amp;pp=605" TargetMode="External"/><Relationship Id="rId929" Type="http://schemas.openxmlformats.org/officeDocument/2006/relationships/hyperlink" Target="https://www.ozon.ru/product/1541858934" TargetMode="External"/><Relationship Id="rId928" Type="http://schemas.openxmlformats.org/officeDocument/2006/relationships/hyperlink" Target="https://www.wildberries.ru/catalog/223410114/detail.aspx" TargetMode="External"/><Relationship Id="rId927" Type="http://schemas.openxmlformats.org/officeDocument/2006/relationships/hyperlink" Target="https://market.yandex.ru/card/otivin-ushnyye-kapli-dlya-slukha-i-vospaleniya-ushey10ml/103340901784?businessId=1422090&amp;clid=1422090&amp;model_id=427447470&amp;distr_type=8&amp;pp=605" TargetMode="External"/><Relationship Id="rId926" Type="http://schemas.openxmlformats.org/officeDocument/2006/relationships/hyperlink" Target="https://www.ozon.ru/product/792260062" TargetMode="External"/><Relationship Id="rId921" Type="http://schemas.openxmlformats.org/officeDocument/2006/relationships/hyperlink" Target="https://www.letu.ru/product/alteya-lamellyarnyi-krem-dlya-ruk-s-mochevinoi-uvlazhnyayushchii-i-pitatelnyi-s-maslom-kokosa/163501122?sort=default&amp;open=ingredient%7EforWhom%7EskinNeeds%7EcleanBeauty&amp;hide=expectedEffect%7EnotContain%7EhairType%7EskinTypes" TargetMode="External"/><Relationship Id="rId920" Type="http://schemas.openxmlformats.org/officeDocument/2006/relationships/hyperlink" Target="https://goldapple.ru/catalogsearch/result?q=99000114729" TargetMode="External"/><Relationship Id="rId925" Type="http://schemas.openxmlformats.org/officeDocument/2006/relationships/hyperlink" Target="https://www.wildberries.ru/catalog/136138948/detail.aspx" TargetMode="External"/><Relationship Id="rId924" Type="http://schemas.openxmlformats.org/officeDocument/2006/relationships/hyperlink" Target="https://www.ozon.ru/product/289049035" TargetMode="External"/><Relationship Id="rId923" Type="http://schemas.openxmlformats.org/officeDocument/2006/relationships/hyperlink" Target="https://www.wildberries.ru/catalog/17905393/detail.aspx" TargetMode="External"/><Relationship Id="rId922" Type="http://schemas.openxmlformats.org/officeDocument/2006/relationships/hyperlink" Target="https://mm.ru/product/lamellyarnyj-krem-dlya-5854268?skuId=13090622" TargetMode="External"/><Relationship Id="rId918" Type="http://schemas.openxmlformats.org/officeDocument/2006/relationships/hyperlink" Target="https://www.ozon.ru/product/1413555098" TargetMode="External"/><Relationship Id="rId917" Type="http://schemas.openxmlformats.org/officeDocument/2006/relationships/hyperlink" Target="https://www.wildberries.ru/catalog/205072071/detail.aspx" TargetMode="External"/><Relationship Id="rId916" Type="http://schemas.openxmlformats.org/officeDocument/2006/relationships/hyperlink" Target="https://www.ozon.ru/product/1323284376" TargetMode="External"/><Relationship Id="rId915" Type="http://schemas.openxmlformats.org/officeDocument/2006/relationships/hyperlink" Target="https://www.wildberries.ru/catalog/192906679/detail.aspx" TargetMode="External"/><Relationship Id="rId919" Type="http://schemas.openxmlformats.org/officeDocument/2006/relationships/hyperlink" Target="https://market.yandex.ru/card/lamellyarnyy-krem-dlya-ruk-s-mochevinoy-uvlazhnyayushchiy-i-pitatelnyy-s-maslom-kokosa-alteya-75-ml/103515429828?do-waremd5=Tila_wUz49J2UwdjYPBvgA&amp;businessId=1422090&amp;generalContext=t%3DshopInShop%3Bbi%3D1422090%3B&amp;ogV=-10" TargetMode="External"/><Relationship Id="rId910" Type="http://schemas.openxmlformats.org/officeDocument/2006/relationships/hyperlink" Target="https://www.ozon.ru/product/1646797818" TargetMode="External"/><Relationship Id="rId914" Type="http://schemas.openxmlformats.org/officeDocument/2006/relationships/hyperlink" Target="https://market.yandex.ru/card/mikardin-vitaminy-dlya-serdtsa-i-sosudov-ot-davleniya-bad--10-kapsul/103340896063?businessId=1422090&amp;clid=1422090&amp;model_id=696476475&amp;distr_type=8&amp;pp=605" TargetMode="External"/><Relationship Id="rId913" Type="http://schemas.openxmlformats.org/officeDocument/2006/relationships/hyperlink" Target="https://www.ozon.ru/product/296818697" TargetMode="External"/><Relationship Id="rId912" Type="http://schemas.openxmlformats.org/officeDocument/2006/relationships/hyperlink" Target="https://www.wildberries.ru/catalog/34282538/detail.aspx" TargetMode="External"/><Relationship Id="rId911" Type="http://schemas.openxmlformats.org/officeDocument/2006/relationships/hyperlink" Target="https://market.yandex.ru/card/biotrin-krem-gel-dnarprim--2/103544225050?businessId=1422090&amp;clid=1422090&amp;model_id=1103091052&amp;distr_type=8&amp;pp=605" TargetMode="External"/><Relationship Id="rId1213" Type="http://schemas.openxmlformats.org/officeDocument/2006/relationships/hyperlink" Target="https://market.yandex.ru/card/maz-ot-gribka-nogtey-i-stopy-nog-protivogribkovaya--dolgar-15-ml/103340894535?cpa=1&amp;noreask=1&amp;rt=22&amp;was_redir=1&amp;businessId=1422090&amp;_redirectCount=1" TargetMode="External"/><Relationship Id="rId1214" Type="http://schemas.openxmlformats.org/officeDocument/2006/relationships/hyperlink" Target="https://www.wildberries.ru/catalog/302594163/detail.aspx" TargetMode="External"/><Relationship Id="rId1215" Type="http://schemas.openxmlformats.org/officeDocument/2006/relationships/hyperlink" Target="https://www.ozon.ru/product/1793172927" TargetMode="External"/><Relationship Id="rId1216" Type="http://schemas.openxmlformats.org/officeDocument/2006/relationships/hyperlink" Target="https://market.yandex.ru/card/gel-dlya-dusha-zhenskiy-parfyumirovannyy-tobacco-vanille-alteya-450-ml/103701553227?do-waremd5=WifJkqHNEf6oe4v1y_GntA&amp;businessId=1422090&amp;ogV=-10" TargetMode="External"/><Relationship Id="rId1217" Type="http://schemas.openxmlformats.org/officeDocument/2006/relationships/hyperlink" Target="https://goldapple.ru/catalogsearch/result?q=99000081276" TargetMode="External"/><Relationship Id="rId1218" Type="http://schemas.openxmlformats.org/officeDocument/2006/relationships/hyperlink" Target="https://www.letu.ru/product/alteya-gel-dlya-dusha-zhenskii-parfyumirovannyi-tobacco-vanille/170000362?sort=default&amp;open=ingredient%7EforWhom%7EskinNeeds%7EcleanBeauty&amp;hide=expectedEffect%7EnotContain%7EhairType%7EskinTypes" TargetMode="External"/><Relationship Id="rId1219" Type="http://schemas.openxmlformats.org/officeDocument/2006/relationships/hyperlink" Target="https://mm.ru/product/gel-dlya-dusha-5871280?skuId=13112535" TargetMode="External"/><Relationship Id="rId629" Type="http://schemas.openxmlformats.org/officeDocument/2006/relationships/hyperlink" Target="https://www.ozon.ru/product/1657229241" TargetMode="External"/><Relationship Id="rId624" Type="http://schemas.openxmlformats.org/officeDocument/2006/relationships/hyperlink" Target="https://disk.yandex.ru/d/fra9EvHn3ABrvA" TargetMode="External"/><Relationship Id="rId866" Type="http://schemas.openxmlformats.org/officeDocument/2006/relationships/hyperlink" Target="https://www.wildberries.ru/catalog/103709897/detail.aspx" TargetMode="External"/><Relationship Id="rId623" Type="http://schemas.openxmlformats.org/officeDocument/2006/relationships/hyperlink" Target="https://www.letu.ru/product/alteya-krem-dlya-litsa-s-liposomalnym-retinolom-1-retinait/177305604?sort=default&amp;open=cleanBeauty%7Eingredient%7EskinNeeds&amp;hide=expectedEffect%7EnotContain%7EskinTypes" TargetMode="External"/><Relationship Id="rId865" Type="http://schemas.openxmlformats.org/officeDocument/2006/relationships/hyperlink" Target="https://www.letu.ru/product/alteya-maslo-dlya-volos-nesmyvaemoe/175800119?sort=default&amp;open=ingredient%7EforWhom%7EskinNeeds%7EcleanBeauty&amp;hide=expectedEffect%7EnotContain%7EhairType%7EskinTypes" TargetMode="External"/><Relationship Id="rId622" Type="http://schemas.openxmlformats.org/officeDocument/2006/relationships/hyperlink" Target="https://goldapple.ru/catalogsearch/result?q=99000124421" TargetMode="External"/><Relationship Id="rId864" Type="http://schemas.openxmlformats.org/officeDocument/2006/relationships/hyperlink" Target="https://market.yandex.ru/card/maslo-dlya-volos-nesmyvayemoye-professionalnoye-tom-ford-lost-cherry-alteya-110-ml/4700257494?businessId=1422090&amp;clid=1422090&amp;model_id=625585245&amp;distr_type=8&amp;pp=605" TargetMode="External"/><Relationship Id="rId621" Type="http://schemas.openxmlformats.org/officeDocument/2006/relationships/hyperlink" Target="https://market.yandex.ru/card/krem-dlya-litsa-s-liposomalnym-retinolom-1-retinayt/4644501567?do-waremd5=jXld2xbC9rOzMPrDdl1zBA&amp;businessId=1422090&amp;generalContext=t%3DshopInShop%3Bbi%3D1422090%3B&amp;ogV=-10" TargetMode="External"/><Relationship Id="rId863" Type="http://schemas.openxmlformats.org/officeDocument/2006/relationships/hyperlink" Target="https://www.ozon.ru/product/2168297398" TargetMode="External"/><Relationship Id="rId628" Type="http://schemas.openxmlformats.org/officeDocument/2006/relationships/hyperlink" Target="https://www.wildberries.ru/catalog/251796954/detail.aspx" TargetMode="External"/><Relationship Id="rId627" Type="http://schemas.openxmlformats.org/officeDocument/2006/relationships/hyperlink" Target="https://market.yandex.ru/card/insulayt-vitaminy-dlya-diabetikov-ot-sakharnogo-diabeta-49g/103340898158?businessId=1422090&amp;clid=1422090&amp;model_id=1352508276&amp;distr_type=8&amp;pp=605" TargetMode="External"/><Relationship Id="rId869" Type="http://schemas.openxmlformats.org/officeDocument/2006/relationships/hyperlink" Target="https://www.wildberries.ru/catalog/223437682/detail.aspx" TargetMode="External"/><Relationship Id="rId626" Type="http://schemas.openxmlformats.org/officeDocument/2006/relationships/hyperlink" Target="https://www.ozon.ru/product/751246155" TargetMode="External"/><Relationship Id="rId868" Type="http://schemas.openxmlformats.org/officeDocument/2006/relationships/hyperlink" Target="https://market.yandex.ru/card/sredstvo-ot-prostatita-aktivprost-dlya-prostaty-i-potentsii-10-kapsul/102204313641?businessId=1422090&amp;clid=1422090&amp;model_id=1286021343&amp;distr_type=8&amp;pp=605" TargetMode="External"/><Relationship Id="rId625" Type="http://schemas.openxmlformats.org/officeDocument/2006/relationships/hyperlink" Target="https://www.wildberries.ru/catalog/122988457/detail.aspx" TargetMode="External"/><Relationship Id="rId867" Type="http://schemas.openxmlformats.org/officeDocument/2006/relationships/hyperlink" Target="https://www.ozon.ru/product/732602771" TargetMode="External"/><Relationship Id="rId620" Type="http://schemas.openxmlformats.org/officeDocument/2006/relationships/hyperlink" Target="https://www.ozon.ru/product/2829866449" TargetMode="External"/><Relationship Id="rId862" Type="http://schemas.openxmlformats.org/officeDocument/2006/relationships/hyperlink" Target="https://www.wildberries.ru/catalog/423392974/detail.aspx" TargetMode="External"/><Relationship Id="rId861" Type="http://schemas.openxmlformats.org/officeDocument/2006/relationships/hyperlink" Target="https://market.yandex.ru/card/glyukozamin-khondroitin-msm-dlya-sustavov-i-svyazok-revmastop-alteya-60-kapsul/103637124074?do-waremd5=82t9fAMJb6Mw4cpeUhQdMA&amp;businessId=1422090&amp;generalContext=t%3DshopInShop%3Bbi%3D1422090%3B&amp;ogV=-10" TargetMode="External"/><Relationship Id="rId1210" Type="http://schemas.openxmlformats.org/officeDocument/2006/relationships/hyperlink" Target="https://market.yandex.ru/card/tabletki-dlya-pokhudeniya-zhiroszhigatel-detoks-dlya-snizheniya-vesa-alteya-chudofrukt-60-kapsul/102076571670?businessId=1422090&amp;clid=1422090&amp;model_id=967593294&amp;distr_type=8&amp;pp=605" TargetMode="External"/><Relationship Id="rId860" Type="http://schemas.openxmlformats.org/officeDocument/2006/relationships/hyperlink" Target="https://www.ozon.ru/product/1761037555" TargetMode="External"/><Relationship Id="rId1211" Type="http://schemas.openxmlformats.org/officeDocument/2006/relationships/hyperlink" Target="https://www.wildberries.ru/catalog/18953630/detail.aspx" TargetMode="External"/><Relationship Id="rId1212" Type="http://schemas.openxmlformats.org/officeDocument/2006/relationships/hyperlink" Target="https://www.ozon.ru/product/290413438" TargetMode="External"/><Relationship Id="rId1202" Type="http://schemas.openxmlformats.org/officeDocument/2006/relationships/hyperlink" Target="https://market.yandex.ru/card/sredstvo-ot-prostatita-dlya-potentsii-urolgan/103515423988?businessId=1422090&amp;clid=1422090&amp;model_id=696711021&amp;distr_type=8&amp;pp=605" TargetMode="External"/><Relationship Id="rId1203" Type="http://schemas.openxmlformats.org/officeDocument/2006/relationships/hyperlink" Target="https://www.wildberries.ru/catalog/45641409/detail.aspx" TargetMode="External"/><Relationship Id="rId1204" Type="http://schemas.openxmlformats.org/officeDocument/2006/relationships/hyperlink" Target="https://www.ozon.ru/product/291910198" TargetMode="External"/><Relationship Id="rId1205" Type="http://schemas.openxmlformats.org/officeDocument/2006/relationships/hyperlink" Target="https://www.wildberries.ru/catalog/223763016/detail.aspx" TargetMode="External"/><Relationship Id="rId1206" Type="http://schemas.openxmlformats.org/officeDocument/2006/relationships/hyperlink" Target="https://www.ozon.ru/product/1548063119" TargetMode="External"/><Relationship Id="rId1207" Type="http://schemas.openxmlformats.org/officeDocument/2006/relationships/hyperlink" Target="https://market.yandex.ru/card/pikolinat-khroma-dlya-pokhudeniya-detoks-zhiroszhigatel-alteya-frutalika-60-kapsul/103515412410?businessId=1422090&amp;clid=1422090&amp;model_id=967593294&amp;distr_type=8&amp;pp=605" TargetMode="External"/><Relationship Id="rId1208" Type="http://schemas.openxmlformats.org/officeDocument/2006/relationships/hyperlink" Target="https://www.wildberries.ru/catalog/167208205/detail.aspx" TargetMode="External"/><Relationship Id="rId1209" Type="http://schemas.openxmlformats.org/officeDocument/2006/relationships/hyperlink" Target="https://www.ozon.ru/product/1082252130" TargetMode="External"/><Relationship Id="rId619" Type="http://schemas.openxmlformats.org/officeDocument/2006/relationships/hyperlink" Target="https://www.wildberries.ru/catalog/526299109/detail.aspx" TargetMode="External"/><Relationship Id="rId618" Type="http://schemas.openxmlformats.org/officeDocument/2006/relationships/hyperlink" Target="https://market.yandex.ru/card/sredstvo-ot-davleniya-vitaminy-dlya-serdtsa-chistka-sosudov-alteya-arterol-10ml-kh-3/4640700956?businessId=1422090&amp;clid=1422090&amp;model_id=696476475&amp;distr_type=8&amp;pp=605" TargetMode="External"/><Relationship Id="rId613" Type="http://schemas.openxmlformats.org/officeDocument/2006/relationships/hyperlink" Target="https://www.wildberries.ru/catalog/222223765/detail.aspx" TargetMode="External"/><Relationship Id="rId855" Type="http://schemas.openxmlformats.org/officeDocument/2006/relationships/hyperlink" Target="https://market.yandex.ru/card/vitaminy-dlya-glaz-i-vosstanovleniya-zreniya-okospas-s-lyuteinom-i-chernikoy-10-ml/103333760896?businessId=1422090&amp;clid=1422090&amp;model_id=1910365656&amp;distr_type=8&amp;pp=605" TargetMode="External"/><Relationship Id="rId612" Type="http://schemas.openxmlformats.org/officeDocument/2006/relationships/hyperlink" Target="https://market.yandex.ru/card/sredstvo-ot-davleniya-vitaminy-dlya-serdtsa-chistka-sosudov-alteya-arterol-10ml/4661998525?businessId=1422090&amp;clid=1422090&amp;model_id=1736033173&amp;distr_type=8&amp;pp=605" TargetMode="External"/><Relationship Id="rId854" Type="http://schemas.openxmlformats.org/officeDocument/2006/relationships/hyperlink" Target="https://www.ozon.ru/product/836659639" TargetMode="External"/><Relationship Id="rId611" Type="http://schemas.openxmlformats.org/officeDocument/2006/relationships/hyperlink" Target="https://www.ozon.ru/product/1528107368" TargetMode="External"/><Relationship Id="rId853" Type="http://schemas.openxmlformats.org/officeDocument/2006/relationships/hyperlink" Target="https://www.wildberries.ru/catalog/142843069/detail.aspx" TargetMode="External"/><Relationship Id="rId610" Type="http://schemas.openxmlformats.org/officeDocument/2006/relationships/hyperlink" Target="https://www.wildberries.ru/catalog/222225755/detail.aspx" TargetMode="External"/><Relationship Id="rId852" Type="http://schemas.openxmlformats.org/officeDocument/2006/relationships/hyperlink" Target="https://mm.ru/product/shampun-ot-perkhoti-5854278?skuId=13090628" TargetMode="External"/><Relationship Id="rId617" Type="http://schemas.openxmlformats.org/officeDocument/2006/relationships/hyperlink" Target="https://www.ozon.ru/product/2825078710" TargetMode="External"/><Relationship Id="rId859" Type="http://schemas.openxmlformats.org/officeDocument/2006/relationships/hyperlink" Target="https://www.wildberries.ru/catalog/286568838/detail.aspx" TargetMode="External"/><Relationship Id="rId616" Type="http://schemas.openxmlformats.org/officeDocument/2006/relationships/hyperlink" Target="https://www.wildberries.ru/catalog/525494446/detail.aspx" TargetMode="External"/><Relationship Id="rId858" Type="http://schemas.openxmlformats.org/officeDocument/2006/relationships/hyperlink" Target="https://market.yandex.ru/card/vitaminy-dlya-glaz-lyutein-kompleks-dlya-glaz-dlya-zreniya-kompleks-vitaminov-a-e-s-tsink-dlya-uluchsheniya-i-vosstanovleniya-zreniya-uvlazhnyayushchiye-kapli--oftalmol-oftalmol/103515397915?do-waremd5=48Uklq_yOm0nsEIG5l5J1Q&amp;businessId=1422090&amp;generalContext=t%3DshopInShop%3Bbi%3D1422090%3B&amp;ogV=-10" TargetMode="External"/><Relationship Id="rId615" Type="http://schemas.openxmlformats.org/officeDocument/2006/relationships/hyperlink" Target="https://market.yandex.ru/card/vozbuditel-dlya-muzhchin-sredstvo-dlya-potentsii-i-erektsii-vitaminy-dlya-muzhchiny-kinzhal-20-kapsul/103529337206?businessId=1422090&amp;clid=1422090&amp;model_id=696711021&amp;distr_type=8&amp;pp=605" TargetMode="External"/><Relationship Id="rId857" Type="http://schemas.openxmlformats.org/officeDocument/2006/relationships/hyperlink" Target="https://www.ozon.ru/product/1542468939" TargetMode="External"/><Relationship Id="rId614" Type="http://schemas.openxmlformats.org/officeDocument/2006/relationships/hyperlink" Target="https://www.ozon.ru/product/1528074808" TargetMode="External"/><Relationship Id="rId856" Type="http://schemas.openxmlformats.org/officeDocument/2006/relationships/hyperlink" Target="https://www.wildberries.ru/catalog/224302599/detail.aspx" TargetMode="External"/><Relationship Id="rId851" Type="http://schemas.openxmlformats.org/officeDocument/2006/relationships/hyperlink" Target="https://www.letu.ru/product/alteya-shampun-ot-perhoti-lechebnyi-s-klimbazolom/163501211?sort=default&amp;open=ingredient%7EforWhom%7EskinNeeds%7EcleanBeauty&amp;hide=expectedEffect%7EnotContain%7EhairType%7EskinTypes" TargetMode="External"/><Relationship Id="rId850" Type="http://schemas.openxmlformats.org/officeDocument/2006/relationships/hyperlink" Target="https://goldapple.ru/catalogsearch/result?q=99000076206" TargetMode="External"/><Relationship Id="rId1200" Type="http://schemas.openxmlformats.org/officeDocument/2006/relationships/hyperlink" Target="https://www.wildberries.ru/catalog/223155748/detail.aspx" TargetMode="External"/><Relationship Id="rId1201" Type="http://schemas.openxmlformats.org/officeDocument/2006/relationships/hyperlink" Target="https://www.ozon.ru/product/1541839778" TargetMode="External"/><Relationship Id="rId1235" Type="http://schemas.openxmlformats.org/officeDocument/2006/relationships/hyperlink" Target="https://www.wildberries.ru/catalog/538087651/detail.aspx" TargetMode="External"/><Relationship Id="rId1236" Type="http://schemas.openxmlformats.org/officeDocument/2006/relationships/hyperlink" Target="https://www.ozon.ru/product/2860142614" TargetMode="External"/><Relationship Id="rId1237" Type="http://schemas.openxmlformats.org/officeDocument/2006/relationships/hyperlink" Target="https://market.yandex.ru/card/vosk-stik-dlya-ukladki-i-fiksatsii-volos/4737518234?businessId=1422090&amp;showOriginalKmEmptyOffer=1&amp;ogV=-10" TargetMode="External"/><Relationship Id="rId1238" Type="http://schemas.openxmlformats.org/officeDocument/2006/relationships/hyperlink" Target="https://www.letu.ru/product/alteya-vosk-stik-dlya-ukladki-i-fiksatsii-volos/179100032?sort=default&amp;open=ingredient%7EforWhom%7EskinNeeds%7EcleanBeauty&amp;hide=expectedEffect%7EnotContain%7EhairType%7EskinTypes" TargetMode="External"/><Relationship Id="rId1239" Type="http://schemas.openxmlformats.org/officeDocument/2006/relationships/hyperlink" Target="https://www.wildberries.ru/catalog/727028589/detail.aspx" TargetMode="External"/><Relationship Id="rId409" Type="http://schemas.openxmlformats.org/officeDocument/2006/relationships/hyperlink" Target="https://market.yandex.ru/card/buster-testosterona-bad-dlya-potentsii-i-myshts-sportivnyy-qeep-60-kapsul/103582149110?businessId=8291477&amp;clid=8291477&amp;model_id=925062646&amp;distr_type=8&amp;pp=605" TargetMode="External"/><Relationship Id="rId404" Type="http://schemas.openxmlformats.org/officeDocument/2006/relationships/hyperlink" Target="https://market.yandex.ru/card/testosteron-dlya-muzhchin-qeep-60-kapsul-ekdisteron-bad-dlya-potentsii-i-myshts-sportivnyy-tsink-testobuster-vitaminy-dlya-muzhchin-buster/4661959140?businessId=8291477&amp;clid=8291477&amp;model_id=4663002726&amp;distr_type=8&amp;pp=605" TargetMode="External"/><Relationship Id="rId646" Type="http://schemas.openxmlformats.org/officeDocument/2006/relationships/hyperlink" Target="https://www.ozon.ru/product/1691245886" TargetMode="External"/><Relationship Id="rId888" Type="http://schemas.openxmlformats.org/officeDocument/2006/relationships/hyperlink" Target="https://www.ozon.ru/product/1758604241" TargetMode="External"/><Relationship Id="rId403" Type="http://schemas.openxmlformats.org/officeDocument/2006/relationships/hyperlink" Target="https://www.ozon.ru/product/946980875" TargetMode="External"/><Relationship Id="rId645" Type="http://schemas.openxmlformats.org/officeDocument/2006/relationships/hyperlink" Target="https://www.wildberries.ru/catalog/260515862/detail.aspx" TargetMode="External"/><Relationship Id="rId887" Type="http://schemas.openxmlformats.org/officeDocument/2006/relationships/hyperlink" Target="https://www.wildberries.ru/catalog/283835152/detail.aspx" TargetMode="External"/><Relationship Id="rId402" Type="http://schemas.openxmlformats.org/officeDocument/2006/relationships/hyperlink" Target="https://www.wildberries.ru/catalog/156995682/detail.aspx" TargetMode="External"/><Relationship Id="rId644" Type="http://schemas.openxmlformats.org/officeDocument/2006/relationships/hyperlink" Target="https://disk.yandex.ru/d/B_-2oZuM2eEnRg" TargetMode="External"/><Relationship Id="rId886" Type="http://schemas.openxmlformats.org/officeDocument/2006/relationships/hyperlink" Target="https://disk.yandex.ru/d/rzySX6O5InEu0w" TargetMode="External"/><Relationship Id="rId401" Type="http://schemas.openxmlformats.org/officeDocument/2006/relationships/hyperlink" Target="https://market.yandex.ru/card/remuver-gel-qeep-dlya-udaleniya-kutikuly-40-ml-kh-2/4623332199?businessId=8291477&amp;showOriginalKmEmptyOffer=1&amp;ogV=-10" TargetMode="External"/><Relationship Id="rId643" Type="http://schemas.openxmlformats.org/officeDocument/2006/relationships/hyperlink" Target="https://www.letu.ru/product/alteya-syvorotka-dlya-litsa-s-niatsinamidom-ot-pryshchei-pigmentatsii/163501106?sort=default&amp;open=cleanBeauty%7Eingredient%7EskinNeeds&amp;hide=expectedEffect%7EnotContain%7EskinTypes%7EhairType" TargetMode="External"/><Relationship Id="rId885" Type="http://schemas.openxmlformats.org/officeDocument/2006/relationships/hyperlink" Target="https://www.letu.ru/product/alteya-gel-dlya-brovei-s-effektom-laminirovaniya/164000055" TargetMode="External"/><Relationship Id="rId408" Type="http://schemas.openxmlformats.org/officeDocument/2006/relationships/hyperlink" Target="https://www.ozon.ru/product/1731455142" TargetMode="External"/><Relationship Id="rId407" Type="http://schemas.openxmlformats.org/officeDocument/2006/relationships/hyperlink" Target="https://www.wildberries.ru/catalog/271462078/detail.aspx" TargetMode="External"/><Relationship Id="rId649" Type="http://schemas.openxmlformats.org/officeDocument/2006/relationships/hyperlink" Target="https://www.ozon.ru/product/1703614178" TargetMode="External"/><Relationship Id="rId406" Type="http://schemas.openxmlformats.org/officeDocument/2006/relationships/hyperlink" Target="https://docs.google.com/document/d/1kq7maQqlT_5_U90xeNTpTGT1eNw95WFrTbp7kuRhN58/edit?tab=t.0" TargetMode="External"/><Relationship Id="rId648" Type="http://schemas.openxmlformats.org/officeDocument/2006/relationships/hyperlink" Target="https://www.wildberries.ru/catalog/263802739/detail.aspx" TargetMode="External"/><Relationship Id="rId405" Type="http://schemas.openxmlformats.org/officeDocument/2006/relationships/hyperlink" Target="https://drive.google.com/drive/folders/1FxNHgVMk2Geoyn83tvBrHwqY0P1rbYAI" TargetMode="External"/><Relationship Id="rId647" Type="http://schemas.openxmlformats.org/officeDocument/2006/relationships/hyperlink" Target="https://market.yandex.ru/card/maz-ot-gribka-nogtey-na-nogakh-krem-gel-alteya-mikoplaks-mycoplax-15-ml/103515410999?businessId=1422090&amp;clid=1422090&amp;model_id=1256821997&amp;distr_type=8&amp;pp=605" TargetMode="External"/><Relationship Id="rId889" Type="http://schemas.openxmlformats.org/officeDocument/2006/relationships/hyperlink" Target="https://market.yandex.ru/card/vitaminy-gruppy-v-kompleks-alteya-60-zhevatelnykh-tabletok/103637134366?businessId=1422090&amp;clid=1422090&amp;model_id=1352508276&amp;distr_type=8&amp;pp=605" TargetMode="External"/><Relationship Id="rId880" Type="http://schemas.openxmlformats.org/officeDocument/2006/relationships/hyperlink" Target="https://market.yandex.ru/card/maz-ot-gribka-nogtey-i-stopy-nog-protivogribkovaya-daoshen-krem-gel-ot-gribka-nogtey--75-ml/102622145124?businessId=1422090&amp;clid=1422090&amp;model_id=1443573112&amp;distr_type=8&amp;pp=605" TargetMode="External"/><Relationship Id="rId1230" Type="http://schemas.openxmlformats.org/officeDocument/2006/relationships/hyperlink" Target="https://www.wildberries.ru/catalog/223763841/detail.aspx" TargetMode="External"/><Relationship Id="rId400" Type="http://schemas.openxmlformats.org/officeDocument/2006/relationships/hyperlink" Target="https://www.ozon.ru/product/2071319159" TargetMode="External"/><Relationship Id="rId642" Type="http://schemas.openxmlformats.org/officeDocument/2006/relationships/hyperlink" Target="https://goldapple.ru/catalogsearch/result?q=99000076203" TargetMode="External"/><Relationship Id="rId884" Type="http://schemas.openxmlformats.org/officeDocument/2006/relationships/hyperlink" Target="https://goldapple.ru/catalogsearch/result?q=99000076224" TargetMode="External"/><Relationship Id="rId1231" Type="http://schemas.openxmlformats.org/officeDocument/2006/relationships/hyperlink" Target="https://www.ozon.ru/product/1548065919" TargetMode="External"/><Relationship Id="rId641" Type="http://schemas.openxmlformats.org/officeDocument/2006/relationships/hyperlink" Target="https://www.ozon.ru/product/1613771317" TargetMode="External"/><Relationship Id="rId883" Type="http://schemas.openxmlformats.org/officeDocument/2006/relationships/hyperlink" Target="https://market.yandex.ru/card/gel-dlya-brovey-s-effektom-laminirovaniya-alteya-6-ml/103515384714?businessId=1422090&amp;clid=1422090&amp;model_id=1352604652&amp;distr_type=8&amp;pp=605" TargetMode="External"/><Relationship Id="rId1232" Type="http://schemas.openxmlformats.org/officeDocument/2006/relationships/hyperlink" Target="https://market.yandex.ru/card/krem-dlya-litsa-antivozrastnoy-krem-filler-vokrug-glaz-s-kollagenom-s-niatsinamidom-alteya-15-ml/103515402868?businessId=1422090&amp;clid=1422090&amp;model_id=1956097793&amp;distr_type=8&amp;pp=605" TargetMode="External"/><Relationship Id="rId640" Type="http://schemas.openxmlformats.org/officeDocument/2006/relationships/hyperlink" Target="https://www.wildberries.ru/catalog/239888358/detail.aspx" TargetMode="External"/><Relationship Id="rId882" Type="http://schemas.openxmlformats.org/officeDocument/2006/relationships/hyperlink" Target="https://www.ozon.ru/product/1671085702" TargetMode="External"/><Relationship Id="rId1233" Type="http://schemas.openxmlformats.org/officeDocument/2006/relationships/hyperlink" Target="https://www.letu.ru/product/alteya-krem-dlya-litsa-antivozrastnoi-krem-filler-vokrug-glaz-s-kollagenom-s-niatsinamidom/163200008?sort=default&amp;open=ingredient%7EforWhom%7EskinNeeds%7EcleanBeauty&amp;hide=expectedEffect%7EnotContain%7EhairType%7EskinTypes" TargetMode="External"/><Relationship Id="rId881" Type="http://schemas.openxmlformats.org/officeDocument/2006/relationships/hyperlink" Target="https://www.wildberries.ru/catalog/256005551/detail.aspx" TargetMode="External"/><Relationship Id="rId1234" Type="http://schemas.openxmlformats.org/officeDocument/2006/relationships/hyperlink" Target="https://docs.google.com/document/d/1a8k7lT27Pb8JWZfsNnKgOnpCeRJjYR5N/edit" TargetMode="External"/><Relationship Id="rId1224" Type="http://schemas.openxmlformats.org/officeDocument/2006/relationships/hyperlink" Target="https://www.ozon.ru/product/3043803801" TargetMode="External"/><Relationship Id="rId1225" Type="http://schemas.openxmlformats.org/officeDocument/2006/relationships/hyperlink" Target="https://market.yandex.ru/card/krem-dlya-litsa-s-retinolom-i-tseramidami-50-ml-retinayt/4737519927?businessId=1422090&amp;clid=1422090&amp;model_id=4936696924&amp;distr_type=8&amp;pp=605" TargetMode="External"/><Relationship Id="rId1226" Type="http://schemas.openxmlformats.org/officeDocument/2006/relationships/hyperlink" Target="https://disk.yandex.ru/d/LMcWGT9OQnwaPg" TargetMode="External"/><Relationship Id="rId1227" Type="http://schemas.openxmlformats.org/officeDocument/2006/relationships/hyperlink" Target="https://www.wildberries.ru/catalog/302460733/detail.aspx" TargetMode="External"/><Relationship Id="rId1228" Type="http://schemas.openxmlformats.org/officeDocument/2006/relationships/hyperlink" Target="https://www.ozon.ru/product/1805976932" TargetMode="External"/><Relationship Id="rId1229" Type="http://schemas.openxmlformats.org/officeDocument/2006/relationships/hyperlink" Target="https://market.yandex.ru/card/nabor-dlya-litsa-ukhodovyy-kosmeticheskiy-byuti-young-skin-box-alteya/103710293979?businessId=1422090&amp;clid=1422090&amp;model_id=4949707407&amp;distr_type=8&amp;pp=605" TargetMode="External"/><Relationship Id="rId635" Type="http://schemas.openxmlformats.org/officeDocument/2006/relationships/hyperlink" Target="https://www.wildberries.ru/catalog/214976664/detail.aspx" TargetMode="External"/><Relationship Id="rId877" Type="http://schemas.openxmlformats.org/officeDocument/2006/relationships/hyperlink" Target="https://market.yandex.ru/card/khvoynyy-ekstrakt-dlya-immuniteta-i-ozdorovleniya-khvoynitsa/103515429718?businessId=1422090&amp;clid=1422090&amp;model_id=1111427784&amp;distr_type=8&amp;pp=605" TargetMode="External"/><Relationship Id="rId634" Type="http://schemas.openxmlformats.org/officeDocument/2006/relationships/hyperlink" Target="https://disk.yandex.ru/d/bycXh5b51hSWWw" TargetMode="External"/><Relationship Id="rId876" Type="http://schemas.openxmlformats.org/officeDocument/2006/relationships/hyperlink" Target="https://www.ozon.ru/product/1191194423" TargetMode="External"/><Relationship Id="rId633" Type="http://schemas.openxmlformats.org/officeDocument/2006/relationships/hyperlink" Target="https://docs.google.com/document/d/1lulW_xs2ZsYnOB16CIdKXYs9CSsJjQmR/edit" TargetMode="External"/><Relationship Id="rId875" Type="http://schemas.openxmlformats.org/officeDocument/2006/relationships/hyperlink" Target="https://www.wildberries.ru/catalog/176858863/detail.aspx" TargetMode="External"/><Relationship Id="rId632" Type="http://schemas.openxmlformats.org/officeDocument/2006/relationships/hyperlink" Target="https://mm.ru/product/remuver-dlya-snyatiya-resnic-alteya-18-5868852?skuId=13110208" TargetMode="External"/><Relationship Id="rId874" Type="http://schemas.openxmlformats.org/officeDocument/2006/relationships/hyperlink" Target="https://market.yandex.ru/card/maz-dlya-sustavov-obezbolivayushchaya-panty-marala-krem-alteya-artoks-3030-ml/103515429719?businessId=1422090&amp;clid=1422090&amp;model_id=1754837206&amp;distr_type=8&amp;pp=605" TargetMode="External"/><Relationship Id="rId639" Type="http://schemas.openxmlformats.org/officeDocument/2006/relationships/hyperlink" Target="https://www.letu.ru/product/alteya-shampun-dlya-rosta-volos-ot-vypadeniya-volos-professionalnyi/163501107?sort=default&amp;open=cleanBeauty%7Eingredient%7EskinNeeds&amp;hide=expectedEffect%7EnotContain%7EskinTypes%7EhairType" TargetMode="External"/><Relationship Id="rId638" Type="http://schemas.openxmlformats.org/officeDocument/2006/relationships/hyperlink" Target="https://goldapple.ru/catalogsearch/result?q=99000076213" TargetMode="External"/><Relationship Id="rId637" Type="http://schemas.openxmlformats.org/officeDocument/2006/relationships/hyperlink" Target="https://market.yandex.ru/card/shampun-ot-vypadeniya-volos-dlya-rosta-volos-professionalnyy-alteya-250-ml/103515586487?businessId=1422090&amp;clid=1422090&amp;model_id=845619223&amp;distr_type=8&amp;pp=605" TargetMode="External"/><Relationship Id="rId879" Type="http://schemas.openxmlformats.org/officeDocument/2006/relationships/hyperlink" Target="https://www.ozon.ru/product/1350973604" TargetMode="External"/><Relationship Id="rId636" Type="http://schemas.openxmlformats.org/officeDocument/2006/relationships/hyperlink" Target="https://www.ozon.ru/product/1500240551" TargetMode="External"/><Relationship Id="rId878" Type="http://schemas.openxmlformats.org/officeDocument/2006/relationships/hyperlink" Target="https://www.wildberries.ru/catalog/197568699/detail.aspx" TargetMode="External"/><Relationship Id="rId631" Type="http://schemas.openxmlformats.org/officeDocument/2006/relationships/hyperlink" Target="https://www.letu.ru/product/alteya-remuver-dlya-snyatiya-resnits/163501098?sort=default&amp;open=cleanBeauty%7Eingredient%7EskinNeeds&amp;hide=expectedEffect%7EnotContain%7EskinTypes" TargetMode="External"/><Relationship Id="rId873" Type="http://schemas.openxmlformats.org/officeDocument/2006/relationships/hyperlink" Target="https://www.ozon.ru/product/1129261950" TargetMode="External"/><Relationship Id="rId1220" Type="http://schemas.openxmlformats.org/officeDocument/2006/relationships/hyperlink" Target="https://www.wildberries.ru/catalog/44552189/detail.aspx" TargetMode="External"/><Relationship Id="rId630" Type="http://schemas.openxmlformats.org/officeDocument/2006/relationships/hyperlink" Target="https://market.yandex.ru/card/remuver-dlya-snyatiya-resnits-alteya-15g/103701555890?businessId=1422090&amp;clid=1422090&amp;model_id=625548978&amp;distr_type=8&amp;pp=605" TargetMode="External"/><Relationship Id="rId872" Type="http://schemas.openxmlformats.org/officeDocument/2006/relationships/hyperlink" Target="https://www.wildberries.ru/catalog/172161336/detail.aspx" TargetMode="External"/><Relationship Id="rId1221" Type="http://schemas.openxmlformats.org/officeDocument/2006/relationships/hyperlink" Target="https://www.ozon.ru/product/359068917" TargetMode="External"/><Relationship Id="rId871" Type="http://schemas.openxmlformats.org/officeDocument/2006/relationships/hyperlink" Target="https://market.yandex.ru/card/tabletki-ot-izzhogi-dlya-zheludka-i-pecheni-chistka-pecheni-i-zheludka-enteroskhol-20-kapsul/103515427201?businessId=1422090&amp;clid=1422090&amp;model_id=625422045&amp;distr_type=8&amp;pp=605" TargetMode="External"/><Relationship Id="rId1222" Type="http://schemas.openxmlformats.org/officeDocument/2006/relationships/hyperlink" Target="https://market.yandex.ru/card/krem-ot-varikoza-ustalosti-i-otekov-nog-okhlazhdayushchiy-dar-drakona-30-ml/103331098181?businessId=1422090&amp;clid=1422090&amp;model_id=1256604478&amp;distr_type=8&amp;pp=605" TargetMode="External"/><Relationship Id="rId870" Type="http://schemas.openxmlformats.org/officeDocument/2006/relationships/hyperlink" Target="https://www.ozon.ru/product/1542004482" TargetMode="External"/><Relationship Id="rId1223" Type="http://schemas.openxmlformats.org/officeDocument/2006/relationships/hyperlink" Target="https://www.wildberries.ru/catalog/580359518/detail.aspx" TargetMode="External"/><Relationship Id="rId829" Type="http://schemas.openxmlformats.org/officeDocument/2006/relationships/hyperlink" Target="https://disk.yandex.ru/d/PhNbKSgkCBiuvw" TargetMode="External"/><Relationship Id="rId828" Type="http://schemas.openxmlformats.org/officeDocument/2006/relationships/hyperlink" Target="https://mm.ru/product/krem-dlya-volos-5876205?skuId=13121526" TargetMode="External"/><Relationship Id="rId827" Type="http://schemas.openxmlformats.org/officeDocument/2006/relationships/hyperlink" Target="https://www.letu.ru/product/alteya-razglazhivayushchii-krem-dlya-volos-dlya-neposlushnyh-ili-kudryavyh-volos-dlya-konchikov/172700107?sort=default&amp;open=ingredient%7EforWhom%7EskinNeeds%7EcleanBeauty&amp;hide=expectedEffect%7EnotContain%7EhairType%7EskinTypes" TargetMode="External"/><Relationship Id="rId822" Type="http://schemas.openxmlformats.org/officeDocument/2006/relationships/hyperlink" Target="https://www.ozon.ru/product/1528085750" TargetMode="External"/><Relationship Id="rId821" Type="http://schemas.openxmlformats.org/officeDocument/2006/relationships/hyperlink" Target="https://www.wildberries.ru/catalog/222223364/detail.aspx" TargetMode="External"/><Relationship Id="rId820" Type="http://schemas.openxmlformats.org/officeDocument/2006/relationships/hyperlink" Target="https://market.yandex.ru/card/diabet-vitaminy-pri-sakharnom-diabete-alteya-insulayt-49g-kh-2/4640680679?businessId=1422090&amp;clid=1422090&amp;model_id=1352508276&amp;distr_type=8&amp;pp=605" TargetMode="External"/><Relationship Id="rId826" Type="http://schemas.openxmlformats.org/officeDocument/2006/relationships/hyperlink" Target="https://market.yandex.ru/card/razglazhivayushchiy-krem-dlya-volos-praymer-konditsioner-rekonstruktor-flyuid-dlya-neposlushnykh-ili-kudryavykh-volos-dlya-konchikov-sultan-de-saba-300ml-alteya/4476306819?businessId=1422090&amp;clid=1422090&amp;model_id=1243125374&amp;distr_type=8&amp;pp=605" TargetMode="External"/><Relationship Id="rId825" Type="http://schemas.openxmlformats.org/officeDocument/2006/relationships/hyperlink" Target="https://www.ozon.ru/product/2067962201" TargetMode="External"/><Relationship Id="rId824" Type="http://schemas.openxmlformats.org/officeDocument/2006/relationships/hyperlink" Target="https://www.wildberries.ru/catalog/399766297/detail.aspx" TargetMode="External"/><Relationship Id="rId823" Type="http://schemas.openxmlformats.org/officeDocument/2006/relationships/hyperlink" Target="https://market.yandex.ru/card/tabletki-ot-nederzhaniya-mochi-ot-tsistita-alteya-urofol-20-kapsul/103515424475?businessId=1422090&amp;clid=1422090&amp;model_id=859804210&amp;distr_type=8&amp;pp=605" TargetMode="External"/><Relationship Id="rId819" Type="http://schemas.openxmlformats.org/officeDocument/2006/relationships/hyperlink" Target="https://www.ozon.ru/product/2825101652" TargetMode="External"/><Relationship Id="rId818" Type="http://schemas.openxmlformats.org/officeDocument/2006/relationships/hyperlink" Target="https://www.wildberries.ru/catalog/525494849/detail.aspx" TargetMode="External"/><Relationship Id="rId817" Type="http://schemas.openxmlformats.org/officeDocument/2006/relationships/hyperlink" Target="https://www.letu.ru/product/alteya-krem-dlya-vek-i-kozhi-vokrug-glaz-zhidkie-patchi-dlya-glaz/177305601?sort=default&amp;open=ingredient%7EforWhom%7EskinNeeds%7EcleanBeauty&amp;hide=expectedEffect%7EnotContain%7EhairType%7EskinTypes" TargetMode="External"/><Relationship Id="rId816" Type="http://schemas.openxmlformats.org/officeDocument/2006/relationships/hyperlink" Target="https://goldapple.ru/catalogsearch/result?q=99000125267" TargetMode="External"/><Relationship Id="rId811" Type="http://schemas.openxmlformats.org/officeDocument/2006/relationships/hyperlink" Target="https://www.letu.ru/product/alteya-gel-dlya-intimnoi-gigieny-s-molochnoi-kislotoi/175700244?sort=default&amp;open=ingredient%7EforWhom%7EskinNeeds%7EcleanBeauty&amp;hide=expectedEffect%7EnotContain%7EhairType%7EskinTypes" TargetMode="External"/><Relationship Id="rId810" Type="http://schemas.openxmlformats.org/officeDocument/2006/relationships/hyperlink" Target="https://goldapple.ru/catalogsearch/result?q=99000114723" TargetMode="External"/><Relationship Id="rId815" Type="http://schemas.openxmlformats.org/officeDocument/2006/relationships/hyperlink" Target="https://market.yandex.ru/card/krem-dlya-vek-i-kozhi-vokrug-glaz-alteya-30-ml/4537862103?businessId=1422090&amp;clid=1422090&amp;model_id=1418565286&amp;distr_type=8&amp;pp=605" TargetMode="External"/><Relationship Id="rId814" Type="http://schemas.openxmlformats.org/officeDocument/2006/relationships/hyperlink" Target="https://www.ozon.ru/product/2498445505" TargetMode="External"/><Relationship Id="rId813" Type="http://schemas.openxmlformats.org/officeDocument/2006/relationships/hyperlink" Target="https://www.wildberries.ru/catalog/471396076/detail.aspx" TargetMode="External"/><Relationship Id="rId812" Type="http://schemas.openxmlformats.org/officeDocument/2006/relationships/hyperlink" Target="https://mm.ru/product/gel-dlya-intimnoj-5880311?skuId=13130065" TargetMode="External"/><Relationship Id="rId609" Type="http://schemas.openxmlformats.org/officeDocument/2006/relationships/hyperlink" Target="https://market.yandex.ru/card/tabletki-ot-prostatita-dlya-muzhchin-zhenshen-koren-alteya-uromaks-20-kapsul/103515431798?businessId=1422090&amp;clid=1422090&amp;model_id=1286021343&amp;distr_type=8&amp;pp=605" TargetMode="External"/><Relationship Id="rId608" Type="http://schemas.openxmlformats.org/officeDocument/2006/relationships/hyperlink" Target="https://www.ozon.ru/product/1589191436" TargetMode="External"/><Relationship Id="rId607" Type="http://schemas.openxmlformats.org/officeDocument/2006/relationships/hyperlink" Target="https://www.wildberries.ru/catalog/234145577/detail.aspx" TargetMode="External"/><Relationship Id="rId849" Type="http://schemas.openxmlformats.org/officeDocument/2006/relationships/hyperlink" Target="https://market.yandex.ru/card/shampun-ot-perkhoti-lechebnyy-s-klimbazolom-alteya-250ml/103515586486?businessId=1422090&amp;clid=1422090&amp;model_id=845619223&amp;distr_type=8&amp;pp=605" TargetMode="External"/><Relationship Id="rId602" Type="http://schemas.openxmlformats.org/officeDocument/2006/relationships/hyperlink" Target="https://www.wildberries.ru/catalog/159980480/detail.aspx" TargetMode="External"/><Relationship Id="rId844" Type="http://schemas.openxmlformats.org/officeDocument/2006/relationships/hyperlink" Target="https://www.wildberries.ru/catalog/280062078/detail.aspx" TargetMode="External"/><Relationship Id="rId601" Type="http://schemas.openxmlformats.org/officeDocument/2006/relationships/hyperlink" Target="https://www.ozon.ru/product/946931550" TargetMode="External"/><Relationship Id="rId843" Type="http://schemas.openxmlformats.org/officeDocument/2006/relationships/hyperlink" Target="https://market.yandex.ru/card/berberin-dlya-kontrolya-sakhara-i-zhiroszhigatel-kholesterina-alteya-60-kapsul/103621547195?businessId=1422090&amp;clid=1422090&amp;model_id=859804210&amp;distr_type=8&amp;pp=605" TargetMode="External"/><Relationship Id="rId600" Type="http://schemas.openxmlformats.org/officeDocument/2006/relationships/hyperlink" Target="https://www.wildberries.ru/catalog/157011739/detail.aspx" TargetMode="External"/><Relationship Id="rId842" Type="http://schemas.openxmlformats.org/officeDocument/2006/relationships/hyperlink" Target="https://www.ozon.ru/product/1753227855" TargetMode="External"/><Relationship Id="rId841" Type="http://schemas.openxmlformats.org/officeDocument/2006/relationships/hyperlink" Target="https://www.wildberries.ru/catalog/280577427/detail.aspx" TargetMode="External"/><Relationship Id="rId606" Type="http://schemas.openxmlformats.org/officeDocument/2006/relationships/hyperlink" Target="https://market.yandex.ru/card/kavkazskaya-maz-naturalnoye-lechebnoye-sredstvo-dlya-sustavov-i-svyazok-obezbolivayushcheye-alteya-40ml/103515411883?businessId=1422090&amp;clid=1422090&amp;model_id=920571571&amp;distr_type=8&amp;pp=605" TargetMode="External"/><Relationship Id="rId848" Type="http://schemas.openxmlformats.org/officeDocument/2006/relationships/hyperlink" Target="https://www.ozon.ru/product/1440687097" TargetMode="External"/><Relationship Id="rId605" Type="http://schemas.openxmlformats.org/officeDocument/2006/relationships/hyperlink" Target="https://www.ozon.ru/product/1527086051" TargetMode="External"/><Relationship Id="rId847" Type="http://schemas.openxmlformats.org/officeDocument/2006/relationships/hyperlink" Target="https://www.wildberries.ru/catalog/208745988/detail.aspx" TargetMode="External"/><Relationship Id="rId604" Type="http://schemas.openxmlformats.org/officeDocument/2006/relationships/hyperlink" Target="https://www.wildberries.ru/catalog/222209699/detail.aspx" TargetMode="External"/><Relationship Id="rId846" Type="http://schemas.openxmlformats.org/officeDocument/2006/relationships/hyperlink" Target="https://market.yandex.ru/card/indol-3-karbinol-vitaminy-dlya-zhenshchin-ot-mastopatii-alteya-60-kapsul/103729785170?businessId=1422090&amp;clid=1422090&amp;model_id=1352508276&amp;distr_type=8&amp;pp=605" TargetMode="External"/><Relationship Id="rId603" Type="http://schemas.openxmlformats.org/officeDocument/2006/relationships/hyperlink" Target="https://www.ozon.ru/product/967670448" TargetMode="External"/><Relationship Id="rId845" Type="http://schemas.openxmlformats.org/officeDocument/2006/relationships/hyperlink" Target="https://www.ozon.ru/product/1752021365" TargetMode="External"/><Relationship Id="rId840" Type="http://schemas.openxmlformats.org/officeDocument/2006/relationships/hyperlink" Target="https://www.letu.ru/product/alteya-enzimnaya-pudra-dlya-umyvaniya-litsa-i-tela/163001777?sort=default&amp;open=ingredient%7EforWhom%7EskinNeeds%7EcleanBeauty&amp;hide=expectedEffect%7EnotContain%7EhairType%7EskinTypes" TargetMode="External"/><Relationship Id="rId839" Type="http://schemas.openxmlformats.org/officeDocument/2006/relationships/hyperlink" Target="https://goldapple.ru/catalogsearch/result?q=99000076220" TargetMode="External"/><Relationship Id="rId838" Type="http://schemas.openxmlformats.org/officeDocument/2006/relationships/hyperlink" Target="https://market.yandex.ru/card/enzimnaya-pudra-dlya-umyvaniya-litsa-i-tela-alteya-80-g/103599530489?businessId=1422090&amp;generalContext=t%3DshopInShop%3Bbi%3D1422090%3B&amp;showOriginalKmEmptyOffer=1&amp;ogV=-10" TargetMode="External"/><Relationship Id="rId833" Type="http://schemas.openxmlformats.org/officeDocument/2006/relationships/hyperlink" Target="https://www.wildberries.ru/catalog/234208976/detail.aspx" TargetMode="External"/><Relationship Id="rId832" Type="http://schemas.openxmlformats.org/officeDocument/2006/relationships/hyperlink" Target="https://market.yandex.ru/card/krem-ot-varikoza-ustalosti-i-otekov-nog-okhlazhdayushchiy-dar-drakona-30-ml/103331098181?businessId=1422090&amp;clid=1422090&amp;model_id=1256604478&amp;distr_type=8&amp;pp=605" TargetMode="External"/><Relationship Id="rId831" Type="http://schemas.openxmlformats.org/officeDocument/2006/relationships/hyperlink" Target="https://www.ozon.ru/product/359068917" TargetMode="External"/><Relationship Id="rId830" Type="http://schemas.openxmlformats.org/officeDocument/2006/relationships/hyperlink" Target="https://www.wildberries.ru/catalog/40812096/detail.aspx" TargetMode="External"/><Relationship Id="rId837" Type="http://schemas.openxmlformats.org/officeDocument/2006/relationships/hyperlink" Target="https://www.ozon.ru/product/1745153183" TargetMode="External"/><Relationship Id="rId836" Type="http://schemas.openxmlformats.org/officeDocument/2006/relationships/hyperlink" Target="https://www.wildberries.ru/catalog/276289241/detail.aspx" TargetMode="External"/><Relationship Id="rId835" Type="http://schemas.openxmlformats.org/officeDocument/2006/relationships/hyperlink" Target="https://market.yandex.ru/card/krem-gel-ot-gemorroya-i-analnykh-treshchin--gemorekt-15-ml/103515416657?businessId=1422090&amp;clid=1422090&amp;model_id=625398393&amp;distr_type=8&amp;pp=605" TargetMode="External"/><Relationship Id="rId834" Type="http://schemas.openxmlformats.org/officeDocument/2006/relationships/hyperlink" Target="https://www.ozon.ru/product/1590267064" TargetMode="External"/><Relationship Id="rId1059" Type="http://schemas.openxmlformats.org/officeDocument/2006/relationships/hyperlink" Target="https://www.letu.ru/product/alteya-termozashchita-dlya-volos-professionalnaya-s-keratinom-cyvorotka-dlya-volos/163501105?sort=default&amp;open=ingredient%7EforWhom%7EskinNeeds%7EcleanBeauty&amp;hide=expectedEffect%7EnotContain%7EhairType%7EskinTypes" TargetMode="External"/><Relationship Id="rId228" Type="http://schemas.openxmlformats.org/officeDocument/2006/relationships/hyperlink" Target="https://www.ozon.ru/product/985677823" TargetMode="External"/><Relationship Id="rId227" Type="http://schemas.openxmlformats.org/officeDocument/2006/relationships/hyperlink" Target="https://www.wildberries.ru/catalog/161526543/detail.aspx" TargetMode="External"/><Relationship Id="rId469" Type="http://schemas.openxmlformats.org/officeDocument/2006/relationships/hyperlink" Target="https://www.ozon.ru/product/1773345751" TargetMode="External"/><Relationship Id="rId226" Type="http://schemas.openxmlformats.org/officeDocument/2006/relationships/hyperlink" Target="https://drive.google.com/drive/folders/1fCnfdV2Eo5L84etkpz_GlEQbBCbEq5HA" TargetMode="External"/><Relationship Id="rId468" Type="http://schemas.openxmlformats.org/officeDocument/2006/relationships/hyperlink" Target="https://www.wildberries.ru/catalog/294499466/detail.aspx" TargetMode="External"/><Relationship Id="rId225" Type="http://schemas.openxmlformats.org/officeDocument/2006/relationships/hyperlink" Target="https://market.yandex.ru/card/betain-600-mg-qeep-60-kapsul/103374785701?businessId=8291477&amp;clid=8291477&amp;model_id=1826260757&amp;distr_type=8&amp;pp=605" TargetMode="External"/><Relationship Id="rId467" Type="http://schemas.openxmlformats.org/officeDocument/2006/relationships/hyperlink" Target="https://www.ozon.ru/product/1581800376" TargetMode="External"/><Relationship Id="rId1290" Type="http://schemas.openxmlformats.org/officeDocument/2006/relationships/hyperlink" Target="https://docs.google.com/document/d/1jlzikAujb1zNeMS35WOuifbpT4RWUUzm-jNuxwVeEuw/edit?tab=t.0" TargetMode="External"/><Relationship Id="rId1291" Type="http://schemas.openxmlformats.org/officeDocument/2006/relationships/hyperlink" Target="https://drive.google.com/drive/u/0/folders/15-fPql0mFxkzoDoVdt1aoec2cBrX3F72" TargetMode="External"/><Relationship Id="rId229" Type="http://schemas.openxmlformats.org/officeDocument/2006/relationships/hyperlink" Target="https://drive.google.com/drive/folders/1f4jOvNo9bbNfeCqj9rVDFqtxQaZ_OOTi" TargetMode="External"/><Relationship Id="rId1050" Type="http://schemas.openxmlformats.org/officeDocument/2006/relationships/hyperlink" Target="https://market.yandex.ru/card/syvorotka-dlya-rosta-resnits-i-brovey-alteya-6-ml/103555035570?businessId=1422090&amp;clid=1422090&amp;model_id=1352604652&amp;distr_type=8&amp;pp=605" TargetMode="External"/><Relationship Id="rId1292" Type="http://schemas.openxmlformats.org/officeDocument/2006/relationships/hyperlink" Target="https://docs.google.com/document/d/16T1_MSNEeotSZWPShlDL-a2vCmkfKkeIkczP_x2mXHM/edit?tab=t.0" TargetMode="External"/><Relationship Id="rId220" Type="http://schemas.openxmlformats.org/officeDocument/2006/relationships/hyperlink" Target="https://www.ozon.ru/product/1323353605" TargetMode="External"/><Relationship Id="rId462" Type="http://schemas.openxmlformats.org/officeDocument/2006/relationships/hyperlink" Target="https://www.ozon.ru/product/1703618254" TargetMode="External"/><Relationship Id="rId1051" Type="http://schemas.openxmlformats.org/officeDocument/2006/relationships/hyperlink" Target="https://www.letu.ru/product/alteya-syvorotka-dlya-rosta-resnits-i-brovei-gel-dlya-rosta/163501104" TargetMode="External"/><Relationship Id="rId1293" Type="http://schemas.openxmlformats.org/officeDocument/2006/relationships/hyperlink" Target="https://drive.google.com/drive/u/0/folders/1tog8_MCRUSIgm_Z7OKHyqcdk5Ej3mgSP" TargetMode="External"/><Relationship Id="rId461" Type="http://schemas.openxmlformats.org/officeDocument/2006/relationships/hyperlink" Target="https://www.wildberries.ru/catalog/255212157/detail.aspx" TargetMode="External"/><Relationship Id="rId1052" Type="http://schemas.openxmlformats.org/officeDocument/2006/relationships/hyperlink" Target="https://mm.ru/product/syvorotka-dlya-rosta-5869585?skuId=13111541" TargetMode="External"/><Relationship Id="rId1294" Type="http://schemas.openxmlformats.org/officeDocument/2006/relationships/hyperlink" Target="https://docs.google.com/document/d/10rQ5oKf9Tqd2vEsWrktSsCsl1Dh2i_fWZecsDq3tjH4/edit?tab=t.0" TargetMode="External"/><Relationship Id="rId460" Type="http://schemas.openxmlformats.org/officeDocument/2006/relationships/hyperlink" Target="https://drive.google.com/drive/folders/1T_oEVdz0zANAixQCLSZxeJvn2LcgaAkx" TargetMode="External"/><Relationship Id="rId1053" Type="http://schemas.openxmlformats.org/officeDocument/2006/relationships/hyperlink" Target="https://www.wildberries.ru/catalog/525497365/detail.aspx" TargetMode="External"/><Relationship Id="rId1295" Type="http://schemas.openxmlformats.org/officeDocument/2006/relationships/hyperlink" Target="https://drive.google.com/drive/u/0/folders/1EQaB2VdgOJizfpk-hFls1Sc0FBsyrSXO" TargetMode="External"/><Relationship Id="rId1054" Type="http://schemas.openxmlformats.org/officeDocument/2006/relationships/hyperlink" Target="https://www.ozon.ru/product/2825161431" TargetMode="External"/><Relationship Id="rId1296" Type="http://schemas.openxmlformats.org/officeDocument/2006/relationships/hyperlink" Target="https://docs.google.com/document/d/1JEuJTeZcaAVm5tl2ZiCPjX3Cq3CY9qRC90hxE-IjLVk/edit?tab=t.0" TargetMode="External"/><Relationship Id="rId224" Type="http://schemas.openxmlformats.org/officeDocument/2006/relationships/hyperlink" Target="https://www.ozon.ru/product/1101330936" TargetMode="External"/><Relationship Id="rId466" Type="http://schemas.openxmlformats.org/officeDocument/2006/relationships/hyperlink" Target="https://www.wildberries.ru/catalog/232462000/detail.aspx" TargetMode="External"/><Relationship Id="rId1055" Type="http://schemas.openxmlformats.org/officeDocument/2006/relationships/hyperlink" Target="https://market.yandex.ru/card/krem-maz-ot-varikoza-konskiy-kashtan-alteya-varifit-30-ml-kh-2/4640676175?businessId=1422090&amp;clid=1422090&amp;model_id=1256606336&amp;distr_type=8&amp;pp=605" TargetMode="External"/><Relationship Id="rId1297" Type="http://schemas.openxmlformats.org/officeDocument/2006/relationships/hyperlink" Target="https://drive.google.com/drive/folders/18YV64pOQ5afw2SLx3F1h2HjXmX2aFP3f" TargetMode="External"/><Relationship Id="rId223" Type="http://schemas.openxmlformats.org/officeDocument/2006/relationships/hyperlink" Target="https://www.wildberries.ru/catalog/169963867/detail.aspx" TargetMode="External"/><Relationship Id="rId465" Type="http://schemas.openxmlformats.org/officeDocument/2006/relationships/hyperlink" Target="https://disk.yandex.ru/d/ayGr3FzCjXYFqg" TargetMode="External"/><Relationship Id="rId1056" Type="http://schemas.openxmlformats.org/officeDocument/2006/relationships/hyperlink" Target="https://www.wildberries.ru/catalog/268373587/detail.aspx" TargetMode="External"/><Relationship Id="rId1298" Type="http://schemas.openxmlformats.org/officeDocument/2006/relationships/hyperlink" Target="https://docs.google.com/document/d/1vKUDaNWIrymYdHEsJ0UP6UHsRDapAZxvx-mFTHlS-rU/edit?tab=t.0" TargetMode="External"/><Relationship Id="rId222" Type="http://schemas.openxmlformats.org/officeDocument/2006/relationships/hyperlink" Target="https://drive.google.com/drive/folders/1KNEwUbAoNj_n5iSZjupqnxJbiF715hxT" TargetMode="External"/><Relationship Id="rId464" Type="http://schemas.openxmlformats.org/officeDocument/2006/relationships/hyperlink" Target="https://drive.google.com/drive/folders/1-J6XXO4qJ1GCRsO4xoPlqV65cDvkpWrK" TargetMode="External"/><Relationship Id="rId1057" Type="http://schemas.openxmlformats.org/officeDocument/2006/relationships/hyperlink" Target="https://www.ozon.ru/product/1720926371" TargetMode="External"/><Relationship Id="rId1299" Type="http://schemas.openxmlformats.org/officeDocument/2006/relationships/hyperlink" Target="https://docs.google.com/document/d/1Jph7cGhrQX5NU9s38o4btFtFDRX07TNZQkVcX_jHjgo/edit?tab=t.0" TargetMode="External"/><Relationship Id="rId221" Type="http://schemas.openxmlformats.org/officeDocument/2006/relationships/hyperlink" Target="https://market.yandex.ru/card/antiparazitarnyy-kompleks-qeep-kaps/103614885657?businessId=8291477&amp;clid=8291477&amp;model_id=44495663&amp;distr_type=8&amp;pp=605" TargetMode="External"/><Relationship Id="rId463" Type="http://schemas.openxmlformats.org/officeDocument/2006/relationships/hyperlink" Target="https://market.yandex.ru/card/shampun-dlya-sobak-i-koshek-ot-blokh-i-kleshchey-harly-500-ml/103536273553?businessId=8291477&amp;clid=8291477&amp;model_id=965085250&amp;distr_type=8&amp;pp=605" TargetMode="External"/><Relationship Id="rId1058" Type="http://schemas.openxmlformats.org/officeDocument/2006/relationships/hyperlink" Target="https://market.yandex.ru/card/syvorotka-dlya-volos-vosstanavlivayushchaya-s-keratinom-alteya-200-ml/103569196030?businessId=1422090&amp;clid=1422090&amp;model_id=1058774858&amp;distr_type=8&amp;pp=605" TargetMode="External"/><Relationship Id="rId1048" Type="http://schemas.openxmlformats.org/officeDocument/2006/relationships/hyperlink" Target="https://www.wildberries.ru/catalog/266376150/detail.aspx" TargetMode="External"/><Relationship Id="rId1049" Type="http://schemas.openxmlformats.org/officeDocument/2006/relationships/hyperlink" Target="https://www.ozon.ru/product/1713211121" TargetMode="External"/><Relationship Id="rId217" Type="http://schemas.openxmlformats.org/officeDocument/2006/relationships/hyperlink" Target="https://docs.google.com/document/d/1yJnbPgyY1nI_AZn2Dmtl7cgOBhxhIx79k-xpm7o3Sc8/edit?tab=t.0" TargetMode="External"/><Relationship Id="rId459" Type="http://schemas.openxmlformats.org/officeDocument/2006/relationships/hyperlink" Target="https://market.yandex.ru/card/shampun-dlya-sobak-gipoallergennyy-s-pantenolom-harly-500-ml/103812550678?businessId=8291477&amp;clid=8291477&amp;model_id=965085250&amp;distr_type=8&amp;pp=605" TargetMode="External"/><Relationship Id="rId216" Type="http://schemas.openxmlformats.org/officeDocument/2006/relationships/hyperlink" Target="https://drive.google.com/drive/folders/1661ysU66VNch6pumNtNg5KYosvH9FmJ3" TargetMode="External"/><Relationship Id="rId458" Type="http://schemas.openxmlformats.org/officeDocument/2006/relationships/hyperlink" Target="https://www.ozon.ru/product/1873383663" TargetMode="External"/><Relationship Id="rId215" Type="http://schemas.openxmlformats.org/officeDocument/2006/relationships/hyperlink" Target="https://www.ozon.ru/product/650348972" TargetMode="External"/><Relationship Id="rId457" Type="http://schemas.openxmlformats.org/officeDocument/2006/relationships/hyperlink" Target="https://www.wildberries.ru/catalog/325216323/detail.aspx" TargetMode="External"/><Relationship Id="rId699" Type="http://schemas.openxmlformats.org/officeDocument/2006/relationships/hyperlink" Target="https://disk.yandex.ru/d/xbAEHMHdu2kpbw" TargetMode="External"/><Relationship Id="rId214" Type="http://schemas.openxmlformats.org/officeDocument/2006/relationships/hyperlink" Target="https://www.wildberries.ru/catalog/91969350/detail.aspx" TargetMode="External"/><Relationship Id="rId456" Type="http://schemas.openxmlformats.org/officeDocument/2006/relationships/hyperlink" Target="https://drive.google.com/drive/folders/1T1dCQqYqrclZHXDdhJtsXeGy0N-xNmTP" TargetMode="External"/><Relationship Id="rId698" Type="http://schemas.openxmlformats.org/officeDocument/2006/relationships/hyperlink" Target="https://docs.google.com/document/d/16DpBwHzOLaDA4ZV2WtdKFhcOV0ZPk0b7/edit?usp=drive_web&amp;ouid=104241417680089502627&amp;rtpof=true" TargetMode="External"/><Relationship Id="rId219" Type="http://schemas.openxmlformats.org/officeDocument/2006/relationships/hyperlink" Target="https://www.wildberries.ru/catalog/193123880/detail.aspx" TargetMode="External"/><Relationship Id="rId1280" Type="http://schemas.openxmlformats.org/officeDocument/2006/relationships/hyperlink" Target="https://www.wildberries.ru/catalog/567074424/detail.aspx" TargetMode="External"/><Relationship Id="rId218" Type="http://schemas.openxmlformats.org/officeDocument/2006/relationships/hyperlink" Target="https://disk.yandex.ru/d/tGCqfZO9dbek0Q" TargetMode="External"/><Relationship Id="rId1281" Type="http://schemas.openxmlformats.org/officeDocument/2006/relationships/hyperlink" Target="https://market.yandex.ru/card/krem-maz-dlya-sustavov-i-svyazok-biotrin-obezbolivayushchiy-30-ml/103340891723?businessId=1422090&amp;clid=1422090&amp;model_id=49499284&amp;distr_type=8&amp;pp=605" TargetMode="External"/><Relationship Id="rId451" Type="http://schemas.openxmlformats.org/officeDocument/2006/relationships/hyperlink" Target="https://drive.google.com/drive/folders/1a1O5ltrutmd1Tv8ut3dyh6fsHUdeQj1a" TargetMode="External"/><Relationship Id="rId693" Type="http://schemas.openxmlformats.org/officeDocument/2006/relationships/hyperlink" Target="https://disk.yandex.ru/d/fS9Mrn674xvlVQ" TargetMode="External"/><Relationship Id="rId1040" Type="http://schemas.openxmlformats.org/officeDocument/2006/relationships/hyperlink" Target="https://www.ozon.ru/product/396723649" TargetMode="External"/><Relationship Id="rId1282" Type="http://schemas.openxmlformats.org/officeDocument/2006/relationships/hyperlink" Target="https://market.yandex.ru/card/shipuchiye-tabletki-dlya-pokhudeniya-detoks-zhiroszhigatel-alteya-chudo-frukt-2-shtuki/103515429013?do-waremd5=TKk9IE1Frz0tSiL4GS1urA&amp;businessId=1422090&amp;ogV=-10" TargetMode="External"/><Relationship Id="rId450" Type="http://schemas.openxmlformats.org/officeDocument/2006/relationships/hyperlink" Target="https://market.yandex.ru/card/shampun-dlya-koshek-gipoallergennyy-s-pantenolom-harly-250-ml/103812561953?businessId=8291477&amp;clid=8291477&amp;model_id=965085250&amp;distr_type=8&amp;pp=605" TargetMode="External"/><Relationship Id="rId692" Type="http://schemas.openxmlformats.org/officeDocument/2006/relationships/hyperlink" Target="https://www.letu.ru/product/alteya-maska-dlya-litsa-ochishchayushchaya/169800215?sort=default&amp;open=cleanBeauty%7Eingredient%7EskinNeeds%7EforWhom&amp;hide=expectedEffect%7EnotContain%7EskinTypes%7EhairType" TargetMode="External"/><Relationship Id="rId1041" Type="http://schemas.openxmlformats.org/officeDocument/2006/relationships/hyperlink" Target="https://market.yandex.ru/card/sredstvo-ot-prostatita-adenofrin-dlya-prostaty-i-potentsii/103267667292?businessId=1422090&amp;clid=1422090&amp;model_id=1286021343&amp;distr_type=8&amp;pp=605" TargetMode="External"/><Relationship Id="rId1283" Type="http://schemas.openxmlformats.org/officeDocument/2006/relationships/hyperlink" Target="https://market.yandex.ru/card/erektsionnaya-nasadka-na-chlen-dlya-uvelicheniya-i-erektsii-18/101436893899?businessId=1422090&amp;clid=1422090&amp;model_id=855435754&amp;distr_type=8&amp;pp=605" TargetMode="External"/><Relationship Id="rId691" Type="http://schemas.openxmlformats.org/officeDocument/2006/relationships/hyperlink" Target="https://goldapple.ru/catalogsearch/result?q=99000114727" TargetMode="External"/><Relationship Id="rId1042" Type="http://schemas.openxmlformats.org/officeDocument/2006/relationships/hyperlink" Target="https://www.wildberries.ru/catalog/312907312/detail.aspx" TargetMode="External"/><Relationship Id="rId1284" Type="http://schemas.openxmlformats.org/officeDocument/2006/relationships/hyperlink" Target="https://market.yandex.ru/card/pishchevaya-dobavka-dlya-immuniteta-i-ochishcheniya-pecheni-mitseliks-10-sashe/103331698965?businessId=1422090&amp;clid=1422090&amp;model_id=1782008415&amp;distr_type=8&amp;pp=605" TargetMode="External"/><Relationship Id="rId690" Type="http://schemas.openxmlformats.org/officeDocument/2006/relationships/hyperlink" Target="https://market.yandex.ru/card/maska-dlya-litsa-ochishchayushchaya-alteya-100-ml/4334343067?businessId=1422090&amp;clid=1422090&amp;model_id=1114890706&amp;distr_type=8&amp;pp=605" TargetMode="External"/><Relationship Id="rId1043" Type="http://schemas.openxmlformats.org/officeDocument/2006/relationships/hyperlink" Target="https://www.ozon.ru/product/1829804935" TargetMode="External"/><Relationship Id="rId1285" Type="http://schemas.openxmlformats.org/officeDocument/2006/relationships/hyperlink" Target="https://market.yandex.ru/card/vitaminy-dlya-glaz-i-zreniya-s-lyuteinom-i-chernikoy-optitrin--7-ampul/101436838679?businessId=1422090&amp;clid=1422090&amp;model_id=1109007651&amp;distr_type=8&amp;pp=605" TargetMode="External"/><Relationship Id="rId213" Type="http://schemas.openxmlformats.org/officeDocument/2006/relationships/hyperlink" Target="https://market.yandex.ru/card/kompleks-vitaminov-ot-klimaksa-i-prilivov-climafem-qeep-60-kapsul/103589261760?businessId=8291477&amp;clid=8291477&amp;model_id=1826260757&amp;distr_type=8&amp;pp=605" TargetMode="External"/><Relationship Id="rId455" Type="http://schemas.openxmlformats.org/officeDocument/2006/relationships/hyperlink" Target="https://market.yandex.ru/card/shampun-dlya-sobak-i-koshek-s-konditsionerom-500-ml/103397002661?businessId=8291477&amp;clid=8291477&amp;model_id=965085250&amp;distr_type=8&amp;pp=605" TargetMode="External"/><Relationship Id="rId697" Type="http://schemas.openxmlformats.org/officeDocument/2006/relationships/hyperlink" Target="https://www.letu.ru/product/alteya-syvorotka-s-retinolom-1-dlya-litsa-ot-morshchin-antivozrastnaya-alteya/177305603?sort=default&amp;open=cleanBeauty%7Eingredient%7EskinNeeds%7EforWhom&amp;hide=expectedEffect%7EnotContain%7EskinTypes%7EhairType" TargetMode="External"/><Relationship Id="rId1044" Type="http://schemas.openxmlformats.org/officeDocument/2006/relationships/hyperlink" Target="https://market.yandex.ru/card/erobrut-dlya-muzhskoy-potentsii-alteya-20-kapsul/103731200230?businessId=1422090&amp;clid=1422090&amp;model_id=1286021343&amp;distr_type=8&amp;pp=605" TargetMode="External"/><Relationship Id="rId1286" Type="http://schemas.openxmlformats.org/officeDocument/2006/relationships/hyperlink" Target="https://market.yandex.ru/card/remuver-dlya-udaleniya-kutikuly-alteya-40-ml/102622257537?businessId=1422090&amp;clid=1422090&amp;model_id=969577526&amp;distr_type=8&amp;pp=605" TargetMode="External"/><Relationship Id="rId212" Type="http://schemas.openxmlformats.org/officeDocument/2006/relationships/hyperlink" Target="https://www.ozon.ru/product/1738941767" TargetMode="External"/><Relationship Id="rId454" Type="http://schemas.openxmlformats.org/officeDocument/2006/relationships/hyperlink" Target="https://www.ozon.ru/product/1503121227" TargetMode="External"/><Relationship Id="rId696" Type="http://schemas.openxmlformats.org/officeDocument/2006/relationships/hyperlink" Target="https://market.yandex.ru/card/syvorotka-s-retinolom-1-dlya-litsa-ot-morshchin-antivozrastnaya-alteya-30-ml/4600666230?do-waremd5=NaUkVbrRb7Gg2HzekrGcuA&amp;businessId=1422090&amp;generalContext=t%3DshopInShop%3Bbi%3D1422090%3B&amp;ogV=-10" TargetMode="External"/><Relationship Id="rId1045" Type="http://schemas.openxmlformats.org/officeDocument/2006/relationships/hyperlink" Target="https://www.wildberries.ru/catalog/312910723/detail.aspx" TargetMode="External"/><Relationship Id="rId1287" Type="http://schemas.openxmlformats.org/officeDocument/2006/relationships/hyperlink" Target="https://market.yandex.ru/card/krem-maz-dlya-sustavov-i-svyazok-sinergel-obezbolivayushchiy-protivovospalitelnyy-krem-gel-ot-boli-ot-otekov-v-nogakh-dlya-poyasnitsy-30-ml/103340894562?businessId=1422090&amp;clid=1422090&amp;model_id=49508284&amp;distr_type=8&amp;pp=605" TargetMode="External"/><Relationship Id="rId211" Type="http://schemas.openxmlformats.org/officeDocument/2006/relationships/hyperlink" Target="https://www.wildberries.ru/catalog/271680783/detail.aspx" TargetMode="External"/><Relationship Id="rId453" Type="http://schemas.openxmlformats.org/officeDocument/2006/relationships/hyperlink" Target="https://www.wildberries.ru/catalog/219926965/detail.aspx" TargetMode="External"/><Relationship Id="rId695" Type="http://schemas.openxmlformats.org/officeDocument/2006/relationships/hyperlink" Target="https://www.ozon.ru/product/2583177512" TargetMode="External"/><Relationship Id="rId1046" Type="http://schemas.openxmlformats.org/officeDocument/2006/relationships/hyperlink" Target="https://www.ozon.ru/product/1829803107" TargetMode="External"/><Relationship Id="rId1288" Type="http://schemas.openxmlformats.org/officeDocument/2006/relationships/hyperlink" Target="https://market.yandex.ru/card/varitox-krem-fl/103543849805?businessId=1422090&amp;clid=1422090&amp;model_id=696344170&amp;distr_type=8&amp;pp=605" TargetMode="External"/><Relationship Id="rId210" Type="http://schemas.openxmlformats.org/officeDocument/2006/relationships/hyperlink" Target="https://disk.yandex.ru/d/82yJwBqzvyIE9w" TargetMode="External"/><Relationship Id="rId452" Type="http://schemas.openxmlformats.org/officeDocument/2006/relationships/hyperlink" Target="https://disk.yandex.ru/d/ENO2xWPcY-x_ow" TargetMode="External"/><Relationship Id="rId694" Type="http://schemas.openxmlformats.org/officeDocument/2006/relationships/hyperlink" Target="https://www.wildberries.ru/catalog/484600035/detail.aspx" TargetMode="External"/><Relationship Id="rId1047" Type="http://schemas.openxmlformats.org/officeDocument/2006/relationships/hyperlink" Target="https://market.yandex.ru/card/urinofiks-kompleks-ot-nederzhaniya-mochi-alteya-20-kapsul/103748752841?businessId=1422090&amp;clid=1422090&amp;model_id=859804210&amp;distr_type=8&amp;pp=605" TargetMode="External"/><Relationship Id="rId1289" Type="http://schemas.openxmlformats.org/officeDocument/2006/relationships/hyperlink" Target="https://drive.google.com/drive/u/0/folders/1pTueQK9CWTBCSFGwxMvkHygJ9VpI0DPx" TargetMode="External"/><Relationship Id="rId491" Type="http://schemas.openxmlformats.org/officeDocument/2006/relationships/hyperlink" Target="https://www.ozon.ru/product/1773312643" TargetMode="External"/><Relationship Id="rId490" Type="http://schemas.openxmlformats.org/officeDocument/2006/relationships/hyperlink" Target="https://www.wildberries.ru/catalog/294499169/detail.aspx" TargetMode="External"/><Relationship Id="rId249" Type="http://schemas.openxmlformats.org/officeDocument/2006/relationships/hyperlink" Target="https://drive.google.com/drive/folders/1uv1bxc8fyEFxLMBZ_r9wPp_TYOyi4eao" TargetMode="External"/><Relationship Id="rId248" Type="http://schemas.openxmlformats.org/officeDocument/2006/relationships/hyperlink" Target="https://market.yandex.ru/card/omega-3-1320-mg-epa-627-mg-dha-465-mg-qeep-180-kapsul/103398260192?businessId=8291477&amp;clid=8291477&amp;model_id=1826260757&amp;distr_type=8&amp;pp=605" TargetMode="External"/><Relationship Id="rId247" Type="http://schemas.openxmlformats.org/officeDocument/2006/relationships/hyperlink" Target="https://www.ozon.ru/product/1566735886" TargetMode="External"/><Relationship Id="rId489" Type="http://schemas.openxmlformats.org/officeDocument/2006/relationships/hyperlink" Target="https://www.ozon.ru/product/946976846" TargetMode="External"/><Relationship Id="rId1070" Type="http://schemas.openxmlformats.org/officeDocument/2006/relationships/hyperlink" Target="https://market.yandex.ru/card/krem-ot-varikoza-ustalosti-i-otekov-nog-okhlazhdayushchiy-varitox-30-ml/103515423625?businessId=1422090&amp;clid=1422090&amp;model_id=1256606336&amp;distr_type=8&amp;pp=605" TargetMode="External"/><Relationship Id="rId1071" Type="http://schemas.openxmlformats.org/officeDocument/2006/relationships/hyperlink" Target="https://www.wildberries.ru/catalog/95461301/detail.aspx" TargetMode="External"/><Relationship Id="rId1072" Type="http://schemas.openxmlformats.org/officeDocument/2006/relationships/hyperlink" Target="https://www.ozon.ru/product/669955177" TargetMode="External"/><Relationship Id="rId242" Type="http://schemas.openxmlformats.org/officeDocument/2006/relationships/hyperlink" Target="https://www.ozon.ru/product/1613724697" TargetMode="External"/><Relationship Id="rId484" Type="http://schemas.openxmlformats.org/officeDocument/2006/relationships/hyperlink" Target="https://www.ozon.ru/product/1068139791" TargetMode="External"/><Relationship Id="rId1073" Type="http://schemas.openxmlformats.org/officeDocument/2006/relationships/hyperlink" Target="https://market.yandex.ru/card/sredstvo-ot-kureniya-i-nikotinovoy-zavisimosti-smoking-lock-legkiy-sposob-brosit-kurit-10-ml/103340891622?businessId=1422090&amp;clid=1422090&amp;model_id=427447301&amp;distr_type=8&amp;pp=605" TargetMode="External"/><Relationship Id="rId241" Type="http://schemas.openxmlformats.org/officeDocument/2006/relationships/hyperlink" Target="https://www.wildberries.ru/catalog/240166228/detail.aspx" TargetMode="External"/><Relationship Id="rId483" Type="http://schemas.openxmlformats.org/officeDocument/2006/relationships/hyperlink" Target="https://www.wildberries.ru/catalog/167273376/detail.aspx" TargetMode="External"/><Relationship Id="rId1074" Type="http://schemas.openxmlformats.org/officeDocument/2006/relationships/hyperlink" Target="https://www.wildberries.ru/catalog/525496072/detail.aspx" TargetMode="External"/><Relationship Id="rId240" Type="http://schemas.openxmlformats.org/officeDocument/2006/relationships/hyperlink" Target="https://docs.google.com/document/d/1oxB4dKuqGO9RKMs4QSRRjOY9q4PgUGd8OrGUfAbbA9Y/edit?tab=t.0" TargetMode="External"/><Relationship Id="rId482" Type="http://schemas.openxmlformats.org/officeDocument/2006/relationships/hyperlink" Target="https://www.wildberries.ru/catalog/133689253/detail.aspx" TargetMode="External"/><Relationship Id="rId1075" Type="http://schemas.openxmlformats.org/officeDocument/2006/relationships/hyperlink" Target="https://www.ozon.ru/product/2825129893" TargetMode="External"/><Relationship Id="rId481" Type="http://schemas.openxmlformats.org/officeDocument/2006/relationships/hyperlink" Target="https://drive.google.com/drive/folders/1nNNyxnFgfAJbbnMDM2w0BjKZCJa46N-0" TargetMode="External"/><Relationship Id="rId1076" Type="http://schemas.openxmlformats.org/officeDocument/2006/relationships/hyperlink" Target="https://market.yandex.ru/card/kompleks-detoks-dlya-ochishcheniya-pecheni-i-kishechnika-dlya-pokhudeniya-detokc-dlya-pecheni-alteya-mitseliks-10-sht-kh-2/4640678632?businessId=1422090&amp;clid=1422090&amp;model_id=625422045&amp;distr_type=8&amp;pp=605" TargetMode="External"/><Relationship Id="rId246" Type="http://schemas.openxmlformats.org/officeDocument/2006/relationships/hyperlink" Target="https://www.wildberries.ru/catalog/228331343/detail.aspx" TargetMode="External"/><Relationship Id="rId488" Type="http://schemas.openxmlformats.org/officeDocument/2006/relationships/hyperlink" Target="https://www.wildberries.ru/catalog/157007801/detail.aspx" TargetMode="External"/><Relationship Id="rId1077" Type="http://schemas.openxmlformats.org/officeDocument/2006/relationships/hyperlink" Target="https://www.wildberries.ru/catalog/192909505/detail.aspx" TargetMode="External"/><Relationship Id="rId245" Type="http://schemas.openxmlformats.org/officeDocument/2006/relationships/hyperlink" Target="https://drive.google.com/drive/folders/1NTwwpvMvYatlgVwisT2gXZIbKZscs9LS" TargetMode="External"/><Relationship Id="rId487" Type="http://schemas.openxmlformats.org/officeDocument/2006/relationships/hyperlink" Target="https://www.ozon.ru/product/1271355943" TargetMode="External"/><Relationship Id="rId1078" Type="http://schemas.openxmlformats.org/officeDocument/2006/relationships/hyperlink" Target="https://www.ozon.ru/product/1324991816" TargetMode="External"/><Relationship Id="rId244" Type="http://schemas.openxmlformats.org/officeDocument/2006/relationships/hyperlink" Target="https://goldapple.ru/catalogsearch/result?q=99000118345" TargetMode="External"/><Relationship Id="rId486" Type="http://schemas.openxmlformats.org/officeDocument/2006/relationships/hyperlink" Target="https://www.wildberries.ru/catalog/186730528/detail.aspx" TargetMode="External"/><Relationship Id="rId1079" Type="http://schemas.openxmlformats.org/officeDocument/2006/relationships/hyperlink" Target="https://market.yandex.ru/card/pantagor-krem-maz-dnarprim/103614742296?businessId=1422090&amp;clid=1422090&amp;model_id=997149439&amp;distr_type=8&amp;pp=605" TargetMode="External"/><Relationship Id="rId243" Type="http://schemas.openxmlformats.org/officeDocument/2006/relationships/hyperlink" Target="https://market.yandex.ru/card/vitaminy-dlya-immuniteta-nac-kompleks-ot-orvi-90-kapsul/103396767624?businessId=8291477&amp;clid=8291477&amp;model_id=1280856904&amp;distr_type=8&amp;pp=605" TargetMode="External"/><Relationship Id="rId485" Type="http://schemas.openxmlformats.org/officeDocument/2006/relationships/hyperlink" Target="https://drive.google.com/drive/folders/1fe40XNW18duzz1jH1DKDYAwIvEmP5p-W" TargetMode="External"/><Relationship Id="rId480" Type="http://schemas.openxmlformats.org/officeDocument/2006/relationships/hyperlink" Target="https://www.ozon.ru/product/1271329609" TargetMode="External"/><Relationship Id="rId239" Type="http://schemas.openxmlformats.org/officeDocument/2006/relationships/hyperlink" Target="https://drive.google.com/drive/folders/1ySrfx_k1dHppSCuT11-UWd1OHtg3JaGD" TargetMode="External"/><Relationship Id="rId238" Type="http://schemas.openxmlformats.org/officeDocument/2006/relationships/hyperlink" Target="https://goldapple.ru/catalogsearch/result?q=99000118638" TargetMode="External"/><Relationship Id="rId237" Type="http://schemas.openxmlformats.org/officeDocument/2006/relationships/hyperlink" Target="https://market.yandex.ru/card/omega-3-1620-mg-epa-792-mg-dha-528-mg-qeep-90-kapsul/103262837664?businessId=8291477&amp;clid=8291477&amp;model_id=1885081753&amp;distr_type=8&amp;pp=605" TargetMode="External"/><Relationship Id="rId479" Type="http://schemas.openxmlformats.org/officeDocument/2006/relationships/hyperlink" Target="https://www.wildberries.ru/catalog/186780052/detail.aspx" TargetMode="External"/><Relationship Id="rId236" Type="http://schemas.openxmlformats.org/officeDocument/2006/relationships/hyperlink" Target="https://www.ozon.ru/product/989542196" TargetMode="External"/><Relationship Id="rId478" Type="http://schemas.openxmlformats.org/officeDocument/2006/relationships/hyperlink" Target="https://drive.google.com/drive/folders/1t3pRcXc5eMVPYkD0IygwKFfB9wALrIV2" TargetMode="External"/><Relationship Id="rId1060" Type="http://schemas.openxmlformats.org/officeDocument/2006/relationships/hyperlink" Target="https://mm.ru/product/sprej-dlya-volos-5870813?skuId=13112520" TargetMode="External"/><Relationship Id="rId1061" Type="http://schemas.openxmlformats.org/officeDocument/2006/relationships/hyperlink" Target="https://www.wildberries.ru/catalog/409911126/detail.aspx" TargetMode="External"/><Relationship Id="rId231" Type="http://schemas.openxmlformats.org/officeDocument/2006/relationships/hyperlink" Target="https://www.ozon.ru/product/2686479094" TargetMode="External"/><Relationship Id="rId473" Type="http://schemas.openxmlformats.org/officeDocument/2006/relationships/hyperlink" Target="https://www.wildberries.ru/catalog/128833711/detail.aspx" TargetMode="External"/><Relationship Id="rId1062" Type="http://schemas.openxmlformats.org/officeDocument/2006/relationships/hyperlink" Target="https://www.ozon.ru/product/2099218978" TargetMode="External"/><Relationship Id="rId230" Type="http://schemas.openxmlformats.org/officeDocument/2006/relationships/hyperlink" Target="https://www.wildberries.ru/catalog/494708852/detail.aspx" TargetMode="External"/><Relationship Id="rId472" Type="http://schemas.openxmlformats.org/officeDocument/2006/relationships/hyperlink" Target="https://www.ozon.ru/product/1342086207" TargetMode="External"/><Relationship Id="rId1063" Type="http://schemas.openxmlformats.org/officeDocument/2006/relationships/hyperlink" Target="https://market.yandex.ru/card/testosteron-dlya-muzhchin-ekdisteron-dlya-potentsii-i-myshts-sportivnyy-tsink-muzhskoye-zdorovye-testobuster-vitaminy-dlya-muzhchin-buster-alteya-60-kapsul/4476310745?businessId=1422090&amp;clid=1422090&amp;model_id=841569704&amp;distr_type=8&amp;pp=605" TargetMode="External"/><Relationship Id="rId471" Type="http://schemas.openxmlformats.org/officeDocument/2006/relationships/hyperlink" Target="https://www.wildberries.ru/catalog/220091999/detail.aspx" TargetMode="External"/><Relationship Id="rId1064" Type="http://schemas.openxmlformats.org/officeDocument/2006/relationships/hyperlink" Target="https://www.wildberries.ru/catalog/186794178/detail.aspx" TargetMode="External"/><Relationship Id="rId470" Type="http://schemas.openxmlformats.org/officeDocument/2006/relationships/hyperlink" Target="https://market.yandex.ru/card/vitaminy-dlya-muzhchin-kompleks-dlya-zdorovya-i-myshechnoy-massy-qeep/103665490060?businessId=8291477&amp;clid=8291477&amp;model_id=1111672191&amp;distr_type=8&amp;pp=605" TargetMode="External"/><Relationship Id="rId1065" Type="http://schemas.openxmlformats.org/officeDocument/2006/relationships/hyperlink" Target="https://www.ozon.ru/product/1271351989" TargetMode="External"/><Relationship Id="rId235" Type="http://schemas.openxmlformats.org/officeDocument/2006/relationships/hyperlink" Target="https://www.wildberries.ru/catalog/161948275/detail.aspx" TargetMode="External"/><Relationship Id="rId477" Type="http://schemas.openxmlformats.org/officeDocument/2006/relationships/hyperlink" Target="https://market.yandex.ru/card/kakao-s-vitaminami-detskoye-naturalnyy-rastvorimyy-napitok-400-g/102619837298?businessId=8291477&amp;showOriginalKmEmptyOffer=1&amp;ogV=-10" TargetMode="External"/><Relationship Id="rId1066" Type="http://schemas.openxmlformats.org/officeDocument/2006/relationships/hyperlink" Target="https://market.yandex.ru/card/krem-ot-psoriaza-i-dermatita-uvlazhnyayushchiy-psoral-50ml/103331699962?businessId=1422090&amp;clid=1422090&amp;model_id=625386382&amp;distr_type=8&amp;pp=605" TargetMode="External"/><Relationship Id="rId234" Type="http://schemas.openxmlformats.org/officeDocument/2006/relationships/hyperlink" Target="https://disk.yandex.ru/d/lxnlqd1t71Uaig" TargetMode="External"/><Relationship Id="rId476" Type="http://schemas.openxmlformats.org/officeDocument/2006/relationships/hyperlink" Target="https://www.ozon.ru/product/1099704127" TargetMode="External"/><Relationship Id="rId1067" Type="http://schemas.openxmlformats.org/officeDocument/2006/relationships/hyperlink" Target="https://goldapple.ru/catalogsearch/result?q=99000125141" TargetMode="External"/><Relationship Id="rId233" Type="http://schemas.openxmlformats.org/officeDocument/2006/relationships/hyperlink" Target="https://drive.google.com/drive/folders/1x8BA-mv8v_o4slyl7SBR7GKpEqah_Wck" TargetMode="External"/><Relationship Id="rId475" Type="http://schemas.openxmlformats.org/officeDocument/2006/relationships/hyperlink" Target="https://www.wildberries.ru/catalog/170000477/detail.aspx" TargetMode="External"/><Relationship Id="rId1068" Type="http://schemas.openxmlformats.org/officeDocument/2006/relationships/hyperlink" Target="https://www.wildberries.ru/catalog/17904962/detail.aspx" TargetMode="External"/><Relationship Id="rId232" Type="http://schemas.openxmlformats.org/officeDocument/2006/relationships/hyperlink" Target="https://market.yandex.ru/card/zubnaya-pasta-dlya-sobak-i-koshek/4602254449?businessId=8291477&amp;clid=8291477&amp;model_id=1353065860&amp;distr_type=8&amp;pp=605" TargetMode="External"/><Relationship Id="rId474" Type="http://schemas.openxmlformats.org/officeDocument/2006/relationships/hyperlink" Target="https://www.ozon.ru/product/767090126" TargetMode="External"/><Relationship Id="rId1069" Type="http://schemas.openxmlformats.org/officeDocument/2006/relationships/hyperlink" Target="https://www.ozon.ru/product/289030651" TargetMode="External"/><Relationship Id="rId1015" Type="http://schemas.openxmlformats.org/officeDocument/2006/relationships/hyperlink" Target="https://market.yandex.ru/card/enzimnaya-pudra-dlya-umyvaniya-tela-i-litsa-ot-pryshchey-alteya-80g/4686492261?do-waremd5=ZCSxaomsuHI_VS6Um-o9Dw&amp;businessId=1422090&amp;generalContext=t%3DshopInShop%3Bbi%3D1422090%3B&amp;ogV=-10" TargetMode="External"/><Relationship Id="rId1257" Type="http://schemas.openxmlformats.org/officeDocument/2006/relationships/hyperlink" Target="https://market.yandex.ru/card/bad-mikardin-plyus-aterolayf-bady-dlya-serdtsa-i-sosudov-ot-davleniya-60-kapsul/103515434782?businessId=1422090&amp;showOriginalKmEmptyOffer=1&amp;ogV=-10" TargetMode="External"/><Relationship Id="rId1016" Type="http://schemas.openxmlformats.org/officeDocument/2006/relationships/hyperlink" Target="https://goldapple.ru/catalogsearch/result?q=99000125143" TargetMode="External"/><Relationship Id="rId1258" Type="http://schemas.openxmlformats.org/officeDocument/2006/relationships/hyperlink" Target="https://www.wildberries.ru/catalog/232481242/detail.aspx" TargetMode="External"/><Relationship Id="rId1017" Type="http://schemas.openxmlformats.org/officeDocument/2006/relationships/hyperlink" Target="https://www.letu.ru/product/alteya-enzimnaya-pudra-dlya-umyvaniya-tela-i-litsa-ot-pryshchei/177800330?sort=default&amp;open=ingredient%7EforWhom%7EskinNeeds%7EcleanBeauty&amp;hide=expectedEffect%7EnotContain%7EhairType%7EskinTypes" TargetMode="External"/><Relationship Id="rId1259" Type="http://schemas.openxmlformats.org/officeDocument/2006/relationships/hyperlink" Target="https://www.ozon.ru/product/1581991716" TargetMode="External"/><Relationship Id="rId1018" Type="http://schemas.openxmlformats.org/officeDocument/2006/relationships/hyperlink" Target="https://www.wildberries.ru/catalog/202337451/detail.aspx" TargetMode="External"/><Relationship Id="rId1019" Type="http://schemas.openxmlformats.org/officeDocument/2006/relationships/hyperlink" Target="https://www.ozon.ru/product/1403753693" TargetMode="External"/><Relationship Id="rId426" Type="http://schemas.openxmlformats.org/officeDocument/2006/relationships/hyperlink" Target="https://www.ozon.ru/product/1566871461" TargetMode="External"/><Relationship Id="rId668" Type="http://schemas.openxmlformats.org/officeDocument/2006/relationships/hyperlink" Target="https://www.ozon.ru/product/2830096367" TargetMode="External"/><Relationship Id="rId425" Type="http://schemas.openxmlformats.org/officeDocument/2006/relationships/hyperlink" Target="https://www.wildberries.ru/catalog/229246778/detail.aspx" TargetMode="External"/><Relationship Id="rId667" Type="http://schemas.openxmlformats.org/officeDocument/2006/relationships/hyperlink" Target="https://www.wildberries.ru/catalog/526620725/detail.aspx" TargetMode="External"/><Relationship Id="rId424" Type="http://schemas.openxmlformats.org/officeDocument/2006/relationships/hyperlink" Target="https://drive.google.com/drive/folders/1ahthm8s2pgUOLWtIiJLQ2CMRDf3TH3cL" TargetMode="External"/><Relationship Id="rId666" Type="http://schemas.openxmlformats.org/officeDocument/2006/relationships/hyperlink" Target="https://market.yandex.ru/card/kavkazskaya-maz-naturalnoye-lechebnoye-sredstvo-dlya-sustavov-i-svyazok-obezbolivayushcheye-alteya-40--40-ml/103701539078?businessId=1422090&amp;clid=1422090&amp;model_id=997149439&amp;distr_type=8&amp;pp=605" TargetMode="External"/><Relationship Id="rId423" Type="http://schemas.openxmlformats.org/officeDocument/2006/relationships/hyperlink" Target="https://market.yandex.ru/card/izotonik-poroshok-sportivnyy-s-vitaminami-qeep-300-g/103572448024?businessId=8291477&amp;clid=8291477&amp;model_id=1096180798&amp;distr_type=8&amp;pp=605" TargetMode="External"/><Relationship Id="rId665" Type="http://schemas.openxmlformats.org/officeDocument/2006/relationships/hyperlink" Target="https://www.ozon.ru/product/1792793774" TargetMode="External"/><Relationship Id="rId429" Type="http://schemas.openxmlformats.org/officeDocument/2006/relationships/hyperlink" Target="https://www.wildberries.ru/catalog/270128828/detail.aspx" TargetMode="External"/><Relationship Id="rId428" Type="http://schemas.openxmlformats.org/officeDocument/2006/relationships/hyperlink" Target="https://drive.google.com/drive/folders/1xvE7e0r-hDbRuEg6TbhTdxtcDvF2uscn" TargetMode="External"/><Relationship Id="rId427" Type="http://schemas.openxmlformats.org/officeDocument/2006/relationships/hyperlink" Target="https://market.yandex.ru/card/kreatin-monogidrat-5000-mg-qeep-300-g/103397810974?businessId=8291477&amp;clid=8291477&amp;model_id=485356702&amp;distr_type=8&amp;pp=605" TargetMode="External"/><Relationship Id="rId669" Type="http://schemas.openxmlformats.org/officeDocument/2006/relationships/hyperlink" Target="https://market.yandex.ru/card/krem-dlya-litsa-s-liposomalnym-retinolom-025-retinayt/4644510464?businessId=1422090&amp;clid=1422090&amp;model_id=4936696924&amp;distr_type=8&amp;pp=605" TargetMode="External"/><Relationship Id="rId660" Type="http://schemas.openxmlformats.org/officeDocument/2006/relationships/hyperlink" Target="https://goldapple.ru/catalogsearch/result?q=99000114724" TargetMode="External"/><Relationship Id="rId1250" Type="http://schemas.openxmlformats.org/officeDocument/2006/relationships/hyperlink" Target="https://www.wildberries.ru/catalog/181469548/detail.aspx" TargetMode="External"/><Relationship Id="rId1251" Type="http://schemas.openxmlformats.org/officeDocument/2006/relationships/hyperlink" Target="https://www.ozon.ru/product/1235751364" TargetMode="External"/><Relationship Id="rId1010" Type="http://schemas.openxmlformats.org/officeDocument/2006/relationships/hyperlink" Target="https://www.wildberries.ru/catalog/235967746/detail.aspx" TargetMode="External"/><Relationship Id="rId1252" Type="http://schemas.openxmlformats.org/officeDocument/2006/relationships/hyperlink" Target="https://www.wildberries.ru/catalog/186787859/detail.aspx" TargetMode="External"/><Relationship Id="rId422" Type="http://schemas.openxmlformats.org/officeDocument/2006/relationships/hyperlink" Target="https://www.ozon.ru/product/1726985284" TargetMode="External"/><Relationship Id="rId664" Type="http://schemas.openxmlformats.org/officeDocument/2006/relationships/hyperlink" Target="https://www.wildberries.ru/catalog/304495569/detail.aspx" TargetMode="External"/><Relationship Id="rId1011" Type="http://schemas.openxmlformats.org/officeDocument/2006/relationships/hyperlink" Target="https://www.ozon.ru/product/1597150074" TargetMode="External"/><Relationship Id="rId1253" Type="http://schemas.openxmlformats.org/officeDocument/2006/relationships/hyperlink" Target="https://www.ozon.ru/product/1271264152" TargetMode="External"/><Relationship Id="rId421" Type="http://schemas.openxmlformats.org/officeDocument/2006/relationships/hyperlink" Target="https://www.wildberries.ru/catalog/270128827/detail.aspx" TargetMode="External"/><Relationship Id="rId663" Type="http://schemas.openxmlformats.org/officeDocument/2006/relationships/hyperlink" Target="https://disk.yandex.ru/d/WjYXWZ8yM06VFA" TargetMode="External"/><Relationship Id="rId1012" Type="http://schemas.openxmlformats.org/officeDocument/2006/relationships/hyperlink" Target="https://market.yandex.ru/card/syvorotka-dlya-volos-biotin-betain-keratin-maslo-zhozhoba-alteya-wow-glam-10-shtuk-po-2-ml/103515586621?businessId=1422090&amp;clid=1422090&amp;model_id=625585245&amp;distr_type=8&amp;pp=605" TargetMode="External"/><Relationship Id="rId1254" Type="http://schemas.openxmlformats.org/officeDocument/2006/relationships/hyperlink" Target="https://market.yandex.ru/card/sanatsin-antiparazitarnyy-kompleks-ot-parazitov-i-ot-glistov--protiv-parazitov--20-kapsul/103340888401?businessId=1422090&amp;showOriginalKmEmptyOffer=1&amp;ogV=-10" TargetMode="External"/><Relationship Id="rId420" Type="http://schemas.openxmlformats.org/officeDocument/2006/relationships/hyperlink" Target="https://disk.yandex.ru/d/IDyp2vD5JEymiw" TargetMode="External"/><Relationship Id="rId662" Type="http://schemas.openxmlformats.org/officeDocument/2006/relationships/hyperlink" Target="https://mm.ru/product/sprej-dlya-volos-5876463?skuId=13125340" TargetMode="External"/><Relationship Id="rId1013" Type="http://schemas.openxmlformats.org/officeDocument/2006/relationships/hyperlink" Target="https://www.wildberries.ru/catalog/547745952/detail.aspx" TargetMode="External"/><Relationship Id="rId1255" Type="http://schemas.openxmlformats.org/officeDocument/2006/relationships/hyperlink" Target="https://www.wildberries.ru/catalog/188613392/detail.aspx" TargetMode="External"/><Relationship Id="rId661" Type="http://schemas.openxmlformats.org/officeDocument/2006/relationships/hyperlink" Target="https://www.letu.ru/product/alteya-sprei-dlya-rosta-i-ot-vypadeniya-volos/178102010?sort=default&amp;open=cleanBeauty%7Eingredient%7EskinNeeds&amp;hide=expectedEffect%7EnotContain%7EskinTypes%7EhairType" TargetMode="External"/><Relationship Id="rId1014" Type="http://schemas.openxmlformats.org/officeDocument/2006/relationships/hyperlink" Target="https://www.ozon.ru/product/2915421784" TargetMode="External"/><Relationship Id="rId1256" Type="http://schemas.openxmlformats.org/officeDocument/2006/relationships/hyperlink" Target="https://www.ozon.ru/product/1283151299" TargetMode="External"/><Relationship Id="rId1004" Type="http://schemas.openxmlformats.org/officeDocument/2006/relationships/hyperlink" Target="https://www.wildberries.ru/catalog/17903236/detail.aspx" TargetMode="External"/><Relationship Id="rId1246" Type="http://schemas.openxmlformats.org/officeDocument/2006/relationships/hyperlink" Target="https://www.ozon.ru/product/327231451" TargetMode="External"/><Relationship Id="rId1005" Type="http://schemas.openxmlformats.org/officeDocument/2006/relationships/hyperlink" Target="https://www.ozon.ru/product/288894202" TargetMode="External"/><Relationship Id="rId1247" Type="http://schemas.openxmlformats.org/officeDocument/2006/relationships/hyperlink" Target="https://www.wildberries.ru/catalog/109014186/detail.aspx" TargetMode="External"/><Relationship Id="rId1006" Type="http://schemas.openxmlformats.org/officeDocument/2006/relationships/hyperlink" Target="https://market.yandex.ru/card/krem-maz-dlya-sustavov-i-svyazok-pantogor-obezbolivayushchiy/103340894497?do-waremd5=O6QrJ8vLcgtipz6Jwo7nXA&amp;businessId=1422090&amp;generalContext=t%3DshopInShop%3Bbi%3D1422090%3B&amp;ogV=-10" TargetMode="External"/><Relationship Id="rId1248" Type="http://schemas.openxmlformats.org/officeDocument/2006/relationships/hyperlink" Target="https://www.ozon.ru/product/743548429" TargetMode="External"/><Relationship Id="rId1007" Type="http://schemas.openxmlformats.org/officeDocument/2006/relationships/hyperlink" Target="https://www.wildberries.ru/catalog/176862987/detail.aspx" TargetMode="External"/><Relationship Id="rId1249" Type="http://schemas.openxmlformats.org/officeDocument/2006/relationships/hyperlink" Target="https://market.yandex.ru/card/krem-dlya-ukhoda-za-kozhey-maz-dlya-sustavov-i-svyazok-sustalit-obezbolivayushchiy/103340884504?businessId=1422090&amp;clid=1422090&amp;model_id=1111443278&amp;distr_type=8&amp;pp=605" TargetMode="External"/><Relationship Id="rId1008" Type="http://schemas.openxmlformats.org/officeDocument/2006/relationships/hyperlink" Target="https://www.ozon.ru/product/1188111089" TargetMode="External"/><Relationship Id="rId1009" Type="http://schemas.openxmlformats.org/officeDocument/2006/relationships/hyperlink" Target="https://market.yandex.ru/card/krem-ot-varikoza-ustalosti-i-otekov-nog-okhlazhdayushchiy-dar-drakona-30-ml/103515425318?businessId=1422090&amp;clid=1422090&amp;model_id=1256606336&amp;distr_type=8&amp;pp=605" TargetMode="External"/><Relationship Id="rId415" Type="http://schemas.openxmlformats.org/officeDocument/2006/relationships/hyperlink" Target="https://docs.google.com/document/d/1hl8lk5HG2cigEjA09Lz8pgsueBS6Yv6J2M1suYLDIyw/edit?tab=t.0" TargetMode="External"/><Relationship Id="rId657" Type="http://schemas.openxmlformats.org/officeDocument/2006/relationships/hyperlink" Target="https://www.wildberries.ru/catalog/418228094/detail.aspx" TargetMode="External"/><Relationship Id="rId899" Type="http://schemas.openxmlformats.org/officeDocument/2006/relationships/hyperlink" Target="https://www.ozon.ru/product/1129300642" TargetMode="External"/><Relationship Id="rId414" Type="http://schemas.openxmlformats.org/officeDocument/2006/relationships/hyperlink" Target="https://market.yandex.ru/card/zma-testosteron-dlya-muzhchin-tsink--magniy--asparaginovaya-kislota--v6-qeep-ekdisteron-120-kapsul/102054388448?businessId=8291477&amp;showOriginalKmEmptyOffer=1&amp;ogV=-10" TargetMode="External"/><Relationship Id="rId656" Type="http://schemas.openxmlformats.org/officeDocument/2006/relationships/hyperlink" Target="https://market.yandex.ru/card/kompleks-detoks-dlya-ochishcheniya-pecheni-i-kishechnika-dlya-pokhudeniya-detokc-dlya-pecheni-alteya-mitseliks-10-sht/103515398245?businessId=1422090&amp;clid=1422090&amp;model_id=625422045&amp;distr_type=8&amp;pp=605" TargetMode="External"/><Relationship Id="rId898" Type="http://schemas.openxmlformats.org/officeDocument/2006/relationships/hyperlink" Target="https://www.wildberries.ru/catalog/176157841/detail.aspx" TargetMode="External"/><Relationship Id="rId413" Type="http://schemas.openxmlformats.org/officeDocument/2006/relationships/hyperlink" Target="https://www.ozon.ru/product/1032691496" TargetMode="External"/><Relationship Id="rId655" Type="http://schemas.openxmlformats.org/officeDocument/2006/relationships/hyperlink" Target="https://www.ozon.ru/product/291845947" TargetMode="External"/><Relationship Id="rId897" Type="http://schemas.openxmlformats.org/officeDocument/2006/relationships/hyperlink" Target="https://market.yandex.ru/card/trezaks-sredstvo-kapli-ot-alkogolizma-alkogolnoy-zavisimosti-pokhmelya-antipokhmelin-brosit-pit--10ml/101824164611?businessId=1422090&amp;clid=1422090&amp;model_id=1088019356&amp;distr_type=8&amp;pp=605" TargetMode="External"/><Relationship Id="rId412" Type="http://schemas.openxmlformats.org/officeDocument/2006/relationships/hyperlink" Target="https://www.wildberries.ru/catalog/165241082/detail.aspx" TargetMode="External"/><Relationship Id="rId654" Type="http://schemas.openxmlformats.org/officeDocument/2006/relationships/hyperlink" Target="https://www.wildberries.ru/catalog/17905602/detail.aspx" TargetMode="External"/><Relationship Id="rId896" Type="http://schemas.openxmlformats.org/officeDocument/2006/relationships/hyperlink" Target="https://www.ozon.ru/product/733369927" TargetMode="External"/><Relationship Id="rId419" Type="http://schemas.openxmlformats.org/officeDocument/2006/relationships/hyperlink" Target="https://drive.google.com/drive/folders/1IjCujeIpIdoCuA27ljHgeKvgc1vdheNO" TargetMode="External"/><Relationship Id="rId418" Type="http://schemas.openxmlformats.org/officeDocument/2006/relationships/hyperlink" Target="https://market.yandex.ru/card/arginin-1000-mg-qeep-90-kapsul/102024722039?businessId=8291477&amp;clid=8291477&amp;model_id=1325550229&amp;distr_type=8&amp;pp=605" TargetMode="External"/><Relationship Id="rId417" Type="http://schemas.openxmlformats.org/officeDocument/2006/relationships/hyperlink" Target="https://www.ozon.ru/product/951604183" TargetMode="External"/><Relationship Id="rId659" Type="http://schemas.openxmlformats.org/officeDocument/2006/relationships/hyperlink" Target="https://market.yandex.ru/card/sprey-dlya-rosta-i-ot-vypadeniya-volos-alteya-100-ml/4476422826?businessId=1422090&amp;clid=1422090&amp;model_id=625585245&amp;distr_type=8&amp;pp=605" TargetMode="External"/><Relationship Id="rId416" Type="http://schemas.openxmlformats.org/officeDocument/2006/relationships/hyperlink" Target="https://www.wildberries.ru/catalog/158114551/detail.aspx" TargetMode="External"/><Relationship Id="rId658" Type="http://schemas.openxmlformats.org/officeDocument/2006/relationships/hyperlink" Target="https://www.ozon.ru/product/2138241943" TargetMode="External"/><Relationship Id="rId891" Type="http://schemas.openxmlformats.org/officeDocument/2006/relationships/hyperlink" Target="https://www.ozon.ru/product/1614639084" TargetMode="External"/><Relationship Id="rId890" Type="http://schemas.openxmlformats.org/officeDocument/2006/relationships/hyperlink" Target="https://www.wildberries.ru/catalog/239930196/detail.aspx" TargetMode="External"/><Relationship Id="rId1240" Type="http://schemas.openxmlformats.org/officeDocument/2006/relationships/hyperlink" Target="https://market.yandex.ru/card/krem-dlya-litsa-s-liposomalnym-retinolom-15-retinayt/4928672266?businessId=1422090&amp;showOriginalKmEmptyOffer=1&amp;ogV=-10" TargetMode="External"/><Relationship Id="rId1241" Type="http://schemas.openxmlformats.org/officeDocument/2006/relationships/hyperlink" Target="https://docs.google.com/document/d/16DpBwHzOLaDA4ZV2WtdKFhcOV0ZPk0b7/edit?usp=drive_web&amp;ouid=104241417680089502627&amp;rtpof=true" TargetMode="External"/><Relationship Id="rId411" Type="http://schemas.openxmlformats.org/officeDocument/2006/relationships/hyperlink" Target="https://drive.google.com/drive/folders/1qaUB39DfscZtT1ytgDS0G4BuYqLz9eL-" TargetMode="External"/><Relationship Id="rId653" Type="http://schemas.openxmlformats.org/officeDocument/2006/relationships/hyperlink" Target="https://market.yandex.ru/card/kapsuly-dlya-uluchsheniya-slukha-usilitel-slukha-alteya-ukhovit-20-kapsul/103515426013?businessId=1422090&amp;clid=1422090&amp;model_id=1164700216&amp;distr_type=8&amp;pp=605" TargetMode="External"/><Relationship Id="rId895" Type="http://schemas.openxmlformats.org/officeDocument/2006/relationships/hyperlink" Target="https://www.wildberries.ru/catalog/100410811/detail.aspx" TargetMode="External"/><Relationship Id="rId1000" Type="http://schemas.openxmlformats.org/officeDocument/2006/relationships/hyperlink" Target="https://www.ozon.ru/product/1629533131" TargetMode="External"/><Relationship Id="rId1242" Type="http://schemas.openxmlformats.org/officeDocument/2006/relationships/hyperlink" Target="https://disk.yandex.ru/d/Yz-DcWLXpRfFLQ" TargetMode="External"/><Relationship Id="rId410" Type="http://schemas.openxmlformats.org/officeDocument/2006/relationships/hyperlink" Target="https://goldapple.ru/catalogsearch/result?q=99000118346" TargetMode="External"/><Relationship Id="rId652" Type="http://schemas.openxmlformats.org/officeDocument/2006/relationships/hyperlink" Target="https://www.ozon.ru/product/1590087137" TargetMode="External"/><Relationship Id="rId894" Type="http://schemas.openxmlformats.org/officeDocument/2006/relationships/hyperlink" Target="https://www.ozon.ru/product/1324992259" TargetMode="External"/><Relationship Id="rId1001" Type="http://schemas.openxmlformats.org/officeDocument/2006/relationships/hyperlink" Target="https://market.yandex.ru/card/penka-dlya-umyvaniya-dlya-snyatiya-makiyazha-ot-postakne-alteya-160-ml/103515404729?businessId=1422090&amp;clid=1422090&amp;model_id=968485540&amp;distr_type=8&amp;pp=605" TargetMode="External"/><Relationship Id="rId1243" Type="http://schemas.openxmlformats.org/officeDocument/2006/relationships/hyperlink" Target="https://www.wildberries.ru/catalog/17908721/detail.aspx" TargetMode="External"/><Relationship Id="rId651" Type="http://schemas.openxmlformats.org/officeDocument/2006/relationships/hyperlink" Target="https://www.wildberries.ru/catalog/234207568/detail.aspx" TargetMode="External"/><Relationship Id="rId893" Type="http://schemas.openxmlformats.org/officeDocument/2006/relationships/hyperlink" Target="https://www.wildberries.ru/catalog/192907992/detail.aspx" TargetMode="External"/><Relationship Id="rId1002" Type="http://schemas.openxmlformats.org/officeDocument/2006/relationships/hyperlink" Target="https://www.letu.ru/product/alteya-penka-dlya-umyvaniya-dlya-snyatiya-makiyazha-ot-postakne/163601074?sort=default&amp;open=ingredient%7EforWhom%7EskinNeeds%7EcleanBeauty&amp;hide=expectedEffect%7EnotContain%7EhairType%7EskinTypes" TargetMode="External"/><Relationship Id="rId1244" Type="http://schemas.openxmlformats.org/officeDocument/2006/relationships/hyperlink" Target="https://www.ozon.ru/product/290029361" TargetMode="External"/><Relationship Id="rId650" Type="http://schemas.openxmlformats.org/officeDocument/2006/relationships/hyperlink" Target="https://market.yandex.ru/card/antiparazitarnyy-kompleks-ot-glistov-ochishcheniye-organizma-ot-parazitov-detoks-alteya-yagodnyy-spas-10-shipuchikh-tabletok/4661991669?businessId=1422090&amp;clid=1422090&amp;model_id=1782068668&amp;distr_type=8&amp;pp=605" TargetMode="External"/><Relationship Id="rId892" Type="http://schemas.openxmlformats.org/officeDocument/2006/relationships/hyperlink" Target="https://market.yandex.ru/card/fitoestrogeny-dlya-zhenshchin-ot-prilivov-pri-klimakse-pri-menopauze-alteya-meno-flavon-60-kapsul/103532563710?businessId=1422090&amp;clid=1422090&amp;model_id=1352508276&amp;distr_type=8&amp;pp=605" TargetMode="External"/><Relationship Id="rId1003" Type="http://schemas.openxmlformats.org/officeDocument/2006/relationships/hyperlink" Target="https://disk.yandex.ru/d/bY95hJ25MqI9mA" TargetMode="External"/><Relationship Id="rId1245" Type="http://schemas.openxmlformats.org/officeDocument/2006/relationships/hyperlink" Target="https://www.wildberries.ru/catalog/41327376/detail.aspx" TargetMode="External"/><Relationship Id="rId1037" Type="http://schemas.openxmlformats.org/officeDocument/2006/relationships/hyperlink" Target="https://www.ozon.ru/product/1171820923" TargetMode="External"/><Relationship Id="rId1279" Type="http://schemas.openxmlformats.org/officeDocument/2006/relationships/hyperlink" Target="https://www.wildberries.ru/catalog/174090982/detail.aspx" TargetMode="External"/><Relationship Id="rId1038" Type="http://schemas.openxmlformats.org/officeDocument/2006/relationships/hyperlink" Target="https://market.yandex.ru/card/antiparazitarnyy-kompleks-ot-glistov-chernyy-orekh-ot-parazitov-pizhma-ochishcheniye-organizma-detoks--pirantoks-60-kapsul/103340891677?businessId=1422090&amp;generalContext=t%3DshopInShop%3Bbi%3D1422090%3B&amp;showOriginalKmEmptyOffer=1&amp;ogV=-10" TargetMode="External"/><Relationship Id="rId1039" Type="http://schemas.openxmlformats.org/officeDocument/2006/relationships/hyperlink" Target="https://www.wildberries.ru/catalog/48591133/detail.aspx" TargetMode="External"/><Relationship Id="rId206" Type="http://schemas.openxmlformats.org/officeDocument/2006/relationships/hyperlink" Target="https://www.ozon.ru/product/1713242647" TargetMode="External"/><Relationship Id="rId448" Type="http://schemas.openxmlformats.org/officeDocument/2006/relationships/hyperlink" Target="https://www.wildberries.ru/catalog/325209184/detail.aspx" TargetMode="External"/><Relationship Id="rId205" Type="http://schemas.openxmlformats.org/officeDocument/2006/relationships/hyperlink" Target="https://www.wildberries.ru/catalog/266214623/detail.aspx" TargetMode="External"/><Relationship Id="rId447" Type="http://schemas.openxmlformats.org/officeDocument/2006/relationships/hyperlink" Target="https://drive.google.com/drive/folders/1E8eJBwylIVl7MUptpVONLFSvIBzGBpCe" TargetMode="External"/><Relationship Id="rId689" Type="http://schemas.openxmlformats.org/officeDocument/2006/relationships/hyperlink" Target="https://www.ozon.ru/product/2015306117" TargetMode="External"/><Relationship Id="rId204" Type="http://schemas.openxmlformats.org/officeDocument/2006/relationships/hyperlink" Target="https://disk.yandex.ru/d/C9uy9DshaJOETw" TargetMode="External"/><Relationship Id="rId446" Type="http://schemas.openxmlformats.org/officeDocument/2006/relationships/hyperlink" Target="https://www.letu.ru/product/qeep-gel-dlya-dusha-parfyumirovannyi-tobacco-cherry/168000615" TargetMode="External"/><Relationship Id="rId688" Type="http://schemas.openxmlformats.org/officeDocument/2006/relationships/hyperlink" Target="https://www.wildberries.ru/catalog/373703287/detail.aspx" TargetMode="External"/><Relationship Id="rId203" Type="http://schemas.openxmlformats.org/officeDocument/2006/relationships/hyperlink" Target="https://drive.google.com/drive/folders/1LkfMjci_czH6GixoPga3xpWIKlfPLlQL" TargetMode="External"/><Relationship Id="rId445" Type="http://schemas.openxmlformats.org/officeDocument/2006/relationships/hyperlink" Target="https://market.yandex.ru/card/gel-dlya-dusha-zhenskiy-parfyumirovannyy-tobacco-cherry-qeep-450-ml/103689891090?businessId=8291477&amp;clid=8291477&amp;model_id=909640372&amp;distr_type=8&amp;pp=605" TargetMode="External"/><Relationship Id="rId687" Type="http://schemas.openxmlformats.org/officeDocument/2006/relationships/hyperlink" Target="https://disk.yandex.ru/d/uvvJ9tMYT5mw-Q" TargetMode="External"/><Relationship Id="rId209" Type="http://schemas.openxmlformats.org/officeDocument/2006/relationships/hyperlink" Target="https://drive.google.com/drive/folders/1kkqEKShoipkjwyLesaxgdZcbQzF1QaIn" TargetMode="External"/><Relationship Id="rId208" Type="http://schemas.openxmlformats.org/officeDocument/2006/relationships/hyperlink" Target="https://goldapple.ru/catalogsearch/result?q=99000121328" TargetMode="External"/><Relationship Id="rId207" Type="http://schemas.openxmlformats.org/officeDocument/2006/relationships/hyperlink" Target="https://market.yandex.ru/card/zhelezo-khelat-vitaminy-qeep-60-kapsul/103555039362?businessId=8291477&amp;clid=8291477&amp;model_id=1111706245&amp;distr_type=8&amp;pp=605" TargetMode="External"/><Relationship Id="rId449" Type="http://schemas.openxmlformats.org/officeDocument/2006/relationships/hyperlink" Target="https://www.ozon.ru/product/1873376596" TargetMode="External"/><Relationship Id="rId1270" Type="http://schemas.openxmlformats.org/officeDocument/2006/relationships/hyperlink" Target="https://www.wildberries.ru/catalog/723490719/detail.aspx" TargetMode="External"/><Relationship Id="rId440" Type="http://schemas.openxmlformats.org/officeDocument/2006/relationships/hyperlink" Target="https://www.ozon.ru/product/1613729326" TargetMode="External"/><Relationship Id="rId682" Type="http://schemas.openxmlformats.org/officeDocument/2006/relationships/hyperlink" Target="https://www.ozon.ru/product/1548072003" TargetMode="External"/><Relationship Id="rId1271" Type="http://schemas.openxmlformats.org/officeDocument/2006/relationships/hyperlink" Target="https://market.yandex.ru/card/nabor-dlya-krasoty-beauty-complex--vitamin-s-500-mg/4914732726?businessId=8291477&amp;generalContext=t%3DshopInShop%3Bbi%3D1422090%3B&amp;showOriginalKmEmptyOffer=1&amp;ogV=-10" TargetMode="External"/><Relationship Id="rId681" Type="http://schemas.openxmlformats.org/officeDocument/2006/relationships/hyperlink" Target="https://www.wildberries.ru/catalog/223764453/detail.aspx" TargetMode="External"/><Relationship Id="rId1030" Type="http://schemas.openxmlformats.org/officeDocument/2006/relationships/hyperlink" Target="https://www.wildberries.ru/catalog/172163562/detail.aspx" TargetMode="External"/><Relationship Id="rId1272" Type="http://schemas.openxmlformats.org/officeDocument/2006/relationships/hyperlink" Target="https://www.wildberries.ru/catalog/214221270/detail.aspx" TargetMode="External"/><Relationship Id="rId680" Type="http://schemas.openxmlformats.org/officeDocument/2006/relationships/hyperlink" Target="https://market.yandex.ru/card/pishchevaya-dobavka-telomeras-ta-65-alteya-60-kapsul/4537860153?businessId=1422090&amp;clid=1422090&amp;model_id=1352508276&amp;distr_type=8&amp;pp=605" TargetMode="External"/><Relationship Id="rId1031" Type="http://schemas.openxmlformats.org/officeDocument/2006/relationships/hyperlink" Target="https://www.ozon.ru/product/1154572880" TargetMode="External"/><Relationship Id="rId1273" Type="http://schemas.openxmlformats.org/officeDocument/2006/relationships/hyperlink" Target="https://www.wildberries.ru/catalog/318415062/detail.aspx" TargetMode="External"/><Relationship Id="rId1032" Type="http://schemas.openxmlformats.org/officeDocument/2006/relationships/hyperlink" Target="https://market.yandex.ru/card/maz-dlya-sustavov-krem-ot-boli-v-sustavakh-obezbolivayushchaya-panty-marala-balzam-alteya-pantogor-2-shtuki/103515438901?businessId=1422090&amp;clid=1422090&amp;model_id=997149439&amp;distr_type=8&amp;pp=605" TargetMode="External"/><Relationship Id="rId1274" Type="http://schemas.openxmlformats.org/officeDocument/2006/relationships/hyperlink" Target="https://www.wildberries.ru/catalog/525336870/detail.aspx" TargetMode="External"/><Relationship Id="rId202" Type="http://schemas.openxmlformats.org/officeDocument/2006/relationships/hyperlink" Target="https://goldapple.ru/catalogsearch/result?q=99000117796" TargetMode="External"/><Relationship Id="rId444" Type="http://schemas.openxmlformats.org/officeDocument/2006/relationships/hyperlink" Target="https://www.ozon.ru/product/1785782001" TargetMode="External"/><Relationship Id="rId686" Type="http://schemas.openxmlformats.org/officeDocument/2006/relationships/hyperlink" Target="https://mm.ru/product/krem-dlya-lica-5868814?skuId=13110130" TargetMode="External"/><Relationship Id="rId1033" Type="http://schemas.openxmlformats.org/officeDocument/2006/relationships/hyperlink" Target="https://www.wildberries.ru/catalog/260523262/detail.aspx" TargetMode="External"/><Relationship Id="rId1275" Type="http://schemas.openxmlformats.org/officeDocument/2006/relationships/hyperlink" Target="https://www.wildberries.ru/catalog/172647498/detail.aspx" TargetMode="External"/><Relationship Id="rId201" Type="http://schemas.openxmlformats.org/officeDocument/2006/relationships/hyperlink" Target="https://market.yandex.ru/card/pikolinat-khroma-bad-tabletki-dlya-pokhudeniya/4476682176?businessId=8291477&amp;clid=8291477&amp;model_id=1268975231&amp;distr_type=8&amp;pp=605" TargetMode="External"/><Relationship Id="rId443" Type="http://schemas.openxmlformats.org/officeDocument/2006/relationships/hyperlink" Target="https://www.wildberries.ru/catalog/302419362/detail.aspx" TargetMode="External"/><Relationship Id="rId685" Type="http://schemas.openxmlformats.org/officeDocument/2006/relationships/hyperlink" Target="https://www.letu.ru/product/alteya-krem-dlya-litsa-s-retinolom-0-5-syvorotka-ot-morshchin-i-pigmentnyh-pyaten-retiderm/163501192?sort=default&amp;open=cleanBeauty%7Eingredient%7EskinNeeds&amp;hide=expectedEffect%7EnotContain" TargetMode="External"/><Relationship Id="rId1034" Type="http://schemas.openxmlformats.org/officeDocument/2006/relationships/hyperlink" Target="https://www.ozon.ru/product/1691265016" TargetMode="External"/><Relationship Id="rId1276" Type="http://schemas.openxmlformats.org/officeDocument/2006/relationships/hyperlink" Target="https://www.wildberries.ru/catalog/172647794/detail.aspx" TargetMode="External"/><Relationship Id="rId200" Type="http://schemas.openxmlformats.org/officeDocument/2006/relationships/hyperlink" Target="https://www.ozon.ru/product/2168454928" TargetMode="External"/><Relationship Id="rId442" Type="http://schemas.openxmlformats.org/officeDocument/2006/relationships/hyperlink" Target="https://drive.google.com/drive/folders/1drIa8DGRSxx1BY_tjQMZ8JVmSeouj1Wm" TargetMode="External"/><Relationship Id="rId684" Type="http://schemas.openxmlformats.org/officeDocument/2006/relationships/hyperlink" Target="https://goldapple.ru/catalogsearch/result?q=99000076216" TargetMode="External"/><Relationship Id="rId1035" Type="http://schemas.openxmlformats.org/officeDocument/2006/relationships/hyperlink" Target="https://market.yandex.ru/card/maz-dlya-sustavov-obezbolivayushchaya-panty-marala-i-glyukozamin-alteya-osteofast-osteofast-30-ml/103515406839?businessId=1422090&amp;clid=1422090&amp;model_id=1103091052&amp;distr_type=8&amp;pp=605" TargetMode="External"/><Relationship Id="rId1277" Type="http://schemas.openxmlformats.org/officeDocument/2006/relationships/hyperlink" Target="https://www.wildberries.ru/catalog/172648280/detail.aspx" TargetMode="External"/><Relationship Id="rId441" Type="http://schemas.openxmlformats.org/officeDocument/2006/relationships/hyperlink" Target="https://market.yandex.ru/card/sprey-ot-koltunov-dlya-dlinnoy-shersti-i-legkogo-raschesyvaniya/103397005171?businessId=8291477&amp;clid=8291477&amp;model_id=973176873&amp;distr_type=8&amp;pp=605" TargetMode="External"/><Relationship Id="rId683" Type="http://schemas.openxmlformats.org/officeDocument/2006/relationships/hyperlink" Target="https://market.yandex.ru/card/krem-dlya-litsa-s-retinolom-05-antivozrastnoy-syvorotka-ot-morshchin-i-pigmentnykh-pyaten-alteya-retiderm-50-ml/4594231761?businessId=1422090&amp;clid=1422090&amp;model_id=1058738765&amp;distr_type=8&amp;pp=605" TargetMode="External"/><Relationship Id="rId1036" Type="http://schemas.openxmlformats.org/officeDocument/2006/relationships/hyperlink" Target="https://www.wildberries.ru/catalog/174458749/detail.aspx" TargetMode="External"/><Relationship Id="rId1278" Type="http://schemas.openxmlformats.org/officeDocument/2006/relationships/hyperlink" Target="https://www.wildberries.ru/catalog/172648470/detail.aspx" TargetMode="External"/><Relationship Id="rId1026" Type="http://schemas.openxmlformats.org/officeDocument/2006/relationships/hyperlink" Target="https://disk.yandex.ru/d/Vp_XkoyY-K5Snw" TargetMode="External"/><Relationship Id="rId1268" Type="http://schemas.openxmlformats.org/officeDocument/2006/relationships/hyperlink" Target="https://www.wildberries.ru/catalog/723220708/detail.aspx" TargetMode="External"/><Relationship Id="rId1027" Type="http://schemas.openxmlformats.org/officeDocument/2006/relationships/hyperlink" Target="https://www.wildberries.ru/catalog/305018458/detail.aspx" TargetMode="External"/><Relationship Id="rId1269" Type="http://schemas.openxmlformats.org/officeDocument/2006/relationships/hyperlink" Target="https://market.yandex.ru/card/omega-3-i-magniy-tsitrat-635-mg---podderzhka-serdtsa-i-nervov/4914676196?businessId=8291477&amp;showOriginalKmEmptyOffer=1&amp;ogV=-10" TargetMode="External"/><Relationship Id="rId1028" Type="http://schemas.openxmlformats.org/officeDocument/2006/relationships/hyperlink" Target="https://www.ozon.ru/product/1805983376" TargetMode="External"/><Relationship Id="rId1029" Type="http://schemas.openxmlformats.org/officeDocument/2006/relationships/hyperlink" Target="https://market.yandex.ru/card/nabor-dlya-brovey-i-resnits-kosmeticheskiy-beauty-brows-box-alteya/103710294907?businessId=1422090&amp;clid=1422090&amp;model_id=1352604652&amp;distr_type=8&amp;pp=605" TargetMode="External"/><Relationship Id="rId437" Type="http://schemas.openxmlformats.org/officeDocument/2006/relationships/hyperlink" Target="https://www.ozon.ru/product/1726985085" TargetMode="External"/><Relationship Id="rId679" Type="http://schemas.openxmlformats.org/officeDocument/2006/relationships/hyperlink" Target="https://www.ozon.ru/product/2498032276" TargetMode="External"/><Relationship Id="rId436" Type="http://schemas.openxmlformats.org/officeDocument/2006/relationships/hyperlink" Target="https://www.wildberries.ru/catalog/270360740/detail.aspx" TargetMode="External"/><Relationship Id="rId678" Type="http://schemas.openxmlformats.org/officeDocument/2006/relationships/hyperlink" Target="https://www.wildberries.ru/catalog/471341724/detail.aspx" TargetMode="External"/><Relationship Id="rId435" Type="http://schemas.openxmlformats.org/officeDocument/2006/relationships/hyperlink" Target="https://drive.google.com/drive/folders/1VtsrVPrGRxdXtnhZq0c-mnzKzvM5oFxA" TargetMode="External"/><Relationship Id="rId677" Type="http://schemas.openxmlformats.org/officeDocument/2006/relationships/hyperlink" Target="https://disk.yandex.ru/d/DmNB5dPy-8qnPg" TargetMode="External"/><Relationship Id="rId434" Type="http://schemas.openxmlformats.org/officeDocument/2006/relationships/hyperlink" Target="https://market.yandex.ru/card/aminokisloty-glutamin-tirozin-l-triptofan-l-glutaminovaya-kislota-l-tianin-qeep-90-kapsul/103372577016?businessId=8291477&amp;clid=8291477&amp;model_id=44461901&amp;distr_type=8&amp;pp=605" TargetMode="External"/><Relationship Id="rId676" Type="http://schemas.openxmlformats.org/officeDocument/2006/relationships/hyperlink" Target="https://market.yandex.ru/card/krem-dlya-litsa-s-liposomalnym-retinolom-05-retinayt/4737525756?businessId=1422090&amp;clid=1422090&amp;model_id=4936696924&amp;distr_type=8&amp;pp=605" TargetMode="External"/><Relationship Id="rId439" Type="http://schemas.openxmlformats.org/officeDocument/2006/relationships/hyperlink" Target="https://www.wildberries.ru/catalog/240169330/detail.aspx" TargetMode="External"/><Relationship Id="rId438" Type="http://schemas.openxmlformats.org/officeDocument/2006/relationships/hyperlink" Target="https://market.yandex.ru/card/izotonik-poroshok-sportivnyy-s-vitaminami-qeep-300-g/103572448025?businessId=8291477&amp;clid=8291477&amp;model_id=1096180798&amp;distr_type=8&amp;pp=605" TargetMode="External"/><Relationship Id="rId671" Type="http://schemas.openxmlformats.org/officeDocument/2006/relationships/hyperlink" Target="https://www.letu.ru/product/alteya-krem-dlya-litsa-s-liposomalnym-retinolom-025-retinait/177305605?sort=default&amp;open=cleanBeauty%7Eingredient%7EskinNeeds&amp;hide=expectedEffect%7EnotContain%7EskinTypes%7EhairType" TargetMode="External"/><Relationship Id="rId1260" Type="http://schemas.openxmlformats.org/officeDocument/2006/relationships/hyperlink" Target="https://market.yandex.ru/card/gel-dlya-intimnoy-gigiyeny-s-molochnoy-kislotoy-alteya-intimvita-200-ml/103515446782?businessId=1422090&amp;showOriginalKmEmptyOffer=1&amp;ogV=-10" TargetMode="External"/><Relationship Id="rId670" Type="http://schemas.openxmlformats.org/officeDocument/2006/relationships/hyperlink" Target="https://goldapple.ru/catalogsearch/result?q=99000124418" TargetMode="External"/><Relationship Id="rId1261" Type="http://schemas.openxmlformats.org/officeDocument/2006/relationships/hyperlink" Target="https://www.letu.ru/product/alteya-gel-dlya-intimnoi-gigieny-s-molochnoi-kislotoi-intimvita/164000027" TargetMode="External"/><Relationship Id="rId1020" Type="http://schemas.openxmlformats.org/officeDocument/2006/relationships/hyperlink" Target="https://market.yandex.ru/card/krem-ot-varikoza-nog-konskiy-kashtan--vetonus-100-ml/103515789506?businessId=1422090&amp;clid=1422090&amp;model_id=696344170&amp;distr_type=8&amp;pp=605" TargetMode="External"/><Relationship Id="rId1262" Type="http://schemas.openxmlformats.org/officeDocument/2006/relationships/hyperlink" Target="https://docs.google.com/document/d/1WyzCEuwt6Qx4U3CniNCJHuhEDiAfsJWB/edit?usp=drive_web&amp;ouid=104241417680089502627&amp;rtpof=true" TargetMode="External"/><Relationship Id="rId1021" Type="http://schemas.openxmlformats.org/officeDocument/2006/relationships/hyperlink" Target="https://www.wildberries.ru/catalog/205074596/detail.aspx" TargetMode="External"/><Relationship Id="rId1263" Type="http://schemas.openxmlformats.org/officeDocument/2006/relationships/hyperlink" Target="https://www.wildberries.ru/catalog/716103412/detail.aspx" TargetMode="External"/><Relationship Id="rId433" Type="http://schemas.openxmlformats.org/officeDocument/2006/relationships/hyperlink" Target="https://www.ozon.ru/product/1200359466" TargetMode="External"/><Relationship Id="rId675" Type="http://schemas.openxmlformats.org/officeDocument/2006/relationships/hyperlink" Target="https://www.ozon.ru/product/2937061626" TargetMode="External"/><Relationship Id="rId1022" Type="http://schemas.openxmlformats.org/officeDocument/2006/relationships/hyperlink" Target="https://www.ozon.ru/product/1413566896" TargetMode="External"/><Relationship Id="rId1264" Type="http://schemas.openxmlformats.org/officeDocument/2006/relationships/hyperlink" Target="https://market.yandex.ru/card/krem-ot-rastyazhek-podkhodit-dlya-beremennykh-i-dlya-podrostkov/4914680343?businessId=8291477&amp;showOriginalKmEmptyOffer=1&amp;ogV=-10" TargetMode="External"/><Relationship Id="rId432" Type="http://schemas.openxmlformats.org/officeDocument/2006/relationships/hyperlink" Target="https://www.wildberries.ru/catalog/177867999/detail.aspx" TargetMode="External"/><Relationship Id="rId674" Type="http://schemas.openxmlformats.org/officeDocument/2006/relationships/hyperlink" Target="https://www.wildberries.ru/catalog/555457305/detail.aspx" TargetMode="External"/><Relationship Id="rId1023" Type="http://schemas.openxmlformats.org/officeDocument/2006/relationships/hyperlink" Target="https://market.yandex.ru/card/krem-dlya-nog-ot-treshchin-s-mochevinoy-uvlazhnyayushchiy-10-mochevina-100-ml/103515399743?businessId=1422090&amp;clid=1422090&amp;model_id=696344170&amp;distr_type=8&amp;pp=605" TargetMode="External"/><Relationship Id="rId1265" Type="http://schemas.openxmlformats.org/officeDocument/2006/relationships/hyperlink" Target="https://docs.google.com/document/d/1PUnCA264rLeHwOHUrYhTjbX6bEBK-JVTFGbDD868y-o/edit?tab=t.0" TargetMode="External"/><Relationship Id="rId431" Type="http://schemas.openxmlformats.org/officeDocument/2006/relationships/hyperlink" Target="https://market.yandex.ru/card/izotonik-poroshok-sportivnyy-s-vitaminami-qeep-300-g/103572466383?businessId=8291477&amp;clid=8291477&amp;model_id=1096180798&amp;distr_type=8&amp;pp=605" TargetMode="External"/><Relationship Id="rId673" Type="http://schemas.openxmlformats.org/officeDocument/2006/relationships/hyperlink" Target="https://disk.yandex.ru/d/frwSIspqFDMKcQ" TargetMode="External"/><Relationship Id="rId1024" Type="http://schemas.openxmlformats.org/officeDocument/2006/relationships/hyperlink" Target="https://goldapple.ru/catalogsearch/result?q=99000076225" TargetMode="External"/><Relationship Id="rId1266" Type="http://schemas.openxmlformats.org/officeDocument/2006/relationships/hyperlink" Target="https://www.wildberries.ru/catalog/723135494/detail.aspx" TargetMode="External"/><Relationship Id="rId430" Type="http://schemas.openxmlformats.org/officeDocument/2006/relationships/hyperlink" Target="https://www.ozon.ru/product/1726985022" TargetMode="External"/><Relationship Id="rId672" Type="http://schemas.openxmlformats.org/officeDocument/2006/relationships/hyperlink" Target="https://mm.ru/product/krem-dlya-lica-5880783?skuId=13131194" TargetMode="External"/><Relationship Id="rId1025" Type="http://schemas.openxmlformats.org/officeDocument/2006/relationships/hyperlink" Target="https://www.letu.ru/product/alteya-krem-s-mochevinoi-uvlazhnyayushchii-10-mochevina/180800008?sort=default&amp;open=ingredient%7EforWhom%7EskinNeeds%7EcleanBeauty&amp;hide=expectedEffect%7EnotContain%7EhairType%7EskinTypes" TargetMode="External"/><Relationship Id="rId1267" Type="http://schemas.openxmlformats.org/officeDocument/2006/relationships/hyperlink" Target="https://market.yandex.ru/card/nabor-inozitol-1500-mg--tsink-bisglitsinat-25-mg/4914700613?businessId=8291477&amp;showOriginalKmEmptyOffer=1&amp;ogV=-1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FHRHavRBDdi2gKFjBn9bjWsFAdIYSnUhNR4TwF87PzA/edit?usp=sharing" TargetMode="External"/><Relationship Id="rId2" Type="http://schemas.openxmlformats.org/officeDocument/2006/relationships/hyperlink" Target="https://docs.google.com/document/d/1nNWgUP77IDTzI8-4I1ktj1bAQndVFfTxh3HCpd8ANB0/edit" TargetMode="External"/><Relationship Id="rId3" Type="http://schemas.openxmlformats.org/officeDocument/2006/relationships/hyperlink" Target="https://docs.google.com/document/d/1dhIA-TYnETujFnJWsfNk1ecy7PdKqIt4QkQFk4PV4hQ/edit" TargetMode="External"/><Relationship Id="rId4" Type="http://schemas.openxmlformats.org/officeDocument/2006/relationships/hyperlink" Target="https://docs.google.com/document/d/1IuDlaqYy_B8b8k0pjFufQl-oqx3-fgJbSLSgva-MKBc/edit?tab=t.0" TargetMode="External"/><Relationship Id="rId5" Type="http://schemas.openxmlformats.org/officeDocument/2006/relationships/hyperlink" Target="https://docs.google.com/document/d/1Sz0LP9aVbdQfEU2WMRCtI-DDfLzGptLZvgLBIQURHDM/edit?tab=t.0"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LR__5ROKBkaIcEHxXYak771Ja7zPr-wSzyfHGTyh2vo/edit?gid=1985852842" TargetMode="External"/><Relationship Id="rId2" Type="http://schemas.openxmlformats.org/officeDocument/2006/relationships/hyperlink" Target="https://docs.google.com/spreadsheets/d/1LR__5ROKBkaIcEHxXYak771Ja7zPr-wSzyfHGTyh2vo/edit?gid=1985852842"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90" Type="http://schemas.openxmlformats.org/officeDocument/2006/relationships/hyperlink" Target="https://drive.google.com/drive/folders/1kkqEKShoipkjwyLesaxgdZcbQzF1QaIn" TargetMode="External"/><Relationship Id="rId194" Type="http://schemas.openxmlformats.org/officeDocument/2006/relationships/hyperlink" Target="https://www.wildberries.ru/catalog/91969350/detail.aspx" TargetMode="External"/><Relationship Id="rId193" Type="http://schemas.openxmlformats.org/officeDocument/2006/relationships/hyperlink" Target="https://market.yandex.ru/card/kompleks-vitaminov-ot-klimaksa-i-prilivov-climafem-qeep-60-kapsul/103589261760?businessId=8291477&amp;clid=8291477&amp;model_id=1826260757&amp;distr_type=8&amp;pp=605" TargetMode="External"/><Relationship Id="rId192" Type="http://schemas.openxmlformats.org/officeDocument/2006/relationships/hyperlink" Target="https://www.ozon.ru/product/1738941767" TargetMode="External"/><Relationship Id="rId191" Type="http://schemas.openxmlformats.org/officeDocument/2006/relationships/hyperlink" Target="https://www.wildberries.ru/catalog/271680783/detail.aspx" TargetMode="External"/><Relationship Id="rId187" Type="http://schemas.openxmlformats.org/officeDocument/2006/relationships/hyperlink" Target="https://www.ozon.ru/product/1713242647" TargetMode="External"/><Relationship Id="rId186" Type="http://schemas.openxmlformats.org/officeDocument/2006/relationships/hyperlink" Target="https://www.wildberries.ru/catalog/266214623/detail.aspx" TargetMode="External"/><Relationship Id="rId185" Type="http://schemas.openxmlformats.org/officeDocument/2006/relationships/hyperlink" Target="https://drive.google.com/drive/folders/1LkfMjci_czH6GixoPga3xpWIKlfPLlQL" TargetMode="External"/><Relationship Id="rId184" Type="http://schemas.openxmlformats.org/officeDocument/2006/relationships/hyperlink" Target="https://goldapple.ru/catalogsearch/result?q=99000117796" TargetMode="External"/><Relationship Id="rId189" Type="http://schemas.openxmlformats.org/officeDocument/2006/relationships/hyperlink" Target="https://goldapple.ru/catalogsearch/result?q=99000121328" TargetMode="External"/><Relationship Id="rId188" Type="http://schemas.openxmlformats.org/officeDocument/2006/relationships/hyperlink" Target="https://market.yandex.ru/card/zhelezo-khelat-vitaminy-qeep-60-kapsul/103555039362?businessId=8291477&amp;clid=8291477&amp;model_id=1111706245&amp;distr_type=8&amp;pp=605" TargetMode="External"/><Relationship Id="rId183" Type="http://schemas.openxmlformats.org/officeDocument/2006/relationships/hyperlink" Target="https://market.yandex.ru/card/pikolinat-khroma-bad-tabletki-dlya-pokhudeniya/4476682176?businessId=8291477&amp;clid=8291477&amp;model_id=1268975231&amp;distr_type=8&amp;pp=605" TargetMode="External"/><Relationship Id="rId182" Type="http://schemas.openxmlformats.org/officeDocument/2006/relationships/hyperlink" Target="https://www.ozon.ru/product/2168454928" TargetMode="External"/><Relationship Id="rId181" Type="http://schemas.openxmlformats.org/officeDocument/2006/relationships/hyperlink" Target="https://www.wildberries.ru/catalog/417262785/detail.aspx" TargetMode="External"/><Relationship Id="rId180" Type="http://schemas.openxmlformats.org/officeDocument/2006/relationships/hyperlink" Target="https://www.ozon.ru/product/616948885" TargetMode="External"/><Relationship Id="rId176" Type="http://schemas.openxmlformats.org/officeDocument/2006/relationships/hyperlink" Target="https://market.yandex.ru/card/kremniy-35-mg-qeep-90-kapsul/103398260189?businessId=8291477&amp;clid=8291477&amp;model_id=838753782&amp;distr_type=8&amp;pp=605" TargetMode="External"/><Relationship Id="rId175" Type="http://schemas.openxmlformats.org/officeDocument/2006/relationships/hyperlink" Target="https://www.ozon.ru/product/1408116280" TargetMode="External"/><Relationship Id="rId174" Type="http://schemas.openxmlformats.org/officeDocument/2006/relationships/hyperlink" Target="https://www.wildberries.ru/catalog/206027291/detail.aspx" TargetMode="External"/><Relationship Id="rId173" Type="http://schemas.openxmlformats.org/officeDocument/2006/relationships/hyperlink" Target="https://market.yandex.ru/card/digidrokvertsetin--vitamin-a-s-ye-25-mg-qeep-30-kapsul/101805120670?businessId=8291477&amp;clid=8291477&amp;model_id=1111706245&amp;distr_type=8&amp;pp=605" TargetMode="External"/><Relationship Id="rId179" Type="http://schemas.openxmlformats.org/officeDocument/2006/relationships/hyperlink" Target="https://www.wildberries.ru/catalog/90343752/detail.aspx" TargetMode="External"/><Relationship Id="rId178" Type="http://schemas.openxmlformats.org/officeDocument/2006/relationships/hyperlink" Target="https://drive.google.com/drive/folders/1I551mOcieiloH0nGEV4x905NSikzHmB-" TargetMode="External"/><Relationship Id="rId177" Type="http://schemas.openxmlformats.org/officeDocument/2006/relationships/hyperlink" Target="https://goldapple.ru/catalogsearch/result?q=99000118641" TargetMode="External"/><Relationship Id="rId198" Type="http://schemas.openxmlformats.org/officeDocument/2006/relationships/hyperlink" Target="https://market.yandex.ru/card/antiparazitarnyy-kompleks-qeep-kaps/103614885657?businessId=8291477&amp;clid=8291477&amp;model_id=44495663&amp;distr_type=8&amp;pp=605" TargetMode="External"/><Relationship Id="rId197" Type="http://schemas.openxmlformats.org/officeDocument/2006/relationships/hyperlink" Target="https://www.ozon.ru/product/1323353605" TargetMode="External"/><Relationship Id="rId196" Type="http://schemas.openxmlformats.org/officeDocument/2006/relationships/hyperlink" Target="https://www.wildberries.ru/catalog/193123880/detail.aspx" TargetMode="External"/><Relationship Id="rId195" Type="http://schemas.openxmlformats.org/officeDocument/2006/relationships/hyperlink" Target="https://www.ozon.ru/product/650348972" TargetMode="External"/><Relationship Id="rId199" Type="http://schemas.openxmlformats.org/officeDocument/2006/relationships/hyperlink" Target="https://drive.google.com/drive/folders/1KNEwUbAoNj_n5iSZjupqnxJbiF715hxT" TargetMode="External"/><Relationship Id="rId150" Type="http://schemas.openxmlformats.org/officeDocument/2006/relationships/hyperlink" Target="https://disk.yandex.ru/d/8mE8ip6Wqh99dQ" TargetMode="External"/><Relationship Id="rId392" Type="http://schemas.openxmlformats.org/officeDocument/2006/relationships/hyperlink" Target="https://market.yandex.ru/card/izotonik-poroshok-sportivnyy-s-vitaminami-qeep-300-g/103572466383?businessId=8291477&amp;clid=8291477&amp;model_id=1096180798&amp;distr_type=8&amp;pp=605" TargetMode="External"/><Relationship Id="rId391" Type="http://schemas.openxmlformats.org/officeDocument/2006/relationships/hyperlink" Target="https://www.ozon.ru/product/1726985022" TargetMode="External"/><Relationship Id="rId390" Type="http://schemas.openxmlformats.org/officeDocument/2006/relationships/hyperlink" Target="https://www.wildberries.ru/catalog/270128828/detail.aspx" TargetMode="External"/><Relationship Id="rId1" Type="http://schemas.openxmlformats.org/officeDocument/2006/relationships/hyperlink" Target="https://docs.google.com/spreadsheets/d/1LR__5ROKBkaIcEHxXYak771Ja7zPr-wSzyfHGTyh2vo/edit?gid=1985852842" TargetMode="External"/><Relationship Id="rId2" Type="http://schemas.openxmlformats.org/officeDocument/2006/relationships/hyperlink" Target="https://docs.google.com/spreadsheets/d/1LR__5ROKBkaIcEHxXYak771Ja7zPr-wSzyfHGTyh2vo/edit?gid=1985852842" TargetMode="External"/><Relationship Id="rId3" Type="http://schemas.openxmlformats.org/officeDocument/2006/relationships/hyperlink" Target="https://docs.google.com/spreadsheets/d/1LR__5ROKBkaIcEHxXYak771Ja7zPr-wSzyfHGTyh2vo/edit?gid=1985852842" TargetMode="External"/><Relationship Id="rId149" Type="http://schemas.openxmlformats.org/officeDocument/2006/relationships/hyperlink" Target="https://market.yandex.ru/card/krem-dlya-litsa-s-liposomalnym-retinolom-15/4842314518?businessId=8291477&amp;clid=8291477&amp;model_id=1453951928&amp;distr_type=8&amp;pp=605" TargetMode="External"/><Relationship Id="rId4" Type="http://schemas.openxmlformats.org/officeDocument/2006/relationships/hyperlink" Target="https://docs.google.com/spreadsheets/d/1LR__5ROKBkaIcEHxXYak771Ja7zPr-wSzyfHGTyh2vo/edit?gid=1985852842" TargetMode="External"/><Relationship Id="rId148" Type="http://schemas.openxmlformats.org/officeDocument/2006/relationships/hyperlink" Target="https://www.ozon.ru/product/3220730122" TargetMode="External"/><Relationship Id="rId1090" Type="http://schemas.openxmlformats.org/officeDocument/2006/relationships/hyperlink" Target="https://www.ozon.ru/product/669985038" TargetMode="External"/><Relationship Id="rId1091" Type="http://schemas.openxmlformats.org/officeDocument/2006/relationships/hyperlink" Target="https://market.yandex.ru/card/pirantoks-antiparazitarnyy-kompleks-ot-parazitov-i-glistov-10-kapsul-detoks/101806805904?businessId=1422090&amp;clid=1422090&amp;model_id=1215621363&amp;distr_type=8&amp;pp=605" TargetMode="External"/><Relationship Id="rId1092" Type="http://schemas.openxmlformats.org/officeDocument/2006/relationships/hyperlink" Target="https://www.wildberries.ru/catalog/17905705/detail.aspx" TargetMode="External"/><Relationship Id="rId1093" Type="http://schemas.openxmlformats.org/officeDocument/2006/relationships/hyperlink" Target="https://www.ozon.ru/product/289386465" TargetMode="External"/><Relationship Id="rId1094" Type="http://schemas.openxmlformats.org/officeDocument/2006/relationships/hyperlink" Target="https://market.yandex.ru/card/krem-maz-dlya-sustavov-i-svyazok-biotrin-obezbolivayushchiy-30-ml/103340891723?businessId=1422090&amp;clid=1422090&amp;model_id=49499284&amp;distr_type=8&amp;pp=605" TargetMode="External"/><Relationship Id="rId9" Type="http://schemas.openxmlformats.org/officeDocument/2006/relationships/hyperlink" Target="https://www.wildberries.ru/catalog/163683380/detail.aspx" TargetMode="External"/><Relationship Id="rId143" Type="http://schemas.openxmlformats.org/officeDocument/2006/relationships/hyperlink" Target="https://www.wildberries.ru/catalog/687712933/detail.aspx" TargetMode="External"/><Relationship Id="rId385" Type="http://schemas.openxmlformats.org/officeDocument/2006/relationships/hyperlink" Target="https://drive.google.com/drive/folders/1ahthm8s2pgUOLWtIiJLQ2CMRDf3TH3cL" TargetMode="External"/><Relationship Id="rId1095" Type="http://schemas.openxmlformats.org/officeDocument/2006/relationships/hyperlink" Target="https://www.wildberries.ru/catalog/484548663/detail.aspx" TargetMode="External"/><Relationship Id="rId142" Type="http://schemas.openxmlformats.org/officeDocument/2006/relationships/hyperlink" Target="https://drive.google.com/drive/folders/1GcFduMhHSQj_HtTQiHBS8B-cdpu5Eyhz" TargetMode="External"/><Relationship Id="rId384" Type="http://schemas.openxmlformats.org/officeDocument/2006/relationships/hyperlink" Target="https://market.yandex.ru/card/izotonik-poroshok-sportivnyy-s-vitaminami-qeep-300-g/103572448024?businessId=8291477&amp;clid=8291477&amp;model_id=1096180798&amp;distr_type=8&amp;pp=605" TargetMode="External"/><Relationship Id="rId1096" Type="http://schemas.openxmlformats.org/officeDocument/2006/relationships/hyperlink" Target="https://www.ozon.ru/product/2583100450" TargetMode="External"/><Relationship Id="rId141" Type="http://schemas.openxmlformats.org/officeDocument/2006/relationships/hyperlink" Target="https://market.yandex.ru/card/krem-solntsezashchitnyy-spf-50-dlya-litsa-50-ml/4824577371?businessId=8291477&amp;clid=8291477&amp;model_id=1581702225&amp;distr_type=8&amp;pp=605" TargetMode="External"/><Relationship Id="rId383" Type="http://schemas.openxmlformats.org/officeDocument/2006/relationships/hyperlink" Target="https://www.ozon.ru/product/1726985284" TargetMode="External"/><Relationship Id="rId1097" Type="http://schemas.openxmlformats.org/officeDocument/2006/relationships/hyperlink" Target="https://market.yandex.ru/card/gel-dlya-britya-muzhskoy-okhlazhdayushchiy-s-mentolom-alteya-300-ml/4600676003?businessId=1422090&amp;clid=1422090&amp;model_id=1351525345&amp;distr_type=8&amp;pp=605" TargetMode="External"/><Relationship Id="rId140" Type="http://schemas.openxmlformats.org/officeDocument/2006/relationships/hyperlink" Target="https://www.ozon.ru/product/3190972100" TargetMode="External"/><Relationship Id="rId382" Type="http://schemas.openxmlformats.org/officeDocument/2006/relationships/hyperlink" Target="https://www.wildberries.ru/catalog/270128827/detail.aspx" TargetMode="External"/><Relationship Id="rId1098" Type="http://schemas.openxmlformats.org/officeDocument/2006/relationships/hyperlink" Target="https://mm.ru/product/gel-dlya-britya-5880768?skuId=13131162" TargetMode="External"/><Relationship Id="rId5" Type="http://schemas.openxmlformats.org/officeDocument/2006/relationships/hyperlink" Target="https://www.wildberries.ru/catalog/473683865/detail.aspx" TargetMode="External"/><Relationship Id="rId147" Type="http://schemas.openxmlformats.org/officeDocument/2006/relationships/hyperlink" Target="https://www.wildberries.ru/catalog/692599189/detail.aspx" TargetMode="External"/><Relationship Id="rId389" Type="http://schemas.openxmlformats.org/officeDocument/2006/relationships/hyperlink" Target="https://drive.google.com/drive/folders/1xvE7e0r-hDbRuEg6TbhTdxtcDvF2uscn" TargetMode="External"/><Relationship Id="rId1099" Type="http://schemas.openxmlformats.org/officeDocument/2006/relationships/hyperlink" Target="https://www.wildberries.ru/catalog/276258805/detail.aspx" TargetMode="External"/><Relationship Id="rId6" Type="http://schemas.openxmlformats.org/officeDocument/2006/relationships/hyperlink" Target="https://www.ozon.ru/product/2517120405" TargetMode="External"/><Relationship Id="rId146" Type="http://schemas.openxmlformats.org/officeDocument/2006/relationships/hyperlink" Target="https://disk.yandex.ru/d/kWCbF653aZ0amQ" TargetMode="External"/><Relationship Id="rId388" Type="http://schemas.openxmlformats.org/officeDocument/2006/relationships/hyperlink" Target="https://market.yandex.ru/card/kreatin-monogidrat-5000-mg-qeep-300-g/103397810974?businessId=8291477&amp;clid=8291477&amp;model_id=485356702&amp;distr_type=8&amp;pp=605" TargetMode="External"/><Relationship Id="rId7" Type="http://schemas.openxmlformats.org/officeDocument/2006/relationships/hyperlink" Target="https://drive.google.com/drive/folders/1PqXUMTMlCs1-1shAXBWFmXZz1thQTrG7" TargetMode="External"/><Relationship Id="rId145" Type="http://schemas.openxmlformats.org/officeDocument/2006/relationships/hyperlink" Target="https://market.yandex.ru/card/krem-dlya-litsa-s-liposomalnym-retinolom-1/4842304692?businessId=8291477&amp;clid=8291477&amp;model_id=1453951928&amp;distr_type=8&amp;pp=605" TargetMode="External"/><Relationship Id="rId387" Type="http://schemas.openxmlformats.org/officeDocument/2006/relationships/hyperlink" Target="https://www.ozon.ru/product/1566871461" TargetMode="External"/><Relationship Id="rId8" Type="http://schemas.openxmlformats.org/officeDocument/2006/relationships/hyperlink" Target="https://docs.google.com/document/d/1XPxvc0_rnwY-m_Fi8Z3tguz_Y9D15h6gupsd_lqR5Tk/edit" TargetMode="External"/><Relationship Id="rId144" Type="http://schemas.openxmlformats.org/officeDocument/2006/relationships/hyperlink" Target="https://www.ozon.ru/product/3219081694" TargetMode="External"/><Relationship Id="rId386" Type="http://schemas.openxmlformats.org/officeDocument/2006/relationships/hyperlink" Target="https://www.wildberries.ru/catalog/229246778/detail.aspx" TargetMode="External"/><Relationship Id="rId381" Type="http://schemas.openxmlformats.org/officeDocument/2006/relationships/hyperlink" Target="https://drive.google.com/drive/folders/1IjCujeIpIdoCuA27ljHgeKvgc1vdheNO" TargetMode="External"/><Relationship Id="rId380" Type="http://schemas.openxmlformats.org/officeDocument/2006/relationships/hyperlink" Target="https://market.yandex.ru/card/arginin-1000-mg-qeep-90-kapsul/102024722039?businessId=8291477&amp;clid=8291477&amp;model_id=1325550229&amp;distr_type=8&amp;pp=605" TargetMode="External"/><Relationship Id="rId139" Type="http://schemas.openxmlformats.org/officeDocument/2006/relationships/hyperlink" Target="https://www.wildberries.ru/catalog/681199239/detail.aspx" TargetMode="External"/><Relationship Id="rId138" Type="http://schemas.openxmlformats.org/officeDocument/2006/relationships/hyperlink" Target="https://drive.google.com/drive/folders/1ldsojot3L5fpXNicn_hj4PzJwj0hpgp8" TargetMode="External"/><Relationship Id="rId137" Type="http://schemas.openxmlformats.org/officeDocument/2006/relationships/hyperlink" Target="https://market.yandex.ru/card/bad-chlorophyll-500-ml-zhidkiy-khlorofill-so-vkusom-myaty-500ml/4787246513?businessId=8291477&amp;clid=8291477&amp;model_id=1826260757&amp;distr_type=8&amp;pp=605" TargetMode="External"/><Relationship Id="rId379" Type="http://schemas.openxmlformats.org/officeDocument/2006/relationships/hyperlink" Target="https://www.ozon.ru/product/951604183" TargetMode="External"/><Relationship Id="rId1080" Type="http://schemas.openxmlformats.org/officeDocument/2006/relationships/hyperlink" Target="https://market.yandex.ru/card/magniy-v6-s-lavandoy-alteya-relaksinol-60-kapsul/103515407818?businessId=1422090&amp;clid=1422090&amp;model_id=1352508276&amp;distr_type=8&amp;pp=605" TargetMode="External"/><Relationship Id="rId1081" Type="http://schemas.openxmlformats.org/officeDocument/2006/relationships/hyperlink" Target="https://www.wildberries.ru/catalog/221229640/detail.aspx" TargetMode="External"/><Relationship Id="rId1082" Type="http://schemas.openxmlformats.org/officeDocument/2006/relationships/hyperlink" Target="https://www.ozon.ru/product/1526983919" TargetMode="External"/><Relationship Id="rId1083" Type="http://schemas.openxmlformats.org/officeDocument/2006/relationships/hyperlink" Target="https://market.yandex.ru/card/gidrofilnoye-maslo-dlya-snyatiya-makiyazha-s-lavandoy-alteya--150-ml/103515417439?businessId=1422090&amp;clid=1422090&amp;model_id=968485540&amp;distr_type=8&amp;pp=605" TargetMode="External"/><Relationship Id="rId132" Type="http://schemas.openxmlformats.org/officeDocument/2006/relationships/hyperlink" Target="https://www.ozon.ru/product/3106984552" TargetMode="External"/><Relationship Id="rId374" Type="http://schemas.openxmlformats.org/officeDocument/2006/relationships/hyperlink" Target="https://drive.google.com/drive/folders/1qaUB39DfscZtT1ytgDS0G4BuYqLz9eL-" TargetMode="External"/><Relationship Id="rId1084" Type="http://schemas.openxmlformats.org/officeDocument/2006/relationships/hyperlink" Target="https://goldapple.ru/catalogsearch/result?q=99000076222" TargetMode="External"/><Relationship Id="rId131" Type="http://schemas.openxmlformats.org/officeDocument/2006/relationships/hyperlink" Target="https://www.wildberries.ru/catalog/617717249/detail.aspx" TargetMode="External"/><Relationship Id="rId373" Type="http://schemas.openxmlformats.org/officeDocument/2006/relationships/hyperlink" Target="https://goldapple.ru/catalogsearch/result?q=99000118346" TargetMode="External"/><Relationship Id="rId1085" Type="http://schemas.openxmlformats.org/officeDocument/2006/relationships/hyperlink" Target="https://www.letu.ru/product/alteya-gidrofilnoe-maslo-dlya-snyatiya-makiyazha-s-lavandoi/164100036" TargetMode="External"/><Relationship Id="rId130" Type="http://schemas.openxmlformats.org/officeDocument/2006/relationships/hyperlink" Target="https://drive.google.com/drive/folders/1rV8K5p1fq6qOIW7VD0lGtibqmVER_wvl" TargetMode="External"/><Relationship Id="rId372" Type="http://schemas.openxmlformats.org/officeDocument/2006/relationships/hyperlink" Target="https://market.yandex.ru/card/buster-testosterona-bad-dlya-potentsii-i-myshts-sportivnyy-qeep-60-kapsul/103582149110?businessId=8291477&amp;clid=8291477&amp;model_id=925062646&amp;distr_type=8&amp;pp=605" TargetMode="External"/><Relationship Id="rId1086" Type="http://schemas.openxmlformats.org/officeDocument/2006/relationships/hyperlink" Target="https://www.wildberries.ru/catalog/18836119/detail.aspx" TargetMode="External"/><Relationship Id="rId371" Type="http://schemas.openxmlformats.org/officeDocument/2006/relationships/hyperlink" Target="https://www.ozon.ru/product/1731455142" TargetMode="External"/><Relationship Id="rId1087" Type="http://schemas.openxmlformats.org/officeDocument/2006/relationships/hyperlink" Target="https://www.ozon.ru/product/290202723" TargetMode="External"/><Relationship Id="rId136" Type="http://schemas.openxmlformats.org/officeDocument/2006/relationships/hyperlink" Target="https://www.ozon.ru/product/3108027348" TargetMode="External"/><Relationship Id="rId378" Type="http://schemas.openxmlformats.org/officeDocument/2006/relationships/hyperlink" Target="https://www.wildberries.ru/catalog/158114551/detail.aspx" TargetMode="External"/><Relationship Id="rId1088" Type="http://schemas.openxmlformats.org/officeDocument/2006/relationships/hyperlink" Target="https://market.yandex.ru/card/sredstvo-ot-alkogolizma-i-alkogolnoy-zavisimosti-trezor-10-sashe/103340893703?businessId=1422090&amp;clid=1422090&amp;model_id=1337113322&amp;distr_type=8&amp;pp=605" TargetMode="External"/><Relationship Id="rId135" Type="http://schemas.openxmlformats.org/officeDocument/2006/relationships/hyperlink" Target="https://www.wildberries.ru/catalog/165592674/detail.aspx" TargetMode="External"/><Relationship Id="rId377" Type="http://schemas.openxmlformats.org/officeDocument/2006/relationships/hyperlink" Target="https://market.yandex.ru/card/zma-testosteron-dlya-muzhchin-tsink--magniy--asparaginovaya-kislota--v6-qeep-ekdisteron-120-kapsul/102054388448?businessId=8291477&amp;showOriginalKmEmptyOffer=1&amp;ogV=-10" TargetMode="External"/><Relationship Id="rId1089" Type="http://schemas.openxmlformats.org/officeDocument/2006/relationships/hyperlink" Target="https://www.wildberries.ru/catalog/119939935/detail.aspx" TargetMode="External"/><Relationship Id="rId134" Type="http://schemas.openxmlformats.org/officeDocument/2006/relationships/hyperlink" Target="https://drive.google.com/drive/folders/1mWkENWzV8LFCasWOb9Z2fVT4g_8zzLup" TargetMode="External"/><Relationship Id="rId376" Type="http://schemas.openxmlformats.org/officeDocument/2006/relationships/hyperlink" Target="https://www.ozon.ru/product/1032691496" TargetMode="External"/><Relationship Id="rId133" Type="http://schemas.openxmlformats.org/officeDocument/2006/relationships/hyperlink" Target="https://market.yandex.ru/card/lososevoye-maslo-dlya-sobak-i-koshek-s-maslom-lososya-rybiy-zhir-omega-3-dlya-zhivotnykh-harly-250-ml/4764708144?businessId=8291477&amp;clid=8291477&amp;model_id=838121044&amp;distr_type=8&amp;pp=605" TargetMode="External"/><Relationship Id="rId375" Type="http://schemas.openxmlformats.org/officeDocument/2006/relationships/hyperlink" Target="https://www.wildberries.ru/catalog/165241082/detail.aspx" TargetMode="External"/><Relationship Id="rId172" Type="http://schemas.openxmlformats.org/officeDocument/2006/relationships/hyperlink" Target="https://www.ozon.ru/product/650452213" TargetMode="External"/><Relationship Id="rId171" Type="http://schemas.openxmlformats.org/officeDocument/2006/relationships/hyperlink" Target="https://www.wildberries.ru/catalog/91969061/detail.aspx" TargetMode="External"/><Relationship Id="rId170" Type="http://schemas.openxmlformats.org/officeDocument/2006/relationships/hyperlink" Target="https://drive.google.com/drive/folders/1uTF3PrNOTzgxxcX3uhJ5NATQKzjzaT2t" TargetMode="External"/><Relationship Id="rId165" Type="http://schemas.openxmlformats.org/officeDocument/2006/relationships/hyperlink" Target="https://www.ozon.ru/product/1408084489" TargetMode="External"/><Relationship Id="rId164" Type="http://schemas.openxmlformats.org/officeDocument/2006/relationships/hyperlink" Target="https://www.wildberries.ru/catalog/206020100/detail.aspx" TargetMode="External"/><Relationship Id="rId163" Type="http://schemas.openxmlformats.org/officeDocument/2006/relationships/hyperlink" Target="https://drive.google.com/drive/folders/1hP-3TexPulE2xNhZ0KlXzCHc8aIJ2ux7" TargetMode="External"/><Relationship Id="rId162" Type="http://schemas.openxmlformats.org/officeDocument/2006/relationships/hyperlink" Target="https://market.yandex.ru/card/biopurin-ot-podagry-dlya-sustavov-qeep-60-kapsul/103812558261?businessId=8291477&amp;clid=8291477&amp;model_id=973159540&amp;distr_type=8&amp;pp=605" TargetMode="External"/><Relationship Id="rId169" Type="http://schemas.openxmlformats.org/officeDocument/2006/relationships/hyperlink" Target="https://market.yandex.ru/card/vitaminy-dlya-zhenshchin-qeep-60-kapsul/103398256606?businessId=8291477&amp;clid=8291477&amp;model_id=1111706245&amp;distr_type=8&amp;pp=605" TargetMode="External"/><Relationship Id="rId168" Type="http://schemas.openxmlformats.org/officeDocument/2006/relationships/hyperlink" Target="https://www.ozon.ru/product/1500211407" TargetMode="External"/><Relationship Id="rId167" Type="http://schemas.openxmlformats.org/officeDocument/2006/relationships/hyperlink" Target="https://www.wildberries.ru/catalog/216488606/detail.aspx" TargetMode="External"/><Relationship Id="rId166" Type="http://schemas.openxmlformats.org/officeDocument/2006/relationships/hyperlink" Target="https://drive.google.com/drive/folders/12NLK4M-zsS_xNSg_z9brf6p0g7tOFi-w" TargetMode="External"/><Relationship Id="rId161" Type="http://schemas.openxmlformats.org/officeDocument/2006/relationships/hyperlink" Target="https://www.ozon.ru/product/1884226546" TargetMode="External"/><Relationship Id="rId160" Type="http://schemas.openxmlformats.org/officeDocument/2006/relationships/hyperlink" Target="https://www.wildberries.ru/catalog/337468231/detail.aspx" TargetMode="External"/><Relationship Id="rId159" Type="http://schemas.openxmlformats.org/officeDocument/2006/relationships/hyperlink" Target="https://drive.google.com/drive/folders/1hPlN19xPrlRyphMqsWwBx67MXsHQJSce" TargetMode="External"/><Relationship Id="rId154" Type="http://schemas.openxmlformats.org/officeDocument/2006/relationships/hyperlink" Target="https://goldapple.ru/catalogsearch/result?q=99000117795" TargetMode="External"/><Relationship Id="rId396" Type="http://schemas.openxmlformats.org/officeDocument/2006/relationships/hyperlink" Target="https://drive.google.com/drive/folders/1VtsrVPrGRxdXtnhZq0c-mnzKzvM5oFxA" TargetMode="External"/><Relationship Id="rId153" Type="http://schemas.openxmlformats.org/officeDocument/2006/relationships/hyperlink" Target="https://market.yandex.ru/card/biotin-10000-mkg-qeep-60-kapsul/103665479999?businessId=8291477&amp;clid=8291477&amp;model_id=838753782&amp;distr_type=8&amp;pp=605" TargetMode="External"/><Relationship Id="rId395" Type="http://schemas.openxmlformats.org/officeDocument/2006/relationships/hyperlink" Target="https://market.yandex.ru/card/aminokisloty-glutamin-tirozin-l-triptofan-l-glutaminovaya-kislota-l-tianin-qeep-90-kapsul/103372577016?businessId=8291477&amp;clid=8291477&amp;model_id=44461901&amp;distr_type=8&amp;pp=605" TargetMode="External"/><Relationship Id="rId152" Type="http://schemas.openxmlformats.org/officeDocument/2006/relationships/hyperlink" Target="https://www.ozon.ru/product/1773394130" TargetMode="External"/><Relationship Id="rId394" Type="http://schemas.openxmlformats.org/officeDocument/2006/relationships/hyperlink" Target="https://www.ozon.ru/product/1200359466" TargetMode="External"/><Relationship Id="rId151" Type="http://schemas.openxmlformats.org/officeDocument/2006/relationships/hyperlink" Target="https://www.wildberries.ru/catalog/311795896/detail.aspx" TargetMode="External"/><Relationship Id="rId393" Type="http://schemas.openxmlformats.org/officeDocument/2006/relationships/hyperlink" Target="https://www.wildberries.ru/catalog/177867999/detail.aspx" TargetMode="External"/><Relationship Id="rId158" Type="http://schemas.openxmlformats.org/officeDocument/2006/relationships/hyperlink" Target="https://market.yandex.ru/card/koenzim-q10-vitaminy-dlya-serdtsa-i-sosudov-qeep-30-kapsul/103689767957?businessId=8291477&amp;clid=8291477&amp;model_id=1268975231&amp;distr_type=8&amp;pp=605" TargetMode="External"/><Relationship Id="rId157" Type="http://schemas.openxmlformats.org/officeDocument/2006/relationships/hyperlink" Target="https://www.ozon.ru/product/1785810392" TargetMode="External"/><Relationship Id="rId399" Type="http://schemas.openxmlformats.org/officeDocument/2006/relationships/hyperlink" Target="https://market.yandex.ru/card/izotonik-poroshok-sportivnyy-s-vitaminami-qeep-300-g/103572448025?businessId=8291477&amp;clid=8291477&amp;model_id=1096180798&amp;distr_type=8&amp;pp=605" TargetMode="External"/><Relationship Id="rId156" Type="http://schemas.openxmlformats.org/officeDocument/2006/relationships/hyperlink" Target="https://www.wildberries.ru/catalog/302436449/detail.aspx" TargetMode="External"/><Relationship Id="rId398" Type="http://schemas.openxmlformats.org/officeDocument/2006/relationships/hyperlink" Target="https://www.ozon.ru/product/1726985085" TargetMode="External"/><Relationship Id="rId155" Type="http://schemas.openxmlformats.org/officeDocument/2006/relationships/hyperlink" Target="https://drive.google.com/drive/folders/1z8D3umXCI2M6KCJyeirlPDZ2j20UoYfG" TargetMode="External"/><Relationship Id="rId397" Type="http://schemas.openxmlformats.org/officeDocument/2006/relationships/hyperlink" Target="https://www.wildberries.ru/catalog/270360740/detail.aspx" TargetMode="External"/><Relationship Id="rId808" Type="http://schemas.openxmlformats.org/officeDocument/2006/relationships/hyperlink" Target="https://www.wildberries.ru/catalog/423392974/detail.aspx" TargetMode="External"/><Relationship Id="rId807" Type="http://schemas.openxmlformats.org/officeDocument/2006/relationships/hyperlink" Target="https://market.yandex.ru/card/glyukozamin-khondroitin-msm-dlya-sustavov-i-svyazok-revmastop-alteya-60-kapsul/103637124074?do-waremd5=82t9fAMJb6Mw4cpeUhQdMA&amp;businessId=1422090&amp;generalContext=t%3DshopInShop%3Bbi%3D1422090%3B&amp;ogV=-10" TargetMode="External"/><Relationship Id="rId806" Type="http://schemas.openxmlformats.org/officeDocument/2006/relationships/hyperlink" Target="https://www.ozon.ru/product/1761037555" TargetMode="External"/><Relationship Id="rId805" Type="http://schemas.openxmlformats.org/officeDocument/2006/relationships/hyperlink" Target="https://www.wildberries.ru/catalog/286568838/detail.aspx" TargetMode="External"/><Relationship Id="rId809" Type="http://schemas.openxmlformats.org/officeDocument/2006/relationships/hyperlink" Target="https://www.ozon.ru/product/2168297398" TargetMode="External"/><Relationship Id="rId800" Type="http://schemas.openxmlformats.org/officeDocument/2006/relationships/hyperlink" Target="https://www.ozon.ru/product/836659639" TargetMode="External"/><Relationship Id="rId804" Type="http://schemas.openxmlformats.org/officeDocument/2006/relationships/hyperlink" Target="https://market.yandex.ru/card/vitaminy-dlya-glaz-lyutein-kompleks-dlya-glaz-dlya-zreniya-kompleks-vitaminov-a-e-s-tsink-dlya-uluchsheniya-i-vosstanovleniya-zreniya-uvlazhnyayushchiye-kapli--oftalmol-oftalmol/103515397915?do-waremd5=48Uklq_yOm0nsEIG5l5J1Q&amp;businessId=1422090&amp;generalContext=t%3DshopInShop%3Bbi%3D1422090%3B&amp;ogV=-10" TargetMode="External"/><Relationship Id="rId803" Type="http://schemas.openxmlformats.org/officeDocument/2006/relationships/hyperlink" Target="https://www.ozon.ru/product/1542468939" TargetMode="External"/><Relationship Id="rId802" Type="http://schemas.openxmlformats.org/officeDocument/2006/relationships/hyperlink" Target="https://www.wildberries.ru/catalog/224302599/detail.aspx" TargetMode="External"/><Relationship Id="rId801" Type="http://schemas.openxmlformats.org/officeDocument/2006/relationships/hyperlink" Target="https://market.yandex.ru/card/vitaminy-dlya-glaz-i-vosstanovleniya-zreniya-okospas-s-lyuteinom-i-chernikoy-10-ml/103333760896?businessId=1422090&amp;clid=1422090&amp;model_id=1910365656&amp;distr_type=8&amp;pp=605" TargetMode="External"/><Relationship Id="rId40" Type="http://schemas.openxmlformats.org/officeDocument/2006/relationships/hyperlink" Target="https://docs.google.com/document/d/1GIhxI6rjxcKWcXkVQWFOUMR8k_q55sJ6ghopBpX2UKc/edit?tab=t.0" TargetMode="External"/><Relationship Id="rId42" Type="http://schemas.openxmlformats.org/officeDocument/2006/relationships/hyperlink" Target="https://www.ozon.ru/product/1581825452" TargetMode="External"/><Relationship Id="rId41" Type="http://schemas.openxmlformats.org/officeDocument/2006/relationships/hyperlink" Target="https://www.wildberries.ru/catalog/232465954/detail.aspx" TargetMode="External"/><Relationship Id="rId44" Type="http://schemas.openxmlformats.org/officeDocument/2006/relationships/hyperlink" Target="https://drive.google.com/drive/folders/1L065BxHDMUdVQxodAmNqzK24QFsduBfI" TargetMode="External"/><Relationship Id="rId43" Type="http://schemas.openxmlformats.org/officeDocument/2006/relationships/hyperlink" Target="https://market.yandex.ru/card/dog-and-cat-probiotics--1/103542563878?businessId=8291477&amp;clid=8291477&amp;model_id=616053073&amp;distr_type=8&amp;pp=605" TargetMode="External"/><Relationship Id="rId46" Type="http://schemas.openxmlformats.org/officeDocument/2006/relationships/hyperlink" Target="https://www.ozon.ru/product/2018960887" TargetMode="External"/><Relationship Id="rId45" Type="http://schemas.openxmlformats.org/officeDocument/2006/relationships/hyperlink" Target="https://www.wildberries.ru/catalog/377788941/detail.aspx" TargetMode="External"/><Relationship Id="rId509" Type="http://schemas.openxmlformats.org/officeDocument/2006/relationships/hyperlink" Target="https://www.wildberries.ru/catalog/167680176/detail.aspx" TargetMode="External"/><Relationship Id="rId508" Type="http://schemas.openxmlformats.org/officeDocument/2006/relationships/hyperlink" Target="https://www.ozon.ru/product/965078619" TargetMode="External"/><Relationship Id="rId503" Type="http://schemas.openxmlformats.org/officeDocument/2006/relationships/hyperlink" Target="https://www.wildberries.ru/catalog/148334501/detail.aspx" TargetMode="External"/><Relationship Id="rId745" Type="http://schemas.openxmlformats.org/officeDocument/2006/relationships/hyperlink" Target="https://market.yandex.ru/card/khvoynyy-ekstrakt-dlya-immuniteta-i-ozdorovleniya-khvoynitsa-7-sashe/103340899028?do-waremd5=QHlGOQxLdn4Nkbt3Ug8P0w&amp;businessId=1422090&amp;generalContext=t%3DshopInShop%3Bbi%3D1422090%3B&amp;ogV=-10" TargetMode="External"/><Relationship Id="rId987" Type="http://schemas.openxmlformats.org/officeDocument/2006/relationships/hyperlink" Target="https://www.wildberries.ru/catalog/312910723/detail.aspx" TargetMode="External"/><Relationship Id="rId502" Type="http://schemas.openxmlformats.org/officeDocument/2006/relationships/hyperlink" Target="https://www.ozon.ru/product/814830745" TargetMode="External"/><Relationship Id="rId744" Type="http://schemas.openxmlformats.org/officeDocument/2006/relationships/hyperlink" Target="https://www.ozon.ru/product/736435678" TargetMode="External"/><Relationship Id="rId986" Type="http://schemas.openxmlformats.org/officeDocument/2006/relationships/hyperlink" Target="https://market.yandex.ru/card/erobrut-dlya-muzhskoy-potentsii-alteya-20-kapsul/103731200230?businessId=1422090&amp;clid=1422090&amp;model_id=1286021343&amp;distr_type=8&amp;pp=605" TargetMode="External"/><Relationship Id="rId501" Type="http://schemas.openxmlformats.org/officeDocument/2006/relationships/hyperlink" Target="https://www.wildberries.ru/catalog/138313003/detail.aspx" TargetMode="External"/><Relationship Id="rId743" Type="http://schemas.openxmlformats.org/officeDocument/2006/relationships/hyperlink" Target="https://www.wildberries.ru/catalog/104628658/detail.aspx" TargetMode="External"/><Relationship Id="rId985" Type="http://schemas.openxmlformats.org/officeDocument/2006/relationships/hyperlink" Target="https://www.ozon.ru/product/1829804935" TargetMode="External"/><Relationship Id="rId500" Type="http://schemas.openxmlformats.org/officeDocument/2006/relationships/hyperlink" Target="https://market.yandex.ru/card/vitaminy-dlya-detey-zhevatelnyye-multivitaminy-mishki-qeep-60-marmeladok/103665483133?businessId=8291477&amp;clid=8291477&amp;model_id=1947049801&amp;distr_type=8&amp;pp=605" TargetMode="External"/><Relationship Id="rId742" Type="http://schemas.openxmlformats.org/officeDocument/2006/relationships/hyperlink" Target="https://market.yandex.ru/card/krem-maz-ot-varikoza-konskiy-kashtan-alteya-varifit-30-ml/103515397749?businessId=1422090&amp;clid=1422090&amp;model_id=1256606336&amp;distr_type=8&amp;pp=605" TargetMode="External"/><Relationship Id="rId984" Type="http://schemas.openxmlformats.org/officeDocument/2006/relationships/hyperlink" Target="https://www.wildberries.ru/catalog/312907312/detail.aspx" TargetMode="External"/><Relationship Id="rId507" Type="http://schemas.openxmlformats.org/officeDocument/2006/relationships/hyperlink" Target="https://www.wildberries.ru/catalog/159632001/detail.aspx" TargetMode="External"/><Relationship Id="rId749" Type="http://schemas.openxmlformats.org/officeDocument/2006/relationships/hyperlink" Target="https://www.letu.ru/product/alteya-krem-dlya-ukladki-volos/178102006?sort=default&amp;open=ingredient%7EforWhom%7EskinNeeds%7EcleanBeauty&amp;hide=expectedEffect%7EnotContain%7EhairType" TargetMode="External"/><Relationship Id="rId506" Type="http://schemas.openxmlformats.org/officeDocument/2006/relationships/hyperlink" Target="https://www.ozon.ru/product/881228430" TargetMode="External"/><Relationship Id="rId748" Type="http://schemas.openxmlformats.org/officeDocument/2006/relationships/hyperlink" Target="https://market.yandex.ru/card/vosk-dlya-ukladki-volos-alteya-50-ml/4476315416?businessId=1422090&amp;clid=1422090&amp;model_id=1503630299&amp;distr_type=8&amp;pp=605" TargetMode="External"/><Relationship Id="rId505" Type="http://schemas.openxmlformats.org/officeDocument/2006/relationships/hyperlink" Target="https://www.wildberries.ru/catalog/148312764/detail.aspx" TargetMode="External"/><Relationship Id="rId747" Type="http://schemas.openxmlformats.org/officeDocument/2006/relationships/hyperlink" Target="https://www.ozon.ru/product/2138175361" TargetMode="External"/><Relationship Id="rId989" Type="http://schemas.openxmlformats.org/officeDocument/2006/relationships/hyperlink" Target="https://market.yandex.ru/card/urinofiks-kompleks-ot-nederzhaniya-mochi-alteya-20-kapsul/103748752841?businessId=1422090&amp;clid=1422090&amp;model_id=859804210&amp;distr_type=8&amp;pp=605" TargetMode="External"/><Relationship Id="rId504" Type="http://schemas.openxmlformats.org/officeDocument/2006/relationships/hyperlink" Target="https://www.ozon.ru/product/881228424" TargetMode="External"/><Relationship Id="rId746" Type="http://schemas.openxmlformats.org/officeDocument/2006/relationships/hyperlink" Target="https://www.wildberries.ru/catalog/418209838/detail.aspx" TargetMode="External"/><Relationship Id="rId988" Type="http://schemas.openxmlformats.org/officeDocument/2006/relationships/hyperlink" Target="https://www.ozon.ru/product/1829803107" TargetMode="External"/><Relationship Id="rId48" Type="http://schemas.openxmlformats.org/officeDocument/2006/relationships/hyperlink" Target="https://mm.ru/product/sprej-dlya-volos-5898539?skuId=13170083" TargetMode="External"/><Relationship Id="rId47" Type="http://schemas.openxmlformats.org/officeDocument/2006/relationships/hyperlink" Target="https://market.yandex.ru/card/sprey-dlya-obyema-i-ukladki-volos-s-fiksatsiyey-qeep-200-ml/4315768672?businessId=8291477&amp;clid=8291477&amp;model_id=1103677448&amp;distr_type=8&amp;pp=605" TargetMode="External"/><Relationship Id="rId49" Type="http://schemas.openxmlformats.org/officeDocument/2006/relationships/hyperlink" Target="https://drive.google.com/drive/folders/1tkb0VjzFG6nTETD90FvT27TX2vLzgDjy" TargetMode="External"/><Relationship Id="rId741" Type="http://schemas.openxmlformats.org/officeDocument/2006/relationships/hyperlink" Target="https://www.ozon.ru/product/1590032182" TargetMode="External"/><Relationship Id="rId983" Type="http://schemas.openxmlformats.org/officeDocument/2006/relationships/hyperlink" Target="https://market.yandex.ru/card/sredstvo-ot-prostatita-adenofrin-dlya-prostaty-i-potentsii/103267667292?businessId=1422090&amp;clid=1422090&amp;model_id=1286021343&amp;distr_type=8&amp;pp=605" TargetMode="External"/><Relationship Id="rId740" Type="http://schemas.openxmlformats.org/officeDocument/2006/relationships/hyperlink" Target="https://www.wildberries.ru/catalog/234147545/detail.aspx" TargetMode="External"/><Relationship Id="rId982" Type="http://schemas.openxmlformats.org/officeDocument/2006/relationships/hyperlink" Target="https://www.ozon.ru/product/396723649" TargetMode="External"/><Relationship Id="rId981" Type="http://schemas.openxmlformats.org/officeDocument/2006/relationships/hyperlink" Target="https://www.wildberries.ru/catalog/48591133/detail.aspx" TargetMode="External"/><Relationship Id="rId980" Type="http://schemas.openxmlformats.org/officeDocument/2006/relationships/hyperlink" Target="https://market.yandex.ru/card/antiparazitarnyy-kompleks-ot-glistov-chernyy-orekh-ot-parazitov-pizhma-ochishcheniye-organizma-detoks--pirantoks-60-kapsul/103340891677?businessId=1422090&amp;generalContext=t%3DshopInShop%3Bbi%3D1422090%3B&amp;showOriginalKmEmptyOffer=1&amp;ogV=-10" TargetMode="External"/><Relationship Id="rId31" Type="http://schemas.openxmlformats.org/officeDocument/2006/relationships/hyperlink" Target="https://www.wildberries.ru/catalog/150262548/detail.aspx" TargetMode="External"/><Relationship Id="rId30" Type="http://schemas.openxmlformats.org/officeDocument/2006/relationships/hyperlink" Target="https://drive.google.com/drive/folders/1o1P40yl_7ZR8-xRy4wZf7EhJzyXZkr3-" TargetMode="External"/><Relationship Id="rId33" Type="http://schemas.openxmlformats.org/officeDocument/2006/relationships/hyperlink" Target="https://market.yandex.ru/card/joint-care-funktsionalnyy-korm-dlya-sobak-dlya-sustavov/103542518194?businessId=8291477&amp;clid=8291477&amp;model_id=44500663&amp;distr_type=8&amp;pp=605" TargetMode="External"/><Relationship Id="rId32" Type="http://schemas.openxmlformats.org/officeDocument/2006/relationships/hyperlink" Target="https://www.ozon.ru/product/884578393" TargetMode="External"/><Relationship Id="rId35" Type="http://schemas.openxmlformats.org/officeDocument/2006/relationships/hyperlink" Target="https://docs.google.com/document/d/1P2KK6r50RbQvRpU3E3b6nd7ld16cP7H7MoVk9M_1Ums/edit?tab=t.0" TargetMode="External"/><Relationship Id="rId34" Type="http://schemas.openxmlformats.org/officeDocument/2006/relationships/hyperlink" Target="https://drive.google.com/drive/folders/1IQ51gbZJ8MzYP29NXeoOOScaQ0jQZK3C" TargetMode="External"/><Relationship Id="rId739" Type="http://schemas.openxmlformats.org/officeDocument/2006/relationships/hyperlink" Target="https://mm.ru/product/maska-dlya-volos-5868855?skuId=13110233" TargetMode="External"/><Relationship Id="rId734" Type="http://schemas.openxmlformats.org/officeDocument/2006/relationships/hyperlink" Target="https://www.wildberries.ru/catalog/260383031/detail.aspx" TargetMode="External"/><Relationship Id="rId976" Type="http://schemas.openxmlformats.org/officeDocument/2006/relationships/hyperlink" Target="https://www.ozon.ru/product/1691265016" TargetMode="External"/><Relationship Id="rId733" Type="http://schemas.openxmlformats.org/officeDocument/2006/relationships/hyperlink" Target="https://www.letu.ru/product/alteya-tonik-dlya-litsa-ot-pryshchei-i-chernyh-tochek-ochishchayushchii/172000552" TargetMode="External"/><Relationship Id="rId975" Type="http://schemas.openxmlformats.org/officeDocument/2006/relationships/hyperlink" Target="https://www.wildberries.ru/catalog/260523262/detail.aspx" TargetMode="External"/><Relationship Id="rId732" Type="http://schemas.openxmlformats.org/officeDocument/2006/relationships/hyperlink" Target="https://goldapple.ru/catalogsearch/result?q=99000114728" TargetMode="External"/><Relationship Id="rId974" Type="http://schemas.openxmlformats.org/officeDocument/2006/relationships/hyperlink" Target="https://market.yandex.ru/card/maz-dlya-sustavov-krem-ot-boli-v-sustavakh-obezbolivayushchaya-panty-marala-balzam-alteya-pantogor-2-shtuki/103515438901?businessId=1422090&amp;clid=1422090&amp;model_id=997149439&amp;distr_type=8&amp;pp=605" TargetMode="External"/><Relationship Id="rId731" Type="http://schemas.openxmlformats.org/officeDocument/2006/relationships/hyperlink" Target="https://market.yandex.ru/card/tonik-dlya-litsa-ot-pryshchey-i-chernykh-tochek-ochishchayushchiy-alteya-200-ml/4334347819?businessId=1422090&amp;clid=1422090&amp;model_id=968485540&amp;distr_type=8&amp;pp=605" TargetMode="External"/><Relationship Id="rId973" Type="http://schemas.openxmlformats.org/officeDocument/2006/relationships/hyperlink" Target="https://www.ozon.ru/product/1154572880" TargetMode="External"/><Relationship Id="rId738" Type="http://schemas.openxmlformats.org/officeDocument/2006/relationships/hyperlink" Target="https://www.letu.ru/product/alteya-maska-dlya-volos-professionalnaya-s-keratinom-vosstanavlivayushchaya-balzam-dlya-volos/163501102?sort=default&amp;open=ingredient%7EforWhom%7EskinNeeds%7EcleanBeauty&amp;hide=expectedEffect%7EnotContain%7EhairType" TargetMode="External"/><Relationship Id="rId737" Type="http://schemas.openxmlformats.org/officeDocument/2006/relationships/hyperlink" Target="https://goldapple.ru/catalogsearch/result?q=99000076210" TargetMode="External"/><Relationship Id="rId979" Type="http://schemas.openxmlformats.org/officeDocument/2006/relationships/hyperlink" Target="https://www.ozon.ru/product/1171820923" TargetMode="External"/><Relationship Id="rId736" Type="http://schemas.openxmlformats.org/officeDocument/2006/relationships/hyperlink" Target="https://market.yandex.ru/card/maska-dlya-volos-professionalnaya-s-keratinom-vosstanavlivayushchaya-balzam-dlya-volos-alteya-250-ml/103515390557?businessId=1422090&amp;clid=1422090&amp;model_id=625585245&amp;distr_type=8&amp;pp=605" TargetMode="External"/><Relationship Id="rId978" Type="http://schemas.openxmlformats.org/officeDocument/2006/relationships/hyperlink" Target="https://www.wildberries.ru/catalog/174458749/detail.aspx" TargetMode="External"/><Relationship Id="rId735" Type="http://schemas.openxmlformats.org/officeDocument/2006/relationships/hyperlink" Target="https://www.ozon.ru/product/1691464882" TargetMode="External"/><Relationship Id="rId977" Type="http://schemas.openxmlformats.org/officeDocument/2006/relationships/hyperlink" Target="https://market.yandex.ru/card/maz-dlya-sustavov-obezbolivayushchaya-panty-marala-i-glyukozamin-alteya-osteofast-osteofast-30-ml/103515406839?businessId=1422090&amp;clid=1422090&amp;model_id=1103091052&amp;distr_type=8&amp;pp=605" TargetMode="External"/><Relationship Id="rId37" Type="http://schemas.openxmlformats.org/officeDocument/2006/relationships/hyperlink" Target="https://www.ozon.ru/product/1018530861" TargetMode="External"/><Relationship Id="rId36" Type="http://schemas.openxmlformats.org/officeDocument/2006/relationships/hyperlink" Target="https://www.wildberries.ru/catalog/163687757/detail.aspx" TargetMode="External"/><Relationship Id="rId39" Type="http://schemas.openxmlformats.org/officeDocument/2006/relationships/hyperlink" Target="https://drive.google.com/drive/folders/1p5gWqcP76Vsv2Evi4DwpeTeky0kE3iyV" TargetMode="External"/><Relationship Id="rId38" Type="http://schemas.openxmlformats.org/officeDocument/2006/relationships/hyperlink" Target="https://market.yandex.ru/card/teeth--bones-funktsionalnyy-korm-dlya-zubov-i-kostey-dlya-sobak/103614081636?businessId=8291477&amp;clid=8291477&amp;model_id=44502679&amp;distr_type=8&amp;pp=605" TargetMode="External"/><Relationship Id="rId730" Type="http://schemas.openxmlformats.org/officeDocument/2006/relationships/hyperlink" Target="https://www.ozon.ru/product/2015547267" TargetMode="External"/><Relationship Id="rId972" Type="http://schemas.openxmlformats.org/officeDocument/2006/relationships/hyperlink" Target="https://www.wildberries.ru/catalog/172163562/detail.aspx" TargetMode="External"/><Relationship Id="rId971" Type="http://schemas.openxmlformats.org/officeDocument/2006/relationships/hyperlink" Target="https://market.yandex.ru/card/nabor-dlya-brovey-i-resnits-kosmeticheskiy-beauty-brows-box-alteya/103710294907?businessId=1422090&amp;clid=1422090&amp;model_id=1352604652&amp;distr_type=8&amp;pp=605" TargetMode="External"/><Relationship Id="rId970" Type="http://schemas.openxmlformats.org/officeDocument/2006/relationships/hyperlink" Target="https://www.ozon.ru/product/1805983376" TargetMode="External"/><Relationship Id="rId1114" Type="http://schemas.openxmlformats.org/officeDocument/2006/relationships/hyperlink" Target="https://www.wildberries.ru/catalog/34298650/detail.aspx" TargetMode="External"/><Relationship Id="rId1115" Type="http://schemas.openxmlformats.org/officeDocument/2006/relationships/hyperlink" Target="https://www.ozon.ru/product/296818197" TargetMode="External"/><Relationship Id="rId20" Type="http://schemas.openxmlformats.org/officeDocument/2006/relationships/hyperlink" Target="https://www.ozon.ru/product/1711363073" TargetMode="External"/><Relationship Id="rId1116" Type="http://schemas.openxmlformats.org/officeDocument/2006/relationships/hyperlink" Target="https://www.wildberries.ru/catalog/197567632/detail.aspx" TargetMode="External"/><Relationship Id="rId1117" Type="http://schemas.openxmlformats.org/officeDocument/2006/relationships/hyperlink" Target="https://www.ozon.ru/product/1350973968" TargetMode="External"/><Relationship Id="rId22" Type="http://schemas.openxmlformats.org/officeDocument/2006/relationships/hyperlink" Target="https://www.wildberries.ru/catalog/150253274/detail.aspx" TargetMode="External"/><Relationship Id="rId1118" Type="http://schemas.openxmlformats.org/officeDocument/2006/relationships/hyperlink" Target="https://market.yandex.ru/card/krem-ot-varikoza-ustalosti-i-otekov-nog-okhlazhdayushchiy-dar-drakona-75-ml/102622361536?do-waremd5=cThDMtAyPeECGciX4Kkl_w&amp;businessId=1422090&amp;ogV=-10" TargetMode="External"/><Relationship Id="rId21" Type="http://schemas.openxmlformats.org/officeDocument/2006/relationships/hyperlink" Target="https://market.yandex.ru/card/harly-pasta-dlya-vyvedeniya-shersti/103614089888?businessId=8291477&amp;clid=8291477&amp;model_id=824211224&amp;distr_type=8&amp;pp=605" TargetMode="External"/><Relationship Id="rId1119" Type="http://schemas.openxmlformats.org/officeDocument/2006/relationships/hyperlink" Target="https://www.wildberries.ru/catalog/318414683/detail.aspx" TargetMode="External"/><Relationship Id="rId24" Type="http://schemas.openxmlformats.org/officeDocument/2006/relationships/hyperlink" Target="https://market.yandex.ru/card/skin--coat-funktsionalnyy-korm-dlya-sobak-dlya-shersti/103614081637?businessId=8291477&amp;clid=8291477&amp;model_id=44886188&amp;distr_type=8&amp;pp=605" TargetMode="External"/><Relationship Id="rId23" Type="http://schemas.openxmlformats.org/officeDocument/2006/relationships/hyperlink" Target="https://www.ozon.ru/product/884560852" TargetMode="External"/><Relationship Id="rId525" Type="http://schemas.openxmlformats.org/officeDocument/2006/relationships/hyperlink" Target="https://www.ozon.ru/product/617343284" TargetMode="External"/><Relationship Id="rId767" Type="http://schemas.openxmlformats.org/officeDocument/2006/relationships/hyperlink" Target="https://market.yandex.ru/card/diabet-vitaminy-pri-sakharnom-diabete-alteya-insulayt-49g-kh-2/4640680679?businessId=1422090&amp;clid=1422090&amp;model_id=1352508276&amp;distr_type=8&amp;pp=605" TargetMode="External"/><Relationship Id="rId524" Type="http://schemas.openxmlformats.org/officeDocument/2006/relationships/hyperlink" Target="https://www.wildberries.ru/catalog/90380690/detail.aspx" TargetMode="External"/><Relationship Id="rId766" Type="http://schemas.openxmlformats.org/officeDocument/2006/relationships/hyperlink" Target="https://www.ozon.ru/product/2825101652" TargetMode="External"/><Relationship Id="rId523" Type="http://schemas.openxmlformats.org/officeDocument/2006/relationships/hyperlink" Target="https://www.ozon.ru/product/966794115" TargetMode="External"/><Relationship Id="rId765" Type="http://schemas.openxmlformats.org/officeDocument/2006/relationships/hyperlink" Target="https://www.wildberries.ru/catalog/525494849/detail.aspx" TargetMode="External"/><Relationship Id="rId522" Type="http://schemas.openxmlformats.org/officeDocument/2006/relationships/hyperlink" Target="https://www.wildberries.ru/catalog/159661866/detail.aspx" TargetMode="External"/><Relationship Id="rId764" Type="http://schemas.openxmlformats.org/officeDocument/2006/relationships/hyperlink" Target="https://www.letu.ru/product/alteya-krem-dlya-vek-i-kozhi-vokrug-glaz-zhidkie-patchi-dlya-glaz/177305601?sort=default&amp;open=ingredient%7EforWhom%7EskinNeeds%7EcleanBeauty&amp;hide=expectedEffect%7EnotContain%7EhairType%7EskinTypes" TargetMode="External"/><Relationship Id="rId529" Type="http://schemas.openxmlformats.org/officeDocument/2006/relationships/hyperlink" Target="https://www.ozon.ru/product/871802851" TargetMode="External"/><Relationship Id="rId528" Type="http://schemas.openxmlformats.org/officeDocument/2006/relationships/hyperlink" Target="https://www.wildberries.ru/catalog/148387857/detail.aspx" TargetMode="External"/><Relationship Id="rId527" Type="http://schemas.openxmlformats.org/officeDocument/2006/relationships/hyperlink" Target="https://drive.google.com/drive/folders/1PLQXMIWgz1SSxfgHiVhrnIHpMHTfZHrO" TargetMode="External"/><Relationship Id="rId769" Type="http://schemas.openxmlformats.org/officeDocument/2006/relationships/hyperlink" Target="https://www.ozon.ru/product/1528085750" TargetMode="External"/><Relationship Id="rId526" Type="http://schemas.openxmlformats.org/officeDocument/2006/relationships/hyperlink" Target="https://market.yandex.ru/card/spirulina-khlorella-600-mg-qeep-60-kapsul/101797607977?businessId=8291477&amp;showOriginalKmEmptyOffer=1&amp;ogV=-10" TargetMode="External"/><Relationship Id="rId768" Type="http://schemas.openxmlformats.org/officeDocument/2006/relationships/hyperlink" Target="https://www.wildberries.ru/catalog/222223364/detail.aspx" TargetMode="External"/><Relationship Id="rId26" Type="http://schemas.openxmlformats.org/officeDocument/2006/relationships/hyperlink" Target="https://docs.google.com/document/d/1UikjX911kCO0UpzSvjsVdQLtyppRaN72OG_7o70i1iQ/edit?tab=t.0" TargetMode="External"/><Relationship Id="rId25" Type="http://schemas.openxmlformats.org/officeDocument/2006/relationships/hyperlink" Target="https://drive.google.com/drive/folders/1MFf-7yPFgLdMXDrXjcxVgFiVJH8U2vuD" TargetMode="External"/><Relationship Id="rId28" Type="http://schemas.openxmlformats.org/officeDocument/2006/relationships/hyperlink" Target="https://www.ozon.ru/product/1581829359" TargetMode="External"/><Relationship Id="rId27" Type="http://schemas.openxmlformats.org/officeDocument/2006/relationships/hyperlink" Target="https://www.wildberries.ru/catalog/232468472/detail.aspx" TargetMode="External"/><Relationship Id="rId521" Type="http://schemas.openxmlformats.org/officeDocument/2006/relationships/hyperlink" Target="https://www.ozon.ru/product/1020776527" TargetMode="External"/><Relationship Id="rId763" Type="http://schemas.openxmlformats.org/officeDocument/2006/relationships/hyperlink" Target="https://goldapple.ru/catalogsearch/result?q=99000125267" TargetMode="External"/><Relationship Id="rId1110" Type="http://schemas.openxmlformats.org/officeDocument/2006/relationships/hyperlink" Target="https://market.yandex.ru/card/vitaminy-dlya-glaz-i-zreniya-lyutein-s-zeaksantinom-i-chernikoy--7-sashe/103257870570?businessId=1422090&amp;clid=1422090&amp;model_id=1109007651&amp;distr_type=8&amp;pp=605" TargetMode="External"/><Relationship Id="rId29" Type="http://schemas.openxmlformats.org/officeDocument/2006/relationships/hyperlink" Target="https://market.yandex.ru/card/anti-allergy-dlya-sobak--1/103542523691?businessId=8291477&amp;clid=8291477&amp;model_id=679202716&amp;distr_type=8&amp;pp=605" TargetMode="External"/><Relationship Id="rId520" Type="http://schemas.openxmlformats.org/officeDocument/2006/relationships/hyperlink" Target="https://www.wildberries.ru/catalog/163758027/detail.aspx" TargetMode="External"/><Relationship Id="rId762" Type="http://schemas.openxmlformats.org/officeDocument/2006/relationships/hyperlink" Target="https://market.yandex.ru/card/krem-dlya-vek-i-kozhi-vokrug-glaz-alteya-30-ml/4537862103?businessId=1422090&amp;clid=1422090&amp;model_id=1418565286&amp;distr_type=8&amp;pp=605" TargetMode="External"/><Relationship Id="rId1111" Type="http://schemas.openxmlformats.org/officeDocument/2006/relationships/hyperlink" Target="https://www.wildberries.ru/catalog/186784742/detail.aspx" TargetMode="External"/><Relationship Id="rId761" Type="http://schemas.openxmlformats.org/officeDocument/2006/relationships/hyperlink" Target="https://www.ozon.ru/product/2498445505" TargetMode="External"/><Relationship Id="rId1112" Type="http://schemas.openxmlformats.org/officeDocument/2006/relationships/hyperlink" Target="https://www.ozon.ru/product/1271273685" TargetMode="External"/><Relationship Id="rId760" Type="http://schemas.openxmlformats.org/officeDocument/2006/relationships/hyperlink" Target="https://www.wildberries.ru/catalog/471396076/detail.aspx" TargetMode="External"/><Relationship Id="rId1113" Type="http://schemas.openxmlformats.org/officeDocument/2006/relationships/hyperlink" Target="https://market.yandex.ru/card/biotrin-krem-gel-dnarprim/103544223742?businessId=1422090&amp;clid=1422090&amp;model_id=49499284&amp;distr_type=8&amp;pp=605" TargetMode="External"/><Relationship Id="rId1103" Type="http://schemas.openxmlformats.org/officeDocument/2006/relationships/hyperlink" Target="https://www.ozon.ru/product/291860206" TargetMode="External"/><Relationship Id="rId1104" Type="http://schemas.openxmlformats.org/officeDocument/2006/relationships/hyperlink" Target="https://market.yandex.ru/card/vitaminy-dlya-glaz-lyutein-kompleks-dlya-zreniya-optitrin-7-kapsul/103515413326?do-waremd5=JAujGbh4d-GOLhXGWiMHzQ&amp;businessId=1422090&amp;ogV=-10" TargetMode="External"/><Relationship Id="rId1105" Type="http://schemas.openxmlformats.org/officeDocument/2006/relationships/hyperlink" Target="https://www.wildberries.ru/catalog/150790885/detail.aspx" TargetMode="External"/><Relationship Id="rId1106" Type="http://schemas.openxmlformats.org/officeDocument/2006/relationships/hyperlink" Target="https://www.ozon.ru/product/889458318" TargetMode="External"/><Relationship Id="rId11" Type="http://schemas.openxmlformats.org/officeDocument/2006/relationships/hyperlink" Target="https://market.yandex.ru/card/cat-support-dlya-kastrirovannykh-i-sterilizovannykh-kotov/103542519891?businessId=8291477&amp;clid=8291477&amp;model_id=44497703&amp;distr_type=8&amp;pp=605" TargetMode="External"/><Relationship Id="rId1107" Type="http://schemas.openxmlformats.org/officeDocument/2006/relationships/hyperlink" Target="https://market.yandex.ru/card/vozbuditel-dlya-muzhchin-silnyy-dlya-potentsii-i-erektsii-18/103340892602?businessId=1422090&amp;clid=1422090&amp;model_id=696711021&amp;distr_type=8&amp;pp=605" TargetMode="External"/><Relationship Id="rId10" Type="http://schemas.openxmlformats.org/officeDocument/2006/relationships/hyperlink" Target="https://www.ozon.ru/product/1010948247" TargetMode="External"/><Relationship Id="rId1108" Type="http://schemas.openxmlformats.org/officeDocument/2006/relationships/hyperlink" Target="https://www.wildberries.ru/catalog/49570192/detail.aspx" TargetMode="External"/><Relationship Id="rId13" Type="http://schemas.openxmlformats.org/officeDocument/2006/relationships/hyperlink" Target="https://docs.google.com/document/d/1RTioq-2_e3hK5brYg7srNivrKihOx92EEEbnue87y00/edit?tab=t.0" TargetMode="External"/><Relationship Id="rId1109" Type="http://schemas.openxmlformats.org/officeDocument/2006/relationships/hyperlink" Target="https://www.ozon.ru/product/399457649" TargetMode="External"/><Relationship Id="rId12" Type="http://schemas.openxmlformats.org/officeDocument/2006/relationships/hyperlink" Target="https://drive.google.com/drive/folders/1EJ8QC9PqNnODOuu3qt12V3UPgRlQGVat" TargetMode="External"/><Relationship Id="rId519" Type="http://schemas.openxmlformats.org/officeDocument/2006/relationships/hyperlink" Target="https://www.ozon.ru/product/950391195" TargetMode="External"/><Relationship Id="rId514" Type="http://schemas.openxmlformats.org/officeDocument/2006/relationships/hyperlink" Target="https://www.wildberries.ru/catalog/159980276/detail.aspx" TargetMode="External"/><Relationship Id="rId756" Type="http://schemas.openxmlformats.org/officeDocument/2006/relationships/hyperlink" Target="https://market.yandex.ru/card/gel-dlya-intimnoy-gigiyeny-s-molochnoy-kislotoy-alteya-intimvita-300-ml/4569590420?businessId=1422090&amp;clid=1422090&amp;model_id=625438732&amp;distr_type=8&amp;pp=605" TargetMode="External"/><Relationship Id="rId998" Type="http://schemas.openxmlformats.org/officeDocument/2006/relationships/hyperlink" Target="https://www.wildberries.ru/catalog/268373587/detail.aspx" TargetMode="External"/><Relationship Id="rId513" Type="http://schemas.openxmlformats.org/officeDocument/2006/relationships/hyperlink" Target="https://drive.google.com/drive/folders/1x-RKGM71E3c5EAEFOlXwVYq4bdNaD-sn" TargetMode="External"/><Relationship Id="rId755" Type="http://schemas.openxmlformats.org/officeDocument/2006/relationships/hyperlink" Target="https://www.ozon.ru/product/2545691905" TargetMode="External"/><Relationship Id="rId997" Type="http://schemas.openxmlformats.org/officeDocument/2006/relationships/hyperlink" Target="https://market.yandex.ru/card/krem-maz-ot-varikoza-konskiy-kashtan-alteya-varifit-30-ml-kh-2/4640676175?businessId=1422090&amp;clid=1422090&amp;model_id=1256606336&amp;distr_type=8&amp;pp=605" TargetMode="External"/><Relationship Id="rId512" Type="http://schemas.openxmlformats.org/officeDocument/2006/relationships/hyperlink" Target="https://www.ozon.ru/product/1286883075" TargetMode="External"/><Relationship Id="rId754" Type="http://schemas.openxmlformats.org/officeDocument/2006/relationships/hyperlink" Target="https://www.wildberries.ru/catalog/480197142/detail.aspx" TargetMode="External"/><Relationship Id="rId996" Type="http://schemas.openxmlformats.org/officeDocument/2006/relationships/hyperlink" Target="https://www.ozon.ru/product/2825161431" TargetMode="External"/><Relationship Id="rId511" Type="http://schemas.openxmlformats.org/officeDocument/2006/relationships/hyperlink" Target="https://www.wildberries.ru/catalog/188611559/detail.aspx" TargetMode="External"/><Relationship Id="rId753" Type="http://schemas.openxmlformats.org/officeDocument/2006/relationships/hyperlink" Target="https://market.yandex.ru/card/maz-ot-gribka-nogtey-i-stopy-nog-protivogribkovaya-allitsil/102072156318?businessId=1422090&amp;clid=1422090&amp;model_id=1256821997&amp;distr_type=8&amp;pp=605" TargetMode="External"/><Relationship Id="rId995" Type="http://schemas.openxmlformats.org/officeDocument/2006/relationships/hyperlink" Target="https://www.wildberries.ru/catalog/525497365/detail.aspx" TargetMode="External"/><Relationship Id="rId518" Type="http://schemas.openxmlformats.org/officeDocument/2006/relationships/hyperlink" Target="https://www.wildberries.ru/catalog/158306407/detail.aspx" TargetMode="External"/><Relationship Id="rId517" Type="http://schemas.openxmlformats.org/officeDocument/2006/relationships/hyperlink" Target="https://www.ozon.ru/product/948290832" TargetMode="External"/><Relationship Id="rId759" Type="http://schemas.openxmlformats.org/officeDocument/2006/relationships/hyperlink" Target="https://mm.ru/product/gel-dlya-intimnoj-5880311?skuId=13130065" TargetMode="External"/><Relationship Id="rId516" Type="http://schemas.openxmlformats.org/officeDocument/2006/relationships/hyperlink" Target="https://www.wildberries.ru/catalog/157970824/detail.aspx" TargetMode="External"/><Relationship Id="rId758" Type="http://schemas.openxmlformats.org/officeDocument/2006/relationships/hyperlink" Target="https://www.letu.ru/product/alteya-gel-dlya-intimnoi-gigieny-s-molochnoi-kislotoi/175700244?sort=default&amp;open=ingredient%7EforWhom%7EskinNeeds%7EcleanBeauty&amp;hide=expectedEffect%7EnotContain%7EhairType%7EskinTypes" TargetMode="External"/><Relationship Id="rId515" Type="http://schemas.openxmlformats.org/officeDocument/2006/relationships/hyperlink" Target="https://www.ozon.ru/product/967642951" TargetMode="External"/><Relationship Id="rId757" Type="http://schemas.openxmlformats.org/officeDocument/2006/relationships/hyperlink" Target="https://goldapple.ru/catalogsearch/result?q=99000114723" TargetMode="External"/><Relationship Id="rId999" Type="http://schemas.openxmlformats.org/officeDocument/2006/relationships/hyperlink" Target="https://www.ozon.ru/product/1720926371" TargetMode="External"/><Relationship Id="rId15" Type="http://schemas.openxmlformats.org/officeDocument/2006/relationships/hyperlink" Target="https://www.ozon.ru/product/1018532111" TargetMode="External"/><Relationship Id="rId990" Type="http://schemas.openxmlformats.org/officeDocument/2006/relationships/hyperlink" Target="https://www.wildberries.ru/catalog/266376150/detail.aspx" TargetMode="External"/><Relationship Id="rId14" Type="http://schemas.openxmlformats.org/officeDocument/2006/relationships/hyperlink" Target="https://www.wildberries.ru/catalog/163688556/detail.aspx" TargetMode="External"/><Relationship Id="rId17" Type="http://schemas.openxmlformats.org/officeDocument/2006/relationships/hyperlink" Target="https://drive.google.com/drive/folders/1mpyXfn29J6FjP1QVEKQT3NjykIDvNJyV" TargetMode="External"/><Relationship Id="rId16" Type="http://schemas.openxmlformats.org/officeDocument/2006/relationships/hyperlink" Target="https://market.yandex.ru/card/teeth--bones-funktsionalnyy-korm-dlya-zubov-i-kostey-dlya-koshek/103614081635?businessId=8291477&amp;clid=8291477&amp;model_id=44500665&amp;distr_type=8&amp;pp=605" TargetMode="External"/><Relationship Id="rId19" Type="http://schemas.openxmlformats.org/officeDocument/2006/relationships/hyperlink" Target="https://www.wildberries.ru/catalog/265523439/detail.aspx" TargetMode="External"/><Relationship Id="rId510" Type="http://schemas.openxmlformats.org/officeDocument/2006/relationships/hyperlink" Target="https://www.ozon.ru/product/1099704591" TargetMode="External"/><Relationship Id="rId752" Type="http://schemas.openxmlformats.org/officeDocument/2006/relationships/hyperlink" Target="https://www.ozon.ru/product/916705489" TargetMode="External"/><Relationship Id="rId994" Type="http://schemas.openxmlformats.org/officeDocument/2006/relationships/hyperlink" Target="https://mm.ru/product/syvorotka-dlya-rosta-5869585?skuId=13111541" TargetMode="External"/><Relationship Id="rId18" Type="http://schemas.openxmlformats.org/officeDocument/2006/relationships/hyperlink" Target="https://docs.google.com/document/d/1nRMqrHOUL-HxNDtP1kKkagtZQlN6WmJEcH715UB0ctc/edit?tab=t.0" TargetMode="External"/><Relationship Id="rId751" Type="http://schemas.openxmlformats.org/officeDocument/2006/relationships/hyperlink" Target="https://www.wildberries.ru/catalog/151393048/detail.aspx" TargetMode="External"/><Relationship Id="rId993" Type="http://schemas.openxmlformats.org/officeDocument/2006/relationships/hyperlink" Target="https://www.letu.ru/product/alteya-syvorotka-dlya-rosta-resnits-i-brovei-gel-dlya-rosta/163501104" TargetMode="External"/><Relationship Id="rId1100" Type="http://schemas.openxmlformats.org/officeDocument/2006/relationships/hyperlink" Target="https://www.ozon.ru/product/1745055145" TargetMode="External"/><Relationship Id="rId750" Type="http://schemas.openxmlformats.org/officeDocument/2006/relationships/hyperlink" Target="https://mm.ru/product/vosk-dlya-ukladki-volos-alteya-50-5876222?skuId=13124662" TargetMode="External"/><Relationship Id="rId992" Type="http://schemas.openxmlformats.org/officeDocument/2006/relationships/hyperlink" Target="https://market.yandex.ru/card/syvorotka-dlya-rosta-resnits-i-brovey-alteya-6-ml/103555035570?businessId=1422090&amp;clid=1422090&amp;model_id=1352604652&amp;distr_type=8&amp;pp=605" TargetMode="External"/><Relationship Id="rId1101" Type="http://schemas.openxmlformats.org/officeDocument/2006/relationships/hyperlink" Target="https://market.yandex.ru/card/kompleks-dlya-podderzhaniya-i-ochishcheniya-limfaticheskoy-sistemy-alteya-30-kapsul/103599446650?businessId=1422090&amp;clid=1422090&amp;model_id=1215621363&amp;distr_type=8&amp;pp=605" TargetMode="External"/><Relationship Id="rId991" Type="http://schemas.openxmlformats.org/officeDocument/2006/relationships/hyperlink" Target="https://www.ozon.ru/product/1713211121" TargetMode="External"/><Relationship Id="rId1102" Type="http://schemas.openxmlformats.org/officeDocument/2006/relationships/hyperlink" Target="https://www.wildberries.ru/catalog/17898843/detail.aspx" TargetMode="External"/><Relationship Id="rId84" Type="http://schemas.openxmlformats.org/officeDocument/2006/relationships/hyperlink" Target="https://www.wildberries.ru/catalog/276247301/detail.aspx" TargetMode="External"/><Relationship Id="rId83" Type="http://schemas.openxmlformats.org/officeDocument/2006/relationships/hyperlink" Target="https://disk.yandex.ru/d/Rb4h9JhvCFZscg" TargetMode="External"/><Relationship Id="rId86" Type="http://schemas.openxmlformats.org/officeDocument/2006/relationships/hyperlink" Target="https://www.wildberries.ru/catalog/198421782/detail.aspx" TargetMode="External"/><Relationship Id="rId85" Type="http://schemas.openxmlformats.org/officeDocument/2006/relationships/hyperlink" Target="https://www.ozon.ru/product/1745032627" TargetMode="External"/><Relationship Id="rId88" Type="http://schemas.openxmlformats.org/officeDocument/2006/relationships/hyperlink" Target="https://market.yandex.ru/card/berberin-500-mg-qeep-60-kapsul/103374785698?businessId=8291477&amp;clid=8291477&amp;model_id=1826260757&amp;distr_type=8&amp;pp=605" TargetMode="External"/><Relationship Id="rId87" Type="http://schemas.openxmlformats.org/officeDocument/2006/relationships/hyperlink" Target="https://www.ozon.ru/product/1361997453" TargetMode="External"/><Relationship Id="rId89" Type="http://schemas.openxmlformats.org/officeDocument/2006/relationships/hyperlink" Target="https://goldapple.ru/catalogsearch/result?q=99000118637" TargetMode="External"/><Relationship Id="rId709" Type="http://schemas.openxmlformats.org/officeDocument/2006/relationships/hyperlink" Target="https://goldapple.ru/catalogsearch/result?q=99000125265" TargetMode="External"/><Relationship Id="rId708" Type="http://schemas.openxmlformats.org/officeDocument/2006/relationships/hyperlink" Target="https://market.yandex.ru/card/skrab-piling-dlya-kozhi-golovy-alteya-200-ml/4537865832?businessId=1422090&amp;clid=1422090&amp;model_id=625585245&amp;distr_type=8&amp;pp=605" TargetMode="External"/><Relationship Id="rId707" Type="http://schemas.openxmlformats.org/officeDocument/2006/relationships/hyperlink" Target="https://www.ozon.ru/product/2445342489" TargetMode="External"/><Relationship Id="rId949" Type="http://schemas.openxmlformats.org/officeDocument/2006/relationships/hyperlink" Target="https://market.yandex.ru/card/krem-maz-dlya-sustavov-i-svyazok-pantogor-obezbolivayushchiy/103340894497?do-waremd5=O6QrJ8vLcgtipz6Jwo7nXA&amp;businessId=1422090&amp;generalContext=t%3DshopInShop%3Bbi%3D1422090%3B&amp;ogV=-10" TargetMode="External"/><Relationship Id="rId706" Type="http://schemas.openxmlformats.org/officeDocument/2006/relationships/hyperlink" Target="https://www.wildberries.ru/catalog/456967436/detail.aspx" TargetMode="External"/><Relationship Id="rId948" Type="http://schemas.openxmlformats.org/officeDocument/2006/relationships/hyperlink" Target="https://www.ozon.ru/product/288894202" TargetMode="External"/><Relationship Id="rId80" Type="http://schemas.openxmlformats.org/officeDocument/2006/relationships/hyperlink" Target="https://www.ozon.ru/product/1828993605" TargetMode="External"/><Relationship Id="rId82" Type="http://schemas.openxmlformats.org/officeDocument/2006/relationships/hyperlink" Target="https://drive.google.com/drive/folders/1YcoxDfDh4ruJhBG56E2T7u94bh1w79DC" TargetMode="External"/><Relationship Id="rId81" Type="http://schemas.openxmlformats.org/officeDocument/2006/relationships/hyperlink" Target="https://market.yandex.ru/card/mylo-dlya-lap-sobak-s-pantenolom-i-kolloidnym-serebrom-harly-500-ml/103724222997?businessId=8291477&amp;clid=8291477&amp;model_id=944504526&amp;distr_type=8&amp;pp=605" TargetMode="External"/><Relationship Id="rId701" Type="http://schemas.openxmlformats.org/officeDocument/2006/relationships/hyperlink" Target="https://www.ozon.ru/product/1806079450" TargetMode="External"/><Relationship Id="rId943" Type="http://schemas.openxmlformats.org/officeDocument/2006/relationships/hyperlink" Target="https://www.wildberries.ru/catalog/244341711/detail.aspx" TargetMode="External"/><Relationship Id="rId700" Type="http://schemas.openxmlformats.org/officeDocument/2006/relationships/hyperlink" Target="https://www.wildberries.ru/catalog/307871378/detail.aspx" TargetMode="External"/><Relationship Id="rId942" Type="http://schemas.openxmlformats.org/officeDocument/2006/relationships/hyperlink" Target="https://market.yandex.ru/card/maska-dlya-volos-s-keratinom-torgovoy-marki-alteya/4949699875?businessId=1422090&amp;generalContext=t%3DshopInShop%3Bbi%3D1422090%3B&amp;showOriginalKmEmptyOffer=1&amp;ogV=-10" TargetMode="External"/><Relationship Id="rId941" Type="http://schemas.openxmlformats.org/officeDocument/2006/relationships/hyperlink" Target="https://www.wildberries.ru/catalog/734865504/detail.aspx" TargetMode="External"/><Relationship Id="rId940" Type="http://schemas.openxmlformats.org/officeDocument/2006/relationships/hyperlink" Target="https://market.yandex.ru/card/nabor-ukhodovoy-kosmetiki-dlya-litsa-s-retinolom/4949707408?businessId=1422090&amp;generalContext=t%3DshopInShop%3Bbi%3D1422090%3B&amp;showOriginalKmEmptyOffer=1&amp;ogV=-10" TargetMode="External"/><Relationship Id="rId705" Type="http://schemas.openxmlformats.org/officeDocument/2006/relationships/hyperlink" Target="https://mm.ru/product/krovavyj-kislotnyj-piling-5871877?skuId=13112556" TargetMode="External"/><Relationship Id="rId947" Type="http://schemas.openxmlformats.org/officeDocument/2006/relationships/hyperlink" Target="https://www.wildberries.ru/catalog/17903236/detail.aspx" TargetMode="External"/><Relationship Id="rId704" Type="http://schemas.openxmlformats.org/officeDocument/2006/relationships/hyperlink" Target="https://www.letu.ru/product/alteya-krovavyi-kislotnyi-piling-dlya-litsa-ot-pryshchei-aha-bha/169800216?sort=default&amp;open=cleanBeauty%7Eingredient%7EskinNeeds%7EforWhom&amp;hide=expectedEffect%7EnotContain%7EskinTypes%7EhairType" TargetMode="External"/><Relationship Id="rId946" Type="http://schemas.openxmlformats.org/officeDocument/2006/relationships/hyperlink" Target="https://www.letu.ru/product/alteya-penka-dlya-umyvaniya-dlya-snyatiya-makiyazha-ot-postakne/163601074?sort=default&amp;open=ingredient%7EforWhom%7EskinNeeds%7EcleanBeauty&amp;hide=expectedEffect%7EnotContain%7EhairType%7EskinTypes" TargetMode="External"/><Relationship Id="rId703" Type="http://schemas.openxmlformats.org/officeDocument/2006/relationships/hyperlink" Target="https://goldapple.ru/catalogsearch/result?q=99000076205" TargetMode="External"/><Relationship Id="rId945" Type="http://schemas.openxmlformats.org/officeDocument/2006/relationships/hyperlink" Target="https://market.yandex.ru/card/penka-dlya-umyvaniya-dlya-snyatiya-makiyazha-ot-postakne-alteya-160-ml/103515404729?businessId=1422090&amp;clid=1422090&amp;model_id=968485540&amp;distr_type=8&amp;pp=605" TargetMode="External"/><Relationship Id="rId702" Type="http://schemas.openxmlformats.org/officeDocument/2006/relationships/hyperlink" Target="https://market.yandex.ru/card/krovavyy-kislotnyy-piling-dlya-litsa-ot-pryshchey-aha-bha-alteya-30-ml/103710308859?businessId=1422090&amp;clid=1422090&amp;model_id=930450893&amp;distr_type=8&amp;pp=605" TargetMode="External"/><Relationship Id="rId944" Type="http://schemas.openxmlformats.org/officeDocument/2006/relationships/hyperlink" Target="https://www.ozon.ru/product/1629533131" TargetMode="External"/><Relationship Id="rId73" Type="http://schemas.openxmlformats.org/officeDocument/2006/relationships/hyperlink" Target="https://drive.google.com/drive/folders/18RmLZdwskR-wJY5i0_FQQ25ZkllrDPc-" TargetMode="External"/><Relationship Id="rId72" Type="http://schemas.openxmlformats.org/officeDocument/2006/relationships/hyperlink" Target="https://goldapple.ru/catalogsearch/result?q=99000117794" TargetMode="External"/><Relationship Id="rId75" Type="http://schemas.openxmlformats.org/officeDocument/2006/relationships/hyperlink" Target="https://www.ozon.ru/product/2214748873" TargetMode="External"/><Relationship Id="rId74" Type="http://schemas.openxmlformats.org/officeDocument/2006/relationships/hyperlink" Target="https://www.wildberries.ru/catalog/432841134/detail.aspx" TargetMode="External"/><Relationship Id="rId77" Type="http://schemas.openxmlformats.org/officeDocument/2006/relationships/hyperlink" Target="https://goldapple.ru/catalogsearch/result?q=99000117739" TargetMode="External"/><Relationship Id="rId76" Type="http://schemas.openxmlformats.org/officeDocument/2006/relationships/hyperlink" Target="https://market.yandex.ru/card/vitamin-s-dlya-detey-zhevatelnyy-qeep-60-zhevatelnykh-marmeladok/4476310330?businessId=8291477&amp;clid=8291477&amp;model_id=1947049801&amp;distr_type=8&amp;pp=605" TargetMode="External"/><Relationship Id="rId79" Type="http://schemas.openxmlformats.org/officeDocument/2006/relationships/hyperlink" Target="https://www.wildberries.ru/catalog/307874530/detail.aspx" TargetMode="External"/><Relationship Id="rId78" Type="http://schemas.openxmlformats.org/officeDocument/2006/relationships/hyperlink" Target="https://drive.google.com/drive/folders/1-Pgr3i2_OqiWQSo8yCWIZcaUHTKtWguF" TargetMode="External"/><Relationship Id="rId939" Type="http://schemas.openxmlformats.org/officeDocument/2006/relationships/hyperlink" Target="https://www.wildberries.ru/catalog/734357718/detail.aspx" TargetMode="External"/><Relationship Id="rId938" Type="http://schemas.openxmlformats.org/officeDocument/2006/relationships/hyperlink" Target="https://mm.ru/product/penka-dlya-naroschennykh-5873796?skuId=13116237" TargetMode="External"/><Relationship Id="rId937" Type="http://schemas.openxmlformats.org/officeDocument/2006/relationships/hyperlink" Target="https://goldapple.ru/catalogsearch/result?q=99000076218" TargetMode="External"/><Relationship Id="rId71" Type="http://schemas.openxmlformats.org/officeDocument/2006/relationships/hyperlink" Target="https://market.yandex.ru/card/vitaminy-dlya-detey-magniy-tsitrat-zhevatelnyye-marmeladki-qeep-60-shtuk/103665495848?businessId=8291477&amp;clid=8291477&amp;model_id=1947049801&amp;distr_type=8&amp;pp=605" TargetMode="External"/><Relationship Id="rId70" Type="http://schemas.openxmlformats.org/officeDocument/2006/relationships/hyperlink" Target="https://www.ozon.ru/product/1773856028" TargetMode="External"/><Relationship Id="rId932" Type="http://schemas.openxmlformats.org/officeDocument/2006/relationships/hyperlink" Target="https://www.ozon.ru/product/2825114763" TargetMode="External"/><Relationship Id="rId931" Type="http://schemas.openxmlformats.org/officeDocument/2006/relationships/hyperlink" Target="https://www.wildberries.ru/catalog/525495859/detail.aspx" TargetMode="External"/><Relationship Id="rId930" Type="http://schemas.openxmlformats.org/officeDocument/2006/relationships/hyperlink" Target="https://www.letu.ru/product/alteya-tochechnyi-krem-ot-pryshchei-korrektor-tochechnyi-protiv-pryshchei-krem-ot-akne/172000553" TargetMode="External"/><Relationship Id="rId936" Type="http://schemas.openxmlformats.org/officeDocument/2006/relationships/hyperlink" Target="https://market.yandex.ru/card/penka-dlya-naroshchennykh-resnits-i-umyvaniya-litsa-ochishchayushchaya-alteya-150-ml/103744706385?businessId=1422090&amp;clid=1422090&amp;model_id=968485540&amp;distr_type=8&amp;pp=605" TargetMode="External"/><Relationship Id="rId935" Type="http://schemas.openxmlformats.org/officeDocument/2006/relationships/hyperlink" Target="https://www.ozon.ru/product/1847974827" TargetMode="External"/><Relationship Id="rId934" Type="http://schemas.openxmlformats.org/officeDocument/2006/relationships/hyperlink" Target="https://www.wildberries.ru/catalog/319430962/detail.aspx" TargetMode="External"/><Relationship Id="rId933" Type="http://schemas.openxmlformats.org/officeDocument/2006/relationships/hyperlink" Target="https://market.yandex.ru/card/maz-ot-gribka-nogtey-na-nogakh-krem-gel-alteya-mikoplaks-mycoplax-15-ml-kh-2/4640678615?do-waremd5=NIvya4VVZitwBtcaKE64Vg&amp;businessId=1422090&amp;generalContext=t%3DshopInShop%3Bbi%3D1422090%3B&amp;ogV=-10" TargetMode="External"/><Relationship Id="rId62" Type="http://schemas.openxmlformats.org/officeDocument/2006/relationships/hyperlink" Target="https://www.ozon.ru/product/2214705163" TargetMode="External"/><Relationship Id="rId61" Type="http://schemas.openxmlformats.org/officeDocument/2006/relationships/hyperlink" Target="https://www.wildberries.ru/catalog/432821274/detail.aspx" TargetMode="External"/><Relationship Id="rId64" Type="http://schemas.openxmlformats.org/officeDocument/2006/relationships/hyperlink" Target="https://goldapple.ru/catalogsearch/result?q=99000117740" TargetMode="External"/><Relationship Id="rId63" Type="http://schemas.openxmlformats.org/officeDocument/2006/relationships/hyperlink" Target="https://market.yandex.ru/card/vitamin-d3-dlya-detey-zhevatelnyy-qeep-60-marmeladok/4476305013?businessId=8291477&amp;clid=8291477&amp;model_id=1947049801&amp;distr_type=8&amp;pp=605" TargetMode="External"/><Relationship Id="rId66" Type="http://schemas.openxmlformats.org/officeDocument/2006/relationships/hyperlink" Target="https://www.wildberries.ru/catalog/138757897/detail.aspx" TargetMode="External"/><Relationship Id="rId65" Type="http://schemas.openxmlformats.org/officeDocument/2006/relationships/hyperlink" Target="https://drive.google.com/drive/folders/1jZ4eqgWNd8vmt2FebMgnvRLrkJrCvx9w" TargetMode="External"/><Relationship Id="rId68" Type="http://schemas.openxmlformats.org/officeDocument/2006/relationships/hyperlink" Target="https://drive.google.com/drive/folders/1hjNWvHCJR_wfGIdgHTvU153navLEZsF2" TargetMode="External"/><Relationship Id="rId67" Type="http://schemas.openxmlformats.org/officeDocument/2006/relationships/hyperlink" Target="https://www.ozon.ru/product/809466646" TargetMode="External"/><Relationship Id="rId729" Type="http://schemas.openxmlformats.org/officeDocument/2006/relationships/hyperlink" Target="https://www.wildberries.ru/catalog/385736759/detail.aspx" TargetMode="External"/><Relationship Id="rId728" Type="http://schemas.openxmlformats.org/officeDocument/2006/relationships/hyperlink" Target="https://market.yandex.ru/card/sredstvo-ot-davleniya-vitaminy-dlya-serdtsa-chistka-sosudov-alteya-karditsin-2-sht/103515447164?businessId=1422090&amp;clid=1422090&amp;model_id=1452481401&amp;distr_type=8&amp;pp=605" TargetMode="External"/><Relationship Id="rId60" Type="http://schemas.openxmlformats.org/officeDocument/2006/relationships/hyperlink" Target="https://drive.google.com/drive/folders/1D9_9YHYClR7hdKWe5YPLWdcJy578H-4u" TargetMode="External"/><Relationship Id="rId723" Type="http://schemas.openxmlformats.org/officeDocument/2006/relationships/hyperlink" Target="https://www.ozon.ru/product/1917245431" TargetMode="External"/><Relationship Id="rId965" Type="http://schemas.openxmlformats.org/officeDocument/2006/relationships/hyperlink" Target="https://www.ozon.ru/product/1413566896" TargetMode="External"/><Relationship Id="rId722" Type="http://schemas.openxmlformats.org/officeDocument/2006/relationships/hyperlink" Target="https://www.wildberries.ru/catalog/344464243/detail.aspx" TargetMode="External"/><Relationship Id="rId964" Type="http://schemas.openxmlformats.org/officeDocument/2006/relationships/hyperlink" Target="https://www.wildberries.ru/catalog/205074596/detail.aspx" TargetMode="External"/><Relationship Id="rId721" Type="http://schemas.openxmlformats.org/officeDocument/2006/relationships/hyperlink" Target="https://www.letu.ru/product/alteya-krem-ot-rastyazhek-dlya-beremennyh-i-podrostkov-s-elastinom/168300067?sort=default&amp;open=cleanBeauty%7Eingredient%7EskinNeeds%7EforWhom&amp;hide=expectedEffect%7EnotContain%7EskinTypes%7EhairType" TargetMode="External"/><Relationship Id="rId963" Type="http://schemas.openxmlformats.org/officeDocument/2006/relationships/hyperlink" Target="https://market.yandex.ru/card/krem-ot-varikoza-nog-konskiy-kashtan--vetonus-100-ml/103515789506?businessId=1422090&amp;clid=1422090&amp;model_id=696344170&amp;distr_type=8&amp;pp=605" TargetMode="External"/><Relationship Id="rId720" Type="http://schemas.openxmlformats.org/officeDocument/2006/relationships/hyperlink" Target="https://goldapple.ru/catalogsearch/result?q=99000114731" TargetMode="External"/><Relationship Id="rId962" Type="http://schemas.openxmlformats.org/officeDocument/2006/relationships/hyperlink" Target="https://www.ozon.ru/product/1403753693" TargetMode="External"/><Relationship Id="rId727" Type="http://schemas.openxmlformats.org/officeDocument/2006/relationships/hyperlink" Target="https://www.ozon.ru/product/1129300642" TargetMode="External"/><Relationship Id="rId969" Type="http://schemas.openxmlformats.org/officeDocument/2006/relationships/hyperlink" Target="https://www.wildberries.ru/catalog/305018458/detail.aspx" TargetMode="External"/><Relationship Id="rId726" Type="http://schemas.openxmlformats.org/officeDocument/2006/relationships/hyperlink" Target="https://www.wildberries.ru/catalog/331501221/detail.aspx" TargetMode="External"/><Relationship Id="rId968" Type="http://schemas.openxmlformats.org/officeDocument/2006/relationships/hyperlink" Target="https://www.letu.ru/product/alteya-krem-s-mochevinoi-uvlazhnyayushchii-10-mochevina/180800008?sort=default&amp;open=ingredient%7EforWhom%7EskinNeeds%7EcleanBeauty&amp;hide=expectedEffect%7EnotContain%7EhairType%7EskinTypes" TargetMode="External"/><Relationship Id="rId725" Type="http://schemas.openxmlformats.org/officeDocument/2006/relationships/hyperlink" Target="https://www.letu.ru/product/alteya-maska-dlya-rosta-volos-s-pertsem/175700002?sort=default&amp;open=ingredient%7EforWhom&amp;hide=expectedEffect%7EnotContain%7EhairType" TargetMode="External"/><Relationship Id="rId967" Type="http://schemas.openxmlformats.org/officeDocument/2006/relationships/hyperlink" Target="https://goldapple.ru/catalogsearch/result?q=99000076225" TargetMode="External"/><Relationship Id="rId724" Type="http://schemas.openxmlformats.org/officeDocument/2006/relationships/hyperlink" Target="https://market.yandex.ru/card/maska-dlya-rosta-volos-s-pertsem-alteya-500ml/103816810573?businessId=1422090&amp;clid=1422090&amp;model_id=1058774858&amp;distr_type=8&amp;pp=605" TargetMode="External"/><Relationship Id="rId966" Type="http://schemas.openxmlformats.org/officeDocument/2006/relationships/hyperlink" Target="https://market.yandex.ru/card/krem-dlya-nog-ot-treshchin-s-mochevinoy-uvlazhnyayushchiy-10-mochevina-100-ml/103515399743?businessId=1422090&amp;clid=1422090&amp;model_id=696344170&amp;distr_type=8&amp;pp=605" TargetMode="External"/><Relationship Id="rId69" Type="http://schemas.openxmlformats.org/officeDocument/2006/relationships/hyperlink" Target="https://www.wildberries.ru/catalog/293062934/detail.aspx" TargetMode="External"/><Relationship Id="rId961" Type="http://schemas.openxmlformats.org/officeDocument/2006/relationships/hyperlink" Target="https://www.wildberries.ru/catalog/202337451/detail.aspx" TargetMode="External"/><Relationship Id="rId960" Type="http://schemas.openxmlformats.org/officeDocument/2006/relationships/hyperlink" Target="https://www.letu.ru/product/alteya-enzimnaya-pudra-dlya-umyvaniya-tela-i-litsa-ot-pryshchei/177800330?sort=default&amp;open=ingredient%7EforWhom%7EskinNeeds%7EcleanBeauty&amp;hide=expectedEffect%7EnotContain%7EhairType%7EskinTypes" TargetMode="External"/><Relationship Id="rId51" Type="http://schemas.openxmlformats.org/officeDocument/2006/relationships/hyperlink" Target="https://www.ozon.ru/product/2354324278" TargetMode="External"/><Relationship Id="rId50" Type="http://schemas.openxmlformats.org/officeDocument/2006/relationships/hyperlink" Target="https://www.wildberries.ru/catalog/449423638/detail.aspx" TargetMode="External"/><Relationship Id="rId53" Type="http://schemas.openxmlformats.org/officeDocument/2006/relationships/hyperlink" Target="https://goldapple.ru/catalogsearch/result?q=99000115954" TargetMode="External"/><Relationship Id="rId52" Type="http://schemas.openxmlformats.org/officeDocument/2006/relationships/hyperlink" Target="https://market.yandex.ru/card/sprey-dlya-rosta-i-ot-vypadeniya-volos-qeep-100-ml/4480600215?businessId=8291477&amp;clid=8291477&amp;model_id=4909516636&amp;distr_type=8&amp;pp=605" TargetMode="External"/><Relationship Id="rId55" Type="http://schemas.openxmlformats.org/officeDocument/2006/relationships/hyperlink" Target="https://drive.google.com/drive/folders/1ejD8pLP3trBa83tKqhil3_9DZnl-zh1B" TargetMode="External"/><Relationship Id="rId54" Type="http://schemas.openxmlformats.org/officeDocument/2006/relationships/hyperlink" Target="https://www.letu.ru/product/qeep-sprei-dlya-volos-dlya-rosta-i-ot-vypadeniya-volos/175700153" TargetMode="External"/><Relationship Id="rId57" Type="http://schemas.openxmlformats.org/officeDocument/2006/relationships/hyperlink" Target="https://www.ozon.ru/product/1729383128" TargetMode="External"/><Relationship Id="rId56" Type="http://schemas.openxmlformats.org/officeDocument/2006/relationships/hyperlink" Target="https://www.wildberries.ru/catalog/268884161/detail.aspx" TargetMode="External"/><Relationship Id="rId719" Type="http://schemas.openxmlformats.org/officeDocument/2006/relationships/hyperlink" Target="https://market.yandex.ru/card/krem-ot-rastyazhek-dlya-beremennykh-i-podrostkov-s-elastinom-alteya-200-ml/103515391497?businessId=1422090&amp;clid=1422090&amp;model_id=625358065&amp;distr_type=8&amp;pp=605" TargetMode="External"/><Relationship Id="rId718" Type="http://schemas.openxmlformats.org/officeDocument/2006/relationships/hyperlink" Target="https://www.ozon.ru/product/1691475362" TargetMode="External"/><Relationship Id="rId717" Type="http://schemas.openxmlformats.org/officeDocument/2006/relationships/hyperlink" Target="https://www.wildberries.ru/catalog/260388016/detail.aspx" TargetMode="External"/><Relationship Id="rId959" Type="http://schemas.openxmlformats.org/officeDocument/2006/relationships/hyperlink" Target="https://goldapple.ru/catalogsearch/result?q=99000125143" TargetMode="External"/><Relationship Id="rId712" Type="http://schemas.openxmlformats.org/officeDocument/2006/relationships/hyperlink" Target="https://www.ozon.ru/product/727886779" TargetMode="External"/><Relationship Id="rId954" Type="http://schemas.openxmlformats.org/officeDocument/2006/relationships/hyperlink" Target="https://www.ozon.ru/product/1597150074" TargetMode="External"/><Relationship Id="rId711" Type="http://schemas.openxmlformats.org/officeDocument/2006/relationships/hyperlink" Target="https://www.wildberries.ru/catalog/100410775/detail.aspx" TargetMode="External"/><Relationship Id="rId953" Type="http://schemas.openxmlformats.org/officeDocument/2006/relationships/hyperlink" Target="https://www.wildberries.ru/catalog/235967746/detail.aspx" TargetMode="External"/><Relationship Id="rId710" Type="http://schemas.openxmlformats.org/officeDocument/2006/relationships/hyperlink" Target="https://www.letu.ru/product/alteya-skrab-piling-dlya-kozhi-golovy/177400498?sort=default&amp;open=cleanBeauty%7Eingredient%7EskinNeeds%7EforWhom&amp;hide=expectedEffect%7EnotContain%7EskinTypes%7EhairType" TargetMode="External"/><Relationship Id="rId952" Type="http://schemas.openxmlformats.org/officeDocument/2006/relationships/hyperlink" Target="https://market.yandex.ru/card/krem-ot-varikoza-ustalosti-i-otekov-nog-okhlazhdayushchiy-dar-drakona-30-ml/103515425318?businessId=1422090&amp;clid=1422090&amp;model_id=1256606336&amp;distr_type=8&amp;pp=605" TargetMode="External"/><Relationship Id="rId951" Type="http://schemas.openxmlformats.org/officeDocument/2006/relationships/hyperlink" Target="https://www.ozon.ru/product/1188111089" TargetMode="External"/><Relationship Id="rId716" Type="http://schemas.openxmlformats.org/officeDocument/2006/relationships/hyperlink" Target="https://market.yandex.ru/card/maz-ot-gribka-nogtey-na-nogakh-protivogribkovoye-sredstvo-dlya-nogtey-alteya-ekzifol-30-ml/103515408311?businessId=1422090&amp;clid=1422090&amp;model_id=1256821997&amp;distr_type=8&amp;pp=605" TargetMode="External"/><Relationship Id="rId958" Type="http://schemas.openxmlformats.org/officeDocument/2006/relationships/hyperlink" Target="https://market.yandex.ru/card/enzimnaya-pudra-dlya-umyvaniya-tela-i-litsa-ot-pryshchey-alteya-80g/4686492261?do-waremd5=ZCSxaomsuHI_VS6Um-o9Dw&amp;businessId=1422090&amp;generalContext=t%3DshopInShop%3Bbi%3D1422090%3B&amp;ogV=-10" TargetMode="External"/><Relationship Id="rId715" Type="http://schemas.openxmlformats.org/officeDocument/2006/relationships/hyperlink" Target="https://www.ozon.ru/product/1590039392" TargetMode="External"/><Relationship Id="rId957" Type="http://schemas.openxmlformats.org/officeDocument/2006/relationships/hyperlink" Target="https://www.ozon.ru/product/2915421784" TargetMode="External"/><Relationship Id="rId714" Type="http://schemas.openxmlformats.org/officeDocument/2006/relationships/hyperlink" Target="https://www.wildberries.ru/catalog/234150851/detail.aspx" TargetMode="External"/><Relationship Id="rId956" Type="http://schemas.openxmlformats.org/officeDocument/2006/relationships/hyperlink" Target="https://www.wildberries.ru/catalog/547745952/detail.aspx" TargetMode="External"/><Relationship Id="rId713" Type="http://schemas.openxmlformats.org/officeDocument/2006/relationships/hyperlink" Target="https://market.yandex.ru/card/vitaminy-dlya-serdtsa-i-sosudov-ot-davleniya-karditsin-alteya/103333761844?businessId=1422090&amp;clid=1422090&amp;model_id=1736033173&amp;distr_type=8&amp;pp=605" TargetMode="External"/><Relationship Id="rId955" Type="http://schemas.openxmlformats.org/officeDocument/2006/relationships/hyperlink" Target="https://market.yandex.ru/card/syvorotka-dlya-volos-biotin-betain-keratin-maslo-zhozhoba-alteya-wow-glam-10-shtuk-po-2-ml/103515586621?businessId=1422090&amp;clid=1422090&amp;model_id=625585245&amp;distr_type=8&amp;pp=605" TargetMode="External"/><Relationship Id="rId59" Type="http://schemas.openxmlformats.org/officeDocument/2006/relationships/hyperlink" Target="https://www.letu.ru/product/qeep-sprei-dlya-volos-17-v-1-mnogofunktsionalnyi-s-keratinom/168000614?sort=default&amp;open=ingredient&amp;hide=expectedEffect" TargetMode="External"/><Relationship Id="rId58" Type="http://schemas.openxmlformats.org/officeDocument/2006/relationships/hyperlink" Target="https://market.yandex.ru/card/sprey-dlya-volos-mnogofunktsionalnyy-s-keratinom-qeep-200-ml/103578859652?businessId=8291477&amp;clid=8291477&amp;model_id=1103677448&amp;distr_type=8&amp;pp=605" TargetMode="External"/><Relationship Id="rId950" Type="http://schemas.openxmlformats.org/officeDocument/2006/relationships/hyperlink" Target="https://www.wildberries.ru/catalog/176862987/detail.aspx" TargetMode="External"/><Relationship Id="rId590" Type="http://schemas.openxmlformats.org/officeDocument/2006/relationships/hyperlink" Target="https://www.wildberries.ru/catalog/122988457/detail.aspx" TargetMode="External"/><Relationship Id="rId107" Type="http://schemas.openxmlformats.org/officeDocument/2006/relationships/hyperlink" Target="https://www.wildberries.ru/catalog/549611709/detail.aspx" TargetMode="External"/><Relationship Id="rId349" Type="http://schemas.openxmlformats.org/officeDocument/2006/relationships/hyperlink" Target="https://drive.google.com/drive/folders/1F6wCfWMR8E7YBEiicg4_eT3K-h5utQWZ" TargetMode="External"/><Relationship Id="rId106" Type="http://schemas.openxmlformats.org/officeDocument/2006/relationships/hyperlink" Target="https://drive.google.com/drive/folders/1sMpHVVo7fru69JaemeaE4lTRbQomIz9y" TargetMode="External"/><Relationship Id="rId348" Type="http://schemas.openxmlformats.org/officeDocument/2006/relationships/hyperlink" Target="https://market.yandex.ru/card/ginko-biloba-360-mg-qeep-90-kapsul/102318027321?businessId=8291477&amp;clid=8291477&amp;model_id=1268975231&amp;distr_type=8&amp;pp=605" TargetMode="External"/><Relationship Id="rId105" Type="http://schemas.openxmlformats.org/officeDocument/2006/relationships/hyperlink" Target="https://www.letu.ru/product/qeep-enzimnaya-pudra-dlya-umyvaniya-litsa-i-tela/177800329?sort=default&amp;open=ingredient%7EcleanBeauty&amp;hide=expectedEffect%7EnotContain%7EskinTypes" TargetMode="External"/><Relationship Id="rId347" Type="http://schemas.openxmlformats.org/officeDocument/2006/relationships/hyperlink" Target="https://www.ozon.ru/product/1101364594" TargetMode="External"/><Relationship Id="rId589" Type="http://schemas.openxmlformats.org/officeDocument/2006/relationships/hyperlink" Target="https://www.letu.ru/product/alteya-krem-dlya-litsa-s-liposomalnym-retinolom-1-retinait/177305604?sort=default&amp;open=cleanBeauty%7Eingredient%7EskinNeeds&amp;hide=expectedEffect%7EnotContain%7EskinTypes" TargetMode="External"/><Relationship Id="rId104" Type="http://schemas.openxmlformats.org/officeDocument/2006/relationships/hyperlink" Target="https://market.yandex.ru/card/enzimnaya-pudra-dlya-umyvaniya-litsa-i-tela/4693953993?businessId=8291477&amp;clid=8291477&amp;model_id=1243169397&amp;distr_type=8&amp;pp=605" TargetMode="External"/><Relationship Id="rId346" Type="http://schemas.openxmlformats.org/officeDocument/2006/relationships/hyperlink" Target="https://www.wildberries.ru/catalog/169962249/detail.aspx" TargetMode="External"/><Relationship Id="rId588" Type="http://schemas.openxmlformats.org/officeDocument/2006/relationships/hyperlink" Target="https://goldapple.ru/catalogsearch/result?q=99000124421" TargetMode="External"/><Relationship Id="rId109" Type="http://schemas.openxmlformats.org/officeDocument/2006/relationships/hyperlink" Target="https://market.yandex.ru/card/krem-dlya-litsa-s-liposomalnym-retinolom-05/4695750936?businessId=8291477&amp;clid=8291477&amp;model_id=1453951928&amp;distr_type=8&amp;pp=605" TargetMode="External"/><Relationship Id="rId1170" Type="http://schemas.openxmlformats.org/officeDocument/2006/relationships/hyperlink" Target="https://www.wildberries.ru/catalog/302460733/detail.aspx" TargetMode="External"/><Relationship Id="rId108" Type="http://schemas.openxmlformats.org/officeDocument/2006/relationships/hyperlink" Target="https://www.ozon.ru/product/2921798266" TargetMode="External"/><Relationship Id="rId1171" Type="http://schemas.openxmlformats.org/officeDocument/2006/relationships/hyperlink" Target="https://www.ozon.ru/product/1805976932" TargetMode="External"/><Relationship Id="rId341" Type="http://schemas.openxmlformats.org/officeDocument/2006/relationships/hyperlink" Target="https://www.ozon.ru/product/1713149756" TargetMode="External"/><Relationship Id="rId583" Type="http://schemas.openxmlformats.org/officeDocument/2006/relationships/hyperlink" Target="https://www.letu.ru/product/alteya-krem-dlya-litsa-s-retinolom-0-5-syvorotka-ot-morshchin-i-pigmentnyh-pyaten-retiderm/163501192?sort=default&amp;open=cleanBeauty%7Eingredient%7EskinNeeds&amp;hide=expectedEffect%7EnotContain" TargetMode="External"/><Relationship Id="rId1172" Type="http://schemas.openxmlformats.org/officeDocument/2006/relationships/hyperlink" Target="https://market.yandex.ru/card/nabor-dlya-litsa-ukhodovyy-kosmeticheskiy-byuti-young-skin-box-alteya/103710293979?businessId=1422090&amp;clid=1422090&amp;model_id=4949707407&amp;distr_type=8&amp;pp=605" TargetMode="External"/><Relationship Id="rId340" Type="http://schemas.openxmlformats.org/officeDocument/2006/relationships/hyperlink" Target="https://www.wildberries.ru/catalog/265543042/detail.aspx" TargetMode="External"/><Relationship Id="rId582" Type="http://schemas.openxmlformats.org/officeDocument/2006/relationships/hyperlink" Target="https://goldapple.ru/catalogsearch/result?q=99000076216" TargetMode="External"/><Relationship Id="rId1173" Type="http://schemas.openxmlformats.org/officeDocument/2006/relationships/hyperlink" Target="https://www.wildberries.ru/catalog/223763841/detail.aspx" TargetMode="External"/><Relationship Id="rId581" Type="http://schemas.openxmlformats.org/officeDocument/2006/relationships/hyperlink" Target="https://market.yandex.ru/card/krem-dlya-litsa-s-retinolom-05-antivozrastnoy-syvorotka-ot-morshchin-i-pigmentnykh-pyaten-alteya-retiderm-50-ml/4594231761?businessId=1422090&amp;clid=1422090&amp;model_id=1058738765&amp;distr_type=8&amp;pp=605" TargetMode="External"/><Relationship Id="rId1174" Type="http://schemas.openxmlformats.org/officeDocument/2006/relationships/hyperlink" Target="https://www.ozon.ru/product/1548065919" TargetMode="External"/><Relationship Id="rId580" Type="http://schemas.openxmlformats.org/officeDocument/2006/relationships/hyperlink" Target="https://www.ozon.ru/product/1548072003" TargetMode="External"/><Relationship Id="rId1175" Type="http://schemas.openxmlformats.org/officeDocument/2006/relationships/hyperlink" Target="https://market.yandex.ru/card/krem-dlya-litsa-antivozrastnoy-krem-filler-vokrug-glaz-s-kollagenom-s-niatsinamidom-alteya-15-ml/103515402868?businessId=1422090&amp;clid=1422090&amp;model_id=1956097793&amp;distr_type=8&amp;pp=605" TargetMode="External"/><Relationship Id="rId103" Type="http://schemas.openxmlformats.org/officeDocument/2006/relationships/hyperlink" Target="https://www.ozon.ru/product/2921727205" TargetMode="External"/><Relationship Id="rId345" Type="http://schemas.openxmlformats.org/officeDocument/2006/relationships/hyperlink" Target="https://disk.yandex.ru/d/Tr65XYmvk_1Xow" TargetMode="External"/><Relationship Id="rId587" Type="http://schemas.openxmlformats.org/officeDocument/2006/relationships/hyperlink" Target="https://market.yandex.ru/card/krem-dlya-litsa-s-liposomalnym-retinolom-1-retinayt/4644501567?do-waremd5=jXld2xbC9rOzMPrDdl1zBA&amp;businessId=1422090&amp;generalContext=t%3DshopInShop%3Bbi%3D1422090%3B&amp;ogV=-10" TargetMode="External"/><Relationship Id="rId1176" Type="http://schemas.openxmlformats.org/officeDocument/2006/relationships/hyperlink" Target="https://www.letu.ru/product/alteya-krem-dlya-litsa-antivozrastnoi-krem-filler-vokrug-glaz-s-kollagenom-s-niatsinamidom/163200008?sort=default&amp;open=ingredient%7EforWhom%7EskinNeeds%7EcleanBeauty&amp;hide=expectedEffect%7EnotContain%7EhairType%7EskinTypes" TargetMode="External"/><Relationship Id="rId102" Type="http://schemas.openxmlformats.org/officeDocument/2006/relationships/hyperlink" Target="https://www.wildberries.ru/catalog/549551191/detail.aspx" TargetMode="External"/><Relationship Id="rId344" Type="http://schemas.openxmlformats.org/officeDocument/2006/relationships/hyperlink" Target="https://drive.google.com/drive/folders/1GlGAe44AZJIFNnlMaxHBj1GFQE2M3CXI" TargetMode="External"/><Relationship Id="rId586" Type="http://schemas.openxmlformats.org/officeDocument/2006/relationships/hyperlink" Target="https://www.ozon.ru/product/2829866449" TargetMode="External"/><Relationship Id="rId1177" Type="http://schemas.openxmlformats.org/officeDocument/2006/relationships/hyperlink" Target="https://www.wildberries.ru/catalog/538087651/detail.aspx" TargetMode="External"/><Relationship Id="rId101" Type="http://schemas.openxmlformats.org/officeDocument/2006/relationships/hyperlink" Target="https://www.ozon.ru/product/1283143901" TargetMode="External"/><Relationship Id="rId343" Type="http://schemas.openxmlformats.org/officeDocument/2006/relationships/hyperlink" Target="https://goldapple.ru/catalogsearch/result?q=99000121326" TargetMode="External"/><Relationship Id="rId585" Type="http://schemas.openxmlformats.org/officeDocument/2006/relationships/hyperlink" Target="https://www.wildberries.ru/catalog/526299109/detail.aspx" TargetMode="External"/><Relationship Id="rId1178" Type="http://schemas.openxmlformats.org/officeDocument/2006/relationships/hyperlink" Target="https://www.ozon.ru/product/2860142614" TargetMode="External"/><Relationship Id="rId100" Type="http://schemas.openxmlformats.org/officeDocument/2006/relationships/hyperlink" Target="https://www.wildberries.ru/catalog/188602690/detail.aspx" TargetMode="External"/><Relationship Id="rId342" Type="http://schemas.openxmlformats.org/officeDocument/2006/relationships/hyperlink" Target="https://market.yandex.ru/card/magniy-tsitrat-635-mg-s-vitaminom-v6-qeep-120-kapsul/103555039361?businessId=8291477&amp;clid=8291477&amp;model_id=1280856904&amp;distr_type=8&amp;pp=605" TargetMode="External"/><Relationship Id="rId584" Type="http://schemas.openxmlformats.org/officeDocument/2006/relationships/hyperlink" Target="https://mm.ru/product/krem-dlya-lica-5868814?skuId=13110130" TargetMode="External"/><Relationship Id="rId1179" Type="http://schemas.openxmlformats.org/officeDocument/2006/relationships/hyperlink" Target="https://market.yandex.ru/card/vosk-stik-dlya-ukladki-i-fiksatsii-volos/4737518234?businessId=1422090&amp;showOriginalKmEmptyOffer=1&amp;ogV=-10" TargetMode="External"/><Relationship Id="rId1169" Type="http://schemas.openxmlformats.org/officeDocument/2006/relationships/hyperlink" Target="https://market.yandex.ru/card/krem-dlya-litsa-s-retinolom-i-tseramidami-50-ml-retinayt/4737519927?businessId=1422090&amp;clid=1422090&amp;model_id=4936696924&amp;distr_type=8&amp;pp=605" TargetMode="External"/><Relationship Id="rId338" Type="http://schemas.openxmlformats.org/officeDocument/2006/relationships/hyperlink" Target="https://www.wildberries.ru/catalog/240173672/detail.aspx" TargetMode="External"/><Relationship Id="rId337" Type="http://schemas.openxmlformats.org/officeDocument/2006/relationships/hyperlink" Target="https://disk.yandex.ru/d/sW4lRxXupp7BjA" TargetMode="External"/><Relationship Id="rId579" Type="http://schemas.openxmlformats.org/officeDocument/2006/relationships/hyperlink" Target="https://www.wildberries.ru/catalog/223764453/detail.aspx" TargetMode="External"/><Relationship Id="rId336" Type="http://schemas.openxmlformats.org/officeDocument/2006/relationships/hyperlink" Target="https://drive.google.com/drive/folders/1QfanO0ZYba8UpZM_RxW5iU3lKYA5wt6W" TargetMode="External"/><Relationship Id="rId578" Type="http://schemas.openxmlformats.org/officeDocument/2006/relationships/hyperlink" Target="https://market.yandex.ru/card/sredstvo-ot-davleniya-vitaminy-dlya-serdtsa-chistka-sosudov-alteya-arterol-10ml-kh-3/4640700956?businessId=1422090&amp;clid=1422090&amp;model_id=696476475&amp;distr_type=8&amp;pp=605" TargetMode="External"/><Relationship Id="rId335" Type="http://schemas.openxmlformats.org/officeDocument/2006/relationships/hyperlink" Target="https://market.yandex.ru/card/neytralizator-zapakhov-zhivotnykh-ot-koshachyey-mochi-500-ml/4476321741?businessId=8291477&amp;clid=8291477&amp;model_id=1247485777&amp;distr_type=8&amp;pp=605" TargetMode="External"/><Relationship Id="rId577" Type="http://schemas.openxmlformats.org/officeDocument/2006/relationships/hyperlink" Target="https://www.ozon.ru/product/2825078710" TargetMode="External"/><Relationship Id="rId339" Type="http://schemas.openxmlformats.org/officeDocument/2006/relationships/hyperlink" Target="https://www.ozon.ru/product/1613731894" TargetMode="External"/><Relationship Id="rId1160" Type="http://schemas.openxmlformats.org/officeDocument/2006/relationships/hyperlink" Target="https://market.yandex.ru/card/gel-dlya-dusha-zhenskiy-parfyumirovannyy-tobacco-vanille-alteya-450-ml/103701553227?do-waremd5=WifJkqHNEf6oe4v1y_GntA&amp;businessId=1422090&amp;ogV=-10" TargetMode="External"/><Relationship Id="rId330" Type="http://schemas.openxmlformats.org/officeDocument/2006/relationships/hyperlink" Target="https://www.wildberries.ru/catalog/381335309/detail.aspx" TargetMode="External"/><Relationship Id="rId572" Type="http://schemas.openxmlformats.org/officeDocument/2006/relationships/hyperlink" Target="https://market.yandex.ru/card/sredstvo-ot-davleniya-vitaminy-dlya-serdtsa-chistka-sosudov-alteya-arterol-10ml/4661998525?businessId=1422090&amp;clid=1422090&amp;model_id=1736033173&amp;distr_type=8&amp;pp=605" TargetMode="External"/><Relationship Id="rId1161" Type="http://schemas.openxmlformats.org/officeDocument/2006/relationships/hyperlink" Target="https://goldapple.ru/catalogsearch/result?q=99000081276" TargetMode="External"/><Relationship Id="rId571" Type="http://schemas.openxmlformats.org/officeDocument/2006/relationships/hyperlink" Target="https://www.ozon.ru/product/1528107368" TargetMode="External"/><Relationship Id="rId1162" Type="http://schemas.openxmlformats.org/officeDocument/2006/relationships/hyperlink" Target="https://www.letu.ru/product/alteya-gel-dlya-dusha-zhenskii-parfyumirovannyi-tobacco-vanille/170000362?sort=default&amp;open=ingredient%7EforWhom%7EskinNeeds%7EcleanBeauty&amp;hide=expectedEffect%7EnotContain%7EhairType%7EskinTypes" TargetMode="External"/><Relationship Id="rId570" Type="http://schemas.openxmlformats.org/officeDocument/2006/relationships/hyperlink" Target="https://www.wildberries.ru/catalog/222225755/detail.aspx" TargetMode="External"/><Relationship Id="rId1163" Type="http://schemas.openxmlformats.org/officeDocument/2006/relationships/hyperlink" Target="https://mm.ru/product/gel-dlya-dusha-5871280?skuId=13112535" TargetMode="External"/><Relationship Id="rId1164" Type="http://schemas.openxmlformats.org/officeDocument/2006/relationships/hyperlink" Target="https://www.wildberries.ru/catalog/44552189/detail.aspx" TargetMode="External"/><Relationship Id="rId334" Type="http://schemas.openxmlformats.org/officeDocument/2006/relationships/hyperlink" Target="https://www.ozon.ru/product/2344269342" TargetMode="External"/><Relationship Id="rId576" Type="http://schemas.openxmlformats.org/officeDocument/2006/relationships/hyperlink" Target="https://www.wildberries.ru/catalog/525494446/detail.aspx" TargetMode="External"/><Relationship Id="rId1165" Type="http://schemas.openxmlformats.org/officeDocument/2006/relationships/hyperlink" Target="https://www.ozon.ru/product/359068917" TargetMode="External"/><Relationship Id="rId333" Type="http://schemas.openxmlformats.org/officeDocument/2006/relationships/hyperlink" Target="https://www.wildberries.ru/catalog/445333054/detail.aspx" TargetMode="External"/><Relationship Id="rId575" Type="http://schemas.openxmlformats.org/officeDocument/2006/relationships/hyperlink" Target="https://market.yandex.ru/card/vozbuditel-dlya-muzhchin-sredstvo-dlya-potentsii-i-erektsii-vitaminy-dlya-muzhchiny-kinzhal-20-kapsul/103529337206?businessId=1422090&amp;clid=1422090&amp;model_id=696711021&amp;distr_type=8&amp;pp=605" TargetMode="External"/><Relationship Id="rId1166" Type="http://schemas.openxmlformats.org/officeDocument/2006/relationships/hyperlink" Target="https://market.yandex.ru/card/krem-ot-varikoza-ustalosti-i-otekov-nog-okhlazhdayushchiy-dar-drakona-30-ml/103331098181?businessId=1422090&amp;clid=1422090&amp;model_id=1256604478&amp;distr_type=8&amp;pp=605" TargetMode="External"/><Relationship Id="rId332" Type="http://schemas.openxmlformats.org/officeDocument/2006/relationships/hyperlink" Target="https://market.yandex.ru/card/lososevoye-maslo-dlya-sobak-i-koshek-rybiy-zhir-maslo-lososya-omega-3-dlya-zhivotnykh-harly-150-ml/4334505684?businessId=8291477&amp;clid=8291477&amp;model_id=838121044&amp;distr_type=8&amp;pp=605" TargetMode="External"/><Relationship Id="rId574" Type="http://schemas.openxmlformats.org/officeDocument/2006/relationships/hyperlink" Target="https://www.ozon.ru/product/1528074808" TargetMode="External"/><Relationship Id="rId1167" Type="http://schemas.openxmlformats.org/officeDocument/2006/relationships/hyperlink" Target="https://www.wildberries.ru/catalog/580359518/detail.aspx" TargetMode="External"/><Relationship Id="rId331" Type="http://schemas.openxmlformats.org/officeDocument/2006/relationships/hyperlink" Target="https://www.ozon.ru/product/2019073769" TargetMode="External"/><Relationship Id="rId573" Type="http://schemas.openxmlformats.org/officeDocument/2006/relationships/hyperlink" Target="https://www.wildberries.ru/catalog/222223765/detail.aspx" TargetMode="External"/><Relationship Id="rId1168" Type="http://schemas.openxmlformats.org/officeDocument/2006/relationships/hyperlink" Target="https://www.ozon.ru/product/3043803801" TargetMode="External"/><Relationship Id="rId370" Type="http://schemas.openxmlformats.org/officeDocument/2006/relationships/hyperlink" Target="https://www.wildberries.ru/catalog/271462078/detail.aspx" TargetMode="External"/><Relationship Id="rId129" Type="http://schemas.openxmlformats.org/officeDocument/2006/relationships/hyperlink" Target="https://market.yandex.ru/card/zma-testosteron-dlya-muzhchin-tsink--magniy--asparaginovaya-kislota--v6-qeep-ekdisteron-120-kapsul/4737102558?businessId=8291477&amp;clid=8291477&amp;model_id=925062646&amp;distr_type=8&amp;pp=605" TargetMode="External"/><Relationship Id="rId128" Type="http://schemas.openxmlformats.org/officeDocument/2006/relationships/hyperlink" Target="https://www.ozon.ru/product/3044876607" TargetMode="External"/><Relationship Id="rId127" Type="http://schemas.openxmlformats.org/officeDocument/2006/relationships/hyperlink" Target="https://www.wildberries.ru/catalog/588937927/detail.aspx" TargetMode="External"/><Relationship Id="rId369" Type="http://schemas.openxmlformats.org/officeDocument/2006/relationships/hyperlink" Target="https://drive.google.com/drive/folders/1FxNHgVMk2Geoyn83tvBrHwqY0P1rbYAI" TargetMode="External"/><Relationship Id="rId126" Type="http://schemas.openxmlformats.org/officeDocument/2006/relationships/hyperlink" Target="https://drive.google.com/drive/folders/1zKli08gC7aQQz0moHj-M5xlo3KGR6t-7" TargetMode="External"/><Relationship Id="rId368" Type="http://schemas.openxmlformats.org/officeDocument/2006/relationships/hyperlink" Target="https://market.yandex.ru/card/testosteron-dlya-muzhchin-qeep-60-kapsul-ekdisteron-bad-dlya-potentsii-i-myshts-sportivnyy-tsink-testobuster-vitaminy-dlya-muzhchin-buster/4661959140?businessId=8291477&amp;clid=8291477&amp;model_id=4663002726&amp;distr_type=8&amp;pp=605" TargetMode="External"/><Relationship Id="rId1190" Type="http://schemas.openxmlformats.org/officeDocument/2006/relationships/hyperlink" Target="https://www.wildberries.ru/catalog/181469548/detail.aspx" TargetMode="External"/><Relationship Id="rId1191" Type="http://schemas.openxmlformats.org/officeDocument/2006/relationships/hyperlink" Target="https://www.ozon.ru/product/1235751364" TargetMode="External"/><Relationship Id="rId1192" Type="http://schemas.openxmlformats.org/officeDocument/2006/relationships/hyperlink" Target="https://www.wildberries.ru/catalog/186787859/detail.aspx" TargetMode="External"/><Relationship Id="rId1193" Type="http://schemas.openxmlformats.org/officeDocument/2006/relationships/hyperlink" Target="https://www.ozon.ru/product/1271264152" TargetMode="External"/><Relationship Id="rId121" Type="http://schemas.openxmlformats.org/officeDocument/2006/relationships/hyperlink" Target="https://market.yandex.ru/card/shampun-dlya-sobak-i-koshek-s-konditsionerom-500-ml/103397002661?businessId=8291477&amp;clid=8291477&amp;model_id=965085250&amp;distr_type=8&amp;pp=605" TargetMode="External"/><Relationship Id="rId363" Type="http://schemas.openxmlformats.org/officeDocument/2006/relationships/hyperlink" Target="https://www.wildberries.ru/catalog/400501943/detail.aspx" TargetMode="External"/><Relationship Id="rId1194" Type="http://schemas.openxmlformats.org/officeDocument/2006/relationships/hyperlink" Target="https://market.yandex.ru/card/sanatsin-antiparazitarnyy-kompleks-ot-parazitov-i-ot-glistov--protiv-parazitov--20-kapsul/103340888401?businessId=1422090&amp;showOriginalKmEmptyOffer=1&amp;ogV=-10" TargetMode="External"/><Relationship Id="rId120" Type="http://schemas.openxmlformats.org/officeDocument/2006/relationships/hyperlink" Target="https://www.ozon.ru/product/1503121227" TargetMode="External"/><Relationship Id="rId362" Type="http://schemas.openxmlformats.org/officeDocument/2006/relationships/hyperlink" Target="https://drive.google.com/drive/folders/1Wr2srOap72j1Y5wZfJZ-K0k3yCqb_3oq" TargetMode="External"/><Relationship Id="rId1195" Type="http://schemas.openxmlformats.org/officeDocument/2006/relationships/hyperlink" Target="https://www.wildberries.ru/catalog/188613392/detail.aspx" TargetMode="External"/><Relationship Id="rId361" Type="http://schemas.openxmlformats.org/officeDocument/2006/relationships/hyperlink" Target="https://www.letu.ru/product/qeep-remuver-gel-dlya-udaleniya-kutikuly/168000535?sort=default&amp;open=ingredient%7EcleanBeauty%7EskinNeeds%7EforWhom&amp;hide=expectedEffect%7EnotContain%7EskinTypes%7EhairType" TargetMode="External"/><Relationship Id="rId1196" Type="http://schemas.openxmlformats.org/officeDocument/2006/relationships/hyperlink" Target="https://www.ozon.ru/product/1283151299" TargetMode="External"/><Relationship Id="rId360" Type="http://schemas.openxmlformats.org/officeDocument/2006/relationships/hyperlink" Target="https://market.yandex.ru/card/remuver-gel-qeep-dlya-udaleniya-kutikuly-40-ml/103477930205?businessId=8291477&amp;clid=8291477&amp;model_id=570718272&amp;distr_type=8&amp;pp=605" TargetMode="External"/><Relationship Id="rId1197" Type="http://schemas.openxmlformats.org/officeDocument/2006/relationships/hyperlink" Target="https://market.yandex.ru/card/bad-mikardin-plyus-aterolayf-bady-dlya-serdtsa-i-sosudov-ot-davleniya-60-kapsul/103515434782?businessId=1422090&amp;showOriginalKmEmptyOffer=1&amp;ogV=-10" TargetMode="External"/><Relationship Id="rId125" Type="http://schemas.openxmlformats.org/officeDocument/2006/relationships/hyperlink" Target="https://market.yandex.ru/card/probiotiki-dlya-vzroslykh-vosstanovleniye-mikroflory-qeep-probiotic-detox-60-kapsul/4737198096?businessId=8291477&amp;clid=8291477&amp;model_id=696148335&amp;distr_type=8&amp;pp=605" TargetMode="External"/><Relationship Id="rId367" Type="http://schemas.openxmlformats.org/officeDocument/2006/relationships/hyperlink" Target="https://www.ozon.ru/product/946980875" TargetMode="External"/><Relationship Id="rId1198" Type="http://schemas.openxmlformats.org/officeDocument/2006/relationships/hyperlink" Target="https://www.wildberries.ru/catalog/232481242/detail.aspx" TargetMode="External"/><Relationship Id="rId124" Type="http://schemas.openxmlformats.org/officeDocument/2006/relationships/hyperlink" Target="https://www.ozon.ru/product/3010994519" TargetMode="External"/><Relationship Id="rId366" Type="http://schemas.openxmlformats.org/officeDocument/2006/relationships/hyperlink" Target="https://www.wildberries.ru/catalog/156995682/detail.aspx" TargetMode="External"/><Relationship Id="rId1199" Type="http://schemas.openxmlformats.org/officeDocument/2006/relationships/hyperlink" Target="https://www.ozon.ru/product/1581991716" TargetMode="External"/><Relationship Id="rId123" Type="http://schemas.openxmlformats.org/officeDocument/2006/relationships/hyperlink" Target="https://www.wildberries.ru/catalog/568667310/detail.aspx" TargetMode="External"/><Relationship Id="rId365" Type="http://schemas.openxmlformats.org/officeDocument/2006/relationships/hyperlink" Target="https://market.yandex.ru/card/remuver-gel-qeep-dlya-udaleniya-kutikuly-40-ml-kh-2/4623332199?businessId=8291477&amp;showOriginalKmEmptyOffer=1&amp;ogV=-10" TargetMode="External"/><Relationship Id="rId122" Type="http://schemas.openxmlformats.org/officeDocument/2006/relationships/hyperlink" Target="https://drive.google.com/drive/folders/1_QPjS9mJZl1HeJQYZvxo5r41lee-IUVq" TargetMode="External"/><Relationship Id="rId364" Type="http://schemas.openxmlformats.org/officeDocument/2006/relationships/hyperlink" Target="https://www.ozon.ru/product/2071319159" TargetMode="External"/><Relationship Id="rId95" Type="http://schemas.openxmlformats.org/officeDocument/2006/relationships/hyperlink" Target="https://disk.yandex.ru/d/Y1y6LE7lT5p4ew" TargetMode="External"/><Relationship Id="rId94" Type="http://schemas.openxmlformats.org/officeDocument/2006/relationships/hyperlink" Target="https://goldapple.ru/catalogsearch/result?q=99000121336" TargetMode="External"/><Relationship Id="rId97" Type="http://schemas.openxmlformats.org/officeDocument/2006/relationships/hyperlink" Target="https://www.ozon.ru/product/1099614303" TargetMode="External"/><Relationship Id="rId96" Type="http://schemas.openxmlformats.org/officeDocument/2006/relationships/hyperlink" Target="https://www.wildberries.ru/catalog/167680087/detail.aspx" TargetMode="External"/><Relationship Id="rId99" Type="http://schemas.openxmlformats.org/officeDocument/2006/relationships/hyperlink" Target="https://www.ozon.ru/product/1283138723" TargetMode="External"/><Relationship Id="rId98" Type="http://schemas.openxmlformats.org/officeDocument/2006/relationships/hyperlink" Target="https://www.wildberries.ru/catalog/188493994/detail.aspx" TargetMode="External"/><Relationship Id="rId91" Type="http://schemas.openxmlformats.org/officeDocument/2006/relationships/hyperlink" Target="https://www.wildberries.ru/catalog/142963712/detail.aspx" TargetMode="External"/><Relationship Id="rId90" Type="http://schemas.openxmlformats.org/officeDocument/2006/relationships/hyperlink" Target="https://drive.google.com/drive/folders/1yXjmu5hDb-Pz71Rz8yc1YcRLpSpxr7Mh" TargetMode="External"/><Relationship Id="rId93" Type="http://schemas.openxmlformats.org/officeDocument/2006/relationships/hyperlink" Target="https://market.yandex.ru/card/mio-inozitol-820-mg-qeep-60-kapsul/101948470526?businessId=8291477&amp;clid=8291477&amp;model_id=1111706245&amp;distr_type=8&amp;pp=605" TargetMode="External"/><Relationship Id="rId92" Type="http://schemas.openxmlformats.org/officeDocument/2006/relationships/hyperlink" Target="https://www.ozon.ru/product/835603195" TargetMode="External"/><Relationship Id="rId118" Type="http://schemas.openxmlformats.org/officeDocument/2006/relationships/hyperlink" Target="https://disk.yandex.ru/d/1ndXL8wYq_YmVg" TargetMode="External"/><Relationship Id="rId117" Type="http://schemas.openxmlformats.org/officeDocument/2006/relationships/hyperlink" Target="https://drive.google.com/drive/folders/1tJn-U5-4SUwDVUMhCm0kivRx5EnuKk0S" TargetMode="External"/><Relationship Id="rId359" Type="http://schemas.openxmlformats.org/officeDocument/2006/relationships/hyperlink" Target="https://www.ozon.ru/product/1666962684" TargetMode="External"/><Relationship Id="rId116" Type="http://schemas.openxmlformats.org/officeDocument/2006/relationships/hyperlink" Target="https://market.yandex.ru/card/mio-inozitol-1500-mg-qeep-60-kapsul/4737110307?businessId=8291477&amp;clid=8291477&amp;model_id=1111706245&amp;distr_type=8&amp;pp=605" TargetMode="External"/><Relationship Id="rId358" Type="http://schemas.openxmlformats.org/officeDocument/2006/relationships/hyperlink" Target="https://www.wildberries.ru/catalog/255209721/detail.aspx" TargetMode="External"/><Relationship Id="rId115" Type="http://schemas.openxmlformats.org/officeDocument/2006/relationships/hyperlink" Target="https://www.ozon.ru/product/2946850815" TargetMode="External"/><Relationship Id="rId357" Type="http://schemas.openxmlformats.org/officeDocument/2006/relationships/hyperlink" Target="https://drive.google.com/drive/folders/18YV64pOQ5afw2SLx3F1h2HjXmX2aFP3f" TargetMode="External"/><Relationship Id="rId599" Type="http://schemas.openxmlformats.org/officeDocument/2006/relationships/hyperlink" Target="https://www.ozon.ru/product/1500240551" TargetMode="External"/><Relationship Id="rId1180" Type="http://schemas.openxmlformats.org/officeDocument/2006/relationships/hyperlink" Target="https://www.letu.ru/product/alteya-vosk-stik-dlya-ukladki-i-fiksatsii-volos/179100032?sort=default&amp;open=ingredient%7EforWhom%7EskinNeeds%7EcleanBeauty&amp;hide=expectedEffect%7EnotContain%7EhairType%7EskinTypes" TargetMode="External"/><Relationship Id="rId1181" Type="http://schemas.openxmlformats.org/officeDocument/2006/relationships/hyperlink" Target="https://www.wildberries.ru/catalog/727028589/detail.aspx" TargetMode="External"/><Relationship Id="rId119" Type="http://schemas.openxmlformats.org/officeDocument/2006/relationships/hyperlink" Target="https://www.wildberries.ru/catalog/559225020/detail.aspx" TargetMode="External"/><Relationship Id="rId1182" Type="http://schemas.openxmlformats.org/officeDocument/2006/relationships/hyperlink" Target="https://market.yandex.ru/card/krem-dlya-litsa-s-liposomalnym-retinolom-15-retinayt/4928672266?businessId=1422090&amp;showOriginalKmEmptyOffer=1&amp;ogV=-10" TargetMode="External"/><Relationship Id="rId110" Type="http://schemas.openxmlformats.org/officeDocument/2006/relationships/hyperlink" Target="https://www.letu.ru/product/qeep-krem-dlya-litsa-s-liposomalnym-retinolom-0-5-/178100057?sort=default&amp;open=ingredient%7EcleanBeauty&amp;hide=expectedEffect%7EnotContain%7EskinTypes" TargetMode="External"/><Relationship Id="rId352" Type="http://schemas.openxmlformats.org/officeDocument/2006/relationships/hyperlink" Target="https://market.yandex.ru/card/vitaminy-dlya-pamyati-i-mozga-qeep-60-kapsul/102196237159?businessId=8291477&amp;clid=8291477&amp;model_id=804540706&amp;distr_type=8&amp;pp=605" TargetMode="External"/><Relationship Id="rId594" Type="http://schemas.openxmlformats.org/officeDocument/2006/relationships/hyperlink" Target="https://www.ozon.ru/product/1657229241" TargetMode="External"/><Relationship Id="rId1183" Type="http://schemas.openxmlformats.org/officeDocument/2006/relationships/hyperlink" Target="https://www.wildberries.ru/catalog/17908721/detail.aspx" TargetMode="External"/><Relationship Id="rId351" Type="http://schemas.openxmlformats.org/officeDocument/2006/relationships/hyperlink" Target="https://www.ozon.ru/product/967623667" TargetMode="External"/><Relationship Id="rId593" Type="http://schemas.openxmlformats.org/officeDocument/2006/relationships/hyperlink" Target="https://www.wildberries.ru/catalog/251796954/detail.aspx" TargetMode="External"/><Relationship Id="rId1184" Type="http://schemas.openxmlformats.org/officeDocument/2006/relationships/hyperlink" Target="https://www.ozon.ru/product/290029361" TargetMode="External"/><Relationship Id="rId350" Type="http://schemas.openxmlformats.org/officeDocument/2006/relationships/hyperlink" Target="https://www.wildberries.ru/catalog/159734040/detail.aspx" TargetMode="External"/><Relationship Id="rId592" Type="http://schemas.openxmlformats.org/officeDocument/2006/relationships/hyperlink" Target="https://market.yandex.ru/card/insulayt-vitaminy-dlya-diabetikov-ot-sakharnogo-diabeta-49g/103340898158?businessId=1422090&amp;clid=1422090&amp;model_id=1352508276&amp;distr_type=8&amp;pp=605" TargetMode="External"/><Relationship Id="rId1185" Type="http://schemas.openxmlformats.org/officeDocument/2006/relationships/hyperlink" Target="https://www.wildberries.ru/catalog/41327376/detail.aspx" TargetMode="External"/><Relationship Id="rId591" Type="http://schemas.openxmlformats.org/officeDocument/2006/relationships/hyperlink" Target="https://www.ozon.ru/product/751246155" TargetMode="External"/><Relationship Id="rId1186" Type="http://schemas.openxmlformats.org/officeDocument/2006/relationships/hyperlink" Target="https://www.ozon.ru/product/327231451" TargetMode="External"/><Relationship Id="rId114" Type="http://schemas.openxmlformats.org/officeDocument/2006/relationships/hyperlink" Target="https://www.wildberries.ru/catalog/559173569/detail.aspx" TargetMode="External"/><Relationship Id="rId356" Type="http://schemas.openxmlformats.org/officeDocument/2006/relationships/hyperlink" Target="https://market.yandex.ru/card/pelenki-dlya-sobak-60-na-40-pelenki-odnorazovyye-30-shtuk/103396708130?businessId=8291477&amp;clid=8291477&amp;model_id=484297924&amp;distr_type=8&amp;pp=605" TargetMode="External"/><Relationship Id="rId598" Type="http://schemas.openxmlformats.org/officeDocument/2006/relationships/hyperlink" Target="https://www.wildberries.ru/catalog/214976664/detail.aspx" TargetMode="External"/><Relationship Id="rId1187" Type="http://schemas.openxmlformats.org/officeDocument/2006/relationships/hyperlink" Target="https://www.wildberries.ru/catalog/109014186/detail.aspx" TargetMode="External"/><Relationship Id="rId113" Type="http://schemas.openxmlformats.org/officeDocument/2006/relationships/hyperlink" Target="https://disk.yandex.ru/d/iO_TaD7U2A8-rw" TargetMode="External"/><Relationship Id="rId355" Type="http://schemas.openxmlformats.org/officeDocument/2006/relationships/hyperlink" Target="https://www.ozon.ru/product/1581834792" TargetMode="External"/><Relationship Id="rId597" Type="http://schemas.openxmlformats.org/officeDocument/2006/relationships/hyperlink" Target="https://mm.ru/product/remuver-dlya-snyatiya-resnic-alteya-18-5868852?skuId=13110208" TargetMode="External"/><Relationship Id="rId1188" Type="http://schemas.openxmlformats.org/officeDocument/2006/relationships/hyperlink" Target="https://www.ozon.ru/product/743548429" TargetMode="External"/><Relationship Id="rId112" Type="http://schemas.openxmlformats.org/officeDocument/2006/relationships/hyperlink" Target="https://drive.google.com/drive/folders/1q2apvTtvQEh0yeNpyR4Csa1wlhvTiKVX" TargetMode="External"/><Relationship Id="rId354" Type="http://schemas.openxmlformats.org/officeDocument/2006/relationships/hyperlink" Target="https://www.wildberries.ru/catalog/232785020/detail.aspx" TargetMode="External"/><Relationship Id="rId596" Type="http://schemas.openxmlformats.org/officeDocument/2006/relationships/hyperlink" Target="https://www.letu.ru/product/alteya-remuver-dlya-snyatiya-resnits/163501098?sort=default&amp;open=cleanBeauty%7Eingredient%7EskinNeeds&amp;hide=expectedEffect%7EnotContain%7EskinTypes" TargetMode="External"/><Relationship Id="rId1189" Type="http://schemas.openxmlformats.org/officeDocument/2006/relationships/hyperlink" Target="https://market.yandex.ru/card/krem-dlya-ukhoda-za-kozhey-maz-dlya-sustavov-i-svyazok-sustalit-obezbolivayushchiy/103340884504?businessId=1422090&amp;clid=1422090&amp;model_id=1111443278&amp;distr_type=8&amp;pp=605" TargetMode="External"/><Relationship Id="rId111" Type="http://schemas.openxmlformats.org/officeDocument/2006/relationships/hyperlink" Target="https://mm.ru/product/krem-dlya-lica-s-liposomalnym-retinolom-5898608?skuId=13170183" TargetMode="External"/><Relationship Id="rId353" Type="http://schemas.openxmlformats.org/officeDocument/2006/relationships/hyperlink" Target="https://drive.google.com/drive/folders/1A5n8wsKAPxDPdS5cdUltQbmVm2SkFKQ1" TargetMode="External"/><Relationship Id="rId595" Type="http://schemas.openxmlformats.org/officeDocument/2006/relationships/hyperlink" Target="https://market.yandex.ru/card/remuver-dlya-snyatiya-resnits-alteya-15g/103701555890?businessId=1422090&amp;clid=1422090&amp;model_id=625548978&amp;distr_type=8&amp;pp=605" TargetMode="External"/><Relationship Id="rId1136" Type="http://schemas.openxmlformats.org/officeDocument/2006/relationships/hyperlink" Target="https://www.ozon.ru/product/301630774" TargetMode="External"/><Relationship Id="rId1137" Type="http://schemas.openxmlformats.org/officeDocument/2006/relationships/hyperlink" Target="https://market.yandex.ru/card/tabletki-dlya-pokhudeniya-zhiroszhigatel-detoks-alteya-frutalika-10-kapsul/102174014381?businessId=1422090&amp;clid=1422090&amp;model_id=967593294&amp;distr_type=8&amp;pp=605" TargetMode="External"/><Relationship Id="rId1138" Type="http://schemas.openxmlformats.org/officeDocument/2006/relationships/hyperlink" Target="https://www.wildberries.ru/catalog/41351094/detail.aspx" TargetMode="External"/><Relationship Id="rId1139" Type="http://schemas.openxmlformats.org/officeDocument/2006/relationships/hyperlink" Target="https://www.ozon.ru/product/327232798" TargetMode="External"/><Relationship Id="rId305" Type="http://schemas.openxmlformats.org/officeDocument/2006/relationships/hyperlink" Target="https://market.yandex.ru/card/krovavyy-kislotnyy-piling-dlya-litsa-ot-pryshchey-aha-bha-qeep-30-ml/103812560928?businessId=8291477&amp;clid=8291477&amp;model_id=1453951928&amp;distr_type=8&amp;pp=605" TargetMode="External"/><Relationship Id="rId547" Type="http://schemas.openxmlformats.org/officeDocument/2006/relationships/hyperlink" Target="https://www.ozon.ru/product/1154562310" TargetMode="External"/><Relationship Id="rId789" Type="http://schemas.openxmlformats.org/officeDocument/2006/relationships/hyperlink" Target="https://market.yandex.ru/card/berberin-dlya-kontrolya-sakhara-i-zhiroszhigatel-kholesterina-alteya-60-kapsul/103621547195?businessId=1422090&amp;clid=1422090&amp;model_id=859804210&amp;distr_type=8&amp;pp=605" TargetMode="External"/><Relationship Id="rId304" Type="http://schemas.openxmlformats.org/officeDocument/2006/relationships/hyperlink" Target="https://www.ozon.ru/product/1856657517" TargetMode="External"/><Relationship Id="rId546" Type="http://schemas.openxmlformats.org/officeDocument/2006/relationships/hyperlink" Target="https://www.wildberries.ru/catalog/174420257/detail.aspx" TargetMode="External"/><Relationship Id="rId788" Type="http://schemas.openxmlformats.org/officeDocument/2006/relationships/hyperlink" Target="https://www.ozon.ru/product/1753227855" TargetMode="External"/><Relationship Id="rId303" Type="http://schemas.openxmlformats.org/officeDocument/2006/relationships/hyperlink" Target="https://www.wildberries.ru/catalog/326154767/detail.aspx" TargetMode="External"/><Relationship Id="rId545" Type="http://schemas.openxmlformats.org/officeDocument/2006/relationships/hyperlink" Target="https://www.ozon.ru/product/965075765" TargetMode="External"/><Relationship Id="rId787" Type="http://schemas.openxmlformats.org/officeDocument/2006/relationships/hyperlink" Target="https://www.wildberries.ru/catalog/280577427/detail.aspx" TargetMode="External"/><Relationship Id="rId302" Type="http://schemas.openxmlformats.org/officeDocument/2006/relationships/hyperlink" Target="https://www.ozon.ru/product/1710553197" TargetMode="External"/><Relationship Id="rId544" Type="http://schemas.openxmlformats.org/officeDocument/2006/relationships/hyperlink" Target="https://www.wildberries.ru/catalog/159631114/detail.aspx" TargetMode="External"/><Relationship Id="rId786" Type="http://schemas.openxmlformats.org/officeDocument/2006/relationships/hyperlink" Target="https://www.letu.ru/product/alteya-enzimnaya-pudra-dlya-umyvaniya-litsa-i-tela/163001777?sort=default&amp;open=ingredient%7EforWhom%7EskinNeeds%7EcleanBeauty&amp;hide=expectedEffect%7EnotContain%7EhairType%7EskinTypes" TargetMode="External"/><Relationship Id="rId309" Type="http://schemas.openxmlformats.org/officeDocument/2006/relationships/hyperlink" Target="https://www.wildberries.ru/catalog/418733480/detail.aspx" TargetMode="External"/><Relationship Id="rId308" Type="http://schemas.openxmlformats.org/officeDocument/2006/relationships/hyperlink" Target="https://drive.google.com/drive/folders/1deQipkbSGt53Z6oxrBJmZCjjjhcAzsmU" TargetMode="External"/><Relationship Id="rId307" Type="http://schemas.openxmlformats.org/officeDocument/2006/relationships/hyperlink" Target="https://mm.ru/product/krovavyj-kislotnyj-piling-5898538?skuId=13170076" TargetMode="External"/><Relationship Id="rId549" Type="http://schemas.openxmlformats.org/officeDocument/2006/relationships/hyperlink" Target="https://www.ozon.ru/product/826800291" TargetMode="External"/><Relationship Id="rId306" Type="http://schemas.openxmlformats.org/officeDocument/2006/relationships/hyperlink" Target="https://www.letu.ru/product/qeep-krovavyi-kislotnyi-piling-dlya-litsa-ot-pryshchei-aha-bha/168000621?sort=default&amp;open=ingredient%7EcleanBeauty&amp;hide=expectedEffect%7EnotContain%7EskinTypes" TargetMode="External"/><Relationship Id="rId548" Type="http://schemas.openxmlformats.org/officeDocument/2006/relationships/hyperlink" Target="https://www.wildberries.ru/catalog/140946360/detail.aspx" TargetMode="External"/><Relationship Id="rId781" Type="http://schemas.openxmlformats.org/officeDocument/2006/relationships/hyperlink" Target="https://market.yandex.ru/card/krem-gel-ot-gemorroya-i-analnykh-treshchin--gemorekt-15-ml/103515416657?businessId=1422090&amp;clid=1422090&amp;model_id=625398393&amp;distr_type=8&amp;pp=605" TargetMode="External"/><Relationship Id="rId780" Type="http://schemas.openxmlformats.org/officeDocument/2006/relationships/hyperlink" Target="https://www.ozon.ru/product/1590267064" TargetMode="External"/><Relationship Id="rId1130" Type="http://schemas.openxmlformats.org/officeDocument/2006/relationships/hyperlink" Target="https://www.wildberries.ru/catalog/35422984/detail.aspx" TargetMode="External"/><Relationship Id="rId1131" Type="http://schemas.openxmlformats.org/officeDocument/2006/relationships/hyperlink" Target="https://www.ozon.ru/product/299140637" TargetMode="External"/><Relationship Id="rId301" Type="http://schemas.openxmlformats.org/officeDocument/2006/relationships/hyperlink" Target="https://www.wildberries.ru/catalog/263831566/detail.aspx" TargetMode="External"/><Relationship Id="rId543" Type="http://schemas.openxmlformats.org/officeDocument/2006/relationships/hyperlink" Target="https://www.ozon.ru/product/871788218" TargetMode="External"/><Relationship Id="rId785" Type="http://schemas.openxmlformats.org/officeDocument/2006/relationships/hyperlink" Target="https://goldapple.ru/catalogsearch/result?q=99000076220" TargetMode="External"/><Relationship Id="rId1132" Type="http://schemas.openxmlformats.org/officeDocument/2006/relationships/hyperlink" Target="https://www.wildberries.ru/catalog/111902604/detail.aspx" TargetMode="External"/><Relationship Id="rId300" Type="http://schemas.openxmlformats.org/officeDocument/2006/relationships/hyperlink" Target="https://drive.google.com/drive/folders/1cNjoy1Utv6NLngIyJo2_-WrCTLpq1Pbe" TargetMode="External"/><Relationship Id="rId542" Type="http://schemas.openxmlformats.org/officeDocument/2006/relationships/hyperlink" Target="https://www.wildberries.ru/catalog/145755982/detail.aspx" TargetMode="External"/><Relationship Id="rId784" Type="http://schemas.openxmlformats.org/officeDocument/2006/relationships/hyperlink" Target="https://market.yandex.ru/card/enzimnaya-pudra-dlya-umyvaniya-litsa-i-tela-alteya-80-g/103599530489?businessId=1422090&amp;generalContext=t%3DshopInShop%3Bbi%3D1422090%3B&amp;showOriginalKmEmptyOffer=1&amp;ogV=-10" TargetMode="External"/><Relationship Id="rId1133" Type="http://schemas.openxmlformats.org/officeDocument/2006/relationships/hyperlink" Target="https://www.ozon.ru/product/636852972" TargetMode="External"/><Relationship Id="rId541" Type="http://schemas.openxmlformats.org/officeDocument/2006/relationships/hyperlink" Target="https://www.ozon.ru/product/650632060" TargetMode="External"/><Relationship Id="rId783" Type="http://schemas.openxmlformats.org/officeDocument/2006/relationships/hyperlink" Target="https://www.ozon.ru/product/1745153183" TargetMode="External"/><Relationship Id="rId1134" Type="http://schemas.openxmlformats.org/officeDocument/2006/relationships/hyperlink" Target="https://market.yandex.ru/card/zhiroszhigatel-tabletki-dlya-pokhudeniya-detoks-alteya-chudo-frukt-10-tabletok/101806792616?businessId=1422090&amp;clid=1422090&amp;model_id=967593294&amp;distr_type=8&amp;pp=605" TargetMode="External"/><Relationship Id="rId540" Type="http://schemas.openxmlformats.org/officeDocument/2006/relationships/hyperlink" Target="https://www.wildberries.ru/catalog/91969281/detail.aspx" TargetMode="External"/><Relationship Id="rId782" Type="http://schemas.openxmlformats.org/officeDocument/2006/relationships/hyperlink" Target="https://www.wildberries.ru/catalog/276289241/detail.aspx" TargetMode="External"/><Relationship Id="rId1135" Type="http://schemas.openxmlformats.org/officeDocument/2006/relationships/hyperlink" Target="https://www.wildberries.ru/catalog/34283989/detail.aspx" TargetMode="External"/><Relationship Id="rId1125" Type="http://schemas.openxmlformats.org/officeDocument/2006/relationships/hyperlink" Target="https://www.wildberries.ru/catalog/17891620/detail.aspx" TargetMode="External"/><Relationship Id="rId1126" Type="http://schemas.openxmlformats.org/officeDocument/2006/relationships/hyperlink" Target="https://www.ozon.ru/product/1597150074" TargetMode="External"/><Relationship Id="rId1127" Type="http://schemas.openxmlformats.org/officeDocument/2006/relationships/hyperlink" Target="https://market.yandex.ru/card/vozbuzhdayushchaya-smazka-lubrikant-dlya-uvelicheniya-chlena-na-vodnoy-osnove-syedobnaya-alteya-getsize-30-ml/103515446251?businessId=1422090&amp;clid=1422090&amp;model_id=625474577&amp;distr_type=8&amp;pp=605" TargetMode="External"/><Relationship Id="rId1128" Type="http://schemas.openxmlformats.org/officeDocument/2006/relationships/hyperlink" Target="https://www.wildberries.ru/catalog/41349600/detail.aspx" TargetMode="External"/><Relationship Id="rId1129" Type="http://schemas.openxmlformats.org/officeDocument/2006/relationships/hyperlink" Target="https://www.ozon.ru/product/327231771" TargetMode="External"/><Relationship Id="rId536" Type="http://schemas.openxmlformats.org/officeDocument/2006/relationships/hyperlink" Target="https://www.wildberries.ru/catalog/167680833/detail.aspx" TargetMode="External"/><Relationship Id="rId778" Type="http://schemas.openxmlformats.org/officeDocument/2006/relationships/hyperlink" Target="https://market.yandex.ru/card/krem-ot-varikoza-ustalosti-i-otekov-nog-okhlazhdayushchiy-dar-drakona-30-ml/103331098181?businessId=1422090&amp;clid=1422090&amp;model_id=1256604478&amp;distr_type=8&amp;pp=605" TargetMode="External"/><Relationship Id="rId535" Type="http://schemas.openxmlformats.org/officeDocument/2006/relationships/hyperlink" Target="https://www.ozon.ru/product/1099740649" TargetMode="External"/><Relationship Id="rId777" Type="http://schemas.openxmlformats.org/officeDocument/2006/relationships/hyperlink" Target="https://www.ozon.ru/product/359068917" TargetMode="External"/><Relationship Id="rId534" Type="http://schemas.openxmlformats.org/officeDocument/2006/relationships/hyperlink" Target="https://www.wildberries.ru/catalog/167680831/detail.aspx" TargetMode="External"/><Relationship Id="rId776" Type="http://schemas.openxmlformats.org/officeDocument/2006/relationships/hyperlink" Target="https://www.wildberries.ru/catalog/40812096/detail.aspx" TargetMode="External"/><Relationship Id="rId533" Type="http://schemas.openxmlformats.org/officeDocument/2006/relationships/hyperlink" Target="https://www.ozon.ru/product/1099727360" TargetMode="External"/><Relationship Id="rId775" Type="http://schemas.openxmlformats.org/officeDocument/2006/relationships/hyperlink" Target="https://mm.ru/product/krem-dlya-volos-5876205?skuId=13121526" TargetMode="External"/><Relationship Id="rId539" Type="http://schemas.openxmlformats.org/officeDocument/2006/relationships/hyperlink" Target="https://www.ozon.ru/product/1044887692" TargetMode="External"/><Relationship Id="rId538" Type="http://schemas.openxmlformats.org/officeDocument/2006/relationships/hyperlink" Target="https://www.wildberries.ru/catalog/155928221/detail.aspx" TargetMode="External"/><Relationship Id="rId537" Type="http://schemas.openxmlformats.org/officeDocument/2006/relationships/hyperlink" Target="https://www.ozon.ru/product/1099757439" TargetMode="External"/><Relationship Id="rId779" Type="http://schemas.openxmlformats.org/officeDocument/2006/relationships/hyperlink" Target="https://www.wildberries.ru/catalog/234208976/detail.aspx" TargetMode="External"/><Relationship Id="rId770" Type="http://schemas.openxmlformats.org/officeDocument/2006/relationships/hyperlink" Target="https://market.yandex.ru/card/tabletki-ot-nederzhaniya-mochi-ot-tsistita-alteya-urofol-20-kapsul/103515424475?businessId=1422090&amp;clid=1422090&amp;model_id=859804210&amp;distr_type=8&amp;pp=605" TargetMode="External"/><Relationship Id="rId1120" Type="http://schemas.openxmlformats.org/officeDocument/2006/relationships/hyperlink" Target="https://www.ozon.ru/product/1851902167" TargetMode="External"/><Relationship Id="rId532" Type="http://schemas.openxmlformats.org/officeDocument/2006/relationships/hyperlink" Target="https://www.wildberries.ru/catalog/167680829/detail.aspx" TargetMode="External"/><Relationship Id="rId774" Type="http://schemas.openxmlformats.org/officeDocument/2006/relationships/hyperlink" Target="https://www.letu.ru/product/alteya-razglazhivayushchii-krem-dlya-volos-dlya-neposlushnyh-ili-kudryavyh-volos-dlya-konchikov/172700107?sort=default&amp;open=ingredient%7EforWhom%7EskinNeeds%7EcleanBeauty&amp;hide=expectedEffect%7EnotContain%7EhairType%7EskinTypes" TargetMode="External"/><Relationship Id="rId1121" Type="http://schemas.openxmlformats.org/officeDocument/2006/relationships/hyperlink" Target="https://market.yandex.ru/card/gel-dlya-sustavov-obezbolevayushchaya-s-glyukozamin-i-panty-marala-alteya-sinergel-30-ml-kh-2/103816798171?do-waremd5=sDKZdCExsnYqHTKTvZWqyQ&amp;businessId=1422090&amp;ogV=-10" TargetMode="External"/><Relationship Id="rId531" Type="http://schemas.openxmlformats.org/officeDocument/2006/relationships/hyperlink" Target="https://www.ozon.ru/product/1032702789" TargetMode="External"/><Relationship Id="rId773" Type="http://schemas.openxmlformats.org/officeDocument/2006/relationships/hyperlink" Target="https://market.yandex.ru/card/razglazhivayushchiy-krem-dlya-volos-praymer-konditsioner-rekonstruktor-flyuid-dlya-neposlushnykh-ili-kudryavykh-volos-dlya-konchikov-sultan-de-saba-300ml-alteya/4476306819?businessId=1422090&amp;clid=1422090&amp;model_id=1243125374&amp;distr_type=8&amp;pp=605" TargetMode="External"/><Relationship Id="rId1122" Type="http://schemas.openxmlformats.org/officeDocument/2006/relationships/hyperlink" Target="https://www.wildberries.ru/catalog/172161836/detail.aspx" TargetMode="External"/><Relationship Id="rId530" Type="http://schemas.openxmlformats.org/officeDocument/2006/relationships/hyperlink" Target="https://www.wildberries.ru/catalog/165259041/detail.aspx" TargetMode="External"/><Relationship Id="rId772" Type="http://schemas.openxmlformats.org/officeDocument/2006/relationships/hyperlink" Target="https://www.ozon.ru/product/2067962201" TargetMode="External"/><Relationship Id="rId1123" Type="http://schemas.openxmlformats.org/officeDocument/2006/relationships/hyperlink" Target="https://www.ozon.ru/product/1154565320" TargetMode="External"/><Relationship Id="rId771" Type="http://schemas.openxmlformats.org/officeDocument/2006/relationships/hyperlink" Target="https://www.wildberries.ru/catalog/399766297/detail.aspx" TargetMode="External"/><Relationship Id="rId1124" Type="http://schemas.openxmlformats.org/officeDocument/2006/relationships/hyperlink" Target="https://market.yandex.ru/card/biotrin-krem-gel-dnarprim--1/103544230414?businessId=1422090&amp;clid=1422090&amp;model_id=1103091052&amp;distr_type=8&amp;pp=605" TargetMode="External"/><Relationship Id="rId1158" Type="http://schemas.openxmlformats.org/officeDocument/2006/relationships/hyperlink" Target="https://www.wildberries.ru/catalog/302594163/detail.aspx" TargetMode="External"/><Relationship Id="rId1159" Type="http://schemas.openxmlformats.org/officeDocument/2006/relationships/hyperlink" Target="https://www.ozon.ru/product/1793172927" TargetMode="External"/><Relationship Id="rId327" Type="http://schemas.openxmlformats.org/officeDocument/2006/relationships/hyperlink" Target="https://mm.ru/product/tochechnyj-krem-ot-5898606?skuId=13170180" TargetMode="External"/><Relationship Id="rId569" Type="http://schemas.openxmlformats.org/officeDocument/2006/relationships/hyperlink" Target="https://market.yandex.ru/card/tabletki-ot-prostatita-dlya-muzhchin-zhenshen-koren-alteya-uromaks-20-kapsul/103515431798?businessId=1422090&amp;clid=1422090&amp;model_id=1286021343&amp;distr_type=8&amp;pp=605" TargetMode="External"/><Relationship Id="rId326" Type="http://schemas.openxmlformats.org/officeDocument/2006/relationships/hyperlink" Target="https://www.letu.ru/product/qeep-tochechnyi-krem-ot-pryshchei-krem-ot-akne/181200150?sort=default&amp;open=ingredient%7EcleanBeauty%7EskinNeeds%7EforWhom&amp;hide=expectedEffect%7EnotContain%7EskinTypes%7EhairType" TargetMode="External"/><Relationship Id="rId568" Type="http://schemas.openxmlformats.org/officeDocument/2006/relationships/hyperlink" Target="https://www.ozon.ru/product/1589191436" TargetMode="External"/><Relationship Id="rId325" Type="http://schemas.openxmlformats.org/officeDocument/2006/relationships/hyperlink" Target="https://www.ozon.ru/product/2589302298" TargetMode="External"/><Relationship Id="rId567" Type="http://schemas.openxmlformats.org/officeDocument/2006/relationships/hyperlink" Target="https://www.wildberries.ru/catalog/234145577/detail.aspx" TargetMode="External"/><Relationship Id="rId324" Type="http://schemas.openxmlformats.org/officeDocument/2006/relationships/hyperlink" Target="https://drive.google.com/drive/folders/164J0p_zaDeJASVIXpfp2cNcFcGA0Er2i" TargetMode="External"/><Relationship Id="rId566" Type="http://schemas.openxmlformats.org/officeDocument/2006/relationships/hyperlink" Target="https://market.yandex.ru/card/kavkazskaya-maz-naturalnoye-lechebnoye-sredstvo-dlya-sustavov-i-svyazok-obezbolivayushcheye-alteya-40ml/103515411883?businessId=1422090&amp;clid=1422090&amp;model_id=920571571&amp;distr_type=8&amp;pp=605" TargetMode="External"/><Relationship Id="rId329" Type="http://schemas.openxmlformats.org/officeDocument/2006/relationships/hyperlink" Target="https://docs.google.com/document/d/1A8Rn2xZ7XhZwg1VuFPB1LhEepVNfwIvedRrh5j_lUSE/edit?tab=t.0" TargetMode="External"/><Relationship Id="rId328" Type="http://schemas.openxmlformats.org/officeDocument/2006/relationships/hyperlink" Target="https://drive.google.com/drive/folders/1fTvdatwyFwJ5K6b6NcBwWZ7Cb6KZFtEg" TargetMode="External"/><Relationship Id="rId561" Type="http://schemas.openxmlformats.org/officeDocument/2006/relationships/hyperlink" Target="https://www.ozon.ru/product/946931550" TargetMode="External"/><Relationship Id="rId1150" Type="http://schemas.openxmlformats.org/officeDocument/2006/relationships/hyperlink" Target="https://www.ozon.ru/product/1548063119" TargetMode="External"/><Relationship Id="rId560" Type="http://schemas.openxmlformats.org/officeDocument/2006/relationships/hyperlink" Target="https://www.wildberries.ru/catalog/157011739/detail.aspx" TargetMode="External"/><Relationship Id="rId1151" Type="http://schemas.openxmlformats.org/officeDocument/2006/relationships/hyperlink" Target="https://market.yandex.ru/card/pikolinat-khroma-dlya-pokhudeniya-detoks-zhiroszhigatel-alteya-frutalika-60-kapsul/103515412410?businessId=1422090&amp;clid=1422090&amp;model_id=967593294&amp;distr_type=8&amp;pp=605" TargetMode="External"/><Relationship Id="rId1152" Type="http://schemas.openxmlformats.org/officeDocument/2006/relationships/hyperlink" Target="https://www.wildberries.ru/catalog/167208205/detail.aspx" TargetMode="External"/><Relationship Id="rId1153" Type="http://schemas.openxmlformats.org/officeDocument/2006/relationships/hyperlink" Target="https://www.ozon.ru/product/1082252130" TargetMode="External"/><Relationship Id="rId323" Type="http://schemas.openxmlformats.org/officeDocument/2006/relationships/hyperlink" Target="https://mm.ru/product/penka-dlya-ukladki-5898602?skuId=13170174" TargetMode="External"/><Relationship Id="rId565" Type="http://schemas.openxmlformats.org/officeDocument/2006/relationships/hyperlink" Target="https://www.ozon.ru/product/1527086051" TargetMode="External"/><Relationship Id="rId1154" Type="http://schemas.openxmlformats.org/officeDocument/2006/relationships/hyperlink" Target="https://market.yandex.ru/card/tabletki-dlya-pokhudeniya-zhiroszhigatel-detoks-dlya-snizheniya-vesa-alteya-chudofrukt-60-kapsul/102076571670?businessId=1422090&amp;clid=1422090&amp;model_id=967593294&amp;distr_type=8&amp;pp=605" TargetMode="External"/><Relationship Id="rId322" Type="http://schemas.openxmlformats.org/officeDocument/2006/relationships/hyperlink" Target="https://www.letu.ru/product/qeep-penka-dlya-ukladki-volos-u-kornei-ciao-bella/177400516" TargetMode="External"/><Relationship Id="rId564" Type="http://schemas.openxmlformats.org/officeDocument/2006/relationships/hyperlink" Target="https://www.wildberries.ru/catalog/222209699/detail.aspx" TargetMode="External"/><Relationship Id="rId1155" Type="http://schemas.openxmlformats.org/officeDocument/2006/relationships/hyperlink" Target="https://www.wildberries.ru/catalog/18953630/detail.aspx" TargetMode="External"/><Relationship Id="rId321" Type="http://schemas.openxmlformats.org/officeDocument/2006/relationships/hyperlink" Target="https://goldapple.ru/catalogsearch/result?q=99000115782" TargetMode="External"/><Relationship Id="rId563" Type="http://schemas.openxmlformats.org/officeDocument/2006/relationships/hyperlink" Target="https://www.ozon.ru/product/967670448" TargetMode="External"/><Relationship Id="rId1156" Type="http://schemas.openxmlformats.org/officeDocument/2006/relationships/hyperlink" Target="https://www.ozon.ru/product/290413438" TargetMode="External"/><Relationship Id="rId320" Type="http://schemas.openxmlformats.org/officeDocument/2006/relationships/hyperlink" Target="https://market.yandex.ru/card/penka-dlya-ukladki-volos-ciao-bella-qeep-150-ml/4569564653?businessId=8291477&amp;clid=8291477&amp;model_id=1324200631&amp;distr_type=8&amp;pp=605" TargetMode="External"/><Relationship Id="rId562" Type="http://schemas.openxmlformats.org/officeDocument/2006/relationships/hyperlink" Target="https://www.wildberries.ru/catalog/159980480/detail.aspx" TargetMode="External"/><Relationship Id="rId1157" Type="http://schemas.openxmlformats.org/officeDocument/2006/relationships/hyperlink" Target="https://market.yandex.ru/card/maz-ot-gribka-nogtey-i-stopy-nog-protivogribkovaya--dolgar-15-ml/103340894535?cpa=1&amp;noreask=1&amp;rt=22&amp;was_redir=1&amp;businessId=1422090&amp;_redirectCount=1" TargetMode="External"/><Relationship Id="rId1147" Type="http://schemas.openxmlformats.org/officeDocument/2006/relationships/hyperlink" Target="https://www.wildberries.ru/catalog/45641409/detail.aspx" TargetMode="External"/><Relationship Id="rId1148" Type="http://schemas.openxmlformats.org/officeDocument/2006/relationships/hyperlink" Target="https://www.ozon.ru/product/291910198" TargetMode="External"/><Relationship Id="rId1149" Type="http://schemas.openxmlformats.org/officeDocument/2006/relationships/hyperlink" Target="https://www.wildberries.ru/catalog/223763016/detail.aspx" TargetMode="External"/><Relationship Id="rId316" Type="http://schemas.openxmlformats.org/officeDocument/2006/relationships/hyperlink" Target="https://market.yandex.ru/card/krem-korrektor-tochechnyy-protiv-pryshchey-qeep-20-ml/4335655895?businessId=8291477&amp;clid=8291477&amp;model_id=1453951928&amp;distr_type=8&amp;pp=605" TargetMode="External"/><Relationship Id="rId558" Type="http://schemas.openxmlformats.org/officeDocument/2006/relationships/hyperlink" Target="https://www.wildberries.ru/catalog/167679765/detail.aspx" TargetMode="External"/><Relationship Id="rId315" Type="http://schemas.openxmlformats.org/officeDocument/2006/relationships/hyperlink" Target="https://www.ozon.ru/product/2039052035" TargetMode="External"/><Relationship Id="rId557" Type="http://schemas.openxmlformats.org/officeDocument/2006/relationships/hyperlink" Target="https://www.ozon.ru/product/825733116" TargetMode="External"/><Relationship Id="rId799" Type="http://schemas.openxmlformats.org/officeDocument/2006/relationships/hyperlink" Target="https://www.wildberries.ru/catalog/142843069/detail.aspx" TargetMode="External"/><Relationship Id="rId314" Type="http://schemas.openxmlformats.org/officeDocument/2006/relationships/hyperlink" Target="https://www.wildberries.ru/catalog/392028939/detail.aspx" TargetMode="External"/><Relationship Id="rId556" Type="http://schemas.openxmlformats.org/officeDocument/2006/relationships/hyperlink" Target="https://www.wildberries.ru/catalog/140944929/detail.aspx" TargetMode="External"/><Relationship Id="rId798" Type="http://schemas.openxmlformats.org/officeDocument/2006/relationships/hyperlink" Target="https://mm.ru/product/shampun-ot-perkhoti-5854278?skuId=13090628" TargetMode="External"/><Relationship Id="rId313" Type="http://schemas.openxmlformats.org/officeDocument/2006/relationships/hyperlink" Target="https://drive.google.com/drive/folders/1N_iV4-JIlT-rhmdRh2_8aabJ-jevy7xf" TargetMode="External"/><Relationship Id="rId555" Type="http://schemas.openxmlformats.org/officeDocument/2006/relationships/hyperlink" Target="https://www.ozon.ru/product/1315703641" TargetMode="External"/><Relationship Id="rId797" Type="http://schemas.openxmlformats.org/officeDocument/2006/relationships/hyperlink" Target="https://www.letu.ru/product/alteya-shampun-ot-perhoti-lechebnyi-s-klimbazolom/163501211?sort=default&amp;open=ingredient%7EforWhom%7EskinNeeds%7EcleanBeauty&amp;hide=expectedEffect%7EnotContain%7EhairType%7EskinTypes" TargetMode="External"/><Relationship Id="rId319" Type="http://schemas.openxmlformats.org/officeDocument/2006/relationships/hyperlink" Target="https://www.ozon.ru/product/2583231387" TargetMode="External"/><Relationship Id="rId318" Type="http://schemas.openxmlformats.org/officeDocument/2006/relationships/hyperlink" Target="https://www.wildberries.ru/catalog/484619244/detail.aspx" TargetMode="External"/><Relationship Id="rId317" Type="http://schemas.openxmlformats.org/officeDocument/2006/relationships/hyperlink" Target="https://www.letu.ru/product/qeep-tochechnyi-krem-ot-pryshchei-korrektor-tochechnyi-protiv-pryshchei-krem-ot-akne/171505556?sort=default&amp;open=ingredient%7EcleanBeauty%7EskinNeeds%7EforWhom&amp;hide=expectedEffect%7EnotContain%7EskinTypes" TargetMode="External"/><Relationship Id="rId559" Type="http://schemas.openxmlformats.org/officeDocument/2006/relationships/hyperlink" Target="https://www.ozon.ru/product/1099581672" TargetMode="External"/><Relationship Id="rId550" Type="http://schemas.openxmlformats.org/officeDocument/2006/relationships/hyperlink" Target="https://www.wildberries.ru/catalog/148386282/detail.aspx" TargetMode="External"/><Relationship Id="rId792" Type="http://schemas.openxmlformats.org/officeDocument/2006/relationships/hyperlink" Target="https://market.yandex.ru/card/indol-3-karbinol-vitaminy-dlya-zhenshchin-ot-mastopatii-alteya-60-kapsul/103729785170?businessId=1422090&amp;clid=1422090&amp;model_id=1352508276&amp;distr_type=8&amp;pp=605" TargetMode="External"/><Relationship Id="rId791" Type="http://schemas.openxmlformats.org/officeDocument/2006/relationships/hyperlink" Target="https://www.ozon.ru/product/1752021365" TargetMode="External"/><Relationship Id="rId1140" Type="http://schemas.openxmlformats.org/officeDocument/2006/relationships/hyperlink" Target="https://market.yandex.ru/card/pishchevaya-dobavka-sredstvo-ot-papillom-i-borodavok-udaleniye-papiderm/101436838678?businessId=1422090&amp;clid=1422090&amp;model_id=1429807841&amp;distr_type=8&amp;pp=605" TargetMode="External"/><Relationship Id="rId790" Type="http://schemas.openxmlformats.org/officeDocument/2006/relationships/hyperlink" Target="https://www.wildberries.ru/catalog/280062078/detail.aspx" TargetMode="External"/><Relationship Id="rId1141" Type="http://schemas.openxmlformats.org/officeDocument/2006/relationships/hyperlink" Target="https://www.wildberries.ru/catalog/17902935/detail.aspx" TargetMode="External"/><Relationship Id="rId1142" Type="http://schemas.openxmlformats.org/officeDocument/2006/relationships/hyperlink" Target="https://www.ozon.ru/product/295356614" TargetMode="External"/><Relationship Id="rId312" Type="http://schemas.openxmlformats.org/officeDocument/2006/relationships/hyperlink" Target="https://www.letu.ru/product/qeep-tonik-dlya-litsa-ot-pryshchei-i-chernyh-tochek-ochishchayushchii/175700156?sort=default&amp;open=ingredient%7EcleanBeauty%7EskinNeeds&amp;hide=expectedEffect%7EnotContain%7EskinTypes" TargetMode="External"/><Relationship Id="rId554" Type="http://schemas.openxmlformats.org/officeDocument/2006/relationships/hyperlink" Target="https://www.wildberries.ru/catalog/191073458/detail.aspx" TargetMode="External"/><Relationship Id="rId796" Type="http://schemas.openxmlformats.org/officeDocument/2006/relationships/hyperlink" Target="https://goldapple.ru/catalogsearch/result?q=99000076206" TargetMode="External"/><Relationship Id="rId1143" Type="http://schemas.openxmlformats.org/officeDocument/2006/relationships/hyperlink" Target="https://market.yandex.ru/card/vozbuditel-dlya-muzhchin-silnyy-dlya-potentsii-i-erektsii-18vozbuditel-dlya-muzhchin-silnyy-dlya-potentsii-i-erektsii-18--neomax-blue-neomaksblu/103515619478?businessId=1422090&amp;showOriginalKmEmptyOffer=1&amp;ogV=-10" TargetMode="External"/><Relationship Id="rId311" Type="http://schemas.openxmlformats.org/officeDocument/2006/relationships/hyperlink" Target="https://market.yandex.ru/card/tonik-dlya-litsa-ot-pryshchey-i-chernykh-tochek-ochishchayushchiy-qeep-200-ml/4476364348?businessId=8291477&amp;clid=8291477&amp;model_id=1243169397&amp;distr_type=8&amp;pp=605" TargetMode="External"/><Relationship Id="rId553" Type="http://schemas.openxmlformats.org/officeDocument/2006/relationships/hyperlink" Target="https://www.ozon.ru/product/889954527" TargetMode="External"/><Relationship Id="rId795" Type="http://schemas.openxmlformats.org/officeDocument/2006/relationships/hyperlink" Target="https://market.yandex.ru/card/shampun-ot-perkhoti-lechebnyy-s-klimbazolom-alteya-250ml/103515586486?businessId=1422090&amp;clid=1422090&amp;model_id=845619223&amp;distr_type=8&amp;pp=605" TargetMode="External"/><Relationship Id="rId1144" Type="http://schemas.openxmlformats.org/officeDocument/2006/relationships/hyperlink" Target="https://www.wildberries.ru/catalog/223155748/detail.aspx" TargetMode="External"/><Relationship Id="rId310" Type="http://schemas.openxmlformats.org/officeDocument/2006/relationships/hyperlink" Target="https://www.ozon.ru/product/2142858345" TargetMode="External"/><Relationship Id="rId552" Type="http://schemas.openxmlformats.org/officeDocument/2006/relationships/hyperlink" Target="https://www.wildberries.ru/catalog/150847785/detail.aspx" TargetMode="External"/><Relationship Id="rId794" Type="http://schemas.openxmlformats.org/officeDocument/2006/relationships/hyperlink" Target="https://www.ozon.ru/product/1440687097" TargetMode="External"/><Relationship Id="rId1145" Type="http://schemas.openxmlformats.org/officeDocument/2006/relationships/hyperlink" Target="https://www.ozon.ru/product/1541839778" TargetMode="External"/><Relationship Id="rId551" Type="http://schemas.openxmlformats.org/officeDocument/2006/relationships/hyperlink" Target="https://www.ozon.ru/product/871806460" TargetMode="External"/><Relationship Id="rId793" Type="http://schemas.openxmlformats.org/officeDocument/2006/relationships/hyperlink" Target="https://www.wildberries.ru/catalog/208745988/detail.aspx" TargetMode="External"/><Relationship Id="rId1146" Type="http://schemas.openxmlformats.org/officeDocument/2006/relationships/hyperlink" Target="https://market.yandex.ru/card/sredstvo-ot-prostatita-dlya-potentsii-urolgan/103515423988?businessId=1422090&amp;clid=1422090&amp;model_id=696711021&amp;distr_type=8&amp;pp=605" TargetMode="External"/><Relationship Id="rId297" Type="http://schemas.openxmlformats.org/officeDocument/2006/relationships/hyperlink" Target="https://www.wildberries.ru/catalog/263835222/detail.aspx" TargetMode="External"/><Relationship Id="rId296" Type="http://schemas.openxmlformats.org/officeDocument/2006/relationships/hyperlink" Target="https://market.yandex.ru/card/sukhoy-korm-dlya-sterilizovannykh-koshek-i-kastrirovannykh-kotov-harly-cat-premium-s-indeykoy-i-vitaminami-2-kg/103396954723?businessId=8291477&amp;clid=8291477&amp;model_id=1512218114&amp;distr_type=8&amp;pp=605" TargetMode="External"/><Relationship Id="rId295" Type="http://schemas.openxmlformats.org/officeDocument/2006/relationships/hyperlink" Target="https://www.ozon.ru/product/1591515871" TargetMode="External"/><Relationship Id="rId294" Type="http://schemas.openxmlformats.org/officeDocument/2006/relationships/hyperlink" Target="https://www.wildberries.ru/catalog/233815804/detail.aspx" TargetMode="External"/><Relationship Id="rId299" Type="http://schemas.openxmlformats.org/officeDocument/2006/relationships/hyperlink" Target="https://market.yandex.ru/card/korm-dlya-sobak-melkikh-porod-sukhoy-yagnenok-harly-2-kg/103536211764?businessId=8291477&amp;clid=8291477&amp;model_id=684105335&amp;distr_type=8&amp;pp=605" TargetMode="External"/><Relationship Id="rId298" Type="http://schemas.openxmlformats.org/officeDocument/2006/relationships/hyperlink" Target="https://www.ozon.ru/product/1703901908" TargetMode="External"/><Relationship Id="rId271" Type="http://schemas.openxmlformats.org/officeDocument/2006/relationships/hyperlink" Target="https://www.wildberries.ru/catalog/228329661/detail.aspx" TargetMode="External"/><Relationship Id="rId270" Type="http://schemas.openxmlformats.org/officeDocument/2006/relationships/hyperlink" Target="https://market.yandex.ru/card/kollagen-zhidkiy-govyazhiy-5000-mg-qeep-yabloko-14-shotov-po-25-ml/103397906852?businessId=8291477&amp;showOriginalKmEmptyOffer=1&amp;ogV=-10" TargetMode="External"/><Relationship Id="rId269" Type="http://schemas.openxmlformats.org/officeDocument/2006/relationships/hyperlink" Target="https://www.ozon.ru/product/1563742020" TargetMode="External"/><Relationship Id="rId264" Type="http://schemas.openxmlformats.org/officeDocument/2006/relationships/hyperlink" Target="https://www.wildberries.ru/catalog/385728241/detail.aspx" TargetMode="External"/><Relationship Id="rId263" Type="http://schemas.openxmlformats.org/officeDocument/2006/relationships/hyperlink" Target="https://drive.google.com/drive/folders/1aiTWi4fH9Tu-9saz_vCQ_noHCVaBPg3B" TargetMode="External"/><Relationship Id="rId262" Type="http://schemas.openxmlformats.org/officeDocument/2006/relationships/hyperlink" Target="https://market.yandex.ru/card/ushnyye-kapli-dlya-chistki-ushey-sobak-i-koshek-harly/103397002660?businessId=8291477&amp;clid=8291477&amp;model_id=973176873&amp;distr_type=8&amp;pp=605" TargetMode="External"/><Relationship Id="rId261" Type="http://schemas.openxmlformats.org/officeDocument/2006/relationships/hyperlink" Target="https://www.ozon.ru/product/1580754644" TargetMode="External"/><Relationship Id="rId268" Type="http://schemas.openxmlformats.org/officeDocument/2006/relationships/hyperlink" Target="https://www.wildberries.ru/catalog/228329542/detail.aspx" TargetMode="External"/><Relationship Id="rId267" Type="http://schemas.openxmlformats.org/officeDocument/2006/relationships/hyperlink" Target="https://drive.google.com/drive/folders/1RduJO02y0QEdXb8BjVojXxZmne38XFVi" TargetMode="External"/><Relationship Id="rId266" Type="http://schemas.openxmlformats.org/officeDocument/2006/relationships/hyperlink" Target="https://market.yandex.ru/card/loson-dlya-glaz-sobak-i-koshek-ochishchayushchiy-harly-100-ml/4335656072?businessId=8291477&amp;clid=8291477&amp;model_id=973176873&amp;distr_type=8&amp;pp=605" TargetMode="External"/><Relationship Id="rId265" Type="http://schemas.openxmlformats.org/officeDocument/2006/relationships/hyperlink" Target="https://www.ozon.ru/product/2022703709" TargetMode="External"/><Relationship Id="rId260" Type="http://schemas.openxmlformats.org/officeDocument/2006/relationships/hyperlink" Target="https://www.wildberries.ru/catalog/232451654/detail.aspx" TargetMode="External"/><Relationship Id="rId259" Type="http://schemas.openxmlformats.org/officeDocument/2006/relationships/hyperlink" Target="https://drive.google.com/drive/folders/1_ynF5VJKS5hkP0AnYAzDsSbtn4cLVINv" TargetMode="External"/><Relationship Id="rId258" Type="http://schemas.openxmlformats.org/officeDocument/2006/relationships/hyperlink" Target="https://market.yandex.ru/card/vitamin-a-10000-me-qeep-90-kapsul/103398256607?businessId=8291477&amp;clid=8291477&amp;model_id=838753782&amp;distr_type=8&amp;pp=605" TargetMode="External"/><Relationship Id="rId253" Type="http://schemas.openxmlformats.org/officeDocument/2006/relationships/hyperlink" Target="https://www.wildberries.ru/catalog/91969213/detail.aspx" TargetMode="External"/><Relationship Id="rId495" Type="http://schemas.openxmlformats.org/officeDocument/2006/relationships/hyperlink" Target="https://www.ozon.ru/product/1082288574" TargetMode="External"/><Relationship Id="rId252" Type="http://schemas.openxmlformats.org/officeDocument/2006/relationships/hyperlink" Target="https://drive.google.com/drive/folders/1uNAsNA4oVTOq2LtvWwLXiSjLMH4BX0SI" TargetMode="External"/><Relationship Id="rId494" Type="http://schemas.openxmlformats.org/officeDocument/2006/relationships/hyperlink" Target="https://www.wildberries.ru/catalog/168867550/detail.aspx" TargetMode="External"/><Relationship Id="rId251" Type="http://schemas.openxmlformats.org/officeDocument/2006/relationships/hyperlink" Target="https://market.yandex.ru/card/vitamin-d3-2000-me-120-kapsul/103374785697?businessId=8291477&amp;clid=8291477&amp;model_id=1826260757&amp;distr_type=8&amp;pp=605" TargetMode="External"/><Relationship Id="rId493" Type="http://schemas.openxmlformats.org/officeDocument/2006/relationships/hyperlink" Target="https://www.ozon.ru/product/1092025113" TargetMode="External"/><Relationship Id="rId250" Type="http://schemas.openxmlformats.org/officeDocument/2006/relationships/hyperlink" Target="https://www.ozon.ru/product/1342066127" TargetMode="External"/><Relationship Id="rId492" Type="http://schemas.openxmlformats.org/officeDocument/2006/relationships/hyperlink" Target="https://www.wildberries.ru/catalog/170004552/detail.aspx" TargetMode="External"/><Relationship Id="rId257" Type="http://schemas.openxmlformats.org/officeDocument/2006/relationships/hyperlink" Target="https://www.ozon.ru/product/1539152458" TargetMode="External"/><Relationship Id="rId499" Type="http://schemas.openxmlformats.org/officeDocument/2006/relationships/hyperlink" Target="https://www.ozon.ru/product/1773844375" TargetMode="External"/><Relationship Id="rId256" Type="http://schemas.openxmlformats.org/officeDocument/2006/relationships/hyperlink" Target="https://www.wildberries.ru/catalog/221232387/detail.aspx" TargetMode="External"/><Relationship Id="rId498" Type="http://schemas.openxmlformats.org/officeDocument/2006/relationships/hyperlink" Target="https://www.wildberries.ru/catalog/293061661/detail.aspx" TargetMode="External"/><Relationship Id="rId255" Type="http://schemas.openxmlformats.org/officeDocument/2006/relationships/hyperlink" Target="https://market.yandex.ru/card/kurkumin-130-mg-qeep-60-kapsul/102210720237?businessId=8291477&amp;clid=8291477&amp;model_id=1826260757&amp;distr_type=8&amp;pp=605" TargetMode="External"/><Relationship Id="rId497" Type="http://schemas.openxmlformats.org/officeDocument/2006/relationships/hyperlink" Target="https://www.ozon.ru/product/751282312" TargetMode="External"/><Relationship Id="rId254" Type="http://schemas.openxmlformats.org/officeDocument/2006/relationships/hyperlink" Target="https://www.ozon.ru/product/650726667" TargetMode="External"/><Relationship Id="rId496" Type="http://schemas.openxmlformats.org/officeDocument/2006/relationships/hyperlink" Target="https://www.wildberries.ru/catalog/123030751/detail.aspx" TargetMode="External"/><Relationship Id="rId293" Type="http://schemas.openxmlformats.org/officeDocument/2006/relationships/hyperlink" Target="https://drive.google.com/drive/folders/1xjKGrJ3DM-_XaFohRIPrDbFXq1i-mW-F" TargetMode="External"/><Relationship Id="rId292" Type="http://schemas.openxmlformats.org/officeDocument/2006/relationships/hyperlink" Target="https://market.yandex.ru/card/sukhoy-korm-dlya-sterilizovannykh-koshek-i-kastrirovannykh-kotov-harly-cat-premium-s-telyatinoy-i-vitaminami-2-kg/103396954722?businessId=8291477&amp;showOriginalKmEmptyOffer=1&amp;ogV=-10" TargetMode="External"/><Relationship Id="rId291" Type="http://schemas.openxmlformats.org/officeDocument/2006/relationships/hyperlink" Target="https://www.ozon.ru/product/1596646080" TargetMode="External"/><Relationship Id="rId290" Type="http://schemas.openxmlformats.org/officeDocument/2006/relationships/hyperlink" Target="https://www.wildberries.ru/catalog/233855851/detail.aspx" TargetMode="External"/><Relationship Id="rId286" Type="http://schemas.openxmlformats.org/officeDocument/2006/relationships/hyperlink" Target="https://www.wildberries.ru/catalog/131852032/detail.aspx" TargetMode="External"/><Relationship Id="rId285" Type="http://schemas.openxmlformats.org/officeDocument/2006/relationships/hyperlink" Target="https://market.yandex.ru/card/kollagen-peptidnyy-poroshok-dlya-sustavov-i-svyazok-so-vkusom-limona-5500-mg-qeep-30-portsiy/101841345736?businessId=8291477&amp;clid=8291477&amp;model_id=1111517446&amp;distr_type=8&amp;pp=605" TargetMode="External"/><Relationship Id="rId284" Type="http://schemas.openxmlformats.org/officeDocument/2006/relationships/hyperlink" Target="https://www.ozon.ru/product/772327930" TargetMode="External"/><Relationship Id="rId283" Type="http://schemas.openxmlformats.org/officeDocument/2006/relationships/hyperlink" Target="https://www.wildberries.ru/catalog/131852033/detail.aspx" TargetMode="External"/><Relationship Id="rId289" Type="http://schemas.openxmlformats.org/officeDocument/2006/relationships/hyperlink" Target="https://drive.google.com/drive/folders/1cT0FX1mgChHvXfSI56eS9VjnbnH47GC5" TargetMode="External"/><Relationship Id="rId288" Type="http://schemas.openxmlformats.org/officeDocument/2006/relationships/hyperlink" Target="https://market.yandex.ru/card/kollagen-peptidnyy-poroshok-dlya-sustavov-i-svyazok-so-vkusom-mango-5500-mg-qeep-30-portsiy/101841345737?businessId=8291477&amp;clid=8291477&amp;model_id=1111517446&amp;distr_type=8&amp;pp=605" TargetMode="External"/><Relationship Id="rId287" Type="http://schemas.openxmlformats.org/officeDocument/2006/relationships/hyperlink" Target="https://www.ozon.ru/product/771659759" TargetMode="External"/><Relationship Id="rId282" Type="http://schemas.openxmlformats.org/officeDocument/2006/relationships/hyperlink" Target="https://market.yandex.ru/card/kollagen-peptidnyy-poroshok-dlya-sustavov-i-svyazok-5500-mg-qeep-30-portsiy/101841345735?businessId=8291477&amp;clid=8291477&amp;model_id=1111517446&amp;distr_type=8&amp;pp=605" TargetMode="External"/><Relationship Id="rId281" Type="http://schemas.openxmlformats.org/officeDocument/2006/relationships/hyperlink" Target="https://www.ozon.ru/product/772327923" TargetMode="External"/><Relationship Id="rId280" Type="http://schemas.openxmlformats.org/officeDocument/2006/relationships/hyperlink" Target="https://www.wildberries.ru/catalog/131852035/detail.aspx" TargetMode="External"/><Relationship Id="rId275" Type="http://schemas.openxmlformats.org/officeDocument/2006/relationships/hyperlink" Target="https://www.ozon.ru/product/616963626" TargetMode="External"/><Relationship Id="rId274" Type="http://schemas.openxmlformats.org/officeDocument/2006/relationships/hyperlink" Target="https://www.wildberries.ru/catalog/90476399/detail.aspx" TargetMode="External"/><Relationship Id="rId273" Type="http://schemas.openxmlformats.org/officeDocument/2006/relationships/hyperlink" Target="https://market.yandex.ru/card/kollagen-zhidkiy-govyazhiy-5000-mg-qeep-apelsin-14-shotov-po-25-ml/103397906851?businessId=8291477&amp;showOriginalKmEmptyOffer=1&amp;ogV=-10" TargetMode="External"/><Relationship Id="rId272" Type="http://schemas.openxmlformats.org/officeDocument/2006/relationships/hyperlink" Target="https://www.ozon.ru/product/1563742059" TargetMode="External"/><Relationship Id="rId279" Type="http://schemas.openxmlformats.org/officeDocument/2006/relationships/hyperlink" Target="https://market.yandex.ru/card/kollagen-zhidkiy-govyazhiy-5000-mg-qeep-malina-14-shotov-po-25-ml/103397906850?businessId=8291477&amp;showOriginalKmEmptyOffer=1&amp;ogV=-10" TargetMode="External"/><Relationship Id="rId278" Type="http://schemas.openxmlformats.org/officeDocument/2006/relationships/hyperlink" Target="https://www.ozon.ru/product/1563742150" TargetMode="External"/><Relationship Id="rId277" Type="http://schemas.openxmlformats.org/officeDocument/2006/relationships/hyperlink" Target="https://www.wildberries.ru/catalog/228329662/detail.aspx" TargetMode="External"/><Relationship Id="rId276" Type="http://schemas.openxmlformats.org/officeDocument/2006/relationships/hyperlink" Target="https://market.yandex.ru/card/kollagen-i-i-iii-tipa-s-vitaminom-s-i-gialuronovoy-kislotoy-qeep-60-kapsul/101824298337?businessId=8291477&amp;clid=8291477&amp;model_id=1111517446&amp;distr_type=8&amp;pp=605" TargetMode="External"/><Relationship Id="rId907" Type="http://schemas.openxmlformats.org/officeDocument/2006/relationships/hyperlink" Target="https://www.ozon.ru/product/563811764" TargetMode="External"/><Relationship Id="rId906" Type="http://schemas.openxmlformats.org/officeDocument/2006/relationships/hyperlink" Target="https://www.wildberries.ru/catalog/75182069/detail.aspx" TargetMode="External"/><Relationship Id="rId905" Type="http://schemas.openxmlformats.org/officeDocument/2006/relationships/hyperlink" Target="https://goldapple.ru/catalogsearch/result?q=99000114725" TargetMode="External"/><Relationship Id="rId904" Type="http://schemas.openxmlformats.org/officeDocument/2006/relationships/hyperlink" Target="https://market.yandex.ru/card/gel-dlya-brovey-s-kollagenom-i-elastinom-fiksatsiya-na-24-chasa-alteya-5-ml/103816798640?businessId=1422090&amp;clid=1422090&amp;model_id=1352604652&amp;distr_type=8&amp;pp=605" TargetMode="External"/><Relationship Id="rId909" Type="http://schemas.openxmlformats.org/officeDocument/2006/relationships/hyperlink" Target="https://www.wildberries.ru/catalog/176855721/detail.aspx" TargetMode="External"/><Relationship Id="rId908" Type="http://schemas.openxmlformats.org/officeDocument/2006/relationships/hyperlink" Target="https://market.yandex.ru/card/maz-ot-gribka-nogtey-i-stopy-nog-protivogribkovaya-daoshen-krem-gel-ot-gribka-nogtey--15-ml/103340884471?do-waremd5=wkpUMyBkUUP55s4GzsIcdQ&amp;businessId=1422090&amp;generalContext=t%3DshopInShop%3Bbi%3D1422090%3B&amp;ogV=-10" TargetMode="External"/><Relationship Id="rId903" Type="http://schemas.openxmlformats.org/officeDocument/2006/relationships/hyperlink" Target="https://www.ozon.ru/product/1917265136" TargetMode="External"/><Relationship Id="rId902" Type="http://schemas.openxmlformats.org/officeDocument/2006/relationships/hyperlink" Target="https://www.wildberries.ru/catalog/348575805/detail.aspx" TargetMode="External"/><Relationship Id="rId901" Type="http://schemas.openxmlformats.org/officeDocument/2006/relationships/hyperlink" Target="https://mm.ru/product/piling-dlya-kozhi-5854281?skuId=13090653" TargetMode="External"/><Relationship Id="rId900" Type="http://schemas.openxmlformats.org/officeDocument/2006/relationships/hyperlink" Target="https://www.letu.ru/product/alteya-skrab-dlya-kozhi-golovy-professionalnyi-skrab-ot-perhoti/163501206?sort=default&amp;open=ingredient%7EforWhom%7EskinNeeds%7EcleanBeauty&amp;hide=expectedEffect%7EnotContain%7EhairType%7EskinTypes" TargetMode="External"/><Relationship Id="rId929" Type="http://schemas.openxmlformats.org/officeDocument/2006/relationships/hyperlink" Target="https://market.yandex.ru/card/krem-ot-pryshchey-korrektor-tochechnyy-protiv-pryshchey-alteya-20-ml/4334380449?businessId=1422090&amp;generalContext=t%3DshopInShop%3Bbi%3D1422090%3B&amp;showOriginalKmEmptyOffer=1&amp;ogV=-10" TargetMode="External"/><Relationship Id="rId928" Type="http://schemas.openxmlformats.org/officeDocument/2006/relationships/hyperlink" Target="https://www.ozon.ru/product/2015557258" TargetMode="External"/><Relationship Id="rId927" Type="http://schemas.openxmlformats.org/officeDocument/2006/relationships/hyperlink" Target="https://www.wildberries.ru/catalog/381392982/detail.aspx" TargetMode="External"/><Relationship Id="rId926" Type="http://schemas.openxmlformats.org/officeDocument/2006/relationships/hyperlink" Target="https://www.letu.ru/product/alteya-syvorotka-s-vitaminom-s-gialuronovaya-kislota/163501103?sort=default&amp;open=ingredient%7EforWhom%7EskinNeeds%7EcleanBeauty&amp;hide=expectedEffect%7EnotContain%7EhairType%7EskinTypes" TargetMode="External"/><Relationship Id="rId921" Type="http://schemas.openxmlformats.org/officeDocument/2006/relationships/hyperlink" Target="https://www.letu.ru/product/alteya-gel-dlya-dusha-muzhskoi-parfyumirovannyi/170000349" TargetMode="External"/><Relationship Id="rId920" Type="http://schemas.openxmlformats.org/officeDocument/2006/relationships/hyperlink" Target="https://goldapple.ru/catalogsearch/result?q=99000081275" TargetMode="External"/><Relationship Id="rId925" Type="http://schemas.openxmlformats.org/officeDocument/2006/relationships/hyperlink" Target="https://goldapple.ru/catalogsearch/result?q=99000076209" TargetMode="External"/><Relationship Id="rId924" Type="http://schemas.openxmlformats.org/officeDocument/2006/relationships/hyperlink" Target="https://market.yandex.ru/card/syvorotka-dlya-litsa-uvlazhnyayushchaya-gialuronovaya-alteya-30-ml/103599535128?businessId=1422090&amp;clid=1422090&amp;model_id=825803004&amp;distr_type=8&amp;pp=605" TargetMode="External"/><Relationship Id="rId923" Type="http://schemas.openxmlformats.org/officeDocument/2006/relationships/hyperlink" Target="https://www.ozon.ru/product/1745303363" TargetMode="External"/><Relationship Id="rId922" Type="http://schemas.openxmlformats.org/officeDocument/2006/relationships/hyperlink" Target="https://www.wildberries.ru/catalog/276474398/detail.aspx" TargetMode="External"/><Relationship Id="rId918" Type="http://schemas.openxmlformats.org/officeDocument/2006/relationships/hyperlink" Target="https://www.ozon.ru/product/1847971373" TargetMode="External"/><Relationship Id="rId917" Type="http://schemas.openxmlformats.org/officeDocument/2006/relationships/hyperlink" Target="https://www.wildberries.ru/catalog/319397405/detail.aspx" TargetMode="External"/><Relationship Id="rId916" Type="http://schemas.openxmlformats.org/officeDocument/2006/relationships/hyperlink" Target="https://www.letu.ru/product/alteya-maslo-dlya-volos-parfyumirovannoe-syvorotka-dlya-volos-tom-ford-lost-cherry/163501100" TargetMode="External"/><Relationship Id="rId915" Type="http://schemas.openxmlformats.org/officeDocument/2006/relationships/hyperlink" Target="https://goldapple.ru/catalogsearch/result?q=99000076212" TargetMode="External"/><Relationship Id="rId919" Type="http://schemas.openxmlformats.org/officeDocument/2006/relationships/hyperlink" Target="https://market.yandex.ru/card/gel-dlya-dusha-muzhskoy-parfyumirovannyy-alteya-1000-ml/103744710984?businessId=1422090&amp;generalContext=t%3DshopInShop%3Bbi%3D1422090%3B&amp;showOriginalKmEmptyOffer=1&amp;ogV=-10" TargetMode="External"/><Relationship Id="rId910" Type="http://schemas.openxmlformats.org/officeDocument/2006/relationships/hyperlink" Target="https://www.ozon.ru/product/1188041492" TargetMode="External"/><Relationship Id="rId914" Type="http://schemas.openxmlformats.org/officeDocument/2006/relationships/hyperlink" Target="https://market.yandex.ru/card/maslo-dlya-volos-parfyumirovannoye-syvorotka-dlya-volos-tom-ford-lost-cherry-alteya-110-ml/103515586622?businessId=1422090&amp;generalContext=t%3DshopInShop%3Bbi%3D1422090%3B&amp;showOriginalKmEmptyOffer=1&amp;ogV=-10" TargetMode="External"/><Relationship Id="rId913" Type="http://schemas.openxmlformats.org/officeDocument/2006/relationships/hyperlink" Target="https://www.ozon.ru/product/1583009752" TargetMode="External"/><Relationship Id="rId912" Type="http://schemas.openxmlformats.org/officeDocument/2006/relationships/hyperlink" Target="https://www.wildberries.ru/catalog/233125715/detail.aspx" TargetMode="External"/><Relationship Id="rId911" Type="http://schemas.openxmlformats.org/officeDocument/2006/relationships/hyperlink" Target="https://market.yandex.ru/card/sanatsin-antiparazitarnyy-kompleks-ot-parazitov-i-ot-glistov-kapsuly-ot-glistov-protiv-parazitov--20-kapsul2/103515424470?businessId=1422090&amp;clid=1422090&amp;model_id=1215621363&amp;distr_type=8&amp;pp=605" TargetMode="External"/><Relationship Id="rId1213" Type="http://schemas.openxmlformats.org/officeDocument/2006/relationships/hyperlink" Target="https://www.wildberries.ru/catalog/172647498/detail.aspx" TargetMode="External"/><Relationship Id="rId1214" Type="http://schemas.openxmlformats.org/officeDocument/2006/relationships/hyperlink" Target="https://www.wildberries.ru/catalog/172647794/detail.aspx" TargetMode="External"/><Relationship Id="rId1215" Type="http://schemas.openxmlformats.org/officeDocument/2006/relationships/hyperlink" Target="https://www.wildberries.ru/catalog/172648280/detail.aspx" TargetMode="External"/><Relationship Id="rId1216" Type="http://schemas.openxmlformats.org/officeDocument/2006/relationships/hyperlink" Target="https://www.wildberries.ru/catalog/172648470/detail.aspx" TargetMode="External"/><Relationship Id="rId1217" Type="http://schemas.openxmlformats.org/officeDocument/2006/relationships/hyperlink" Target="https://www.wildberries.ru/catalog/174090982/detail.aspx" TargetMode="External"/><Relationship Id="rId1218" Type="http://schemas.openxmlformats.org/officeDocument/2006/relationships/hyperlink" Target="https://www.wildberries.ru/catalog/567074424/detail.aspx" TargetMode="External"/><Relationship Id="rId1219" Type="http://schemas.openxmlformats.org/officeDocument/2006/relationships/hyperlink" Target="https://market.yandex.ru/card/krem-maz-dlya-sustavov-i-svyazok-biotrin-obezbolivayushchiy-30-ml/103340891723?businessId=1422090&amp;clid=1422090&amp;model_id=49499284&amp;distr_type=8&amp;pp=605" TargetMode="External"/><Relationship Id="rId629" Type="http://schemas.openxmlformats.org/officeDocument/2006/relationships/hyperlink" Target="https://www.ozon.ru/product/2830096367" TargetMode="External"/><Relationship Id="rId624" Type="http://schemas.openxmlformats.org/officeDocument/2006/relationships/hyperlink" Target="https://mm.ru/product/sprej-dlya-volos-5876463?skuId=13125340" TargetMode="External"/><Relationship Id="rId866" Type="http://schemas.openxmlformats.org/officeDocument/2006/relationships/hyperlink" Target="https://www.letu.ru/product/alteya-lamellyarnyi-krem-dlya-ruk-s-mochevinoi-uvlazhnyayushchii-i-pitatelnyi-s-maslom-kokosa/163501122?sort=default&amp;open=ingredient%7EforWhom%7EskinNeeds%7EcleanBeauty&amp;hide=expectedEffect%7EnotContain%7EhairType%7EskinTypes" TargetMode="External"/><Relationship Id="rId623" Type="http://schemas.openxmlformats.org/officeDocument/2006/relationships/hyperlink" Target="https://www.letu.ru/product/alteya-sprei-dlya-rosta-i-ot-vypadeniya-volos/178102010?sort=default&amp;open=cleanBeauty%7Eingredient%7EskinNeeds&amp;hide=expectedEffect%7EnotContain%7EskinTypes%7EhairType" TargetMode="External"/><Relationship Id="rId865" Type="http://schemas.openxmlformats.org/officeDocument/2006/relationships/hyperlink" Target="https://goldapple.ru/catalogsearch/result?q=99000114729" TargetMode="External"/><Relationship Id="rId622" Type="http://schemas.openxmlformats.org/officeDocument/2006/relationships/hyperlink" Target="https://goldapple.ru/catalogsearch/result?q=99000114724" TargetMode="External"/><Relationship Id="rId864" Type="http://schemas.openxmlformats.org/officeDocument/2006/relationships/hyperlink" Target="https://market.yandex.ru/card/lamellyarnyy-krem-dlya-ruk-s-mochevinoy-uvlazhnyayushchiy-i-pitatelnyy-s-maslom-kokosa-alteya-75-ml/103515429828?do-waremd5=Tila_wUz49J2UwdjYPBvgA&amp;businessId=1422090&amp;generalContext=t%3DshopInShop%3Bbi%3D1422090%3B&amp;ogV=-10" TargetMode="External"/><Relationship Id="rId621" Type="http://schemas.openxmlformats.org/officeDocument/2006/relationships/hyperlink" Target="https://market.yandex.ru/card/sprey-dlya-rosta-i-ot-vypadeniya-volos-alteya-100-ml/4476422826?businessId=1422090&amp;clid=1422090&amp;model_id=625585245&amp;distr_type=8&amp;pp=605" TargetMode="External"/><Relationship Id="rId863" Type="http://schemas.openxmlformats.org/officeDocument/2006/relationships/hyperlink" Target="https://www.ozon.ru/product/1413555098" TargetMode="External"/><Relationship Id="rId628" Type="http://schemas.openxmlformats.org/officeDocument/2006/relationships/hyperlink" Target="https://www.wildberries.ru/catalog/526620725/detail.aspx" TargetMode="External"/><Relationship Id="rId627" Type="http://schemas.openxmlformats.org/officeDocument/2006/relationships/hyperlink" Target="https://market.yandex.ru/card/kavkazskaya-maz-naturalnoye-lechebnoye-sredstvo-dlya-sustavov-i-svyazok-obezbolivayushcheye-alteya-40--40-ml/103701539078?businessId=1422090&amp;clid=1422090&amp;model_id=997149439&amp;distr_type=8&amp;pp=605" TargetMode="External"/><Relationship Id="rId869" Type="http://schemas.openxmlformats.org/officeDocument/2006/relationships/hyperlink" Target="https://www.ozon.ru/product/289049035" TargetMode="External"/><Relationship Id="rId626" Type="http://schemas.openxmlformats.org/officeDocument/2006/relationships/hyperlink" Target="https://www.ozon.ru/product/1792793774" TargetMode="External"/><Relationship Id="rId868" Type="http://schemas.openxmlformats.org/officeDocument/2006/relationships/hyperlink" Target="https://www.wildberries.ru/catalog/17905393/detail.aspx" TargetMode="External"/><Relationship Id="rId625" Type="http://schemas.openxmlformats.org/officeDocument/2006/relationships/hyperlink" Target="https://www.wildberries.ru/catalog/304495569/detail.aspx" TargetMode="External"/><Relationship Id="rId867" Type="http://schemas.openxmlformats.org/officeDocument/2006/relationships/hyperlink" Target="https://mm.ru/product/lamellyarnyj-krem-dlya-5854268?skuId=13090622" TargetMode="External"/><Relationship Id="rId620" Type="http://schemas.openxmlformats.org/officeDocument/2006/relationships/hyperlink" Target="https://www.ozon.ru/product/2138241943" TargetMode="External"/><Relationship Id="rId862" Type="http://schemas.openxmlformats.org/officeDocument/2006/relationships/hyperlink" Target="https://www.wildberries.ru/catalog/205072071/detail.aspx" TargetMode="External"/><Relationship Id="rId861" Type="http://schemas.openxmlformats.org/officeDocument/2006/relationships/hyperlink" Target="https://www.ozon.ru/product/1323284376" TargetMode="External"/><Relationship Id="rId1210" Type="http://schemas.openxmlformats.org/officeDocument/2006/relationships/hyperlink" Target="https://www.wildberries.ru/catalog/214221270/detail.aspx" TargetMode="External"/><Relationship Id="rId860" Type="http://schemas.openxmlformats.org/officeDocument/2006/relationships/hyperlink" Target="https://www.wildberries.ru/catalog/192906679/detail.aspx" TargetMode="External"/><Relationship Id="rId1211" Type="http://schemas.openxmlformats.org/officeDocument/2006/relationships/hyperlink" Target="https://www.wildberries.ru/catalog/318415062/detail.aspx" TargetMode="External"/><Relationship Id="rId1212" Type="http://schemas.openxmlformats.org/officeDocument/2006/relationships/hyperlink" Target="https://www.wildberries.ru/catalog/525336870/detail.aspx" TargetMode="External"/><Relationship Id="rId1202" Type="http://schemas.openxmlformats.org/officeDocument/2006/relationships/hyperlink" Target="https://www.wildberries.ru/catalog/716103412/detail.aspx" TargetMode="External"/><Relationship Id="rId1203" Type="http://schemas.openxmlformats.org/officeDocument/2006/relationships/hyperlink" Target="https://market.yandex.ru/card/krem-ot-rastyazhek-podkhodit-dlya-beremennykh-i-dlya-podrostkov/4914680343?businessId=8291477&amp;showOriginalKmEmptyOffer=1&amp;ogV=-10" TargetMode="External"/><Relationship Id="rId1204" Type="http://schemas.openxmlformats.org/officeDocument/2006/relationships/hyperlink" Target="https://www.wildberries.ru/catalog/723135494/detail.aspx" TargetMode="External"/><Relationship Id="rId1205" Type="http://schemas.openxmlformats.org/officeDocument/2006/relationships/hyperlink" Target="https://market.yandex.ru/card/nabor-inozitol-1500-mg--tsink-bisglitsinat-25-mg/4914700613?businessId=8291477&amp;showOriginalKmEmptyOffer=1&amp;ogV=-10" TargetMode="External"/><Relationship Id="rId1206" Type="http://schemas.openxmlformats.org/officeDocument/2006/relationships/hyperlink" Target="https://www.wildberries.ru/catalog/723220708/detail.aspx" TargetMode="External"/><Relationship Id="rId1207" Type="http://schemas.openxmlformats.org/officeDocument/2006/relationships/hyperlink" Target="https://market.yandex.ru/card/omega-3-i-magniy-tsitrat-635-mg---podderzhka-serdtsa-i-nervov/4914676196?businessId=8291477&amp;showOriginalKmEmptyOffer=1&amp;ogV=-10" TargetMode="External"/><Relationship Id="rId1208" Type="http://schemas.openxmlformats.org/officeDocument/2006/relationships/hyperlink" Target="https://www.wildberries.ru/catalog/723490719/detail.aspx" TargetMode="External"/><Relationship Id="rId1209" Type="http://schemas.openxmlformats.org/officeDocument/2006/relationships/hyperlink" Target="https://market.yandex.ru/card/nabor-dlya-krasoty-beauty-complex--vitamin-s-500-mg/4914732726?businessId=8291477&amp;generalContext=t%3DshopInShop%3Bbi%3D1422090%3B&amp;showOriginalKmEmptyOffer=1&amp;ogV=-10" TargetMode="External"/><Relationship Id="rId619" Type="http://schemas.openxmlformats.org/officeDocument/2006/relationships/hyperlink" Target="https://www.wildberries.ru/catalog/418228094/detail.aspx" TargetMode="External"/><Relationship Id="rId618" Type="http://schemas.openxmlformats.org/officeDocument/2006/relationships/hyperlink" Target="https://market.yandex.ru/card/kompleks-detoks-dlya-ochishcheniya-pecheni-i-kishechnika-dlya-pokhudeniya-detokc-dlya-pecheni-alteya-mitseliks-10-sht/103515398245?businessId=1422090&amp;clid=1422090&amp;model_id=625422045&amp;distr_type=8&amp;pp=605" TargetMode="External"/><Relationship Id="rId613" Type="http://schemas.openxmlformats.org/officeDocument/2006/relationships/hyperlink" Target="https://www.wildberries.ru/catalog/234207568/detail.aspx" TargetMode="External"/><Relationship Id="rId855" Type="http://schemas.openxmlformats.org/officeDocument/2006/relationships/hyperlink" Target="https://www.ozon.ru/product/1646797818" TargetMode="External"/><Relationship Id="rId612" Type="http://schemas.openxmlformats.org/officeDocument/2006/relationships/hyperlink" Target="https://market.yandex.ru/card/antiparazitarnyy-kompleks-ot-glistov-ochishcheniye-organizma-ot-parazitov-detoks-alteya-yagodnyy-spas-10-shipuchikh-tabletok/4661991669?businessId=1422090&amp;clid=1422090&amp;model_id=1782068668&amp;distr_type=8&amp;pp=605" TargetMode="External"/><Relationship Id="rId854" Type="http://schemas.openxmlformats.org/officeDocument/2006/relationships/hyperlink" Target="https://www.wildberries.ru/catalog/172161991/detail.aspx" TargetMode="External"/><Relationship Id="rId611" Type="http://schemas.openxmlformats.org/officeDocument/2006/relationships/hyperlink" Target="https://www.ozon.ru/product/1703614178" TargetMode="External"/><Relationship Id="rId853" Type="http://schemas.openxmlformats.org/officeDocument/2006/relationships/hyperlink" Target="https://www.ozon.ru/product/313362644" TargetMode="External"/><Relationship Id="rId610" Type="http://schemas.openxmlformats.org/officeDocument/2006/relationships/hyperlink" Target="https://www.wildberries.ru/catalog/263802739/detail.aspx" TargetMode="External"/><Relationship Id="rId852" Type="http://schemas.openxmlformats.org/officeDocument/2006/relationships/hyperlink" Target="https://www.wildberries.ru/catalog/39234691/detail.aspx" TargetMode="External"/><Relationship Id="rId617" Type="http://schemas.openxmlformats.org/officeDocument/2006/relationships/hyperlink" Target="https://www.ozon.ru/product/291845947" TargetMode="External"/><Relationship Id="rId859" Type="http://schemas.openxmlformats.org/officeDocument/2006/relationships/hyperlink" Target="https://market.yandex.ru/card/mikardin-vitaminy-dlya-serdtsa-i-sosudov-ot-davleniya-bad--10-kapsul/103340896063?businessId=1422090&amp;clid=1422090&amp;model_id=696476475&amp;distr_type=8&amp;pp=605" TargetMode="External"/><Relationship Id="rId616" Type="http://schemas.openxmlformats.org/officeDocument/2006/relationships/hyperlink" Target="https://www.wildberries.ru/catalog/17905602/detail.aspx" TargetMode="External"/><Relationship Id="rId858" Type="http://schemas.openxmlformats.org/officeDocument/2006/relationships/hyperlink" Target="https://www.ozon.ru/product/296818697" TargetMode="External"/><Relationship Id="rId615" Type="http://schemas.openxmlformats.org/officeDocument/2006/relationships/hyperlink" Target="https://market.yandex.ru/card/kapsuly-dlya-uluchsheniya-slukha-usilitel-slukha-alteya-ukhovit-20-kapsul/103515426013?businessId=1422090&amp;clid=1422090&amp;model_id=1164700216&amp;distr_type=8&amp;pp=605" TargetMode="External"/><Relationship Id="rId857" Type="http://schemas.openxmlformats.org/officeDocument/2006/relationships/hyperlink" Target="https://www.wildberries.ru/catalog/34282538/detail.aspx" TargetMode="External"/><Relationship Id="rId614" Type="http://schemas.openxmlformats.org/officeDocument/2006/relationships/hyperlink" Target="https://www.ozon.ru/product/1590087137" TargetMode="External"/><Relationship Id="rId856" Type="http://schemas.openxmlformats.org/officeDocument/2006/relationships/hyperlink" Target="https://market.yandex.ru/card/biotrin-krem-gel-dnarprim--2/103544225050?businessId=1422090&amp;clid=1422090&amp;model_id=1103091052&amp;distr_type=8&amp;pp=605" TargetMode="External"/><Relationship Id="rId851" Type="http://schemas.openxmlformats.org/officeDocument/2006/relationships/hyperlink" Target="https://market.yandex.ru/card/buster-testosterona-dlya-potentsii-i-myshts-yokhimbe-i-maka-alteya-60-kapsul/103618443303?businessId=1422090&amp;clid=1422090&amp;model_id=841569704&amp;distr_type=8&amp;pp=605" TargetMode="External"/><Relationship Id="rId850" Type="http://schemas.openxmlformats.org/officeDocument/2006/relationships/hyperlink" Target="https://www.ozon.ru/product/1752060204" TargetMode="External"/><Relationship Id="rId1200" Type="http://schemas.openxmlformats.org/officeDocument/2006/relationships/hyperlink" Target="https://market.yandex.ru/card/gel-dlya-intimnoy-gigiyeny-s-molochnoy-kislotoy-alteya-intimvita-200-ml/103515446782?businessId=1422090&amp;showOriginalKmEmptyOffer=1&amp;ogV=-10" TargetMode="External"/><Relationship Id="rId1201" Type="http://schemas.openxmlformats.org/officeDocument/2006/relationships/hyperlink" Target="https://www.letu.ru/product/alteya-gel-dlya-intimnoi-gigieny-s-molochnoi-kislotoi-intimvita/164000027" TargetMode="External"/><Relationship Id="rId409" Type="http://schemas.openxmlformats.org/officeDocument/2006/relationships/hyperlink" Target="https://www.wildberries.ru/catalog/325209184/detail.aspx" TargetMode="External"/><Relationship Id="rId404" Type="http://schemas.openxmlformats.org/officeDocument/2006/relationships/hyperlink" Target="https://www.wildberries.ru/catalog/302419362/detail.aspx" TargetMode="External"/><Relationship Id="rId646" Type="http://schemas.openxmlformats.org/officeDocument/2006/relationships/hyperlink" Target="https://www.ozon.ru/product/2583177512" TargetMode="External"/><Relationship Id="rId888" Type="http://schemas.openxmlformats.org/officeDocument/2006/relationships/hyperlink" Target="https://goldapple.ru/catalogsearch/result?q=99000076221" TargetMode="External"/><Relationship Id="rId403" Type="http://schemas.openxmlformats.org/officeDocument/2006/relationships/hyperlink" Target="https://drive.google.com/drive/folders/1drIa8DGRSxx1BY_tjQMZ8JVmSeouj1Wm" TargetMode="External"/><Relationship Id="rId645" Type="http://schemas.openxmlformats.org/officeDocument/2006/relationships/hyperlink" Target="https://www.wildberries.ru/catalog/484600035/detail.aspx" TargetMode="External"/><Relationship Id="rId887" Type="http://schemas.openxmlformats.org/officeDocument/2006/relationships/hyperlink" Target="https://market.yandex.ru/card/solevoy-sprey-dlya-obyema-i-ukladki-volos-s-fiksatsiyey-alteya-200-ml/103816818779?businessId=1422090&amp;clid=1422090&amp;model_id=1054127194&amp;distr_type=8&amp;pp=605" TargetMode="External"/><Relationship Id="rId402" Type="http://schemas.openxmlformats.org/officeDocument/2006/relationships/hyperlink" Target="https://market.yandex.ru/card/sprey-ot-koltunov-dlya-dlinnoy-shersti-i-legkogo-raschesyvaniya/103397005171?businessId=8291477&amp;clid=8291477&amp;model_id=973176873&amp;distr_type=8&amp;pp=605" TargetMode="External"/><Relationship Id="rId644" Type="http://schemas.openxmlformats.org/officeDocument/2006/relationships/hyperlink" Target="https://www.letu.ru/product/alteya-maska-dlya-litsa-ochishchayushchaya/169800215?sort=default&amp;open=cleanBeauty%7Eingredient%7EskinNeeds%7EforWhom&amp;hide=expectedEffect%7EnotContain%7EskinTypes%7EhairType" TargetMode="External"/><Relationship Id="rId886" Type="http://schemas.openxmlformats.org/officeDocument/2006/relationships/hyperlink" Target="https://www.ozon.ru/product/1860164273" TargetMode="External"/><Relationship Id="rId401" Type="http://schemas.openxmlformats.org/officeDocument/2006/relationships/hyperlink" Target="https://www.ozon.ru/product/1613729326" TargetMode="External"/><Relationship Id="rId643" Type="http://schemas.openxmlformats.org/officeDocument/2006/relationships/hyperlink" Target="https://goldapple.ru/catalogsearch/result?q=99000114727" TargetMode="External"/><Relationship Id="rId885" Type="http://schemas.openxmlformats.org/officeDocument/2006/relationships/hyperlink" Target="https://www.wildberries.ru/catalog/326913593/detail.aspx" TargetMode="External"/><Relationship Id="rId408" Type="http://schemas.openxmlformats.org/officeDocument/2006/relationships/hyperlink" Target="https://drive.google.com/drive/folders/1E8eJBwylIVl7MUptpVONLFSvIBzGBpCe" TargetMode="External"/><Relationship Id="rId407" Type="http://schemas.openxmlformats.org/officeDocument/2006/relationships/hyperlink" Target="https://www.letu.ru/product/qeep-gel-dlya-dusha-parfyumirovannyi-tobacco-cherry/168000615" TargetMode="External"/><Relationship Id="rId649" Type="http://schemas.openxmlformats.org/officeDocument/2006/relationships/hyperlink" Target="https://www.wildberries.ru/catalog/418262202/detail.aspx" TargetMode="External"/><Relationship Id="rId406" Type="http://schemas.openxmlformats.org/officeDocument/2006/relationships/hyperlink" Target="https://market.yandex.ru/card/gel-dlya-dusha-zhenskiy-parfyumirovannyy-tobacco-cherry-qeep-450-ml/103689891090?businessId=8291477&amp;clid=8291477&amp;model_id=909640372&amp;distr_type=8&amp;pp=605" TargetMode="External"/><Relationship Id="rId648" Type="http://schemas.openxmlformats.org/officeDocument/2006/relationships/hyperlink" Target="https://www.letu.ru/product/alteya-syvorotka-s-retinolom-1-dlya-litsa-ot-morshchin-antivozrastnaya-alteya/177305603?sort=default&amp;open=cleanBeauty%7Eingredient%7EskinNeeds%7EforWhom&amp;hide=expectedEffect%7EnotContain%7EskinTypes%7EhairType" TargetMode="External"/><Relationship Id="rId405" Type="http://schemas.openxmlformats.org/officeDocument/2006/relationships/hyperlink" Target="https://www.ozon.ru/product/1785782001" TargetMode="External"/><Relationship Id="rId647" Type="http://schemas.openxmlformats.org/officeDocument/2006/relationships/hyperlink" Target="https://market.yandex.ru/card/syvorotka-s-retinolom-1-dlya-litsa-ot-morshchin-antivozrastnaya-alteya-30-ml/4600666230?do-waremd5=NaUkVbrRb7Gg2HzekrGcuA&amp;businessId=1422090&amp;generalContext=t%3DshopInShop%3Bbi%3D1422090%3B&amp;ogV=-10" TargetMode="External"/><Relationship Id="rId889" Type="http://schemas.openxmlformats.org/officeDocument/2006/relationships/hyperlink" Target="https://www.letu.ru/product/alteya-solevoi-sprei-dlya-obema-i-ukladki-volos-s-fiksatsiei/171200324?sort=default&amp;open=ingredient%7EforWhom%7EskinNeeds%7EcleanBeauty&amp;hide=expectedEffect%7EnotContain%7EhairType%7EskinTypes" TargetMode="External"/><Relationship Id="rId880" Type="http://schemas.openxmlformats.org/officeDocument/2006/relationships/hyperlink" Target="https://www.ozon.ru/product/1528840163" TargetMode="External"/><Relationship Id="rId400" Type="http://schemas.openxmlformats.org/officeDocument/2006/relationships/hyperlink" Target="https://www.wildberries.ru/catalog/240169330/detail.aspx" TargetMode="External"/><Relationship Id="rId642" Type="http://schemas.openxmlformats.org/officeDocument/2006/relationships/hyperlink" Target="https://market.yandex.ru/card/maska-dlya-litsa-ochishchayushchaya-alteya-100-ml/4334343067?businessId=1422090&amp;clid=1422090&amp;model_id=1114890706&amp;distr_type=8&amp;pp=605" TargetMode="External"/><Relationship Id="rId884" Type="http://schemas.openxmlformats.org/officeDocument/2006/relationships/hyperlink" Target="https://market.yandex.ru/card/maz-ot-gribka-nogtey-na-nogakh-krem-gel-alteya-mikoplaks-mycoplax-15-ml-kh-2/4640678615?do-waremd5=NIvya4VVZitwBtcaKE64Vg&amp;businessId=1422090&amp;generalContext=t%3DshopInShop%3Bbi%3D1422090%3B&amp;ogV=-10" TargetMode="External"/><Relationship Id="rId641" Type="http://schemas.openxmlformats.org/officeDocument/2006/relationships/hyperlink" Target="https://www.ozon.ru/product/2015306117" TargetMode="External"/><Relationship Id="rId883" Type="http://schemas.openxmlformats.org/officeDocument/2006/relationships/hyperlink" Target="https://www.ozon.ru/product/2825114763" TargetMode="External"/><Relationship Id="rId640" Type="http://schemas.openxmlformats.org/officeDocument/2006/relationships/hyperlink" Target="https://www.wildberries.ru/catalog/373703287/detail.aspx" TargetMode="External"/><Relationship Id="rId882" Type="http://schemas.openxmlformats.org/officeDocument/2006/relationships/hyperlink" Target="https://www.wildberries.ru/catalog/136537336/detail.aspx" TargetMode="External"/><Relationship Id="rId881" Type="http://schemas.openxmlformats.org/officeDocument/2006/relationships/hyperlink" Target="https://market.yandex.ru/card/antiparazitarnyy-kompleks-ot-glistov-ochishcheniye-organizma-ot-parazitov-detoks-alteya-chudo-grib-chudogrib-20-kapsul/103515425600?do-waremd5=SIf-rQRVfGigefH8JmbX4g&amp;businessId=1422090&amp;generalContext=t%3DshopInShop%3Bbi%3D1422090%3B&amp;ogV=-10" TargetMode="External"/><Relationship Id="rId1224" Type="http://schemas.openxmlformats.org/officeDocument/2006/relationships/hyperlink" Target="https://market.yandex.ru/card/remuver-dlya-udaleniya-kutikuly-alteya-40-ml/102622257537?businessId=1422090&amp;clid=1422090&amp;model_id=969577526&amp;distr_type=8&amp;pp=605" TargetMode="External"/><Relationship Id="rId1225" Type="http://schemas.openxmlformats.org/officeDocument/2006/relationships/hyperlink" Target="https://market.yandex.ru/card/krem-maz-dlya-sustavov-i-svyazok-sinergel-obezbolivayushchiy-protivovospalitelnyy-krem-gel-ot-boli-ot-otekov-v-nogakh-dlya-poyasnitsy-30-ml/103340894562?businessId=1422090&amp;clid=1422090&amp;model_id=49508284&amp;distr_type=8&amp;pp=605" TargetMode="External"/><Relationship Id="rId1226" Type="http://schemas.openxmlformats.org/officeDocument/2006/relationships/hyperlink" Target="https://market.yandex.ru/card/varitox-krem-fl/103543849805?businessId=1422090&amp;clid=1422090&amp;model_id=696344170&amp;distr_type=8&amp;pp=605" TargetMode="External"/><Relationship Id="rId1227" Type="http://schemas.openxmlformats.org/officeDocument/2006/relationships/drawing" Target="../drawings/drawing13.xml"/><Relationship Id="rId635" Type="http://schemas.openxmlformats.org/officeDocument/2006/relationships/hyperlink" Target="https://www.ozon.ru/product/2937061626" TargetMode="External"/><Relationship Id="rId877" Type="http://schemas.openxmlformats.org/officeDocument/2006/relationships/hyperlink" Target="https://www.ozon.ru/product/1129297463" TargetMode="External"/><Relationship Id="rId634" Type="http://schemas.openxmlformats.org/officeDocument/2006/relationships/hyperlink" Target="https://www.wildberries.ru/catalog/555457305/detail.aspx" TargetMode="External"/><Relationship Id="rId876" Type="http://schemas.openxmlformats.org/officeDocument/2006/relationships/hyperlink" Target="https://www.wildberries.ru/catalog/172162756/detail.aspx" TargetMode="External"/><Relationship Id="rId633" Type="http://schemas.openxmlformats.org/officeDocument/2006/relationships/hyperlink" Target="https://mm.ru/product/krem-dlya-lica-5880783?skuId=13131194" TargetMode="External"/><Relationship Id="rId875" Type="http://schemas.openxmlformats.org/officeDocument/2006/relationships/hyperlink" Target="https://market.yandex.ru/card/kapsuly-ot-alkogolnoy-zavisimosti-pishchevaya-dobavka-trezvin/103515423526?businessId=1422090&amp;clid=1422090&amp;model_id=1088019356&amp;distr_type=8&amp;pp=605" TargetMode="External"/><Relationship Id="rId632" Type="http://schemas.openxmlformats.org/officeDocument/2006/relationships/hyperlink" Target="https://www.letu.ru/product/alteya-krem-dlya-litsa-s-liposomalnym-retinolom-025-retinait/177305605?sort=default&amp;open=cleanBeauty%7Eingredient%7EskinNeeds&amp;hide=expectedEffect%7EnotContain%7EskinTypes%7EhairType" TargetMode="External"/><Relationship Id="rId874" Type="http://schemas.openxmlformats.org/officeDocument/2006/relationships/hyperlink" Target="https://www.ozon.ru/product/1541858934" TargetMode="External"/><Relationship Id="rId639" Type="http://schemas.openxmlformats.org/officeDocument/2006/relationships/hyperlink" Target="https://market.yandex.ru/card/pishchevaya-dobavka-telomeras-ta-65-alteya-60-kapsul/4537860153?businessId=1422090&amp;clid=1422090&amp;model_id=1352508276&amp;distr_type=8&amp;pp=605" TargetMode="External"/><Relationship Id="rId638" Type="http://schemas.openxmlformats.org/officeDocument/2006/relationships/hyperlink" Target="https://www.ozon.ru/product/2498032276" TargetMode="External"/><Relationship Id="rId637" Type="http://schemas.openxmlformats.org/officeDocument/2006/relationships/hyperlink" Target="https://www.wildberries.ru/catalog/471341724/detail.aspx" TargetMode="External"/><Relationship Id="rId879" Type="http://schemas.openxmlformats.org/officeDocument/2006/relationships/hyperlink" Target="https://www.wildberries.ru/catalog/222218347/detail.aspx" TargetMode="External"/><Relationship Id="rId636" Type="http://schemas.openxmlformats.org/officeDocument/2006/relationships/hyperlink" Target="https://market.yandex.ru/card/krem-dlya-litsa-s-liposomalnym-retinolom-05-retinayt/4737525756?businessId=1422090&amp;clid=1422090&amp;model_id=4936696924&amp;distr_type=8&amp;pp=605" TargetMode="External"/><Relationship Id="rId878" Type="http://schemas.openxmlformats.org/officeDocument/2006/relationships/hyperlink" Target="https://market.yandex.ru/card/sredstvo-ot-davleniya-vitaminy-dlya-serdtsa-chistka-sosudov-alteya-mikardin-2-sht/103515392261?businessId=1422090&amp;clid=1422090&amp;model_id=696476475&amp;distr_type=8&amp;pp=605" TargetMode="External"/><Relationship Id="rId631" Type="http://schemas.openxmlformats.org/officeDocument/2006/relationships/hyperlink" Target="https://goldapple.ru/catalogsearch/result?q=99000124418" TargetMode="External"/><Relationship Id="rId873" Type="http://schemas.openxmlformats.org/officeDocument/2006/relationships/hyperlink" Target="https://www.wildberries.ru/catalog/223410114/detail.aspx" TargetMode="External"/><Relationship Id="rId1220" Type="http://schemas.openxmlformats.org/officeDocument/2006/relationships/hyperlink" Target="https://market.yandex.ru/card/shipuchiye-tabletki-dlya-pokhudeniya-detoks-zhiroszhigatel-alteya-chudo-frukt-2-shtuki/103515429013?do-waremd5=TKk9IE1Frz0tSiL4GS1urA&amp;businessId=1422090&amp;ogV=-10" TargetMode="External"/><Relationship Id="rId630" Type="http://schemas.openxmlformats.org/officeDocument/2006/relationships/hyperlink" Target="https://market.yandex.ru/card/krem-dlya-litsa-s-liposomalnym-retinolom-025-retinayt/4644510464?businessId=1422090&amp;clid=1422090&amp;model_id=4936696924&amp;distr_type=8&amp;pp=605" TargetMode="External"/><Relationship Id="rId872" Type="http://schemas.openxmlformats.org/officeDocument/2006/relationships/hyperlink" Target="https://market.yandex.ru/card/otivin-ushnyye-kapli-dlya-slukha-i-vospaleniya-ushey10ml/103340901784?businessId=1422090&amp;clid=1422090&amp;model_id=427447470&amp;distr_type=8&amp;pp=605" TargetMode="External"/><Relationship Id="rId1221" Type="http://schemas.openxmlformats.org/officeDocument/2006/relationships/hyperlink" Target="https://market.yandex.ru/card/erektsionnaya-nasadka-na-chlen-dlya-uvelicheniya-i-erektsii-18/101436893899?businessId=1422090&amp;clid=1422090&amp;model_id=855435754&amp;distr_type=8&amp;pp=605" TargetMode="External"/><Relationship Id="rId871" Type="http://schemas.openxmlformats.org/officeDocument/2006/relationships/hyperlink" Target="https://www.ozon.ru/product/792260062" TargetMode="External"/><Relationship Id="rId1222" Type="http://schemas.openxmlformats.org/officeDocument/2006/relationships/hyperlink" Target="https://market.yandex.ru/card/pishchevaya-dobavka-dlya-immuniteta-i-ochishcheniya-pecheni-mitseliks-10-sashe/103331698965?businessId=1422090&amp;clid=1422090&amp;model_id=1782008415&amp;distr_type=8&amp;pp=605" TargetMode="External"/><Relationship Id="rId870" Type="http://schemas.openxmlformats.org/officeDocument/2006/relationships/hyperlink" Target="https://www.wildberries.ru/catalog/136138948/detail.aspx" TargetMode="External"/><Relationship Id="rId1223" Type="http://schemas.openxmlformats.org/officeDocument/2006/relationships/hyperlink" Target="https://market.yandex.ru/card/vitaminy-dlya-glaz-i-zreniya-s-lyuteinom-i-chernikoy-optitrin--7-ampul/101436838679?businessId=1422090&amp;clid=1422090&amp;model_id=1109007651&amp;distr_type=8&amp;pp=605" TargetMode="External"/><Relationship Id="rId829" Type="http://schemas.openxmlformats.org/officeDocument/2006/relationships/hyperlink" Target="https://market.yandex.ru/card/gel-dlya-brovey-s-effektom-laminirovaniya-alteya-6-ml/103515384714?businessId=1422090&amp;clid=1422090&amp;model_id=1352604652&amp;distr_type=8&amp;pp=605" TargetMode="External"/><Relationship Id="rId828" Type="http://schemas.openxmlformats.org/officeDocument/2006/relationships/hyperlink" Target="https://www.ozon.ru/product/1671085702" TargetMode="External"/><Relationship Id="rId827" Type="http://schemas.openxmlformats.org/officeDocument/2006/relationships/hyperlink" Target="https://www.wildberries.ru/catalog/256005551/detail.aspx" TargetMode="External"/><Relationship Id="rId822" Type="http://schemas.openxmlformats.org/officeDocument/2006/relationships/hyperlink" Target="https://www.ozon.ru/product/1191194423" TargetMode="External"/><Relationship Id="rId821" Type="http://schemas.openxmlformats.org/officeDocument/2006/relationships/hyperlink" Target="https://www.wildberries.ru/catalog/176858863/detail.aspx" TargetMode="External"/><Relationship Id="rId820" Type="http://schemas.openxmlformats.org/officeDocument/2006/relationships/hyperlink" Target="https://market.yandex.ru/card/maz-dlya-sustavov-obezbolivayushchaya-panty-marala-krem-alteya-artoks-3030-ml/103515429719?businessId=1422090&amp;clid=1422090&amp;model_id=1754837206&amp;distr_type=8&amp;pp=605" TargetMode="External"/><Relationship Id="rId826" Type="http://schemas.openxmlformats.org/officeDocument/2006/relationships/hyperlink" Target="https://market.yandex.ru/card/maz-ot-gribka-nogtey-i-stopy-nog-protivogribkovaya-daoshen-krem-gel-ot-gribka-nogtey--75-ml/102622145124?businessId=1422090&amp;clid=1422090&amp;model_id=1443573112&amp;distr_type=8&amp;pp=605" TargetMode="External"/><Relationship Id="rId825" Type="http://schemas.openxmlformats.org/officeDocument/2006/relationships/hyperlink" Target="https://www.ozon.ru/product/1350973604" TargetMode="External"/><Relationship Id="rId824" Type="http://schemas.openxmlformats.org/officeDocument/2006/relationships/hyperlink" Target="https://www.wildberries.ru/catalog/197568699/detail.aspx" TargetMode="External"/><Relationship Id="rId823" Type="http://schemas.openxmlformats.org/officeDocument/2006/relationships/hyperlink" Target="https://market.yandex.ru/card/khvoynyy-ekstrakt-dlya-immuniteta-i-ozdorovleniya-khvoynitsa/103515429718?businessId=1422090&amp;clid=1422090&amp;model_id=1111427784&amp;distr_type=8&amp;pp=605" TargetMode="External"/><Relationship Id="rId819" Type="http://schemas.openxmlformats.org/officeDocument/2006/relationships/hyperlink" Target="https://www.ozon.ru/product/1129261950" TargetMode="External"/><Relationship Id="rId818" Type="http://schemas.openxmlformats.org/officeDocument/2006/relationships/hyperlink" Target="https://www.wildberries.ru/catalog/172161336/detail.aspx" TargetMode="External"/><Relationship Id="rId817" Type="http://schemas.openxmlformats.org/officeDocument/2006/relationships/hyperlink" Target="https://market.yandex.ru/card/tabletki-ot-izzhogi-dlya-zheludka-i-pecheni-chistka-pecheni-i-zheludka-enteroskhol-20-kapsul/103515427201?businessId=1422090&amp;clid=1422090&amp;model_id=625422045&amp;distr_type=8&amp;pp=605" TargetMode="External"/><Relationship Id="rId816" Type="http://schemas.openxmlformats.org/officeDocument/2006/relationships/hyperlink" Target="https://www.ozon.ru/product/1542004482" TargetMode="External"/><Relationship Id="rId811" Type="http://schemas.openxmlformats.org/officeDocument/2006/relationships/hyperlink" Target="https://www.letu.ru/product/alteya-maslo-dlya-volos-nesmyvaemoe/175800119?sort=default&amp;open=ingredient%7EforWhom%7EskinNeeds%7EcleanBeauty&amp;hide=expectedEffect%7EnotContain%7EhairType%7EskinTypes" TargetMode="External"/><Relationship Id="rId810" Type="http://schemas.openxmlformats.org/officeDocument/2006/relationships/hyperlink" Target="https://market.yandex.ru/card/maslo-dlya-volos-nesmyvayemoye-professionalnoye-tom-ford-lost-cherry-alteya-110-ml/4700257494?businessId=1422090&amp;clid=1422090&amp;model_id=625585245&amp;distr_type=8&amp;pp=605" TargetMode="External"/><Relationship Id="rId815" Type="http://schemas.openxmlformats.org/officeDocument/2006/relationships/hyperlink" Target="https://www.wildberries.ru/catalog/223437682/detail.aspx" TargetMode="External"/><Relationship Id="rId814" Type="http://schemas.openxmlformats.org/officeDocument/2006/relationships/hyperlink" Target="https://market.yandex.ru/card/sredstvo-ot-prostatita-aktivprost-dlya-prostaty-i-potentsii-10-kapsul/102204313641?businessId=1422090&amp;clid=1422090&amp;model_id=1286021343&amp;distr_type=8&amp;pp=605" TargetMode="External"/><Relationship Id="rId813" Type="http://schemas.openxmlformats.org/officeDocument/2006/relationships/hyperlink" Target="https://www.ozon.ru/product/732602771" TargetMode="External"/><Relationship Id="rId812" Type="http://schemas.openxmlformats.org/officeDocument/2006/relationships/hyperlink" Target="https://www.wildberries.ru/catalog/103709897/detail.aspx" TargetMode="External"/><Relationship Id="rId609" Type="http://schemas.openxmlformats.org/officeDocument/2006/relationships/hyperlink" Target="https://market.yandex.ru/card/maz-ot-gribka-nogtey-na-nogakh-krem-gel-alteya-mikoplaks-mycoplax-15-ml/103515410999?businessId=1422090&amp;clid=1422090&amp;model_id=1256821997&amp;distr_type=8&amp;pp=605" TargetMode="External"/><Relationship Id="rId608" Type="http://schemas.openxmlformats.org/officeDocument/2006/relationships/hyperlink" Target="https://www.ozon.ru/product/1691245886" TargetMode="External"/><Relationship Id="rId607" Type="http://schemas.openxmlformats.org/officeDocument/2006/relationships/hyperlink" Target="https://www.wildberries.ru/catalog/260515862/detail.aspx" TargetMode="External"/><Relationship Id="rId849" Type="http://schemas.openxmlformats.org/officeDocument/2006/relationships/hyperlink" Target="https://www.wildberries.ru/catalog/280107477/detail.aspx" TargetMode="External"/><Relationship Id="rId602" Type="http://schemas.openxmlformats.org/officeDocument/2006/relationships/hyperlink" Target="https://www.letu.ru/product/alteya-shampun-dlya-rosta-volos-ot-vypadeniya-volos-professionalnyi/163501107?sort=default&amp;open=cleanBeauty%7Eingredient%7EskinNeeds&amp;hide=expectedEffect%7EnotContain%7EskinTypes%7EhairType" TargetMode="External"/><Relationship Id="rId844" Type="http://schemas.openxmlformats.org/officeDocument/2006/relationships/hyperlink" Target="https://www.ozon.ru/product/1129300642" TargetMode="External"/><Relationship Id="rId601" Type="http://schemas.openxmlformats.org/officeDocument/2006/relationships/hyperlink" Target="https://goldapple.ru/catalogsearch/result?q=99000076213" TargetMode="External"/><Relationship Id="rId843" Type="http://schemas.openxmlformats.org/officeDocument/2006/relationships/hyperlink" Target="https://www.wildberries.ru/catalog/176157841/detail.aspx" TargetMode="External"/><Relationship Id="rId600" Type="http://schemas.openxmlformats.org/officeDocument/2006/relationships/hyperlink" Target="https://market.yandex.ru/card/shampun-ot-vypadeniya-volos-dlya-rosta-volos-professionalnyy-alteya-250-ml/103515586487?businessId=1422090&amp;clid=1422090&amp;model_id=845619223&amp;distr_type=8&amp;pp=605" TargetMode="External"/><Relationship Id="rId842" Type="http://schemas.openxmlformats.org/officeDocument/2006/relationships/hyperlink" Target="https://market.yandex.ru/card/trezaks-sredstvo-kapli-ot-alkogolizma-alkogolnoy-zavisimosti-pokhmelya-antipokhmelin-brosit-pit--10ml/101824164611?businessId=1422090&amp;clid=1422090&amp;model_id=1088019356&amp;distr_type=8&amp;pp=605" TargetMode="External"/><Relationship Id="rId841" Type="http://schemas.openxmlformats.org/officeDocument/2006/relationships/hyperlink" Target="https://www.ozon.ru/product/733369927" TargetMode="External"/><Relationship Id="rId606" Type="http://schemas.openxmlformats.org/officeDocument/2006/relationships/hyperlink" Target="https://www.letu.ru/product/alteya-syvorotka-dlya-litsa-s-niatsinamidom-ot-pryshchei-pigmentatsii/163501106?sort=default&amp;open=cleanBeauty%7Eingredient%7EskinNeeds&amp;hide=expectedEffect%7EnotContain%7EskinTypes%7EhairType" TargetMode="External"/><Relationship Id="rId848" Type="http://schemas.openxmlformats.org/officeDocument/2006/relationships/hyperlink" Target="https://market.yandex.ru/card/tabletki-ot-prostatita-dlya-muzhchin-zhenshen-koren-alteya-uromaks-20-kapsul-kh-2/4640691481?businessId=1422090&amp;clid=1422090&amp;model_id=696711021&amp;distr_type=8&amp;pp=605" TargetMode="External"/><Relationship Id="rId605" Type="http://schemas.openxmlformats.org/officeDocument/2006/relationships/hyperlink" Target="https://goldapple.ru/catalogsearch/result?q=99000076203" TargetMode="External"/><Relationship Id="rId847" Type="http://schemas.openxmlformats.org/officeDocument/2006/relationships/hyperlink" Target="https://www.ozon.ru/product/2825142977" TargetMode="External"/><Relationship Id="rId604" Type="http://schemas.openxmlformats.org/officeDocument/2006/relationships/hyperlink" Target="https://www.ozon.ru/product/1613771317" TargetMode="External"/><Relationship Id="rId846" Type="http://schemas.openxmlformats.org/officeDocument/2006/relationships/hyperlink" Target="https://www.wildberries.ru/catalog/525496523/detail.aspx" TargetMode="External"/><Relationship Id="rId603" Type="http://schemas.openxmlformats.org/officeDocument/2006/relationships/hyperlink" Target="https://www.wildberries.ru/catalog/239888358/detail.aspx" TargetMode="External"/><Relationship Id="rId845" Type="http://schemas.openxmlformats.org/officeDocument/2006/relationships/hyperlink" Target="https://market.yandex.ru/card/sredstvo-ot-davleniya-vitaminy-dlya-serdtsa-chistka-sosudov-alteya-karditsin-2-sht/103515447164?businessId=1422090&amp;clid=1422090&amp;model_id=1452481401&amp;distr_type=8&amp;pp=605" TargetMode="External"/><Relationship Id="rId840" Type="http://schemas.openxmlformats.org/officeDocument/2006/relationships/hyperlink" Target="https://www.wildberries.ru/catalog/100410811/detail.aspx" TargetMode="External"/><Relationship Id="rId839" Type="http://schemas.openxmlformats.org/officeDocument/2006/relationships/hyperlink" Target="https://www.ozon.ru/product/1324992259" TargetMode="External"/><Relationship Id="rId838" Type="http://schemas.openxmlformats.org/officeDocument/2006/relationships/hyperlink" Target="https://www.wildberries.ru/catalog/192907992/detail.aspx" TargetMode="External"/><Relationship Id="rId833" Type="http://schemas.openxmlformats.org/officeDocument/2006/relationships/hyperlink" Target="https://www.ozon.ru/product/1758604241" TargetMode="External"/><Relationship Id="rId832" Type="http://schemas.openxmlformats.org/officeDocument/2006/relationships/hyperlink" Target="https://www.wildberries.ru/catalog/283835152/detail.aspx" TargetMode="External"/><Relationship Id="rId831" Type="http://schemas.openxmlformats.org/officeDocument/2006/relationships/hyperlink" Target="https://www.letu.ru/product/alteya-gel-dlya-brovei-s-effektom-laminirovaniya/164000055" TargetMode="External"/><Relationship Id="rId830" Type="http://schemas.openxmlformats.org/officeDocument/2006/relationships/hyperlink" Target="https://goldapple.ru/catalogsearch/result?q=99000076224" TargetMode="External"/><Relationship Id="rId837" Type="http://schemas.openxmlformats.org/officeDocument/2006/relationships/hyperlink" Target="https://market.yandex.ru/card/fitoestrogeny-dlya-zhenshchin-ot-prilivov-pri-klimakse-pri-menopauze-alteya-meno-flavon-60-kapsul/103532563710?businessId=1422090&amp;clid=1422090&amp;model_id=1352508276&amp;distr_type=8&amp;pp=605" TargetMode="External"/><Relationship Id="rId836" Type="http://schemas.openxmlformats.org/officeDocument/2006/relationships/hyperlink" Target="https://www.ozon.ru/product/1614639084" TargetMode="External"/><Relationship Id="rId835" Type="http://schemas.openxmlformats.org/officeDocument/2006/relationships/hyperlink" Target="https://www.wildberries.ru/catalog/239930196/detail.aspx" TargetMode="External"/><Relationship Id="rId834" Type="http://schemas.openxmlformats.org/officeDocument/2006/relationships/hyperlink" Target="https://market.yandex.ru/card/vitaminy-gruppy-v-kompleks-alteya-60-zhevatelnykh-tabletok/103637134366?businessId=1422090&amp;clid=1422090&amp;model_id=1352508276&amp;distr_type=8&amp;pp=605" TargetMode="External"/><Relationship Id="rId1059" Type="http://schemas.openxmlformats.org/officeDocument/2006/relationships/hyperlink" Target="https://www.letu.ru/product/alteya-karandash-ot-mozolei-stik-ot-natiraniya-mozolnyi-plastyr/163501203" TargetMode="External"/><Relationship Id="rId228" Type="http://schemas.openxmlformats.org/officeDocument/2006/relationships/hyperlink" Target="https://drive.google.com/drive/folders/11V47raeGUzjMoy3mBCMqpcGPyba8nnqr" TargetMode="External"/><Relationship Id="rId227" Type="http://schemas.openxmlformats.org/officeDocument/2006/relationships/hyperlink" Target="https://market.yandex.ru/card/vitamin-s-500-mg-qeep-90-kapsul/103374785702?businessId=8291477&amp;clid=8291477&amp;model_id=1826260757&amp;distr_type=8&amp;pp=605" TargetMode="External"/><Relationship Id="rId469" Type="http://schemas.openxmlformats.org/officeDocument/2006/relationships/hyperlink" Target="https://market.yandex.ru/card/tsink-khelat-25-mg-qeep-30-tabletok/103398260185?businessId=8291477&amp;clid=8291477&amp;model_id=838753782&amp;distr_type=8&amp;pp=605" TargetMode="External"/><Relationship Id="rId226" Type="http://schemas.openxmlformats.org/officeDocument/2006/relationships/hyperlink" Target="https://www.ozon.ru/product/1181035529" TargetMode="External"/><Relationship Id="rId468" Type="http://schemas.openxmlformats.org/officeDocument/2006/relationships/hyperlink" Target="https://www.ozon.ru/product/1566740410" TargetMode="External"/><Relationship Id="rId225" Type="http://schemas.openxmlformats.org/officeDocument/2006/relationships/hyperlink" Target="https://www.wildberries.ru/catalog/176110909/detail.aspx" TargetMode="External"/><Relationship Id="rId467" Type="http://schemas.openxmlformats.org/officeDocument/2006/relationships/hyperlink" Target="https://www.wildberries.ru/catalog/229177840/detail.aspx" TargetMode="External"/><Relationship Id="rId229" Type="http://schemas.openxmlformats.org/officeDocument/2006/relationships/hyperlink" Target="https://www.wildberries.ru/catalog/148382531/detail.aspx" TargetMode="External"/><Relationship Id="rId1050" Type="http://schemas.openxmlformats.org/officeDocument/2006/relationships/hyperlink" Target="https://www.wildberries.ru/catalog/668799528/detail.aspx" TargetMode="External"/><Relationship Id="rId220" Type="http://schemas.openxmlformats.org/officeDocument/2006/relationships/hyperlink" Target="https://drive.google.com/drive/folders/1NTwwpvMvYatlgVwisT2gXZIbKZscs9LS" TargetMode="External"/><Relationship Id="rId462" Type="http://schemas.openxmlformats.org/officeDocument/2006/relationships/hyperlink" Target="https://www.wildberries.ru/catalog/176110742/detail.aspx" TargetMode="External"/><Relationship Id="rId1051" Type="http://schemas.openxmlformats.org/officeDocument/2006/relationships/hyperlink" Target="https://www.ozon.ru/product/3164675898" TargetMode="External"/><Relationship Id="rId461" Type="http://schemas.openxmlformats.org/officeDocument/2006/relationships/hyperlink" Target="https://drive.google.com/drive/folders/1Jcn4RMclkAtu9Eg88kCcztJsTsKo8Ss3" TargetMode="External"/><Relationship Id="rId1052" Type="http://schemas.openxmlformats.org/officeDocument/2006/relationships/hyperlink" Target="https://market.yandex.ru/card/krem-solntsezashchitnyy-spf-50-dlya-litsa-50-ml/4824579506?businessId=1422090&amp;clid=1422090&amp;model_id=1581709876&amp;distr_type=8&amp;pp=605" TargetMode="External"/><Relationship Id="rId460" Type="http://schemas.openxmlformats.org/officeDocument/2006/relationships/hyperlink" Target="https://www.ozon.ru/product/809190803" TargetMode="External"/><Relationship Id="rId1053" Type="http://schemas.openxmlformats.org/officeDocument/2006/relationships/hyperlink" Target="https://www.wildberries.ru/catalog/34285227/detail.aspx" TargetMode="External"/><Relationship Id="rId1054" Type="http://schemas.openxmlformats.org/officeDocument/2006/relationships/hyperlink" Target="https://www.ozon.ru/product/296756085" TargetMode="External"/><Relationship Id="rId224" Type="http://schemas.openxmlformats.org/officeDocument/2006/relationships/hyperlink" Target="https://drive.google.com/drive/folders/1uv1bxc8fyEFxLMBZ_r9wPp_TYOyi4eao" TargetMode="External"/><Relationship Id="rId466" Type="http://schemas.openxmlformats.org/officeDocument/2006/relationships/hyperlink" Target="https://market.yandex.ru/card/yod-200-mkg-qeep-60-kapsul/102626043688?businessId=8291477&amp;showOriginalKmEmptyOffer=1&amp;ogV=-10" TargetMode="External"/><Relationship Id="rId1055" Type="http://schemas.openxmlformats.org/officeDocument/2006/relationships/hyperlink" Target="https://market.yandex.ru/card/sanatsin-kaps/103544429888?businessId=1422090&amp;clid=1422090&amp;model_id=1782068668&amp;distr_type=8&amp;pp=605" TargetMode="External"/><Relationship Id="rId223" Type="http://schemas.openxmlformats.org/officeDocument/2006/relationships/hyperlink" Target="https://market.yandex.ru/card/omega-3-1320-mg-epa-627-mg-dha-465-mg-qeep-180-kapsul/103398260192?businessId=8291477&amp;clid=8291477&amp;model_id=1826260757&amp;distr_type=8&amp;pp=605" TargetMode="External"/><Relationship Id="rId465" Type="http://schemas.openxmlformats.org/officeDocument/2006/relationships/hyperlink" Target="https://www.ozon.ru/product/1271349661" TargetMode="External"/><Relationship Id="rId1056" Type="http://schemas.openxmlformats.org/officeDocument/2006/relationships/hyperlink" Target="https://www.wildberries.ru/catalog/263003602/detail.aspx" TargetMode="External"/><Relationship Id="rId222" Type="http://schemas.openxmlformats.org/officeDocument/2006/relationships/hyperlink" Target="https://www.ozon.ru/product/1566735886" TargetMode="External"/><Relationship Id="rId464" Type="http://schemas.openxmlformats.org/officeDocument/2006/relationships/hyperlink" Target="https://www.wildberries.ru/catalog/186777993/detail.aspx" TargetMode="External"/><Relationship Id="rId1057" Type="http://schemas.openxmlformats.org/officeDocument/2006/relationships/hyperlink" Target="https://www.ozon.ru/product/1702319370" TargetMode="External"/><Relationship Id="rId221" Type="http://schemas.openxmlformats.org/officeDocument/2006/relationships/hyperlink" Target="https://www.wildberries.ru/catalog/228331343/detail.aspx" TargetMode="External"/><Relationship Id="rId463" Type="http://schemas.openxmlformats.org/officeDocument/2006/relationships/hyperlink" Target="https://www.ozon.ru/product/1180963859" TargetMode="External"/><Relationship Id="rId1058" Type="http://schemas.openxmlformats.org/officeDocument/2006/relationships/hyperlink" Target="https://market.yandex.ru/card/karandash-ot-mozoley-stik-ot-natiraniya-mozolnyy-plastyr-alteya-20-g/103534746275?businessId=1422090&amp;clid=1422090&amp;model_id=683407463&amp;distr_type=8&amp;pp=605" TargetMode="External"/><Relationship Id="rId1048" Type="http://schemas.openxmlformats.org/officeDocument/2006/relationships/hyperlink" Target="https://market.yandex.ru/card/vitaminy-dlya-serdtsa-i-sosudov-ot-davleniya-mikardin-alteya-3-upakovki/103596648372?businessId=1422090&amp;clid=1422090&amp;model_id=696476475&amp;distr_type=8&amp;pp=605" TargetMode="External"/><Relationship Id="rId1049" Type="http://schemas.openxmlformats.org/officeDocument/2006/relationships/hyperlink" Target="https://www.ozon.ru/product/3159927877" TargetMode="External"/><Relationship Id="rId217" Type="http://schemas.openxmlformats.org/officeDocument/2006/relationships/hyperlink" Target="https://www.ozon.ru/product/1613724697" TargetMode="External"/><Relationship Id="rId459" Type="http://schemas.openxmlformats.org/officeDocument/2006/relationships/hyperlink" Target="https://www.wildberries.ru/catalog/138754901/detail.aspx" TargetMode="External"/><Relationship Id="rId216" Type="http://schemas.openxmlformats.org/officeDocument/2006/relationships/hyperlink" Target="https://www.wildberries.ru/catalog/240166228/detail.aspx" TargetMode="External"/><Relationship Id="rId458" Type="http://schemas.openxmlformats.org/officeDocument/2006/relationships/hyperlink" Target="https://www.ozon.ru/product/786142411" TargetMode="External"/><Relationship Id="rId215" Type="http://schemas.openxmlformats.org/officeDocument/2006/relationships/hyperlink" Target="https://drive.google.com/drive/folders/1ySrfx_k1dHppSCuT11-UWd1OHtg3JaGD" TargetMode="External"/><Relationship Id="rId457" Type="http://schemas.openxmlformats.org/officeDocument/2006/relationships/hyperlink" Target="https://www.wildberries.ru/catalog/133694038/detail.aspx" TargetMode="External"/><Relationship Id="rId699" Type="http://schemas.openxmlformats.org/officeDocument/2006/relationships/hyperlink" Target="https://market.yandex.ru/card/vitaminy-dlya-diabetikov-dlya-profilaktiki-ot-sakharnogo-diabeta-alteya-insulayt-60-kapsul/103515443020?businessId=1422090&amp;clid=1422090&amp;model_id=1352508276&amp;distr_type=8&amp;pp=605" TargetMode="External"/><Relationship Id="rId214" Type="http://schemas.openxmlformats.org/officeDocument/2006/relationships/hyperlink" Target="https://goldapple.ru/catalogsearch/result?q=99000118638" TargetMode="External"/><Relationship Id="rId456" Type="http://schemas.openxmlformats.org/officeDocument/2006/relationships/hyperlink" Target="https://market.yandex.ru/card/vitaminy-dlya-immuniteta-kompleks-d3-vitamin-s-i-tsink-khelat-qeep/103665484859?businessId=8291477&amp;clid=8291477&amp;model_id=1111672191&amp;distr_type=8&amp;pp=605" TargetMode="External"/><Relationship Id="rId698" Type="http://schemas.openxmlformats.org/officeDocument/2006/relationships/hyperlink" Target="https://www.ozon.ru/product/1566867106" TargetMode="External"/><Relationship Id="rId219" Type="http://schemas.openxmlformats.org/officeDocument/2006/relationships/hyperlink" Target="https://goldapple.ru/catalogsearch/result?q=99000118345" TargetMode="External"/><Relationship Id="rId218" Type="http://schemas.openxmlformats.org/officeDocument/2006/relationships/hyperlink" Target="https://market.yandex.ru/card/vitaminy-dlya-immuniteta-nac-kompleks-ot-orvi-90-kapsul/103396767624?businessId=8291477&amp;clid=8291477&amp;model_id=1280856904&amp;distr_type=8&amp;pp=605" TargetMode="External"/><Relationship Id="rId451" Type="http://schemas.openxmlformats.org/officeDocument/2006/relationships/hyperlink" Target="https://www.wildberries.ru/catalog/294499169/detail.aspx" TargetMode="External"/><Relationship Id="rId693" Type="http://schemas.openxmlformats.org/officeDocument/2006/relationships/hyperlink" Target="https://www.ozon.ru/product/2067952800" TargetMode="External"/><Relationship Id="rId1040" Type="http://schemas.openxmlformats.org/officeDocument/2006/relationships/hyperlink" Target="https://market.yandex.ru/card/zhiroszhigatel-dlya-pokhudeniya-sportivnyye-vitaminy-dlya-snizheniya-vesa-bad-frutaksa/103515403562?businessId=1422090&amp;clid=1422090&amp;model_id=967593294&amp;distr_type=8&amp;pp=605" TargetMode="External"/><Relationship Id="rId450" Type="http://schemas.openxmlformats.org/officeDocument/2006/relationships/hyperlink" Target="https://www.ozon.ru/product/946976846" TargetMode="External"/><Relationship Id="rId692" Type="http://schemas.openxmlformats.org/officeDocument/2006/relationships/hyperlink" Target="https://www.wildberries.ru/catalog/399763000/detail.aspx" TargetMode="External"/><Relationship Id="rId1041" Type="http://schemas.openxmlformats.org/officeDocument/2006/relationships/hyperlink" Target="https://www.wildberries.ru/catalog/399759797/detail.aspx" TargetMode="External"/><Relationship Id="rId691" Type="http://schemas.openxmlformats.org/officeDocument/2006/relationships/hyperlink" Target="https://disk.yandex.ru/d/kecS7gn8qPo4ZA" TargetMode="External"/><Relationship Id="rId1042" Type="http://schemas.openxmlformats.org/officeDocument/2006/relationships/hyperlink" Target="https://www.ozon.ru/product/2067921716" TargetMode="External"/><Relationship Id="rId690" Type="http://schemas.openxmlformats.org/officeDocument/2006/relationships/hyperlink" Target="https://www.letu.ru/product/alteya-krem-dlya-kudryavyh-i-vyushchihsya-volos/178102009?sort=default&amp;open=cleanBeauty%7Eingredient%7EskinNeeds%7EforWhom&amp;hide=expectedEffect%7EnotContain%7EskinTypes%7EhairType" TargetMode="External"/><Relationship Id="rId1043" Type="http://schemas.openxmlformats.org/officeDocument/2006/relationships/hyperlink" Target="https://www.wildberries.ru/catalog/209229089/detail.aspx" TargetMode="External"/><Relationship Id="rId213" Type="http://schemas.openxmlformats.org/officeDocument/2006/relationships/hyperlink" Target="https://market.yandex.ru/card/omega-3-1620-mg-epa-792-mg-dha-528-mg-qeep-90-kapsul/103262837664?businessId=8291477&amp;clid=8291477&amp;model_id=1885081753&amp;distr_type=8&amp;pp=605" TargetMode="External"/><Relationship Id="rId455" Type="http://schemas.openxmlformats.org/officeDocument/2006/relationships/hyperlink" Target="https://www.ozon.ru/product/1773357213" TargetMode="External"/><Relationship Id="rId697" Type="http://schemas.openxmlformats.org/officeDocument/2006/relationships/hyperlink" Target="https://www.wildberries.ru/catalog/229280202/detail.aspx" TargetMode="External"/><Relationship Id="rId1044" Type="http://schemas.openxmlformats.org/officeDocument/2006/relationships/hyperlink" Target="https://www.ozon.ru/product/1422277198" TargetMode="External"/><Relationship Id="rId212" Type="http://schemas.openxmlformats.org/officeDocument/2006/relationships/hyperlink" Target="https://www.ozon.ru/product/989542196" TargetMode="External"/><Relationship Id="rId454" Type="http://schemas.openxmlformats.org/officeDocument/2006/relationships/hyperlink" Target="https://www.wildberries.ru/catalog/294499845/detail.aspx" TargetMode="External"/><Relationship Id="rId696" Type="http://schemas.openxmlformats.org/officeDocument/2006/relationships/hyperlink" Target="https://www.letu.ru/product/alteya-penka-dlya-ukladki-kudryavyh-volos/177305598" TargetMode="External"/><Relationship Id="rId1045" Type="http://schemas.openxmlformats.org/officeDocument/2006/relationships/hyperlink" Target="https://market.yandex.ru/card/glikiron-bad-dlya-profilaktiki-diabeta-kontrol-appetita/103515427024?businessId=1422090&amp;clid=1422090&amp;model_id=1352508276&amp;distr_type=8&amp;pp=605" TargetMode="External"/><Relationship Id="rId211" Type="http://schemas.openxmlformats.org/officeDocument/2006/relationships/hyperlink" Target="https://www.wildberries.ru/catalog/161948275/detail.aspx" TargetMode="External"/><Relationship Id="rId453" Type="http://schemas.openxmlformats.org/officeDocument/2006/relationships/hyperlink" Target="https://market.yandex.ru/card/kompleks-vitaminov-dlya-zhenshchin-omega-3-biotin-kollagen-qeep/103665478170?businessId=8291477&amp;showOriginalKmEmptyOffer=1&amp;ogV=-10" TargetMode="External"/><Relationship Id="rId695" Type="http://schemas.openxmlformats.org/officeDocument/2006/relationships/hyperlink" Target="https://goldapple.ru/catalogsearch/result?q=99000125266" TargetMode="External"/><Relationship Id="rId1046" Type="http://schemas.openxmlformats.org/officeDocument/2006/relationships/hyperlink" Target="https://www.wildberries.ru/catalog/616101955/detail.aspx" TargetMode="External"/><Relationship Id="rId210" Type="http://schemas.openxmlformats.org/officeDocument/2006/relationships/hyperlink" Target="https://drive.google.com/drive/folders/1x8BA-mv8v_o4slyl7SBR7GKpEqah_Wck" TargetMode="External"/><Relationship Id="rId452" Type="http://schemas.openxmlformats.org/officeDocument/2006/relationships/hyperlink" Target="https://www.ozon.ru/product/1773312643" TargetMode="External"/><Relationship Id="rId694" Type="http://schemas.openxmlformats.org/officeDocument/2006/relationships/hyperlink" Target="https://market.yandex.ru/card/penka-dlya-ukladki-volos-alteya-150-ml/4476308791?businessId=1422090&amp;clid=1422090&amp;model_id=1243127253&amp;distr_type=8&amp;pp=605" TargetMode="External"/><Relationship Id="rId1047" Type="http://schemas.openxmlformats.org/officeDocument/2006/relationships/hyperlink" Target="https://www.ozon.ru/product/1129297876" TargetMode="External"/><Relationship Id="rId491" Type="http://schemas.openxmlformats.org/officeDocument/2006/relationships/hyperlink" Target="https://www.ozon.ru/product/880444120" TargetMode="External"/><Relationship Id="rId490" Type="http://schemas.openxmlformats.org/officeDocument/2006/relationships/hyperlink" Target="https://www.wildberries.ru/catalog/149730224/detail.aspx" TargetMode="External"/><Relationship Id="rId249" Type="http://schemas.openxmlformats.org/officeDocument/2006/relationships/hyperlink" Target="https://www.wildberries.ru/catalog/196519115/detail.aspx" TargetMode="External"/><Relationship Id="rId248" Type="http://schemas.openxmlformats.org/officeDocument/2006/relationships/hyperlink" Target="https://drive.google.com/drive/folders/1Ff011wv7rQ4F7-IgqVQmiO7I_ZhEFkeB" TargetMode="External"/><Relationship Id="rId247" Type="http://schemas.openxmlformats.org/officeDocument/2006/relationships/hyperlink" Target="https://goldapple.ru/catalogsearch/result?q=99000121333" TargetMode="External"/><Relationship Id="rId489" Type="http://schemas.openxmlformats.org/officeDocument/2006/relationships/hyperlink" Target="https://www.ozon.ru/product/872805901" TargetMode="External"/><Relationship Id="rId1070" Type="http://schemas.openxmlformats.org/officeDocument/2006/relationships/hyperlink" Target="https://www.ozon.ru/product/307654206" TargetMode="External"/><Relationship Id="rId1071" Type="http://schemas.openxmlformats.org/officeDocument/2006/relationships/hyperlink" Target="https://market.yandex.ru/card/maz-ot-gribka-nogtey-i-stopy-nog-protivogribkovaya-mikolan-ot-treshchin--15-ml/103331097324?businessId=1422090&amp;clid=1422090&amp;model_id=1443573112&amp;distr_type=8&amp;pp=605" TargetMode="External"/><Relationship Id="rId1072" Type="http://schemas.openxmlformats.org/officeDocument/2006/relationships/hyperlink" Target="https://www.wildberries.ru/catalog/144854900/detail.aspx" TargetMode="External"/><Relationship Id="rId242" Type="http://schemas.openxmlformats.org/officeDocument/2006/relationships/hyperlink" Target="https://www.ozon.ru/product/1032695400" TargetMode="External"/><Relationship Id="rId484" Type="http://schemas.openxmlformats.org/officeDocument/2006/relationships/hyperlink" Target="https://www.wildberries.ru/catalog/90471365/detail.aspx" TargetMode="External"/><Relationship Id="rId1073" Type="http://schemas.openxmlformats.org/officeDocument/2006/relationships/hyperlink" Target="https://www.ozon.ru/product/847511103" TargetMode="External"/><Relationship Id="rId241" Type="http://schemas.openxmlformats.org/officeDocument/2006/relationships/hyperlink" Target="https://www.wildberries.ru/catalog/165252790/detail.aspx" TargetMode="External"/><Relationship Id="rId483" Type="http://schemas.openxmlformats.org/officeDocument/2006/relationships/hyperlink" Target="https://www.ozon.ru/product/617417253" TargetMode="External"/><Relationship Id="rId1074" Type="http://schemas.openxmlformats.org/officeDocument/2006/relationships/hyperlink" Target="https://market.yandex.ru/card/krem-ot-varikoza-ustalosti-i-otekov-nog-vetonus-30-ml/101961328078?businessId=1422090&amp;clid=1422090&amp;model_id=1256606336&amp;distr_type=8&amp;pp=605" TargetMode="External"/><Relationship Id="rId240" Type="http://schemas.openxmlformats.org/officeDocument/2006/relationships/hyperlink" Target="https://market.yandex.ru/card/tsink-khelat-25-mg-qeep-90-tabletok/101948497015?businessId=8291477&amp;clid=8291477&amp;model_id=838753782&amp;distr_type=8&amp;pp=605" TargetMode="External"/><Relationship Id="rId482" Type="http://schemas.openxmlformats.org/officeDocument/2006/relationships/hyperlink" Target="https://www.wildberries.ru/catalog/90382271/detail.aspx" TargetMode="External"/><Relationship Id="rId1075" Type="http://schemas.openxmlformats.org/officeDocument/2006/relationships/hyperlink" Target="https://www.wildberries.ru/catalog/41656854/detail.aspx" TargetMode="External"/><Relationship Id="rId481" Type="http://schemas.openxmlformats.org/officeDocument/2006/relationships/hyperlink" Target="https://www.ozon.ru/product/967716766" TargetMode="External"/><Relationship Id="rId1076" Type="http://schemas.openxmlformats.org/officeDocument/2006/relationships/hyperlink" Target="https://www.ozon.ru/product/356313449" TargetMode="External"/><Relationship Id="rId246" Type="http://schemas.openxmlformats.org/officeDocument/2006/relationships/hyperlink" Target="https://market.yandex.ru/card/vitamin-d3-5000-me-k2-125-mkg-qeep-120-tabletok/103398256605?businessId=8291477&amp;clid=8291477&amp;model_id=1111672191&amp;distr_type=8&amp;pp=605" TargetMode="External"/><Relationship Id="rId488" Type="http://schemas.openxmlformats.org/officeDocument/2006/relationships/hyperlink" Target="https://www.wildberries.ru/catalog/145755886/detail.aspx" TargetMode="External"/><Relationship Id="rId1077" Type="http://schemas.openxmlformats.org/officeDocument/2006/relationships/hyperlink" Target="https://market.yandex.ru/card/vozbuditel-dlya-muzhchin-silnyy-dlya-potentsii-i-erektsii-18/102200689078?businessId=1422090&amp;clid=1422090&amp;model_id=696711021&amp;distr_type=8&amp;pp=605" TargetMode="External"/><Relationship Id="rId245" Type="http://schemas.openxmlformats.org/officeDocument/2006/relationships/hyperlink" Target="https://www.ozon.ru/product/1499949331" TargetMode="External"/><Relationship Id="rId487" Type="http://schemas.openxmlformats.org/officeDocument/2006/relationships/hyperlink" Target="https://www.ozon.ru/product/871809764" TargetMode="External"/><Relationship Id="rId1078" Type="http://schemas.openxmlformats.org/officeDocument/2006/relationships/hyperlink" Target="https://www.wildberries.ru/catalog/244342184/detail.aspx" TargetMode="External"/><Relationship Id="rId244" Type="http://schemas.openxmlformats.org/officeDocument/2006/relationships/hyperlink" Target="https://www.wildberries.ru/catalog/209196024/detail.aspx" TargetMode="External"/><Relationship Id="rId486" Type="http://schemas.openxmlformats.org/officeDocument/2006/relationships/hyperlink" Target="https://www.wildberries.ru/catalog/148386453/detail.aspx" TargetMode="External"/><Relationship Id="rId1079" Type="http://schemas.openxmlformats.org/officeDocument/2006/relationships/hyperlink" Target="https://www.ozon.ru/product/1629559728" TargetMode="External"/><Relationship Id="rId243" Type="http://schemas.openxmlformats.org/officeDocument/2006/relationships/hyperlink" Target="https://drive.google.com/drive/folders/1moRzguS5Ptx9hhgAKcigDTHgVdJci-MP" TargetMode="External"/><Relationship Id="rId485" Type="http://schemas.openxmlformats.org/officeDocument/2006/relationships/hyperlink" Target="https://www.ozon.ru/product/618268309" TargetMode="External"/><Relationship Id="rId480" Type="http://schemas.openxmlformats.org/officeDocument/2006/relationships/hyperlink" Target="https://www.wildberries.ru/catalog/159980608/detail.aspx" TargetMode="External"/><Relationship Id="rId239" Type="http://schemas.openxmlformats.org/officeDocument/2006/relationships/hyperlink" Target="https://www.ozon.ru/product/814824220" TargetMode="External"/><Relationship Id="rId238" Type="http://schemas.openxmlformats.org/officeDocument/2006/relationships/hyperlink" Target="https://www.wildberries.ru/catalog/138758948/detail.aspx" TargetMode="External"/><Relationship Id="rId237" Type="http://schemas.openxmlformats.org/officeDocument/2006/relationships/hyperlink" Target="https://drive.google.com/drive/folders/1nyCK7KtfFdw6ATDyZiUsp-8R_xsvasJf" TargetMode="External"/><Relationship Id="rId479" Type="http://schemas.openxmlformats.org/officeDocument/2006/relationships/hyperlink" Target="https://www.ozon.ru/product/637790722" TargetMode="External"/><Relationship Id="rId236" Type="http://schemas.openxmlformats.org/officeDocument/2006/relationships/hyperlink" Target="https://goldapple.ru/catalogsearch/result?q=99000121335" TargetMode="External"/><Relationship Id="rId478" Type="http://schemas.openxmlformats.org/officeDocument/2006/relationships/hyperlink" Target="https://www.wildberries.ru/catalog/91968870/detail.aspx" TargetMode="External"/><Relationship Id="rId1060" Type="http://schemas.openxmlformats.org/officeDocument/2006/relationships/hyperlink" Target="https://www.wildberries.ru/catalog/35495802/detail.aspx" TargetMode="External"/><Relationship Id="rId1061" Type="http://schemas.openxmlformats.org/officeDocument/2006/relationships/hyperlink" Target="https://www.ozon.ru/product/296790094" TargetMode="External"/><Relationship Id="rId231" Type="http://schemas.openxmlformats.org/officeDocument/2006/relationships/hyperlink" Target="https://market.yandex.ru/card/kurkumin-500-mg-qeep-60-kapsul/103262837666?businessId=8291477&amp;clid=8291477&amp;model_id=1826260757&amp;distr_type=8&amp;pp=605" TargetMode="External"/><Relationship Id="rId473" Type="http://schemas.openxmlformats.org/officeDocument/2006/relationships/hyperlink" Target="https://www.ozon.ru/product/782091641" TargetMode="External"/><Relationship Id="rId1062" Type="http://schemas.openxmlformats.org/officeDocument/2006/relationships/hyperlink" Target="https://market.yandex.ru/card/vitaminnyy-kompleks-dlya-diabetikov-glikiron-dlya-immuniteta-dlya-energii-vitaminy-sakharnyy-diabet--50-ml/101740440649?businessId=1422090&amp;clid=1422090&amp;model_id=1352508276&amp;distr_type=8&amp;pp=605" TargetMode="External"/><Relationship Id="rId230" Type="http://schemas.openxmlformats.org/officeDocument/2006/relationships/hyperlink" Target="https://www.ozon.ru/product/881205774" TargetMode="External"/><Relationship Id="rId472" Type="http://schemas.openxmlformats.org/officeDocument/2006/relationships/hyperlink" Target="https://www.wildberries.ru/catalog/133851547/detail.aspx" TargetMode="External"/><Relationship Id="rId1063" Type="http://schemas.openxmlformats.org/officeDocument/2006/relationships/hyperlink" Target="https://www.wildberries.ru/catalog/176859687/detail.aspx" TargetMode="External"/><Relationship Id="rId471" Type="http://schemas.openxmlformats.org/officeDocument/2006/relationships/hyperlink" Target="https://www.ozon.ru/product/983821094" TargetMode="External"/><Relationship Id="rId1064" Type="http://schemas.openxmlformats.org/officeDocument/2006/relationships/hyperlink" Target="https://www.ozon.ru/product/1188108975" TargetMode="External"/><Relationship Id="rId470" Type="http://schemas.openxmlformats.org/officeDocument/2006/relationships/hyperlink" Target="https://www.wildberries.ru/catalog/161355809/detail.aspx" TargetMode="External"/><Relationship Id="rId1065" Type="http://schemas.openxmlformats.org/officeDocument/2006/relationships/hyperlink" Target="https://market.yandex.ru/card/krem-ot-varikoza-ustalosti-i-otekov-nog-vetonus-naturalnyy-30-ml/103515420172?do-waremd5=IvP84Ce4DEFaXdXSkAj7_Q&amp;businessId=1422090&amp;ogV=-10" TargetMode="External"/><Relationship Id="rId235" Type="http://schemas.openxmlformats.org/officeDocument/2006/relationships/hyperlink" Target="https://market.yandex.ru/card/vitamin-d3-kapli-500-me-qeep-30-ml/102019832737?businessId=8291477&amp;clid=8291477&amp;model_id=1111672191&amp;distr_type=8&amp;pp=605" TargetMode="External"/><Relationship Id="rId477" Type="http://schemas.openxmlformats.org/officeDocument/2006/relationships/hyperlink" Target="https://www.ozon.ru/product/901402455" TargetMode="External"/><Relationship Id="rId1066" Type="http://schemas.openxmlformats.org/officeDocument/2006/relationships/hyperlink" Target="https://www.wildberries.ru/catalog/234152631/detail.aspx" TargetMode="External"/><Relationship Id="rId234" Type="http://schemas.openxmlformats.org/officeDocument/2006/relationships/hyperlink" Target="https://www.ozon.ru/product/945003764" TargetMode="External"/><Relationship Id="rId476" Type="http://schemas.openxmlformats.org/officeDocument/2006/relationships/hyperlink" Target="https://www.wildberries.ru/catalog/152169206/detail.aspx" TargetMode="External"/><Relationship Id="rId1067" Type="http://schemas.openxmlformats.org/officeDocument/2006/relationships/hyperlink" Target="https://www.ozon.ru/product/1590064366" TargetMode="External"/><Relationship Id="rId233" Type="http://schemas.openxmlformats.org/officeDocument/2006/relationships/hyperlink" Target="https://www.wildberries.ru/catalog/157382017/detail.aspx" TargetMode="External"/><Relationship Id="rId475" Type="http://schemas.openxmlformats.org/officeDocument/2006/relationships/hyperlink" Target="https://www.ozon.ru/product/784856113" TargetMode="External"/><Relationship Id="rId1068" Type="http://schemas.openxmlformats.org/officeDocument/2006/relationships/hyperlink" Target="https://market.yandex.ru/card/vitaminy-dlya-diabetikov-ot-sakharnogo-diabeta-alteya-glyukofol-10-ml/103515407115?businessId=1422090&amp;clid=1422090&amp;model_id=1352508276&amp;distr_type=8&amp;pp=605" TargetMode="External"/><Relationship Id="rId232" Type="http://schemas.openxmlformats.org/officeDocument/2006/relationships/hyperlink" Target="https://goldapple.ru/catalogsearch/result?q=99000122833" TargetMode="External"/><Relationship Id="rId474" Type="http://schemas.openxmlformats.org/officeDocument/2006/relationships/hyperlink" Target="https://www.wildberries.ru/catalog/134150432/detail.aspx" TargetMode="External"/><Relationship Id="rId1069" Type="http://schemas.openxmlformats.org/officeDocument/2006/relationships/hyperlink" Target="https://www.wildberries.ru/catalog/37671984/detail.aspx" TargetMode="External"/><Relationship Id="rId1015" Type="http://schemas.openxmlformats.org/officeDocument/2006/relationships/hyperlink" Target="https://market.yandex.ru/card/sredstvo-ot-kureniya-i-nikotinovoy-zavisimosti-smoking-lock-legkiy-sposob-brosit-kurit-10-ml/103340891622?businessId=1422090&amp;clid=1422090&amp;model_id=427447301&amp;distr_type=8&amp;pp=605" TargetMode="External"/><Relationship Id="rId1016" Type="http://schemas.openxmlformats.org/officeDocument/2006/relationships/hyperlink" Target="https://www.wildberries.ru/catalog/525496072/detail.aspx" TargetMode="External"/><Relationship Id="rId1017" Type="http://schemas.openxmlformats.org/officeDocument/2006/relationships/hyperlink" Target="https://www.ozon.ru/product/2825129893" TargetMode="External"/><Relationship Id="rId1018" Type="http://schemas.openxmlformats.org/officeDocument/2006/relationships/hyperlink" Target="https://market.yandex.ru/card/kompleks-detoks-dlya-ochishcheniya-pecheni-i-kishechnika-dlya-pokhudeniya-detokc-dlya-pecheni-alteya-mitseliks-10-sht-kh-2/4640678632?businessId=1422090&amp;clid=1422090&amp;model_id=625422045&amp;distr_type=8&amp;pp=605" TargetMode="External"/><Relationship Id="rId1019" Type="http://schemas.openxmlformats.org/officeDocument/2006/relationships/hyperlink" Target="https://www.wildberries.ru/catalog/192909505/detail.aspx" TargetMode="External"/><Relationship Id="rId426" Type="http://schemas.openxmlformats.org/officeDocument/2006/relationships/hyperlink" Target="https://disk.yandex.ru/d/ayGr3FzCjXYFqg" TargetMode="External"/><Relationship Id="rId668" Type="http://schemas.openxmlformats.org/officeDocument/2006/relationships/hyperlink" Target="https://market.yandex.ru/card/kavkazskaya-maz-naturalnoye-lechebnoye-sredstvo-dlya-sustavov-i-svyazok-obezbolivayushcheye-alteya-60ml/103515421547?businessId=1422090&amp;clid=1422090&amp;model_id=997149439&amp;distr_type=8&amp;pp=605" TargetMode="External"/><Relationship Id="rId425" Type="http://schemas.openxmlformats.org/officeDocument/2006/relationships/hyperlink" Target="https://drive.google.com/drive/folders/1-J6XXO4qJ1GCRsO4xoPlqV65cDvkpWrK" TargetMode="External"/><Relationship Id="rId667" Type="http://schemas.openxmlformats.org/officeDocument/2006/relationships/hyperlink" Target="https://www.ozon.ru/product/1548037857" TargetMode="External"/><Relationship Id="rId424" Type="http://schemas.openxmlformats.org/officeDocument/2006/relationships/hyperlink" Target="https://market.yandex.ru/card/shampun-dlya-sobak-i-koshek-ot-blokh-i-kleshchey-harly-500-ml/103536273553?businessId=8291477&amp;clid=8291477&amp;model_id=965085250&amp;distr_type=8&amp;pp=605" TargetMode="External"/><Relationship Id="rId666" Type="http://schemas.openxmlformats.org/officeDocument/2006/relationships/hyperlink" Target="https://www.wildberries.ru/catalog/223763365/detail.aspx" TargetMode="External"/><Relationship Id="rId423" Type="http://schemas.openxmlformats.org/officeDocument/2006/relationships/hyperlink" Target="https://www.ozon.ru/product/1703618254" TargetMode="External"/><Relationship Id="rId665" Type="http://schemas.openxmlformats.org/officeDocument/2006/relationships/hyperlink" Target="https://market.yandex.ru/card/sredstvo-ot-davleniya-vitaminy-dlya-serdtsa-chistka-sosudov-alteya-karditsin-3-sht/103515442073?businessId=1422090&amp;clid=1422090&amp;model_id=1452481401&amp;distr_type=8&amp;pp=605" TargetMode="External"/><Relationship Id="rId429" Type="http://schemas.openxmlformats.org/officeDocument/2006/relationships/hyperlink" Target="https://www.wildberries.ru/catalog/294499466/detail.aspx" TargetMode="External"/><Relationship Id="rId428" Type="http://schemas.openxmlformats.org/officeDocument/2006/relationships/hyperlink" Target="https://www.ozon.ru/product/1581800376" TargetMode="External"/><Relationship Id="rId427" Type="http://schemas.openxmlformats.org/officeDocument/2006/relationships/hyperlink" Target="https://www.wildberries.ru/catalog/232462000/detail.aspx" TargetMode="External"/><Relationship Id="rId669" Type="http://schemas.openxmlformats.org/officeDocument/2006/relationships/hyperlink" Target="https://www.wildberries.ru/catalog/174464512/detail.aspx" TargetMode="External"/><Relationship Id="rId660" Type="http://schemas.openxmlformats.org/officeDocument/2006/relationships/hyperlink" Target="https://www.wildberries.ru/catalog/197804490/detail.aspx" TargetMode="External"/><Relationship Id="rId1010" Type="http://schemas.openxmlformats.org/officeDocument/2006/relationships/hyperlink" Target="https://www.wildberries.ru/catalog/17904962/detail.aspx" TargetMode="External"/><Relationship Id="rId422" Type="http://schemas.openxmlformats.org/officeDocument/2006/relationships/hyperlink" Target="https://www.wildberries.ru/catalog/255212157/detail.aspx" TargetMode="External"/><Relationship Id="rId664" Type="http://schemas.openxmlformats.org/officeDocument/2006/relationships/hyperlink" Target="https://www.ozon.ru/product/1129301060" TargetMode="External"/><Relationship Id="rId1011" Type="http://schemas.openxmlformats.org/officeDocument/2006/relationships/hyperlink" Target="https://www.ozon.ru/product/289030651" TargetMode="External"/><Relationship Id="rId421" Type="http://schemas.openxmlformats.org/officeDocument/2006/relationships/hyperlink" Target="https://drive.google.com/drive/folders/1T_oEVdz0zANAixQCLSZxeJvn2LcgaAkx" TargetMode="External"/><Relationship Id="rId663" Type="http://schemas.openxmlformats.org/officeDocument/2006/relationships/hyperlink" Target="https://www.wildberries.ru/catalog/176157837/detail.aspx" TargetMode="External"/><Relationship Id="rId1012" Type="http://schemas.openxmlformats.org/officeDocument/2006/relationships/hyperlink" Target="https://market.yandex.ru/card/krem-ot-varikoza-ustalosti-i-otekov-nog-okhlazhdayushchiy-varitox-30-ml/103515423625?businessId=1422090&amp;clid=1422090&amp;model_id=1256606336&amp;distr_type=8&amp;pp=605" TargetMode="External"/><Relationship Id="rId420" Type="http://schemas.openxmlformats.org/officeDocument/2006/relationships/hyperlink" Target="https://market.yandex.ru/card/shampun-dlya-sobak-gipoallergennyy-s-pantenolom-harly-500-ml/103812550678?businessId=8291477&amp;clid=8291477&amp;model_id=965085250&amp;distr_type=8&amp;pp=605" TargetMode="External"/><Relationship Id="rId662" Type="http://schemas.openxmlformats.org/officeDocument/2006/relationships/hyperlink" Target="https://market.yandex.ru/card/sustalit-hondro-extra-krem-dnar-prim/103614742298?businessId=1422090&amp;clid=1422090&amp;model_id=1111443278&amp;distr_type=8&amp;pp=605" TargetMode="External"/><Relationship Id="rId1013" Type="http://schemas.openxmlformats.org/officeDocument/2006/relationships/hyperlink" Target="https://www.wildberries.ru/catalog/95461301/detail.aspx" TargetMode="External"/><Relationship Id="rId661" Type="http://schemas.openxmlformats.org/officeDocument/2006/relationships/hyperlink" Target="https://www.ozon.ru/product/1354226463" TargetMode="External"/><Relationship Id="rId1014" Type="http://schemas.openxmlformats.org/officeDocument/2006/relationships/hyperlink" Target="https://www.ozon.ru/product/669955177" TargetMode="External"/><Relationship Id="rId1004" Type="http://schemas.openxmlformats.org/officeDocument/2006/relationships/hyperlink" Target="https://www.ozon.ru/product/2099218978" TargetMode="External"/><Relationship Id="rId1005" Type="http://schemas.openxmlformats.org/officeDocument/2006/relationships/hyperlink" Target="https://market.yandex.ru/card/testosteron-dlya-muzhchin-ekdisteron-dlya-potentsii-i-myshts-sportivnyy-tsink-muzhskoye-zdorovye-testobuster-vitaminy-dlya-muzhchin-buster-alteya-60-kapsul/4476310745?businessId=1422090&amp;clid=1422090&amp;model_id=841569704&amp;distr_type=8&amp;pp=605" TargetMode="External"/><Relationship Id="rId1006" Type="http://schemas.openxmlformats.org/officeDocument/2006/relationships/hyperlink" Target="https://www.wildberries.ru/catalog/186794178/detail.aspx" TargetMode="External"/><Relationship Id="rId1007" Type="http://schemas.openxmlformats.org/officeDocument/2006/relationships/hyperlink" Target="https://www.ozon.ru/product/1271351989" TargetMode="External"/><Relationship Id="rId1008" Type="http://schemas.openxmlformats.org/officeDocument/2006/relationships/hyperlink" Target="https://market.yandex.ru/card/krem-ot-psoriaza-i-dermatita-uvlazhnyayushchiy-psoral-50ml/103331699962?businessId=1422090&amp;clid=1422090&amp;model_id=625386382&amp;distr_type=8&amp;pp=605" TargetMode="External"/><Relationship Id="rId1009" Type="http://schemas.openxmlformats.org/officeDocument/2006/relationships/hyperlink" Target="https://goldapple.ru/catalogsearch/result?q=99000125141" TargetMode="External"/><Relationship Id="rId415" Type="http://schemas.openxmlformats.org/officeDocument/2006/relationships/hyperlink" Target="https://www.ozon.ru/product/1503121227" TargetMode="External"/><Relationship Id="rId657" Type="http://schemas.openxmlformats.org/officeDocument/2006/relationships/hyperlink" Target="https://goldapple.ru/catalogsearch/result?q=99000114730" TargetMode="External"/><Relationship Id="rId899" Type="http://schemas.openxmlformats.org/officeDocument/2006/relationships/hyperlink" Target="https://goldapple.ru/catalogsearch/result?q=99000076204" TargetMode="External"/><Relationship Id="rId414" Type="http://schemas.openxmlformats.org/officeDocument/2006/relationships/hyperlink" Target="https://www.wildberries.ru/catalog/219926965/detail.aspx" TargetMode="External"/><Relationship Id="rId656" Type="http://schemas.openxmlformats.org/officeDocument/2006/relationships/hyperlink" Target="https://market.yandex.ru/card/krem-ot-pryshchey-tochechnyyprotiv-pryshchey-ot-akne-komedonov-ugrey-chernykh-tochek-sredstvo-dlya-podrostkov-dlya-problemnoy-kozhi-gel-ot-pryshchey-na-litse-calitsilovaya-azelainovaya-kislota-alteya-20-ml/4600273902?businessId=1422090&amp;clid=1422090&amp;model_id=825803004&amp;distr_type=8&amp;pp=605" TargetMode="External"/><Relationship Id="rId898" Type="http://schemas.openxmlformats.org/officeDocument/2006/relationships/hyperlink" Target="https://market.yandex.ru/card/skrab-dlya-kozhi-golovy-professionalnyy-skrab-ot-perkhoti-alteya-100-ml/103515740712?do-waremd5=33NruUgm-dAX5isGmpSLfA&amp;businessId=1422090&amp;generalContext=t%3DshopInShop%3Bbi%3D1422090%3B&amp;ogV=-10" TargetMode="External"/><Relationship Id="rId413" Type="http://schemas.openxmlformats.org/officeDocument/2006/relationships/hyperlink" Target="https://disk.yandex.ru/d/ENO2xWPcY-x_ow" TargetMode="External"/><Relationship Id="rId655" Type="http://schemas.openxmlformats.org/officeDocument/2006/relationships/hyperlink" Target="https://www.ozon.ru/product/2616859755" TargetMode="External"/><Relationship Id="rId897" Type="http://schemas.openxmlformats.org/officeDocument/2006/relationships/hyperlink" Target="https://www.ozon.ru/product/1500346998" TargetMode="External"/><Relationship Id="rId412" Type="http://schemas.openxmlformats.org/officeDocument/2006/relationships/hyperlink" Target="https://drive.google.com/drive/folders/1a1O5ltrutmd1Tv8ut3dyh6fsHUdeQj1a" TargetMode="External"/><Relationship Id="rId654" Type="http://schemas.openxmlformats.org/officeDocument/2006/relationships/hyperlink" Target="https://www.wildberries.ru/catalog/488959127/detail.aspx" TargetMode="External"/><Relationship Id="rId896" Type="http://schemas.openxmlformats.org/officeDocument/2006/relationships/hyperlink" Target="https://www.wildberries.ru/catalog/216502265/detail.aspx" TargetMode="External"/><Relationship Id="rId419" Type="http://schemas.openxmlformats.org/officeDocument/2006/relationships/hyperlink" Target="https://www.ozon.ru/product/1873383663" TargetMode="External"/><Relationship Id="rId418" Type="http://schemas.openxmlformats.org/officeDocument/2006/relationships/hyperlink" Target="https://www.wildberries.ru/catalog/325216323/detail.aspx" TargetMode="External"/><Relationship Id="rId417" Type="http://schemas.openxmlformats.org/officeDocument/2006/relationships/hyperlink" Target="https://drive.google.com/drive/folders/1T1dCQqYqrclZHXDdhJtsXeGy0N-xNmTP" TargetMode="External"/><Relationship Id="rId659" Type="http://schemas.openxmlformats.org/officeDocument/2006/relationships/hyperlink" Target="https://mm.ru/product/krem-ot-pryschej-5880316?skuId=13130071" TargetMode="External"/><Relationship Id="rId416" Type="http://schemas.openxmlformats.org/officeDocument/2006/relationships/hyperlink" Target="https://market.yandex.ru/card/shampun-dlya-sobak-i-koshek-s-konditsionerom-500-ml/103397002661?businessId=8291477&amp;clid=8291477&amp;model_id=965085250&amp;distr_type=8&amp;pp=605" TargetMode="External"/><Relationship Id="rId658" Type="http://schemas.openxmlformats.org/officeDocument/2006/relationships/hyperlink" Target="https://www.letu.ru/product/alteya-krem-tochechnyi-protiv-pryshchei-akne-komedonov-ugrei-i-chernyh-tochek/176300027?sort=default&amp;open=cleanBeauty%7Eingredient%7EskinNeeds%7EforWhom&amp;hide=expectedEffect%7EnotContain%7EskinTypes%7EhairType" TargetMode="External"/><Relationship Id="rId891" Type="http://schemas.openxmlformats.org/officeDocument/2006/relationships/hyperlink" Target="https://www.wildberries.ru/catalog/484586518/detail.aspx" TargetMode="External"/><Relationship Id="rId890" Type="http://schemas.openxmlformats.org/officeDocument/2006/relationships/hyperlink" Target="https://mm.ru/product/sprej-dlya-volos-5874418?skuId=13117132" TargetMode="External"/><Relationship Id="rId411" Type="http://schemas.openxmlformats.org/officeDocument/2006/relationships/hyperlink" Target="https://market.yandex.ru/card/shampun-dlya-koshek-gipoallergennyy-s-pantenolom-harly-250-ml/103812561953?businessId=8291477&amp;clid=8291477&amp;model_id=965085250&amp;distr_type=8&amp;pp=605" TargetMode="External"/><Relationship Id="rId653" Type="http://schemas.openxmlformats.org/officeDocument/2006/relationships/hyperlink" Target="https://mm.ru/product/anticellyuitnyj-krem-gel-5878029?skuId=13126165" TargetMode="External"/><Relationship Id="rId895" Type="http://schemas.openxmlformats.org/officeDocument/2006/relationships/hyperlink" Target="https://mm.ru/product/krem-dlya-lica-5880769?skuId=13131164" TargetMode="External"/><Relationship Id="rId1000" Type="http://schemas.openxmlformats.org/officeDocument/2006/relationships/hyperlink" Target="https://market.yandex.ru/card/syvorotka-dlya-volos-vosstanavlivayushchaya-s-keratinom-alteya-200-ml/103569196030?businessId=1422090&amp;clid=1422090&amp;model_id=1058774858&amp;distr_type=8&amp;pp=605" TargetMode="External"/><Relationship Id="rId410" Type="http://schemas.openxmlformats.org/officeDocument/2006/relationships/hyperlink" Target="https://www.ozon.ru/product/1873376596" TargetMode="External"/><Relationship Id="rId652" Type="http://schemas.openxmlformats.org/officeDocument/2006/relationships/hyperlink" Target="https://www.letu.ru/product/alteya-antitsellyuitnyi-krem-gel-dlya-tela-ot-tsellyulita/177305599?sort=default&amp;open=cleanBeauty%7Eingredient%7EskinNeeds%7EforWhom&amp;hide=expectedEffect%7EnotContain%7EskinTypes%7EhairType" TargetMode="External"/><Relationship Id="rId894" Type="http://schemas.openxmlformats.org/officeDocument/2006/relationships/hyperlink" Target="https://www.letu.ru/product/alteya-krem-dlya-litsa-uvlazhnyayushchii-pitatelnyi-s-niatsinamidom/177305602?sort=default&amp;open=ingredient%7EforWhom%7EskinNeeds%7EcleanBeauty&amp;hide=expectedEffect%7EnotContain%7EhairType%7EskinTypes" TargetMode="External"/><Relationship Id="rId1001" Type="http://schemas.openxmlformats.org/officeDocument/2006/relationships/hyperlink" Target="https://www.letu.ru/product/alteya-termozashchita-dlya-volos-professionalnaya-s-keratinom-cyvorotka-dlya-volos/163501105?sort=default&amp;open=ingredient%7EforWhom%7EskinNeeds%7EcleanBeauty&amp;hide=expectedEffect%7EnotContain%7EhairType%7EskinTypes" TargetMode="External"/><Relationship Id="rId651" Type="http://schemas.openxmlformats.org/officeDocument/2006/relationships/hyperlink" Target="https://market.yandex.ru/card/krem-dlya-tela-uvlazhnyayushchiy-liftingovyy-alteya-250-ml/4476306934?businessId=1422090&amp;clid=1422090&amp;model_id=1243125469&amp;distr_type=8&amp;pp=605" TargetMode="External"/><Relationship Id="rId893" Type="http://schemas.openxmlformats.org/officeDocument/2006/relationships/hyperlink" Target="https://market.yandex.ru/card/krem-dlya-litsa-uvlazhnyayushchiy-pitatelnyy-s-niatsinamidom-alteya-50-ml/4569591407?businessId=1422090&amp;clid=1422090&amp;model_id=825803004&amp;distr_type=8&amp;pp=605" TargetMode="External"/><Relationship Id="rId1002" Type="http://schemas.openxmlformats.org/officeDocument/2006/relationships/hyperlink" Target="https://mm.ru/product/sprej-dlya-volos-5870813?skuId=13112520" TargetMode="External"/><Relationship Id="rId650" Type="http://schemas.openxmlformats.org/officeDocument/2006/relationships/hyperlink" Target="https://www.ozon.ru/product/2138376665" TargetMode="External"/><Relationship Id="rId892" Type="http://schemas.openxmlformats.org/officeDocument/2006/relationships/hyperlink" Target="https://www.ozon.ru/product/2583139610" TargetMode="External"/><Relationship Id="rId1003" Type="http://schemas.openxmlformats.org/officeDocument/2006/relationships/hyperlink" Target="https://www.wildberries.ru/catalog/409911126/detail.aspx" TargetMode="External"/><Relationship Id="rId1037" Type="http://schemas.openxmlformats.org/officeDocument/2006/relationships/hyperlink" Target="https://www.ozon.ru/product/286744793" TargetMode="External"/><Relationship Id="rId1038" Type="http://schemas.openxmlformats.org/officeDocument/2006/relationships/hyperlink" Target="https://www.wildberries.ru/catalog/223762749/detail.aspx" TargetMode="External"/><Relationship Id="rId1039" Type="http://schemas.openxmlformats.org/officeDocument/2006/relationships/hyperlink" Target="https://www.ozon.ru/product/1542480921" TargetMode="External"/><Relationship Id="rId206" Type="http://schemas.openxmlformats.org/officeDocument/2006/relationships/hyperlink" Target="https://drive.google.com/drive/folders/1f4jOvNo9bbNfeCqj9rVDFqtxQaZ_OOTi" TargetMode="External"/><Relationship Id="rId448" Type="http://schemas.openxmlformats.org/officeDocument/2006/relationships/hyperlink" Target="https://www.ozon.ru/product/1271355943" TargetMode="External"/><Relationship Id="rId205" Type="http://schemas.openxmlformats.org/officeDocument/2006/relationships/hyperlink" Target="https://www.ozon.ru/product/985677823" TargetMode="External"/><Relationship Id="rId447" Type="http://schemas.openxmlformats.org/officeDocument/2006/relationships/hyperlink" Target="https://www.wildberries.ru/catalog/186730528/detail.aspx" TargetMode="External"/><Relationship Id="rId689" Type="http://schemas.openxmlformats.org/officeDocument/2006/relationships/hyperlink" Target="https://market.yandex.ru/card/krem-dlya-kudryavykh-i-vyushchikhsya-volos-alteya-300-ml/4476310899?businessId=1422090&amp;clid=1422090&amp;model_id=625585245&amp;distr_type=8&amp;pp=605" TargetMode="External"/><Relationship Id="rId204" Type="http://schemas.openxmlformats.org/officeDocument/2006/relationships/hyperlink" Target="https://www.wildberries.ru/catalog/161526543/detail.aspx" TargetMode="External"/><Relationship Id="rId446" Type="http://schemas.openxmlformats.org/officeDocument/2006/relationships/hyperlink" Target="https://drive.google.com/drive/folders/1fe40XNW18duzz1jH1DKDYAwIvEmP5p-W" TargetMode="External"/><Relationship Id="rId688" Type="http://schemas.openxmlformats.org/officeDocument/2006/relationships/hyperlink" Target="https://www.ozon.ru/product/2067943215" TargetMode="External"/><Relationship Id="rId203" Type="http://schemas.openxmlformats.org/officeDocument/2006/relationships/hyperlink" Target="https://drive.google.com/drive/folders/1fCnfdV2Eo5L84etkpz_GlEQbBCbEq5HA" TargetMode="External"/><Relationship Id="rId445" Type="http://schemas.openxmlformats.org/officeDocument/2006/relationships/hyperlink" Target="https://www.ozon.ru/product/1068139791" TargetMode="External"/><Relationship Id="rId687" Type="http://schemas.openxmlformats.org/officeDocument/2006/relationships/hyperlink" Target="https://www.wildberries.ru/catalog/399134789/detail.aspx" TargetMode="External"/><Relationship Id="rId209" Type="http://schemas.openxmlformats.org/officeDocument/2006/relationships/hyperlink" Target="https://market.yandex.ru/card/zubnaya-pasta-dlya-sobak-i-koshek/4602254449?businessId=8291477&amp;clid=8291477&amp;model_id=1353065860&amp;distr_type=8&amp;pp=605" TargetMode="External"/><Relationship Id="rId208" Type="http://schemas.openxmlformats.org/officeDocument/2006/relationships/hyperlink" Target="https://www.ozon.ru/product/2686479094" TargetMode="External"/><Relationship Id="rId207" Type="http://schemas.openxmlformats.org/officeDocument/2006/relationships/hyperlink" Target="https://www.wildberries.ru/catalog/494708852/detail.aspx" TargetMode="External"/><Relationship Id="rId449" Type="http://schemas.openxmlformats.org/officeDocument/2006/relationships/hyperlink" Target="https://www.wildberries.ru/catalog/157007801/detail.aspx" TargetMode="External"/><Relationship Id="rId440" Type="http://schemas.openxmlformats.org/officeDocument/2006/relationships/hyperlink" Target="https://www.wildberries.ru/catalog/186780052/detail.aspx" TargetMode="External"/><Relationship Id="rId682" Type="http://schemas.openxmlformats.org/officeDocument/2006/relationships/hyperlink" Target="https://market.yandex.ru/card/vitaminy-dlya-serdtsa-i-sosudov-ot-davleniya-mikardin-alteya-3-upakovki/103596648372?businessId=1422090&amp;clid=1422090&amp;model_id=696476475&amp;distr_type=8&amp;pp=605" TargetMode="External"/><Relationship Id="rId681" Type="http://schemas.openxmlformats.org/officeDocument/2006/relationships/hyperlink" Target="https://www.ozon.ru/product/1129297876" TargetMode="External"/><Relationship Id="rId1030" Type="http://schemas.openxmlformats.org/officeDocument/2006/relationships/hyperlink" Target="https://mm.ru/product/remuver-dlya-udaleniya-kutikuly-alteya-40-5843397?skuId=13065224" TargetMode="External"/><Relationship Id="rId680" Type="http://schemas.openxmlformats.org/officeDocument/2006/relationships/hyperlink" Target="https://www.wildberries.ru/catalog/172162757/detail.aspx" TargetMode="External"/><Relationship Id="rId1031" Type="http://schemas.openxmlformats.org/officeDocument/2006/relationships/hyperlink" Target="https://www.wildberries.ru/catalog/172160798/detail.aspx" TargetMode="External"/><Relationship Id="rId1032" Type="http://schemas.openxmlformats.org/officeDocument/2006/relationships/hyperlink" Target="https://www.ozon.ru/product/1154571921" TargetMode="External"/><Relationship Id="rId202" Type="http://schemas.openxmlformats.org/officeDocument/2006/relationships/hyperlink" Target="https://market.yandex.ru/card/betain-600-mg-qeep-60-kapsul/103374785701?businessId=8291477&amp;clid=8291477&amp;model_id=1826260757&amp;distr_type=8&amp;pp=605" TargetMode="External"/><Relationship Id="rId444" Type="http://schemas.openxmlformats.org/officeDocument/2006/relationships/hyperlink" Target="https://www.wildberries.ru/catalog/167273376/detail.aspx" TargetMode="External"/><Relationship Id="rId686" Type="http://schemas.openxmlformats.org/officeDocument/2006/relationships/hyperlink" Target="https://www.letu.ru/product/alteya-syvorotka-dlya-rosta-resnits-i-brovei-gel-dlya-rosta/177800031?sort=default&amp;open=cleanBeauty%7Eingredient%7EskinNeeds%7EforWhom&amp;hide=expectedEffect%7EnotContain%7EskinTypes%7EhairType" TargetMode="External"/><Relationship Id="rId1033" Type="http://schemas.openxmlformats.org/officeDocument/2006/relationships/hyperlink" Target="https://www.wildberries.ru/catalog/175788642/detail.aspx" TargetMode="External"/><Relationship Id="rId201" Type="http://schemas.openxmlformats.org/officeDocument/2006/relationships/hyperlink" Target="https://www.ozon.ru/product/1101330936" TargetMode="External"/><Relationship Id="rId443" Type="http://schemas.openxmlformats.org/officeDocument/2006/relationships/hyperlink" Target="https://www.wildberries.ru/catalog/133689253/detail.aspx" TargetMode="External"/><Relationship Id="rId685" Type="http://schemas.openxmlformats.org/officeDocument/2006/relationships/hyperlink" Target="https://market.yandex.ru/card/syvorotka-dlya-rosta-resnits-i-brovey-gel-dlya-rosta-alteya-6-ml/4600683436?businessId=1422090&amp;clid=1422090&amp;model_id=1352604652&amp;distr_type=8&amp;pp=605" TargetMode="External"/><Relationship Id="rId1034" Type="http://schemas.openxmlformats.org/officeDocument/2006/relationships/hyperlink" Target="https://www.ozon.ru/product/1171921502" TargetMode="External"/><Relationship Id="rId200" Type="http://schemas.openxmlformats.org/officeDocument/2006/relationships/hyperlink" Target="https://www.wildberries.ru/catalog/169963867/detail.aspx" TargetMode="External"/><Relationship Id="rId442" Type="http://schemas.openxmlformats.org/officeDocument/2006/relationships/hyperlink" Target="https://drive.google.com/drive/folders/1nNNyxnFgfAJbbnMDM2w0BjKZCJa46N-0" TargetMode="External"/><Relationship Id="rId684" Type="http://schemas.openxmlformats.org/officeDocument/2006/relationships/hyperlink" Target="https://www.ozon.ru/product/2396972400" TargetMode="External"/><Relationship Id="rId1035" Type="http://schemas.openxmlformats.org/officeDocument/2006/relationships/hyperlink" Target="https://market.yandex.ru/card/vozbuditel-dlya-muzhchin-silnyy-dlya-potentsii-i-erektsii-18/103333756199?do-waremd5=de03anHfV4eglHe3HjlWSQ&amp;businessId=1422090&amp;generalContext=t%3DshopInShop%3Bbi%3D1422090%3B&amp;ogV=-10" TargetMode="External"/><Relationship Id="rId441" Type="http://schemas.openxmlformats.org/officeDocument/2006/relationships/hyperlink" Target="https://www.ozon.ru/product/1271329609" TargetMode="External"/><Relationship Id="rId683" Type="http://schemas.openxmlformats.org/officeDocument/2006/relationships/hyperlink" Target="https://www.wildberries.ru/catalog/455797764/detail.aspx" TargetMode="External"/><Relationship Id="rId1036" Type="http://schemas.openxmlformats.org/officeDocument/2006/relationships/hyperlink" Target="https://www.wildberries.ru/catalog/17907051/detail.aspx" TargetMode="External"/><Relationship Id="rId1026" Type="http://schemas.openxmlformats.org/officeDocument/2006/relationships/hyperlink" Target="https://www.ozon.ru/product/1350956924" TargetMode="External"/><Relationship Id="rId1027" Type="http://schemas.openxmlformats.org/officeDocument/2006/relationships/hyperlink" Target="https://market.yandex.ru/card/remuver-dlya-udaleniya-kutikuly-alteya-40-ml/102622257537?businessId=1422090&amp;clid=1422090&amp;model_id=969577526&amp;distr_type=8&amp;pp=605" TargetMode="External"/><Relationship Id="rId1028" Type="http://schemas.openxmlformats.org/officeDocument/2006/relationships/hyperlink" Target="https://goldapple.ru/catalogsearch/result?q=99000076202" TargetMode="External"/><Relationship Id="rId1029" Type="http://schemas.openxmlformats.org/officeDocument/2006/relationships/hyperlink" Target="https://www.letu.ru/product/alteya-remuver-dlya-udaleniya-kutikuly/163501210" TargetMode="External"/><Relationship Id="rId437" Type="http://schemas.openxmlformats.org/officeDocument/2006/relationships/hyperlink" Target="https://www.ozon.ru/product/1099704127" TargetMode="External"/><Relationship Id="rId679" Type="http://schemas.openxmlformats.org/officeDocument/2006/relationships/hyperlink" Target="https://market.yandex.ru/card/vozbuditel-dlya-muzhchin-sredstvo-dlya-potentsii-i-erektsii-vitaminy-dlya-muzhchiny-kinzhal-20-kapsul-kh-2/103751021012?businessId=1422090&amp;clid=1422090&amp;model_id=696711021&amp;distr_type=8&amp;pp=605" TargetMode="External"/><Relationship Id="rId436" Type="http://schemas.openxmlformats.org/officeDocument/2006/relationships/hyperlink" Target="https://www.wildberries.ru/catalog/170000477/detail.aspx" TargetMode="External"/><Relationship Id="rId678" Type="http://schemas.openxmlformats.org/officeDocument/2006/relationships/hyperlink" Target="https://www.ozon.ru/product/1851900175" TargetMode="External"/><Relationship Id="rId435" Type="http://schemas.openxmlformats.org/officeDocument/2006/relationships/hyperlink" Target="https://www.ozon.ru/product/767090126" TargetMode="External"/><Relationship Id="rId677" Type="http://schemas.openxmlformats.org/officeDocument/2006/relationships/hyperlink" Target="https://www.wildberries.ru/catalog/318413341/detail.aspx" TargetMode="External"/><Relationship Id="rId434" Type="http://schemas.openxmlformats.org/officeDocument/2006/relationships/hyperlink" Target="https://www.wildberries.ru/catalog/128833711/detail.aspx" TargetMode="External"/><Relationship Id="rId676" Type="http://schemas.openxmlformats.org/officeDocument/2006/relationships/hyperlink" Target="https://www.letu.ru/product/alteya-maslo-dlya-borody-sredstvo-dlya-rosta-uhod-za-borodoi-smyagchayushchee/163501101?sort=default&amp;open=cleanBeauty%7Eingredient%7EskinNeeds%7EforWhom&amp;hide=expectedEffect%7EnotContain%7EskinTypes%7EhairType" TargetMode="External"/><Relationship Id="rId439" Type="http://schemas.openxmlformats.org/officeDocument/2006/relationships/hyperlink" Target="https://drive.google.com/drive/folders/1t3pRcXc5eMVPYkD0IygwKFfB9wALrIV2" TargetMode="External"/><Relationship Id="rId438" Type="http://schemas.openxmlformats.org/officeDocument/2006/relationships/hyperlink" Target="https://market.yandex.ru/card/kakao-s-vitaminami-detskoye-naturalnyy-rastvorimyy-napitok-400-g/102619837298?businessId=8291477&amp;showOriginalKmEmptyOffer=1&amp;ogV=-10" TargetMode="External"/><Relationship Id="rId671" Type="http://schemas.openxmlformats.org/officeDocument/2006/relationships/hyperlink" Target="https://market.yandex.ru/card/karditsin-vitaminy-dlya-serdtsa-i-sosudov-ot-davleniya-bad--60-kapsul-dlya-immuniteta/103340891630?businessId=1422090&amp;clid=1422090&amp;model_id=1452481401&amp;distr_type=8&amp;pp=605" TargetMode="External"/><Relationship Id="rId670" Type="http://schemas.openxmlformats.org/officeDocument/2006/relationships/hyperlink" Target="https://www.ozon.ru/product/1171930661" TargetMode="External"/><Relationship Id="rId1020" Type="http://schemas.openxmlformats.org/officeDocument/2006/relationships/hyperlink" Target="https://www.ozon.ru/product/1324991816" TargetMode="External"/><Relationship Id="rId1021" Type="http://schemas.openxmlformats.org/officeDocument/2006/relationships/hyperlink" Target="https://market.yandex.ru/card/pantagor-krem-maz-dnarprim/103614742296?businessId=1422090&amp;clid=1422090&amp;model_id=997149439&amp;distr_type=8&amp;pp=605" TargetMode="External"/><Relationship Id="rId433" Type="http://schemas.openxmlformats.org/officeDocument/2006/relationships/hyperlink" Target="https://www.ozon.ru/product/1342086207" TargetMode="External"/><Relationship Id="rId675" Type="http://schemas.openxmlformats.org/officeDocument/2006/relationships/hyperlink" Target="https://goldapple.ru/catalogsearch/result?q=99000076215" TargetMode="External"/><Relationship Id="rId1022" Type="http://schemas.openxmlformats.org/officeDocument/2006/relationships/hyperlink" Target="https://www.wildberries.ru/catalog/525491703/detail.aspx" TargetMode="External"/><Relationship Id="rId432" Type="http://schemas.openxmlformats.org/officeDocument/2006/relationships/hyperlink" Target="https://www.wildberries.ru/catalog/220091999/detail.aspx" TargetMode="External"/><Relationship Id="rId674" Type="http://schemas.openxmlformats.org/officeDocument/2006/relationships/hyperlink" Target="https://market.yandex.ru/card/maslo-dlya-borody-sredstvo-dlya-rosta-ukhod-za-borodoy-smyagchayushcheye-alteya-50-ml/4661983304?businessId=1422090&amp;clid=1422090&amp;model_id=1058742870&amp;distr_type=8&amp;pp=605" TargetMode="External"/><Relationship Id="rId1023" Type="http://schemas.openxmlformats.org/officeDocument/2006/relationships/hyperlink" Target="https://www.ozon.ru/product/2825063594" TargetMode="External"/><Relationship Id="rId431" Type="http://schemas.openxmlformats.org/officeDocument/2006/relationships/hyperlink" Target="https://market.yandex.ru/card/vitaminy-dlya-muzhchin-kompleks-dlya-zdorovya-i-myshechnoy-massy-qeep/103665490060?businessId=8291477&amp;clid=8291477&amp;model_id=1111672191&amp;distr_type=8&amp;pp=605" TargetMode="External"/><Relationship Id="rId673" Type="http://schemas.openxmlformats.org/officeDocument/2006/relationships/hyperlink" Target="https://www.ozon.ru/product/1613737006" TargetMode="External"/><Relationship Id="rId1024" Type="http://schemas.openxmlformats.org/officeDocument/2006/relationships/hyperlink" Target="https://market.yandex.ru/card/sredstvo-ot-davleniya-vitaminy-dlya-serdtsa-chistka-sosudov-alteya-arterol-10ml-kh-2/4640677629?businessId=1422090&amp;clid=1422090&amp;model_id=696476475&amp;distr_type=8&amp;pp=605" TargetMode="External"/><Relationship Id="rId430" Type="http://schemas.openxmlformats.org/officeDocument/2006/relationships/hyperlink" Target="https://www.ozon.ru/product/1773345751" TargetMode="External"/><Relationship Id="rId672" Type="http://schemas.openxmlformats.org/officeDocument/2006/relationships/hyperlink" Target="https://www.wildberries.ru/catalog/239879972/detail.aspx" TargetMode="External"/><Relationship Id="rId1025" Type="http://schemas.openxmlformats.org/officeDocument/2006/relationships/hyperlink" Target="https://www.wildberries.ru/catalog/197560593/detail.asp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outlineLevelCol="2"/>
  <cols>
    <col customWidth="1" min="1" max="1" width="15.5"/>
    <col customWidth="1" min="2" max="2" width="31.63"/>
    <col customWidth="1" min="3" max="3" width="14.75"/>
    <col customWidth="1" min="4" max="4" width="16.0"/>
    <col customWidth="1" min="5" max="5" width="16.88"/>
    <col customWidth="1" min="6" max="6" width="42.63"/>
    <col customWidth="1" min="7" max="7" width="21.13"/>
    <col customWidth="1" min="8" max="8" width="19.38"/>
    <col customWidth="1" min="9" max="9" width="6.25"/>
    <col customWidth="1" min="10" max="10" width="4.38" outlineLevel="1"/>
    <col customWidth="1" min="11" max="13" width="8.75" outlineLevel="2"/>
    <col customWidth="1" min="14" max="14" width="13.0" outlineLevel="2"/>
    <col customWidth="1" min="15" max="15" width="11.13" outlineLevel="2"/>
    <col customWidth="1" min="16" max="16" width="11.75" outlineLevel="2"/>
    <col customWidth="1" min="17" max="17" width="11.0" outlineLevel="2"/>
    <col customWidth="1" min="18" max="18" width="4.38" outlineLevel="1"/>
    <col customWidth="1" min="19" max="25" width="11.13" outlineLevel="2"/>
    <col customWidth="1" min="26" max="26" width="4.38" outlineLevel="1"/>
    <col customWidth="1" min="27" max="27" width="11.38" outlineLevel="2"/>
    <col customWidth="1" min="28" max="28" width="11.5" outlineLevel="2"/>
    <col customWidth="1" min="29" max="32" width="8.75" outlineLevel="2"/>
    <col customWidth="1" min="33" max="33" width="4.38" outlineLevel="1"/>
    <col customWidth="1" min="34" max="40" width="8.75" outlineLevel="2"/>
    <col customWidth="1" min="41" max="41" width="4.38" outlineLevel="1"/>
    <col customWidth="1" min="42" max="47" width="8.75" outlineLevel="2"/>
    <col customWidth="1" min="48" max="48" width="4.75" outlineLevel="1"/>
    <col customWidth="1" min="49" max="54" width="8.75" outlineLevel="2"/>
    <col customWidth="1" min="55" max="55" width="4.75" outlineLevel="1"/>
    <col customWidth="1" min="56" max="61" width="8.75" outlineLevel="2"/>
    <col customWidth="1" min="62" max="62" width="2.88"/>
    <col customWidth="1" min="63" max="63" width="6.25"/>
    <col min="64" max="68" width="12.63" outlineLevel="1"/>
    <col customWidth="1" min="69" max="69" width="2.88"/>
    <col customWidth="1" min="70" max="70" width="6.25"/>
    <col min="71" max="72" width="12.63" outlineLevel="1"/>
    <col customWidth="1" min="73" max="73" width="19.5" outlineLevel="1"/>
    <col min="74" max="74" width="12.63" outlineLevel="1"/>
    <col customWidth="1" min="75" max="75" width="33.25" outlineLevel="1"/>
    <col min="76" max="81" width="12.63" outlineLevel="1"/>
    <col customWidth="1" min="82" max="82" width="2.88"/>
    <col customWidth="1" min="83" max="83" width="6.25"/>
    <col customWidth="1" min="84" max="84" width="22.5" outlineLevel="1"/>
    <col customWidth="1" min="85" max="85" width="13.25" outlineLevel="1"/>
    <col customWidth="1" min="86" max="86" width="10.13" outlineLevel="1"/>
    <col customWidth="1" min="87" max="88" width="10.75" outlineLevel="1"/>
    <col customWidth="1" min="89" max="89" width="2.88"/>
    <col customWidth="1" min="90" max="90" width="6.25"/>
    <col min="91" max="91" width="12.63" outlineLevel="1"/>
    <col customWidth="1" min="92" max="92" width="35.75" outlineLevel="1"/>
    <col customWidth="1" min="93" max="93" width="28.13" outlineLevel="1"/>
    <col customWidth="1" min="94" max="94" width="19.88" outlineLevel="1"/>
    <col min="95" max="100" width="12.63" outlineLevel="1"/>
    <col customWidth="1" min="101" max="101" width="2.88"/>
    <col customWidth="1" min="102" max="102" width="6.25"/>
    <col min="103" max="113" width="12.63" outlineLevel="1"/>
    <col customWidth="1" min="114" max="164" width="8.63" outlineLevel="1"/>
    <col customWidth="1" min="165" max="165" width="2.88"/>
  </cols>
  <sheetData>
    <row r="1" ht="13.5" customHeight="1">
      <c r="A1" s="1" t="s">
        <v>0</v>
      </c>
      <c r="B1" s="1"/>
      <c r="C1" s="1"/>
      <c r="D1" s="1" t="s">
        <v>1</v>
      </c>
      <c r="E1" s="1" t="s">
        <v>1</v>
      </c>
      <c r="F1" s="1" t="s">
        <v>2</v>
      </c>
      <c r="G1" s="1" t="s">
        <v>3</v>
      </c>
      <c r="H1" s="1" t="s">
        <v>3</v>
      </c>
      <c r="I1" s="1"/>
      <c r="J1" s="1"/>
      <c r="K1" s="1" t="s">
        <v>2</v>
      </c>
      <c r="L1" s="1" t="s">
        <v>4</v>
      </c>
      <c r="M1" s="1" t="s">
        <v>4</v>
      </c>
      <c r="N1" s="1" t="s">
        <v>4</v>
      </c>
      <c r="O1" s="1" t="s">
        <v>4</v>
      </c>
      <c r="P1" s="1" t="s">
        <v>4</v>
      </c>
      <c r="Q1" s="1" t="s">
        <v>4</v>
      </c>
      <c r="R1" s="1"/>
      <c r="S1" s="1" t="s">
        <v>2</v>
      </c>
      <c r="T1" s="1" t="s">
        <v>4</v>
      </c>
      <c r="U1" s="1" t="s">
        <v>4</v>
      </c>
      <c r="V1" s="1" t="s">
        <v>4</v>
      </c>
      <c r="W1" s="1" t="s">
        <v>4</v>
      </c>
      <c r="X1" s="1" t="s">
        <v>4</v>
      </c>
      <c r="Y1" s="1" t="s">
        <v>4</v>
      </c>
      <c r="Z1" s="1"/>
      <c r="AA1" s="1" t="s">
        <v>4</v>
      </c>
      <c r="AB1" s="1" t="s">
        <v>4</v>
      </c>
      <c r="AC1" s="1" t="s">
        <v>4</v>
      </c>
      <c r="AD1" s="1" t="s">
        <v>4</v>
      </c>
      <c r="AE1" s="1" t="s">
        <v>4</v>
      </c>
      <c r="AF1" s="1" t="s">
        <v>4</v>
      </c>
      <c r="AG1" s="1"/>
      <c r="AH1" s="1" t="s">
        <v>2</v>
      </c>
      <c r="AI1" s="1" t="s">
        <v>5</v>
      </c>
      <c r="AJ1" s="1" t="s">
        <v>5</v>
      </c>
      <c r="AK1" s="1" t="s">
        <v>5</v>
      </c>
      <c r="AL1" s="1" t="s">
        <v>5</v>
      </c>
      <c r="AM1" s="1" t="s">
        <v>5</v>
      </c>
      <c r="AN1" s="1" t="s">
        <v>5</v>
      </c>
      <c r="AO1" s="1"/>
      <c r="AP1" s="1" t="s">
        <v>4</v>
      </c>
      <c r="AQ1" s="1" t="s">
        <v>4</v>
      </c>
      <c r="AR1" s="1" t="s">
        <v>4</v>
      </c>
      <c r="AS1" s="1" t="s">
        <v>4</v>
      </c>
      <c r="AT1" s="1" t="s">
        <v>4</v>
      </c>
      <c r="AU1" s="1" t="s">
        <v>4</v>
      </c>
      <c r="AV1" s="1"/>
      <c r="AW1" s="1" t="s">
        <v>5</v>
      </c>
      <c r="AX1" s="1" t="s">
        <v>5</v>
      </c>
      <c r="AY1" s="1" t="s">
        <v>5</v>
      </c>
      <c r="AZ1" s="1" t="s">
        <v>5</v>
      </c>
      <c r="BA1" s="1" t="s">
        <v>5</v>
      </c>
      <c r="BB1" s="1" t="s">
        <v>5</v>
      </c>
      <c r="BC1" s="1"/>
      <c r="BD1" s="1"/>
      <c r="BE1" s="1"/>
      <c r="BF1" s="1"/>
      <c r="BG1" s="1"/>
      <c r="BH1" s="1"/>
      <c r="BI1" s="1"/>
      <c r="BJ1" s="1" t="s">
        <v>6</v>
      </c>
      <c r="BK1" s="1"/>
      <c r="BL1" s="1" t="s">
        <v>7</v>
      </c>
      <c r="BM1" s="1" t="s">
        <v>7</v>
      </c>
      <c r="BN1" s="1" t="s">
        <v>7</v>
      </c>
      <c r="BO1" s="1" t="s">
        <v>7</v>
      </c>
      <c r="BP1" s="1" t="s">
        <v>7</v>
      </c>
      <c r="BQ1" s="1"/>
      <c r="BR1" s="1"/>
      <c r="BS1" s="1" t="s">
        <v>7</v>
      </c>
      <c r="BT1" s="1" t="s">
        <v>8</v>
      </c>
      <c r="BU1" s="1" t="s">
        <v>7</v>
      </c>
      <c r="BV1" s="1" t="s">
        <v>7</v>
      </c>
      <c r="BW1" s="1" t="s">
        <v>7</v>
      </c>
      <c r="BX1" s="1" t="s">
        <v>7</v>
      </c>
      <c r="BY1" s="1" t="s">
        <v>7</v>
      </c>
      <c r="BZ1" s="1" t="s">
        <v>7</v>
      </c>
      <c r="CA1" s="1"/>
      <c r="CB1" s="1" t="s">
        <v>7</v>
      </c>
      <c r="CC1" s="1" t="s">
        <v>7</v>
      </c>
      <c r="CD1" s="1"/>
      <c r="CE1" s="1"/>
      <c r="CF1" s="1" t="s">
        <v>9</v>
      </c>
      <c r="CG1" s="1" t="s">
        <v>10</v>
      </c>
      <c r="CH1" s="1" t="s">
        <v>11</v>
      </c>
      <c r="CI1" s="1" t="s">
        <v>11</v>
      </c>
      <c r="CJ1" s="1" t="s">
        <v>11</v>
      </c>
      <c r="CK1" s="1"/>
      <c r="CL1" s="1"/>
      <c r="CM1" s="1" t="s">
        <v>12</v>
      </c>
      <c r="CN1" s="1"/>
      <c r="CO1" s="1"/>
      <c r="CP1" s="1"/>
      <c r="CQ1" s="1"/>
      <c r="CR1" s="1"/>
      <c r="CS1" s="1"/>
      <c r="CT1" s="1"/>
      <c r="CU1" s="1"/>
      <c r="CV1" s="1"/>
      <c r="CW1" s="1"/>
      <c r="CX1" s="1"/>
      <c r="CY1" s="1"/>
      <c r="CZ1" s="1" t="s">
        <v>13</v>
      </c>
      <c r="DA1" s="1" t="s">
        <v>13</v>
      </c>
      <c r="DB1" s="1" t="s">
        <v>13</v>
      </c>
      <c r="DC1" s="1" t="s">
        <v>11</v>
      </c>
      <c r="DD1" s="1" t="s">
        <v>13</v>
      </c>
      <c r="DE1" s="1" t="s">
        <v>13</v>
      </c>
      <c r="DF1" s="1" t="s">
        <v>13</v>
      </c>
      <c r="DG1" s="1" t="s">
        <v>14</v>
      </c>
      <c r="DH1" s="1" t="s">
        <v>14</v>
      </c>
      <c r="DI1" s="1" t="s">
        <v>14</v>
      </c>
      <c r="DJ1" s="1" t="s">
        <v>15</v>
      </c>
      <c r="DK1" s="1" t="s">
        <v>15</v>
      </c>
      <c r="DL1" s="1" t="s">
        <v>15</v>
      </c>
      <c r="DM1" s="1" t="s">
        <v>15</v>
      </c>
      <c r="DN1" s="1" t="s">
        <v>15</v>
      </c>
      <c r="DO1" s="1" t="s">
        <v>14</v>
      </c>
      <c r="DP1" s="1" t="s">
        <v>14</v>
      </c>
      <c r="DQ1" s="1" t="s">
        <v>14</v>
      </c>
      <c r="DR1" s="1" t="s">
        <v>14</v>
      </c>
      <c r="DS1" s="1" t="s">
        <v>14</v>
      </c>
      <c r="DT1" s="1" t="s">
        <v>14</v>
      </c>
      <c r="DU1" s="1" t="s">
        <v>14</v>
      </c>
      <c r="DV1" s="1" t="s">
        <v>14</v>
      </c>
      <c r="DW1" s="1" t="s">
        <v>14</v>
      </c>
      <c r="DX1" s="1" t="s">
        <v>14</v>
      </c>
      <c r="DY1" s="1" t="s">
        <v>14</v>
      </c>
      <c r="DZ1" s="1" t="s">
        <v>14</v>
      </c>
      <c r="EA1" s="1" t="s">
        <v>14</v>
      </c>
      <c r="EB1" s="1" t="s">
        <v>14</v>
      </c>
      <c r="EC1" s="1" t="s">
        <v>14</v>
      </c>
      <c r="ED1" s="1" t="s">
        <v>14</v>
      </c>
      <c r="EE1" s="1" t="s">
        <v>14</v>
      </c>
      <c r="EF1" s="1" t="s">
        <v>14</v>
      </c>
      <c r="EG1" s="1" t="s">
        <v>14</v>
      </c>
      <c r="EH1" s="1" t="s">
        <v>14</v>
      </c>
      <c r="EI1" s="1" t="s">
        <v>14</v>
      </c>
      <c r="EJ1" s="1" t="s">
        <v>14</v>
      </c>
      <c r="EK1" s="1" t="s">
        <v>14</v>
      </c>
      <c r="EL1" s="1" t="s">
        <v>14</v>
      </c>
      <c r="EM1" s="1" t="s">
        <v>14</v>
      </c>
      <c r="EN1" s="1" t="s">
        <v>14</v>
      </c>
      <c r="EO1" s="1" t="s">
        <v>14</v>
      </c>
      <c r="EP1" s="1" t="s">
        <v>14</v>
      </c>
      <c r="EQ1" s="1" t="s">
        <v>14</v>
      </c>
      <c r="ER1" s="1" t="s">
        <v>14</v>
      </c>
      <c r="ES1" s="1" t="s">
        <v>15</v>
      </c>
      <c r="ET1" s="1" t="s">
        <v>15</v>
      </c>
      <c r="EU1" s="1" t="s">
        <v>15</v>
      </c>
      <c r="EV1" s="1" t="s">
        <v>15</v>
      </c>
      <c r="EW1" s="1" t="s">
        <v>15</v>
      </c>
      <c r="EX1" s="1" t="s">
        <v>15</v>
      </c>
      <c r="EY1" s="1" t="s">
        <v>15</v>
      </c>
      <c r="EZ1" s="1" t="s">
        <v>15</v>
      </c>
      <c r="FA1" s="1" t="s">
        <v>15</v>
      </c>
      <c r="FB1" s="1" t="s">
        <v>15</v>
      </c>
      <c r="FC1" s="1" t="s">
        <v>15</v>
      </c>
      <c r="FD1" s="1" t="s">
        <v>15</v>
      </c>
      <c r="FE1" s="1" t="s">
        <v>15</v>
      </c>
      <c r="FF1" s="1" t="s">
        <v>15</v>
      </c>
      <c r="FG1" s="1" t="s">
        <v>15</v>
      </c>
      <c r="FH1" s="1" t="s">
        <v>15</v>
      </c>
      <c r="FI1" s="1"/>
    </row>
    <row r="2" ht="36.75" customHeight="1">
      <c r="A2" s="2"/>
      <c r="B2" s="2"/>
      <c r="C2" s="2"/>
      <c r="D2" s="2"/>
      <c r="E2" s="2"/>
      <c r="F2" s="2"/>
      <c r="G2" s="2"/>
      <c r="H2" s="2"/>
      <c r="I2" s="3" t="s">
        <v>16</v>
      </c>
      <c r="J2" s="3" t="s">
        <v>17</v>
      </c>
      <c r="K2" s="2"/>
      <c r="L2" s="2"/>
      <c r="M2" s="2"/>
      <c r="N2" s="2"/>
      <c r="O2" s="2"/>
      <c r="P2" s="2"/>
      <c r="Q2" s="2"/>
      <c r="R2" s="3" t="s">
        <v>18</v>
      </c>
      <c r="S2" s="2"/>
      <c r="T2" s="2"/>
      <c r="U2" s="2"/>
      <c r="V2" s="2"/>
      <c r="W2" s="2"/>
      <c r="X2" s="2"/>
      <c r="Y2" s="2"/>
      <c r="Z2" s="3" t="s">
        <v>19</v>
      </c>
      <c r="AA2" s="2"/>
      <c r="AB2" s="2"/>
      <c r="AC2" s="2"/>
      <c r="AD2" s="2"/>
      <c r="AE2" s="2"/>
      <c r="AF2" s="2"/>
      <c r="AG2" s="3" t="s">
        <v>20</v>
      </c>
      <c r="AH2" s="2"/>
      <c r="AI2" s="2"/>
      <c r="AJ2" s="2"/>
      <c r="AK2" s="2"/>
      <c r="AL2" s="2"/>
      <c r="AM2" s="2"/>
      <c r="AN2" s="2"/>
      <c r="AO2" s="3" t="s">
        <v>21</v>
      </c>
      <c r="AP2" s="2"/>
      <c r="AQ2" s="2"/>
      <c r="AR2" s="2"/>
      <c r="AS2" s="2"/>
      <c r="AT2" s="2"/>
      <c r="AU2" s="2"/>
      <c r="AV2" s="3" t="s">
        <v>22</v>
      </c>
      <c r="AW2" s="2"/>
      <c r="AX2" s="2"/>
      <c r="AY2" s="2"/>
      <c r="AZ2" s="2"/>
      <c r="BA2" s="2"/>
      <c r="BB2" s="2"/>
      <c r="BC2" s="3" t="s">
        <v>23</v>
      </c>
      <c r="BD2" s="2"/>
      <c r="BE2" s="2"/>
      <c r="BF2" s="2"/>
      <c r="BG2" s="2"/>
      <c r="BH2" s="2"/>
      <c r="BI2" s="2"/>
      <c r="BJ2" s="2"/>
      <c r="BK2" s="4" t="s">
        <v>24</v>
      </c>
      <c r="BL2" s="2"/>
      <c r="BM2" s="2"/>
      <c r="BN2" s="2"/>
      <c r="BO2" s="2"/>
      <c r="BP2" s="2"/>
      <c r="BQ2" s="2"/>
      <c r="BR2" s="4" t="s">
        <v>25</v>
      </c>
      <c r="BS2" s="2"/>
      <c r="BT2" s="2"/>
      <c r="BU2" s="2"/>
      <c r="BV2" s="2"/>
      <c r="BW2" s="2"/>
      <c r="BX2" s="2"/>
      <c r="BY2" s="2"/>
      <c r="BZ2" s="2"/>
      <c r="CA2" s="2"/>
      <c r="CB2" s="2"/>
      <c r="CC2" s="2"/>
      <c r="CD2" s="2"/>
      <c r="CE2" s="4" t="s">
        <v>26</v>
      </c>
      <c r="CF2" s="2"/>
      <c r="CG2" s="2"/>
      <c r="CH2" s="2"/>
      <c r="CI2" s="2"/>
      <c r="CJ2" s="2"/>
      <c r="CK2" s="2"/>
      <c r="CL2" s="4" t="s">
        <v>27</v>
      </c>
      <c r="CM2" s="5"/>
      <c r="CN2" s="2"/>
      <c r="CO2" s="2"/>
      <c r="CP2" s="2"/>
      <c r="CQ2" s="2"/>
      <c r="CR2" s="2"/>
      <c r="CS2" s="2"/>
      <c r="CT2" s="2"/>
      <c r="CU2" s="2"/>
      <c r="CV2" s="2"/>
      <c r="CW2" s="2"/>
      <c r="CX2" s="4" t="s">
        <v>28</v>
      </c>
      <c r="CY2" s="2"/>
      <c r="CZ2" s="2"/>
      <c r="DA2" s="2"/>
      <c r="DB2" s="2"/>
      <c r="DC2" s="2"/>
      <c r="DD2" s="2"/>
      <c r="DE2" s="2"/>
      <c r="DF2" s="2"/>
      <c r="DG2" s="2"/>
      <c r="DH2" s="2"/>
      <c r="DI2" s="2"/>
      <c r="DJ2" s="2"/>
      <c r="DK2" s="2"/>
      <c r="DL2" s="2"/>
      <c r="DM2" s="2"/>
      <c r="DN2" s="2"/>
      <c r="DO2" s="6" t="s">
        <v>29</v>
      </c>
      <c r="DP2" s="6" t="s">
        <v>29</v>
      </c>
      <c r="DQ2" s="6" t="s">
        <v>29</v>
      </c>
      <c r="DR2" s="6" t="s">
        <v>29</v>
      </c>
      <c r="DS2" s="6" t="s">
        <v>29</v>
      </c>
      <c r="DT2" s="6" t="s">
        <v>29</v>
      </c>
      <c r="DU2" s="6" t="s">
        <v>29</v>
      </c>
      <c r="DV2" s="6" t="s">
        <v>29</v>
      </c>
      <c r="DW2" s="6" t="s">
        <v>29</v>
      </c>
      <c r="DX2" s="6" t="s">
        <v>29</v>
      </c>
      <c r="DY2" s="6" t="s">
        <v>29</v>
      </c>
      <c r="DZ2" s="6" t="s">
        <v>29</v>
      </c>
      <c r="EA2" s="6" t="s">
        <v>29</v>
      </c>
      <c r="EB2" s="6" t="s">
        <v>29</v>
      </c>
      <c r="EC2" s="6" t="s">
        <v>29</v>
      </c>
      <c r="ED2" s="6" t="s">
        <v>29</v>
      </c>
      <c r="EE2" s="6" t="s">
        <v>29</v>
      </c>
      <c r="EF2" s="6" t="s">
        <v>29</v>
      </c>
      <c r="EG2" s="6" t="s">
        <v>29</v>
      </c>
      <c r="EH2" s="6" t="s">
        <v>29</v>
      </c>
      <c r="EI2" s="6" t="s">
        <v>29</v>
      </c>
      <c r="EJ2" s="6" t="s">
        <v>29</v>
      </c>
      <c r="EK2" s="6" t="s">
        <v>29</v>
      </c>
      <c r="EL2" s="6" t="s">
        <v>29</v>
      </c>
      <c r="EM2" s="6" t="s">
        <v>29</v>
      </c>
      <c r="EN2" s="6" t="s">
        <v>29</v>
      </c>
      <c r="EO2" s="6" t="s">
        <v>29</v>
      </c>
      <c r="EP2" s="6" t="s">
        <v>29</v>
      </c>
      <c r="EQ2" s="6" t="s">
        <v>29</v>
      </c>
      <c r="ER2" s="6" t="s">
        <v>29</v>
      </c>
      <c r="ES2" s="6" t="s">
        <v>30</v>
      </c>
      <c r="ET2" s="2"/>
      <c r="EU2" s="2"/>
      <c r="EV2" s="2"/>
      <c r="EW2" s="2"/>
      <c r="EX2" s="2"/>
      <c r="EY2" s="2"/>
      <c r="EZ2" s="2"/>
      <c r="FA2" s="2"/>
      <c r="FB2" s="2"/>
      <c r="FC2" s="2"/>
      <c r="FD2" s="2"/>
      <c r="FE2" s="2"/>
      <c r="FF2" s="2"/>
      <c r="FG2" s="2"/>
      <c r="FH2" s="2"/>
      <c r="FI2" s="2"/>
    </row>
    <row r="3" ht="30.0" customHeight="1">
      <c r="A3" s="2"/>
      <c r="B3" s="2"/>
      <c r="C3" s="2"/>
      <c r="D3" s="2"/>
      <c r="E3" s="2"/>
      <c r="F3" s="2"/>
      <c r="G3" s="6" t="s">
        <v>31</v>
      </c>
      <c r="H3" s="2"/>
      <c r="K3" s="2"/>
      <c r="L3" s="2"/>
      <c r="M3" s="2"/>
      <c r="N3" s="2"/>
      <c r="O3" s="2"/>
      <c r="P3" s="2"/>
      <c r="Q3" s="2"/>
      <c r="S3" s="2"/>
      <c r="T3" s="2"/>
      <c r="U3" s="2"/>
      <c r="V3" s="2"/>
      <c r="W3" s="2"/>
      <c r="X3" s="2"/>
      <c r="Y3" s="2"/>
      <c r="AA3" s="2"/>
      <c r="AB3" s="2"/>
      <c r="AC3" s="2"/>
      <c r="AD3" s="2"/>
      <c r="AE3" s="2"/>
      <c r="AF3" s="2"/>
      <c r="AH3" s="6" t="s">
        <v>32</v>
      </c>
      <c r="AI3" s="2"/>
      <c r="AJ3" s="2"/>
      <c r="AK3" s="2"/>
      <c r="AL3" s="2"/>
      <c r="AM3" s="2"/>
      <c r="AN3" s="2"/>
      <c r="AP3" s="2"/>
      <c r="AQ3" s="2"/>
      <c r="AR3" s="2"/>
      <c r="AS3" s="2"/>
      <c r="AT3" s="2"/>
      <c r="AU3" s="2"/>
      <c r="AW3" s="2"/>
      <c r="AX3" s="2"/>
      <c r="AY3" s="2"/>
      <c r="AZ3" s="2"/>
      <c r="BA3" s="2"/>
      <c r="BB3" s="2"/>
      <c r="BD3" s="2"/>
      <c r="BE3" s="2"/>
      <c r="BF3" s="2"/>
      <c r="BG3" s="2"/>
      <c r="BH3" s="2"/>
      <c r="BI3" s="2"/>
      <c r="BJ3" s="2"/>
      <c r="BL3" s="2"/>
      <c r="BM3" s="2"/>
      <c r="BN3" s="2"/>
      <c r="BO3" s="6" t="s">
        <v>33</v>
      </c>
      <c r="BP3" s="2"/>
      <c r="BQ3" s="2"/>
      <c r="BS3" s="6"/>
      <c r="BT3" s="2"/>
      <c r="BU3" s="2"/>
      <c r="BV3" s="2"/>
      <c r="BW3" s="7" t="s">
        <v>34</v>
      </c>
      <c r="BX3" s="2"/>
      <c r="BY3" s="2"/>
      <c r="BZ3" s="2"/>
      <c r="CA3" s="7" t="s">
        <v>34</v>
      </c>
      <c r="CB3" s="2"/>
      <c r="CC3" s="2"/>
      <c r="CD3" s="2"/>
      <c r="CF3" s="7" t="s">
        <v>34</v>
      </c>
      <c r="CG3" s="2"/>
      <c r="CH3" s="2"/>
      <c r="CI3" s="2"/>
      <c r="CJ3" s="2"/>
      <c r="CK3" s="2"/>
      <c r="CM3" s="8" t="s">
        <v>35</v>
      </c>
      <c r="CN3" s="2"/>
      <c r="CO3" s="2"/>
      <c r="CP3" s="2"/>
      <c r="CQ3" s="2"/>
      <c r="CR3" s="2"/>
      <c r="CS3" s="2"/>
      <c r="CT3" s="2"/>
      <c r="CU3" s="2"/>
      <c r="CV3" s="2"/>
      <c r="CW3" s="2"/>
      <c r="CY3" s="9"/>
      <c r="CZ3" s="6" t="s">
        <v>29</v>
      </c>
      <c r="DA3" s="6" t="s">
        <v>29</v>
      </c>
      <c r="DB3" s="6" t="s">
        <v>29</v>
      </c>
      <c r="DC3" s="6"/>
      <c r="DD3" s="6" t="s">
        <v>29</v>
      </c>
      <c r="DE3" s="6" t="s">
        <v>29</v>
      </c>
      <c r="DF3" s="6" t="s">
        <v>29</v>
      </c>
      <c r="DG3" s="10" t="s">
        <v>36</v>
      </c>
      <c r="DH3" s="6"/>
      <c r="DI3" s="6"/>
      <c r="DJ3" s="2"/>
      <c r="DK3" s="2"/>
      <c r="DL3" s="2"/>
      <c r="DM3" s="2"/>
      <c r="DN3" s="2"/>
      <c r="DO3" s="11" t="s">
        <v>37</v>
      </c>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3"/>
      <c r="ES3" s="14" t="s">
        <v>38</v>
      </c>
      <c r="ET3" s="14" t="s">
        <v>38</v>
      </c>
      <c r="EU3" s="14" t="s">
        <v>38</v>
      </c>
      <c r="EV3" s="14" t="s">
        <v>38</v>
      </c>
      <c r="EW3" s="14" t="s">
        <v>38</v>
      </c>
      <c r="EX3" s="14" t="s">
        <v>38</v>
      </c>
      <c r="EY3" s="14" t="s">
        <v>38</v>
      </c>
      <c r="EZ3" s="14" t="s">
        <v>38</v>
      </c>
      <c r="FA3" s="14" t="s">
        <v>38</v>
      </c>
      <c r="FB3" s="14" t="s">
        <v>38</v>
      </c>
      <c r="FC3" s="14" t="s">
        <v>38</v>
      </c>
      <c r="FD3" s="14" t="s">
        <v>38</v>
      </c>
      <c r="FE3" s="14" t="s">
        <v>38</v>
      </c>
      <c r="FF3" s="14" t="s">
        <v>38</v>
      </c>
      <c r="FG3" s="14" t="s">
        <v>38</v>
      </c>
      <c r="FH3" s="14" t="s">
        <v>38</v>
      </c>
      <c r="FI3" s="2"/>
    </row>
    <row r="4" ht="18.0" customHeight="1">
      <c r="A4" s="2"/>
      <c r="B4" s="2"/>
      <c r="C4" s="2"/>
      <c r="D4" s="15" t="s">
        <v>39</v>
      </c>
      <c r="E4" s="13"/>
      <c r="F4" s="16" t="s">
        <v>40</v>
      </c>
      <c r="G4" s="17" t="s">
        <v>41</v>
      </c>
      <c r="H4" s="13"/>
      <c r="K4" s="18"/>
      <c r="L4" s="18"/>
      <c r="M4" s="18"/>
      <c r="N4" s="18"/>
      <c r="O4" s="18"/>
      <c r="P4" s="18"/>
      <c r="Q4" s="18"/>
      <c r="S4" s="18"/>
      <c r="T4" s="18"/>
      <c r="U4" s="18"/>
      <c r="V4" s="18"/>
      <c r="W4" s="18"/>
      <c r="X4" s="18"/>
      <c r="Y4" s="18"/>
      <c r="AA4" s="18"/>
      <c r="AB4" s="18"/>
      <c r="AC4" s="18"/>
      <c r="AD4" s="18"/>
      <c r="AE4" s="18"/>
      <c r="AF4" s="18"/>
      <c r="AH4" s="18"/>
      <c r="AI4" s="18"/>
      <c r="AJ4" s="18"/>
      <c r="AK4" s="18"/>
      <c r="AL4" s="18"/>
      <c r="AM4" s="18"/>
      <c r="AN4" s="18"/>
      <c r="AP4" s="18"/>
      <c r="AQ4" s="18"/>
      <c r="AR4" s="18"/>
      <c r="AS4" s="18"/>
      <c r="AT4" s="18"/>
      <c r="AU4" s="18"/>
      <c r="AW4" s="18"/>
      <c r="AX4" s="18"/>
      <c r="AY4" s="18"/>
      <c r="AZ4" s="9"/>
      <c r="BA4" s="18"/>
      <c r="BB4" s="18"/>
      <c r="BD4" s="9"/>
      <c r="BE4" s="9"/>
      <c r="BF4" s="18"/>
      <c r="BG4" s="18"/>
      <c r="BH4" s="18"/>
      <c r="BI4" s="18"/>
      <c r="BJ4" s="6"/>
      <c r="BL4" s="19"/>
      <c r="BM4" s="18"/>
      <c r="BN4" s="18"/>
      <c r="BO4" s="20" t="s">
        <v>42</v>
      </c>
      <c r="BP4" s="18"/>
      <c r="BQ4" s="6"/>
      <c r="BS4" s="18"/>
      <c r="BT4" s="10" t="s">
        <v>43</v>
      </c>
      <c r="BU4" s="19" t="s">
        <v>44</v>
      </c>
      <c r="BV4" s="18"/>
      <c r="BW4" s="19"/>
      <c r="BX4" s="18"/>
      <c r="BY4" s="19" t="s">
        <v>29</v>
      </c>
      <c r="BZ4" s="21" t="s">
        <v>45</v>
      </c>
      <c r="CA4" s="22" t="s">
        <v>29</v>
      </c>
      <c r="CB4" s="18"/>
      <c r="CC4" s="9"/>
      <c r="CD4" s="6"/>
      <c r="CF4" s="10"/>
      <c r="CG4" s="10" t="s">
        <v>29</v>
      </c>
      <c r="CH4" s="10"/>
      <c r="CI4" s="10" t="s">
        <v>29</v>
      </c>
      <c r="CJ4" s="10" t="s">
        <v>29</v>
      </c>
      <c r="CK4" s="6"/>
      <c r="CM4" s="23" t="s">
        <v>46</v>
      </c>
      <c r="CN4" s="18"/>
      <c r="CO4" s="10" t="s">
        <v>47</v>
      </c>
      <c r="CP4" s="18"/>
      <c r="CQ4" s="18"/>
      <c r="CR4" s="10" t="s">
        <v>29</v>
      </c>
      <c r="CS4" s="10" t="s">
        <v>29</v>
      </c>
      <c r="CT4" s="10" t="s">
        <v>29</v>
      </c>
      <c r="CU4" s="10" t="s">
        <v>29</v>
      </c>
      <c r="CV4" s="10" t="s">
        <v>29</v>
      </c>
      <c r="CW4" s="6"/>
      <c r="CY4" s="24" t="s">
        <v>48</v>
      </c>
      <c r="CZ4" s="15" t="s">
        <v>49</v>
      </c>
      <c r="DA4" s="12"/>
      <c r="DB4" s="13"/>
      <c r="DC4" s="24"/>
      <c r="DD4" s="25" t="s">
        <v>50</v>
      </c>
      <c r="DG4" s="25" t="s">
        <v>51</v>
      </c>
      <c r="DJ4" s="15" t="s">
        <v>52</v>
      </c>
      <c r="DK4" s="12"/>
      <c r="DL4" s="12"/>
      <c r="DM4" s="12"/>
      <c r="DN4" s="13"/>
      <c r="DO4" s="11" t="s">
        <v>53</v>
      </c>
      <c r="DP4" s="12"/>
      <c r="DQ4" s="12"/>
      <c r="DR4" s="12"/>
      <c r="DS4" s="13"/>
      <c r="DT4" s="11" t="s">
        <v>54</v>
      </c>
      <c r="DU4" s="12"/>
      <c r="DV4" s="12"/>
      <c r="DW4" s="12"/>
      <c r="DX4" s="13"/>
      <c r="DY4" s="11" t="s">
        <v>55</v>
      </c>
      <c r="DZ4" s="12"/>
      <c r="EA4" s="12"/>
      <c r="EB4" s="12"/>
      <c r="EC4" s="13"/>
      <c r="ED4" s="11" t="s">
        <v>56</v>
      </c>
      <c r="EE4" s="12"/>
      <c r="EF4" s="12"/>
      <c r="EG4" s="12"/>
      <c r="EH4" s="13"/>
      <c r="EI4" s="11" t="s">
        <v>57</v>
      </c>
      <c r="EJ4" s="12"/>
      <c r="EK4" s="12"/>
      <c r="EL4" s="12"/>
      <c r="EM4" s="13"/>
      <c r="EN4" s="11" t="s">
        <v>58</v>
      </c>
      <c r="EO4" s="12"/>
      <c r="EP4" s="12"/>
      <c r="EQ4" s="12"/>
      <c r="ER4" s="13"/>
      <c r="ES4" s="15" t="s">
        <v>59</v>
      </c>
      <c r="ET4" s="12"/>
      <c r="EU4" s="12"/>
      <c r="EV4" s="12"/>
      <c r="EW4" s="13"/>
      <c r="EX4" s="15" t="s">
        <v>60</v>
      </c>
      <c r="EY4" s="12"/>
      <c r="EZ4" s="12"/>
      <c r="FA4" s="12"/>
      <c r="FB4" s="13"/>
      <c r="FC4" s="15" t="s">
        <v>61</v>
      </c>
      <c r="FD4" s="12"/>
      <c r="FE4" s="12"/>
      <c r="FF4" s="12"/>
      <c r="FG4" s="12"/>
      <c r="FH4" s="13"/>
      <c r="FI4" s="2"/>
    </row>
    <row r="5" ht="29.25" customHeight="1">
      <c r="A5" s="24" t="s">
        <v>62</v>
      </c>
      <c r="B5" s="24" t="s">
        <v>63</v>
      </c>
      <c r="C5" s="24" t="s">
        <v>64</v>
      </c>
      <c r="D5" s="26" t="s">
        <v>65</v>
      </c>
      <c r="E5" s="27" t="s">
        <v>66</v>
      </c>
      <c r="F5" s="28" t="s">
        <v>67</v>
      </c>
      <c r="G5" s="28" t="s">
        <v>68</v>
      </c>
      <c r="H5" s="29" t="s">
        <v>69</v>
      </c>
      <c r="I5" s="24"/>
      <c r="J5" s="30"/>
      <c r="K5" s="24" t="s">
        <v>70</v>
      </c>
      <c r="L5" s="24" t="s">
        <v>54</v>
      </c>
      <c r="M5" s="24" t="s">
        <v>53</v>
      </c>
      <c r="N5" s="24" t="s">
        <v>71</v>
      </c>
      <c r="O5" s="24" t="s">
        <v>72</v>
      </c>
      <c r="P5" s="24" t="s">
        <v>73</v>
      </c>
      <c r="Q5" s="24" t="s">
        <v>58</v>
      </c>
      <c r="R5" s="30"/>
      <c r="S5" s="24" t="s">
        <v>70</v>
      </c>
      <c r="T5" s="24" t="s">
        <v>54</v>
      </c>
      <c r="U5" s="24" t="s">
        <v>53</v>
      </c>
      <c r="V5" s="24" t="s">
        <v>71</v>
      </c>
      <c r="W5" s="24" t="s">
        <v>72</v>
      </c>
      <c r="X5" s="24" t="s">
        <v>73</v>
      </c>
      <c r="Y5" s="24" t="s">
        <v>58</v>
      </c>
      <c r="Z5" s="30"/>
      <c r="AA5" s="24" t="s">
        <v>54</v>
      </c>
      <c r="AB5" s="24" t="s">
        <v>53</v>
      </c>
      <c r="AC5" s="24" t="s">
        <v>71</v>
      </c>
      <c r="AD5" s="24" t="s">
        <v>72</v>
      </c>
      <c r="AE5" s="24" t="s">
        <v>73</v>
      </c>
      <c r="AF5" s="24" t="s">
        <v>58</v>
      </c>
      <c r="AG5" s="30"/>
      <c r="AH5" s="24" t="s">
        <v>70</v>
      </c>
      <c r="AI5" s="24" t="s">
        <v>54</v>
      </c>
      <c r="AJ5" s="24" t="s">
        <v>53</v>
      </c>
      <c r="AK5" s="24" t="s">
        <v>71</v>
      </c>
      <c r="AL5" s="24" t="s">
        <v>72</v>
      </c>
      <c r="AM5" s="24" t="s">
        <v>73</v>
      </c>
      <c r="AN5" s="24" t="s">
        <v>58</v>
      </c>
      <c r="AO5" s="30"/>
      <c r="AP5" s="24" t="s">
        <v>54</v>
      </c>
      <c r="AQ5" s="24" t="s">
        <v>53</v>
      </c>
      <c r="AR5" s="24" t="s">
        <v>71</v>
      </c>
      <c r="AS5" s="24" t="s">
        <v>72</v>
      </c>
      <c r="AT5" s="24" t="s">
        <v>73</v>
      </c>
      <c r="AU5" s="24" t="s">
        <v>58</v>
      </c>
      <c r="AV5" s="30"/>
      <c r="AW5" s="24" t="s">
        <v>54</v>
      </c>
      <c r="AX5" s="24" t="s">
        <v>53</v>
      </c>
      <c r="AY5" s="24" t="s">
        <v>71</v>
      </c>
      <c r="AZ5" s="24" t="s">
        <v>72</v>
      </c>
      <c r="BA5" s="24" t="s">
        <v>73</v>
      </c>
      <c r="BB5" s="24" t="s">
        <v>58</v>
      </c>
      <c r="BC5" s="24"/>
      <c r="BD5" s="24" t="s">
        <v>54</v>
      </c>
      <c r="BE5" s="24" t="s">
        <v>53</v>
      </c>
      <c r="BF5" s="24" t="s">
        <v>71</v>
      </c>
      <c r="BG5" s="24" t="s">
        <v>72</v>
      </c>
      <c r="BH5" s="24" t="s">
        <v>73</v>
      </c>
      <c r="BI5" s="24" t="s">
        <v>58</v>
      </c>
      <c r="BJ5" s="24"/>
      <c r="BK5" s="24"/>
      <c r="BL5" s="24" t="s">
        <v>74</v>
      </c>
      <c r="BM5" s="24" t="s">
        <v>75</v>
      </c>
      <c r="BN5" s="24" t="s">
        <v>76</v>
      </c>
      <c r="BO5" s="24" t="s">
        <v>77</v>
      </c>
      <c r="BP5" s="24" t="s">
        <v>78</v>
      </c>
      <c r="BQ5" s="24"/>
      <c r="BR5" s="24"/>
      <c r="BS5" s="24" t="s">
        <v>79</v>
      </c>
      <c r="BT5" s="24" t="s">
        <v>80</v>
      </c>
      <c r="BU5" s="24" t="s">
        <v>81</v>
      </c>
      <c r="BV5" s="24" t="s">
        <v>82</v>
      </c>
      <c r="BW5" s="24" t="s">
        <v>83</v>
      </c>
      <c r="BX5" s="24" t="s">
        <v>84</v>
      </c>
      <c r="BY5" s="31" t="s">
        <v>85</v>
      </c>
      <c r="BZ5" s="32" t="s">
        <v>86</v>
      </c>
      <c r="CA5" s="25" t="s">
        <v>87</v>
      </c>
      <c r="CB5" s="24" t="s">
        <v>88</v>
      </c>
      <c r="CC5" s="24" t="s">
        <v>89</v>
      </c>
      <c r="CD5" s="24"/>
      <c r="CE5" s="24"/>
      <c r="CF5" s="24" t="s">
        <v>90</v>
      </c>
      <c r="CG5" s="25" t="s">
        <v>91</v>
      </c>
      <c r="CH5" s="25" t="s">
        <v>92</v>
      </c>
      <c r="CI5" s="25" t="s">
        <v>93</v>
      </c>
      <c r="CJ5" s="24" t="s">
        <v>94</v>
      </c>
      <c r="CK5" s="24"/>
      <c r="CL5" s="24"/>
      <c r="CM5" s="33" t="s">
        <v>95</v>
      </c>
      <c r="CN5" s="24" t="s">
        <v>96</v>
      </c>
      <c r="CO5" s="24" t="s">
        <v>97</v>
      </c>
      <c r="CP5" s="24" t="s">
        <v>98</v>
      </c>
      <c r="CQ5" s="24" t="s">
        <v>99</v>
      </c>
      <c r="CR5" s="31" t="s">
        <v>100</v>
      </c>
      <c r="CS5" s="31" t="s">
        <v>101</v>
      </c>
      <c r="CT5" s="31" t="s">
        <v>102</v>
      </c>
      <c r="CU5" s="31" t="s">
        <v>103</v>
      </c>
      <c r="CV5" s="31" t="s">
        <v>104</v>
      </c>
      <c r="CW5" s="24"/>
      <c r="CX5" s="24"/>
      <c r="CY5" s="34" t="s">
        <v>105</v>
      </c>
      <c r="CZ5" s="35" t="s">
        <v>106</v>
      </c>
      <c r="DA5" s="36" t="s">
        <v>107</v>
      </c>
      <c r="DB5" s="37" t="s">
        <v>55</v>
      </c>
      <c r="DC5" s="25" t="s">
        <v>108</v>
      </c>
      <c r="DD5" s="25" t="s">
        <v>106</v>
      </c>
      <c r="DE5" s="25" t="s">
        <v>107</v>
      </c>
      <c r="DF5" s="25" t="s">
        <v>55</v>
      </c>
      <c r="DG5" s="25" t="s">
        <v>106</v>
      </c>
      <c r="DH5" s="25" t="s">
        <v>107</v>
      </c>
      <c r="DI5" s="25" t="s">
        <v>55</v>
      </c>
      <c r="DJ5" s="38" t="s">
        <v>109</v>
      </c>
      <c r="DK5" s="39" t="s">
        <v>110</v>
      </c>
      <c r="DL5" s="39" t="s">
        <v>111</v>
      </c>
      <c r="DM5" s="39" t="s">
        <v>112</v>
      </c>
      <c r="DN5" s="27" t="s">
        <v>113</v>
      </c>
      <c r="DO5" s="40" t="s">
        <v>109</v>
      </c>
      <c r="DP5" s="41" t="s">
        <v>110</v>
      </c>
      <c r="DQ5" s="41" t="s">
        <v>111</v>
      </c>
      <c r="DR5" s="41" t="s">
        <v>112</v>
      </c>
      <c r="DS5" s="42" t="s">
        <v>113</v>
      </c>
      <c r="DT5" s="40" t="s">
        <v>109</v>
      </c>
      <c r="DU5" s="41" t="s">
        <v>110</v>
      </c>
      <c r="DV5" s="41" t="s">
        <v>111</v>
      </c>
      <c r="DW5" s="41" t="s">
        <v>112</v>
      </c>
      <c r="DX5" s="42" t="s">
        <v>113</v>
      </c>
      <c r="DY5" s="40" t="s">
        <v>109</v>
      </c>
      <c r="DZ5" s="41" t="s">
        <v>110</v>
      </c>
      <c r="EA5" s="41" t="s">
        <v>111</v>
      </c>
      <c r="EB5" s="41" t="s">
        <v>112</v>
      </c>
      <c r="EC5" s="42" t="s">
        <v>113</v>
      </c>
      <c r="ED5" s="40" t="s">
        <v>109</v>
      </c>
      <c r="EE5" s="41" t="s">
        <v>110</v>
      </c>
      <c r="EF5" s="41" t="s">
        <v>111</v>
      </c>
      <c r="EG5" s="41" t="s">
        <v>112</v>
      </c>
      <c r="EH5" s="42" t="s">
        <v>113</v>
      </c>
      <c r="EI5" s="40" t="s">
        <v>109</v>
      </c>
      <c r="EJ5" s="41" t="s">
        <v>110</v>
      </c>
      <c r="EK5" s="41" t="s">
        <v>111</v>
      </c>
      <c r="EL5" s="41" t="s">
        <v>112</v>
      </c>
      <c r="EM5" s="42" t="s">
        <v>113</v>
      </c>
      <c r="EN5" s="40" t="s">
        <v>109</v>
      </c>
      <c r="EO5" s="41" t="s">
        <v>110</v>
      </c>
      <c r="EP5" s="41" t="s">
        <v>111</v>
      </c>
      <c r="EQ5" s="41" t="s">
        <v>112</v>
      </c>
      <c r="ER5" s="42" t="s">
        <v>113</v>
      </c>
      <c r="ES5" s="38" t="s">
        <v>109</v>
      </c>
      <c r="ET5" s="39" t="s">
        <v>110</v>
      </c>
      <c r="EU5" s="39" t="s">
        <v>111</v>
      </c>
      <c r="EV5" s="39" t="s">
        <v>112</v>
      </c>
      <c r="EW5" s="27" t="s">
        <v>113</v>
      </c>
      <c r="EX5" s="38" t="s">
        <v>109</v>
      </c>
      <c r="EY5" s="39" t="s">
        <v>110</v>
      </c>
      <c r="EZ5" s="39" t="s">
        <v>111</v>
      </c>
      <c r="FA5" s="39" t="s">
        <v>112</v>
      </c>
      <c r="FB5" s="27" t="s">
        <v>84</v>
      </c>
      <c r="FC5" s="38" t="s">
        <v>109</v>
      </c>
      <c r="FD5" s="39" t="s">
        <v>110</v>
      </c>
      <c r="FE5" s="39" t="s">
        <v>114</v>
      </c>
      <c r="FF5" s="39" t="s">
        <v>112</v>
      </c>
      <c r="FG5" s="39" t="s">
        <v>84</v>
      </c>
      <c r="FH5" s="37" t="s">
        <v>115</v>
      </c>
      <c r="FI5" s="24"/>
    </row>
    <row r="6" ht="18.0" customHeight="1">
      <c r="A6" s="22" t="s">
        <v>116</v>
      </c>
      <c r="B6" s="22" t="s">
        <v>117</v>
      </c>
      <c r="C6" s="22" t="s">
        <v>118</v>
      </c>
      <c r="D6" s="22" t="s">
        <v>119</v>
      </c>
      <c r="E6" s="43"/>
      <c r="F6" s="22" t="s">
        <v>120</v>
      </c>
      <c r="G6" s="22" t="s">
        <v>121</v>
      </c>
      <c r="H6" s="22" t="s">
        <v>122</v>
      </c>
      <c r="I6" s="43"/>
      <c r="J6" s="43"/>
      <c r="K6" s="22" t="b">
        <v>1</v>
      </c>
      <c r="L6" s="22" t="b">
        <v>1</v>
      </c>
      <c r="M6" s="22" t="b">
        <v>1</v>
      </c>
      <c r="N6" s="22" t="b">
        <v>0</v>
      </c>
      <c r="O6" s="22" t="b">
        <v>0</v>
      </c>
      <c r="P6" s="22" t="b">
        <v>0</v>
      </c>
      <c r="Q6" s="22" t="b">
        <v>0</v>
      </c>
      <c r="R6" s="43"/>
      <c r="S6" s="43" t="s">
        <v>123</v>
      </c>
      <c r="T6" s="22" t="s">
        <v>117</v>
      </c>
      <c r="U6" s="22" t="s">
        <v>117</v>
      </c>
      <c r="V6" s="22"/>
      <c r="W6" s="43"/>
      <c r="X6" s="43"/>
      <c r="Y6" s="43"/>
      <c r="Z6" s="43"/>
      <c r="AA6" s="22">
        <v>4.73683865E8</v>
      </c>
      <c r="AB6" s="22">
        <v>2.517120405E9</v>
      </c>
      <c r="AC6" s="22"/>
      <c r="AD6" s="22"/>
      <c r="AE6" s="22"/>
      <c r="AF6" s="43"/>
      <c r="AG6" s="43"/>
      <c r="AH6" s="43" t="s">
        <v>120</v>
      </c>
      <c r="AI6" s="22" t="s">
        <v>124</v>
      </c>
      <c r="AJ6" s="22" t="s">
        <v>125</v>
      </c>
      <c r="AK6" s="22"/>
      <c r="AL6" s="43"/>
      <c r="AM6" s="43"/>
      <c r="AN6" s="43"/>
      <c r="AO6" s="43"/>
      <c r="AP6" s="44" t="s">
        <v>126</v>
      </c>
      <c r="AQ6" s="44" t="s">
        <v>127</v>
      </c>
      <c r="AR6" s="45"/>
      <c r="AS6" s="43"/>
      <c r="AT6" s="43"/>
      <c r="AU6" s="43"/>
      <c r="AV6" s="43"/>
      <c r="AW6" s="22" t="s">
        <v>128</v>
      </c>
      <c r="AX6" s="22" t="s">
        <v>125</v>
      </c>
      <c r="AY6" s="22"/>
      <c r="AZ6" s="43"/>
      <c r="BA6" s="43"/>
      <c r="BB6" s="43"/>
      <c r="BC6" s="43"/>
      <c r="BD6" s="43" t="s">
        <v>129</v>
      </c>
      <c r="BE6" s="43" t="s">
        <v>130</v>
      </c>
      <c r="BF6" s="22" t="s">
        <v>131</v>
      </c>
      <c r="BG6" s="22" t="s">
        <v>132</v>
      </c>
      <c r="BH6" s="22" t="s">
        <v>132</v>
      </c>
      <c r="BI6" s="22" t="s">
        <v>132</v>
      </c>
      <c r="BJ6" s="43"/>
      <c r="BK6" s="43"/>
      <c r="BL6" s="22">
        <v>4.605543013096E12</v>
      </c>
      <c r="BM6" s="22">
        <v>2.309909609E9</v>
      </c>
      <c r="BN6" s="22" t="s">
        <v>133</v>
      </c>
      <c r="BO6" s="46" t="s">
        <v>134</v>
      </c>
      <c r="BP6" s="22" t="s">
        <v>135</v>
      </c>
      <c r="BQ6" s="43"/>
      <c r="BR6" s="43"/>
      <c r="BS6" s="22" t="s">
        <v>136</v>
      </c>
      <c r="BT6" s="22"/>
      <c r="BU6" s="22" t="s">
        <v>137</v>
      </c>
      <c r="BV6" s="43"/>
      <c r="BW6" s="22" t="s">
        <v>138</v>
      </c>
      <c r="BX6" s="22">
        <v>75.0</v>
      </c>
      <c r="BY6" s="22" t="s">
        <v>139</v>
      </c>
      <c r="BZ6" s="22"/>
      <c r="CA6" s="22" t="s">
        <v>140</v>
      </c>
      <c r="CB6" s="22" t="s">
        <v>140</v>
      </c>
      <c r="CC6" s="44" t="s">
        <v>141</v>
      </c>
      <c r="CD6" s="43"/>
      <c r="CE6" s="43"/>
      <c r="CF6" s="45"/>
      <c r="CG6" s="47">
        <v>46083.0</v>
      </c>
      <c r="CH6" s="48" t="s">
        <v>142</v>
      </c>
      <c r="CI6" s="45"/>
      <c r="CJ6" s="43"/>
      <c r="CK6" s="43"/>
      <c r="CL6" s="43"/>
      <c r="CM6" s="49">
        <f>IFERROR(VLOOKUP(B6,CC!A:D,4,0)," ")</f>
        <v>145.43</v>
      </c>
      <c r="CN6" s="22" t="s">
        <v>143</v>
      </c>
      <c r="CO6" s="22"/>
      <c r="CP6" s="22" t="s">
        <v>144</v>
      </c>
      <c r="CQ6" s="22">
        <v>30.0</v>
      </c>
      <c r="CR6" s="43"/>
      <c r="CS6" s="22">
        <v>1.0</v>
      </c>
      <c r="CT6" s="22" t="s">
        <v>145</v>
      </c>
      <c r="CU6" s="43"/>
      <c r="CV6" s="43"/>
      <c r="CW6" s="43"/>
      <c r="CX6" s="43"/>
      <c r="CY6" s="22" t="b">
        <v>0</v>
      </c>
      <c r="CZ6" s="22" t="b">
        <v>0</v>
      </c>
      <c r="DA6" s="22" t="b">
        <v>0</v>
      </c>
      <c r="DB6" s="22" t="b">
        <v>0</v>
      </c>
      <c r="DC6" s="22" t="s">
        <v>146</v>
      </c>
      <c r="DD6" s="22"/>
      <c r="DE6" s="22"/>
      <c r="DF6" s="22"/>
      <c r="DG6" s="22" t="s">
        <v>60</v>
      </c>
      <c r="DH6" s="22"/>
      <c r="DI6" s="22"/>
      <c r="DJ6" s="22">
        <v>5.0</v>
      </c>
      <c r="DK6" s="22">
        <v>15.0</v>
      </c>
      <c r="DL6" s="22">
        <v>5.0</v>
      </c>
      <c r="DM6" s="22">
        <v>375.0</v>
      </c>
      <c r="DN6" s="22">
        <v>0.092</v>
      </c>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43"/>
      <c r="ET6" s="43"/>
      <c r="EU6" s="43"/>
      <c r="EV6" s="43"/>
      <c r="EW6" s="43"/>
      <c r="EX6" s="43"/>
      <c r="EY6" s="43"/>
      <c r="EZ6" s="43"/>
      <c r="FA6" s="43"/>
      <c r="FB6" s="43"/>
      <c r="FC6" s="43"/>
      <c r="FD6" s="43"/>
      <c r="FE6" s="43"/>
      <c r="FF6" s="43"/>
      <c r="FG6" s="43"/>
      <c r="FH6" s="43"/>
      <c r="FI6" s="43"/>
    </row>
    <row r="7" ht="18.0" customHeight="1">
      <c r="A7" s="22" t="s">
        <v>116</v>
      </c>
      <c r="B7" s="43" t="s">
        <v>147</v>
      </c>
      <c r="C7" s="22" t="s">
        <v>118</v>
      </c>
      <c r="D7" s="22" t="s">
        <v>119</v>
      </c>
      <c r="E7" s="43"/>
      <c r="F7" s="22" t="s">
        <v>148</v>
      </c>
      <c r="G7" s="22" t="s">
        <v>121</v>
      </c>
      <c r="H7" s="22" t="s">
        <v>122</v>
      </c>
      <c r="I7" s="43"/>
      <c r="J7" s="43"/>
      <c r="K7" s="22" t="b">
        <v>1</v>
      </c>
      <c r="L7" s="22" t="b">
        <v>1</v>
      </c>
      <c r="M7" s="22" t="b">
        <v>1</v>
      </c>
      <c r="N7" s="22" t="b">
        <v>1</v>
      </c>
      <c r="O7" s="22" t="b">
        <v>0</v>
      </c>
      <c r="P7" s="22" t="b">
        <v>0</v>
      </c>
      <c r="Q7" s="22" t="b">
        <v>0</v>
      </c>
      <c r="R7" s="43"/>
      <c r="S7" s="43" t="s">
        <v>149</v>
      </c>
      <c r="T7" s="22" t="s">
        <v>147</v>
      </c>
      <c r="U7" s="22" t="s">
        <v>147</v>
      </c>
      <c r="V7" s="22" t="s">
        <v>147</v>
      </c>
      <c r="W7" s="43"/>
      <c r="X7" s="43"/>
      <c r="Y7" s="43"/>
      <c r="Z7" s="43"/>
      <c r="AA7" s="22">
        <v>1.6368338E8</v>
      </c>
      <c r="AB7" s="22">
        <v>1.010948247E9</v>
      </c>
      <c r="AC7" s="22">
        <v>1.02632683755E11</v>
      </c>
      <c r="AD7" s="22"/>
      <c r="AE7" s="22"/>
      <c r="AF7" s="43"/>
      <c r="AG7" s="43"/>
      <c r="AH7" s="43" t="s">
        <v>148</v>
      </c>
      <c r="AI7" s="22" t="s">
        <v>150</v>
      </c>
      <c r="AJ7" s="22" t="s">
        <v>151</v>
      </c>
      <c r="AK7" s="22" t="s">
        <v>152</v>
      </c>
      <c r="AL7" s="43"/>
      <c r="AM7" s="43"/>
      <c r="AN7" s="43"/>
      <c r="AO7" s="43"/>
      <c r="AP7" s="46" t="s">
        <v>153</v>
      </c>
      <c r="AQ7" s="46" t="s">
        <v>154</v>
      </c>
      <c r="AR7" s="46" t="s">
        <v>155</v>
      </c>
      <c r="AS7" s="43"/>
      <c r="AT7" s="43"/>
      <c r="AU7" s="43"/>
      <c r="AV7" s="43"/>
      <c r="AW7" s="22" t="s">
        <v>156</v>
      </c>
      <c r="AX7" s="22" t="s">
        <v>151</v>
      </c>
      <c r="AY7" s="22" t="s">
        <v>157</v>
      </c>
      <c r="AZ7" s="43"/>
      <c r="BA7" s="43"/>
      <c r="BB7" s="43"/>
      <c r="BC7" s="43"/>
      <c r="BD7" s="43" t="s">
        <v>129</v>
      </c>
      <c r="BE7" s="43" t="s">
        <v>130</v>
      </c>
      <c r="BF7" s="22" t="s">
        <v>131</v>
      </c>
      <c r="BG7" s="22" t="s">
        <v>132</v>
      </c>
      <c r="BH7" s="22" t="s">
        <v>132</v>
      </c>
      <c r="BI7" s="22" t="s">
        <v>132</v>
      </c>
      <c r="BJ7" s="43"/>
      <c r="BK7" s="43"/>
      <c r="BL7" s="22">
        <v>4.605543011153E12</v>
      </c>
      <c r="BM7" s="22">
        <v>2.3099031E9</v>
      </c>
      <c r="BN7" s="22" t="s">
        <v>158</v>
      </c>
      <c r="BO7" s="46" t="s">
        <v>159</v>
      </c>
      <c r="BP7" s="22" t="s">
        <v>160</v>
      </c>
      <c r="BQ7" s="43"/>
      <c r="BR7" s="43"/>
      <c r="BS7" s="22" t="s">
        <v>161</v>
      </c>
      <c r="BT7" s="50"/>
      <c r="BU7" s="22" t="s">
        <v>162</v>
      </c>
      <c r="BV7" s="43"/>
      <c r="BW7" s="22" t="s">
        <v>163</v>
      </c>
      <c r="BX7" s="22">
        <v>100.0</v>
      </c>
      <c r="BY7" s="22" t="s">
        <v>164</v>
      </c>
      <c r="BZ7" s="22"/>
      <c r="CA7" s="22" t="s">
        <v>165</v>
      </c>
      <c r="CB7" s="22" t="s">
        <v>165</v>
      </c>
      <c r="CC7" s="44" t="s">
        <v>166</v>
      </c>
      <c r="CD7" s="43"/>
      <c r="CE7" s="43"/>
      <c r="CF7" s="44" t="s">
        <v>167</v>
      </c>
      <c r="CG7" s="43"/>
      <c r="CH7" s="43"/>
      <c r="CI7" s="43"/>
      <c r="CJ7" s="43"/>
      <c r="CK7" s="43"/>
      <c r="CL7" s="43"/>
      <c r="CM7" s="49">
        <f>IFERROR(VLOOKUP(B7,CC!A:D,4,0)," ")</f>
        <v>53.65</v>
      </c>
      <c r="CN7" s="22" t="s">
        <v>143</v>
      </c>
      <c r="CO7" s="22"/>
      <c r="CP7" s="22" t="s">
        <v>168</v>
      </c>
      <c r="CQ7" s="22">
        <v>30.0</v>
      </c>
      <c r="CR7" s="43"/>
      <c r="CS7" s="22">
        <v>1.0</v>
      </c>
      <c r="CT7" s="22" t="s">
        <v>145</v>
      </c>
      <c r="CU7" s="43"/>
      <c r="CV7" s="43"/>
      <c r="CW7" s="43"/>
      <c r="CX7" s="43"/>
      <c r="CY7" s="43" t="b">
        <v>0</v>
      </c>
      <c r="CZ7" s="43" t="b">
        <v>0</v>
      </c>
      <c r="DA7" s="43" t="b">
        <v>0</v>
      </c>
      <c r="DB7" s="43" t="b">
        <v>0</v>
      </c>
      <c r="DC7" s="43"/>
      <c r="DD7" s="43"/>
      <c r="DE7" s="43"/>
      <c r="DF7" s="43"/>
      <c r="DG7" s="22" t="s">
        <v>169</v>
      </c>
      <c r="DH7" s="43"/>
      <c r="DI7" s="43"/>
      <c r="DJ7" s="22">
        <v>4.0</v>
      </c>
      <c r="DK7" s="22">
        <v>8.0</v>
      </c>
      <c r="DL7" s="22">
        <v>4.0</v>
      </c>
      <c r="DM7" s="22">
        <v>128.0</v>
      </c>
      <c r="DN7" s="22">
        <v>0.06</v>
      </c>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43"/>
      <c r="ET7" s="43"/>
      <c r="EU7" s="43"/>
      <c r="EV7" s="43"/>
      <c r="EW7" s="43"/>
      <c r="EX7" s="43"/>
      <c r="EY7" s="43"/>
      <c r="EZ7" s="43"/>
      <c r="FA7" s="43"/>
      <c r="FB7" s="43"/>
      <c r="FC7" s="43"/>
      <c r="FD7" s="43"/>
      <c r="FE7" s="43"/>
      <c r="FF7" s="43"/>
      <c r="FG7" s="43"/>
      <c r="FH7" s="43"/>
      <c r="FI7" s="43"/>
    </row>
    <row r="8" ht="18.0" customHeight="1">
      <c r="A8" s="22" t="s">
        <v>116</v>
      </c>
      <c r="B8" s="43" t="s">
        <v>170</v>
      </c>
      <c r="C8" s="22" t="s">
        <v>118</v>
      </c>
      <c r="D8" s="22" t="s">
        <v>119</v>
      </c>
      <c r="E8" s="22" t="s">
        <v>171</v>
      </c>
      <c r="F8" s="22" t="s">
        <v>172</v>
      </c>
      <c r="G8" s="22" t="s">
        <v>121</v>
      </c>
      <c r="H8" s="22" t="s">
        <v>122</v>
      </c>
      <c r="I8" s="43"/>
      <c r="J8" s="43"/>
      <c r="K8" s="22" t="b">
        <v>1</v>
      </c>
      <c r="L8" s="22" t="b">
        <v>1</v>
      </c>
      <c r="M8" s="22" t="b">
        <v>1</v>
      </c>
      <c r="N8" s="22" t="b">
        <v>1</v>
      </c>
      <c r="O8" s="22" t="b">
        <v>0</v>
      </c>
      <c r="P8" s="22" t="b">
        <v>0</v>
      </c>
      <c r="Q8" s="22" t="b">
        <v>0</v>
      </c>
      <c r="R8" s="43"/>
      <c r="S8" s="43" t="s">
        <v>173</v>
      </c>
      <c r="T8" s="22" t="s">
        <v>170</v>
      </c>
      <c r="U8" s="22" t="s">
        <v>170</v>
      </c>
      <c r="V8" s="22" t="s">
        <v>170</v>
      </c>
      <c r="W8" s="43"/>
      <c r="X8" s="43"/>
      <c r="Y8" s="43"/>
      <c r="Z8" s="43"/>
      <c r="AA8" s="22">
        <v>1.63688556E8</v>
      </c>
      <c r="AB8" s="22">
        <v>1.018532111E9</v>
      </c>
      <c r="AC8" s="22">
        <v>1.02625995832E11</v>
      </c>
      <c r="AD8" s="22"/>
      <c r="AE8" s="22"/>
      <c r="AF8" s="43"/>
      <c r="AG8" s="43"/>
      <c r="AH8" s="43" t="s">
        <v>172</v>
      </c>
      <c r="AI8" s="22" t="s">
        <v>174</v>
      </c>
      <c r="AJ8" s="22" t="s">
        <v>175</v>
      </c>
      <c r="AK8" s="22" t="s">
        <v>176</v>
      </c>
      <c r="AL8" s="43"/>
      <c r="AM8" s="43"/>
      <c r="AN8" s="43"/>
      <c r="AO8" s="43"/>
      <c r="AP8" s="46" t="s">
        <v>177</v>
      </c>
      <c r="AQ8" s="46" t="s">
        <v>178</v>
      </c>
      <c r="AR8" s="46" t="s">
        <v>179</v>
      </c>
      <c r="AS8" s="43"/>
      <c r="AT8" s="43"/>
      <c r="AU8" s="43"/>
      <c r="AV8" s="43"/>
      <c r="AW8" s="22" t="s">
        <v>156</v>
      </c>
      <c r="AX8" s="22" t="s">
        <v>175</v>
      </c>
      <c r="AY8" s="22" t="s">
        <v>157</v>
      </c>
      <c r="AZ8" s="43"/>
      <c r="BA8" s="43"/>
      <c r="BB8" s="43"/>
      <c r="BC8" s="43"/>
      <c r="BD8" s="43" t="s">
        <v>129</v>
      </c>
      <c r="BE8" s="43" t="s">
        <v>130</v>
      </c>
      <c r="BF8" s="22" t="s">
        <v>131</v>
      </c>
      <c r="BG8" s="22" t="s">
        <v>132</v>
      </c>
      <c r="BH8" s="22" t="s">
        <v>132</v>
      </c>
      <c r="BI8" s="22" t="s">
        <v>132</v>
      </c>
      <c r="BJ8" s="43"/>
      <c r="BK8" s="43"/>
      <c r="BL8" s="22">
        <v>4.60554301116E12</v>
      </c>
      <c r="BM8" s="22">
        <v>2.3099031E9</v>
      </c>
      <c r="BN8" s="22" t="s">
        <v>180</v>
      </c>
      <c r="BO8" s="46" t="s">
        <v>181</v>
      </c>
      <c r="BP8" s="22" t="s">
        <v>160</v>
      </c>
      <c r="BQ8" s="43"/>
      <c r="BR8" s="43"/>
      <c r="BS8" s="22" t="s">
        <v>182</v>
      </c>
      <c r="BT8" s="43"/>
      <c r="BU8" s="22" t="s">
        <v>183</v>
      </c>
      <c r="BV8" s="43"/>
      <c r="BW8" s="22" t="s">
        <v>163</v>
      </c>
      <c r="BX8" s="22">
        <v>100.0</v>
      </c>
      <c r="BY8" s="22" t="s">
        <v>164</v>
      </c>
      <c r="BZ8" s="22"/>
      <c r="CA8" s="22" t="s">
        <v>165</v>
      </c>
      <c r="CB8" s="22" t="s">
        <v>165</v>
      </c>
      <c r="CC8" s="44" t="s">
        <v>184</v>
      </c>
      <c r="CD8" s="43"/>
      <c r="CE8" s="43"/>
      <c r="CF8" s="44" t="s">
        <v>167</v>
      </c>
      <c r="CG8" s="43"/>
      <c r="CH8" s="43"/>
      <c r="CI8" s="43"/>
      <c r="CJ8" s="43"/>
      <c r="CK8" s="43"/>
      <c r="CL8" s="43"/>
      <c r="CM8" s="49">
        <f>IFERROR(VLOOKUP(B8,CC!A:D,4,0)," ")</f>
        <v>53.65</v>
      </c>
      <c r="CN8" s="22" t="s">
        <v>143</v>
      </c>
      <c r="CO8" s="22"/>
      <c r="CP8" s="22" t="s">
        <v>168</v>
      </c>
      <c r="CQ8" s="22">
        <v>30.0</v>
      </c>
      <c r="CR8" s="43"/>
      <c r="CS8" s="22">
        <v>1.0</v>
      </c>
      <c r="CT8" s="22" t="s">
        <v>145</v>
      </c>
      <c r="CU8" s="43"/>
      <c r="CV8" s="43"/>
      <c r="CW8" s="43"/>
      <c r="CX8" s="43"/>
      <c r="CY8" s="43" t="b">
        <v>0</v>
      </c>
      <c r="CZ8" s="43" t="b">
        <v>0</v>
      </c>
      <c r="DA8" s="43" t="b">
        <v>0</v>
      </c>
      <c r="DB8" s="43" t="b">
        <v>0</v>
      </c>
      <c r="DC8" s="43"/>
      <c r="DD8" s="43"/>
      <c r="DE8" s="43"/>
      <c r="DF8" s="43"/>
      <c r="DG8" s="22" t="s">
        <v>185</v>
      </c>
      <c r="DH8" s="43"/>
      <c r="DI8" s="43"/>
      <c r="DJ8" s="22">
        <v>4.0</v>
      </c>
      <c r="DK8" s="22">
        <v>8.0</v>
      </c>
      <c r="DL8" s="22">
        <v>4.0</v>
      </c>
      <c r="DM8" s="22">
        <v>128.0</v>
      </c>
      <c r="DN8" s="22">
        <v>0.06</v>
      </c>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43"/>
      <c r="ET8" s="43"/>
      <c r="EU8" s="43"/>
      <c r="EV8" s="43"/>
      <c r="EW8" s="43"/>
      <c r="EX8" s="43"/>
      <c r="EY8" s="43"/>
      <c r="EZ8" s="43"/>
      <c r="FA8" s="43"/>
      <c r="FB8" s="43"/>
      <c r="FC8" s="43"/>
      <c r="FD8" s="43"/>
      <c r="FE8" s="43"/>
      <c r="FF8" s="43"/>
      <c r="FG8" s="43"/>
      <c r="FH8" s="43"/>
      <c r="FI8" s="43"/>
    </row>
    <row r="9" ht="18.0" customHeight="1">
      <c r="A9" s="22" t="s">
        <v>116</v>
      </c>
      <c r="B9" s="43" t="s">
        <v>186</v>
      </c>
      <c r="C9" s="22" t="s">
        <v>118</v>
      </c>
      <c r="D9" s="22" t="s">
        <v>187</v>
      </c>
      <c r="E9" s="43" t="s">
        <v>188</v>
      </c>
      <c r="F9" s="22" t="s">
        <v>120</v>
      </c>
      <c r="G9" s="22" t="s">
        <v>121</v>
      </c>
      <c r="H9" s="22" t="s">
        <v>122</v>
      </c>
      <c r="I9" s="43"/>
      <c r="J9" s="43"/>
      <c r="K9" s="22" t="b">
        <v>1</v>
      </c>
      <c r="L9" s="22" t="b">
        <v>1</v>
      </c>
      <c r="M9" s="22" t="b">
        <v>1</v>
      </c>
      <c r="N9" s="22" t="b">
        <v>1</v>
      </c>
      <c r="O9" s="22" t="b">
        <v>0</v>
      </c>
      <c r="P9" s="22" t="b">
        <v>0</v>
      </c>
      <c r="Q9" s="22" t="b">
        <v>0</v>
      </c>
      <c r="R9" s="43"/>
      <c r="S9" s="43" t="s">
        <v>189</v>
      </c>
      <c r="T9" s="22" t="s">
        <v>186</v>
      </c>
      <c r="U9" s="22" t="s">
        <v>186</v>
      </c>
      <c r="V9" s="22" t="s">
        <v>186</v>
      </c>
      <c r="W9" s="43"/>
      <c r="X9" s="43"/>
      <c r="Y9" s="43"/>
      <c r="Z9" s="43"/>
      <c r="AA9" s="22">
        <v>2.65523439E8</v>
      </c>
      <c r="AB9" s="22">
        <v>1.711363073E9</v>
      </c>
      <c r="AC9" s="22">
        <v>1.03597697138E11</v>
      </c>
      <c r="AD9" s="22"/>
      <c r="AE9" s="22"/>
      <c r="AF9" s="43"/>
      <c r="AG9" s="43"/>
      <c r="AH9" s="43" t="s">
        <v>120</v>
      </c>
      <c r="AI9" s="22" t="s">
        <v>124</v>
      </c>
      <c r="AJ9" s="22" t="s">
        <v>125</v>
      </c>
      <c r="AK9" s="22" t="s">
        <v>190</v>
      </c>
      <c r="AL9" s="43"/>
      <c r="AM9" s="43"/>
      <c r="AN9" s="43"/>
      <c r="AO9" s="43"/>
      <c r="AP9" s="46" t="s">
        <v>191</v>
      </c>
      <c r="AQ9" s="46" t="s">
        <v>192</v>
      </c>
      <c r="AR9" s="46" t="s">
        <v>193</v>
      </c>
      <c r="AS9" s="43"/>
      <c r="AT9" s="43"/>
      <c r="AU9" s="43"/>
      <c r="AV9" s="43"/>
      <c r="AW9" s="22" t="s">
        <v>128</v>
      </c>
      <c r="AX9" s="22" t="s">
        <v>125</v>
      </c>
      <c r="AY9" s="22" t="s">
        <v>157</v>
      </c>
      <c r="AZ9" s="43"/>
      <c r="BA9" s="43"/>
      <c r="BB9" s="43"/>
      <c r="BC9" s="43"/>
      <c r="BD9" s="43" t="s">
        <v>194</v>
      </c>
      <c r="BE9" s="43" t="s">
        <v>130</v>
      </c>
      <c r="BF9" s="22" t="s">
        <v>131</v>
      </c>
      <c r="BG9" s="22" t="s">
        <v>132</v>
      </c>
      <c r="BH9" s="22" t="s">
        <v>132</v>
      </c>
      <c r="BI9" s="22" t="s">
        <v>132</v>
      </c>
      <c r="BJ9" s="43"/>
      <c r="BK9" s="43"/>
      <c r="BL9" s="22">
        <v>4.605543013096E12</v>
      </c>
      <c r="BM9" s="22">
        <v>2.309909609E9</v>
      </c>
      <c r="BN9" s="22" t="s">
        <v>133</v>
      </c>
      <c r="BO9" s="22"/>
      <c r="BP9" s="22" t="s">
        <v>135</v>
      </c>
      <c r="BQ9" s="43"/>
      <c r="BR9" s="43"/>
      <c r="BS9" s="22" t="s">
        <v>195</v>
      </c>
      <c r="BT9" s="43"/>
      <c r="BU9" s="22" t="s">
        <v>137</v>
      </c>
      <c r="BV9" s="43"/>
      <c r="BW9" s="22" t="s">
        <v>138</v>
      </c>
      <c r="BX9" s="22">
        <v>75.0</v>
      </c>
      <c r="BY9" s="22" t="s">
        <v>139</v>
      </c>
      <c r="BZ9" s="22"/>
      <c r="CA9" s="22" t="s">
        <v>140</v>
      </c>
      <c r="CB9" s="22" t="s">
        <v>140</v>
      </c>
      <c r="CC9" s="45" t="s">
        <v>141</v>
      </c>
      <c r="CD9" s="43"/>
      <c r="CE9" s="43"/>
      <c r="CF9" s="45"/>
      <c r="CG9" s="43"/>
      <c r="CH9" s="43"/>
      <c r="CI9" s="43"/>
      <c r="CJ9" s="43"/>
      <c r="CK9" s="43"/>
      <c r="CL9" s="43"/>
      <c r="CM9" s="49">
        <f>IFERROR(VLOOKUP(B9,CC!A:D,4,0)," ")</f>
        <v>102</v>
      </c>
      <c r="CN9" s="22" t="s">
        <v>143</v>
      </c>
      <c r="CO9" s="22"/>
      <c r="CP9" s="22" t="s">
        <v>168</v>
      </c>
      <c r="CQ9" s="22">
        <v>30.0</v>
      </c>
      <c r="CR9" s="43"/>
      <c r="CS9" s="22">
        <v>1.0</v>
      </c>
      <c r="CT9" s="22" t="s">
        <v>145</v>
      </c>
      <c r="CU9" s="43"/>
      <c r="CV9" s="43"/>
      <c r="CW9" s="43"/>
      <c r="CX9" s="43"/>
      <c r="CY9" s="43" t="b">
        <v>0</v>
      </c>
      <c r="CZ9" s="43" t="b">
        <v>0</v>
      </c>
      <c r="DA9" s="43" t="b">
        <v>0</v>
      </c>
      <c r="DB9" s="43" t="b">
        <v>0</v>
      </c>
      <c r="DC9" s="43"/>
      <c r="DD9" s="43"/>
      <c r="DE9" s="43"/>
      <c r="DF9" s="43"/>
      <c r="DG9" s="43"/>
      <c r="DH9" s="43"/>
      <c r="DI9" s="43"/>
      <c r="DJ9" s="22">
        <v>5.0</v>
      </c>
      <c r="DK9" s="22">
        <v>15.0</v>
      </c>
      <c r="DL9" s="22">
        <v>5.0</v>
      </c>
      <c r="DM9" s="22">
        <v>375.0</v>
      </c>
      <c r="DN9" s="22">
        <v>0.092</v>
      </c>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43"/>
      <c r="ET9" s="43"/>
      <c r="EU9" s="43"/>
      <c r="EV9" s="43"/>
      <c r="EW9" s="43"/>
      <c r="EX9" s="43"/>
      <c r="EY9" s="43"/>
      <c r="EZ9" s="43"/>
      <c r="FA9" s="43"/>
      <c r="FB9" s="43"/>
      <c r="FC9" s="43"/>
      <c r="FD9" s="43"/>
      <c r="FE9" s="43"/>
      <c r="FF9" s="43"/>
      <c r="FG9" s="43"/>
      <c r="FH9" s="43"/>
      <c r="FI9" s="43"/>
    </row>
    <row r="10" ht="18.0" customHeight="1">
      <c r="A10" s="22" t="s">
        <v>116</v>
      </c>
      <c r="B10" s="43" t="s">
        <v>196</v>
      </c>
      <c r="C10" s="22" t="s">
        <v>118</v>
      </c>
      <c r="D10" s="22" t="s">
        <v>119</v>
      </c>
      <c r="E10" s="43"/>
      <c r="F10" s="22" t="s">
        <v>197</v>
      </c>
      <c r="G10" s="22" t="s">
        <v>121</v>
      </c>
      <c r="H10" s="22" t="s">
        <v>198</v>
      </c>
      <c r="I10" s="43"/>
      <c r="J10" s="43"/>
      <c r="K10" s="22" t="b">
        <v>1</v>
      </c>
      <c r="L10" s="22" t="b">
        <v>1</v>
      </c>
      <c r="M10" s="22" t="b">
        <v>1</v>
      </c>
      <c r="N10" s="22" t="b">
        <v>1</v>
      </c>
      <c r="O10" s="22" t="b">
        <v>0</v>
      </c>
      <c r="P10" s="22" t="b">
        <v>0</v>
      </c>
      <c r="Q10" s="22" t="b">
        <v>0</v>
      </c>
      <c r="R10" s="43"/>
      <c r="S10" s="43" t="s">
        <v>199</v>
      </c>
      <c r="T10" s="22" t="s">
        <v>196</v>
      </c>
      <c r="U10" s="22" t="s">
        <v>196</v>
      </c>
      <c r="V10" s="22" t="s">
        <v>196</v>
      </c>
      <c r="W10" s="43"/>
      <c r="X10" s="43"/>
      <c r="Y10" s="43"/>
      <c r="Z10" s="43"/>
      <c r="AA10" s="22">
        <v>1.50253274E8</v>
      </c>
      <c r="AB10" s="22">
        <v>8.84560852E8</v>
      </c>
      <c r="AC10" s="22">
        <v>1.02626212762E11</v>
      </c>
      <c r="AD10" s="22"/>
      <c r="AE10" s="22"/>
      <c r="AF10" s="43"/>
      <c r="AG10" s="43"/>
      <c r="AH10" s="43" t="s">
        <v>197</v>
      </c>
      <c r="AI10" s="22" t="s">
        <v>200</v>
      </c>
      <c r="AJ10" s="22" t="s">
        <v>201</v>
      </c>
      <c r="AK10" s="22" t="s">
        <v>201</v>
      </c>
      <c r="AL10" s="43"/>
      <c r="AM10" s="43"/>
      <c r="AN10" s="43"/>
      <c r="AO10" s="43"/>
      <c r="AP10" s="46" t="s">
        <v>202</v>
      </c>
      <c r="AQ10" s="46" t="s">
        <v>203</v>
      </c>
      <c r="AR10" s="46" t="s">
        <v>204</v>
      </c>
      <c r="AS10" s="43"/>
      <c r="AT10" s="43"/>
      <c r="AU10" s="43"/>
      <c r="AV10" s="43"/>
      <c r="AW10" s="22" t="s">
        <v>156</v>
      </c>
      <c r="AX10" s="22" t="s">
        <v>201</v>
      </c>
      <c r="AY10" s="22" t="s">
        <v>157</v>
      </c>
      <c r="AZ10" s="43"/>
      <c r="BA10" s="43"/>
      <c r="BB10" s="43"/>
      <c r="BC10" s="43"/>
      <c r="BD10" s="43" t="s">
        <v>129</v>
      </c>
      <c r="BE10" s="43" t="s">
        <v>130</v>
      </c>
      <c r="BF10" s="22" t="s">
        <v>131</v>
      </c>
      <c r="BG10" s="22" t="s">
        <v>132</v>
      </c>
      <c r="BH10" s="22" t="s">
        <v>132</v>
      </c>
      <c r="BI10" s="22" t="s">
        <v>132</v>
      </c>
      <c r="BJ10" s="43"/>
      <c r="BK10" s="43"/>
      <c r="BL10" s="22" t="s">
        <v>205</v>
      </c>
      <c r="BM10" s="22">
        <v>2.3099031E9</v>
      </c>
      <c r="BN10" s="22" t="s">
        <v>206</v>
      </c>
      <c r="BO10" s="46" t="s">
        <v>207</v>
      </c>
      <c r="BP10" s="22" t="s">
        <v>160</v>
      </c>
      <c r="BQ10" s="43"/>
      <c r="BR10" s="43"/>
      <c r="BS10" s="22" t="s">
        <v>208</v>
      </c>
      <c r="BT10" s="43"/>
      <c r="BU10" s="22" t="s">
        <v>209</v>
      </c>
      <c r="BV10" s="43"/>
      <c r="BW10" s="22" t="s">
        <v>163</v>
      </c>
      <c r="BX10" s="22">
        <v>100.0</v>
      </c>
      <c r="BY10" s="22" t="s">
        <v>210</v>
      </c>
      <c r="BZ10" s="22"/>
      <c r="CA10" s="22" t="s">
        <v>165</v>
      </c>
      <c r="CB10" s="22" t="s">
        <v>165</v>
      </c>
      <c r="CC10" s="44" t="s">
        <v>211</v>
      </c>
      <c r="CD10" s="43"/>
      <c r="CE10" s="43"/>
      <c r="CF10" s="44" t="s">
        <v>167</v>
      </c>
      <c r="CG10" s="43"/>
      <c r="CH10" s="43"/>
      <c r="CI10" s="43"/>
      <c r="CJ10" s="43"/>
      <c r="CK10" s="43"/>
      <c r="CL10" s="43"/>
      <c r="CM10" s="49">
        <f>IFERROR(VLOOKUP(B10,CC!A:D,4,0)," ")</f>
        <v>53.4</v>
      </c>
      <c r="CN10" s="22" t="s">
        <v>143</v>
      </c>
      <c r="CO10" s="22"/>
      <c r="CP10" s="22" t="s">
        <v>168</v>
      </c>
      <c r="CQ10" s="22">
        <v>30.0</v>
      </c>
      <c r="CR10" s="43"/>
      <c r="CS10" s="22">
        <v>1.0</v>
      </c>
      <c r="CT10" s="22" t="s">
        <v>145</v>
      </c>
      <c r="CU10" s="43"/>
      <c r="CV10" s="43"/>
      <c r="CW10" s="43"/>
      <c r="CX10" s="43"/>
      <c r="CY10" s="43" t="b">
        <v>0</v>
      </c>
      <c r="CZ10" s="43" t="b">
        <v>0</v>
      </c>
      <c r="DA10" s="43" t="b">
        <v>0</v>
      </c>
      <c r="DB10" s="43" t="b">
        <v>0</v>
      </c>
      <c r="DC10" s="43"/>
      <c r="DD10" s="43"/>
      <c r="DE10" s="43"/>
      <c r="DF10" s="43"/>
      <c r="DG10" s="43"/>
      <c r="DH10" s="43"/>
      <c r="DI10" s="43"/>
      <c r="DJ10" s="22">
        <v>4.0</v>
      </c>
      <c r="DK10" s="22">
        <v>8.0</v>
      </c>
      <c r="DL10" s="22">
        <v>4.0</v>
      </c>
      <c r="DM10" s="22">
        <v>128.0</v>
      </c>
      <c r="DN10" s="22">
        <v>0.06</v>
      </c>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43"/>
      <c r="ET10" s="43"/>
      <c r="EU10" s="43"/>
      <c r="EV10" s="43"/>
      <c r="EW10" s="43"/>
      <c r="EX10" s="43"/>
      <c r="EY10" s="43"/>
      <c r="EZ10" s="43"/>
      <c r="FA10" s="43"/>
      <c r="FB10" s="43"/>
      <c r="FC10" s="43"/>
      <c r="FD10" s="43"/>
      <c r="FE10" s="43"/>
      <c r="FF10" s="43"/>
      <c r="FG10" s="43"/>
      <c r="FH10" s="43"/>
      <c r="FI10" s="43"/>
    </row>
    <row r="11" ht="18.0" customHeight="1">
      <c r="A11" s="22" t="s">
        <v>116</v>
      </c>
      <c r="B11" s="43" t="s">
        <v>212</v>
      </c>
      <c r="C11" s="22" t="s">
        <v>118</v>
      </c>
      <c r="D11" s="22" t="s">
        <v>119</v>
      </c>
      <c r="E11" s="43"/>
      <c r="F11" s="22" t="s">
        <v>213</v>
      </c>
      <c r="G11" s="22" t="s">
        <v>121</v>
      </c>
      <c r="H11" s="22" t="s">
        <v>198</v>
      </c>
      <c r="I11" s="43"/>
      <c r="J11" s="43"/>
      <c r="K11" s="22" t="b">
        <v>1</v>
      </c>
      <c r="L11" s="22" t="b">
        <v>1</v>
      </c>
      <c r="M11" s="22" t="b">
        <v>1</v>
      </c>
      <c r="N11" s="22" t="b">
        <v>1</v>
      </c>
      <c r="O11" s="22" t="b">
        <v>0</v>
      </c>
      <c r="P11" s="22" t="b">
        <v>0</v>
      </c>
      <c r="Q11" s="22" t="b">
        <v>0</v>
      </c>
      <c r="R11" s="43"/>
      <c r="S11" s="43" t="s">
        <v>214</v>
      </c>
      <c r="T11" s="22" t="s">
        <v>212</v>
      </c>
      <c r="U11" s="22" t="s">
        <v>212</v>
      </c>
      <c r="V11" s="22" t="s">
        <v>212</v>
      </c>
      <c r="W11" s="43"/>
      <c r="X11" s="43"/>
      <c r="Y11" s="43"/>
      <c r="Z11" s="43"/>
      <c r="AA11" s="22">
        <v>2.32468472E8</v>
      </c>
      <c r="AB11" s="22">
        <v>1.581829359E9</v>
      </c>
      <c r="AC11" s="22">
        <v>1.0352775138E11</v>
      </c>
      <c r="AD11" s="22"/>
      <c r="AE11" s="22"/>
      <c r="AF11" s="43"/>
      <c r="AG11" s="43"/>
      <c r="AH11" s="43" t="s">
        <v>213</v>
      </c>
      <c r="AI11" s="22" t="s">
        <v>215</v>
      </c>
      <c r="AJ11" s="22" t="s">
        <v>216</v>
      </c>
      <c r="AK11" s="22" t="s">
        <v>217</v>
      </c>
      <c r="AL11" s="43"/>
      <c r="AM11" s="43"/>
      <c r="AN11" s="43"/>
      <c r="AO11" s="43"/>
      <c r="AP11" s="46" t="s">
        <v>218</v>
      </c>
      <c r="AQ11" s="46" t="s">
        <v>219</v>
      </c>
      <c r="AR11" s="46" t="s">
        <v>220</v>
      </c>
      <c r="AS11" s="43"/>
      <c r="AT11" s="43"/>
      <c r="AU11" s="43"/>
      <c r="AV11" s="43"/>
      <c r="AW11" s="22" t="s">
        <v>156</v>
      </c>
      <c r="AX11" s="22" t="s">
        <v>216</v>
      </c>
      <c r="AY11" s="22" t="s">
        <v>221</v>
      </c>
      <c r="AZ11" s="43"/>
      <c r="BA11" s="43"/>
      <c r="BB11" s="43"/>
      <c r="BC11" s="43"/>
      <c r="BD11" s="43" t="s">
        <v>129</v>
      </c>
      <c r="BE11" s="43" t="s">
        <v>130</v>
      </c>
      <c r="BF11" s="22" t="s">
        <v>131</v>
      </c>
      <c r="BG11" s="22" t="s">
        <v>132</v>
      </c>
      <c r="BH11" s="22" t="s">
        <v>132</v>
      </c>
      <c r="BI11" s="22" t="s">
        <v>132</v>
      </c>
      <c r="BJ11" s="43"/>
      <c r="BK11" s="43"/>
      <c r="BL11" s="22">
        <v>4.605543012471E12</v>
      </c>
      <c r="BM11" s="22">
        <v>2.3099031E9</v>
      </c>
      <c r="BN11" s="22" t="s">
        <v>222</v>
      </c>
      <c r="BO11" s="46" t="s">
        <v>223</v>
      </c>
      <c r="BP11" s="22" t="s">
        <v>160</v>
      </c>
      <c r="BQ11" s="43"/>
      <c r="BR11" s="43"/>
      <c r="BS11" s="22" t="s">
        <v>224</v>
      </c>
      <c r="BT11" s="43"/>
      <c r="BU11" s="22" t="s">
        <v>225</v>
      </c>
      <c r="BV11" s="43"/>
      <c r="BW11" s="22" t="s">
        <v>163</v>
      </c>
      <c r="BX11" s="22">
        <v>100.0</v>
      </c>
      <c r="BY11" s="22" t="s">
        <v>210</v>
      </c>
      <c r="BZ11" s="43"/>
      <c r="CA11" s="22" t="s">
        <v>165</v>
      </c>
      <c r="CB11" s="22" t="s">
        <v>165</v>
      </c>
      <c r="CC11" s="45" t="s">
        <v>226</v>
      </c>
      <c r="CD11" s="43"/>
      <c r="CE11" s="43"/>
      <c r="CF11" s="45"/>
      <c r="CG11" s="43"/>
      <c r="CH11" s="43"/>
      <c r="CI11" s="43"/>
      <c r="CJ11" s="43"/>
      <c r="CK11" s="43"/>
      <c r="CL11" s="43"/>
      <c r="CM11" s="49">
        <f>IFERROR(VLOOKUP(B11,CC!A:D,4,0)," ")</f>
        <v>53.75</v>
      </c>
      <c r="CN11" s="22" t="s">
        <v>143</v>
      </c>
      <c r="CO11" s="22"/>
      <c r="CP11" s="22" t="s">
        <v>168</v>
      </c>
      <c r="CQ11" s="22">
        <v>30.0</v>
      </c>
      <c r="CR11" s="43"/>
      <c r="CS11" s="22">
        <v>1.0</v>
      </c>
      <c r="CT11" s="22" t="s">
        <v>145</v>
      </c>
      <c r="CU11" s="43"/>
      <c r="CV11" s="43"/>
      <c r="CW11" s="43"/>
      <c r="CX11" s="43"/>
      <c r="CY11" s="43" t="b">
        <v>0</v>
      </c>
      <c r="CZ11" s="43" t="b">
        <v>0</v>
      </c>
      <c r="DA11" s="43" t="b">
        <v>0</v>
      </c>
      <c r="DB11" s="43" t="b">
        <v>0</v>
      </c>
      <c r="DC11" s="43"/>
      <c r="DD11" s="43"/>
      <c r="DE11" s="43"/>
      <c r="DF11" s="43"/>
      <c r="DG11" s="43"/>
      <c r="DH11" s="43"/>
      <c r="DI11" s="43"/>
      <c r="DJ11" s="22">
        <v>4.0</v>
      </c>
      <c r="DK11" s="22">
        <v>8.0</v>
      </c>
      <c r="DL11" s="22">
        <v>4.0</v>
      </c>
      <c r="DM11" s="22">
        <v>128.0</v>
      </c>
      <c r="DN11" s="22">
        <v>0.06</v>
      </c>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43"/>
      <c r="ET11" s="43"/>
      <c r="EU11" s="43"/>
      <c r="EV11" s="43"/>
      <c r="EW11" s="43"/>
      <c r="EX11" s="43"/>
      <c r="EY11" s="43"/>
      <c r="EZ11" s="43"/>
      <c r="FA11" s="43"/>
      <c r="FB11" s="43"/>
      <c r="FC11" s="43"/>
      <c r="FD11" s="43"/>
      <c r="FE11" s="43"/>
      <c r="FF11" s="43"/>
      <c r="FG11" s="43"/>
      <c r="FH11" s="43"/>
      <c r="FI11" s="43"/>
    </row>
    <row r="12" ht="18.0" customHeight="1">
      <c r="A12" s="22" t="s">
        <v>116</v>
      </c>
      <c r="B12" s="43" t="s">
        <v>227</v>
      </c>
      <c r="C12" s="22" t="s">
        <v>118</v>
      </c>
      <c r="D12" s="22" t="s">
        <v>119</v>
      </c>
      <c r="E12" s="43"/>
      <c r="F12" s="22" t="s">
        <v>228</v>
      </c>
      <c r="G12" s="22" t="s">
        <v>121</v>
      </c>
      <c r="H12" s="22" t="s">
        <v>198</v>
      </c>
      <c r="I12" s="43"/>
      <c r="J12" s="43"/>
      <c r="K12" s="22" t="b">
        <v>1</v>
      </c>
      <c r="L12" s="22" t="b">
        <v>1</v>
      </c>
      <c r="M12" s="22" t="b">
        <v>1</v>
      </c>
      <c r="N12" s="22" t="b">
        <v>1</v>
      </c>
      <c r="O12" s="22" t="b">
        <v>0</v>
      </c>
      <c r="P12" s="22" t="b">
        <v>0</v>
      </c>
      <c r="Q12" s="22" t="b">
        <v>0</v>
      </c>
      <c r="R12" s="43"/>
      <c r="S12" s="43" t="s">
        <v>229</v>
      </c>
      <c r="T12" s="22" t="s">
        <v>227</v>
      </c>
      <c r="U12" s="22" t="s">
        <v>227</v>
      </c>
      <c r="V12" s="22" t="s">
        <v>227</v>
      </c>
      <c r="W12" s="43"/>
      <c r="X12" s="43"/>
      <c r="Y12" s="43"/>
      <c r="Z12" s="43"/>
      <c r="AA12" s="22">
        <v>1.50262548E8</v>
      </c>
      <c r="AB12" s="22">
        <v>8.84578393E8</v>
      </c>
      <c r="AC12" s="22">
        <v>1.02626212766E11</v>
      </c>
      <c r="AD12" s="22"/>
      <c r="AE12" s="22"/>
      <c r="AF12" s="43"/>
      <c r="AG12" s="43"/>
      <c r="AH12" s="43" t="s">
        <v>228</v>
      </c>
      <c r="AI12" s="22" t="s">
        <v>230</v>
      </c>
      <c r="AJ12" s="22" t="s">
        <v>231</v>
      </c>
      <c r="AK12" s="22" t="s">
        <v>231</v>
      </c>
      <c r="AL12" s="43"/>
      <c r="AM12" s="43"/>
      <c r="AN12" s="43"/>
      <c r="AO12" s="43"/>
      <c r="AP12" s="46" t="s">
        <v>232</v>
      </c>
      <c r="AQ12" s="46" t="s">
        <v>233</v>
      </c>
      <c r="AR12" s="46" t="s">
        <v>234</v>
      </c>
      <c r="AS12" s="43"/>
      <c r="AT12" s="43"/>
      <c r="AU12" s="43"/>
      <c r="AV12" s="43"/>
      <c r="AW12" s="22" t="s">
        <v>156</v>
      </c>
      <c r="AX12" s="22" t="s">
        <v>231</v>
      </c>
      <c r="AY12" s="22" t="s">
        <v>157</v>
      </c>
      <c r="AZ12" s="43"/>
      <c r="BA12" s="43"/>
      <c r="BB12" s="43"/>
      <c r="BC12" s="43"/>
      <c r="BD12" s="43" t="s">
        <v>129</v>
      </c>
      <c r="BE12" s="43" t="s">
        <v>130</v>
      </c>
      <c r="BF12" s="22" t="s">
        <v>131</v>
      </c>
      <c r="BG12" s="22" t="s">
        <v>132</v>
      </c>
      <c r="BH12" s="22" t="s">
        <v>132</v>
      </c>
      <c r="BI12" s="22" t="s">
        <v>132</v>
      </c>
      <c r="BJ12" s="43"/>
      <c r="BK12" s="43"/>
      <c r="BL12" s="22" t="s">
        <v>235</v>
      </c>
      <c r="BM12" s="22">
        <v>2.3099031E9</v>
      </c>
      <c r="BN12" s="22" t="s">
        <v>236</v>
      </c>
      <c r="BO12" s="46" t="s">
        <v>237</v>
      </c>
      <c r="BP12" s="22" t="s">
        <v>160</v>
      </c>
      <c r="BQ12" s="43"/>
      <c r="BR12" s="43"/>
      <c r="BS12" s="22" t="s">
        <v>238</v>
      </c>
      <c r="BT12" s="43"/>
      <c r="BU12" s="22" t="s">
        <v>162</v>
      </c>
      <c r="BV12" s="43"/>
      <c r="BW12" s="22" t="s">
        <v>163</v>
      </c>
      <c r="BX12" s="22">
        <v>100.0</v>
      </c>
      <c r="BY12" s="22" t="s">
        <v>210</v>
      </c>
      <c r="BZ12" s="22"/>
      <c r="CA12" s="22" t="s">
        <v>165</v>
      </c>
      <c r="CB12" s="22" t="s">
        <v>165</v>
      </c>
      <c r="CC12" s="44" t="s">
        <v>239</v>
      </c>
      <c r="CD12" s="43"/>
      <c r="CE12" s="43"/>
      <c r="CF12" s="44" t="s">
        <v>167</v>
      </c>
      <c r="CG12" s="43"/>
      <c r="CH12" s="43"/>
      <c r="CI12" s="43"/>
      <c r="CJ12" s="43"/>
      <c r="CK12" s="43"/>
      <c r="CL12" s="43"/>
      <c r="CM12" s="49">
        <f>IFERROR(VLOOKUP(B12,CC!A:D,4,0)," ")</f>
        <v>53.4</v>
      </c>
      <c r="CN12" s="22" t="s">
        <v>143</v>
      </c>
      <c r="CO12" s="22"/>
      <c r="CP12" s="22" t="s">
        <v>168</v>
      </c>
      <c r="CQ12" s="22">
        <v>30.0</v>
      </c>
      <c r="CR12" s="43"/>
      <c r="CS12" s="22">
        <v>1.0</v>
      </c>
      <c r="CT12" s="22" t="s">
        <v>145</v>
      </c>
      <c r="CU12" s="43"/>
      <c r="CV12" s="43"/>
      <c r="CW12" s="43"/>
      <c r="CX12" s="43"/>
      <c r="CY12" s="43" t="b">
        <v>0</v>
      </c>
      <c r="CZ12" s="43" t="b">
        <v>0</v>
      </c>
      <c r="DA12" s="43" t="b">
        <v>0</v>
      </c>
      <c r="DB12" s="43" t="b">
        <v>0</v>
      </c>
      <c r="DC12" s="43"/>
      <c r="DD12" s="43"/>
      <c r="DE12" s="43"/>
      <c r="DF12" s="43"/>
      <c r="DG12" s="43"/>
      <c r="DH12" s="43"/>
      <c r="DI12" s="43"/>
      <c r="DJ12" s="22">
        <v>8.0</v>
      </c>
      <c r="DK12" s="22">
        <v>4.0</v>
      </c>
      <c r="DL12" s="22">
        <v>8.0</v>
      </c>
      <c r="DM12" s="22">
        <v>256.0</v>
      </c>
      <c r="DN12" s="22">
        <v>0.063</v>
      </c>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43"/>
      <c r="ET12" s="43"/>
      <c r="EU12" s="43"/>
      <c r="EV12" s="43"/>
      <c r="EW12" s="43"/>
      <c r="EX12" s="43"/>
      <c r="EY12" s="43"/>
      <c r="EZ12" s="43"/>
      <c r="FA12" s="43"/>
      <c r="FB12" s="43"/>
      <c r="FC12" s="43"/>
      <c r="FD12" s="43"/>
      <c r="FE12" s="43"/>
      <c r="FF12" s="43"/>
      <c r="FG12" s="43"/>
      <c r="FH12" s="43"/>
      <c r="FI12" s="43"/>
    </row>
    <row r="13" ht="18.0" customHeight="1">
      <c r="A13" s="22" t="s">
        <v>116</v>
      </c>
      <c r="B13" s="51" t="s">
        <v>240</v>
      </c>
      <c r="C13" s="22" t="s">
        <v>118</v>
      </c>
      <c r="D13" s="22" t="s">
        <v>241</v>
      </c>
      <c r="E13" s="43"/>
      <c r="F13" s="22" t="s">
        <v>242</v>
      </c>
      <c r="G13" s="22" t="s">
        <v>121</v>
      </c>
      <c r="H13" s="22" t="s">
        <v>198</v>
      </c>
      <c r="I13" s="43"/>
      <c r="J13" s="43"/>
      <c r="K13" s="22" t="b">
        <v>0</v>
      </c>
      <c r="L13" s="22" t="b">
        <v>1</v>
      </c>
      <c r="M13" s="22" t="b">
        <v>1</v>
      </c>
      <c r="N13" s="22" t="b">
        <v>0</v>
      </c>
      <c r="O13" s="22" t="b">
        <v>0</v>
      </c>
      <c r="P13" s="22" t="b">
        <v>0</v>
      </c>
      <c r="Q13" s="22" t="b">
        <v>0</v>
      </c>
      <c r="R13" s="43"/>
      <c r="S13" s="43"/>
      <c r="T13" s="22" t="s">
        <v>240</v>
      </c>
      <c r="U13" s="22" t="s">
        <v>240</v>
      </c>
      <c r="V13" s="22" t="s">
        <v>240</v>
      </c>
      <c r="W13" s="43"/>
      <c r="X13" s="43"/>
      <c r="Y13" s="43"/>
      <c r="Z13" s="43"/>
      <c r="AA13" s="22">
        <v>7.86916846E8</v>
      </c>
      <c r="AB13" s="22">
        <v>3.463925696E9</v>
      </c>
      <c r="AC13" s="22">
        <v>5.077651579E9</v>
      </c>
      <c r="AD13" s="22"/>
      <c r="AE13" s="22"/>
      <c r="AF13" s="43"/>
      <c r="AG13" s="43"/>
      <c r="AH13" s="43"/>
      <c r="AI13" s="22"/>
      <c r="AJ13" s="22"/>
      <c r="AK13" s="22"/>
      <c r="AL13" s="43"/>
      <c r="AM13" s="43"/>
      <c r="AN13" s="43"/>
      <c r="AO13" s="43"/>
      <c r="AP13" s="22"/>
      <c r="AQ13" s="22"/>
      <c r="AR13" s="22"/>
      <c r="AS13" s="43"/>
      <c r="AT13" s="43"/>
      <c r="AU13" s="43"/>
      <c r="AV13" s="43"/>
      <c r="AW13" s="22"/>
      <c r="AX13" s="22"/>
      <c r="AY13" s="22"/>
      <c r="AZ13" s="43"/>
      <c r="BA13" s="43"/>
      <c r="BB13" s="43"/>
      <c r="BC13" s="43"/>
      <c r="BD13" s="43"/>
      <c r="BE13" s="43" t="s">
        <v>243</v>
      </c>
      <c r="BF13" s="22"/>
      <c r="BG13" s="22"/>
      <c r="BH13" s="22"/>
      <c r="BI13" s="22"/>
      <c r="BJ13" s="43"/>
      <c r="BK13" s="43"/>
      <c r="BL13" s="22">
        <v>4.620290621547E12</v>
      </c>
      <c r="BM13" s="22">
        <v>2.309109E9</v>
      </c>
      <c r="BN13" s="22"/>
      <c r="BO13" s="46" t="s">
        <v>244</v>
      </c>
      <c r="BP13" s="22" t="s">
        <v>245</v>
      </c>
      <c r="BQ13" s="43"/>
      <c r="BR13" s="43"/>
      <c r="BS13" s="22" t="s">
        <v>246</v>
      </c>
      <c r="BT13" s="43"/>
      <c r="BU13" s="22" t="s">
        <v>247</v>
      </c>
      <c r="BV13" s="43"/>
      <c r="BW13" s="22" t="s">
        <v>248</v>
      </c>
      <c r="BX13" s="22">
        <v>250.0</v>
      </c>
      <c r="BY13" s="22" t="s">
        <v>139</v>
      </c>
      <c r="BZ13" s="22"/>
      <c r="CA13" s="22" t="s">
        <v>140</v>
      </c>
      <c r="CB13" s="22"/>
      <c r="CC13" s="44" t="s">
        <v>249</v>
      </c>
      <c r="CD13" s="43"/>
      <c r="CE13" s="43"/>
      <c r="CF13" s="45"/>
      <c r="CG13" s="43"/>
      <c r="CH13" s="43"/>
      <c r="CI13" s="43"/>
      <c r="CJ13" s="43"/>
      <c r="CK13" s="43"/>
      <c r="CL13" s="43"/>
      <c r="CM13" s="49" t="str">
        <f>IFERROR(VLOOKUP(B13,CC!A:D,4,0)," ")</f>
        <v> </v>
      </c>
      <c r="CN13" s="22" t="s">
        <v>250</v>
      </c>
      <c r="CO13" s="22"/>
      <c r="CP13" s="22" t="s">
        <v>251</v>
      </c>
      <c r="CQ13" s="22">
        <v>30.0</v>
      </c>
      <c r="CR13" s="43"/>
      <c r="CS13" s="22"/>
      <c r="CT13" s="22"/>
      <c r="CU13" s="43"/>
      <c r="CV13" s="43"/>
      <c r="CW13" s="43"/>
      <c r="CX13" s="43"/>
      <c r="CY13" s="43" t="b">
        <v>0</v>
      </c>
      <c r="CZ13" s="43" t="b">
        <v>0</v>
      </c>
      <c r="DA13" s="43" t="b">
        <v>0</v>
      </c>
      <c r="DB13" s="43" t="b">
        <v>0</v>
      </c>
      <c r="DC13" s="43"/>
      <c r="DD13" s="43"/>
      <c r="DE13" s="43"/>
      <c r="DF13" s="43"/>
      <c r="DG13" s="43"/>
      <c r="DH13" s="43"/>
      <c r="DI13" s="43"/>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43"/>
      <c r="ET13" s="43"/>
      <c r="EU13" s="43"/>
      <c r="EV13" s="43"/>
      <c r="EW13" s="43"/>
      <c r="EX13" s="43"/>
      <c r="EY13" s="43"/>
      <c r="EZ13" s="43"/>
      <c r="FA13" s="43"/>
      <c r="FB13" s="43"/>
      <c r="FC13" s="43"/>
      <c r="FD13" s="43"/>
      <c r="FE13" s="43"/>
      <c r="FF13" s="43"/>
      <c r="FG13" s="43"/>
      <c r="FH13" s="43"/>
      <c r="FI13" s="43"/>
    </row>
    <row r="14" ht="18.0" customHeight="1">
      <c r="A14" s="22" t="s">
        <v>116</v>
      </c>
      <c r="B14" s="43" t="s">
        <v>252</v>
      </c>
      <c r="C14" s="22" t="s">
        <v>118</v>
      </c>
      <c r="D14" s="22" t="s">
        <v>119</v>
      </c>
      <c r="E14" s="43"/>
      <c r="F14" s="22" t="s">
        <v>253</v>
      </c>
      <c r="G14" s="22" t="s">
        <v>121</v>
      </c>
      <c r="H14" s="22" t="s">
        <v>198</v>
      </c>
      <c r="I14" s="43"/>
      <c r="J14" s="43"/>
      <c r="K14" s="22" t="b">
        <v>1</v>
      </c>
      <c r="L14" s="22" t="b">
        <v>1</v>
      </c>
      <c r="M14" s="22" t="b">
        <v>1</v>
      </c>
      <c r="N14" s="22" t="b">
        <v>1</v>
      </c>
      <c r="O14" s="22" t="b">
        <v>0</v>
      </c>
      <c r="P14" s="22" t="b">
        <v>0</v>
      </c>
      <c r="Q14" s="22" t="b">
        <v>0</v>
      </c>
      <c r="R14" s="43"/>
      <c r="S14" s="43" t="s">
        <v>254</v>
      </c>
      <c r="T14" s="22" t="s">
        <v>252</v>
      </c>
      <c r="U14" s="22" t="s">
        <v>252</v>
      </c>
      <c r="V14" s="22" t="s">
        <v>252</v>
      </c>
      <c r="W14" s="43"/>
      <c r="X14" s="43"/>
      <c r="Y14" s="43"/>
      <c r="Z14" s="43"/>
      <c r="AA14" s="22">
        <v>1.63687757E8</v>
      </c>
      <c r="AB14" s="22">
        <v>1.018530861E9</v>
      </c>
      <c r="AC14" s="22">
        <v>1.02621828617E11</v>
      </c>
      <c r="AD14" s="22"/>
      <c r="AE14" s="22"/>
      <c r="AF14" s="43"/>
      <c r="AG14" s="43"/>
      <c r="AH14" s="43" t="s">
        <v>253</v>
      </c>
      <c r="AI14" s="22" t="s">
        <v>255</v>
      </c>
      <c r="AJ14" s="22" t="s">
        <v>256</v>
      </c>
      <c r="AK14" s="22" t="s">
        <v>256</v>
      </c>
      <c r="AL14" s="43"/>
      <c r="AM14" s="43"/>
      <c r="AN14" s="43"/>
      <c r="AO14" s="43"/>
      <c r="AP14" s="46" t="s">
        <v>257</v>
      </c>
      <c r="AQ14" s="46" t="s">
        <v>258</v>
      </c>
      <c r="AR14" s="46" t="s">
        <v>259</v>
      </c>
      <c r="AS14" s="43"/>
      <c r="AT14" s="43"/>
      <c r="AU14" s="43"/>
      <c r="AV14" s="43"/>
      <c r="AW14" s="22" t="s">
        <v>156</v>
      </c>
      <c r="AX14" s="22" t="s">
        <v>256</v>
      </c>
      <c r="AY14" s="22" t="s">
        <v>157</v>
      </c>
      <c r="AZ14" s="43"/>
      <c r="BA14" s="43"/>
      <c r="BB14" s="43"/>
      <c r="BC14" s="43"/>
      <c r="BD14" s="43" t="s">
        <v>129</v>
      </c>
      <c r="BE14" s="43" t="s">
        <v>130</v>
      </c>
      <c r="BF14" s="22" t="s">
        <v>131</v>
      </c>
      <c r="BG14" s="22" t="s">
        <v>132</v>
      </c>
      <c r="BH14" s="22" t="s">
        <v>132</v>
      </c>
      <c r="BI14" s="22" t="s">
        <v>132</v>
      </c>
      <c r="BJ14" s="43"/>
      <c r="BK14" s="43"/>
      <c r="BL14" s="22">
        <v>4.605543011177E12</v>
      </c>
      <c r="BM14" s="22">
        <v>2.3099031E9</v>
      </c>
      <c r="BN14" s="22" t="s">
        <v>260</v>
      </c>
      <c r="BO14" s="46" t="s">
        <v>261</v>
      </c>
      <c r="BP14" s="22" t="s">
        <v>160</v>
      </c>
      <c r="BQ14" s="43"/>
      <c r="BR14" s="43"/>
      <c r="BS14" s="22" t="s">
        <v>262</v>
      </c>
      <c r="BT14" s="43"/>
      <c r="BU14" s="22" t="s">
        <v>209</v>
      </c>
      <c r="BV14" s="43"/>
      <c r="BW14" s="22" t="s">
        <v>163</v>
      </c>
      <c r="BX14" s="22">
        <v>100.0</v>
      </c>
      <c r="BY14" s="22" t="s">
        <v>210</v>
      </c>
      <c r="BZ14" s="22"/>
      <c r="CA14" s="22" t="s">
        <v>165</v>
      </c>
      <c r="CB14" s="22" t="s">
        <v>165</v>
      </c>
      <c r="CC14" s="44" t="s">
        <v>263</v>
      </c>
      <c r="CD14" s="43"/>
      <c r="CE14" s="43"/>
      <c r="CF14" s="44" t="s">
        <v>167</v>
      </c>
      <c r="CG14" s="43"/>
      <c r="CH14" s="43"/>
      <c r="CI14" s="43"/>
      <c r="CJ14" s="43"/>
      <c r="CK14" s="43"/>
      <c r="CL14" s="43"/>
      <c r="CM14" s="49">
        <f>IFERROR(VLOOKUP(B14,CC!A:D,4,0)," ")</f>
        <v>53.4</v>
      </c>
      <c r="CN14" s="22" t="s">
        <v>143</v>
      </c>
      <c r="CO14" s="22"/>
      <c r="CP14" s="22" t="s">
        <v>168</v>
      </c>
      <c r="CQ14" s="22">
        <v>30.0</v>
      </c>
      <c r="CR14" s="43"/>
      <c r="CS14" s="22">
        <v>1.0</v>
      </c>
      <c r="CT14" s="22" t="s">
        <v>145</v>
      </c>
      <c r="CU14" s="43"/>
      <c r="CV14" s="43"/>
      <c r="CW14" s="43"/>
      <c r="CX14" s="43"/>
      <c r="CY14" s="43" t="b">
        <v>0</v>
      </c>
      <c r="CZ14" s="43" t="b">
        <v>0</v>
      </c>
      <c r="DA14" s="43" t="b">
        <v>0</v>
      </c>
      <c r="DB14" s="43" t="b">
        <v>0</v>
      </c>
      <c r="DC14" s="43"/>
      <c r="DD14" s="43"/>
      <c r="DE14" s="43"/>
      <c r="DF14" s="43"/>
      <c r="DG14" s="43"/>
      <c r="DH14" s="43"/>
      <c r="DI14" s="43"/>
      <c r="DJ14" s="22">
        <v>4.0</v>
      </c>
      <c r="DK14" s="22">
        <v>8.0</v>
      </c>
      <c r="DL14" s="22">
        <v>4.0</v>
      </c>
      <c r="DM14" s="22">
        <v>128.0</v>
      </c>
      <c r="DN14" s="22">
        <v>0.06</v>
      </c>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43"/>
      <c r="ET14" s="43"/>
      <c r="EU14" s="43"/>
      <c r="EV14" s="43"/>
      <c r="EW14" s="43"/>
      <c r="EX14" s="43"/>
      <c r="EY14" s="43"/>
      <c r="EZ14" s="43"/>
      <c r="FA14" s="43"/>
      <c r="FB14" s="43"/>
      <c r="FC14" s="43"/>
      <c r="FD14" s="43"/>
      <c r="FE14" s="43"/>
      <c r="FF14" s="43"/>
      <c r="FG14" s="43"/>
      <c r="FH14" s="43"/>
      <c r="FI14" s="43"/>
    </row>
    <row r="15" ht="18.75" customHeight="1">
      <c r="A15" s="22" t="s">
        <v>116</v>
      </c>
      <c r="B15" s="43" t="s">
        <v>264</v>
      </c>
      <c r="C15" s="22" t="s">
        <v>118</v>
      </c>
      <c r="D15" s="22" t="s">
        <v>119</v>
      </c>
      <c r="E15" s="43"/>
      <c r="F15" s="22" t="s">
        <v>265</v>
      </c>
      <c r="G15" s="22" t="s">
        <v>121</v>
      </c>
      <c r="H15" s="22" t="s">
        <v>266</v>
      </c>
      <c r="I15" s="43"/>
      <c r="J15" s="43"/>
      <c r="K15" s="22" t="b">
        <v>1</v>
      </c>
      <c r="L15" s="22" t="b">
        <v>1</v>
      </c>
      <c r="M15" s="22" t="b">
        <v>1</v>
      </c>
      <c r="N15" s="22" t="b">
        <v>1</v>
      </c>
      <c r="O15" s="22" t="b">
        <v>0</v>
      </c>
      <c r="P15" s="22" t="b">
        <v>0</v>
      </c>
      <c r="Q15" s="22" t="b">
        <v>0</v>
      </c>
      <c r="R15" s="43"/>
      <c r="S15" s="43" t="s">
        <v>267</v>
      </c>
      <c r="T15" s="22" t="s">
        <v>264</v>
      </c>
      <c r="U15" s="22" t="s">
        <v>264</v>
      </c>
      <c r="V15" s="22" t="s">
        <v>264</v>
      </c>
      <c r="W15" s="43"/>
      <c r="X15" s="43"/>
      <c r="Y15" s="43"/>
      <c r="Z15" s="43"/>
      <c r="AA15" s="22">
        <v>2.32465954E8</v>
      </c>
      <c r="AB15" s="22">
        <v>1.581825452E9</v>
      </c>
      <c r="AC15" s="22">
        <v>1.03510407614E11</v>
      </c>
      <c r="AD15" s="22"/>
      <c r="AE15" s="22"/>
      <c r="AF15" s="43"/>
      <c r="AG15" s="43"/>
      <c r="AH15" s="43" t="s">
        <v>265</v>
      </c>
      <c r="AI15" s="22" t="s">
        <v>268</v>
      </c>
      <c r="AJ15" s="22" t="s">
        <v>269</v>
      </c>
      <c r="AK15" s="22" t="s">
        <v>270</v>
      </c>
      <c r="AL15" s="43"/>
      <c r="AM15" s="43"/>
      <c r="AN15" s="43"/>
      <c r="AO15" s="43"/>
      <c r="AP15" s="46" t="s">
        <v>271</v>
      </c>
      <c r="AQ15" s="46" t="s">
        <v>272</v>
      </c>
      <c r="AR15" s="46" t="s">
        <v>273</v>
      </c>
      <c r="AS15" s="43"/>
      <c r="AT15" s="43"/>
      <c r="AU15" s="43"/>
      <c r="AV15" s="43"/>
      <c r="AW15" s="22" t="s">
        <v>156</v>
      </c>
      <c r="AX15" s="22" t="s">
        <v>269</v>
      </c>
      <c r="AY15" s="22" t="s">
        <v>274</v>
      </c>
      <c r="AZ15" s="43"/>
      <c r="BA15" s="43"/>
      <c r="BB15" s="43"/>
      <c r="BC15" s="43"/>
      <c r="BD15" s="43" t="s">
        <v>129</v>
      </c>
      <c r="BE15" s="43" t="s">
        <v>243</v>
      </c>
      <c r="BF15" s="22" t="s">
        <v>131</v>
      </c>
      <c r="BG15" s="22" t="s">
        <v>132</v>
      </c>
      <c r="BH15" s="22" t="s">
        <v>132</v>
      </c>
      <c r="BI15" s="22" t="s">
        <v>132</v>
      </c>
      <c r="BJ15" s="43"/>
      <c r="BK15" s="43"/>
      <c r="BL15" s="22">
        <v>4.605543012495E12</v>
      </c>
      <c r="BM15" s="22">
        <v>2.3099031E9</v>
      </c>
      <c r="BN15" s="22" t="s">
        <v>275</v>
      </c>
      <c r="BO15" s="46" t="s">
        <v>276</v>
      </c>
      <c r="BP15" s="22" t="s">
        <v>160</v>
      </c>
      <c r="BQ15" s="43"/>
      <c r="BR15" s="43"/>
      <c r="BS15" s="22" t="s">
        <v>277</v>
      </c>
      <c r="BT15" s="43"/>
      <c r="BU15" s="22" t="s">
        <v>278</v>
      </c>
      <c r="BV15" s="43"/>
      <c r="BW15" s="22" t="s">
        <v>279</v>
      </c>
      <c r="BX15" s="22">
        <v>20.0</v>
      </c>
      <c r="BY15" s="22" t="s">
        <v>210</v>
      </c>
      <c r="BZ15" s="43"/>
      <c r="CA15" s="22" t="s">
        <v>280</v>
      </c>
      <c r="CB15" s="22" t="s">
        <v>140</v>
      </c>
      <c r="CC15" s="45" t="s">
        <v>281</v>
      </c>
      <c r="CD15" s="43"/>
      <c r="CE15" s="43"/>
      <c r="CF15" s="45"/>
      <c r="CG15" s="43"/>
      <c r="CH15" s="43"/>
      <c r="CI15" s="43"/>
      <c r="CJ15" s="43"/>
      <c r="CK15" s="43"/>
      <c r="CL15" s="43"/>
      <c r="CM15" s="49">
        <f>IFERROR(VLOOKUP(B15,CC!A:D,4,0)," ")</f>
        <v>51.86</v>
      </c>
      <c r="CN15" s="22" t="s">
        <v>143</v>
      </c>
      <c r="CO15" s="22"/>
      <c r="CP15" s="22" t="s">
        <v>168</v>
      </c>
      <c r="CQ15" s="22">
        <v>30.0</v>
      </c>
      <c r="CR15" s="43"/>
      <c r="CS15" s="22">
        <v>1.0</v>
      </c>
      <c r="CT15" s="22" t="s">
        <v>145</v>
      </c>
      <c r="CU15" s="43"/>
      <c r="CV15" s="43"/>
      <c r="CW15" s="43"/>
      <c r="CX15" s="43"/>
      <c r="CY15" s="43" t="b">
        <v>0</v>
      </c>
      <c r="CZ15" s="43" t="b">
        <v>0</v>
      </c>
      <c r="DA15" s="43" t="b">
        <v>0</v>
      </c>
      <c r="DB15" s="43" t="b">
        <v>0</v>
      </c>
      <c r="DC15" s="43"/>
      <c r="DD15" s="43"/>
      <c r="DE15" s="43"/>
      <c r="DF15" s="43"/>
      <c r="DG15" s="43"/>
      <c r="DH15" s="43"/>
      <c r="DI15" s="43"/>
      <c r="DJ15" s="22">
        <v>5.0</v>
      </c>
      <c r="DK15" s="22">
        <v>8.0</v>
      </c>
      <c r="DL15" s="22">
        <v>5.0</v>
      </c>
      <c r="DM15" s="22">
        <v>200.0</v>
      </c>
      <c r="DN15" s="22">
        <v>0.018</v>
      </c>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43"/>
      <c r="ET15" s="43"/>
      <c r="EU15" s="43"/>
      <c r="EV15" s="43"/>
      <c r="EW15" s="43"/>
      <c r="EX15" s="43"/>
      <c r="EY15" s="43"/>
      <c r="EZ15" s="43"/>
      <c r="FA15" s="43"/>
      <c r="FB15" s="43"/>
      <c r="FC15" s="43"/>
      <c r="FD15" s="43"/>
      <c r="FE15" s="43"/>
      <c r="FF15" s="43"/>
      <c r="FG15" s="43"/>
      <c r="FH15" s="43"/>
      <c r="FI15" s="43"/>
    </row>
    <row r="16" ht="18.0" customHeight="1">
      <c r="A16" s="22" t="s">
        <v>116</v>
      </c>
      <c r="B16" s="43" t="s">
        <v>282</v>
      </c>
      <c r="C16" s="22" t="s">
        <v>283</v>
      </c>
      <c r="D16" s="22" t="s">
        <v>119</v>
      </c>
      <c r="E16" s="43" t="s">
        <v>284</v>
      </c>
      <c r="F16" s="22" t="s">
        <v>285</v>
      </c>
      <c r="G16" s="22" t="s">
        <v>286</v>
      </c>
      <c r="H16" s="22" t="s">
        <v>287</v>
      </c>
      <c r="I16" s="43"/>
      <c r="J16" s="43"/>
      <c r="K16" s="22" t="b">
        <v>1</v>
      </c>
      <c r="L16" s="22" t="b">
        <v>1</v>
      </c>
      <c r="M16" s="22" t="b">
        <v>1</v>
      </c>
      <c r="N16" s="22" t="b">
        <v>1</v>
      </c>
      <c r="O16" s="22" t="b">
        <v>1</v>
      </c>
      <c r="P16" s="22" t="b">
        <v>0</v>
      </c>
      <c r="Q16" s="22" t="b">
        <v>1</v>
      </c>
      <c r="R16" s="43"/>
      <c r="S16" s="43" t="s">
        <v>288</v>
      </c>
      <c r="T16" s="22" t="s">
        <v>282</v>
      </c>
      <c r="U16" s="22" t="s">
        <v>282</v>
      </c>
      <c r="V16" s="22" t="s">
        <v>282</v>
      </c>
      <c r="W16" s="43" t="s">
        <v>282</v>
      </c>
      <c r="X16" s="52"/>
      <c r="Y16" s="53" t="s">
        <v>282</v>
      </c>
      <c r="Z16" s="43"/>
      <c r="AA16" s="22">
        <v>3.77788941E8</v>
      </c>
      <c r="AB16" s="22">
        <v>2.018960887E9</v>
      </c>
      <c r="AC16" s="22">
        <v>4.315768672E9</v>
      </c>
      <c r="AD16" s="22">
        <v>9.9000115784E10</v>
      </c>
      <c r="AE16" s="52"/>
      <c r="AF16" s="53" t="s">
        <v>289</v>
      </c>
      <c r="AG16" s="43"/>
      <c r="AH16" s="43" t="s">
        <v>285</v>
      </c>
      <c r="AI16" s="22" t="s">
        <v>290</v>
      </c>
      <c r="AJ16" s="22" t="s">
        <v>291</v>
      </c>
      <c r="AK16" s="22" t="s">
        <v>292</v>
      </c>
      <c r="AL16" s="22" t="s">
        <v>293</v>
      </c>
      <c r="AM16" s="43"/>
      <c r="AN16" s="22" t="s">
        <v>291</v>
      </c>
      <c r="AO16" s="43"/>
      <c r="AP16" s="46" t="s">
        <v>294</v>
      </c>
      <c r="AQ16" s="46" t="s">
        <v>295</v>
      </c>
      <c r="AR16" s="46" t="s">
        <v>296</v>
      </c>
      <c r="AS16" s="43"/>
      <c r="AT16" s="43"/>
      <c r="AU16" s="46" t="s">
        <v>297</v>
      </c>
      <c r="AV16" s="43"/>
      <c r="AW16" s="22" t="s">
        <v>298</v>
      </c>
      <c r="AX16" s="22" t="s">
        <v>291</v>
      </c>
      <c r="AY16" s="22" t="s">
        <v>299</v>
      </c>
      <c r="AZ16" s="22" t="s">
        <v>300</v>
      </c>
      <c r="BA16" s="43"/>
      <c r="BB16" s="22" t="s">
        <v>298</v>
      </c>
      <c r="BC16" s="22"/>
      <c r="BD16" s="43" t="s">
        <v>301</v>
      </c>
      <c r="BE16" s="43" t="s">
        <v>130</v>
      </c>
      <c r="BF16" s="22" t="s">
        <v>131</v>
      </c>
      <c r="BG16" s="22" t="s">
        <v>132</v>
      </c>
      <c r="BH16" s="22" t="s">
        <v>132</v>
      </c>
      <c r="BI16" s="22" t="s">
        <v>132</v>
      </c>
      <c r="BJ16" s="43"/>
      <c r="BK16" s="43"/>
      <c r="BL16" s="22">
        <v>4.67002049842E12</v>
      </c>
      <c r="BM16" s="22">
        <v>3.305900009E9</v>
      </c>
      <c r="BN16" s="22" t="s">
        <v>133</v>
      </c>
      <c r="BO16" s="46" t="s">
        <v>302</v>
      </c>
      <c r="BP16" s="22" t="s">
        <v>303</v>
      </c>
      <c r="BQ16" s="43"/>
      <c r="BR16" s="43"/>
      <c r="BS16" s="22" t="s">
        <v>304</v>
      </c>
      <c r="BT16" s="43"/>
      <c r="BU16" s="22" t="s">
        <v>305</v>
      </c>
      <c r="BV16" s="43"/>
      <c r="BW16" s="22" t="s">
        <v>306</v>
      </c>
      <c r="BX16" s="22">
        <v>200.0</v>
      </c>
      <c r="BY16" s="22" t="s">
        <v>139</v>
      </c>
      <c r="BZ16" s="22"/>
      <c r="CA16" s="22" t="s">
        <v>307</v>
      </c>
      <c r="CB16" s="22" t="s">
        <v>307</v>
      </c>
      <c r="CC16" s="44" t="s">
        <v>308</v>
      </c>
      <c r="CD16" s="43"/>
      <c r="CE16" s="43"/>
      <c r="CF16" s="45"/>
      <c r="CG16" s="43"/>
      <c r="CH16" s="43"/>
      <c r="CI16" s="43"/>
      <c r="CJ16" s="43"/>
      <c r="CK16" s="43"/>
      <c r="CL16" s="43"/>
      <c r="CM16" s="49">
        <f>IFERROR(VLOOKUP(B16,CC!A:D,4,0)," ")</f>
        <v>99.5</v>
      </c>
      <c r="CN16" s="22" t="s">
        <v>309</v>
      </c>
      <c r="CO16" s="22"/>
      <c r="CP16" s="22" t="s">
        <v>310</v>
      </c>
      <c r="CQ16" s="22">
        <v>90.0</v>
      </c>
      <c r="CR16" s="43"/>
      <c r="CS16" s="22">
        <v>5.0</v>
      </c>
      <c r="CT16" s="22" t="s">
        <v>145</v>
      </c>
      <c r="CU16" s="43"/>
      <c r="CV16" s="43"/>
      <c r="CW16" s="43"/>
      <c r="CX16" s="43"/>
      <c r="CY16" s="43" t="b">
        <v>0</v>
      </c>
      <c r="CZ16" s="43" t="b">
        <v>0</v>
      </c>
      <c r="DA16" s="43" t="b">
        <v>0</v>
      </c>
      <c r="DB16" s="43" t="b">
        <v>0</v>
      </c>
      <c r="DC16" s="43"/>
      <c r="DD16" s="43"/>
      <c r="DE16" s="43"/>
      <c r="DF16" s="43"/>
      <c r="DG16" s="43"/>
      <c r="DH16" s="43"/>
      <c r="DI16" s="43"/>
      <c r="DJ16" s="22">
        <v>5.0</v>
      </c>
      <c r="DK16" s="22">
        <v>16.0</v>
      </c>
      <c r="DL16" s="22">
        <v>5.0</v>
      </c>
      <c r="DM16" s="22">
        <v>400.0</v>
      </c>
      <c r="DN16" s="22">
        <v>0.228</v>
      </c>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43"/>
      <c r="ET16" s="43"/>
      <c r="EU16" s="43"/>
      <c r="EV16" s="43"/>
      <c r="EW16" s="43"/>
      <c r="EX16" s="43"/>
      <c r="EY16" s="43"/>
      <c r="EZ16" s="43"/>
      <c r="FA16" s="43"/>
      <c r="FB16" s="43"/>
      <c r="FC16" s="43"/>
      <c r="FD16" s="43"/>
      <c r="FE16" s="43"/>
      <c r="FF16" s="43"/>
      <c r="FG16" s="43"/>
      <c r="FH16" s="43"/>
      <c r="FI16" s="43"/>
    </row>
    <row r="17" ht="18.0" customHeight="1">
      <c r="A17" s="22" t="s">
        <v>116</v>
      </c>
      <c r="B17" s="43" t="s">
        <v>311</v>
      </c>
      <c r="C17" s="22" t="s">
        <v>283</v>
      </c>
      <c r="D17" s="22" t="s">
        <v>119</v>
      </c>
      <c r="E17" s="43" t="s">
        <v>284</v>
      </c>
      <c r="F17" s="22" t="s">
        <v>312</v>
      </c>
      <c r="G17" s="22" t="s">
        <v>286</v>
      </c>
      <c r="H17" s="22" t="s">
        <v>287</v>
      </c>
      <c r="I17" s="43"/>
      <c r="J17" s="43"/>
      <c r="K17" s="22" t="b">
        <v>1</v>
      </c>
      <c r="L17" s="22" t="b">
        <v>1</v>
      </c>
      <c r="M17" s="22" t="b">
        <v>1</v>
      </c>
      <c r="N17" s="22" t="b">
        <v>1</v>
      </c>
      <c r="O17" s="22" t="b">
        <v>1</v>
      </c>
      <c r="P17" s="22" t="b">
        <v>1</v>
      </c>
      <c r="Q17" s="22" t="b">
        <v>0</v>
      </c>
      <c r="R17" s="43"/>
      <c r="S17" s="43" t="s">
        <v>313</v>
      </c>
      <c r="T17" s="22" t="s">
        <v>311</v>
      </c>
      <c r="U17" s="22" t="s">
        <v>311</v>
      </c>
      <c r="V17" s="22" t="s">
        <v>311</v>
      </c>
      <c r="W17" s="43" t="s">
        <v>311</v>
      </c>
      <c r="X17" s="43" t="s">
        <v>311</v>
      </c>
      <c r="Y17" s="43"/>
      <c r="Z17" s="43"/>
      <c r="AA17" s="22">
        <v>4.49423638E8</v>
      </c>
      <c r="AB17" s="22">
        <v>2.354324278E9</v>
      </c>
      <c r="AC17" s="22">
        <v>4.909516637E9</v>
      </c>
      <c r="AD17" s="22">
        <v>9.9000115954E10</v>
      </c>
      <c r="AE17" s="22" t="s">
        <v>314</v>
      </c>
      <c r="AF17" s="43"/>
      <c r="AG17" s="43"/>
      <c r="AH17" s="43" t="s">
        <v>312</v>
      </c>
      <c r="AI17" s="22" t="s">
        <v>315</v>
      </c>
      <c r="AJ17" s="22" t="s">
        <v>316</v>
      </c>
      <c r="AK17" s="22" t="s">
        <v>317</v>
      </c>
      <c r="AL17" s="22" t="s">
        <v>318</v>
      </c>
      <c r="AM17" s="22" t="s">
        <v>319</v>
      </c>
      <c r="AN17" s="43"/>
      <c r="AO17" s="43"/>
      <c r="AP17" s="46" t="s">
        <v>320</v>
      </c>
      <c r="AQ17" s="46" t="s">
        <v>321</v>
      </c>
      <c r="AR17" s="46" t="s">
        <v>322</v>
      </c>
      <c r="AS17" s="46" t="s">
        <v>323</v>
      </c>
      <c r="AT17" s="46" t="s">
        <v>324</v>
      </c>
      <c r="AU17" s="43"/>
      <c r="AV17" s="43"/>
      <c r="AW17" s="22" t="s">
        <v>325</v>
      </c>
      <c r="AX17" s="22" t="s">
        <v>316</v>
      </c>
      <c r="AY17" s="22" t="s">
        <v>326</v>
      </c>
      <c r="AZ17" s="22" t="s">
        <v>300</v>
      </c>
      <c r="BA17" s="22" t="s">
        <v>327</v>
      </c>
      <c r="BB17" s="43"/>
      <c r="BC17" s="43"/>
      <c r="BD17" s="43" t="s">
        <v>301</v>
      </c>
      <c r="BE17" s="43" t="s">
        <v>130</v>
      </c>
      <c r="BF17" s="22" t="s">
        <v>131</v>
      </c>
      <c r="BG17" s="22" t="s">
        <v>132</v>
      </c>
      <c r="BH17" s="22" t="s">
        <v>132</v>
      </c>
      <c r="BI17" s="22" t="s">
        <v>132</v>
      </c>
      <c r="BJ17" s="43"/>
      <c r="BK17" s="43"/>
      <c r="BL17" s="22">
        <v>4.603320465434E12</v>
      </c>
      <c r="BM17" s="22">
        <v>3.305900009E9</v>
      </c>
      <c r="BN17" s="22" t="s">
        <v>328</v>
      </c>
      <c r="BO17" s="46" t="s">
        <v>329</v>
      </c>
      <c r="BP17" s="22" t="s">
        <v>303</v>
      </c>
      <c r="BQ17" s="43"/>
      <c r="BR17" s="43"/>
      <c r="BS17" s="22" t="s">
        <v>330</v>
      </c>
      <c r="BT17" s="43"/>
      <c r="BU17" s="22" t="s">
        <v>331</v>
      </c>
      <c r="BV17" s="43"/>
      <c r="BW17" s="22" t="s">
        <v>163</v>
      </c>
      <c r="BX17" s="22">
        <v>100.0</v>
      </c>
      <c r="BY17" s="22" t="s">
        <v>139</v>
      </c>
      <c r="BZ17" s="22"/>
      <c r="CA17" s="22" t="s">
        <v>332</v>
      </c>
      <c r="CB17" s="22" t="s">
        <v>332</v>
      </c>
      <c r="CC17" s="45" t="s">
        <v>333</v>
      </c>
      <c r="CD17" s="43"/>
      <c r="CE17" s="43"/>
      <c r="CF17" s="45"/>
      <c r="CG17" s="54">
        <v>46071.0</v>
      </c>
      <c r="CH17" s="46" t="s">
        <v>334</v>
      </c>
      <c r="CI17" s="43"/>
      <c r="CJ17" s="43"/>
      <c r="CK17" s="43"/>
      <c r="CL17" s="43"/>
      <c r="CM17" s="49">
        <f>IFERROR(VLOOKUP(B17,CC!A:D,4,0)," ")</f>
        <v>135.47</v>
      </c>
      <c r="CN17" s="22" t="s">
        <v>335</v>
      </c>
      <c r="CO17" s="22" t="s">
        <v>336</v>
      </c>
      <c r="CP17" s="22" t="s">
        <v>337</v>
      </c>
      <c r="CQ17" s="22">
        <v>60.0</v>
      </c>
      <c r="CR17" s="43"/>
      <c r="CS17" s="22">
        <v>3.0</v>
      </c>
      <c r="CT17" s="22" t="s">
        <v>145</v>
      </c>
      <c r="CU17" s="43"/>
      <c r="CV17" s="43"/>
      <c r="CW17" s="43"/>
      <c r="CX17" s="43"/>
      <c r="CY17" s="43" t="b">
        <v>0</v>
      </c>
      <c r="CZ17" s="43" t="b">
        <v>0</v>
      </c>
      <c r="DA17" s="43" t="b">
        <v>0</v>
      </c>
      <c r="DB17" s="43" t="b">
        <v>0</v>
      </c>
      <c r="DC17" s="43"/>
      <c r="DD17" s="43"/>
      <c r="DE17" s="43"/>
      <c r="DF17" s="43"/>
      <c r="DG17" s="43"/>
      <c r="DH17" s="43"/>
      <c r="DI17" s="43"/>
      <c r="DJ17" s="22">
        <v>9.0</v>
      </c>
      <c r="DK17" s="22">
        <v>13.0</v>
      </c>
      <c r="DL17" s="22">
        <v>9.0</v>
      </c>
      <c r="DM17" s="22">
        <v>1053.0</v>
      </c>
      <c r="DN17" s="22">
        <v>0.15</v>
      </c>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43"/>
      <c r="ET17" s="43"/>
      <c r="EU17" s="43"/>
      <c r="EV17" s="43"/>
      <c r="EW17" s="43"/>
      <c r="EX17" s="43"/>
      <c r="EY17" s="43"/>
      <c r="EZ17" s="43"/>
      <c r="FA17" s="43"/>
      <c r="FB17" s="43"/>
      <c r="FC17" s="43"/>
      <c r="FD17" s="43"/>
      <c r="FE17" s="43"/>
      <c r="FF17" s="43"/>
      <c r="FG17" s="43"/>
      <c r="FH17" s="43"/>
      <c r="FI17" s="43"/>
    </row>
    <row r="18" ht="18.0" customHeight="1">
      <c r="A18" s="22" t="s">
        <v>116</v>
      </c>
      <c r="B18" s="43" t="s">
        <v>338</v>
      </c>
      <c r="C18" s="22" t="s">
        <v>283</v>
      </c>
      <c r="D18" s="22" t="s">
        <v>119</v>
      </c>
      <c r="E18" s="43" t="s">
        <v>339</v>
      </c>
      <c r="F18" s="22" t="s">
        <v>340</v>
      </c>
      <c r="G18" s="22" t="s">
        <v>286</v>
      </c>
      <c r="H18" s="22" t="s">
        <v>287</v>
      </c>
      <c r="I18" s="43"/>
      <c r="J18" s="43"/>
      <c r="K18" s="22" t="b">
        <v>1</v>
      </c>
      <c r="L18" s="22" t="b">
        <v>1</v>
      </c>
      <c r="M18" s="22" t="b">
        <v>1</v>
      </c>
      <c r="N18" s="22" t="b">
        <v>1</v>
      </c>
      <c r="O18" s="22" t="b">
        <v>0</v>
      </c>
      <c r="P18" s="22" t="b">
        <v>1</v>
      </c>
      <c r="Q18" s="22" t="b">
        <v>0</v>
      </c>
      <c r="R18" s="43"/>
      <c r="S18" s="43" t="s">
        <v>341</v>
      </c>
      <c r="T18" s="22" t="s">
        <v>338</v>
      </c>
      <c r="U18" s="22" t="s">
        <v>338</v>
      </c>
      <c r="V18" s="22" t="s">
        <v>338</v>
      </c>
      <c r="W18" s="43"/>
      <c r="X18" s="43" t="s">
        <v>338</v>
      </c>
      <c r="Y18" s="43"/>
      <c r="Z18" s="43"/>
      <c r="AA18" s="22">
        <v>2.68884161E8</v>
      </c>
      <c r="AB18" s="22">
        <v>1.729383128E9</v>
      </c>
      <c r="AC18" s="22">
        <v>1.03578859652E11</v>
      </c>
      <c r="AD18" s="22"/>
      <c r="AE18" s="22" t="s">
        <v>342</v>
      </c>
      <c r="AF18" s="43"/>
      <c r="AG18" s="43"/>
      <c r="AH18" s="43" t="s">
        <v>340</v>
      </c>
      <c r="AI18" s="22" t="s">
        <v>343</v>
      </c>
      <c r="AJ18" s="22" t="s">
        <v>344</v>
      </c>
      <c r="AK18" s="22" t="s">
        <v>345</v>
      </c>
      <c r="AL18" s="43"/>
      <c r="AM18" s="22" t="s">
        <v>346</v>
      </c>
      <c r="AN18" s="43"/>
      <c r="AO18" s="43"/>
      <c r="AP18" s="46" t="s">
        <v>347</v>
      </c>
      <c r="AQ18" s="46" t="s">
        <v>348</v>
      </c>
      <c r="AR18" s="46" t="s">
        <v>349</v>
      </c>
      <c r="AS18" s="43"/>
      <c r="AT18" s="46" t="s">
        <v>350</v>
      </c>
      <c r="AU18" s="43"/>
      <c r="AV18" s="43"/>
      <c r="AW18" s="22" t="s">
        <v>298</v>
      </c>
      <c r="AX18" s="22" t="s">
        <v>344</v>
      </c>
      <c r="AY18" s="22" t="s">
        <v>299</v>
      </c>
      <c r="AZ18" s="43"/>
      <c r="BA18" s="22" t="s">
        <v>351</v>
      </c>
      <c r="BB18" s="43"/>
      <c r="BC18" s="43"/>
      <c r="BD18" s="43" t="s">
        <v>301</v>
      </c>
      <c r="BE18" s="43" t="s">
        <v>130</v>
      </c>
      <c r="BF18" s="22" t="s">
        <v>131</v>
      </c>
      <c r="BG18" s="22" t="s">
        <v>132</v>
      </c>
      <c r="BH18" s="22" t="s">
        <v>132</v>
      </c>
      <c r="BI18" s="22" t="s">
        <v>132</v>
      </c>
      <c r="BJ18" s="43"/>
      <c r="BK18" s="43"/>
      <c r="BL18" s="22">
        <v>4.670020498024E12</v>
      </c>
      <c r="BM18" s="22">
        <v>3.305900009E9</v>
      </c>
      <c r="BN18" s="22" t="s">
        <v>133</v>
      </c>
      <c r="BO18" s="46" t="s">
        <v>352</v>
      </c>
      <c r="BP18" s="22" t="s">
        <v>303</v>
      </c>
      <c r="BQ18" s="43"/>
      <c r="BR18" s="43"/>
      <c r="BS18" s="22" t="s">
        <v>353</v>
      </c>
      <c r="BT18" s="43"/>
      <c r="BU18" s="22" t="s">
        <v>354</v>
      </c>
      <c r="BV18" s="43"/>
      <c r="BW18" s="22" t="s">
        <v>306</v>
      </c>
      <c r="BX18" s="22">
        <v>200.0</v>
      </c>
      <c r="BY18" s="22" t="s">
        <v>139</v>
      </c>
      <c r="BZ18" s="22"/>
      <c r="CA18" s="22" t="s">
        <v>355</v>
      </c>
      <c r="CB18" s="22" t="s">
        <v>307</v>
      </c>
      <c r="CC18" s="45" t="s">
        <v>356</v>
      </c>
      <c r="CD18" s="43"/>
      <c r="CE18" s="43"/>
      <c r="CF18" s="45"/>
      <c r="CG18" s="43"/>
      <c r="CH18" s="43"/>
      <c r="CI18" s="43"/>
      <c r="CJ18" s="43"/>
      <c r="CK18" s="43"/>
      <c r="CL18" s="43"/>
      <c r="CM18" s="49">
        <f>IFERROR(VLOOKUP(B18,CC!A:D,4,0)," ")</f>
        <v>111.6</v>
      </c>
      <c r="CN18" s="22" t="s">
        <v>309</v>
      </c>
      <c r="CO18" s="22"/>
      <c r="CP18" s="22" t="s">
        <v>310</v>
      </c>
      <c r="CQ18" s="22">
        <v>90.0</v>
      </c>
      <c r="CR18" s="43"/>
      <c r="CS18" s="22">
        <v>5.0</v>
      </c>
      <c r="CT18" s="22" t="s">
        <v>145</v>
      </c>
      <c r="CU18" s="43"/>
      <c r="CV18" s="43"/>
      <c r="CW18" s="43"/>
      <c r="CX18" s="43"/>
      <c r="CY18" s="43" t="b">
        <v>0</v>
      </c>
      <c r="CZ18" s="43" t="b">
        <v>0</v>
      </c>
      <c r="DA18" s="43" t="b">
        <v>0</v>
      </c>
      <c r="DB18" s="43" t="b">
        <v>0</v>
      </c>
      <c r="DC18" s="43"/>
      <c r="DD18" s="43"/>
      <c r="DE18" s="43"/>
      <c r="DF18" s="43"/>
      <c r="DG18" s="43"/>
      <c r="DH18" s="43"/>
      <c r="DI18" s="43"/>
      <c r="DJ18" s="22">
        <v>4.0</v>
      </c>
      <c r="DK18" s="22">
        <v>18.0</v>
      </c>
      <c r="DL18" s="22">
        <v>4.0</v>
      </c>
      <c r="DM18" s="22">
        <v>288.0</v>
      </c>
      <c r="DN18" s="22">
        <v>0.23</v>
      </c>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43"/>
      <c r="ET18" s="43"/>
      <c r="EU18" s="43"/>
      <c r="EV18" s="43"/>
      <c r="EW18" s="43"/>
      <c r="EX18" s="43"/>
      <c r="EY18" s="43"/>
      <c r="EZ18" s="43"/>
      <c r="FA18" s="43"/>
      <c r="FB18" s="43"/>
      <c r="FC18" s="43"/>
      <c r="FD18" s="43"/>
      <c r="FE18" s="43"/>
      <c r="FF18" s="43"/>
      <c r="FG18" s="43"/>
      <c r="FH18" s="43"/>
      <c r="FI18" s="43"/>
    </row>
    <row r="19" ht="18.0" customHeight="1">
      <c r="A19" s="22" t="s">
        <v>116</v>
      </c>
      <c r="B19" s="43" t="s">
        <v>357</v>
      </c>
      <c r="C19" s="22" t="s">
        <v>283</v>
      </c>
      <c r="D19" s="22" t="s">
        <v>358</v>
      </c>
      <c r="E19" s="43" t="s">
        <v>359</v>
      </c>
      <c r="F19" s="22" t="s">
        <v>360</v>
      </c>
      <c r="G19" s="22" t="s">
        <v>361</v>
      </c>
      <c r="H19" s="22" t="s">
        <v>362</v>
      </c>
      <c r="I19" s="43"/>
      <c r="J19" s="43"/>
      <c r="K19" s="22" t="b">
        <v>1</v>
      </c>
      <c r="L19" s="22" t="b">
        <v>1</v>
      </c>
      <c r="M19" s="22" t="b">
        <v>1</v>
      </c>
      <c r="N19" s="22" t="b">
        <v>1</v>
      </c>
      <c r="O19" s="22" t="b">
        <v>1</v>
      </c>
      <c r="P19" s="22" t="b">
        <v>0</v>
      </c>
      <c r="Q19" s="22" t="b">
        <v>0</v>
      </c>
      <c r="R19" s="43"/>
      <c r="S19" s="43" t="s">
        <v>363</v>
      </c>
      <c r="T19" s="22" t="s">
        <v>357</v>
      </c>
      <c r="U19" s="22" t="s">
        <v>357</v>
      </c>
      <c r="V19" s="22" t="s">
        <v>357</v>
      </c>
      <c r="W19" s="43" t="s">
        <v>357</v>
      </c>
      <c r="X19" s="43"/>
      <c r="Y19" s="43"/>
      <c r="Z19" s="43"/>
      <c r="AA19" s="22">
        <v>4.32821274E8</v>
      </c>
      <c r="AB19" s="22">
        <v>2.214705163E9</v>
      </c>
      <c r="AC19" s="22">
        <v>4.476305013E9</v>
      </c>
      <c r="AD19" s="22">
        <v>9.900011774E10</v>
      </c>
      <c r="AE19" s="22"/>
      <c r="AF19" s="43"/>
      <c r="AG19" s="43"/>
      <c r="AH19" s="43" t="s">
        <v>360</v>
      </c>
      <c r="AI19" s="22" t="s">
        <v>364</v>
      </c>
      <c r="AJ19" s="22" t="s">
        <v>365</v>
      </c>
      <c r="AK19" s="22" t="s">
        <v>366</v>
      </c>
      <c r="AL19" s="22" t="s">
        <v>367</v>
      </c>
      <c r="AM19" s="43"/>
      <c r="AN19" s="43"/>
      <c r="AO19" s="43"/>
      <c r="AP19" s="46" t="s">
        <v>368</v>
      </c>
      <c r="AQ19" s="46" t="s">
        <v>369</v>
      </c>
      <c r="AR19" s="46" t="s">
        <v>370</v>
      </c>
      <c r="AS19" s="44" t="s">
        <v>371</v>
      </c>
      <c r="AT19" s="43"/>
      <c r="AU19" s="43"/>
      <c r="AV19" s="43"/>
      <c r="AW19" s="22" t="s">
        <v>361</v>
      </c>
      <c r="AX19" s="22" t="s">
        <v>365</v>
      </c>
      <c r="AY19" s="22" t="s">
        <v>372</v>
      </c>
      <c r="AZ19" s="22" t="s">
        <v>373</v>
      </c>
      <c r="BA19" s="43"/>
      <c r="BB19" s="43"/>
      <c r="BC19" s="43"/>
      <c r="BD19" s="43" t="s">
        <v>374</v>
      </c>
      <c r="BE19" s="43" t="s">
        <v>243</v>
      </c>
      <c r="BF19" s="22" t="s">
        <v>131</v>
      </c>
      <c r="BG19" s="22" t="s">
        <v>132</v>
      </c>
      <c r="BH19" s="22" t="s">
        <v>132</v>
      </c>
      <c r="BI19" s="22" t="s">
        <v>132</v>
      </c>
      <c r="BJ19" s="43"/>
      <c r="BK19" s="43"/>
      <c r="BL19" s="22">
        <v>4.640332830317E12</v>
      </c>
      <c r="BM19" s="22">
        <v>2.106909808E9</v>
      </c>
      <c r="BN19" s="22" t="s">
        <v>375</v>
      </c>
      <c r="BO19" s="46" t="s">
        <v>376</v>
      </c>
      <c r="BP19" s="22" t="s">
        <v>245</v>
      </c>
      <c r="BQ19" s="43"/>
      <c r="BR19" s="43"/>
      <c r="BS19" s="22" t="s">
        <v>377</v>
      </c>
      <c r="BT19" s="43"/>
      <c r="BU19" s="22" t="s">
        <v>378</v>
      </c>
      <c r="BV19" s="22" t="s">
        <v>379</v>
      </c>
      <c r="BW19" s="22" t="s">
        <v>380</v>
      </c>
      <c r="BX19" s="22">
        <v>60.0</v>
      </c>
      <c r="BY19" s="22" t="s">
        <v>381</v>
      </c>
      <c r="BZ19" s="22"/>
      <c r="CA19" s="22" t="s">
        <v>355</v>
      </c>
      <c r="CB19" s="22" t="s">
        <v>307</v>
      </c>
      <c r="CC19" s="45" t="s">
        <v>382</v>
      </c>
      <c r="CD19" s="43"/>
      <c r="CE19" s="43"/>
      <c r="CF19" s="45"/>
      <c r="CG19" s="43"/>
      <c r="CH19" s="43"/>
      <c r="CI19" s="43"/>
      <c r="CJ19" s="43"/>
      <c r="CK19" s="43"/>
      <c r="CL19" s="43"/>
      <c r="CM19" s="49">
        <f>IFERROR(VLOOKUP(B19,CC!A:D,4,0)," ")</f>
        <v>220</v>
      </c>
      <c r="CN19" s="22" t="s">
        <v>383</v>
      </c>
      <c r="CO19" s="22"/>
      <c r="CP19" s="22" t="s">
        <v>384</v>
      </c>
      <c r="CQ19" s="22">
        <v>90.0</v>
      </c>
      <c r="CR19" s="43"/>
      <c r="CS19" s="22">
        <v>1.0</v>
      </c>
      <c r="CT19" s="22" t="s">
        <v>145</v>
      </c>
      <c r="CU19" s="43"/>
      <c r="CV19" s="43"/>
      <c r="CW19" s="43"/>
      <c r="CX19" s="43"/>
      <c r="CY19" s="43" t="b">
        <v>0</v>
      </c>
      <c r="CZ19" s="43" t="b">
        <v>0</v>
      </c>
      <c r="DA19" s="43" t="b">
        <v>0</v>
      </c>
      <c r="DB19" s="43" t="b">
        <v>0</v>
      </c>
      <c r="DC19" s="43"/>
      <c r="DD19" s="43"/>
      <c r="DE19" s="43"/>
      <c r="DF19" s="43"/>
      <c r="DG19" s="43"/>
      <c r="DH19" s="43"/>
      <c r="DI19" s="43"/>
      <c r="DJ19" s="22">
        <v>7.0</v>
      </c>
      <c r="DK19" s="22">
        <v>13.0</v>
      </c>
      <c r="DL19" s="22">
        <v>7.0</v>
      </c>
      <c r="DM19" s="22">
        <v>637.0</v>
      </c>
      <c r="DN19" s="22">
        <v>0.235</v>
      </c>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43"/>
      <c r="ET19" s="43"/>
      <c r="EU19" s="43"/>
      <c r="EV19" s="43"/>
      <c r="EW19" s="43"/>
      <c r="EX19" s="43"/>
      <c r="EY19" s="43"/>
      <c r="EZ19" s="43"/>
      <c r="FA19" s="43"/>
      <c r="FB19" s="43"/>
      <c r="FC19" s="43"/>
      <c r="FD19" s="43"/>
      <c r="FE19" s="43"/>
      <c r="FF19" s="43"/>
      <c r="FG19" s="43"/>
      <c r="FH19" s="43"/>
      <c r="FI19" s="43"/>
    </row>
    <row r="20" ht="18.0" customHeight="1">
      <c r="A20" s="22" t="s">
        <v>116</v>
      </c>
      <c r="B20" s="43" t="s">
        <v>385</v>
      </c>
      <c r="C20" s="22" t="s">
        <v>283</v>
      </c>
      <c r="D20" s="22" t="s">
        <v>187</v>
      </c>
      <c r="E20" s="43"/>
      <c r="F20" s="22" t="s">
        <v>386</v>
      </c>
      <c r="G20" s="22" t="s">
        <v>361</v>
      </c>
      <c r="H20" s="22" t="s">
        <v>362</v>
      </c>
      <c r="I20" s="43"/>
      <c r="J20" s="43"/>
      <c r="K20" s="22" t="b">
        <v>1</v>
      </c>
      <c r="L20" s="22" t="b">
        <v>1</v>
      </c>
      <c r="M20" s="22" t="b">
        <v>1</v>
      </c>
      <c r="N20" s="22" t="b">
        <v>0</v>
      </c>
      <c r="O20" s="22" t="b">
        <v>0</v>
      </c>
      <c r="P20" s="22" t="b">
        <v>0</v>
      </c>
      <c r="Q20" s="22" t="b">
        <v>0</v>
      </c>
      <c r="R20" s="43"/>
      <c r="S20" s="43" t="s">
        <v>387</v>
      </c>
      <c r="T20" s="22" t="s">
        <v>385</v>
      </c>
      <c r="U20" s="22" t="s">
        <v>385</v>
      </c>
      <c r="V20" s="22"/>
      <c r="W20" s="43"/>
      <c r="X20" s="43"/>
      <c r="Y20" s="43"/>
      <c r="Z20" s="43"/>
      <c r="AA20" s="22">
        <v>1.38757897E8</v>
      </c>
      <c r="AB20" s="22">
        <v>8.09466646E8</v>
      </c>
      <c r="AC20" s="22"/>
      <c r="AD20" s="22"/>
      <c r="AE20" s="22"/>
      <c r="AF20" s="43"/>
      <c r="AG20" s="43"/>
      <c r="AH20" s="43" t="s">
        <v>386</v>
      </c>
      <c r="AI20" s="22" t="s">
        <v>388</v>
      </c>
      <c r="AJ20" s="22" t="s">
        <v>389</v>
      </c>
      <c r="AK20" s="43"/>
      <c r="AL20" s="43"/>
      <c r="AM20" s="43"/>
      <c r="AN20" s="43"/>
      <c r="AO20" s="43"/>
      <c r="AP20" s="46" t="s">
        <v>390</v>
      </c>
      <c r="AQ20" s="46" t="s">
        <v>391</v>
      </c>
      <c r="AR20" s="43"/>
      <c r="AS20" s="43"/>
      <c r="AT20" s="43"/>
      <c r="AU20" s="43"/>
      <c r="AV20" s="43"/>
      <c r="AW20" s="22" t="s">
        <v>361</v>
      </c>
      <c r="AX20" s="22" t="s">
        <v>389</v>
      </c>
      <c r="AY20" s="43"/>
      <c r="AZ20" s="43"/>
      <c r="BA20" s="43"/>
      <c r="BB20" s="43"/>
      <c r="BC20" s="43"/>
      <c r="BD20" s="43" t="s">
        <v>374</v>
      </c>
      <c r="BE20" s="43" t="s">
        <v>243</v>
      </c>
      <c r="BF20" s="22" t="s">
        <v>131</v>
      </c>
      <c r="BG20" s="22" t="s">
        <v>132</v>
      </c>
      <c r="BH20" s="22" t="s">
        <v>132</v>
      </c>
      <c r="BI20" s="22" t="s">
        <v>132</v>
      </c>
      <c r="BJ20" s="43"/>
      <c r="BK20" s="43"/>
      <c r="BL20" s="22" t="s">
        <v>392</v>
      </c>
      <c r="BM20" s="22">
        <v>3.504009E9</v>
      </c>
      <c r="BN20" s="22" t="s">
        <v>393</v>
      </c>
      <c r="BO20" s="46" t="s">
        <v>394</v>
      </c>
      <c r="BP20" s="22" t="s">
        <v>245</v>
      </c>
      <c r="BQ20" s="43"/>
      <c r="BR20" s="43"/>
      <c r="BS20" s="22" t="s">
        <v>395</v>
      </c>
      <c r="BT20" s="43"/>
      <c r="BU20" s="22" t="s">
        <v>396</v>
      </c>
      <c r="BV20" s="43" t="s">
        <v>397</v>
      </c>
      <c r="BW20" s="22" t="s">
        <v>398</v>
      </c>
      <c r="BX20" s="22">
        <v>90.0</v>
      </c>
      <c r="BY20" s="22" t="s">
        <v>210</v>
      </c>
      <c r="BZ20" s="43"/>
      <c r="CA20" s="22" t="s">
        <v>355</v>
      </c>
      <c r="CB20" s="22" t="s">
        <v>307</v>
      </c>
      <c r="CC20" s="45"/>
      <c r="CD20" s="43"/>
      <c r="CE20" s="43"/>
      <c r="CF20" s="45" t="s">
        <v>399</v>
      </c>
      <c r="CG20" s="43"/>
      <c r="CH20" s="43"/>
      <c r="CI20" s="43"/>
      <c r="CJ20" s="43"/>
      <c r="CK20" s="43"/>
      <c r="CL20" s="43"/>
      <c r="CM20" s="49">
        <f>IFERROR(VLOOKUP(B20,CC!A:D,4,0)," ")</f>
        <v>336.44</v>
      </c>
      <c r="CN20" s="22" t="s">
        <v>400</v>
      </c>
      <c r="CO20" s="22"/>
      <c r="CP20" s="43"/>
      <c r="CQ20" s="22" t="s">
        <v>401</v>
      </c>
      <c r="CR20" s="43"/>
      <c r="CS20" s="22">
        <v>10.0</v>
      </c>
      <c r="CT20" s="22" t="s">
        <v>145</v>
      </c>
      <c r="CU20" s="43"/>
      <c r="CV20" s="43"/>
      <c r="CW20" s="43"/>
      <c r="CX20" s="43"/>
      <c r="CY20" s="43" t="b">
        <v>0</v>
      </c>
      <c r="CZ20" s="43" t="b">
        <v>0</v>
      </c>
      <c r="DA20" s="43" t="b">
        <v>0</v>
      </c>
      <c r="DB20" s="43" t="b">
        <v>0</v>
      </c>
      <c r="DC20" s="43"/>
      <c r="DD20" s="43"/>
      <c r="DE20" s="43"/>
      <c r="DF20" s="43"/>
      <c r="DG20" s="43"/>
      <c r="DH20" s="43"/>
      <c r="DI20" s="43"/>
      <c r="DJ20" s="22">
        <v>10.0</v>
      </c>
      <c r="DK20" s="22">
        <v>6.0</v>
      </c>
      <c r="DL20" s="22">
        <v>10.0</v>
      </c>
      <c r="DM20" s="22">
        <v>600.0</v>
      </c>
      <c r="DN20" s="22">
        <v>0.09</v>
      </c>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43"/>
      <c r="ET20" s="43"/>
      <c r="EU20" s="43"/>
      <c r="EV20" s="43"/>
      <c r="EW20" s="43"/>
      <c r="EX20" s="43"/>
      <c r="EY20" s="43"/>
      <c r="EZ20" s="43"/>
      <c r="FA20" s="43"/>
      <c r="FB20" s="43"/>
      <c r="FC20" s="43"/>
      <c r="FD20" s="43"/>
      <c r="FE20" s="43"/>
      <c r="FF20" s="43"/>
      <c r="FG20" s="43"/>
      <c r="FH20" s="43"/>
      <c r="FI20" s="43"/>
    </row>
    <row r="21" ht="18.0" customHeight="1">
      <c r="A21" s="22" t="s">
        <v>116</v>
      </c>
      <c r="B21" s="43" t="s">
        <v>402</v>
      </c>
      <c r="C21" s="22" t="s">
        <v>283</v>
      </c>
      <c r="D21" s="22" t="s">
        <v>358</v>
      </c>
      <c r="E21" s="43" t="s">
        <v>403</v>
      </c>
      <c r="F21" s="22" t="s">
        <v>404</v>
      </c>
      <c r="G21" s="22" t="s">
        <v>361</v>
      </c>
      <c r="H21" s="22" t="s">
        <v>405</v>
      </c>
      <c r="I21" s="43"/>
      <c r="J21" s="43"/>
      <c r="K21" s="22" t="b">
        <v>1</v>
      </c>
      <c r="L21" s="22" t="b">
        <v>1</v>
      </c>
      <c r="M21" s="22" t="b">
        <v>1</v>
      </c>
      <c r="N21" s="22" t="b">
        <v>1</v>
      </c>
      <c r="O21" s="22" t="b">
        <v>1</v>
      </c>
      <c r="P21" s="22" t="b">
        <v>0</v>
      </c>
      <c r="Q21" s="22" t="b">
        <v>0</v>
      </c>
      <c r="R21" s="43"/>
      <c r="S21" s="43" t="s">
        <v>406</v>
      </c>
      <c r="T21" s="22" t="s">
        <v>402</v>
      </c>
      <c r="U21" s="22" t="s">
        <v>402</v>
      </c>
      <c r="V21" s="22" t="s">
        <v>402</v>
      </c>
      <c r="W21" s="43" t="s">
        <v>402</v>
      </c>
      <c r="X21" s="43"/>
      <c r="Y21" s="43"/>
      <c r="Z21" s="43"/>
      <c r="AA21" s="22">
        <v>2.93062934E8</v>
      </c>
      <c r="AB21" s="22">
        <v>1.773856028E9</v>
      </c>
      <c r="AC21" s="22">
        <v>1.03665495848E11</v>
      </c>
      <c r="AD21" s="22">
        <v>9.9000117794E10</v>
      </c>
      <c r="AE21" s="22"/>
      <c r="AF21" s="43"/>
      <c r="AG21" s="43"/>
      <c r="AH21" s="43" t="s">
        <v>404</v>
      </c>
      <c r="AI21" s="22" t="s">
        <v>407</v>
      </c>
      <c r="AJ21" s="22" t="s">
        <v>408</v>
      </c>
      <c r="AK21" s="22" t="s">
        <v>409</v>
      </c>
      <c r="AL21" s="22" t="s">
        <v>410</v>
      </c>
      <c r="AM21" s="43"/>
      <c r="AN21" s="43"/>
      <c r="AO21" s="43"/>
      <c r="AP21" s="46" t="s">
        <v>411</v>
      </c>
      <c r="AQ21" s="46" t="s">
        <v>412</v>
      </c>
      <c r="AR21" s="46" t="s">
        <v>413</v>
      </c>
      <c r="AS21" s="46" t="s">
        <v>414</v>
      </c>
      <c r="AT21" s="43"/>
      <c r="AU21" s="43"/>
      <c r="AV21" s="43"/>
      <c r="AW21" s="22" t="s">
        <v>361</v>
      </c>
      <c r="AX21" s="22" t="s">
        <v>408</v>
      </c>
      <c r="AY21" s="22" t="s">
        <v>372</v>
      </c>
      <c r="AZ21" s="22" t="s">
        <v>373</v>
      </c>
      <c r="BA21" s="43"/>
      <c r="BB21" s="43"/>
      <c r="BC21" s="43"/>
      <c r="BD21" s="43" t="s">
        <v>374</v>
      </c>
      <c r="BE21" s="43" t="s">
        <v>243</v>
      </c>
      <c r="BF21" s="22" t="s">
        <v>131</v>
      </c>
      <c r="BG21" s="22" t="s">
        <v>132</v>
      </c>
      <c r="BH21" s="22" t="s">
        <v>132</v>
      </c>
      <c r="BI21" s="22" t="s">
        <v>132</v>
      </c>
      <c r="BJ21" s="43"/>
      <c r="BK21" s="43"/>
      <c r="BL21" s="22" t="s">
        <v>415</v>
      </c>
      <c r="BM21" s="22">
        <v>2.106909808E9</v>
      </c>
      <c r="BN21" s="22" t="s">
        <v>416</v>
      </c>
      <c r="BO21" s="46" t="s">
        <v>417</v>
      </c>
      <c r="BP21" s="22" t="s">
        <v>245</v>
      </c>
      <c r="BQ21" s="43"/>
      <c r="BR21" s="43"/>
      <c r="BS21" s="22" t="s">
        <v>418</v>
      </c>
      <c r="BT21" s="43"/>
      <c r="BU21" s="22" t="s">
        <v>419</v>
      </c>
      <c r="BV21" s="22" t="s">
        <v>379</v>
      </c>
      <c r="BW21" s="22" t="s">
        <v>420</v>
      </c>
      <c r="BX21" s="22">
        <v>60.0</v>
      </c>
      <c r="BY21" s="22" t="s">
        <v>421</v>
      </c>
      <c r="BZ21" s="22"/>
      <c r="CA21" s="22" t="s">
        <v>165</v>
      </c>
      <c r="CB21" s="22" t="s">
        <v>165</v>
      </c>
      <c r="CC21" s="45" t="s">
        <v>422</v>
      </c>
      <c r="CD21" s="43"/>
      <c r="CE21" s="43"/>
      <c r="CF21" s="45"/>
      <c r="CG21" s="43"/>
      <c r="CH21" s="43"/>
      <c r="CI21" s="43"/>
      <c r="CJ21" s="43"/>
      <c r="CK21" s="43"/>
      <c r="CL21" s="43"/>
      <c r="CM21" s="49">
        <f>IFERROR(VLOOKUP(B21,CC!A:D,4,0)," ")</f>
        <v>228</v>
      </c>
      <c r="CN21" s="22" t="s">
        <v>423</v>
      </c>
      <c r="CO21" s="22"/>
      <c r="CP21" s="22" t="s">
        <v>424</v>
      </c>
      <c r="CQ21" s="22">
        <v>60.0</v>
      </c>
      <c r="CR21" s="43"/>
      <c r="CS21" s="22">
        <v>3.0</v>
      </c>
      <c r="CT21" s="22" t="s">
        <v>145</v>
      </c>
      <c r="CU21" s="43"/>
      <c r="CV21" s="43"/>
      <c r="CW21" s="43"/>
      <c r="CX21" s="43"/>
      <c r="CY21" s="43" t="b">
        <v>0</v>
      </c>
      <c r="CZ21" s="43" t="b">
        <v>0</v>
      </c>
      <c r="DA21" s="43" t="b">
        <v>0</v>
      </c>
      <c r="DB21" s="43" t="b">
        <v>0</v>
      </c>
      <c r="DC21" s="43"/>
      <c r="DD21" s="43"/>
      <c r="DE21" s="43"/>
      <c r="DF21" s="43"/>
      <c r="DG21" s="43"/>
      <c r="DH21" s="43"/>
      <c r="DI21" s="43"/>
      <c r="DJ21" s="22">
        <v>11.0</v>
      </c>
      <c r="DK21" s="22">
        <v>5.0</v>
      </c>
      <c r="DL21" s="22">
        <v>11.0</v>
      </c>
      <c r="DM21" s="22">
        <v>605.0</v>
      </c>
      <c r="DN21" s="22">
        <v>0.165</v>
      </c>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43"/>
      <c r="ET21" s="43"/>
      <c r="EU21" s="43"/>
      <c r="EV21" s="43"/>
      <c r="EW21" s="43"/>
      <c r="EX21" s="43"/>
      <c r="EY21" s="43"/>
      <c r="EZ21" s="43"/>
      <c r="FA21" s="43"/>
      <c r="FB21" s="43"/>
      <c r="FC21" s="43"/>
      <c r="FD21" s="43"/>
      <c r="FE21" s="43"/>
      <c r="FF21" s="43"/>
      <c r="FG21" s="43"/>
      <c r="FH21" s="43"/>
      <c r="FI21" s="43"/>
    </row>
    <row r="22" ht="18.0" customHeight="1">
      <c r="A22" s="22" t="s">
        <v>116</v>
      </c>
      <c r="B22" s="43" t="s">
        <v>425</v>
      </c>
      <c r="C22" s="22" t="s">
        <v>283</v>
      </c>
      <c r="D22" s="22" t="s">
        <v>358</v>
      </c>
      <c r="E22" s="43" t="s">
        <v>359</v>
      </c>
      <c r="F22" s="22" t="s">
        <v>426</v>
      </c>
      <c r="G22" s="22" t="s">
        <v>361</v>
      </c>
      <c r="H22" s="22" t="s">
        <v>405</v>
      </c>
      <c r="I22" s="43"/>
      <c r="J22" s="43"/>
      <c r="K22" s="22" t="b">
        <v>1</v>
      </c>
      <c r="L22" s="22" t="b">
        <v>1</v>
      </c>
      <c r="M22" s="22" t="b">
        <v>1</v>
      </c>
      <c r="N22" s="22" t="b">
        <v>1</v>
      </c>
      <c r="O22" s="22" t="b">
        <v>1</v>
      </c>
      <c r="P22" s="22" t="b">
        <v>0</v>
      </c>
      <c r="Q22" s="22" t="b">
        <v>0</v>
      </c>
      <c r="R22" s="43"/>
      <c r="S22" s="43" t="s">
        <v>427</v>
      </c>
      <c r="T22" s="22" t="s">
        <v>425</v>
      </c>
      <c r="U22" s="22" t="s">
        <v>425</v>
      </c>
      <c r="V22" s="22" t="s">
        <v>425</v>
      </c>
      <c r="W22" s="43" t="s">
        <v>425</v>
      </c>
      <c r="X22" s="43"/>
      <c r="Y22" s="43"/>
      <c r="Z22" s="43"/>
      <c r="AA22" s="22">
        <v>4.32841134E8</v>
      </c>
      <c r="AB22" s="22">
        <v>2.214748873E9</v>
      </c>
      <c r="AC22" s="22">
        <v>4.47631033E9</v>
      </c>
      <c r="AD22" s="22">
        <v>9.9000117739E10</v>
      </c>
      <c r="AE22" s="22"/>
      <c r="AF22" s="43"/>
      <c r="AG22" s="43"/>
      <c r="AH22" s="43" t="s">
        <v>426</v>
      </c>
      <c r="AI22" s="22" t="s">
        <v>428</v>
      </c>
      <c r="AJ22" s="22" t="s">
        <v>429</v>
      </c>
      <c r="AK22" s="22" t="s">
        <v>430</v>
      </c>
      <c r="AL22" s="22" t="s">
        <v>431</v>
      </c>
      <c r="AM22" s="43"/>
      <c r="AN22" s="43"/>
      <c r="AO22" s="43"/>
      <c r="AP22" s="46" t="s">
        <v>432</v>
      </c>
      <c r="AQ22" s="46" t="s">
        <v>433</v>
      </c>
      <c r="AR22" s="46" t="s">
        <v>434</v>
      </c>
      <c r="AS22" s="46" t="s">
        <v>435</v>
      </c>
      <c r="AT22" s="43"/>
      <c r="AU22" s="43"/>
      <c r="AV22" s="43"/>
      <c r="AW22" s="22" t="s">
        <v>361</v>
      </c>
      <c r="AX22" s="22" t="s">
        <v>429</v>
      </c>
      <c r="AY22" s="22" t="s">
        <v>372</v>
      </c>
      <c r="AZ22" s="22" t="s">
        <v>373</v>
      </c>
      <c r="BA22" s="43"/>
      <c r="BB22" s="43"/>
      <c r="BC22" s="43"/>
      <c r="BD22" s="43" t="s">
        <v>374</v>
      </c>
      <c r="BE22" s="43" t="s">
        <v>243</v>
      </c>
      <c r="BF22" s="22" t="s">
        <v>131</v>
      </c>
      <c r="BG22" s="22" t="s">
        <v>132</v>
      </c>
      <c r="BH22" s="22" t="s">
        <v>132</v>
      </c>
      <c r="BI22" s="22" t="s">
        <v>132</v>
      </c>
      <c r="BJ22" s="43"/>
      <c r="BK22" s="43"/>
      <c r="BL22" s="22">
        <v>4.6403328303E12</v>
      </c>
      <c r="BM22" s="22">
        <v>2.106909808E9</v>
      </c>
      <c r="BN22" s="22" t="s">
        <v>436</v>
      </c>
      <c r="BO22" s="46" t="s">
        <v>437</v>
      </c>
      <c r="BP22" s="22" t="s">
        <v>245</v>
      </c>
      <c r="BQ22" s="43"/>
      <c r="BR22" s="43"/>
      <c r="BS22" s="22" t="s">
        <v>438</v>
      </c>
      <c r="BT22" s="43"/>
      <c r="BU22" s="22" t="s">
        <v>439</v>
      </c>
      <c r="BV22" s="22" t="s">
        <v>379</v>
      </c>
      <c r="BW22" s="22" t="s">
        <v>380</v>
      </c>
      <c r="BX22" s="22">
        <v>60.0</v>
      </c>
      <c r="BY22" s="22" t="s">
        <v>381</v>
      </c>
      <c r="BZ22" s="22"/>
      <c r="CA22" s="22" t="s">
        <v>355</v>
      </c>
      <c r="CB22" s="22" t="s">
        <v>307</v>
      </c>
      <c r="CC22" s="45" t="s">
        <v>440</v>
      </c>
      <c r="CD22" s="43"/>
      <c r="CE22" s="43"/>
      <c r="CF22" s="45"/>
      <c r="CG22" s="43"/>
      <c r="CH22" s="43"/>
      <c r="CI22" s="43"/>
      <c r="CJ22" s="43"/>
      <c r="CK22" s="43"/>
      <c r="CL22" s="43"/>
      <c r="CM22" s="49">
        <f>IFERROR(VLOOKUP(B22,CC!A:D,4,0)," ")</f>
        <v>220</v>
      </c>
      <c r="CN22" s="22" t="s">
        <v>383</v>
      </c>
      <c r="CO22" s="22"/>
      <c r="CP22" s="22" t="s">
        <v>384</v>
      </c>
      <c r="CQ22" s="22">
        <v>90.0</v>
      </c>
      <c r="CR22" s="43"/>
      <c r="CS22" s="22">
        <v>1.0</v>
      </c>
      <c r="CT22" s="22" t="s">
        <v>145</v>
      </c>
      <c r="CU22" s="43"/>
      <c r="CV22" s="43"/>
      <c r="CW22" s="43"/>
      <c r="CX22" s="43"/>
      <c r="CY22" s="43" t="b">
        <v>0</v>
      </c>
      <c r="CZ22" s="43" t="b">
        <v>0</v>
      </c>
      <c r="DA22" s="43" t="b">
        <v>0</v>
      </c>
      <c r="DB22" s="43" t="b">
        <v>0</v>
      </c>
      <c r="DC22" s="43"/>
      <c r="DD22" s="43"/>
      <c r="DE22" s="43"/>
      <c r="DF22" s="43"/>
      <c r="DG22" s="43"/>
      <c r="DH22" s="43"/>
      <c r="DI22" s="43"/>
      <c r="DJ22" s="22">
        <v>7.0</v>
      </c>
      <c r="DK22" s="22">
        <v>13.0</v>
      </c>
      <c r="DL22" s="22">
        <v>7.0</v>
      </c>
      <c r="DM22" s="22">
        <v>637.0</v>
      </c>
      <c r="DN22" s="22">
        <v>0.227</v>
      </c>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43"/>
      <c r="ET22" s="43"/>
      <c r="EU22" s="43"/>
      <c r="EV22" s="43"/>
      <c r="EW22" s="43"/>
      <c r="EX22" s="43"/>
      <c r="EY22" s="43"/>
      <c r="EZ22" s="43"/>
      <c r="FA22" s="43"/>
      <c r="FB22" s="43"/>
      <c r="FC22" s="43"/>
      <c r="FD22" s="43"/>
      <c r="FE22" s="43"/>
      <c r="FF22" s="43"/>
      <c r="FG22" s="43"/>
      <c r="FH22" s="43"/>
      <c r="FI22" s="43"/>
    </row>
    <row r="23" ht="18.0" customHeight="1">
      <c r="A23" s="22" t="s">
        <v>116</v>
      </c>
      <c r="B23" s="43" t="s">
        <v>441</v>
      </c>
      <c r="C23" s="22" t="s">
        <v>118</v>
      </c>
      <c r="D23" s="22" t="s">
        <v>119</v>
      </c>
      <c r="E23" s="43"/>
      <c r="F23" s="22" t="s">
        <v>442</v>
      </c>
      <c r="G23" s="22" t="s">
        <v>443</v>
      </c>
      <c r="H23" s="22" t="s">
        <v>444</v>
      </c>
      <c r="I23" s="43"/>
      <c r="J23" s="43"/>
      <c r="K23" s="22" t="b">
        <v>1</v>
      </c>
      <c r="L23" s="22" t="b">
        <v>1</v>
      </c>
      <c r="M23" s="22" t="b">
        <v>1</v>
      </c>
      <c r="N23" s="22" t="b">
        <v>1</v>
      </c>
      <c r="O23" s="22" t="b">
        <v>0</v>
      </c>
      <c r="P23" s="22" t="b">
        <v>0</v>
      </c>
      <c r="Q23" s="22" t="b">
        <v>0</v>
      </c>
      <c r="R23" s="43"/>
      <c r="S23" s="43" t="s">
        <v>445</v>
      </c>
      <c r="T23" s="22" t="s">
        <v>441</v>
      </c>
      <c r="U23" s="22" t="s">
        <v>441</v>
      </c>
      <c r="V23" s="22" t="s">
        <v>441</v>
      </c>
      <c r="W23" s="43"/>
      <c r="X23" s="43"/>
      <c r="Y23" s="43"/>
      <c r="Z23" s="43"/>
      <c r="AA23" s="22">
        <v>3.0787453E8</v>
      </c>
      <c r="AB23" s="22">
        <v>1.828993605E9</v>
      </c>
      <c r="AC23" s="22">
        <v>1.03724222997E11</v>
      </c>
      <c r="AD23" s="22"/>
      <c r="AE23" s="22"/>
      <c r="AF23" s="43"/>
      <c r="AG23" s="43"/>
      <c r="AH23" s="43" t="s">
        <v>442</v>
      </c>
      <c r="AI23" s="22" t="s">
        <v>446</v>
      </c>
      <c r="AJ23" s="22" t="s">
        <v>447</v>
      </c>
      <c r="AK23" s="22" t="s">
        <v>447</v>
      </c>
      <c r="AL23" s="43"/>
      <c r="AM23" s="43"/>
      <c r="AN23" s="43"/>
      <c r="AO23" s="43"/>
      <c r="AP23" s="46" t="s">
        <v>448</v>
      </c>
      <c r="AQ23" s="46" t="s">
        <v>449</v>
      </c>
      <c r="AR23" s="46" t="s">
        <v>450</v>
      </c>
      <c r="AS23" s="43"/>
      <c r="AT23" s="43"/>
      <c r="AU23" s="43"/>
      <c r="AV23" s="43"/>
      <c r="AW23" s="22" t="s">
        <v>451</v>
      </c>
      <c r="AX23" s="22" t="s">
        <v>447</v>
      </c>
      <c r="AY23" s="22" t="s">
        <v>452</v>
      </c>
      <c r="AZ23" s="43"/>
      <c r="BA23" s="43"/>
      <c r="BB23" s="43"/>
      <c r="BC23" s="43"/>
      <c r="BD23" s="43" t="s">
        <v>129</v>
      </c>
      <c r="BE23" s="43" t="s">
        <v>243</v>
      </c>
      <c r="BF23" s="22" t="s">
        <v>131</v>
      </c>
      <c r="BG23" s="22" t="s">
        <v>132</v>
      </c>
      <c r="BH23" s="22" t="s">
        <v>132</v>
      </c>
      <c r="BI23" s="22" t="s">
        <v>132</v>
      </c>
      <c r="BJ23" s="43"/>
      <c r="BK23" s="43"/>
      <c r="BL23" s="22">
        <v>4.67376778119E12</v>
      </c>
      <c r="BM23" s="22">
        <v>3.307900008E9</v>
      </c>
      <c r="BN23" s="22" t="s">
        <v>133</v>
      </c>
      <c r="BO23" s="46" t="s">
        <v>453</v>
      </c>
      <c r="BP23" s="22" t="s">
        <v>303</v>
      </c>
      <c r="BQ23" s="43"/>
      <c r="BR23" s="43"/>
      <c r="BS23" s="22" t="s">
        <v>454</v>
      </c>
      <c r="BT23" s="43"/>
      <c r="BU23" s="22" t="s">
        <v>455</v>
      </c>
      <c r="BV23" s="43"/>
      <c r="BW23" s="22" t="s">
        <v>163</v>
      </c>
      <c r="BX23" s="22">
        <v>500.0</v>
      </c>
      <c r="BY23" s="22" t="s">
        <v>139</v>
      </c>
      <c r="BZ23" s="22"/>
      <c r="CA23" s="22" t="s">
        <v>355</v>
      </c>
      <c r="CB23" s="22" t="s">
        <v>307</v>
      </c>
      <c r="CC23" s="45" t="s">
        <v>456</v>
      </c>
      <c r="CD23" s="43"/>
      <c r="CE23" s="43"/>
      <c r="CF23" s="45"/>
      <c r="CG23" s="54">
        <v>46080.0</v>
      </c>
      <c r="CH23" s="46" t="s">
        <v>457</v>
      </c>
      <c r="CI23" s="43"/>
      <c r="CJ23" s="43"/>
      <c r="CK23" s="43"/>
      <c r="CL23" s="43"/>
      <c r="CM23" s="49">
        <f>IFERROR(VLOOKUP(B23,CC!A:D,4,0)," ")</f>
        <v>92.75</v>
      </c>
      <c r="CN23" s="22" t="s">
        <v>458</v>
      </c>
      <c r="CO23" s="22"/>
      <c r="CP23" s="22" t="s">
        <v>459</v>
      </c>
      <c r="CQ23" s="22">
        <v>45.0</v>
      </c>
      <c r="CR23" s="43"/>
      <c r="CS23" s="22">
        <v>3.0</v>
      </c>
      <c r="CT23" s="22" t="s">
        <v>145</v>
      </c>
      <c r="CU23" s="43"/>
      <c r="CV23" s="43"/>
      <c r="CW23" s="43"/>
      <c r="CX23" s="43"/>
      <c r="CY23" s="43" t="b">
        <v>0</v>
      </c>
      <c r="CZ23" s="43" t="b">
        <v>0</v>
      </c>
      <c r="DA23" s="43" t="b">
        <v>0</v>
      </c>
      <c r="DB23" s="43" t="b">
        <v>0</v>
      </c>
      <c r="DC23" s="43"/>
      <c r="DD23" s="43"/>
      <c r="DE23" s="43"/>
      <c r="DF23" s="43"/>
      <c r="DG23" s="43"/>
      <c r="DH23" s="43"/>
      <c r="DI23" s="43"/>
      <c r="DJ23" s="22">
        <v>16.0</v>
      </c>
      <c r="DK23" s="22">
        <v>7.0</v>
      </c>
      <c r="DL23" s="22">
        <v>16.0</v>
      </c>
      <c r="DM23" s="22">
        <v>1792.0</v>
      </c>
      <c r="DN23" s="22">
        <v>0.551</v>
      </c>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43"/>
      <c r="ET23" s="43"/>
      <c r="EU23" s="43"/>
      <c r="EV23" s="43"/>
      <c r="EW23" s="43"/>
      <c r="EX23" s="43"/>
      <c r="EY23" s="43"/>
      <c r="EZ23" s="43"/>
      <c r="FA23" s="43"/>
      <c r="FB23" s="43"/>
      <c r="FC23" s="43"/>
      <c r="FD23" s="43"/>
      <c r="FE23" s="43"/>
      <c r="FF23" s="43"/>
      <c r="FG23" s="43"/>
      <c r="FH23" s="43"/>
      <c r="FI23" s="43"/>
    </row>
    <row r="24" ht="18.0" customHeight="1">
      <c r="A24" s="22" t="s">
        <v>116</v>
      </c>
      <c r="B24" s="43" t="s">
        <v>460</v>
      </c>
      <c r="C24" s="22" t="s">
        <v>118</v>
      </c>
      <c r="D24" s="22" t="s">
        <v>187</v>
      </c>
      <c r="E24" s="43"/>
      <c r="F24" s="22" t="s">
        <v>461</v>
      </c>
      <c r="G24" s="22" t="s">
        <v>443</v>
      </c>
      <c r="H24" s="22" t="s">
        <v>444</v>
      </c>
      <c r="I24" s="43"/>
      <c r="J24" s="43"/>
      <c r="K24" s="22" t="b">
        <v>1</v>
      </c>
      <c r="L24" s="22" t="b">
        <v>1</v>
      </c>
      <c r="M24" s="22" t="b">
        <v>1</v>
      </c>
      <c r="N24" s="22" t="b">
        <v>0</v>
      </c>
      <c r="O24" s="22" t="b">
        <v>0</v>
      </c>
      <c r="P24" s="22" t="b">
        <v>0</v>
      </c>
      <c r="Q24" s="22" t="b">
        <v>0</v>
      </c>
      <c r="R24" s="43"/>
      <c r="S24" s="43" t="s">
        <v>462</v>
      </c>
      <c r="T24" s="22" t="s">
        <v>460</v>
      </c>
      <c r="U24" s="22" t="s">
        <v>460</v>
      </c>
      <c r="V24" s="22"/>
      <c r="W24" s="43"/>
      <c r="X24" s="43"/>
      <c r="Y24" s="43"/>
      <c r="Z24" s="43"/>
      <c r="AA24" s="22">
        <v>2.76247301E8</v>
      </c>
      <c r="AB24" s="22">
        <v>1.745032627E9</v>
      </c>
      <c r="AC24" s="22"/>
      <c r="AD24" s="22"/>
      <c r="AE24" s="22"/>
      <c r="AF24" s="43"/>
      <c r="AG24" s="43"/>
      <c r="AH24" s="43" t="s">
        <v>461</v>
      </c>
      <c r="AI24" s="22" t="s">
        <v>463</v>
      </c>
      <c r="AJ24" s="22" t="s">
        <v>464</v>
      </c>
      <c r="AK24" s="43"/>
      <c r="AL24" s="43"/>
      <c r="AM24" s="43"/>
      <c r="AN24" s="43"/>
      <c r="AO24" s="43"/>
      <c r="AP24" s="46" t="s">
        <v>465</v>
      </c>
      <c r="AQ24" s="46" t="s">
        <v>466</v>
      </c>
      <c r="AR24" s="43"/>
      <c r="AS24" s="43"/>
      <c r="AT24" s="43"/>
      <c r="AU24" s="43"/>
      <c r="AV24" s="43"/>
      <c r="AW24" s="22" t="s">
        <v>467</v>
      </c>
      <c r="AX24" s="22" t="s">
        <v>464</v>
      </c>
      <c r="AY24" s="43"/>
      <c r="AZ24" s="43"/>
      <c r="BA24" s="43"/>
      <c r="BB24" s="43"/>
      <c r="BC24" s="43"/>
      <c r="BD24" s="43" t="s">
        <v>129</v>
      </c>
      <c r="BE24" s="43" t="s">
        <v>243</v>
      </c>
      <c r="BF24" s="22" t="s">
        <v>131</v>
      </c>
      <c r="BG24" s="22" t="s">
        <v>132</v>
      </c>
      <c r="BH24" s="22" t="s">
        <v>132</v>
      </c>
      <c r="BI24" s="22" t="s">
        <v>132</v>
      </c>
      <c r="BJ24" s="43"/>
      <c r="BK24" s="43"/>
      <c r="BL24" s="22">
        <v>4.657786831579E12</v>
      </c>
      <c r="BM24" s="22"/>
      <c r="BN24" s="22" t="s">
        <v>133</v>
      </c>
      <c r="BO24" s="22"/>
      <c r="BP24" s="22" t="s">
        <v>303</v>
      </c>
      <c r="BQ24" s="43"/>
      <c r="BR24" s="43"/>
      <c r="BS24" s="22" t="s">
        <v>468</v>
      </c>
      <c r="BT24" s="43"/>
      <c r="BU24" s="22" t="s">
        <v>469</v>
      </c>
      <c r="BV24" s="43"/>
      <c r="BW24" s="22" t="s">
        <v>470</v>
      </c>
      <c r="BX24" s="22">
        <v>30.0</v>
      </c>
      <c r="BY24" s="22" t="s">
        <v>139</v>
      </c>
      <c r="BZ24" s="22"/>
      <c r="CA24" s="22" t="s">
        <v>280</v>
      </c>
      <c r="CB24" s="22" t="s">
        <v>140</v>
      </c>
      <c r="CC24" s="45" t="s">
        <v>471</v>
      </c>
      <c r="CD24" s="43"/>
      <c r="CE24" s="43"/>
      <c r="CF24" s="45"/>
      <c r="CG24" s="43"/>
      <c r="CH24" s="43"/>
      <c r="CI24" s="43"/>
      <c r="CJ24" s="43"/>
      <c r="CK24" s="43"/>
      <c r="CL24" s="43"/>
      <c r="CM24" s="49">
        <f>IFERROR(VLOOKUP(B24,CC!A:D,4,0)," ")</f>
        <v>181</v>
      </c>
      <c r="CN24" s="22" t="s">
        <v>472</v>
      </c>
      <c r="CO24" s="22"/>
      <c r="CP24" s="22" t="s">
        <v>473</v>
      </c>
      <c r="CQ24" s="22">
        <v>90.0</v>
      </c>
      <c r="CR24" s="43"/>
      <c r="CS24" s="22">
        <v>3.0</v>
      </c>
      <c r="CT24" s="22" t="s">
        <v>145</v>
      </c>
      <c r="CU24" s="43"/>
      <c r="CV24" s="43"/>
      <c r="CW24" s="43"/>
      <c r="CX24" s="43"/>
      <c r="CY24" s="43" t="b">
        <v>0</v>
      </c>
      <c r="CZ24" s="43" t="b">
        <v>0</v>
      </c>
      <c r="DA24" s="43" t="b">
        <v>0</v>
      </c>
      <c r="DB24" s="43" t="b">
        <v>0</v>
      </c>
      <c r="DC24" s="43"/>
      <c r="DD24" s="43"/>
      <c r="DE24" s="43"/>
      <c r="DF24" s="43"/>
      <c r="DG24" s="43"/>
      <c r="DH24" s="43"/>
      <c r="DI24" s="43"/>
      <c r="DJ24" s="22">
        <v>3.0</v>
      </c>
      <c r="DK24" s="22">
        <v>7.0</v>
      </c>
      <c r="DL24" s="22">
        <v>3.0</v>
      </c>
      <c r="DM24" s="22">
        <v>63.0</v>
      </c>
      <c r="DN24" s="22">
        <v>0.071</v>
      </c>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43"/>
      <c r="ET24" s="43"/>
      <c r="EU24" s="43"/>
      <c r="EV24" s="43"/>
      <c r="EW24" s="43"/>
      <c r="EX24" s="43"/>
      <c r="EY24" s="43"/>
      <c r="EZ24" s="43"/>
      <c r="FA24" s="43"/>
      <c r="FB24" s="43"/>
      <c r="FC24" s="43"/>
      <c r="FD24" s="43"/>
      <c r="FE24" s="43"/>
      <c r="FF24" s="43"/>
      <c r="FG24" s="43"/>
      <c r="FH24" s="43"/>
      <c r="FI24" s="43"/>
    </row>
    <row r="25" ht="18.0" customHeight="1">
      <c r="A25" s="22" t="s">
        <v>116</v>
      </c>
      <c r="B25" s="43" t="s">
        <v>474</v>
      </c>
      <c r="C25" s="22" t="s">
        <v>283</v>
      </c>
      <c r="D25" s="22" t="s">
        <v>119</v>
      </c>
      <c r="E25" s="43"/>
      <c r="F25" s="22" t="s">
        <v>475</v>
      </c>
      <c r="G25" s="22" t="s">
        <v>361</v>
      </c>
      <c r="H25" s="22" t="s">
        <v>476</v>
      </c>
      <c r="I25" s="43"/>
      <c r="J25" s="43"/>
      <c r="K25" s="22" t="b">
        <v>1</v>
      </c>
      <c r="L25" s="22" t="b">
        <v>1</v>
      </c>
      <c r="M25" s="22" t="b">
        <v>1</v>
      </c>
      <c r="N25" s="22" t="b">
        <v>1</v>
      </c>
      <c r="O25" s="22" t="b">
        <v>1</v>
      </c>
      <c r="P25" s="22" t="b">
        <v>0</v>
      </c>
      <c r="Q25" s="22" t="b">
        <v>0</v>
      </c>
      <c r="R25" s="43"/>
      <c r="S25" s="43" t="s">
        <v>477</v>
      </c>
      <c r="T25" s="22" t="s">
        <v>474</v>
      </c>
      <c r="U25" s="22" t="s">
        <v>474</v>
      </c>
      <c r="V25" s="22" t="s">
        <v>474</v>
      </c>
      <c r="W25" s="43" t="s">
        <v>474</v>
      </c>
      <c r="X25" s="43"/>
      <c r="Y25" s="43"/>
      <c r="Z25" s="43"/>
      <c r="AA25" s="22">
        <v>1.98421782E8</v>
      </c>
      <c r="AB25" s="22">
        <v>1.361997453E9</v>
      </c>
      <c r="AC25" s="22">
        <v>1.02650853073E11</v>
      </c>
      <c r="AD25" s="22">
        <v>9.9000118637E10</v>
      </c>
      <c r="AE25" s="22"/>
      <c r="AF25" s="43"/>
      <c r="AG25" s="43"/>
      <c r="AH25" s="43" t="s">
        <v>475</v>
      </c>
      <c r="AI25" s="22" t="s">
        <v>478</v>
      </c>
      <c r="AJ25" s="22" t="s">
        <v>479</v>
      </c>
      <c r="AK25" s="22" t="s">
        <v>480</v>
      </c>
      <c r="AL25" s="22" t="s">
        <v>481</v>
      </c>
      <c r="AM25" s="43"/>
      <c r="AN25" s="43"/>
      <c r="AO25" s="43"/>
      <c r="AP25" s="46" t="s">
        <v>482</v>
      </c>
      <c r="AQ25" s="46" t="s">
        <v>483</v>
      </c>
      <c r="AR25" s="46" t="s">
        <v>484</v>
      </c>
      <c r="AS25" s="46" t="s">
        <v>485</v>
      </c>
      <c r="AT25" s="43"/>
      <c r="AU25" s="43"/>
      <c r="AV25" s="43"/>
      <c r="AW25" s="22" t="s">
        <v>361</v>
      </c>
      <c r="AX25" s="22" t="s">
        <v>479</v>
      </c>
      <c r="AY25" s="22" t="s">
        <v>372</v>
      </c>
      <c r="AZ25" s="22" t="s">
        <v>373</v>
      </c>
      <c r="BA25" s="43"/>
      <c r="BB25" s="43"/>
      <c r="BC25" s="43"/>
      <c r="BD25" s="43" t="s">
        <v>374</v>
      </c>
      <c r="BE25" s="43" t="s">
        <v>243</v>
      </c>
      <c r="BF25" s="22" t="s">
        <v>131</v>
      </c>
      <c r="BG25" s="22" t="s">
        <v>132</v>
      </c>
      <c r="BH25" s="22" t="s">
        <v>132</v>
      </c>
      <c r="BI25" s="22" t="s">
        <v>132</v>
      </c>
      <c r="BJ25" s="43"/>
      <c r="BK25" s="43"/>
      <c r="BL25" s="22">
        <v>4.630205148199E12</v>
      </c>
      <c r="BM25" s="22">
        <v>2.106909808E9</v>
      </c>
      <c r="BN25" s="22" t="s">
        <v>486</v>
      </c>
      <c r="BO25" s="46" t="s">
        <v>487</v>
      </c>
      <c r="BP25" s="22" t="s">
        <v>245</v>
      </c>
      <c r="BQ25" s="43"/>
      <c r="BR25" s="43"/>
      <c r="BS25" s="22" t="s">
        <v>488</v>
      </c>
      <c r="BT25" s="43"/>
      <c r="BU25" s="22" t="s">
        <v>489</v>
      </c>
      <c r="BV25" s="43" t="s">
        <v>490</v>
      </c>
      <c r="BW25" s="22" t="s">
        <v>491</v>
      </c>
      <c r="BX25" s="22">
        <v>60.0</v>
      </c>
      <c r="BY25" s="22" t="s">
        <v>492</v>
      </c>
      <c r="BZ25" s="43"/>
      <c r="CA25" s="22" t="s">
        <v>355</v>
      </c>
      <c r="CB25" s="22" t="s">
        <v>307</v>
      </c>
      <c r="CC25" s="45" t="s">
        <v>493</v>
      </c>
      <c r="CD25" s="43"/>
      <c r="CE25" s="43"/>
      <c r="CF25" s="45"/>
      <c r="CG25" s="43"/>
      <c r="CH25" s="43"/>
      <c r="CI25" s="43"/>
      <c r="CJ25" s="43"/>
      <c r="CK25" s="43"/>
      <c r="CL25" s="43"/>
      <c r="CM25" s="49">
        <f>IFERROR(VLOOKUP(B25,CC!A:D,4,0)," ")</f>
        <v>293</v>
      </c>
      <c r="CN25" s="22" t="s">
        <v>494</v>
      </c>
      <c r="CO25" s="22"/>
      <c r="CP25" s="22" t="s">
        <v>495</v>
      </c>
      <c r="CQ25" s="22">
        <v>60.0</v>
      </c>
      <c r="CR25" s="43"/>
      <c r="CS25" s="22">
        <v>5.0</v>
      </c>
      <c r="CT25" s="22" t="s">
        <v>496</v>
      </c>
      <c r="CU25" s="43"/>
      <c r="CV25" s="43"/>
      <c r="CW25" s="43"/>
      <c r="CX25" s="43"/>
      <c r="CY25" s="43" t="b">
        <v>0</v>
      </c>
      <c r="CZ25" s="43" t="b">
        <v>0</v>
      </c>
      <c r="DA25" s="43" t="b">
        <v>0</v>
      </c>
      <c r="DB25" s="43" t="b">
        <v>0</v>
      </c>
      <c r="DC25" s="43"/>
      <c r="DD25" s="43"/>
      <c r="DE25" s="43"/>
      <c r="DF25" s="43"/>
      <c r="DG25" s="43"/>
      <c r="DH25" s="43"/>
      <c r="DI25" s="43"/>
      <c r="DJ25" s="22">
        <v>11.0</v>
      </c>
      <c r="DK25" s="22">
        <v>5.0</v>
      </c>
      <c r="DL25" s="22">
        <v>11.0</v>
      </c>
      <c r="DM25" s="22">
        <v>605.0</v>
      </c>
      <c r="DN25" s="22">
        <v>0.087</v>
      </c>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43"/>
      <c r="ET25" s="43"/>
      <c r="EU25" s="43"/>
      <c r="EV25" s="43"/>
      <c r="EW25" s="43"/>
      <c r="EX25" s="43"/>
      <c r="EY25" s="43"/>
      <c r="EZ25" s="43"/>
      <c r="FA25" s="43"/>
      <c r="FB25" s="43"/>
      <c r="FC25" s="43"/>
      <c r="FD25" s="43"/>
      <c r="FE25" s="43"/>
      <c r="FF25" s="43"/>
      <c r="FG25" s="43"/>
      <c r="FH25" s="43"/>
      <c r="FI25" s="43"/>
    </row>
    <row r="26" ht="18.0" customHeight="1">
      <c r="A26" s="22" t="s">
        <v>116</v>
      </c>
      <c r="B26" s="22" t="s">
        <v>497</v>
      </c>
      <c r="C26" s="22" t="s">
        <v>283</v>
      </c>
      <c r="D26" s="22" t="s">
        <v>119</v>
      </c>
      <c r="E26" s="43"/>
      <c r="F26" s="22" t="s">
        <v>498</v>
      </c>
      <c r="G26" s="22" t="s">
        <v>361</v>
      </c>
      <c r="H26" s="22" t="s">
        <v>476</v>
      </c>
      <c r="I26" s="43"/>
      <c r="J26" s="43"/>
      <c r="K26" s="22" t="b">
        <v>1</v>
      </c>
      <c r="L26" s="22" t="b">
        <v>1</v>
      </c>
      <c r="M26" s="22" t="b">
        <v>1</v>
      </c>
      <c r="N26" s="22" t="b">
        <v>1</v>
      </c>
      <c r="O26" s="22" t="b">
        <v>1</v>
      </c>
      <c r="P26" s="22" t="b">
        <v>0</v>
      </c>
      <c r="Q26" s="22" t="b">
        <v>0</v>
      </c>
      <c r="R26" s="43"/>
      <c r="S26" s="43" t="s">
        <v>499</v>
      </c>
      <c r="T26" s="22" t="s">
        <v>497</v>
      </c>
      <c r="U26" s="22" t="s">
        <v>497</v>
      </c>
      <c r="V26" s="22" t="s">
        <v>497</v>
      </c>
      <c r="W26" s="43" t="s">
        <v>497</v>
      </c>
      <c r="X26" s="43"/>
      <c r="Y26" s="43"/>
      <c r="Z26" s="43"/>
      <c r="AA26" s="22">
        <v>1.42963712E8</v>
      </c>
      <c r="AB26" s="22">
        <v>8.35603195E8</v>
      </c>
      <c r="AC26" s="22">
        <v>1.01948470526E11</v>
      </c>
      <c r="AD26" s="22">
        <v>9.9000121336E10</v>
      </c>
      <c r="AE26" s="22"/>
      <c r="AF26" s="43"/>
      <c r="AG26" s="43"/>
      <c r="AH26" s="43" t="s">
        <v>498</v>
      </c>
      <c r="AI26" s="22" t="s">
        <v>500</v>
      </c>
      <c r="AJ26" s="22" t="s">
        <v>501</v>
      </c>
      <c r="AK26" s="22" t="s">
        <v>502</v>
      </c>
      <c r="AL26" s="22" t="s">
        <v>503</v>
      </c>
      <c r="AM26" s="43"/>
      <c r="AN26" s="43"/>
      <c r="AO26" s="43"/>
      <c r="AP26" s="46" t="s">
        <v>504</v>
      </c>
      <c r="AQ26" s="46" t="s">
        <v>505</v>
      </c>
      <c r="AR26" s="46" t="s">
        <v>506</v>
      </c>
      <c r="AS26" s="46" t="s">
        <v>507</v>
      </c>
      <c r="AT26" s="43"/>
      <c r="AU26" s="43"/>
      <c r="AV26" s="43"/>
      <c r="AW26" s="22" t="s">
        <v>361</v>
      </c>
      <c r="AX26" s="22" t="s">
        <v>501</v>
      </c>
      <c r="AY26" s="22" t="s">
        <v>372</v>
      </c>
      <c r="AZ26" s="22" t="s">
        <v>373</v>
      </c>
      <c r="BA26" s="43"/>
      <c r="BB26" s="43"/>
      <c r="BC26" s="43"/>
      <c r="BD26" s="43" t="s">
        <v>129</v>
      </c>
      <c r="BE26" s="43" t="s">
        <v>243</v>
      </c>
      <c r="BF26" s="22" t="s">
        <v>131</v>
      </c>
      <c r="BG26" s="22" t="s">
        <v>132</v>
      </c>
      <c r="BH26" s="22" t="s">
        <v>132</v>
      </c>
      <c r="BI26" s="22" t="s">
        <v>132</v>
      </c>
      <c r="BJ26" s="43"/>
      <c r="BK26" s="43"/>
      <c r="BL26" s="22" t="s">
        <v>508</v>
      </c>
      <c r="BM26" s="22">
        <v>3.504009E9</v>
      </c>
      <c r="BN26" s="22" t="s">
        <v>509</v>
      </c>
      <c r="BO26" s="46" t="s">
        <v>510</v>
      </c>
      <c r="BP26" s="22" t="s">
        <v>245</v>
      </c>
      <c r="BQ26" s="43"/>
      <c r="BR26" s="43"/>
      <c r="BS26" s="22" t="s">
        <v>511</v>
      </c>
      <c r="BT26" s="43"/>
      <c r="BU26" s="22" t="s">
        <v>512</v>
      </c>
      <c r="BV26" s="43" t="s">
        <v>513</v>
      </c>
      <c r="BW26" s="22" t="s">
        <v>514</v>
      </c>
      <c r="BX26" s="22">
        <v>60.0</v>
      </c>
      <c r="BY26" s="22" t="s">
        <v>492</v>
      </c>
      <c r="BZ26" s="43"/>
      <c r="CA26" s="22" t="s">
        <v>355</v>
      </c>
      <c r="CB26" s="22" t="s">
        <v>307</v>
      </c>
      <c r="CC26" s="45" t="s">
        <v>515</v>
      </c>
      <c r="CD26" s="43"/>
      <c r="CE26" s="43"/>
      <c r="CF26" s="45" t="s">
        <v>516</v>
      </c>
      <c r="CG26" s="54">
        <v>46043.0</v>
      </c>
      <c r="CH26" s="46" t="s">
        <v>517</v>
      </c>
      <c r="CI26" s="43"/>
      <c r="CJ26" s="43"/>
      <c r="CK26" s="43"/>
      <c r="CL26" s="43"/>
      <c r="CM26" s="49">
        <f>IFERROR(VLOOKUP(B26,CC!A:D,4,0)," ")</f>
        <v>164</v>
      </c>
      <c r="CN26" s="22" t="s">
        <v>518</v>
      </c>
      <c r="CO26" s="22"/>
      <c r="CP26" s="22" t="s">
        <v>519</v>
      </c>
      <c r="CQ26" s="22" t="s">
        <v>401</v>
      </c>
      <c r="CR26" s="43"/>
      <c r="CS26" s="22">
        <v>1.0</v>
      </c>
      <c r="CT26" s="22" t="s">
        <v>145</v>
      </c>
      <c r="CU26" s="43"/>
      <c r="CV26" s="43"/>
      <c r="CW26" s="43"/>
      <c r="CX26" s="43"/>
      <c r="CY26" s="43" t="b">
        <v>0</v>
      </c>
      <c r="CZ26" s="43" t="b">
        <v>0</v>
      </c>
      <c r="DA26" s="43" t="b">
        <v>0</v>
      </c>
      <c r="DB26" s="43" t="b">
        <v>0</v>
      </c>
      <c r="DC26" s="43"/>
      <c r="DD26" s="43"/>
      <c r="DE26" s="43"/>
      <c r="DF26" s="43"/>
      <c r="DG26" s="43"/>
      <c r="DH26" s="43"/>
      <c r="DI26" s="43"/>
      <c r="DJ26" s="22">
        <v>11.0</v>
      </c>
      <c r="DK26" s="22">
        <v>4.0</v>
      </c>
      <c r="DL26" s="22">
        <v>11.0</v>
      </c>
      <c r="DM26" s="22">
        <v>484.0</v>
      </c>
      <c r="DN26" s="22">
        <v>0.062</v>
      </c>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43"/>
      <c r="ET26" s="43"/>
      <c r="EU26" s="43"/>
      <c r="EV26" s="43"/>
      <c r="EW26" s="43"/>
      <c r="EX26" s="43"/>
      <c r="EY26" s="43"/>
      <c r="EZ26" s="43"/>
      <c r="FA26" s="43"/>
      <c r="FB26" s="43"/>
      <c r="FC26" s="43"/>
      <c r="FD26" s="43"/>
      <c r="FE26" s="43"/>
      <c r="FF26" s="43"/>
      <c r="FG26" s="43"/>
      <c r="FH26" s="43"/>
      <c r="FI26" s="43"/>
    </row>
    <row r="27" ht="18.0" customHeight="1">
      <c r="A27" s="22" t="s">
        <v>116</v>
      </c>
      <c r="B27" s="43" t="s">
        <v>520</v>
      </c>
      <c r="C27" s="22" t="s">
        <v>283</v>
      </c>
      <c r="D27" s="22" t="s">
        <v>187</v>
      </c>
      <c r="E27" s="43" t="s">
        <v>521</v>
      </c>
      <c r="F27" s="22" t="s">
        <v>522</v>
      </c>
      <c r="G27" s="22"/>
      <c r="H27" s="22"/>
      <c r="I27" s="43"/>
      <c r="J27" s="43"/>
      <c r="K27" s="22" t="b">
        <v>1</v>
      </c>
      <c r="L27" s="22" t="b">
        <v>1</v>
      </c>
      <c r="M27" s="22" t="b">
        <v>1</v>
      </c>
      <c r="N27" s="22" t="b">
        <v>0</v>
      </c>
      <c r="O27" s="22" t="b">
        <v>0</v>
      </c>
      <c r="P27" s="22" t="b">
        <v>0</v>
      </c>
      <c r="Q27" s="22" t="b">
        <v>0</v>
      </c>
      <c r="R27" s="43"/>
      <c r="S27" s="43" t="s">
        <v>523</v>
      </c>
      <c r="T27" s="22" t="s">
        <v>520</v>
      </c>
      <c r="U27" s="22" t="s">
        <v>520</v>
      </c>
      <c r="V27" s="22"/>
      <c r="W27" s="43"/>
      <c r="X27" s="43"/>
      <c r="Y27" s="43"/>
      <c r="Z27" s="43"/>
      <c r="AA27" s="22">
        <v>1.67680087E8</v>
      </c>
      <c r="AB27" s="22">
        <v>1.099614303E9</v>
      </c>
      <c r="AC27" s="22"/>
      <c r="AD27" s="22"/>
      <c r="AE27" s="22"/>
      <c r="AF27" s="43"/>
      <c r="AG27" s="43"/>
      <c r="AH27" s="43" t="s">
        <v>522</v>
      </c>
      <c r="AI27" s="22" t="s">
        <v>524</v>
      </c>
      <c r="AJ27" s="22" t="s">
        <v>525</v>
      </c>
      <c r="AK27" s="43"/>
      <c r="AL27" s="43"/>
      <c r="AM27" s="43"/>
      <c r="AN27" s="43"/>
      <c r="AO27" s="43"/>
      <c r="AP27" s="46" t="s">
        <v>526</v>
      </c>
      <c r="AQ27" s="46" t="s">
        <v>527</v>
      </c>
      <c r="AR27" s="43"/>
      <c r="AS27" s="43"/>
      <c r="AT27" s="43"/>
      <c r="AU27" s="43"/>
      <c r="AV27" s="43"/>
      <c r="AW27" s="22" t="s">
        <v>528</v>
      </c>
      <c r="AX27" s="22" t="s">
        <v>525</v>
      </c>
      <c r="AY27" s="43"/>
      <c r="AZ27" s="43"/>
      <c r="BA27" s="43"/>
      <c r="BB27" s="43"/>
      <c r="BC27" s="43"/>
      <c r="BD27" s="43" t="s">
        <v>401</v>
      </c>
      <c r="BE27" s="43"/>
      <c r="BF27" s="22" t="s">
        <v>131</v>
      </c>
      <c r="BG27" s="22" t="s">
        <v>132</v>
      </c>
      <c r="BH27" s="22" t="s">
        <v>132</v>
      </c>
      <c r="BI27" s="22" t="s">
        <v>132</v>
      </c>
      <c r="BJ27" s="43"/>
      <c r="BK27" s="43"/>
      <c r="BL27" s="22" t="s">
        <v>529</v>
      </c>
      <c r="BM27" s="22">
        <v>2.106909808E9</v>
      </c>
      <c r="BN27" s="22"/>
      <c r="BO27" s="22"/>
      <c r="BP27" s="22" t="s">
        <v>245</v>
      </c>
      <c r="BQ27" s="43"/>
      <c r="BR27" s="43"/>
      <c r="BS27" s="22" t="s">
        <v>530</v>
      </c>
      <c r="BT27" s="43"/>
      <c r="BU27" s="22" t="s">
        <v>531</v>
      </c>
      <c r="BV27" s="43" t="s">
        <v>532</v>
      </c>
      <c r="BW27" s="22" t="s">
        <v>533</v>
      </c>
      <c r="BX27" s="22">
        <v>60.0</v>
      </c>
      <c r="BY27" s="22" t="s">
        <v>492</v>
      </c>
      <c r="BZ27" s="43"/>
      <c r="CA27" s="22"/>
      <c r="CB27" s="22"/>
      <c r="CC27" s="45"/>
      <c r="CD27" s="43"/>
      <c r="CE27" s="43"/>
      <c r="CF27" s="45"/>
      <c r="CG27" s="43"/>
      <c r="CH27" s="43"/>
      <c r="CI27" s="43"/>
      <c r="CJ27" s="43"/>
      <c r="CK27" s="43"/>
      <c r="CL27" s="43"/>
      <c r="CM27" s="49">
        <f>IFERROR(VLOOKUP(B27,CC!A:D,4,0)," ")</f>
        <v>477.54</v>
      </c>
      <c r="CN27" s="22"/>
      <c r="CO27" s="22"/>
      <c r="CP27" s="43"/>
      <c r="CQ27" s="22">
        <v>90.0</v>
      </c>
      <c r="CR27" s="43"/>
      <c r="CS27" s="22">
        <v>4.0</v>
      </c>
      <c r="CT27" s="22" t="s">
        <v>145</v>
      </c>
      <c r="CU27" s="43"/>
      <c r="CV27" s="43"/>
      <c r="CW27" s="43"/>
      <c r="CX27" s="43"/>
      <c r="CY27" s="43" t="b">
        <v>0</v>
      </c>
      <c r="CZ27" s="43" t="b">
        <v>0</v>
      </c>
      <c r="DA27" s="43" t="b">
        <v>0</v>
      </c>
      <c r="DB27" s="43" t="b">
        <v>0</v>
      </c>
      <c r="DC27" s="43"/>
      <c r="DD27" s="43"/>
      <c r="DE27" s="43"/>
      <c r="DF27" s="43"/>
      <c r="DG27" s="43"/>
      <c r="DH27" s="43"/>
      <c r="DI27" s="43"/>
      <c r="DJ27" s="22" t="str">
        <f>IFERROR(VLOOKUP($B27,'Лист4'!$D:$AI,27,0)," ")</f>
        <v/>
      </c>
      <c r="DK27" s="22" t="str">
        <f>IFERROR(VLOOKUP($B27,'Лист4'!$D:$AI,28,0)," ")</f>
        <v/>
      </c>
      <c r="DL27" s="22" t="str">
        <f>IFERROR(VLOOKUP($B27,'Лист4'!$D:$AI,29,0)," ")</f>
        <v/>
      </c>
      <c r="DM27" s="22">
        <f t="shared" ref="DM27:DM202" si="1">IFERROR(DJ27*DK27*DL27," ")</f>
        <v>0</v>
      </c>
      <c r="DN27" s="22" t="str">
        <f>IFERROR(VLOOKUP($B27,'Лист4'!$D:$AI,32,0)," ")</f>
        <v/>
      </c>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43"/>
      <c r="ET27" s="43"/>
      <c r="EU27" s="43"/>
      <c r="EV27" s="43"/>
      <c r="EW27" s="43"/>
      <c r="EX27" s="43"/>
      <c r="EY27" s="43"/>
      <c r="EZ27" s="43"/>
      <c r="FA27" s="43"/>
      <c r="FB27" s="43"/>
      <c r="FC27" s="43"/>
      <c r="FD27" s="43"/>
      <c r="FE27" s="43"/>
      <c r="FF27" s="43"/>
      <c r="FG27" s="43"/>
      <c r="FH27" s="43"/>
      <c r="FI27" s="43"/>
    </row>
    <row r="28" ht="18.0" customHeight="1">
      <c r="A28" s="22" t="s">
        <v>116</v>
      </c>
      <c r="B28" s="43" t="s">
        <v>534</v>
      </c>
      <c r="C28" s="22" t="s">
        <v>283</v>
      </c>
      <c r="D28" s="22" t="s">
        <v>187</v>
      </c>
      <c r="E28" s="43" t="s">
        <v>535</v>
      </c>
      <c r="F28" s="22" t="s">
        <v>536</v>
      </c>
      <c r="G28" s="22"/>
      <c r="H28" s="22"/>
      <c r="I28" s="43"/>
      <c r="J28" s="43"/>
      <c r="K28" s="22" t="b">
        <v>1</v>
      </c>
      <c r="L28" s="22" t="b">
        <v>1</v>
      </c>
      <c r="M28" s="22" t="b">
        <v>1</v>
      </c>
      <c r="N28" s="22" t="b">
        <v>0</v>
      </c>
      <c r="O28" s="22" t="b">
        <v>0</v>
      </c>
      <c r="P28" s="22" t="b">
        <v>0</v>
      </c>
      <c r="Q28" s="22" t="b">
        <v>0</v>
      </c>
      <c r="R28" s="43"/>
      <c r="S28" s="43" t="s">
        <v>537</v>
      </c>
      <c r="T28" s="22" t="s">
        <v>534</v>
      </c>
      <c r="U28" s="22" t="s">
        <v>534</v>
      </c>
      <c r="V28" s="22"/>
      <c r="W28" s="43"/>
      <c r="X28" s="43"/>
      <c r="Y28" s="43"/>
      <c r="Z28" s="43"/>
      <c r="AA28" s="22">
        <v>1.88493994E8</v>
      </c>
      <c r="AB28" s="22">
        <v>1.283138723E9</v>
      </c>
      <c r="AC28" s="22"/>
      <c r="AD28" s="22"/>
      <c r="AE28" s="22"/>
      <c r="AF28" s="43"/>
      <c r="AG28" s="43"/>
      <c r="AH28" s="43" t="s">
        <v>536</v>
      </c>
      <c r="AI28" s="22" t="s">
        <v>538</v>
      </c>
      <c r="AJ28" s="22" t="s">
        <v>539</v>
      </c>
      <c r="AK28" s="43"/>
      <c r="AL28" s="43"/>
      <c r="AM28" s="43"/>
      <c r="AN28" s="43"/>
      <c r="AO28" s="43"/>
      <c r="AP28" s="46" t="s">
        <v>540</v>
      </c>
      <c r="AQ28" s="46" t="s">
        <v>541</v>
      </c>
      <c r="AR28" s="43"/>
      <c r="AS28" s="43"/>
      <c r="AT28" s="43"/>
      <c r="AU28" s="43"/>
      <c r="AV28" s="43"/>
      <c r="AW28" s="22" t="s">
        <v>361</v>
      </c>
      <c r="AX28" s="22" t="s">
        <v>539</v>
      </c>
      <c r="AY28" s="43"/>
      <c r="AZ28" s="43"/>
      <c r="BA28" s="43"/>
      <c r="BB28" s="43"/>
      <c r="BC28" s="43"/>
      <c r="BD28" s="43" t="s">
        <v>401</v>
      </c>
      <c r="BE28" s="43"/>
      <c r="BF28" s="22" t="s">
        <v>131</v>
      </c>
      <c r="BG28" s="22" t="s">
        <v>132</v>
      </c>
      <c r="BH28" s="22" t="s">
        <v>132</v>
      </c>
      <c r="BI28" s="22" t="s">
        <v>132</v>
      </c>
      <c r="BJ28" s="43"/>
      <c r="BK28" s="43"/>
      <c r="BL28" s="22">
        <v>4.630205146119E12</v>
      </c>
      <c r="BM28" s="22">
        <v>2.106909808E9</v>
      </c>
      <c r="BN28" s="22" t="s">
        <v>542</v>
      </c>
      <c r="BO28" s="22"/>
      <c r="BP28" s="22" t="s">
        <v>245</v>
      </c>
      <c r="BQ28" s="43"/>
      <c r="BR28" s="43"/>
      <c r="BS28" s="22" t="s">
        <v>543</v>
      </c>
      <c r="BT28" s="43"/>
      <c r="BU28" s="22" t="s">
        <v>544</v>
      </c>
      <c r="BV28" s="43" t="s">
        <v>490</v>
      </c>
      <c r="BW28" s="22" t="s">
        <v>491</v>
      </c>
      <c r="BX28" s="22">
        <v>90.0</v>
      </c>
      <c r="BY28" s="22" t="s">
        <v>210</v>
      </c>
      <c r="BZ28" s="22"/>
      <c r="CA28" s="22" t="s">
        <v>355</v>
      </c>
      <c r="CB28" s="22" t="s">
        <v>307</v>
      </c>
      <c r="CC28" s="45" t="s">
        <v>545</v>
      </c>
      <c r="CD28" s="43"/>
      <c r="CE28" s="43"/>
      <c r="CF28" s="45" t="s">
        <v>546</v>
      </c>
      <c r="CG28" s="43"/>
      <c r="CH28" s="43"/>
      <c r="CI28" s="43"/>
      <c r="CJ28" s="43"/>
      <c r="CK28" s="43"/>
      <c r="CL28" s="43"/>
      <c r="CM28" s="49">
        <f>IFERROR(VLOOKUP(B28,CC!A:D,4,0)," ")</f>
        <v>160</v>
      </c>
      <c r="CN28" s="22" t="s">
        <v>494</v>
      </c>
      <c r="CO28" s="22"/>
      <c r="CP28" s="22" t="s">
        <v>495</v>
      </c>
      <c r="CQ28" s="22">
        <v>60.0</v>
      </c>
      <c r="CR28" s="43"/>
      <c r="CS28" s="22">
        <v>5.0</v>
      </c>
      <c r="CT28" s="22" t="s">
        <v>496</v>
      </c>
      <c r="CU28" s="43"/>
      <c r="CV28" s="43"/>
      <c r="CW28" s="43"/>
      <c r="CX28" s="43"/>
      <c r="CY28" s="43" t="b">
        <v>0</v>
      </c>
      <c r="CZ28" s="43" t="b">
        <v>0</v>
      </c>
      <c r="DA28" s="43" t="b">
        <v>0</v>
      </c>
      <c r="DB28" s="43" t="b">
        <v>0</v>
      </c>
      <c r="DC28" s="43"/>
      <c r="DD28" s="43"/>
      <c r="DE28" s="43"/>
      <c r="DF28" s="43"/>
      <c r="DG28" s="43"/>
      <c r="DH28" s="43"/>
      <c r="DI28" s="43"/>
      <c r="DJ28" s="22">
        <f>IFERROR(VLOOKUP($B28,'Лист4'!$D:$AI,27,0)," ")</f>
        <v>4</v>
      </c>
      <c r="DK28" s="22">
        <f>IFERROR(VLOOKUP($B28,'Лист4'!$D:$AI,28,0)," ")</f>
        <v>7</v>
      </c>
      <c r="DL28" s="22">
        <f>IFERROR(VLOOKUP($B28,'Лист4'!$D:$AI,29,0)," ")</f>
        <v>4</v>
      </c>
      <c r="DM28" s="22">
        <f t="shared" si="1"/>
        <v>112</v>
      </c>
      <c r="DN28" s="22">
        <f>IFERROR(VLOOKUP($B28,'Лист4'!$D:$AI,32,0)," ")</f>
        <v>0.05</v>
      </c>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43"/>
      <c r="ET28" s="43"/>
      <c r="EU28" s="43"/>
      <c r="EV28" s="43"/>
      <c r="EW28" s="43"/>
      <c r="EX28" s="43"/>
      <c r="EY28" s="43"/>
      <c r="EZ28" s="43"/>
      <c r="FA28" s="43"/>
      <c r="FB28" s="43"/>
      <c r="FC28" s="43"/>
      <c r="FD28" s="43"/>
      <c r="FE28" s="43"/>
      <c r="FF28" s="43"/>
      <c r="FG28" s="43"/>
      <c r="FH28" s="43"/>
      <c r="FI28" s="43"/>
    </row>
    <row r="29" ht="18.0" customHeight="1">
      <c r="A29" s="22" t="s">
        <v>116</v>
      </c>
      <c r="B29" s="43" t="s">
        <v>547</v>
      </c>
      <c r="C29" s="22" t="s">
        <v>283</v>
      </c>
      <c r="D29" s="22" t="s">
        <v>187</v>
      </c>
      <c r="E29" s="43" t="s">
        <v>535</v>
      </c>
      <c r="F29" s="22" t="s">
        <v>548</v>
      </c>
      <c r="G29" s="22"/>
      <c r="H29" s="22"/>
      <c r="I29" s="43"/>
      <c r="J29" s="43"/>
      <c r="K29" s="22" t="b">
        <v>1</v>
      </c>
      <c r="L29" s="22" t="b">
        <v>1</v>
      </c>
      <c r="M29" s="22" t="b">
        <v>1</v>
      </c>
      <c r="N29" s="22" t="b">
        <v>0</v>
      </c>
      <c r="O29" s="22" t="b">
        <v>0</v>
      </c>
      <c r="P29" s="22" t="b">
        <v>0</v>
      </c>
      <c r="Q29" s="22" t="b">
        <v>0</v>
      </c>
      <c r="R29" s="43"/>
      <c r="S29" s="43" t="s">
        <v>549</v>
      </c>
      <c r="T29" s="22" t="s">
        <v>547</v>
      </c>
      <c r="U29" s="22" t="s">
        <v>547</v>
      </c>
      <c r="V29" s="22"/>
      <c r="W29" s="43"/>
      <c r="X29" s="43"/>
      <c r="Y29" s="43"/>
      <c r="Z29" s="43"/>
      <c r="AA29" s="22">
        <v>1.8860269E8</v>
      </c>
      <c r="AB29" s="22">
        <v>1.283143901E9</v>
      </c>
      <c r="AC29" s="22"/>
      <c r="AD29" s="22"/>
      <c r="AE29" s="22"/>
      <c r="AF29" s="43"/>
      <c r="AG29" s="43"/>
      <c r="AH29" s="43" t="s">
        <v>548</v>
      </c>
      <c r="AI29" s="22" t="s">
        <v>550</v>
      </c>
      <c r="AJ29" s="22" t="s">
        <v>551</v>
      </c>
      <c r="AK29" s="43"/>
      <c r="AL29" s="43"/>
      <c r="AM29" s="43"/>
      <c r="AN29" s="43"/>
      <c r="AO29" s="43"/>
      <c r="AP29" s="46" t="s">
        <v>552</v>
      </c>
      <c r="AQ29" s="46" t="s">
        <v>553</v>
      </c>
      <c r="AR29" s="43"/>
      <c r="AS29" s="43"/>
      <c r="AT29" s="43"/>
      <c r="AU29" s="43"/>
      <c r="AV29" s="43"/>
      <c r="AW29" s="22" t="s">
        <v>361</v>
      </c>
      <c r="AX29" s="22" t="s">
        <v>551</v>
      </c>
      <c r="AY29" s="43"/>
      <c r="AZ29" s="43"/>
      <c r="BA29" s="43"/>
      <c r="BB29" s="43"/>
      <c r="BC29" s="43"/>
      <c r="BD29" s="43" t="s">
        <v>401</v>
      </c>
      <c r="BE29" s="43"/>
      <c r="BF29" s="22" t="s">
        <v>131</v>
      </c>
      <c r="BG29" s="22" t="s">
        <v>132</v>
      </c>
      <c r="BH29" s="22" t="s">
        <v>132</v>
      </c>
      <c r="BI29" s="22" t="s">
        <v>132</v>
      </c>
      <c r="BJ29" s="43"/>
      <c r="BK29" s="43"/>
      <c r="BL29" s="22">
        <v>4.620153905661E12</v>
      </c>
      <c r="BM29" s="22">
        <v>2.106909808E9</v>
      </c>
      <c r="BN29" s="22" t="s">
        <v>554</v>
      </c>
      <c r="BO29" s="22"/>
      <c r="BP29" s="22" t="s">
        <v>245</v>
      </c>
      <c r="BQ29" s="43"/>
      <c r="BR29" s="43"/>
      <c r="BS29" s="22" t="s">
        <v>555</v>
      </c>
      <c r="BT29" s="43"/>
      <c r="BU29" s="22" t="s">
        <v>556</v>
      </c>
      <c r="BV29" s="43" t="s">
        <v>557</v>
      </c>
      <c r="BW29" s="22" t="s">
        <v>558</v>
      </c>
      <c r="BX29" s="22">
        <v>60.0</v>
      </c>
      <c r="BY29" s="22" t="s">
        <v>492</v>
      </c>
      <c r="BZ29" s="43"/>
      <c r="CA29" s="22" t="s">
        <v>355</v>
      </c>
      <c r="CB29" s="22" t="s">
        <v>307</v>
      </c>
      <c r="CC29" s="45" t="s">
        <v>559</v>
      </c>
      <c r="CD29" s="43"/>
      <c r="CE29" s="43"/>
      <c r="CF29" s="45" t="s">
        <v>560</v>
      </c>
      <c r="CG29" s="43"/>
      <c r="CH29" s="43"/>
      <c r="CI29" s="43"/>
      <c r="CJ29" s="43"/>
      <c r="CK29" s="43"/>
      <c r="CL29" s="43"/>
      <c r="CM29" s="49">
        <f>IFERROR(VLOOKUP(B29,CC!A:D,4,0)," ")</f>
        <v>355.96</v>
      </c>
      <c r="CN29" s="22" t="s">
        <v>561</v>
      </c>
      <c r="CO29" s="22"/>
      <c r="CP29" s="22" t="s">
        <v>562</v>
      </c>
      <c r="CQ29" s="22">
        <v>90.0</v>
      </c>
      <c r="CR29" s="43"/>
      <c r="CS29" s="22">
        <v>10.0</v>
      </c>
      <c r="CT29" s="22" t="s">
        <v>145</v>
      </c>
      <c r="CU29" s="43"/>
      <c r="CV29" s="43"/>
      <c r="CW29" s="43"/>
      <c r="CX29" s="43"/>
      <c r="CY29" s="43" t="b">
        <v>0</v>
      </c>
      <c r="CZ29" s="43" t="b">
        <v>0</v>
      </c>
      <c r="DA29" s="43" t="b">
        <v>0</v>
      </c>
      <c r="DB29" s="43" t="b">
        <v>0</v>
      </c>
      <c r="DC29" s="43"/>
      <c r="DD29" s="43"/>
      <c r="DE29" s="43"/>
      <c r="DF29" s="43"/>
      <c r="DG29" s="43"/>
      <c r="DH29" s="43"/>
      <c r="DI29" s="43"/>
      <c r="DJ29" s="22">
        <f>IFERROR(VLOOKUP($B29,'Лист4'!$D:$AI,27,0)," ")</f>
        <v>4</v>
      </c>
      <c r="DK29" s="22">
        <f>IFERROR(VLOOKUP($B29,'Лист4'!$D:$AI,28,0)," ")</f>
        <v>7</v>
      </c>
      <c r="DL29" s="22">
        <f>IFERROR(VLOOKUP($B29,'Лист4'!$D:$AI,29,0)," ")</f>
        <v>4</v>
      </c>
      <c r="DM29" s="22">
        <f t="shared" si="1"/>
        <v>112</v>
      </c>
      <c r="DN29" s="22">
        <f>IFERROR(VLOOKUP($B29,'Лист4'!$D:$AI,32,0)," ")</f>
        <v>0.05</v>
      </c>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43"/>
      <c r="ET29" s="43"/>
      <c r="EU29" s="43"/>
      <c r="EV29" s="43"/>
      <c r="EW29" s="43"/>
      <c r="EX29" s="43"/>
      <c r="EY29" s="43"/>
      <c r="EZ29" s="43"/>
      <c r="FA29" s="43"/>
      <c r="FB29" s="43"/>
      <c r="FC29" s="43"/>
      <c r="FD29" s="43"/>
      <c r="FE29" s="43"/>
      <c r="FF29" s="43"/>
      <c r="FG29" s="43"/>
      <c r="FH29" s="43"/>
      <c r="FI29" s="43"/>
    </row>
    <row r="30" ht="18.0" customHeight="1">
      <c r="A30" s="22" t="s">
        <v>116</v>
      </c>
      <c r="B30" s="43" t="s">
        <v>563</v>
      </c>
      <c r="C30" s="22" t="s">
        <v>283</v>
      </c>
      <c r="D30" s="22" t="s">
        <v>119</v>
      </c>
      <c r="E30" s="43"/>
      <c r="F30" s="22" t="s">
        <v>564</v>
      </c>
      <c r="G30" s="22" t="s">
        <v>286</v>
      </c>
      <c r="H30" s="22" t="s">
        <v>565</v>
      </c>
      <c r="I30" s="43"/>
      <c r="J30" s="43"/>
      <c r="K30" s="22" t="b">
        <v>1</v>
      </c>
      <c r="L30" s="22" t="b">
        <v>1</v>
      </c>
      <c r="M30" s="22" t="b">
        <v>1</v>
      </c>
      <c r="N30" s="22" t="b">
        <v>1</v>
      </c>
      <c r="O30" s="22" t="b">
        <v>0</v>
      </c>
      <c r="P30" s="22" t="b">
        <v>1</v>
      </c>
      <c r="Q30" s="22" t="b">
        <v>0</v>
      </c>
      <c r="R30" s="43"/>
      <c r="S30" s="43" t="s">
        <v>566</v>
      </c>
      <c r="T30" s="22" t="s">
        <v>563</v>
      </c>
      <c r="U30" s="22" t="s">
        <v>563</v>
      </c>
      <c r="V30" s="22" t="s">
        <v>563</v>
      </c>
      <c r="W30" s="43"/>
      <c r="X30" s="43" t="s">
        <v>563</v>
      </c>
      <c r="Y30" s="43"/>
      <c r="Z30" s="43"/>
      <c r="AA30" s="22">
        <v>5.49551191E8</v>
      </c>
      <c r="AB30" s="22">
        <v>2.921727205E9</v>
      </c>
      <c r="AC30" s="22">
        <v>4.693953993E9</v>
      </c>
      <c r="AD30" s="22"/>
      <c r="AE30" s="22" t="s">
        <v>567</v>
      </c>
      <c r="AF30" s="43"/>
      <c r="AG30" s="43"/>
      <c r="AH30" s="43" t="s">
        <v>564</v>
      </c>
      <c r="AI30" s="22" t="s">
        <v>568</v>
      </c>
      <c r="AJ30" s="22" t="s">
        <v>568</v>
      </c>
      <c r="AK30" s="22" t="s">
        <v>569</v>
      </c>
      <c r="AL30" s="43"/>
      <c r="AM30" s="22" t="s">
        <v>568</v>
      </c>
      <c r="AN30" s="43"/>
      <c r="AO30" s="43"/>
      <c r="AP30" s="46" t="s">
        <v>570</v>
      </c>
      <c r="AQ30" s="46" t="s">
        <v>571</v>
      </c>
      <c r="AR30" s="46" t="s">
        <v>572</v>
      </c>
      <c r="AS30" s="43"/>
      <c r="AT30" s="46" t="s">
        <v>573</v>
      </c>
      <c r="AU30" s="43"/>
      <c r="AV30" s="43"/>
      <c r="AW30" s="22" t="s">
        <v>574</v>
      </c>
      <c r="AX30" s="22" t="s">
        <v>568</v>
      </c>
      <c r="AY30" s="22" t="s">
        <v>575</v>
      </c>
      <c r="AZ30" s="43"/>
      <c r="BA30" s="22" t="s">
        <v>576</v>
      </c>
      <c r="BB30" s="43"/>
      <c r="BC30" s="43"/>
      <c r="BD30" s="43" t="s">
        <v>401</v>
      </c>
      <c r="BE30" s="43" t="s">
        <v>130</v>
      </c>
      <c r="BF30" s="22" t="s">
        <v>131</v>
      </c>
      <c r="BG30" s="22" t="s">
        <v>132</v>
      </c>
      <c r="BH30" s="22" t="s">
        <v>132</v>
      </c>
      <c r="BI30" s="22" t="s">
        <v>132</v>
      </c>
      <c r="BJ30" s="43"/>
      <c r="BK30" s="43"/>
      <c r="BL30" s="22">
        <v>4.670020499243E12</v>
      </c>
      <c r="BM30" s="22"/>
      <c r="BN30" s="22" t="s">
        <v>133</v>
      </c>
      <c r="BO30" s="46" t="s">
        <v>577</v>
      </c>
      <c r="BP30" s="22" t="s">
        <v>303</v>
      </c>
      <c r="BQ30" s="43"/>
      <c r="BR30" s="43"/>
      <c r="BS30" s="22" t="s">
        <v>578</v>
      </c>
      <c r="BT30" s="43"/>
      <c r="BU30" s="22" t="s">
        <v>579</v>
      </c>
      <c r="BV30" s="43"/>
      <c r="BW30" s="22" t="s">
        <v>380</v>
      </c>
      <c r="BX30" s="22">
        <v>80.0</v>
      </c>
      <c r="BY30" s="22" t="s">
        <v>580</v>
      </c>
      <c r="BZ30" s="22"/>
      <c r="CA30" s="22" t="s">
        <v>355</v>
      </c>
      <c r="CB30" s="22" t="s">
        <v>307</v>
      </c>
      <c r="CC30" s="45" t="s">
        <v>581</v>
      </c>
      <c r="CD30" s="43"/>
      <c r="CE30" s="43"/>
      <c r="CF30" s="45"/>
      <c r="CG30" s="43"/>
      <c r="CH30" s="43"/>
      <c r="CI30" s="43"/>
      <c r="CJ30" s="43"/>
      <c r="CK30" s="43"/>
      <c r="CL30" s="43"/>
      <c r="CM30" s="49">
        <f>IFERROR(VLOOKUP(B30,CC!A:D,4,0)," ")</f>
        <v>119</v>
      </c>
      <c r="CN30" s="22" t="s">
        <v>309</v>
      </c>
      <c r="CO30" s="22"/>
      <c r="CP30" s="22" t="s">
        <v>310</v>
      </c>
      <c r="CQ30" s="22"/>
      <c r="CR30" s="43"/>
      <c r="CS30" s="22">
        <v>5.0</v>
      </c>
      <c r="CT30" s="22" t="s">
        <v>145</v>
      </c>
      <c r="CU30" s="43"/>
      <c r="CV30" s="43"/>
      <c r="CW30" s="43"/>
      <c r="CX30" s="43"/>
      <c r="CY30" s="43" t="b">
        <v>0</v>
      </c>
      <c r="CZ30" s="43" t="b">
        <v>0</v>
      </c>
      <c r="DA30" s="43" t="b">
        <v>0</v>
      </c>
      <c r="DB30" s="43" t="b">
        <v>0</v>
      </c>
      <c r="DC30" s="43"/>
      <c r="DD30" s="43"/>
      <c r="DE30" s="43"/>
      <c r="DF30" s="43"/>
      <c r="DG30" s="43"/>
      <c r="DH30" s="43"/>
      <c r="DI30" s="43"/>
      <c r="DJ30" s="22">
        <f>IFERROR(VLOOKUP($B30,'Лист4'!$D:$AI,27,0)," ")</f>
        <v>5</v>
      </c>
      <c r="DK30" s="22">
        <f>IFERROR(VLOOKUP($B30,'Лист4'!$D:$AI,28,0)," ")</f>
        <v>14</v>
      </c>
      <c r="DL30" s="22">
        <f>IFERROR(VLOOKUP($B30,'Лист4'!$D:$AI,29,0)," ")</f>
        <v>5</v>
      </c>
      <c r="DM30" s="22">
        <f t="shared" si="1"/>
        <v>350</v>
      </c>
      <c r="DN30" s="22">
        <f>IFERROR(VLOOKUP($B30,'Лист4'!$D:$AI,32,0)," ")</f>
        <v>0.099</v>
      </c>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43"/>
      <c r="ET30" s="43"/>
      <c r="EU30" s="43"/>
      <c r="EV30" s="43"/>
      <c r="EW30" s="43"/>
      <c r="EX30" s="43"/>
      <c r="EY30" s="43"/>
      <c r="EZ30" s="43"/>
      <c r="FA30" s="43"/>
      <c r="FB30" s="43"/>
      <c r="FC30" s="43"/>
      <c r="FD30" s="43"/>
      <c r="FE30" s="43"/>
      <c r="FF30" s="43"/>
      <c r="FG30" s="43"/>
      <c r="FH30" s="43"/>
      <c r="FI30" s="43"/>
    </row>
    <row r="31" ht="18.0" customHeight="1">
      <c r="A31" s="22" t="s">
        <v>116</v>
      </c>
      <c r="B31" s="43" t="s">
        <v>582</v>
      </c>
      <c r="C31" s="22" t="s">
        <v>283</v>
      </c>
      <c r="D31" s="22" t="s">
        <v>119</v>
      </c>
      <c r="E31" s="43"/>
      <c r="F31" s="22" t="s">
        <v>583</v>
      </c>
      <c r="G31" s="22" t="s">
        <v>286</v>
      </c>
      <c r="H31" s="22" t="s">
        <v>565</v>
      </c>
      <c r="I31" s="43"/>
      <c r="J31" s="43"/>
      <c r="K31" s="22" t="b">
        <v>1</v>
      </c>
      <c r="L31" s="22" t="b">
        <v>1</v>
      </c>
      <c r="M31" s="22" t="b">
        <v>1</v>
      </c>
      <c r="N31" s="22" t="b">
        <v>1</v>
      </c>
      <c r="O31" s="22" t="b">
        <v>0</v>
      </c>
      <c r="P31" s="22" t="b">
        <v>1</v>
      </c>
      <c r="Q31" s="22" t="b">
        <v>1</v>
      </c>
      <c r="R31" s="43"/>
      <c r="S31" s="43" t="s">
        <v>584</v>
      </c>
      <c r="T31" s="22" t="s">
        <v>582</v>
      </c>
      <c r="U31" s="22" t="s">
        <v>582</v>
      </c>
      <c r="V31" s="22" t="s">
        <v>582</v>
      </c>
      <c r="W31" s="43"/>
      <c r="X31" s="43" t="s">
        <v>582</v>
      </c>
      <c r="Y31" s="22" t="s">
        <v>582</v>
      </c>
      <c r="Z31" s="43"/>
      <c r="AA31" s="22">
        <v>5.49611709E8</v>
      </c>
      <c r="AB31" s="22">
        <v>2.921798266E9</v>
      </c>
      <c r="AC31" s="22">
        <v>4.695750936E9</v>
      </c>
      <c r="AD31" s="22"/>
      <c r="AE31" s="22" t="s">
        <v>585</v>
      </c>
      <c r="AF31" s="22" t="s">
        <v>586</v>
      </c>
      <c r="AG31" s="43"/>
      <c r="AH31" s="43" t="s">
        <v>583</v>
      </c>
      <c r="AI31" s="22" t="s">
        <v>587</v>
      </c>
      <c r="AJ31" s="22" t="s">
        <v>587</v>
      </c>
      <c r="AK31" s="22" t="s">
        <v>588</v>
      </c>
      <c r="AL31" s="43"/>
      <c r="AM31" s="22" t="s">
        <v>587</v>
      </c>
      <c r="AN31" s="22" t="s">
        <v>587</v>
      </c>
      <c r="AO31" s="43"/>
      <c r="AP31" s="46" t="s">
        <v>589</v>
      </c>
      <c r="AQ31" s="46" t="s">
        <v>590</v>
      </c>
      <c r="AR31" s="46" t="s">
        <v>591</v>
      </c>
      <c r="AS31" s="43"/>
      <c r="AT31" s="46" t="s">
        <v>592</v>
      </c>
      <c r="AU31" s="46" t="s">
        <v>593</v>
      </c>
      <c r="AV31" s="43"/>
      <c r="AW31" s="22" t="s">
        <v>594</v>
      </c>
      <c r="AX31" s="22" t="s">
        <v>587</v>
      </c>
      <c r="AY31" s="22" t="s">
        <v>595</v>
      </c>
      <c r="AZ31" s="43"/>
      <c r="BA31" s="22" t="s">
        <v>596</v>
      </c>
      <c r="BB31" s="22" t="s">
        <v>597</v>
      </c>
      <c r="BC31" s="22"/>
      <c r="BD31" s="43" t="s">
        <v>301</v>
      </c>
      <c r="BE31" s="43" t="s">
        <v>130</v>
      </c>
      <c r="BF31" s="22" t="s">
        <v>131</v>
      </c>
      <c r="BG31" s="22" t="s">
        <v>132</v>
      </c>
      <c r="BH31" s="22" t="s">
        <v>132</v>
      </c>
      <c r="BI31" s="22" t="s">
        <v>132</v>
      </c>
      <c r="BJ31" s="43"/>
      <c r="BK31" s="43"/>
      <c r="BL31" s="22">
        <v>4.66041742152E12</v>
      </c>
      <c r="BM31" s="22"/>
      <c r="BN31" s="22" t="s">
        <v>133</v>
      </c>
      <c r="BO31" s="46" t="s">
        <v>598</v>
      </c>
      <c r="BP31" s="22" t="s">
        <v>303</v>
      </c>
      <c r="BQ31" s="43"/>
      <c r="BR31" s="43"/>
      <c r="BS31" s="22" t="s">
        <v>599</v>
      </c>
      <c r="BT31" s="43"/>
      <c r="BU31" s="22" t="s">
        <v>600</v>
      </c>
      <c r="BV31" s="43"/>
      <c r="BW31" s="22" t="s">
        <v>601</v>
      </c>
      <c r="BX31" s="22">
        <v>50.0</v>
      </c>
      <c r="BY31" s="22" t="s">
        <v>139</v>
      </c>
      <c r="BZ31" s="22"/>
      <c r="CA31" s="22" t="s">
        <v>332</v>
      </c>
      <c r="CB31" s="22" t="s">
        <v>332</v>
      </c>
      <c r="CC31" s="45" t="s">
        <v>602</v>
      </c>
      <c r="CD31" s="43"/>
      <c r="CE31" s="43"/>
      <c r="CF31" s="45"/>
      <c r="CG31" s="54">
        <v>46071.0</v>
      </c>
      <c r="CH31" s="46" t="s">
        <v>603</v>
      </c>
      <c r="CI31" s="43"/>
      <c r="CJ31" s="43"/>
      <c r="CK31" s="43"/>
      <c r="CL31" s="43"/>
      <c r="CM31" s="49">
        <f>IFERROR(VLOOKUP(B31,CC!A:D,4,0)," ")</f>
        <v>92.82</v>
      </c>
      <c r="CN31" s="22" t="s">
        <v>604</v>
      </c>
      <c r="CO31" s="22"/>
      <c r="CP31" s="22" t="s">
        <v>605</v>
      </c>
      <c r="CQ31" s="22">
        <v>45.0</v>
      </c>
      <c r="CR31" s="43"/>
      <c r="CS31" s="22">
        <v>1.0</v>
      </c>
      <c r="CT31" s="22" t="s">
        <v>145</v>
      </c>
      <c r="CU31" s="43"/>
      <c r="CV31" s="43"/>
      <c r="CW31" s="43"/>
      <c r="CX31" s="43"/>
      <c r="CY31" s="43" t="b">
        <v>0</v>
      </c>
      <c r="CZ31" s="43" t="b">
        <v>0</v>
      </c>
      <c r="DA31" s="43" t="b">
        <v>0</v>
      </c>
      <c r="DB31" s="43" t="b">
        <v>0</v>
      </c>
      <c r="DC31" s="43"/>
      <c r="DD31" s="43"/>
      <c r="DE31" s="43"/>
      <c r="DF31" s="43"/>
      <c r="DG31" s="43"/>
      <c r="DH31" s="43"/>
      <c r="DI31" s="43"/>
      <c r="DJ31" s="22">
        <f>IFERROR(VLOOKUP($B31,'Лист4'!$D:$AI,27,0)," ")</f>
        <v>3</v>
      </c>
      <c r="DK31" s="22">
        <f>IFERROR(VLOOKUP($B31,'Лист4'!$D:$AI,28,0)," ")</f>
        <v>11</v>
      </c>
      <c r="DL31" s="22">
        <f>IFERROR(VLOOKUP($B31,'Лист4'!$D:$AI,29,0)," ")</f>
        <v>3</v>
      </c>
      <c r="DM31" s="22">
        <f t="shared" si="1"/>
        <v>99</v>
      </c>
      <c r="DN31" s="22">
        <f>IFERROR(VLOOKUP($B31,'Лист4'!$D:$AI,32,0)," ")</f>
        <v>0.064</v>
      </c>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43"/>
      <c r="ET31" s="43"/>
      <c r="EU31" s="43"/>
      <c r="EV31" s="43"/>
      <c r="EW31" s="43"/>
      <c r="EX31" s="43"/>
      <c r="EY31" s="43"/>
      <c r="EZ31" s="43"/>
      <c r="FA31" s="43"/>
      <c r="FB31" s="43"/>
      <c r="FC31" s="43"/>
      <c r="FD31" s="43"/>
      <c r="FE31" s="43"/>
      <c r="FF31" s="43"/>
      <c r="FG31" s="43"/>
      <c r="FH31" s="43"/>
      <c r="FI31" s="43"/>
    </row>
    <row r="32" ht="18.0" customHeight="1">
      <c r="A32" s="22" t="s">
        <v>116</v>
      </c>
      <c r="B32" s="43" t="s">
        <v>606</v>
      </c>
      <c r="C32" s="22" t="s">
        <v>283</v>
      </c>
      <c r="D32" s="22" t="s">
        <v>119</v>
      </c>
      <c r="E32" s="43"/>
      <c r="F32" s="22" t="s">
        <v>607</v>
      </c>
      <c r="G32" s="22" t="s">
        <v>361</v>
      </c>
      <c r="H32" s="22" t="s">
        <v>476</v>
      </c>
      <c r="I32" s="43"/>
      <c r="J32" s="43"/>
      <c r="K32" s="22" t="b">
        <v>1</v>
      </c>
      <c r="L32" s="22" t="b">
        <v>1</v>
      </c>
      <c r="M32" s="22" t="b">
        <v>1</v>
      </c>
      <c r="N32" s="22" t="b">
        <v>1</v>
      </c>
      <c r="O32" s="22" t="b">
        <v>0</v>
      </c>
      <c r="P32" s="22" t="b">
        <v>0</v>
      </c>
      <c r="Q32" s="22" t="b">
        <v>0</v>
      </c>
      <c r="R32" s="43"/>
      <c r="S32" s="43" t="s">
        <v>608</v>
      </c>
      <c r="T32" s="22" t="s">
        <v>606</v>
      </c>
      <c r="U32" s="22" t="s">
        <v>606</v>
      </c>
      <c r="V32" s="22" t="s">
        <v>606</v>
      </c>
      <c r="W32" s="43"/>
      <c r="X32" s="43"/>
      <c r="Y32" s="43"/>
      <c r="Z32" s="43"/>
      <c r="AA32" s="22">
        <v>5.59173569E8</v>
      </c>
      <c r="AB32" s="22">
        <v>2.946850815E9</v>
      </c>
      <c r="AC32" s="22">
        <v>4.737110307E9</v>
      </c>
      <c r="AD32" s="22"/>
      <c r="AE32" s="22"/>
      <c r="AF32" s="43"/>
      <c r="AG32" s="43"/>
      <c r="AH32" s="43" t="s">
        <v>607</v>
      </c>
      <c r="AI32" s="22" t="s">
        <v>609</v>
      </c>
      <c r="AJ32" s="22" t="s">
        <v>610</v>
      </c>
      <c r="AK32" s="22" t="s">
        <v>611</v>
      </c>
      <c r="AL32" s="43"/>
      <c r="AM32" s="43"/>
      <c r="AN32" s="43"/>
      <c r="AO32" s="43"/>
      <c r="AP32" s="46" t="s">
        <v>612</v>
      </c>
      <c r="AQ32" s="46" t="s">
        <v>613</v>
      </c>
      <c r="AR32" s="46" t="s">
        <v>614</v>
      </c>
      <c r="AS32" s="43"/>
      <c r="AT32" s="43"/>
      <c r="AU32" s="43"/>
      <c r="AV32" s="43"/>
      <c r="AW32" s="22" t="s">
        <v>361</v>
      </c>
      <c r="AX32" s="22" t="s">
        <v>610</v>
      </c>
      <c r="AY32" s="22" t="s">
        <v>372</v>
      </c>
      <c r="AZ32" s="43"/>
      <c r="BA32" s="43"/>
      <c r="BB32" s="43"/>
      <c r="BC32" s="43"/>
      <c r="BD32" s="43" t="s">
        <v>129</v>
      </c>
      <c r="BE32" s="43" t="s">
        <v>243</v>
      </c>
      <c r="BF32" s="22" t="s">
        <v>131</v>
      </c>
      <c r="BG32" s="22" t="s">
        <v>132</v>
      </c>
      <c r="BH32" s="22" t="s">
        <v>132</v>
      </c>
      <c r="BI32" s="22" t="s">
        <v>132</v>
      </c>
      <c r="BJ32" s="43"/>
      <c r="BK32" s="43"/>
      <c r="BL32" s="22">
        <v>4.63026390638E12</v>
      </c>
      <c r="BM32" s="22"/>
      <c r="BN32" s="22" t="s">
        <v>615</v>
      </c>
      <c r="BO32" s="46" t="s">
        <v>616</v>
      </c>
      <c r="BP32" s="22" t="s">
        <v>245</v>
      </c>
      <c r="BQ32" s="43"/>
      <c r="BR32" s="43"/>
      <c r="BS32" s="22" t="s">
        <v>617</v>
      </c>
      <c r="BT32" s="43"/>
      <c r="BU32" s="22" t="s">
        <v>618</v>
      </c>
      <c r="BV32" s="22" t="s">
        <v>619</v>
      </c>
      <c r="BW32" s="22" t="s">
        <v>620</v>
      </c>
      <c r="BX32" s="22">
        <v>60.0</v>
      </c>
      <c r="BY32" s="22" t="s">
        <v>621</v>
      </c>
      <c r="BZ32" s="22"/>
      <c r="CA32" s="22" t="s">
        <v>355</v>
      </c>
      <c r="CB32" s="22" t="s">
        <v>307</v>
      </c>
      <c r="CC32" s="45" t="s">
        <v>622</v>
      </c>
      <c r="CD32" s="43"/>
      <c r="CE32" s="43"/>
      <c r="CF32" s="45"/>
      <c r="CG32" s="54">
        <v>46043.0</v>
      </c>
      <c r="CH32" s="46" t="s">
        <v>623</v>
      </c>
      <c r="CI32" s="43"/>
      <c r="CJ32" s="43"/>
      <c r="CK32" s="43"/>
      <c r="CL32" s="43"/>
      <c r="CM32" s="49">
        <f>IFERROR(VLOOKUP(B32,CC!A:D,4,0)," ")</f>
        <v>199</v>
      </c>
      <c r="CN32" s="22" t="s">
        <v>624</v>
      </c>
      <c r="CO32" s="22"/>
      <c r="CP32" s="22" t="s">
        <v>625</v>
      </c>
      <c r="CQ32" s="22"/>
      <c r="CR32" s="43"/>
      <c r="CS32" s="22">
        <v>1.0</v>
      </c>
      <c r="CT32" s="22" t="s">
        <v>145</v>
      </c>
      <c r="CU32" s="43"/>
      <c r="CV32" s="43"/>
      <c r="CW32" s="43"/>
      <c r="CX32" s="43"/>
      <c r="CY32" s="43" t="b">
        <v>0</v>
      </c>
      <c r="CZ32" s="43" t="b">
        <v>0</v>
      </c>
      <c r="DA32" s="43" t="b">
        <v>0</v>
      </c>
      <c r="DB32" s="43" t="b">
        <v>0</v>
      </c>
      <c r="DC32" s="43"/>
      <c r="DD32" s="43"/>
      <c r="DE32" s="43"/>
      <c r="DF32" s="43"/>
      <c r="DG32" s="43"/>
      <c r="DH32" s="43"/>
      <c r="DI32" s="43"/>
      <c r="DJ32" s="22">
        <f>IFERROR(VLOOKUP($B32,'Лист4'!$D:$AI,27,0)," ")</f>
        <v>5</v>
      </c>
      <c r="DK32" s="22">
        <f>IFERROR(VLOOKUP($B32,'Лист4'!$D:$AI,28,0)," ")</f>
        <v>11</v>
      </c>
      <c r="DL32" s="22">
        <f>IFERROR(VLOOKUP($B32,'Лист4'!$D:$AI,29,0)," ")</f>
        <v>5</v>
      </c>
      <c r="DM32" s="22">
        <f t="shared" si="1"/>
        <v>275</v>
      </c>
      <c r="DN32" s="22">
        <f>IFERROR(VLOOKUP($B32,'Лист4'!$D:$AI,32,0)," ")</f>
        <v>0.82</v>
      </c>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43"/>
      <c r="ET32" s="43"/>
      <c r="EU32" s="43"/>
      <c r="EV32" s="43"/>
      <c r="EW32" s="43"/>
      <c r="EX32" s="43"/>
      <c r="EY32" s="43"/>
      <c r="EZ32" s="43"/>
      <c r="FA32" s="43"/>
      <c r="FB32" s="43"/>
      <c r="FC32" s="43"/>
      <c r="FD32" s="43"/>
      <c r="FE32" s="43"/>
      <c r="FF32" s="43"/>
      <c r="FG32" s="43"/>
      <c r="FH32" s="43"/>
      <c r="FI32" s="43"/>
    </row>
    <row r="33" ht="18.0" customHeight="1">
      <c r="A33" s="22" t="s">
        <v>116</v>
      </c>
      <c r="B33" s="43" t="s">
        <v>626</v>
      </c>
      <c r="C33" s="22" t="s">
        <v>118</v>
      </c>
      <c r="D33" s="22" t="s">
        <v>119</v>
      </c>
      <c r="E33" s="43"/>
      <c r="F33" s="22" t="s">
        <v>627</v>
      </c>
      <c r="G33" s="22" t="s">
        <v>443</v>
      </c>
      <c r="H33" s="22" t="s">
        <v>444</v>
      </c>
      <c r="I33" s="43"/>
      <c r="J33" s="43"/>
      <c r="K33" s="22" t="b">
        <v>1</v>
      </c>
      <c r="L33" s="22" t="b">
        <v>1</v>
      </c>
      <c r="M33" s="22" t="b">
        <v>1</v>
      </c>
      <c r="N33" s="22" t="b">
        <v>1</v>
      </c>
      <c r="O33" s="22" t="b">
        <v>1</v>
      </c>
      <c r="P33" s="22" t="b">
        <v>1</v>
      </c>
      <c r="Q33" s="22" t="b">
        <v>0</v>
      </c>
      <c r="R33" s="43"/>
      <c r="S33" s="43" t="s">
        <v>628</v>
      </c>
      <c r="T33" s="43" t="s">
        <v>626</v>
      </c>
      <c r="U33" s="43" t="s">
        <v>626</v>
      </c>
      <c r="V33" s="43" t="s">
        <v>626</v>
      </c>
      <c r="W33" s="43" t="s">
        <v>401</v>
      </c>
      <c r="X33" s="43" t="s">
        <v>401</v>
      </c>
      <c r="Y33" s="43"/>
      <c r="Z33" s="43"/>
      <c r="AA33" s="22">
        <v>5.5922502E8</v>
      </c>
      <c r="AB33" s="22">
        <v>1.503121227E9</v>
      </c>
      <c r="AC33" s="22">
        <v>4.7283264E9</v>
      </c>
      <c r="AD33" s="22"/>
      <c r="AE33" s="22"/>
      <c r="AF33" s="43"/>
      <c r="AG33" s="43"/>
      <c r="AH33" s="43" t="s">
        <v>627</v>
      </c>
      <c r="AI33" s="22" t="s">
        <v>463</v>
      </c>
      <c r="AJ33" s="22" t="s">
        <v>629</v>
      </c>
      <c r="AK33" s="22" t="s">
        <v>630</v>
      </c>
      <c r="AL33" s="43"/>
      <c r="AM33" s="43"/>
      <c r="AN33" s="43"/>
      <c r="AO33" s="43"/>
      <c r="AP33" s="46" t="s">
        <v>631</v>
      </c>
      <c r="AQ33" s="46" t="s">
        <v>632</v>
      </c>
      <c r="AR33" s="46" t="s">
        <v>633</v>
      </c>
      <c r="AS33" s="43"/>
      <c r="AT33" s="43"/>
      <c r="AU33" s="43"/>
      <c r="AV33" s="43"/>
      <c r="AW33" s="22" t="s">
        <v>634</v>
      </c>
      <c r="AX33" s="22" t="s">
        <v>629</v>
      </c>
      <c r="AY33" s="22" t="s">
        <v>635</v>
      </c>
      <c r="AZ33" s="43"/>
      <c r="BA33" s="43"/>
      <c r="BB33" s="43"/>
      <c r="BC33" s="43"/>
      <c r="BD33" s="43" t="s">
        <v>129</v>
      </c>
      <c r="BE33" s="43" t="s">
        <v>243</v>
      </c>
      <c r="BF33" s="22" t="s">
        <v>131</v>
      </c>
      <c r="BG33" s="22" t="s">
        <v>132</v>
      </c>
      <c r="BH33" s="22" t="s">
        <v>132</v>
      </c>
      <c r="BI33" s="22" t="s">
        <v>132</v>
      </c>
      <c r="BJ33" s="43"/>
      <c r="BK33" s="43"/>
      <c r="BL33" s="22" t="s">
        <v>636</v>
      </c>
      <c r="BM33" s="22"/>
      <c r="BN33" s="22" t="s">
        <v>133</v>
      </c>
      <c r="BO33" s="46" t="s">
        <v>637</v>
      </c>
      <c r="BP33" s="22" t="s">
        <v>303</v>
      </c>
      <c r="BQ33" s="43"/>
      <c r="BR33" s="43"/>
      <c r="BS33" s="22" t="s">
        <v>638</v>
      </c>
      <c r="BT33" s="43"/>
      <c r="BU33" s="22" t="s">
        <v>469</v>
      </c>
      <c r="BV33" s="43"/>
      <c r="BW33" s="22" t="s">
        <v>470</v>
      </c>
      <c r="BX33" s="22">
        <v>50.0</v>
      </c>
      <c r="BY33" s="22" t="s">
        <v>139</v>
      </c>
      <c r="BZ33" s="22"/>
      <c r="CA33" s="22" t="s">
        <v>355</v>
      </c>
      <c r="CB33" s="22" t="s">
        <v>307</v>
      </c>
      <c r="CC33" s="45" t="s">
        <v>638</v>
      </c>
      <c r="CD33" s="43"/>
      <c r="CE33" s="43"/>
      <c r="CF33" s="45"/>
      <c r="CG33" s="43"/>
      <c r="CH33" s="43"/>
      <c r="CI33" s="43"/>
      <c r="CJ33" s="43"/>
      <c r="CK33" s="43"/>
      <c r="CL33" s="43"/>
      <c r="CM33" s="49">
        <f>IFERROR(VLOOKUP(B33,CC!A:D,4,0)," ")</f>
        <v>185.4</v>
      </c>
      <c r="CN33" s="22" t="s">
        <v>472</v>
      </c>
      <c r="CO33" s="22"/>
      <c r="CP33" s="43"/>
      <c r="CQ33" s="22"/>
      <c r="CR33" s="43"/>
      <c r="CS33" s="22">
        <v>3.0</v>
      </c>
      <c r="CT33" s="22" t="s">
        <v>145</v>
      </c>
      <c r="CU33" s="43"/>
      <c r="CV33" s="43"/>
      <c r="CW33" s="43"/>
      <c r="CX33" s="43"/>
      <c r="CY33" s="43" t="b">
        <v>0</v>
      </c>
      <c r="CZ33" s="43" t="b">
        <v>0</v>
      </c>
      <c r="DA33" s="43" t="b">
        <v>0</v>
      </c>
      <c r="DB33" s="43" t="b">
        <v>0</v>
      </c>
      <c r="DC33" s="43"/>
      <c r="DD33" s="43"/>
      <c r="DE33" s="43"/>
      <c r="DF33" s="43"/>
      <c r="DG33" s="43"/>
      <c r="DH33" s="43"/>
      <c r="DI33" s="43"/>
      <c r="DJ33" s="22">
        <f>IFERROR(VLOOKUP($B33,'Лист4'!$D:$AI,27,0)," ")</f>
        <v>5</v>
      </c>
      <c r="DK33" s="22">
        <f>IFERROR(VLOOKUP($B33,'Лист4'!$D:$AI,28,0)," ")</f>
        <v>11</v>
      </c>
      <c r="DL33" s="22">
        <f>IFERROR(VLOOKUP($B33,'Лист4'!$D:$AI,29,0)," ")</f>
        <v>5</v>
      </c>
      <c r="DM33" s="22">
        <f t="shared" si="1"/>
        <v>275</v>
      </c>
      <c r="DN33" s="22">
        <f>IFERROR(VLOOKUP($B33,'Лист4'!$D:$AI,32,0)," ")</f>
        <v>0.081</v>
      </c>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43"/>
      <c r="ET33" s="43"/>
      <c r="EU33" s="43"/>
      <c r="EV33" s="43"/>
      <c r="EW33" s="43"/>
      <c r="EX33" s="43"/>
      <c r="EY33" s="43"/>
      <c r="EZ33" s="43"/>
      <c r="FA33" s="43"/>
      <c r="FB33" s="43"/>
      <c r="FC33" s="43"/>
      <c r="FD33" s="43"/>
      <c r="FE33" s="43"/>
      <c r="FF33" s="43"/>
      <c r="FG33" s="43"/>
      <c r="FH33" s="43"/>
      <c r="FI33" s="43"/>
    </row>
    <row r="34" ht="18.0" customHeight="1">
      <c r="A34" s="22" t="s">
        <v>116</v>
      </c>
      <c r="B34" s="43" t="s">
        <v>639</v>
      </c>
      <c r="C34" s="22" t="s">
        <v>283</v>
      </c>
      <c r="D34" s="22" t="s">
        <v>119</v>
      </c>
      <c r="E34" s="43" t="s">
        <v>359</v>
      </c>
      <c r="F34" s="22" t="s">
        <v>640</v>
      </c>
      <c r="G34" s="22" t="s">
        <v>361</v>
      </c>
      <c r="H34" s="22" t="s">
        <v>641</v>
      </c>
      <c r="I34" s="43"/>
      <c r="J34" s="43"/>
      <c r="K34" s="22" t="b">
        <v>1</v>
      </c>
      <c r="L34" s="22" t="b">
        <v>1</v>
      </c>
      <c r="M34" s="22" t="b">
        <v>1</v>
      </c>
      <c r="N34" s="22" t="b">
        <v>1</v>
      </c>
      <c r="O34" s="22" t="b">
        <v>0</v>
      </c>
      <c r="P34" s="22" t="b">
        <v>0</v>
      </c>
      <c r="Q34" s="22" t="b">
        <v>0</v>
      </c>
      <c r="R34" s="43"/>
      <c r="S34" s="43" t="s">
        <v>642</v>
      </c>
      <c r="T34" s="22" t="s">
        <v>639</v>
      </c>
      <c r="U34" s="22" t="s">
        <v>639</v>
      </c>
      <c r="V34" s="22" t="s">
        <v>639</v>
      </c>
      <c r="W34" s="43"/>
      <c r="X34" s="43"/>
      <c r="Y34" s="43"/>
      <c r="Z34" s="43"/>
      <c r="AA34" s="22">
        <v>5.6866731E8</v>
      </c>
      <c r="AB34" s="22">
        <v>3.010994519E9</v>
      </c>
      <c r="AC34" s="22">
        <v>4.737198096E9</v>
      </c>
      <c r="AD34" s="22"/>
      <c r="AE34" s="22"/>
      <c r="AF34" s="43"/>
      <c r="AG34" s="43"/>
      <c r="AH34" s="43" t="s">
        <v>640</v>
      </c>
      <c r="AI34" s="22" t="s">
        <v>643</v>
      </c>
      <c r="AJ34" s="22" t="s">
        <v>644</v>
      </c>
      <c r="AK34" s="22" t="s">
        <v>645</v>
      </c>
      <c r="AL34" s="43"/>
      <c r="AM34" s="43"/>
      <c r="AN34" s="43"/>
      <c r="AO34" s="43"/>
      <c r="AP34" s="46" t="s">
        <v>646</v>
      </c>
      <c r="AQ34" s="46" t="s">
        <v>647</v>
      </c>
      <c r="AR34" s="46" t="s">
        <v>648</v>
      </c>
      <c r="AS34" s="43"/>
      <c r="AT34" s="43"/>
      <c r="AU34" s="43"/>
      <c r="AV34" s="43"/>
      <c r="AW34" s="22" t="s">
        <v>649</v>
      </c>
      <c r="AX34" s="22" t="s">
        <v>644</v>
      </c>
      <c r="AY34" s="22" t="s">
        <v>372</v>
      </c>
      <c r="AZ34" s="43"/>
      <c r="BA34" s="43"/>
      <c r="BB34" s="43"/>
      <c r="BC34" s="43"/>
      <c r="BD34" s="43" t="s">
        <v>374</v>
      </c>
      <c r="BE34" s="43" t="s">
        <v>243</v>
      </c>
      <c r="BF34" s="22" t="s">
        <v>131</v>
      </c>
      <c r="BG34" s="22" t="s">
        <v>132</v>
      </c>
      <c r="BH34" s="22" t="s">
        <v>132</v>
      </c>
      <c r="BI34" s="22" t="s">
        <v>132</v>
      </c>
      <c r="BJ34" s="43"/>
      <c r="BK34" s="43"/>
      <c r="BL34" s="22">
        <v>4.657796830517E12</v>
      </c>
      <c r="BM34" s="22">
        <v>2.106909808E9</v>
      </c>
      <c r="BN34" s="22" t="s">
        <v>133</v>
      </c>
      <c r="BO34" s="46" t="s">
        <v>650</v>
      </c>
      <c r="BP34" s="22" t="s">
        <v>303</v>
      </c>
      <c r="BQ34" s="43"/>
      <c r="BR34" s="43"/>
      <c r="BS34" s="22" t="s">
        <v>651</v>
      </c>
      <c r="BT34" s="43"/>
      <c r="BU34" s="22" t="s">
        <v>652</v>
      </c>
      <c r="BV34" s="22" t="s">
        <v>653</v>
      </c>
      <c r="BW34" s="22" t="s">
        <v>654</v>
      </c>
      <c r="BX34" s="22">
        <v>60.0</v>
      </c>
      <c r="BY34" s="22" t="s">
        <v>621</v>
      </c>
      <c r="BZ34" s="22"/>
      <c r="CA34" s="22" t="s">
        <v>355</v>
      </c>
      <c r="CB34" s="22" t="s">
        <v>307</v>
      </c>
      <c r="CC34" s="45" t="s">
        <v>655</v>
      </c>
      <c r="CD34" s="43"/>
      <c r="CE34" s="43"/>
      <c r="CF34" s="45"/>
      <c r="CG34" s="54">
        <v>46058.0</v>
      </c>
      <c r="CH34" s="46" t="s">
        <v>656</v>
      </c>
      <c r="CI34" s="43"/>
      <c r="CJ34" s="43"/>
      <c r="CK34" s="43"/>
      <c r="CL34" s="43"/>
      <c r="CM34" s="49">
        <f>IFERROR(VLOOKUP(B34,CC!A:D,4,0)," ")</f>
        <v>147.33</v>
      </c>
      <c r="CN34" s="22" t="s">
        <v>657</v>
      </c>
      <c r="CO34" s="22"/>
      <c r="CP34" s="22" t="s">
        <v>658</v>
      </c>
      <c r="CQ34" s="22"/>
      <c r="CR34" s="43"/>
      <c r="CS34" s="22">
        <v>10.0</v>
      </c>
      <c r="CT34" s="22" t="s">
        <v>145</v>
      </c>
      <c r="CU34" s="43"/>
      <c r="CV34" s="43"/>
      <c r="CW34" s="43"/>
      <c r="CX34" s="43"/>
      <c r="CY34" s="43" t="b">
        <v>0</v>
      </c>
      <c r="CZ34" s="43" t="b">
        <v>0</v>
      </c>
      <c r="DA34" s="43" t="b">
        <v>0</v>
      </c>
      <c r="DB34" s="43" t="b">
        <v>0</v>
      </c>
      <c r="DC34" s="43"/>
      <c r="DD34" s="43"/>
      <c r="DE34" s="43"/>
      <c r="DF34" s="43"/>
      <c r="DG34" s="43"/>
      <c r="DH34" s="43"/>
      <c r="DI34" s="43"/>
      <c r="DJ34" s="22">
        <f>IFERROR(VLOOKUP($B34,'Лист4'!$D:$AI,27,0)," ")</f>
        <v>5</v>
      </c>
      <c r="DK34" s="22">
        <f>IFERROR(VLOOKUP($B34,'Лист4'!$D:$AI,28,0)," ")</f>
        <v>5</v>
      </c>
      <c r="DL34" s="22">
        <f>IFERROR(VLOOKUP($B34,'Лист4'!$D:$AI,29,0)," ")</f>
        <v>5</v>
      </c>
      <c r="DM34" s="22">
        <f t="shared" si="1"/>
        <v>125</v>
      </c>
      <c r="DN34" s="22">
        <f>IFERROR(VLOOKUP($B34,'Лист4'!$D:$AI,32,0)," ")</f>
        <v>0.05</v>
      </c>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43"/>
      <c r="ET34" s="43"/>
      <c r="EU34" s="43"/>
      <c r="EV34" s="43"/>
      <c r="EW34" s="43"/>
      <c r="EX34" s="43"/>
      <c r="EY34" s="43"/>
      <c r="EZ34" s="43"/>
      <c r="FA34" s="43"/>
      <c r="FB34" s="43"/>
      <c r="FC34" s="43"/>
      <c r="FD34" s="43"/>
      <c r="FE34" s="43"/>
      <c r="FF34" s="43"/>
      <c r="FG34" s="43"/>
      <c r="FH34" s="43"/>
      <c r="FI34" s="43"/>
    </row>
    <row r="35" ht="18.0" customHeight="1">
      <c r="A35" s="22" t="s">
        <v>116</v>
      </c>
      <c r="B35" s="43" t="s">
        <v>659</v>
      </c>
      <c r="C35" s="22" t="s">
        <v>283</v>
      </c>
      <c r="D35" s="22" t="s">
        <v>119</v>
      </c>
      <c r="E35" s="43" t="s">
        <v>660</v>
      </c>
      <c r="F35" s="22" t="s">
        <v>661</v>
      </c>
      <c r="G35" s="22" t="s">
        <v>361</v>
      </c>
      <c r="H35" s="22" t="s">
        <v>662</v>
      </c>
      <c r="I35" s="43"/>
      <c r="J35" s="43"/>
      <c r="K35" s="22" t="b">
        <v>1</v>
      </c>
      <c r="L35" s="22" t="b">
        <v>1</v>
      </c>
      <c r="M35" s="22" t="b">
        <v>1</v>
      </c>
      <c r="N35" s="22" t="b">
        <v>1</v>
      </c>
      <c r="O35" s="22" t="b">
        <v>0</v>
      </c>
      <c r="P35" s="22" t="b">
        <v>0</v>
      </c>
      <c r="Q35" s="22" t="b">
        <v>0</v>
      </c>
      <c r="R35" s="43"/>
      <c r="S35" s="43" t="s">
        <v>663</v>
      </c>
      <c r="T35" s="22" t="s">
        <v>659</v>
      </c>
      <c r="U35" s="22" t="s">
        <v>659</v>
      </c>
      <c r="V35" s="22" t="s">
        <v>659</v>
      </c>
      <c r="W35" s="43"/>
      <c r="X35" s="43"/>
      <c r="Y35" s="43"/>
      <c r="Z35" s="43"/>
      <c r="AA35" s="22">
        <v>5.88937927E8</v>
      </c>
      <c r="AB35" s="22">
        <v>3.044876607E9</v>
      </c>
      <c r="AC35" s="22">
        <v>4.737102558E9</v>
      </c>
      <c r="AD35" s="22"/>
      <c r="AE35" s="22"/>
      <c r="AF35" s="43"/>
      <c r="AG35" s="43"/>
      <c r="AH35" s="43" t="s">
        <v>661</v>
      </c>
      <c r="AI35" s="22" t="s">
        <v>664</v>
      </c>
      <c r="AJ35" s="22" t="s">
        <v>665</v>
      </c>
      <c r="AK35" s="22" t="s">
        <v>665</v>
      </c>
      <c r="AL35" s="43"/>
      <c r="AM35" s="43"/>
      <c r="AN35" s="43"/>
      <c r="AO35" s="43"/>
      <c r="AP35" s="46" t="s">
        <v>666</v>
      </c>
      <c r="AQ35" s="46" t="s">
        <v>667</v>
      </c>
      <c r="AR35" s="46" t="s">
        <v>668</v>
      </c>
      <c r="AS35" s="43"/>
      <c r="AT35" s="43"/>
      <c r="AU35" s="43"/>
      <c r="AV35" s="43"/>
      <c r="AW35" s="22" t="s">
        <v>669</v>
      </c>
      <c r="AX35" s="22" t="s">
        <v>665</v>
      </c>
      <c r="AY35" s="22" t="s">
        <v>670</v>
      </c>
      <c r="AZ35" s="43"/>
      <c r="BA35" s="43"/>
      <c r="BB35" s="43"/>
      <c r="BC35" s="43"/>
      <c r="BD35" s="43" t="s">
        <v>129</v>
      </c>
      <c r="BE35" s="43" t="s">
        <v>243</v>
      </c>
      <c r="BF35" s="22" t="s">
        <v>131</v>
      </c>
      <c r="BG35" s="22" t="s">
        <v>132</v>
      </c>
      <c r="BH35" s="22" t="s">
        <v>132</v>
      </c>
      <c r="BI35" s="22" t="s">
        <v>132</v>
      </c>
      <c r="BJ35" s="43"/>
      <c r="BK35" s="43"/>
      <c r="BL35" s="22">
        <v>4.627102679765E12</v>
      </c>
      <c r="BM35" s="22">
        <v>2.106909808E9</v>
      </c>
      <c r="BN35" s="22" t="s">
        <v>671</v>
      </c>
      <c r="BO35" s="46" t="s">
        <v>672</v>
      </c>
      <c r="BP35" s="22" t="s">
        <v>245</v>
      </c>
      <c r="BQ35" s="43"/>
      <c r="BR35" s="43"/>
      <c r="BS35" s="22" t="s">
        <v>673</v>
      </c>
      <c r="BT35" s="43"/>
      <c r="BU35" s="22" t="s">
        <v>674</v>
      </c>
      <c r="BV35" s="22" t="s">
        <v>675</v>
      </c>
      <c r="BW35" s="22" t="s">
        <v>676</v>
      </c>
      <c r="BX35" s="22">
        <v>120.0</v>
      </c>
      <c r="BY35" s="22" t="s">
        <v>621</v>
      </c>
      <c r="BZ35" s="22"/>
      <c r="CA35" s="22" t="s">
        <v>355</v>
      </c>
      <c r="CB35" s="22" t="s">
        <v>307</v>
      </c>
      <c r="CC35" s="45" t="s">
        <v>677</v>
      </c>
      <c r="CD35" s="43"/>
      <c r="CE35" s="43"/>
      <c r="CF35" s="45"/>
      <c r="CG35" s="43"/>
      <c r="CH35" s="43"/>
      <c r="CI35" s="43"/>
      <c r="CJ35" s="43"/>
      <c r="CK35" s="43"/>
      <c r="CL35" s="43"/>
      <c r="CM35" s="49">
        <f>IFERROR(VLOOKUP(B35,CC!A:D,4,0)," ")</f>
        <v>196.22</v>
      </c>
      <c r="CN35" s="22" t="s">
        <v>678</v>
      </c>
      <c r="CO35" s="22"/>
      <c r="CP35" s="22" t="s">
        <v>679</v>
      </c>
      <c r="CQ35" s="22"/>
      <c r="CR35" s="43"/>
      <c r="CS35" s="22">
        <v>1.0</v>
      </c>
      <c r="CT35" s="22" t="s">
        <v>145</v>
      </c>
      <c r="CU35" s="43"/>
      <c r="CV35" s="43"/>
      <c r="CW35" s="43"/>
      <c r="CX35" s="43"/>
      <c r="CY35" s="43" t="b">
        <v>0</v>
      </c>
      <c r="CZ35" s="43" t="b">
        <v>0</v>
      </c>
      <c r="DA35" s="43" t="b">
        <v>0</v>
      </c>
      <c r="DB35" s="43" t="b">
        <v>0</v>
      </c>
      <c r="DC35" s="43"/>
      <c r="DD35" s="43"/>
      <c r="DE35" s="43"/>
      <c r="DF35" s="43"/>
      <c r="DG35" s="43"/>
      <c r="DH35" s="43"/>
      <c r="DI35" s="43"/>
      <c r="DJ35" s="22">
        <f>IFERROR(VLOOKUP($B35,'Лист4'!$D:$AI,27,0)," ")</f>
        <v>6</v>
      </c>
      <c r="DK35" s="22">
        <f>IFERROR(VLOOKUP($B35,'Лист4'!$D:$AI,28,0)," ")</f>
        <v>11</v>
      </c>
      <c r="DL35" s="22">
        <f>IFERROR(VLOOKUP($B35,'Лист4'!$D:$AI,29,0)," ")</f>
        <v>6</v>
      </c>
      <c r="DM35" s="22">
        <f t="shared" si="1"/>
        <v>396</v>
      </c>
      <c r="DN35" s="22">
        <f>IFERROR(VLOOKUP($B35,'Лист4'!$D:$AI,32,0)," ")</f>
        <v>0.133</v>
      </c>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43"/>
      <c r="ET35" s="43"/>
      <c r="EU35" s="43"/>
      <c r="EV35" s="43"/>
      <c r="EW35" s="43"/>
      <c r="EX35" s="43"/>
      <c r="EY35" s="43"/>
      <c r="EZ35" s="43"/>
      <c r="FA35" s="43"/>
      <c r="FB35" s="43"/>
      <c r="FC35" s="43"/>
      <c r="FD35" s="43"/>
      <c r="FE35" s="43"/>
      <c r="FF35" s="43"/>
      <c r="FG35" s="43"/>
      <c r="FH35" s="43"/>
      <c r="FI35" s="43"/>
    </row>
    <row r="36" ht="18.0" customHeight="1">
      <c r="A36" s="22" t="s">
        <v>116</v>
      </c>
      <c r="B36" s="43" t="s">
        <v>680</v>
      </c>
      <c r="C36" s="22" t="s">
        <v>118</v>
      </c>
      <c r="D36" s="22" t="s">
        <v>119</v>
      </c>
      <c r="E36" s="43"/>
      <c r="F36" s="22" t="s">
        <v>681</v>
      </c>
      <c r="G36" s="22" t="s">
        <v>121</v>
      </c>
      <c r="H36" s="22" t="s">
        <v>682</v>
      </c>
      <c r="I36" s="43"/>
      <c r="J36" s="43"/>
      <c r="K36" s="22" t="b">
        <v>1</v>
      </c>
      <c r="L36" s="22" t="b">
        <v>1</v>
      </c>
      <c r="M36" s="22" t="b">
        <v>1</v>
      </c>
      <c r="N36" s="22" t="b">
        <v>1</v>
      </c>
      <c r="O36" s="22" t="b">
        <v>0</v>
      </c>
      <c r="P36" s="22" t="b">
        <v>0</v>
      </c>
      <c r="Q36" s="22" t="b">
        <v>0</v>
      </c>
      <c r="R36" s="43"/>
      <c r="S36" s="43" t="s">
        <v>683</v>
      </c>
      <c r="T36" s="22" t="s">
        <v>680</v>
      </c>
      <c r="U36" s="22" t="s">
        <v>680</v>
      </c>
      <c r="V36" s="22" t="s">
        <v>680</v>
      </c>
      <c r="W36" s="43"/>
      <c r="X36" s="43"/>
      <c r="Y36" s="43"/>
      <c r="Z36" s="43"/>
      <c r="AA36" s="22">
        <v>6.17717249E8</v>
      </c>
      <c r="AB36" s="22">
        <v>3.106984552E9</v>
      </c>
      <c r="AC36" s="22">
        <v>4.764708144E9</v>
      </c>
      <c r="AD36" s="22"/>
      <c r="AE36" s="22"/>
      <c r="AF36" s="43"/>
      <c r="AG36" s="43"/>
      <c r="AH36" s="43" t="s">
        <v>681</v>
      </c>
      <c r="AI36" s="22" t="s">
        <v>684</v>
      </c>
      <c r="AJ36" s="22" t="s">
        <v>685</v>
      </c>
      <c r="AK36" s="22" t="s">
        <v>686</v>
      </c>
      <c r="AL36" s="43"/>
      <c r="AM36" s="43"/>
      <c r="AN36" s="43"/>
      <c r="AO36" s="43"/>
      <c r="AP36" s="46" t="s">
        <v>687</v>
      </c>
      <c r="AQ36" s="46" t="s">
        <v>688</v>
      </c>
      <c r="AR36" s="46" t="s">
        <v>689</v>
      </c>
      <c r="AS36" s="43"/>
      <c r="AT36" s="43"/>
      <c r="AU36" s="43"/>
      <c r="AV36" s="43"/>
      <c r="AW36" s="22" t="s">
        <v>156</v>
      </c>
      <c r="AX36" s="22" t="s">
        <v>685</v>
      </c>
      <c r="AY36" s="22" t="s">
        <v>221</v>
      </c>
      <c r="AZ36" s="43"/>
      <c r="BA36" s="43"/>
      <c r="BB36" s="43"/>
      <c r="BC36" s="43"/>
      <c r="BD36" s="43" t="s">
        <v>129</v>
      </c>
      <c r="BE36" s="43" t="s">
        <v>243</v>
      </c>
      <c r="BF36" s="22" t="s">
        <v>131</v>
      </c>
      <c r="BG36" s="22" t="s">
        <v>132</v>
      </c>
      <c r="BH36" s="22" t="s">
        <v>132</v>
      </c>
      <c r="BI36" s="22" t="s">
        <v>132</v>
      </c>
      <c r="BJ36" s="43"/>
      <c r="BK36" s="43"/>
      <c r="BL36" s="22">
        <v>4.620290621356E12</v>
      </c>
      <c r="BM36" s="22">
        <v>2.309109E9</v>
      </c>
      <c r="BN36" s="22" t="s">
        <v>690</v>
      </c>
      <c r="BO36" s="46" t="s">
        <v>691</v>
      </c>
      <c r="BP36" s="22" t="s">
        <v>245</v>
      </c>
      <c r="BQ36" s="43"/>
      <c r="BR36" s="43"/>
      <c r="BS36" s="22" t="s">
        <v>692</v>
      </c>
      <c r="BT36" s="43"/>
      <c r="BU36" s="22" t="s">
        <v>693</v>
      </c>
      <c r="BV36" s="43"/>
      <c r="BW36" s="22" t="s">
        <v>694</v>
      </c>
      <c r="BX36" s="22">
        <v>250.0</v>
      </c>
      <c r="BY36" s="22" t="s">
        <v>139</v>
      </c>
      <c r="BZ36" s="22"/>
      <c r="CA36" s="22" t="s">
        <v>140</v>
      </c>
      <c r="CB36" s="22" t="s">
        <v>140</v>
      </c>
      <c r="CC36" s="45" t="s">
        <v>695</v>
      </c>
      <c r="CD36" s="43"/>
      <c r="CE36" s="43"/>
      <c r="CF36" s="45"/>
      <c r="CG36" s="54">
        <v>46044.0</v>
      </c>
      <c r="CH36" s="46" t="s">
        <v>696</v>
      </c>
      <c r="CI36" s="43"/>
      <c r="CJ36" s="43"/>
      <c r="CK36" s="43"/>
      <c r="CL36" s="43"/>
      <c r="CM36" s="49">
        <f>IFERROR(VLOOKUP(B36,CC!A:D,4,0)," ")</f>
        <v>278</v>
      </c>
      <c r="CN36" s="22" t="s">
        <v>250</v>
      </c>
      <c r="CO36" s="22"/>
      <c r="CP36" s="22" t="s">
        <v>251</v>
      </c>
      <c r="CQ36" s="22">
        <v>60.0</v>
      </c>
      <c r="CR36" s="43"/>
      <c r="CS36" s="22">
        <v>2.0</v>
      </c>
      <c r="CT36" s="22" t="s">
        <v>145</v>
      </c>
      <c r="CU36" s="43"/>
      <c r="CV36" s="43"/>
      <c r="CW36" s="43"/>
      <c r="CX36" s="43"/>
      <c r="CY36" s="43" t="b">
        <v>0</v>
      </c>
      <c r="CZ36" s="43" t="b">
        <v>0</v>
      </c>
      <c r="DA36" s="43" t="b">
        <v>0</v>
      </c>
      <c r="DB36" s="43" t="b">
        <v>0</v>
      </c>
      <c r="DC36" s="43"/>
      <c r="DD36" s="43"/>
      <c r="DE36" s="43"/>
      <c r="DF36" s="43"/>
      <c r="DG36" s="43"/>
      <c r="DH36" s="43"/>
      <c r="DI36" s="43"/>
      <c r="DJ36" s="22">
        <f>IFERROR(VLOOKUP($B36,'Лист4'!$D:$AI,27,0)," ")</f>
        <v>7</v>
      </c>
      <c r="DK36" s="22">
        <f>IFERROR(VLOOKUP($B36,'Лист4'!$D:$AI,28,0)," ")</f>
        <v>17</v>
      </c>
      <c r="DL36" s="22">
        <f>IFERROR(VLOOKUP($B36,'Лист4'!$D:$AI,29,0)," ")</f>
        <v>7</v>
      </c>
      <c r="DM36" s="22">
        <f t="shared" si="1"/>
        <v>833</v>
      </c>
      <c r="DN36" s="22">
        <f>IFERROR(VLOOKUP($B36,'Лист4'!$D:$AI,32,0)," ")</f>
        <v>0.236</v>
      </c>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43"/>
      <c r="ET36" s="43"/>
      <c r="EU36" s="43"/>
      <c r="EV36" s="43"/>
      <c r="EW36" s="43"/>
      <c r="EX36" s="43"/>
      <c r="EY36" s="43"/>
      <c r="EZ36" s="43"/>
      <c r="FA36" s="43"/>
      <c r="FB36" s="43"/>
      <c r="FC36" s="43"/>
      <c r="FD36" s="43"/>
      <c r="FE36" s="43"/>
      <c r="FF36" s="43"/>
      <c r="FG36" s="43"/>
      <c r="FH36" s="43"/>
      <c r="FI36" s="43"/>
    </row>
    <row r="37" ht="18.0" customHeight="1">
      <c r="A37" s="22" t="s">
        <v>116</v>
      </c>
      <c r="B37" s="43" t="s">
        <v>697</v>
      </c>
      <c r="C37" s="22" t="s">
        <v>283</v>
      </c>
      <c r="D37" s="22" t="s">
        <v>119</v>
      </c>
      <c r="E37" s="43"/>
      <c r="F37" s="22" t="s">
        <v>698</v>
      </c>
      <c r="G37" s="22" t="s">
        <v>361</v>
      </c>
      <c r="H37" s="22" t="s">
        <v>641</v>
      </c>
      <c r="I37" s="43"/>
      <c r="J37" s="43"/>
      <c r="K37" s="22" t="b">
        <v>1</v>
      </c>
      <c r="L37" s="22" t="b">
        <v>1</v>
      </c>
      <c r="M37" s="22" t="b">
        <v>1</v>
      </c>
      <c r="N37" s="22" t="b">
        <v>1</v>
      </c>
      <c r="O37" s="22" t="b">
        <v>0</v>
      </c>
      <c r="P37" s="22" t="b">
        <v>0</v>
      </c>
      <c r="Q37" s="22" t="b">
        <v>0</v>
      </c>
      <c r="R37" s="43"/>
      <c r="S37" s="43" t="s">
        <v>699</v>
      </c>
      <c r="T37" s="22" t="s">
        <v>697</v>
      </c>
      <c r="U37" s="22" t="s">
        <v>697</v>
      </c>
      <c r="V37" s="22" t="s">
        <v>697</v>
      </c>
      <c r="W37" s="43"/>
      <c r="X37" s="43"/>
      <c r="Y37" s="43"/>
      <c r="Z37" s="43"/>
      <c r="AA37" s="22">
        <v>1.65592674E8</v>
      </c>
      <c r="AB37" s="22">
        <v>3.108027348E9</v>
      </c>
      <c r="AC37" s="22">
        <v>1.02055263406E11</v>
      </c>
      <c r="AD37" s="22"/>
      <c r="AE37" s="22"/>
      <c r="AF37" s="43"/>
      <c r="AG37" s="43"/>
      <c r="AH37" s="43" t="s">
        <v>698</v>
      </c>
      <c r="AI37" s="22" t="s">
        <v>700</v>
      </c>
      <c r="AJ37" s="22" t="s">
        <v>701</v>
      </c>
      <c r="AK37" s="22" t="s">
        <v>702</v>
      </c>
      <c r="AL37" s="43"/>
      <c r="AM37" s="43"/>
      <c r="AN37" s="43"/>
      <c r="AO37" s="43"/>
      <c r="AP37" s="46" t="s">
        <v>703</v>
      </c>
      <c r="AQ37" s="46" t="s">
        <v>704</v>
      </c>
      <c r="AR37" s="46" t="s">
        <v>705</v>
      </c>
      <c r="AS37" s="43"/>
      <c r="AT37" s="43"/>
      <c r="AU37" s="43"/>
      <c r="AV37" s="43"/>
      <c r="AW37" s="22" t="s">
        <v>361</v>
      </c>
      <c r="AX37" s="22" t="s">
        <v>701</v>
      </c>
      <c r="AY37" s="22" t="s">
        <v>372</v>
      </c>
      <c r="AZ37" s="43"/>
      <c r="BA37" s="43"/>
      <c r="BB37" s="43"/>
      <c r="BC37" s="43"/>
      <c r="BD37" s="43" t="s">
        <v>374</v>
      </c>
      <c r="BE37" s="43" t="s">
        <v>243</v>
      </c>
      <c r="BF37" s="22" t="s">
        <v>131</v>
      </c>
      <c r="BG37" s="22" t="s">
        <v>132</v>
      </c>
      <c r="BH37" s="22" t="s">
        <v>132</v>
      </c>
      <c r="BI37" s="22" t="s">
        <v>132</v>
      </c>
      <c r="BJ37" s="43"/>
      <c r="BK37" s="43"/>
      <c r="BL37" s="22" t="s">
        <v>706</v>
      </c>
      <c r="BM37" s="22">
        <v>2.106909808E9</v>
      </c>
      <c r="BN37" s="22" t="s">
        <v>707</v>
      </c>
      <c r="BO37" s="46" t="s">
        <v>708</v>
      </c>
      <c r="BP37" s="22" t="s">
        <v>245</v>
      </c>
      <c r="BQ37" s="43"/>
      <c r="BR37" s="43"/>
      <c r="BS37" s="22" t="s">
        <v>709</v>
      </c>
      <c r="BT37" s="43"/>
      <c r="BU37" s="22" t="s">
        <v>710</v>
      </c>
      <c r="BV37" s="43"/>
      <c r="BW37" s="22" t="s">
        <v>711</v>
      </c>
      <c r="BX37" s="22">
        <v>500.0</v>
      </c>
      <c r="BY37" s="22" t="s">
        <v>139</v>
      </c>
      <c r="BZ37" s="43"/>
      <c r="CA37" s="22" t="s">
        <v>140</v>
      </c>
      <c r="CB37" s="22"/>
      <c r="CC37" s="44" t="s">
        <v>712</v>
      </c>
      <c r="CD37" s="43"/>
      <c r="CE37" s="43"/>
      <c r="CF37" s="45"/>
      <c r="CG37" s="54">
        <v>46062.0</v>
      </c>
      <c r="CH37" s="46" t="s">
        <v>713</v>
      </c>
      <c r="CI37" s="43"/>
      <c r="CJ37" s="43"/>
      <c r="CK37" s="43"/>
      <c r="CL37" s="43"/>
      <c r="CM37" s="49">
        <f>IFERROR(VLOOKUP(B37,CC!A:D,4,0)," ")</f>
        <v>400</v>
      </c>
      <c r="CN37" s="22" t="s">
        <v>494</v>
      </c>
      <c r="CO37" s="22"/>
      <c r="CP37" s="22" t="s">
        <v>495</v>
      </c>
      <c r="CQ37" s="22">
        <v>60.0</v>
      </c>
      <c r="CR37" s="43"/>
      <c r="CS37" s="22">
        <v>5.0</v>
      </c>
      <c r="CT37" s="22" t="s">
        <v>496</v>
      </c>
      <c r="CU37" s="43"/>
      <c r="CV37" s="43"/>
      <c r="CW37" s="43"/>
      <c r="CX37" s="43"/>
      <c r="CY37" s="43" t="b">
        <v>0</v>
      </c>
      <c r="CZ37" s="43" t="b">
        <v>0</v>
      </c>
      <c r="DA37" s="43" t="b">
        <v>0</v>
      </c>
      <c r="DB37" s="43" t="b">
        <v>0</v>
      </c>
      <c r="DC37" s="43"/>
      <c r="DD37" s="43"/>
      <c r="DE37" s="43"/>
      <c r="DF37" s="43"/>
      <c r="DG37" s="43"/>
      <c r="DH37" s="43"/>
      <c r="DI37" s="43"/>
      <c r="DJ37" s="22">
        <f>IFERROR(VLOOKUP($B37,'Лист4'!$D:$AI,27,0)," ")</f>
        <v>6</v>
      </c>
      <c r="DK37" s="22">
        <f>IFERROR(VLOOKUP($B37,'Лист4'!$D:$AI,28,0)," ")</f>
        <v>21</v>
      </c>
      <c r="DL37" s="22">
        <f>IFERROR(VLOOKUP($B37,'Лист4'!$D:$AI,29,0)," ")</f>
        <v>6</v>
      </c>
      <c r="DM37" s="22">
        <f t="shared" si="1"/>
        <v>756</v>
      </c>
      <c r="DN37" s="22">
        <f>IFERROR(VLOOKUP($B37,'Лист4'!$D:$AI,32,0)," ")</f>
        <v>0.576</v>
      </c>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43"/>
      <c r="ET37" s="43"/>
      <c r="EU37" s="43"/>
      <c r="EV37" s="43"/>
      <c r="EW37" s="43"/>
      <c r="EX37" s="43"/>
      <c r="EY37" s="43"/>
      <c r="EZ37" s="43"/>
      <c r="FA37" s="43"/>
      <c r="FB37" s="43"/>
      <c r="FC37" s="43"/>
      <c r="FD37" s="43"/>
      <c r="FE37" s="43"/>
      <c r="FF37" s="43"/>
      <c r="FG37" s="43"/>
      <c r="FH37" s="43"/>
      <c r="FI37" s="43"/>
    </row>
    <row r="38" ht="18.0" customHeight="1">
      <c r="A38" s="22" t="s">
        <v>116</v>
      </c>
      <c r="B38" s="43" t="s">
        <v>714</v>
      </c>
      <c r="C38" s="22" t="s">
        <v>283</v>
      </c>
      <c r="D38" s="22" t="s">
        <v>119</v>
      </c>
      <c r="E38" s="43"/>
      <c r="F38" s="22" t="s">
        <v>715</v>
      </c>
      <c r="G38" s="22" t="s">
        <v>286</v>
      </c>
      <c r="H38" s="22" t="s">
        <v>565</v>
      </c>
      <c r="I38" s="43"/>
      <c r="J38" s="43"/>
      <c r="K38" s="22" t="b">
        <v>1</v>
      </c>
      <c r="L38" s="22" t="b">
        <v>1</v>
      </c>
      <c r="M38" s="22" t="b">
        <v>1</v>
      </c>
      <c r="N38" s="22" t="b">
        <v>1</v>
      </c>
      <c r="O38" s="22" t="b">
        <v>0</v>
      </c>
      <c r="P38" s="22" t="b">
        <v>0</v>
      </c>
      <c r="Q38" s="22" t="b">
        <v>0</v>
      </c>
      <c r="R38" s="43"/>
      <c r="S38" s="43" t="s">
        <v>716</v>
      </c>
      <c r="T38" s="22" t="s">
        <v>714</v>
      </c>
      <c r="U38" s="22" t="s">
        <v>714</v>
      </c>
      <c r="V38" s="55" t="s">
        <v>714</v>
      </c>
      <c r="W38" s="43"/>
      <c r="X38" s="43"/>
      <c r="Y38" s="43"/>
      <c r="Z38" s="43"/>
      <c r="AA38" s="22">
        <v>6.81199239E8</v>
      </c>
      <c r="AB38" s="22">
        <v>3.1909721E9</v>
      </c>
      <c r="AC38" s="22">
        <v>4.824577371E9</v>
      </c>
      <c r="AD38" s="22"/>
      <c r="AE38" s="22"/>
      <c r="AF38" s="43"/>
      <c r="AG38" s="43"/>
      <c r="AH38" s="43" t="s">
        <v>715</v>
      </c>
      <c r="AI38" s="22" t="s">
        <v>717</v>
      </c>
      <c r="AJ38" s="22" t="s">
        <v>717</v>
      </c>
      <c r="AK38" s="22" t="s">
        <v>718</v>
      </c>
      <c r="AL38" s="43"/>
      <c r="AM38" s="43"/>
      <c r="AN38" s="43"/>
      <c r="AO38" s="43"/>
      <c r="AP38" s="46" t="s">
        <v>719</v>
      </c>
      <c r="AQ38" s="46" t="s">
        <v>720</v>
      </c>
      <c r="AR38" s="46" t="s">
        <v>721</v>
      </c>
      <c r="AS38" s="43"/>
      <c r="AT38" s="43"/>
      <c r="AU38" s="43"/>
      <c r="AV38" s="43"/>
      <c r="AW38" s="22" t="s">
        <v>594</v>
      </c>
      <c r="AX38" s="22" t="s">
        <v>717</v>
      </c>
      <c r="AY38" s="22" t="s">
        <v>722</v>
      </c>
      <c r="AZ38" s="43"/>
      <c r="BA38" s="43"/>
      <c r="BB38" s="43"/>
      <c r="BC38" s="43"/>
      <c r="BD38" s="43" t="s">
        <v>301</v>
      </c>
      <c r="BE38" s="43" t="s">
        <v>130</v>
      </c>
      <c r="BF38" s="22" t="s">
        <v>131</v>
      </c>
      <c r="BG38" s="22" t="s">
        <v>132</v>
      </c>
      <c r="BH38" s="22" t="s">
        <v>132</v>
      </c>
      <c r="BI38" s="22" t="s">
        <v>132</v>
      </c>
      <c r="BJ38" s="43"/>
      <c r="BK38" s="43"/>
      <c r="BL38" s="22">
        <v>4.660417421773E12</v>
      </c>
      <c r="BM38" s="22"/>
      <c r="BN38" s="22" t="s">
        <v>133</v>
      </c>
      <c r="BO38" s="46" t="s">
        <v>723</v>
      </c>
      <c r="BP38" s="22" t="s">
        <v>245</v>
      </c>
      <c r="BQ38" s="43"/>
      <c r="BR38" s="43"/>
      <c r="BS38" s="22" t="s">
        <v>724</v>
      </c>
      <c r="BT38" s="43"/>
      <c r="BU38" s="22" t="s">
        <v>725</v>
      </c>
      <c r="BV38" s="43"/>
      <c r="BW38" s="22" t="s">
        <v>601</v>
      </c>
      <c r="BX38" s="22">
        <v>50.0</v>
      </c>
      <c r="BY38" s="22" t="s">
        <v>139</v>
      </c>
      <c r="BZ38" s="43"/>
      <c r="CA38" s="22" t="s">
        <v>726</v>
      </c>
      <c r="CB38" s="22" t="s">
        <v>727</v>
      </c>
      <c r="CC38" s="45" t="s">
        <v>728</v>
      </c>
      <c r="CD38" s="43"/>
      <c r="CE38" s="43"/>
      <c r="CF38" s="45"/>
      <c r="CG38" s="43"/>
      <c r="CH38" s="43"/>
      <c r="CI38" s="43"/>
      <c r="CJ38" s="43"/>
      <c r="CK38" s="43"/>
      <c r="CL38" s="43"/>
      <c r="CM38" s="49">
        <f>IFERROR(VLOOKUP(B38,CC!A:D,4,0)," ")</f>
        <v>130</v>
      </c>
      <c r="CN38" s="22" t="s">
        <v>604</v>
      </c>
      <c r="CO38" s="22"/>
      <c r="CP38" s="22" t="s">
        <v>605</v>
      </c>
      <c r="CQ38" s="22">
        <v>45.0</v>
      </c>
      <c r="CR38" s="43"/>
      <c r="CS38" s="22">
        <v>1.0</v>
      </c>
      <c r="CT38" s="22" t="s">
        <v>145</v>
      </c>
      <c r="CU38" s="43"/>
      <c r="CV38" s="43"/>
      <c r="CW38" s="43"/>
      <c r="CX38" s="43"/>
      <c r="CY38" s="43" t="b">
        <v>0</v>
      </c>
      <c r="CZ38" s="43" t="b">
        <v>0</v>
      </c>
      <c r="DA38" s="43" t="b">
        <v>0</v>
      </c>
      <c r="DB38" s="43" t="b">
        <v>0</v>
      </c>
      <c r="DC38" s="43"/>
      <c r="DD38" s="43"/>
      <c r="DE38" s="43"/>
      <c r="DF38" s="43"/>
      <c r="DG38" s="43"/>
      <c r="DH38" s="43"/>
      <c r="DI38" s="43"/>
      <c r="DJ38" s="22">
        <f>IFERROR(VLOOKUP($B38,'Лист4'!$D:$AI,27,0)," ")</f>
        <v>1</v>
      </c>
      <c r="DK38" s="22">
        <f>IFERROR(VLOOKUP($B38,'Лист4'!$D:$AI,28,0)," ")</f>
        <v>1</v>
      </c>
      <c r="DL38" s="22">
        <f>IFERROR(VLOOKUP($B38,'Лист4'!$D:$AI,29,0)," ")</f>
        <v>1</v>
      </c>
      <c r="DM38" s="22">
        <f t="shared" si="1"/>
        <v>1</v>
      </c>
      <c r="DN38" s="22">
        <f>IFERROR(VLOOKUP($B38,'Лист4'!$D:$AI,32,0)," ")</f>
        <v>1</v>
      </c>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43"/>
      <c r="ET38" s="43"/>
      <c r="EU38" s="43"/>
      <c r="EV38" s="43"/>
      <c r="EW38" s="43"/>
      <c r="EX38" s="43"/>
      <c r="EY38" s="43"/>
      <c r="EZ38" s="43"/>
      <c r="FA38" s="43"/>
      <c r="FB38" s="43"/>
      <c r="FC38" s="43"/>
      <c r="FD38" s="43"/>
      <c r="FE38" s="43"/>
      <c r="FF38" s="43"/>
      <c r="FG38" s="43"/>
      <c r="FH38" s="43"/>
      <c r="FI38" s="43"/>
    </row>
    <row r="39" ht="18.0" customHeight="1">
      <c r="A39" s="22" t="s">
        <v>116</v>
      </c>
      <c r="B39" s="43" t="s">
        <v>729</v>
      </c>
      <c r="C39" s="22" t="s">
        <v>283</v>
      </c>
      <c r="D39" s="22" t="s">
        <v>119</v>
      </c>
      <c r="E39" s="43"/>
      <c r="F39" s="22" t="s">
        <v>730</v>
      </c>
      <c r="G39" s="22" t="s">
        <v>286</v>
      </c>
      <c r="H39" s="22" t="s">
        <v>565</v>
      </c>
      <c r="I39" s="43"/>
      <c r="J39" s="43"/>
      <c r="K39" s="22" t="b">
        <v>1</v>
      </c>
      <c r="L39" s="22" t="b">
        <v>1</v>
      </c>
      <c r="M39" s="22" t="b">
        <v>1</v>
      </c>
      <c r="N39" s="22" t="b">
        <v>1</v>
      </c>
      <c r="O39" s="22" t="b">
        <v>0</v>
      </c>
      <c r="P39" s="22" t="b">
        <v>0</v>
      </c>
      <c r="Q39" s="22" t="b">
        <v>0</v>
      </c>
      <c r="R39" s="43"/>
      <c r="S39" s="43" t="s">
        <v>731</v>
      </c>
      <c r="T39" s="22" t="s">
        <v>729</v>
      </c>
      <c r="U39" s="22" t="s">
        <v>729</v>
      </c>
      <c r="V39" s="55" t="s">
        <v>729</v>
      </c>
      <c r="W39" s="43"/>
      <c r="X39" s="43"/>
      <c r="Y39" s="43"/>
      <c r="Z39" s="43"/>
      <c r="AA39" s="22">
        <v>6.87712933E8</v>
      </c>
      <c r="AB39" s="22">
        <v>3.219081694E9</v>
      </c>
      <c r="AC39" s="22">
        <v>4.842304692E9</v>
      </c>
      <c r="AD39" s="22"/>
      <c r="AE39" s="22"/>
      <c r="AF39" s="43"/>
      <c r="AG39" s="43"/>
      <c r="AH39" s="43" t="s">
        <v>730</v>
      </c>
      <c r="AI39" s="22" t="s">
        <v>732</v>
      </c>
      <c r="AJ39" s="22" t="s">
        <v>732</v>
      </c>
      <c r="AK39" s="22" t="s">
        <v>733</v>
      </c>
      <c r="AL39" s="43"/>
      <c r="AM39" s="43"/>
      <c r="AN39" s="43"/>
      <c r="AO39" s="43"/>
      <c r="AP39" s="46" t="s">
        <v>734</v>
      </c>
      <c r="AQ39" s="46" t="s">
        <v>735</v>
      </c>
      <c r="AR39" s="46" t="s">
        <v>736</v>
      </c>
      <c r="AS39" s="43"/>
      <c r="AT39" s="43"/>
      <c r="AU39" s="43"/>
      <c r="AV39" s="43"/>
      <c r="AW39" s="22" t="s">
        <v>594</v>
      </c>
      <c r="AX39" s="22" t="s">
        <v>732</v>
      </c>
      <c r="AY39" s="22" t="s">
        <v>595</v>
      </c>
      <c r="AZ39" s="43"/>
      <c r="BA39" s="43"/>
      <c r="BB39" s="43"/>
      <c r="BC39" s="43"/>
      <c r="BD39" s="43" t="s">
        <v>301</v>
      </c>
      <c r="BE39" s="43" t="s">
        <v>130</v>
      </c>
      <c r="BF39" s="22" t="s">
        <v>131</v>
      </c>
      <c r="BG39" s="22" t="s">
        <v>132</v>
      </c>
      <c r="BH39" s="22" t="s">
        <v>132</v>
      </c>
      <c r="BI39" s="22" t="s">
        <v>132</v>
      </c>
      <c r="BJ39" s="43"/>
      <c r="BK39" s="43"/>
      <c r="BL39" s="22" t="s">
        <v>737</v>
      </c>
      <c r="BM39" s="22"/>
      <c r="BN39" s="22" t="s">
        <v>133</v>
      </c>
      <c r="BO39" s="22"/>
      <c r="BP39" s="22" t="s">
        <v>245</v>
      </c>
      <c r="BQ39" s="43"/>
      <c r="BR39" s="43"/>
      <c r="BS39" s="22" t="s">
        <v>599</v>
      </c>
      <c r="BT39" s="43"/>
      <c r="BU39" s="22" t="s">
        <v>600</v>
      </c>
      <c r="BV39" s="43"/>
      <c r="BW39" s="22" t="s">
        <v>601</v>
      </c>
      <c r="BX39" s="22">
        <v>50.0</v>
      </c>
      <c r="BY39" s="22" t="s">
        <v>139</v>
      </c>
      <c r="BZ39" s="43"/>
      <c r="CA39" s="22" t="s">
        <v>332</v>
      </c>
      <c r="CB39" s="22" t="s">
        <v>332</v>
      </c>
      <c r="CC39" s="45" t="s">
        <v>738</v>
      </c>
      <c r="CD39" s="43"/>
      <c r="CE39" s="43"/>
      <c r="CF39" s="45"/>
      <c r="CG39" s="54">
        <v>46071.0</v>
      </c>
      <c r="CH39" s="46" t="s">
        <v>739</v>
      </c>
      <c r="CI39" s="43"/>
      <c r="CJ39" s="43"/>
      <c r="CK39" s="43"/>
      <c r="CL39" s="43"/>
      <c r="CM39" s="49">
        <f>IFERROR(VLOOKUP(B39,CC!A:D,4,0)," ")</f>
        <v>99.73</v>
      </c>
      <c r="CN39" s="22" t="s">
        <v>604</v>
      </c>
      <c r="CO39" s="22"/>
      <c r="CP39" s="22" t="s">
        <v>605</v>
      </c>
      <c r="CQ39" s="22">
        <v>45.0</v>
      </c>
      <c r="CR39" s="43"/>
      <c r="CS39" s="22">
        <v>1.0</v>
      </c>
      <c r="CT39" s="22" t="s">
        <v>145</v>
      </c>
      <c r="CU39" s="43"/>
      <c r="CV39" s="43"/>
      <c r="CW39" s="43"/>
      <c r="CX39" s="43"/>
      <c r="CY39" s="43" t="b">
        <v>0</v>
      </c>
      <c r="CZ39" s="43" t="b">
        <v>0</v>
      </c>
      <c r="DA39" s="43" t="b">
        <v>0</v>
      </c>
      <c r="DB39" s="43" t="b">
        <v>0</v>
      </c>
      <c r="DC39" s="43"/>
      <c r="DD39" s="43"/>
      <c r="DE39" s="43"/>
      <c r="DF39" s="43"/>
      <c r="DG39" s="43"/>
      <c r="DH39" s="43"/>
      <c r="DI39" s="43"/>
      <c r="DJ39" s="22">
        <f>IFERROR(VLOOKUP($B39,'Лист4'!$D:$AI,27,0)," ")</f>
        <v>1</v>
      </c>
      <c r="DK39" s="22">
        <f>IFERROR(VLOOKUP($B39,'Лист4'!$D:$AI,28,0)," ")</f>
        <v>1</v>
      </c>
      <c r="DL39" s="22">
        <f>IFERROR(VLOOKUP($B39,'Лист4'!$D:$AI,29,0)," ")</f>
        <v>1</v>
      </c>
      <c r="DM39" s="22">
        <f t="shared" si="1"/>
        <v>1</v>
      </c>
      <c r="DN39" s="22">
        <f>IFERROR(VLOOKUP($B39,'Лист4'!$D:$AI,32,0)," ")</f>
        <v>1</v>
      </c>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43"/>
      <c r="ET39" s="43"/>
      <c r="EU39" s="43"/>
      <c r="EV39" s="43"/>
      <c r="EW39" s="43"/>
      <c r="EX39" s="43"/>
      <c r="EY39" s="43"/>
      <c r="EZ39" s="43"/>
      <c r="FA39" s="43"/>
      <c r="FB39" s="43"/>
      <c r="FC39" s="43"/>
      <c r="FD39" s="43"/>
      <c r="FE39" s="43"/>
      <c r="FF39" s="43"/>
      <c r="FG39" s="43"/>
      <c r="FH39" s="43"/>
      <c r="FI39" s="43"/>
    </row>
    <row r="40" ht="18.0" customHeight="1">
      <c r="A40" s="22" t="s">
        <v>116</v>
      </c>
      <c r="B40" s="43" t="s">
        <v>740</v>
      </c>
      <c r="C40" s="22" t="s">
        <v>283</v>
      </c>
      <c r="D40" s="22" t="s">
        <v>119</v>
      </c>
      <c r="E40" s="43"/>
      <c r="F40" s="22" t="s">
        <v>741</v>
      </c>
      <c r="G40" s="22" t="s">
        <v>286</v>
      </c>
      <c r="H40" s="22" t="s">
        <v>565</v>
      </c>
      <c r="I40" s="43"/>
      <c r="J40" s="43"/>
      <c r="K40" s="22" t="b">
        <v>1</v>
      </c>
      <c r="L40" s="22" t="b">
        <v>1</v>
      </c>
      <c r="M40" s="22" t="b">
        <v>1</v>
      </c>
      <c r="N40" s="22" t="b">
        <v>1</v>
      </c>
      <c r="O40" s="22" t="b">
        <v>0</v>
      </c>
      <c r="P40" s="22" t="b">
        <v>0</v>
      </c>
      <c r="Q40" s="22" t="b">
        <v>0</v>
      </c>
      <c r="R40" s="43"/>
      <c r="S40" s="43" t="s">
        <v>742</v>
      </c>
      <c r="T40" s="22" t="s">
        <v>740</v>
      </c>
      <c r="U40" s="22" t="s">
        <v>740</v>
      </c>
      <c r="V40" s="55" t="s">
        <v>740</v>
      </c>
      <c r="W40" s="43"/>
      <c r="X40" s="43"/>
      <c r="Y40" s="43"/>
      <c r="Z40" s="43"/>
      <c r="AA40" s="22">
        <v>6.92599189E8</v>
      </c>
      <c r="AB40" s="22">
        <v>3.220730122E9</v>
      </c>
      <c r="AC40" s="22">
        <v>4.842314518E9</v>
      </c>
      <c r="AD40" s="22"/>
      <c r="AE40" s="22"/>
      <c r="AF40" s="43"/>
      <c r="AG40" s="43"/>
      <c r="AH40" s="43" t="s">
        <v>741</v>
      </c>
      <c r="AI40" s="22" t="s">
        <v>743</v>
      </c>
      <c r="AJ40" s="22" t="s">
        <v>743</v>
      </c>
      <c r="AK40" s="22" t="s">
        <v>744</v>
      </c>
      <c r="AL40" s="43"/>
      <c r="AM40" s="43"/>
      <c r="AN40" s="43"/>
      <c r="AO40" s="43"/>
      <c r="AP40" s="46" t="s">
        <v>745</v>
      </c>
      <c r="AQ40" s="46" t="s">
        <v>746</v>
      </c>
      <c r="AR40" s="46" t="s">
        <v>747</v>
      </c>
      <c r="AS40" s="43"/>
      <c r="AT40" s="43"/>
      <c r="AU40" s="43"/>
      <c r="AV40" s="43"/>
      <c r="AW40" s="22" t="s">
        <v>594</v>
      </c>
      <c r="AX40" s="22" t="s">
        <v>743</v>
      </c>
      <c r="AY40" s="22" t="s">
        <v>595</v>
      </c>
      <c r="AZ40" s="43"/>
      <c r="BA40" s="43"/>
      <c r="BB40" s="43"/>
      <c r="BC40" s="43"/>
      <c r="BD40" s="43" t="s">
        <v>301</v>
      </c>
      <c r="BE40" s="43" t="s">
        <v>130</v>
      </c>
      <c r="BF40" s="22" t="s">
        <v>131</v>
      </c>
      <c r="BG40" s="22" t="s">
        <v>132</v>
      </c>
      <c r="BH40" s="22" t="s">
        <v>132</v>
      </c>
      <c r="BI40" s="22" t="s">
        <v>132</v>
      </c>
      <c r="BJ40" s="43"/>
      <c r="BK40" s="43"/>
      <c r="BL40" s="22" t="s">
        <v>748</v>
      </c>
      <c r="BM40" s="22"/>
      <c r="BN40" s="22" t="s">
        <v>133</v>
      </c>
      <c r="BO40" s="22"/>
      <c r="BP40" s="22" t="s">
        <v>245</v>
      </c>
      <c r="BQ40" s="43"/>
      <c r="BR40" s="43"/>
      <c r="BS40" s="22" t="s">
        <v>599</v>
      </c>
      <c r="BT40" s="43"/>
      <c r="BU40" s="22" t="s">
        <v>600</v>
      </c>
      <c r="BV40" s="43"/>
      <c r="BW40" s="22" t="s">
        <v>601</v>
      </c>
      <c r="BX40" s="22">
        <v>50.0</v>
      </c>
      <c r="BY40" s="22" t="s">
        <v>139</v>
      </c>
      <c r="BZ40" s="43"/>
      <c r="CA40" s="22" t="s">
        <v>332</v>
      </c>
      <c r="CB40" s="22" t="s">
        <v>332</v>
      </c>
      <c r="CC40" s="45" t="s">
        <v>749</v>
      </c>
      <c r="CD40" s="43"/>
      <c r="CE40" s="43"/>
      <c r="CF40" s="45"/>
      <c r="CG40" s="54">
        <v>46071.0</v>
      </c>
      <c r="CH40" s="22"/>
      <c r="CI40" s="43"/>
      <c r="CJ40" s="43"/>
      <c r="CK40" s="43"/>
      <c r="CL40" s="43"/>
      <c r="CM40" s="49">
        <f>IFERROR(VLOOKUP(B40,CC!A:D,4,0)," ")</f>
        <v>104.83</v>
      </c>
      <c r="CN40" s="22" t="s">
        <v>604</v>
      </c>
      <c r="CO40" s="22"/>
      <c r="CP40" s="22" t="s">
        <v>605</v>
      </c>
      <c r="CQ40" s="22">
        <v>45.0</v>
      </c>
      <c r="CR40" s="43"/>
      <c r="CS40" s="22">
        <v>1.0</v>
      </c>
      <c r="CT40" s="22" t="s">
        <v>145</v>
      </c>
      <c r="CU40" s="43"/>
      <c r="CV40" s="43"/>
      <c r="CW40" s="43"/>
      <c r="CX40" s="43"/>
      <c r="CY40" s="43" t="b">
        <v>0</v>
      </c>
      <c r="CZ40" s="43" t="b">
        <v>0</v>
      </c>
      <c r="DA40" s="43" t="b">
        <v>0</v>
      </c>
      <c r="DB40" s="43" t="b">
        <v>0</v>
      </c>
      <c r="DC40" s="43"/>
      <c r="DD40" s="43"/>
      <c r="DE40" s="43"/>
      <c r="DF40" s="43"/>
      <c r="DG40" s="43"/>
      <c r="DH40" s="43"/>
      <c r="DI40" s="43"/>
      <c r="DJ40" s="22">
        <f>IFERROR(VLOOKUP($B40,'Лист4'!$D:$AI,27,0)," ")</f>
        <v>1</v>
      </c>
      <c r="DK40" s="22">
        <f>IFERROR(VLOOKUP($B40,'Лист4'!$D:$AI,28,0)," ")</f>
        <v>1</v>
      </c>
      <c r="DL40" s="22">
        <f>IFERROR(VLOOKUP($B40,'Лист4'!$D:$AI,29,0)," ")</f>
        <v>1</v>
      </c>
      <c r="DM40" s="22">
        <f t="shared" si="1"/>
        <v>1</v>
      </c>
      <c r="DN40" s="22">
        <f>IFERROR(VLOOKUP($B40,'Лист4'!$D:$AI,32,0)," ")</f>
        <v>1</v>
      </c>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43"/>
      <c r="ET40" s="43"/>
      <c r="EU40" s="43"/>
      <c r="EV40" s="43"/>
      <c r="EW40" s="43"/>
      <c r="EX40" s="43"/>
      <c r="EY40" s="43"/>
      <c r="EZ40" s="43"/>
      <c r="FA40" s="43"/>
      <c r="FB40" s="43"/>
      <c r="FC40" s="43"/>
      <c r="FD40" s="43"/>
      <c r="FE40" s="43"/>
      <c r="FF40" s="43"/>
      <c r="FG40" s="43"/>
      <c r="FH40" s="43"/>
      <c r="FI40" s="43"/>
    </row>
    <row r="41" ht="18.0" customHeight="1">
      <c r="A41" s="22" t="s">
        <v>116</v>
      </c>
      <c r="B41" s="43" t="s">
        <v>750</v>
      </c>
      <c r="C41" s="22" t="s">
        <v>283</v>
      </c>
      <c r="D41" s="22" t="s">
        <v>119</v>
      </c>
      <c r="E41" s="43" t="s">
        <v>751</v>
      </c>
      <c r="F41" s="22" t="s">
        <v>752</v>
      </c>
      <c r="G41" s="22" t="s">
        <v>361</v>
      </c>
      <c r="H41" s="22" t="s">
        <v>476</v>
      </c>
      <c r="I41" s="43"/>
      <c r="J41" s="43"/>
      <c r="K41" s="22" t="b">
        <v>1</v>
      </c>
      <c r="L41" s="22" t="b">
        <v>1</v>
      </c>
      <c r="M41" s="22" t="b">
        <v>1</v>
      </c>
      <c r="N41" s="22" t="b">
        <v>1</v>
      </c>
      <c r="O41" s="22" t="b">
        <v>1</v>
      </c>
      <c r="P41" s="22" t="b">
        <v>0</v>
      </c>
      <c r="Q41" s="22" t="b">
        <v>0</v>
      </c>
      <c r="R41" s="43"/>
      <c r="S41" s="43" t="s">
        <v>753</v>
      </c>
      <c r="T41" s="22" t="s">
        <v>750</v>
      </c>
      <c r="U41" s="22" t="s">
        <v>750</v>
      </c>
      <c r="V41" s="22" t="s">
        <v>750</v>
      </c>
      <c r="W41" s="43" t="s">
        <v>750</v>
      </c>
      <c r="X41" s="43"/>
      <c r="Y41" s="43"/>
      <c r="Z41" s="43"/>
      <c r="AA41" s="22">
        <v>3.11795896E8</v>
      </c>
      <c r="AB41" s="22">
        <v>1.77339413E9</v>
      </c>
      <c r="AC41" s="22">
        <v>1.03665479999E11</v>
      </c>
      <c r="AD41" s="22">
        <v>9.9000117795E10</v>
      </c>
      <c r="AE41" s="22"/>
      <c r="AF41" s="43"/>
      <c r="AG41" s="43"/>
      <c r="AH41" s="43" t="s">
        <v>752</v>
      </c>
      <c r="AI41" s="22" t="s">
        <v>754</v>
      </c>
      <c r="AJ41" s="22" t="s">
        <v>755</v>
      </c>
      <c r="AK41" s="22" t="s">
        <v>756</v>
      </c>
      <c r="AL41" s="22" t="s">
        <v>757</v>
      </c>
      <c r="AM41" s="43"/>
      <c r="AN41" s="43"/>
      <c r="AO41" s="43"/>
      <c r="AP41" s="46" t="s">
        <v>758</v>
      </c>
      <c r="AQ41" s="46" t="s">
        <v>759</v>
      </c>
      <c r="AR41" s="46" t="s">
        <v>760</v>
      </c>
      <c r="AS41" s="46" t="s">
        <v>761</v>
      </c>
      <c r="AT41" s="43"/>
      <c r="AU41" s="43"/>
      <c r="AV41" s="43"/>
      <c r="AW41" s="22" t="s">
        <v>649</v>
      </c>
      <c r="AX41" s="22" t="s">
        <v>755</v>
      </c>
      <c r="AY41" s="22" t="s">
        <v>372</v>
      </c>
      <c r="AZ41" s="22" t="s">
        <v>373</v>
      </c>
      <c r="BA41" s="43"/>
      <c r="BB41" s="43"/>
      <c r="BC41" s="43"/>
      <c r="BD41" s="43" t="s">
        <v>374</v>
      </c>
      <c r="BE41" s="43" t="s">
        <v>243</v>
      </c>
      <c r="BF41" s="22" t="s">
        <v>131</v>
      </c>
      <c r="BG41" s="22" t="s">
        <v>132</v>
      </c>
      <c r="BH41" s="22" t="s">
        <v>132</v>
      </c>
      <c r="BI41" s="22" t="s">
        <v>132</v>
      </c>
      <c r="BJ41" s="43"/>
      <c r="BK41" s="43"/>
      <c r="BL41" s="22">
        <v>4.67022741689E12</v>
      </c>
      <c r="BM41" s="22"/>
      <c r="BN41" s="22" t="s">
        <v>762</v>
      </c>
      <c r="BO41" s="46" t="s">
        <v>763</v>
      </c>
      <c r="BP41" s="22" t="s">
        <v>303</v>
      </c>
      <c r="BQ41" s="43"/>
      <c r="BR41" s="43"/>
      <c r="BS41" s="22" t="s">
        <v>764</v>
      </c>
      <c r="BT41" s="43"/>
      <c r="BU41" s="22" t="s">
        <v>765</v>
      </c>
      <c r="BV41" s="43" t="s">
        <v>766</v>
      </c>
      <c r="BW41" s="22" t="s">
        <v>711</v>
      </c>
      <c r="BX41" s="22">
        <v>60.0</v>
      </c>
      <c r="BY41" s="22" t="s">
        <v>421</v>
      </c>
      <c r="BZ41" s="22"/>
      <c r="CA41" s="22" t="s">
        <v>355</v>
      </c>
      <c r="CB41" s="22" t="s">
        <v>307</v>
      </c>
      <c r="CC41" s="45" t="s">
        <v>767</v>
      </c>
      <c r="CD41" s="43"/>
      <c r="CE41" s="43"/>
      <c r="CF41" s="45"/>
      <c r="CG41" s="43"/>
      <c r="CH41" s="43"/>
      <c r="CI41" s="43"/>
      <c r="CJ41" s="43"/>
      <c r="CK41" s="43"/>
      <c r="CL41" s="43"/>
      <c r="CM41" s="49">
        <f>IFERROR(VLOOKUP(B41,CC!A:D,4,0)," ")</f>
        <v>220</v>
      </c>
      <c r="CN41" s="22" t="s">
        <v>494</v>
      </c>
      <c r="CO41" s="22"/>
      <c r="CP41" s="22" t="s">
        <v>495</v>
      </c>
      <c r="CQ41" s="22">
        <v>60.0</v>
      </c>
      <c r="CR41" s="43"/>
      <c r="CS41" s="22">
        <v>5.0</v>
      </c>
      <c r="CT41" s="22" t="s">
        <v>496</v>
      </c>
      <c r="CU41" s="43"/>
      <c r="CV41" s="43"/>
      <c r="CW41" s="43"/>
      <c r="CX41" s="43"/>
      <c r="CY41" s="43" t="b">
        <v>0</v>
      </c>
      <c r="CZ41" s="43" t="b">
        <v>0</v>
      </c>
      <c r="DA41" s="43" t="b">
        <v>0</v>
      </c>
      <c r="DB41" s="43" t="b">
        <v>0</v>
      </c>
      <c r="DC41" s="43"/>
      <c r="DD41" s="43"/>
      <c r="DE41" s="43"/>
      <c r="DF41" s="43"/>
      <c r="DG41" s="43"/>
      <c r="DH41" s="43"/>
      <c r="DI41" s="43"/>
      <c r="DJ41" s="22">
        <f>IFERROR(VLOOKUP($B41,'Лист4'!$D:$AI,27,0)," ")</f>
        <v>12</v>
      </c>
      <c r="DK41" s="22">
        <f>IFERROR(VLOOKUP($B41,'Лист4'!$D:$AI,28,0)," ")</f>
        <v>6</v>
      </c>
      <c r="DL41" s="22">
        <f>IFERROR(VLOOKUP($B41,'Лист4'!$D:$AI,29,0)," ")</f>
        <v>12</v>
      </c>
      <c r="DM41" s="22">
        <f t="shared" si="1"/>
        <v>864</v>
      </c>
      <c r="DN41" s="22">
        <f>IFERROR(VLOOKUP($B41,'Лист4'!$D:$AI,32,0)," ")</f>
        <v>0.074</v>
      </c>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43"/>
      <c r="ET41" s="43"/>
      <c r="EU41" s="43"/>
      <c r="EV41" s="43"/>
      <c r="EW41" s="43"/>
      <c r="EX41" s="43"/>
      <c r="EY41" s="43"/>
      <c r="EZ41" s="43"/>
      <c r="FA41" s="43"/>
      <c r="FB41" s="43"/>
      <c r="FC41" s="43"/>
      <c r="FD41" s="43"/>
      <c r="FE41" s="43"/>
      <c r="FF41" s="43"/>
      <c r="FG41" s="43"/>
      <c r="FH41" s="43"/>
      <c r="FI41" s="43"/>
    </row>
    <row r="42" ht="18.0" customHeight="1">
      <c r="A42" s="22" t="s">
        <v>116</v>
      </c>
      <c r="B42" s="43" t="s">
        <v>768</v>
      </c>
      <c r="C42" s="22" t="s">
        <v>283</v>
      </c>
      <c r="D42" s="22" t="s">
        <v>119</v>
      </c>
      <c r="E42" s="43"/>
      <c r="F42" s="22" t="s">
        <v>769</v>
      </c>
      <c r="G42" s="22" t="s">
        <v>361</v>
      </c>
      <c r="H42" s="22" t="s">
        <v>476</v>
      </c>
      <c r="I42" s="43"/>
      <c r="J42" s="43"/>
      <c r="K42" s="22" t="b">
        <v>1</v>
      </c>
      <c r="L42" s="22" t="b">
        <v>1</v>
      </c>
      <c r="M42" s="22" t="b">
        <v>1</v>
      </c>
      <c r="N42" s="22" t="b">
        <v>1</v>
      </c>
      <c r="O42" s="22" t="b">
        <v>1</v>
      </c>
      <c r="P42" s="22" t="b">
        <v>0</v>
      </c>
      <c r="Q42" s="22" t="b">
        <v>0</v>
      </c>
      <c r="R42" s="43"/>
      <c r="S42" s="43" t="s">
        <v>770</v>
      </c>
      <c r="T42" s="22" t="s">
        <v>768</v>
      </c>
      <c r="U42" s="22" t="s">
        <v>768</v>
      </c>
      <c r="V42" s="22" t="s">
        <v>768</v>
      </c>
      <c r="W42" s="43" t="s">
        <v>768</v>
      </c>
      <c r="X42" s="43"/>
      <c r="Y42" s="43"/>
      <c r="Z42" s="43"/>
      <c r="AA42" s="22">
        <v>3.02436449E8</v>
      </c>
      <c r="AB42" s="22">
        <v>1.785810392E9</v>
      </c>
      <c r="AC42" s="22">
        <v>1.03689767957E11</v>
      </c>
      <c r="AD42" s="22">
        <v>9.9000117793E10</v>
      </c>
      <c r="AE42" s="22"/>
      <c r="AF42" s="43"/>
      <c r="AG42" s="43"/>
      <c r="AH42" s="43" t="s">
        <v>769</v>
      </c>
      <c r="AI42" s="22" t="s">
        <v>771</v>
      </c>
      <c r="AJ42" s="22" t="s">
        <v>772</v>
      </c>
      <c r="AK42" s="22" t="s">
        <v>773</v>
      </c>
      <c r="AL42" s="22" t="s">
        <v>774</v>
      </c>
      <c r="AM42" s="43"/>
      <c r="AN42" s="43"/>
      <c r="AO42" s="43"/>
      <c r="AP42" s="46" t="s">
        <v>775</v>
      </c>
      <c r="AQ42" s="46" t="s">
        <v>776</v>
      </c>
      <c r="AR42" s="46" t="s">
        <v>777</v>
      </c>
      <c r="AS42" s="43"/>
      <c r="AT42" s="43"/>
      <c r="AU42" s="43"/>
      <c r="AV42" s="43"/>
      <c r="AW42" s="22" t="s">
        <v>649</v>
      </c>
      <c r="AX42" s="22" t="s">
        <v>772</v>
      </c>
      <c r="AY42" s="22" t="s">
        <v>372</v>
      </c>
      <c r="AZ42" s="22" t="s">
        <v>778</v>
      </c>
      <c r="BA42" s="43"/>
      <c r="BB42" s="43"/>
      <c r="BC42" s="43"/>
      <c r="BD42" s="43" t="s">
        <v>129</v>
      </c>
      <c r="BE42" s="43" t="s">
        <v>243</v>
      </c>
      <c r="BF42" s="22" t="s">
        <v>131</v>
      </c>
      <c r="BG42" s="22" t="s">
        <v>132</v>
      </c>
      <c r="BH42" s="22" t="s">
        <v>132</v>
      </c>
      <c r="BI42" s="22" t="s">
        <v>132</v>
      </c>
      <c r="BJ42" s="43"/>
      <c r="BK42" s="43"/>
      <c r="BL42" s="22">
        <v>4.680162842876E12</v>
      </c>
      <c r="BM42" s="22">
        <v>2.914698E9</v>
      </c>
      <c r="BN42" s="22" t="s">
        <v>779</v>
      </c>
      <c r="BO42" s="46" t="s">
        <v>780</v>
      </c>
      <c r="BP42" s="22" t="s">
        <v>303</v>
      </c>
      <c r="BQ42" s="43"/>
      <c r="BR42" s="43"/>
      <c r="BS42" s="22" t="s">
        <v>781</v>
      </c>
      <c r="BT42" s="43"/>
      <c r="BU42" s="22" t="s">
        <v>782</v>
      </c>
      <c r="BV42" s="22" t="s">
        <v>783</v>
      </c>
      <c r="BW42" s="22" t="s">
        <v>784</v>
      </c>
      <c r="BX42" s="22">
        <v>30.0</v>
      </c>
      <c r="BY42" s="22" t="s">
        <v>421</v>
      </c>
      <c r="BZ42" s="22"/>
      <c r="CA42" s="22" t="s">
        <v>355</v>
      </c>
      <c r="CB42" s="22" t="s">
        <v>307</v>
      </c>
      <c r="CC42" s="45" t="s">
        <v>785</v>
      </c>
      <c r="CD42" s="43"/>
      <c r="CE42" s="43"/>
      <c r="CF42" s="45"/>
      <c r="CG42" s="43"/>
      <c r="CH42" s="43"/>
      <c r="CI42" s="43"/>
      <c r="CJ42" s="43"/>
      <c r="CK42" s="43"/>
      <c r="CL42" s="43"/>
      <c r="CM42" s="49">
        <f>IFERROR(VLOOKUP(B42,CC!A:D,4,0)," ")</f>
        <v>490</v>
      </c>
      <c r="CN42" s="22" t="s">
        <v>786</v>
      </c>
      <c r="CO42" s="22"/>
      <c r="CP42" s="22" t="s">
        <v>787</v>
      </c>
      <c r="CQ42" s="22">
        <v>90.0</v>
      </c>
      <c r="CR42" s="43"/>
      <c r="CS42" s="22">
        <v>7.0</v>
      </c>
      <c r="CT42" s="22" t="s">
        <v>145</v>
      </c>
      <c r="CU42" s="43"/>
      <c r="CV42" s="43"/>
      <c r="CW42" s="43"/>
      <c r="CX42" s="43"/>
      <c r="CY42" s="43" t="b">
        <v>0</v>
      </c>
      <c r="CZ42" s="43" t="b">
        <v>0</v>
      </c>
      <c r="DA42" s="43" t="b">
        <v>0</v>
      </c>
      <c r="DB42" s="43" t="b">
        <v>0</v>
      </c>
      <c r="DC42" s="43"/>
      <c r="DD42" s="43"/>
      <c r="DE42" s="43"/>
      <c r="DF42" s="43"/>
      <c r="DG42" s="43"/>
      <c r="DH42" s="43"/>
      <c r="DI42" s="43"/>
      <c r="DJ42" s="22">
        <f>IFERROR(VLOOKUP($B42,'Лист4'!$D:$AI,27,0)," ")</f>
        <v>9</v>
      </c>
      <c r="DK42" s="22">
        <f>IFERROR(VLOOKUP($B42,'Лист4'!$D:$AI,28,0)," ")</f>
        <v>4</v>
      </c>
      <c r="DL42" s="22">
        <f>IFERROR(VLOOKUP($B42,'Лист4'!$D:$AI,29,0)," ")</f>
        <v>9</v>
      </c>
      <c r="DM42" s="22">
        <f t="shared" si="1"/>
        <v>324</v>
      </c>
      <c r="DN42" s="22">
        <f>IFERROR(VLOOKUP($B42,'Лист4'!$D:$AI,32,0)," ")</f>
        <v>0.043</v>
      </c>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43"/>
      <c r="ET42" s="43"/>
      <c r="EU42" s="43"/>
      <c r="EV42" s="43"/>
      <c r="EW42" s="43"/>
      <c r="EX42" s="43"/>
      <c r="EY42" s="43"/>
      <c r="EZ42" s="43"/>
      <c r="FA42" s="43"/>
      <c r="FB42" s="43"/>
      <c r="FC42" s="43"/>
      <c r="FD42" s="43"/>
      <c r="FE42" s="43"/>
      <c r="FF42" s="43"/>
      <c r="FG42" s="43"/>
      <c r="FH42" s="43"/>
      <c r="FI42" s="43"/>
    </row>
    <row r="43" ht="18.0" customHeight="1">
      <c r="A43" s="22" t="s">
        <v>116</v>
      </c>
      <c r="B43" s="43" t="s">
        <v>788</v>
      </c>
      <c r="C43" s="22" t="s">
        <v>283</v>
      </c>
      <c r="D43" s="22" t="s">
        <v>119</v>
      </c>
      <c r="E43" s="43"/>
      <c r="F43" s="22" t="s">
        <v>789</v>
      </c>
      <c r="G43" s="22" t="s">
        <v>361</v>
      </c>
      <c r="H43" s="22" t="s">
        <v>476</v>
      </c>
      <c r="I43" s="43"/>
      <c r="J43" s="43"/>
      <c r="K43" s="22" t="b">
        <v>1</v>
      </c>
      <c r="L43" s="22" t="b">
        <v>1</v>
      </c>
      <c r="M43" s="22" t="b">
        <v>1</v>
      </c>
      <c r="N43" s="22" t="b">
        <v>1</v>
      </c>
      <c r="O43" s="22" t="b">
        <v>0</v>
      </c>
      <c r="P43" s="22" t="b">
        <v>0</v>
      </c>
      <c r="Q43" s="22" t="b">
        <v>0</v>
      </c>
      <c r="R43" s="43"/>
      <c r="S43" s="43" t="s">
        <v>790</v>
      </c>
      <c r="T43" s="22" t="s">
        <v>788</v>
      </c>
      <c r="U43" s="22" t="s">
        <v>788</v>
      </c>
      <c r="V43" s="22" t="s">
        <v>788</v>
      </c>
      <c r="W43" s="43"/>
      <c r="X43" s="43"/>
      <c r="Y43" s="43"/>
      <c r="Z43" s="43"/>
      <c r="AA43" s="22">
        <v>3.37468231E8</v>
      </c>
      <c r="AB43" s="22">
        <v>1.884226546E9</v>
      </c>
      <c r="AC43" s="22">
        <v>1.03812558261E11</v>
      </c>
      <c r="AD43" s="22"/>
      <c r="AE43" s="22"/>
      <c r="AF43" s="43"/>
      <c r="AG43" s="43"/>
      <c r="AH43" s="43" t="s">
        <v>789</v>
      </c>
      <c r="AI43" s="22" t="s">
        <v>791</v>
      </c>
      <c r="AJ43" s="22" t="s">
        <v>792</v>
      </c>
      <c r="AK43" s="22" t="s">
        <v>793</v>
      </c>
      <c r="AL43" s="43"/>
      <c r="AM43" s="43"/>
      <c r="AN43" s="43"/>
      <c r="AO43" s="43"/>
      <c r="AP43" s="46" t="s">
        <v>794</v>
      </c>
      <c r="AQ43" s="46" t="s">
        <v>795</v>
      </c>
      <c r="AR43" s="46" t="s">
        <v>796</v>
      </c>
      <c r="AS43" s="43"/>
      <c r="AT43" s="43"/>
      <c r="AU43" s="43"/>
      <c r="AV43" s="43"/>
      <c r="AW43" s="22" t="s">
        <v>649</v>
      </c>
      <c r="AX43" s="22" t="s">
        <v>792</v>
      </c>
      <c r="AY43" s="22" t="s">
        <v>797</v>
      </c>
      <c r="AZ43" s="43"/>
      <c r="BA43" s="43"/>
      <c r="BB43" s="43"/>
      <c r="BC43" s="43"/>
      <c r="BD43" s="43" t="s">
        <v>374</v>
      </c>
      <c r="BE43" s="43" t="s">
        <v>243</v>
      </c>
      <c r="BF43" s="22" t="s">
        <v>131</v>
      </c>
      <c r="BG43" s="22" t="s">
        <v>132</v>
      </c>
      <c r="BH43" s="22" t="s">
        <v>132</v>
      </c>
      <c r="BI43" s="22" t="s">
        <v>132</v>
      </c>
      <c r="BJ43" s="43"/>
      <c r="BK43" s="43"/>
      <c r="BL43" s="22" t="s">
        <v>798</v>
      </c>
      <c r="BM43" s="22"/>
      <c r="BN43" s="22" t="s">
        <v>799</v>
      </c>
      <c r="BO43" s="46" t="s">
        <v>800</v>
      </c>
      <c r="BP43" s="22" t="s">
        <v>303</v>
      </c>
      <c r="BQ43" s="43"/>
      <c r="BR43" s="43"/>
      <c r="BS43" s="22" t="s">
        <v>801</v>
      </c>
      <c r="BT43" s="43"/>
      <c r="BU43" s="22" t="s">
        <v>802</v>
      </c>
      <c r="BV43" s="22" t="s">
        <v>675</v>
      </c>
      <c r="BW43" s="22" t="s">
        <v>784</v>
      </c>
      <c r="BX43" s="22">
        <v>60.0</v>
      </c>
      <c r="BY43" s="22" t="s">
        <v>421</v>
      </c>
      <c r="BZ43" s="22"/>
      <c r="CA43" s="22" t="s">
        <v>355</v>
      </c>
      <c r="CB43" s="22" t="s">
        <v>307</v>
      </c>
      <c r="CC43" s="45" t="s">
        <v>803</v>
      </c>
      <c r="CD43" s="43"/>
      <c r="CE43" s="43"/>
      <c r="CF43" s="45"/>
      <c r="CG43" s="43"/>
      <c r="CH43" s="43"/>
      <c r="CI43" s="43"/>
      <c r="CJ43" s="43"/>
      <c r="CK43" s="43"/>
      <c r="CL43" s="43"/>
      <c r="CM43" s="49">
        <f>IFERROR(VLOOKUP(B43,CC!A:D,4,0)," ")</f>
        <v>182.97</v>
      </c>
      <c r="CN43" s="22" t="s">
        <v>804</v>
      </c>
      <c r="CO43" s="22"/>
      <c r="CP43" s="22" t="s">
        <v>805</v>
      </c>
      <c r="CQ43" s="22">
        <v>90.0</v>
      </c>
      <c r="CR43" s="43"/>
      <c r="CS43" s="22">
        <v>1.0</v>
      </c>
      <c r="CT43" s="22" t="s">
        <v>145</v>
      </c>
      <c r="CU43" s="43"/>
      <c r="CV43" s="43"/>
      <c r="CW43" s="43"/>
      <c r="CX43" s="43"/>
      <c r="CY43" s="43" t="b">
        <v>0</v>
      </c>
      <c r="CZ43" s="43" t="b">
        <v>0</v>
      </c>
      <c r="DA43" s="43" t="b">
        <v>0</v>
      </c>
      <c r="DB43" s="43" t="b">
        <v>0</v>
      </c>
      <c r="DC43" s="43"/>
      <c r="DD43" s="43"/>
      <c r="DE43" s="43"/>
      <c r="DF43" s="43"/>
      <c r="DG43" s="43"/>
      <c r="DH43" s="43"/>
      <c r="DI43" s="43"/>
      <c r="DJ43" s="22">
        <f>IFERROR(VLOOKUP($B43,'Лист4'!$D:$AI,27,0)," ")</f>
        <v>5</v>
      </c>
      <c r="DK43" s="22">
        <f>IFERROR(VLOOKUP($B43,'Лист4'!$D:$AI,28,0)," ")</f>
        <v>9</v>
      </c>
      <c r="DL43" s="22">
        <f>IFERROR(VLOOKUP($B43,'Лист4'!$D:$AI,29,0)," ")</f>
        <v>5</v>
      </c>
      <c r="DM43" s="22">
        <f t="shared" si="1"/>
        <v>225</v>
      </c>
      <c r="DN43" s="22">
        <f>IFERROR(VLOOKUP($B43,'Лист4'!$D:$AI,32,0)," ")</f>
        <v>0.047</v>
      </c>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43"/>
      <c r="ET43" s="43"/>
      <c r="EU43" s="43"/>
      <c r="EV43" s="43"/>
      <c r="EW43" s="43"/>
      <c r="EX43" s="43"/>
      <c r="EY43" s="43"/>
      <c r="EZ43" s="43"/>
      <c r="FA43" s="43"/>
      <c r="FB43" s="43"/>
      <c r="FC43" s="43"/>
      <c r="FD43" s="43"/>
      <c r="FE43" s="43"/>
      <c r="FF43" s="43"/>
      <c r="FG43" s="43"/>
      <c r="FH43" s="43"/>
      <c r="FI43" s="43"/>
    </row>
    <row r="44" ht="18.0" customHeight="1">
      <c r="A44" s="22" t="s">
        <v>116</v>
      </c>
      <c r="B44" s="43" t="s">
        <v>806</v>
      </c>
      <c r="C44" s="22" t="s">
        <v>283</v>
      </c>
      <c r="D44" s="22" t="s">
        <v>187</v>
      </c>
      <c r="E44" s="43" t="s">
        <v>807</v>
      </c>
      <c r="F44" s="22" t="s">
        <v>808</v>
      </c>
      <c r="G44" s="22" t="s">
        <v>361</v>
      </c>
      <c r="H44" s="22" t="s">
        <v>476</v>
      </c>
      <c r="I44" s="43"/>
      <c r="J44" s="43"/>
      <c r="K44" s="22" t="b">
        <v>1</v>
      </c>
      <c r="L44" s="22" t="b">
        <v>1</v>
      </c>
      <c r="M44" s="22" t="b">
        <v>1</v>
      </c>
      <c r="N44" s="22" t="b">
        <v>1</v>
      </c>
      <c r="O44" s="22" t="b">
        <v>0</v>
      </c>
      <c r="P44" s="22" t="b">
        <v>0</v>
      </c>
      <c r="Q44" s="22" t="b">
        <v>0</v>
      </c>
      <c r="R44" s="43"/>
      <c r="S44" s="43" t="s">
        <v>809</v>
      </c>
      <c r="T44" s="22" t="s">
        <v>806</v>
      </c>
      <c r="U44" s="22" t="s">
        <v>806</v>
      </c>
      <c r="V44" s="22" t="s">
        <v>806</v>
      </c>
      <c r="W44" s="43"/>
      <c r="X44" s="43"/>
      <c r="Y44" s="43"/>
      <c r="Z44" s="43"/>
      <c r="AA44" s="22">
        <v>2.060201E8</v>
      </c>
      <c r="AB44" s="22">
        <v>1.408084489E9</v>
      </c>
      <c r="AC44" s="22"/>
      <c r="AD44" s="22"/>
      <c r="AE44" s="22"/>
      <c r="AF44" s="43"/>
      <c r="AG44" s="43"/>
      <c r="AH44" s="43" t="s">
        <v>808</v>
      </c>
      <c r="AI44" s="22" t="s">
        <v>810</v>
      </c>
      <c r="AJ44" s="22" t="s">
        <v>811</v>
      </c>
      <c r="AK44" s="43"/>
      <c r="AL44" s="43"/>
      <c r="AM44" s="43"/>
      <c r="AN44" s="43"/>
      <c r="AO44" s="43"/>
      <c r="AP44" s="46" t="s">
        <v>812</v>
      </c>
      <c r="AQ44" s="46" t="s">
        <v>813</v>
      </c>
      <c r="AR44" s="43"/>
      <c r="AS44" s="43"/>
      <c r="AT44" s="43"/>
      <c r="AU44" s="43"/>
      <c r="AV44" s="43"/>
      <c r="AW44" s="22" t="s">
        <v>361</v>
      </c>
      <c r="AX44" s="22" t="s">
        <v>811</v>
      </c>
      <c r="AY44" s="43"/>
      <c r="AZ44" s="43"/>
      <c r="BA44" s="43"/>
      <c r="BB44" s="43"/>
      <c r="BC44" s="43"/>
      <c r="BD44" s="43" t="s">
        <v>374</v>
      </c>
      <c r="BE44" s="43" t="s">
        <v>243</v>
      </c>
      <c r="BF44" s="22" t="s">
        <v>131</v>
      </c>
      <c r="BG44" s="22" t="s">
        <v>132</v>
      </c>
      <c r="BH44" s="22" t="s">
        <v>132</v>
      </c>
      <c r="BI44" s="22" t="s">
        <v>132</v>
      </c>
      <c r="BJ44" s="43"/>
      <c r="BK44" s="43"/>
      <c r="BL44" s="22">
        <v>4.620153906576E12</v>
      </c>
      <c r="BM44" s="22">
        <v>2.106909808E9</v>
      </c>
      <c r="BN44" s="22" t="s">
        <v>814</v>
      </c>
      <c r="BO44" s="46" t="s">
        <v>815</v>
      </c>
      <c r="BP44" s="22" t="s">
        <v>245</v>
      </c>
      <c r="BQ44" s="43"/>
      <c r="BR44" s="43"/>
      <c r="BS44" s="22" t="s">
        <v>816</v>
      </c>
      <c r="BT44" s="43"/>
      <c r="BU44" s="22" t="s">
        <v>817</v>
      </c>
      <c r="BV44" s="22" t="s">
        <v>675</v>
      </c>
      <c r="BW44" s="22" t="s">
        <v>784</v>
      </c>
      <c r="BX44" s="22">
        <v>90.0</v>
      </c>
      <c r="BY44" s="22" t="s">
        <v>492</v>
      </c>
      <c r="BZ44" s="43"/>
      <c r="CA44" s="22" t="s">
        <v>355</v>
      </c>
      <c r="CB44" s="22" t="s">
        <v>307</v>
      </c>
      <c r="CC44" s="45" t="s">
        <v>818</v>
      </c>
      <c r="CD44" s="43"/>
      <c r="CE44" s="43"/>
      <c r="CF44" s="45"/>
      <c r="CG44" s="43"/>
      <c r="CH44" s="43"/>
      <c r="CI44" s="43"/>
      <c r="CJ44" s="43"/>
      <c r="CK44" s="43"/>
      <c r="CL44" s="43"/>
      <c r="CM44" s="49">
        <f>IFERROR(VLOOKUP(B44,CC!A:D,4,0)," ")</f>
        <v>220.77</v>
      </c>
      <c r="CN44" s="22" t="s">
        <v>561</v>
      </c>
      <c r="CO44" s="22"/>
      <c r="CP44" s="22" t="s">
        <v>562</v>
      </c>
      <c r="CQ44" s="22">
        <v>90.0</v>
      </c>
      <c r="CR44" s="43"/>
      <c r="CS44" s="22">
        <v>10.0</v>
      </c>
      <c r="CT44" s="22" t="s">
        <v>145</v>
      </c>
      <c r="CU44" s="43"/>
      <c r="CV44" s="43"/>
      <c r="CW44" s="43"/>
      <c r="CX44" s="43"/>
      <c r="CY44" s="43" t="b">
        <v>0</v>
      </c>
      <c r="CZ44" s="43" t="b">
        <v>0</v>
      </c>
      <c r="DA44" s="43" t="b">
        <v>0</v>
      </c>
      <c r="DB44" s="43" t="b">
        <v>0</v>
      </c>
      <c r="DC44" s="43"/>
      <c r="DD44" s="43"/>
      <c r="DE44" s="43"/>
      <c r="DF44" s="43"/>
      <c r="DG44" s="43"/>
      <c r="DH44" s="43"/>
      <c r="DI44" s="43"/>
      <c r="DJ44" s="22">
        <f>IFERROR(VLOOKUP($B44,'Лист4'!$D:$AI,27,0)," ")</f>
        <v>4</v>
      </c>
      <c r="DK44" s="22">
        <f>IFERROR(VLOOKUP($B44,'Лист4'!$D:$AI,28,0)," ")</f>
        <v>9</v>
      </c>
      <c r="DL44" s="22">
        <f>IFERROR(VLOOKUP($B44,'Лист4'!$D:$AI,29,0)," ")</f>
        <v>4</v>
      </c>
      <c r="DM44" s="22">
        <f t="shared" si="1"/>
        <v>144</v>
      </c>
      <c r="DN44" s="22">
        <f>IFERROR(VLOOKUP($B44,'Лист4'!$D:$AI,32,0)," ")</f>
        <v>0.062</v>
      </c>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43"/>
      <c r="ET44" s="43"/>
      <c r="EU44" s="43"/>
      <c r="EV44" s="43"/>
      <c r="EW44" s="43"/>
      <c r="EX44" s="43"/>
      <c r="EY44" s="43"/>
      <c r="EZ44" s="43"/>
      <c r="FA44" s="43"/>
      <c r="FB44" s="43"/>
      <c r="FC44" s="43"/>
      <c r="FD44" s="43"/>
      <c r="FE44" s="43"/>
      <c r="FF44" s="43"/>
      <c r="FG44" s="43"/>
      <c r="FH44" s="43"/>
      <c r="FI44" s="43"/>
    </row>
    <row r="45" ht="18.0" customHeight="1">
      <c r="A45" s="22" t="s">
        <v>116</v>
      </c>
      <c r="B45" s="43" t="s">
        <v>819</v>
      </c>
      <c r="C45" s="22" t="s">
        <v>283</v>
      </c>
      <c r="D45" s="22" t="s">
        <v>119</v>
      </c>
      <c r="E45" s="43" t="s">
        <v>751</v>
      </c>
      <c r="F45" s="22" t="s">
        <v>820</v>
      </c>
      <c r="G45" s="22" t="s">
        <v>361</v>
      </c>
      <c r="H45" s="22" t="s">
        <v>476</v>
      </c>
      <c r="I45" s="43"/>
      <c r="J45" s="43"/>
      <c r="K45" s="22" t="b">
        <v>1</v>
      </c>
      <c r="L45" s="22" t="b">
        <v>1</v>
      </c>
      <c r="M45" s="22" t="b">
        <v>1</v>
      </c>
      <c r="N45" s="22" t="b">
        <v>1</v>
      </c>
      <c r="O45" s="22" t="b">
        <v>1</v>
      </c>
      <c r="P45" s="22" t="b">
        <v>0</v>
      </c>
      <c r="Q45" s="22" t="b">
        <v>0</v>
      </c>
      <c r="R45" s="43"/>
      <c r="S45" s="43" t="s">
        <v>821</v>
      </c>
      <c r="T45" s="22" t="s">
        <v>819</v>
      </c>
      <c r="U45" s="22" t="s">
        <v>819</v>
      </c>
      <c r="V45" s="22" t="s">
        <v>819</v>
      </c>
      <c r="W45" s="43" t="s">
        <v>819</v>
      </c>
      <c r="X45" s="43"/>
      <c r="Y45" s="43"/>
      <c r="Z45" s="43"/>
      <c r="AA45" s="22">
        <v>2.16488606E8</v>
      </c>
      <c r="AB45" s="22">
        <v>1.500211407E9</v>
      </c>
      <c r="AC45" s="22">
        <v>1.03398256606E11</v>
      </c>
      <c r="AD45" s="22">
        <v>9.9000118341E10</v>
      </c>
      <c r="AE45" s="22"/>
      <c r="AF45" s="43"/>
      <c r="AG45" s="43"/>
      <c r="AH45" s="43" t="s">
        <v>820</v>
      </c>
      <c r="AI45" s="22" t="s">
        <v>822</v>
      </c>
      <c r="AJ45" s="22" t="s">
        <v>823</v>
      </c>
      <c r="AK45" s="22" t="s">
        <v>824</v>
      </c>
      <c r="AL45" s="22" t="s">
        <v>825</v>
      </c>
      <c r="AM45" s="43"/>
      <c r="AN45" s="43"/>
      <c r="AO45" s="43"/>
      <c r="AP45" s="46" t="s">
        <v>826</v>
      </c>
      <c r="AQ45" s="46" t="s">
        <v>827</v>
      </c>
      <c r="AR45" s="46" t="s">
        <v>828</v>
      </c>
      <c r="AS45" s="43"/>
      <c r="AT45" s="43"/>
      <c r="AU45" s="43"/>
      <c r="AV45" s="43"/>
      <c r="AW45" s="22" t="s">
        <v>361</v>
      </c>
      <c r="AX45" s="22" t="s">
        <v>823</v>
      </c>
      <c r="AY45" s="22" t="s">
        <v>372</v>
      </c>
      <c r="AZ45" s="22" t="s">
        <v>778</v>
      </c>
      <c r="BA45" s="43"/>
      <c r="BB45" s="43"/>
      <c r="BC45" s="43"/>
      <c r="BD45" s="43" t="s">
        <v>374</v>
      </c>
      <c r="BE45" s="43" t="s">
        <v>243</v>
      </c>
      <c r="BF45" s="22" t="s">
        <v>131</v>
      </c>
      <c r="BG45" s="22" t="s">
        <v>132</v>
      </c>
      <c r="BH45" s="22" t="s">
        <v>132</v>
      </c>
      <c r="BI45" s="22" t="s">
        <v>132</v>
      </c>
      <c r="BJ45" s="43"/>
      <c r="BK45" s="43"/>
      <c r="BL45" s="22">
        <v>4.680162842333E12</v>
      </c>
      <c r="BM45" s="22">
        <v>2.106909808E9</v>
      </c>
      <c r="BN45" s="22" t="s">
        <v>829</v>
      </c>
      <c r="BO45" s="46" t="s">
        <v>830</v>
      </c>
      <c r="BP45" s="22" t="s">
        <v>245</v>
      </c>
      <c r="BQ45" s="43"/>
      <c r="BR45" s="43"/>
      <c r="BS45" s="22" t="s">
        <v>831</v>
      </c>
      <c r="BT45" s="43"/>
      <c r="BU45" s="22" t="s">
        <v>832</v>
      </c>
      <c r="BV45" s="22" t="s">
        <v>675</v>
      </c>
      <c r="BW45" s="22" t="s">
        <v>784</v>
      </c>
      <c r="BX45" s="22">
        <v>60.0</v>
      </c>
      <c r="BY45" s="22" t="s">
        <v>492</v>
      </c>
      <c r="BZ45" s="43"/>
      <c r="CA45" s="22" t="s">
        <v>355</v>
      </c>
      <c r="CB45" s="22" t="s">
        <v>307</v>
      </c>
      <c r="CC45" s="45" t="s">
        <v>833</v>
      </c>
      <c r="CD45" s="43"/>
      <c r="CE45" s="43"/>
      <c r="CF45" s="45"/>
      <c r="CG45" s="43"/>
      <c r="CH45" s="43"/>
      <c r="CI45" s="43"/>
      <c r="CJ45" s="43"/>
      <c r="CK45" s="43"/>
      <c r="CL45" s="43"/>
      <c r="CM45" s="49">
        <f>IFERROR(VLOOKUP(B45,CC!A:D,4,0)," ")</f>
        <v>250</v>
      </c>
      <c r="CN45" s="22" t="s">
        <v>786</v>
      </c>
      <c r="CO45" s="22"/>
      <c r="CP45" s="22" t="s">
        <v>787</v>
      </c>
      <c r="CQ45" s="22">
        <v>90.0</v>
      </c>
      <c r="CR45" s="43"/>
      <c r="CS45" s="22">
        <v>7.0</v>
      </c>
      <c r="CT45" s="22" t="s">
        <v>145</v>
      </c>
      <c r="CU45" s="43"/>
      <c r="CV45" s="43"/>
      <c r="CW45" s="43"/>
      <c r="CX45" s="43"/>
      <c r="CY45" s="43" t="b">
        <v>0</v>
      </c>
      <c r="CZ45" s="43" t="b">
        <v>0</v>
      </c>
      <c r="DA45" s="43" t="b">
        <v>0</v>
      </c>
      <c r="DB45" s="43" t="b">
        <v>0</v>
      </c>
      <c r="DC45" s="43"/>
      <c r="DD45" s="43"/>
      <c r="DE45" s="43"/>
      <c r="DF45" s="43"/>
      <c r="DG45" s="43"/>
      <c r="DH45" s="43"/>
      <c r="DI45" s="43"/>
      <c r="DJ45" s="22">
        <f>IFERROR(VLOOKUP($B45,'Лист4'!$D:$AI,27,0)," ")</f>
        <v>5</v>
      </c>
      <c r="DK45" s="22">
        <f>IFERROR(VLOOKUP($B45,'Лист4'!$D:$AI,28,0)," ")</f>
        <v>9</v>
      </c>
      <c r="DL45" s="22">
        <f>IFERROR(VLOOKUP($B45,'Лист4'!$D:$AI,29,0)," ")</f>
        <v>5</v>
      </c>
      <c r="DM45" s="22">
        <f t="shared" si="1"/>
        <v>225</v>
      </c>
      <c r="DN45" s="22">
        <f>IFERROR(VLOOKUP($B45,'Лист4'!$D:$AI,32,0)," ")</f>
        <v>0.062</v>
      </c>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43"/>
      <c r="ET45" s="43"/>
      <c r="EU45" s="43"/>
      <c r="EV45" s="43"/>
      <c r="EW45" s="43"/>
      <c r="EX45" s="43"/>
      <c r="EY45" s="43"/>
      <c r="EZ45" s="43"/>
      <c r="FA45" s="43"/>
      <c r="FB45" s="43"/>
      <c r="FC45" s="43"/>
      <c r="FD45" s="43"/>
      <c r="FE45" s="43"/>
      <c r="FF45" s="43"/>
      <c r="FG45" s="43"/>
      <c r="FH45" s="43"/>
      <c r="FI45" s="43"/>
    </row>
    <row r="46" ht="18.0" customHeight="1">
      <c r="A46" s="22" t="s">
        <v>116</v>
      </c>
      <c r="B46" s="43" t="s">
        <v>834</v>
      </c>
      <c r="C46" s="22" t="s">
        <v>283</v>
      </c>
      <c r="D46" s="22" t="s">
        <v>119</v>
      </c>
      <c r="E46" s="43" t="s">
        <v>835</v>
      </c>
      <c r="F46" s="22" t="s">
        <v>836</v>
      </c>
      <c r="G46" s="22" t="s">
        <v>361</v>
      </c>
      <c r="H46" s="22" t="s">
        <v>476</v>
      </c>
      <c r="I46" s="43"/>
      <c r="J46" s="43"/>
      <c r="K46" s="22" t="b">
        <v>1</v>
      </c>
      <c r="L46" s="22" t="b">
        <v>1</v>
      </c>
      <c r="M46" s="22" t="b">
        <v>1</v>
      </c>
      <c r="N46" s="22" t="b">
        <v>1</v>
      </c>
      <c r="O46" s="22" t="b">
        <v>0</v>
      </c>
      <c r="P46" s="22" t="b">
        <v>0</v>
      </c>
      <c r="Q46" s="22" t="b">
        <v>0</v>
      </c>
      <c r="R46" s="43"/>
      <c r="S46" s="43" t="s">
        <v>837</v>
      </c>
      <c r="T46" s="22" t="s">
        <v>834</v>
      </c>
      <c r="U46" s="22" t="s">
        <v>834</v>
      </c>
      <c r="V46" s="22" t="s">
        <v>834</v>
      </c>
      <c r="W46" s="43"/>
      <c r="X46" s="43"/>
      <c r="Y46" s="43"/>
      <c r="Z46" s="43"/>
      <c r="AA46" s="22">
        <v>9.1969061E7</v>
      </c>
      <c r="AB46" s="22">
        <v>6.50452213E8</v>
      </c>
      <c r="AC46" s="22">
        <v>1.0180512067E11</v>
      </c>
      <c r="AD46" s="22"/>
      <c r="AE46" s="22"/>
      <c r="AF46" s="43"/>
      <c r="AG46" s="43"/>
      <c r="AH46" s="43" t="s">
        <v>836</v>
      </c>
      <c r="AI46" s="22" t="s">
        <v>838</v>
      </c>
      <c r="AJ46" s="22" t="s">
        <v>839</v>
      </c>
      <c r="AK46" s="22" t="s">
        <v>840</v>
      </c>
      <c r="AL46" s="43"/>
      <c r="AM46" s="43"/>
      <c r="AN46" s="43"/>
      <c r="AO46" s="43"/>
      <c r="AP46" s="46" t="s">
        <v>841</v>
      </c>
      <c r="AQ46" s="46" t="s">
        <v>842</v>
      </c>
      <c r="AR46" s="46" t="s">
        <v>843</v>
      </c>
      <c r="AS46" s="43"/>
      <c r="AT46" s="43"/>
      <c r="AU46" s="43"/>
      <c r="AV46" s="43"/>
      <c r="AW46" s="22" t="s">
        <v>361</v>
      </c>
      <c r="AX46" s="22" t="s">
        <v>839</v>
      </c>
      <c r="AY46" s="22" t="s">
        <v>372</v>
      </c>
      <c r="AZ46" s="43"/>
      <c r="BA46" s="43"/>
      <c r="BB46" s="43"/>
      <c r="BC46" s="43"/>
      <c r="BD46" s="43" t="s">
        <v>194</v>
      </c>
      <c r="BE46" s="43" t="s">
        <v>243</v>
      </c>
      <c r="BF46" s="22" t="s">
        <v>131</v>
      </c>
      <c r="BG46" s="22" t="s">
        <v>132</v>
      </c>
      <c r="BH46" s="22" t="s">
        <v>132</v>
      </c>
      <c r="BI46" s="22" t="s">
        <v>132</v>
      </c>
      <c r="BJ46" s="43"/>
      <c r="BK46" s="43"/>
      <c r="BL46" s="22" t="s">
        <v>844</v>
      </c>
      <c r="BM46" s="22">
        <v>2.106909808E9</v>
      </c>
      <c r="BN46" s="22" t="s">
        <v>845</v>
      </c>
      <c r="BO46" s="22"/>
      <c r="BP46" s="22" t="s">
        <v>245</v>
      </c>
      <c r="BQ46" s="43"/>
      <c r="BR46" s="43"/>
      <c r="BS46" s="22" t="s">
        <v>846</v>
      </c>
      <c r="BT46" s="43"/>
      <c r="BU46" s="22" t="s">
        <v>847</v>
      </c>
      <c r="BV46" s="43" t="s">
        <v>557</v>
      </c>
      <c r="BW46" s="22" t="s">
        <v>848</v>
      </c>
      <c r="BX46" s="22">
        <v>30.0</v>
      </c>
      <c r="BY46" s="22" t="s">
        <v>492</v>
      </c>
      <c r="BZ46" s="22"/>
      <c r="CA46" s="22" t="s">
        <v>849</v>
      </c>
      <c r="CB46" s="22" t="s">
        <v>307</v>
      </c>
      <c r="CC46" s="45" t="s">
        <v>850</v>
      </c>
      <c r="CD46" s="43"/>
      <c r="CE46" s="43"/>
      <c r="CF46" s="45" t="s">
        <v>850</v>
      </c>
      <c r="CG46" s="43"/>
      <c r="CH46" s="43"/>
      <c r="CI46" s="43"/>
      <c r="CJ46" s="43"/>
      <c r="CK46" s="43"/>
      <c r="CL46" s="43"/>
      <c r="CM46" s="49">
        <f>IFERROR(VLOOKUP(B46,CC!A:D,4,0)," ")</f>
        <v>144.55</v>
      </c>
      <c r="CN46" s="22" t="s">
        <v>851</v>
      </c>
      <c r="CO46" s="22"/>
      <c r="CP46" s="22" t="s">
        <v>562</v>
      </c>
      <c r="CQ46" s="22" t="s">
        <v>401</v>
      </c>
      <c r="CR46" s="43"/>
      <c r="CS46" s="22">
        <v>10.0</v>
      </c>
      <c r="CT46" s="22" t="s">
        <v>145</v>
      </c>
      <c r="CU46" s="43"/>
      <c r="CV46" s="43"/>
      <c r="CW46" s="43"/>
      <c r="CX46" s="43"/>
      <c r="CY46" s="43" t="b">
        <v>0</v>
      </c>
      <c r="CZ46" s="43" t="b">
        <v>0</v>
      </c>
      <c r="DA46" s="43" t="b">
        <v>0</v>
      </c>
      <c r="DB46" s="43" t="b">
        <v>0</v>
      </c>
      <c r="DC46" s="43"/>
      <c r="DD46" s="43"/>
      <c r="DE46" s="43"/>
      <c r="DF46" s="43"/>
      <c r="DG46" s="43"/>
      <c r="DH46" s="43"/>
      <c r="DI46" s="43"/>
      <c r="DJ46" s="22">
        <f>IFERROR(VLOOKUP($B46,'Лист4'!$D:$AI,27,0)," ")</f>
        <v>9</v>
      </c>
      <c r="DK46" s="22">
        <f>IFERROR(VLOOKUP($B46,'Лист4'!$D:$AI,28,0)," ")</f>
        <v>5</v>
      </c>
      <c r="DL46" s="22">
        <f>IFERROR(VLOOKUP($B46,'Лист4'!$D:$AI,29,0)," ")</f>
        <v>9</v>
      </c>
      <c r="DM46" s="22">
        <f t="shared" si="1"/>
        <v>405</v>
      </c>
      <c r="DN46" s="22">
        <f>IFERROR(VLOOKUP($B46,'Лист4'!$D:$AI,32,0)," ")</f>
        <v>0.049</v>
      </c>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43"/>
      <c r="ET46" s="43"/>
      <c r="EU46" s="43"/>
      <c r="EV46" s="43"/>
      <c r="EW46" s="43"/>
      <c r="EX46" s="43"/>
      <c r="EY46" s="43"/>
      <c r="EZ46" s="43"/>
      <c r="FA46" s="43"/>
      <c r="FB46" s="43"/>
      <c r="FC46" s="43"/>
      <c r="FD46" s="43"/>
      <c r="FE46" s="43"/>
      <c r="FF46" s="43"/>
      <c r="FG46" s="43"/>
      <c r="FH46" s="43"/>
      <c r="FI46" s="43"/>
    </row>
    <row r="47" ht="18.0" customHeight="1">
      <c r="A47" s="22" t="s">
        <v>116</v>
      </c>
      <c r="B47" s="43" t="s">
        <v>852</v>
      </c>
      <c r="C47" s="22" t="s">
        <v>283</v>
      </c>
      <c r="D47" s="22" t="s">
        <v>853</v>
      </c>
      <c r="E47" s="43" t="s">
        <v>854</v>
      </c>
      <c r="F47" s="22" t="s">
        <v>855</v>
      </c>
      <c r="G47" s="22" t="s">
        <v>361</v>
      </c>
      <c r="H47" s="22" t="s">
        <v>476</v>
      </c>
      <c r="I47" s="43"/>
      <c r="J47" s="43"/>
      <c r="K47" s="22" t="b">
        <v>1</v>
      </c>
      <c r="L47" s="22" t="b">
        <v>1</v>
      </c>
      <c r="M47" s="22" t="b">
        <v>1</v>
      </c>
      <c r="N47" s="22" t="b">
        <v>1</v>
      </c>
      <c r="O47" s="22" t="b">
        <v>1</v>
      </c>
      <c r="P47" s="22" t="b">
        <v>0</v>
      </c>
      <c r="Q47" s="22" t="b">
        <v>0</v>
      </c>
      <c r="R47" s="43"/>
      <c r="S47" s="43" t="s">
        <v>856</v>
      </c>
      <c r="T47" s="22" t="s">
        <v>852</v>
      </c>
      <c r="U47" s="22" t="s">
        <v>852</v>
      </c>
      <c r="V47" s="22" t="s">
        <v>852</v>
      </c>
      <c r="W47" s="43" t="s">
        <v>852</v>
      </c>
      <c r="X47" s="43"/>
      <c r="Y47" s="43"/>
      <c r="Z47" s="43"/>
      <c r="AA47" s="22">
        <v>2.06027291E8</v>
      </c>
      <c r="AB47" s="22">
        <v>1.40811628E9</v>
      </c>
      <c r="AC47" s="22">
        <v>1.03398260189E11</v>
      </c>
      <c r="AD47" s="22">
        <v>9.9000118641E10</v>
      </c>
      <c r="AE47" s="22"/>
      <c r="AF47" s="43"/>
      <c r="AG47" s="43"/>
      <c r="AH47" s="43" t="s">
        <v>855</v>
      </c>
      <c r="AI47" s="22" t="s">
        <v>857</v>
      </c>
      <c r="AJ47" s="22" t="s">
        <v>858</v>
      </c>
      <c r="AK47" s="22" t="s">
        <v>859</v>
      </c>
      <c r="AL47" s="22" t="s">
        <v>860</v>
      </c>
      <c r="AM47" s="43"/>
      <c r="AN47" s="43"/>
      <c r="AO47" s="43"/>
      <c r="AP47" s="46" t="s">
        <v>861</v>
      </c>
      <c r="AQ47" s="46" t="s">
        <v>862</v>
      </c>
      <c r="AR47" s="46" t="s">
        <v>863</v>
      </c>
      <c r="AS47" s="46" t="s">
        <v>864</v>
      </c>
      <c r="AT47" s="43"/>
      <c r="AU47" s="43"/>
      <c r="AV47" s="43"/>
      <c r="AW47" s="22" t="s">
        <v>649</v>
      </c>
      <c r="AX47" s="22" t="s">
        <v>858</v>
      </c>
      <c r="AY47" s="22" t="s">
        <v>372</v>
      </c>
      <c r="AZ47" s="22" t="s">
        <v>373</v>
      </c>
      <c r="BA47" s="43"/>
      <c r="BB47" s="43"/>
      <c r="BC47" s="43"/>
      <c r="BD47" s="43" t="s">
        <v>374</v>
      </c>
      <c r="BE47" s="43" t="s">
        <v>243</v>
      </c>
      <c r="BF47" s="22" t="s">
        <v>131</v>
      </c>
      <c r="BG47" s="22" t="s">
        <v>132</v>
      </c>
      <c r="BH47" s="22" t="s">
        <v>132</v>
      </c>
      <c r="BI47" s="22" t="s">
        <v>132</v>
      </c>
      <c r="BJ47" s="43"/>
      <c r="BK47" s="43"/>
      <c r="BL47" s="22">
        <v>4.620153906644E12</v>
      </c>
      <c r="BM47" s="22">
        <v>2.106909808E9</v>
      </c>
      <c r="BN47" s="22" t="s">
        <v>865</v>
      </c>
      <c r="BO47" s="46" t="s">
        <v>866</v>
      </c>
      <c r="BP47" s="22" t="s">
        <v>245</v>
      </c>
      <c r="BQ47" s="43"/>
      <c r="BR47" s="43"/>
      <c r="BS47" s="22" t="s">
        <v>867</v>
      </c>
      <c r="BT47" s="43"/>
      <c r="BU47" s="22" t="s">
        <v>868</v>
      </c>
      <c r="BV47" s="22" t="s">
        <v>675</v>
      </c>
      <c r="BW47" s="22" t="s">
        <v>784</v>
      </c>
      <c r="BX47" s="22">
        <v>90.0</v>
      </c>
      <c r="BY47" s="22" t="s">
        <v>492</v>
      </c>
      <c r="BZ47" s="43"/>
      <c r="CA47" s="22" t="s">
        <v>355</v>
      </c>
      <c r="CB47" s="22" t="s">
        <v>307</v>
      </c>
      <c r="CC47" s="45" t="s">
        <v>869</v>
      </c>
      <c r="CD47" s="43"/>
      <c r="CE47" s="43"/>
      <c r="CF47" s="45"/>
      <c r="CG47" s="43"/>
      <c r="CH47" s="43"/>
      <c r="CI47" s="43"/>
      <c r="CJ47" s="43"/>
      <c r="CK47" s="43"/>
      <c r="CL47" s="43"/>
      <c r="CM47" s="49">
        <f>IFERROR(VLOOKUP(B47,CC!A:D,4,0)," ")</f>
        <v>443.21</v>
      </c>
      <c r="CN47" s="22" t="s">
        <v>561</v>
      </c>
      <c r="CO47" s="22"/>
      <c r="CP47" s="22" t="s">
        <v>562</v>
      </c>
      <c r="CQ47" s="22">
        <v>90.0</v>
      </c>
      <c r="CR47" s="43"/>
      <c r="CS47" s="22">
        <v>10.0</v>
      </c>
      <c r="CT47" s="22" t="s">
        <v>145</v>
      </c>
      <c r="CU47" s="43"/>
      <c r="CV47" s="43"/>
      <c r="CW47" s="43"/>
      <c r="CX47" s="43"/>
      <c r="CY47" s="43" t="b">
        <v>0</v>
      </c>
      <c r="CZ47" s="43" t="b">
        <v>0</v>
      </c>
      <c r="DA47" s="43" t="b">
        <v>0</v>
      </c>
      <c r="DB47" s="43" t="b">
        <v>0</v>
      </c>
      <c r="DC47" s="43"/>
      <c r="DD47" s="43"/>
      <c r="DE47" s="43"/>
      <c r="DF47" s="43"/>
      <c r="DG47" s="43"/>
      <c r="DH47" s="43"/>
      <c r="DI47" s="43"/>
      <c r="DJ47" s="22">
        <f>IFERROR(VLOOKUP($B47,'Лист4'!$D:$AI,27,0)," ")</f>
        <v>6</v>
      </c>
      <c r="DK47" s="22">
        <f>IFERROR(VLOOKUP($B47,'Лист4'!$D:$AI,28,0)," ")</f>
        <v>5</v>
      </c>
      <c r="DL47" s="22">
        <f>IFERROR(VLOOKUP($B47,'Лист4'!$D:$AI,29,0)," ")</f>
        <v>6</v>
      </c>
      <c r="DM47" s="22">
        <f t="shared" si="1"/>
        <v>180</v>
      </c>
      <c r="DN47" s="22">
        <f>IFERROR(VLOOKUP($B47,'Лист4'!$D:$AI,32,0)," ")</f>
        <v>0.08</v>
      </c>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43"/>
      <c r="ET47" s="43"/>
      <c r="EU47" s="43"/>
      <c r="EV47" s="43"/>
      <c r="EW47" s="43"/>
      <c r="EX47" s="43"/>
      <c r="EY47" s="43"/>
      <c r="EZ47" s="43"/>
      <c r="FA47" s="43"/>
      <c r="FB47" s="43"/>
      <c r="FC47" s="43"/>
      <c r="FD47" s="43"/>
      <c r="FE47" s="43"/>
      <c r="FF47" s="43"/>
      <c r="FG47" s="43"/>
      <c r="FH47" s="43"/>
      <c r="FI47" s="43"/>
    </row>
    <row r="48" ht="18.0" customHeight="1">
      <c r="A48" s="22" t="s">
        <v>116</v>
      </c>
      <c r="B48" s="43" t="s">
        <v>870</v>
      </c>
      <c r="C48" s="22" t="s">
        <v>283</v>
      </c>
      <c r="D48" s="22" t="s">
        <v>119</v>
      </c>
      <c r="E48" s="43"/>
      <c r="F48" s="22" t="s">
        <v>871</v>
      </c>
      <c r="G48" s="22" t="s">
        <v>361</v>
      </c>
      <c r="H48" s="22" t="s">
        <v>476</v>
      </c>
      <c r="I48" s="43"/>
      <c r="J48" s="43"/>
      <c r="K48" s="22" t="b">
        <v>1</v>
      </c>
      <c r="L48" s="22" t="b">
        <v>1</v>
      </c>
      <c r="M48" s="22" t="b">
        <v>1</v>
      </c>
      <c r="N48" s="22" t="b">
        <v>1</v>
      </c>
      <c r="O48" s="22" t="b">
        <v>0</v>
      </c>
      <c r="P48" s="22" t="b">
        <v>0</v>
      </c>
      <c r="Q48" s="22" t="b">
        <v>0</v>
      </c>
      <c r="R48" s="43"/>
      <c r="S48" s="43" t="s">
        <v>872</v>
      </c>
      <c r="T48" s="22" t="s">
        <v>870</v>
      </c>
      <c r="U48" s="22" t="s">
        <v>870</v>
      </c>
      <c r="V48" s="22" t="s">
        <v>870</v>
      </c>
      <c r="W48" s="43"/>
      <c r="X48" s="43"/>
      <c r="Y48" s="43"/>
      <c r="Z48" s="43"/>
      <c r="AA48" s="22">
        <v>9.0343752E7</v>
      </c>
      <c r="AB48" s="22">
        <v>6.16948885E8</v>
      </c>
      <c r="AC48" s="22">
        <v>1.01824298336E11</v>
      </c>
      <c r="AD48" s="22"/>
      <c r="AE48" s="22"/>
      <c r="AF48" s="43"/>
      <c r="AG48" s="43"/>
      <c r="AH48" s="43" t="s">
        <v>871</v>
      </c>
      <c r="AI48" s="22" t="s">
        <v>873</v>
      </c>
      <c r="AJ48" s="22" t="s">
        <v>874</v>
      </c>
      <c r="AK48" s="22" t="s">
        <v>875</v>
      </c>
      <c r="AL48" s="43"/>
      <c r="AM48" s="43"/>
      <c r="AN48" s="43"/>
      <c r="AO48" s="43"/>
      <c r="AP48" s="46" t="s">
        <v>876</v>
      </c>
      <c r="AQ48" s="46" t="s">
        <v>877</v>
      </c>
      <c r="AR48" s="43"/>
      <c r="AS48" s="43"/>
      <c r="AT48" s="43"/>
      <c r="AU48" s="43"/>
      <c r="AV48" s="43"/>
      <c r="AW48" s="22" t="s">
        <v>361</v>
      </c>
      <c r="AX48" s="22" t="s">
        <v>874</v>
      </c>
      <c r="AY48" s="22" t="s">
        <v>372</v>
      </c>
      <c r="AZ48" s="43"/>
      <c r="BA48" s="43"/>
      <c r="BB48" s="43"/>
      <c r="BC48" s="43"/>
      <c r="BD48" s="43" t="s">
        <v>374</v>
      </c>
      <c r="BE48" s="43" t="s">
        <v>243</v>
      </c>
      <c r="BF48" s="22" t="s">
        <v>131</v>
      </c>
      <c r="BG48" s="22" t="s">
        <v>132</v>
      </c>
      <c r="BH48" s="22" t="s">
        <v>132</v>
      </c>
      <c r="BI48" s="22" t="s">
        <v>132</v>
      </c>
      <c r="BJ48" s="43"/>
      <c r="BK48" s="43"/>
      <c r="BL48" s="22" t="s">
        <v>878</v>
      </c>
      <c r="BM48" s="22">
        <v>2.106909808E9</v>
      </c>
      <c r="BN48" s="22" t="s">
        <v>879</v>
      </c>
      <c r="BO48" s="22"/>
      <c r="BP48" s="22" t="s">
        <v>245</v>
      </c>
      <c r="BQ48" s="43"/>
      <c r="BR48" s="43"/>
      <c r="BS48" s="22" t="s">
        <v>880</v>
      </c>
      <c r="BT48" s="43"/>
      <c r="BU48" s="22" t="s">
        <v>881</v>
      </c>
      <c r="BV48" s="43" t="s">
        <v>557</v>
      </c>
      <c r="BW48" s="22" t="s">
        <v>882</v>
      </c>
      <c r="BX48" s="22">
        <v>30.0</v>
      </c>
      <c r="BY48" s="22" t="s">
        <v>421</v>
      </c>
      <c r="BZ48" s="22"/>
      <c r="CA48" s="22" t="s">
        <v>849</v>
      </c>
      <c r="CB48" s="22" t="s">
        <v>307</v>
      </c>
      <c r="CC48" s="45" t="s">
        <v>883</v>
      </c>
      <c r="CD48" s="43"/>
      <c r="CE48" s="43"/>
      <c r="CF48" s="45" t="s">
        <v>883</v>
      </c>
      <c r="CG48" s="43"/>
      <c r="CH48" s="43"/>
      <c r="CI48" s="43"/>
      <c r="CJ48" s="43"/>
      <c r="CK48" s="43"/>
      <c r="CL48" s="43"/>
      <c r="CM48" s="49">
        <f>IFERROR(VLOOKUP(B48,CC!A:D,4,0)," ")</f>
        <v>145.8</v>
      </c>
      <c r="CN48" s="22" t="s">
        <v>400</v>
      </c>
      <c r="CO48" s="22"/>
      <c r="CP48" s="22" t="s">
        <v>562</v>
      </c>
      <c r="CQ48" s="22" t="s">
        <v>401</v>
      </c>
      <c r="CR48" s="43"/>
      <c r="CS48" s="22">
        <v>10.0</v>
      </c>
      <c r="CT48" s="22" t="s">
        <v>145</v>
      </c>
      <c r="CU48" s="43"/>
      <c r="CV48" s="43"/>
      <c r="CW48" s="43"/>
      <c r="CX48" s="43"/>
      <c r="CY48" s="43" t="b">
        <v>0</v>
      </c>
      <c r="CZ48" s="43" t="b">
        <v>0</v>
      </c>
      <c r="DA48" s="43" t="b">
        <v>0</v>
      </c>
      <c r="DB48" s="43" t="b">
        <v>0</v>
      </c>
      <c r="DC48" s="43"/>
      <c r="DD48" s="43"/>
      <c r="DE48" s="43"/>
      <c r="DF48" s="43"/>
      <c r="DG48" s="43"/>
      <c r="DH48" s="43"/>
      <c r="DI48" s="43"/>
      <c r="DJ48" s="22">
        <f>IFERROR(VLOOKUP($B48,'Лист4'!$D:$AI,27,0)," ")</f>
        <v>10</v>
      </c>
      <c r="DK48" s="22">
        <f>IFERROR(VLOOKUP($B48,'Лист4'!$D:$AI,28,0)," ")</f>
        <v>5</v>
      </c>
      <c r="DL48" s="22">
        <f>IFERROR(VLOOKUP($B48,'Лист4'!$D:$AI,29,0)," ")</f>
        <v>10</v>
      </c>
      <c r="DM48" s="22">
        <f t="shared" si="1"/>
        <v>500</v>
      </c>
      <c r="DN48" s="22">
        <f>IFERROR(VLOOKUP($B48,'Лист4'!$D:$AI,32,0)," ")</f>
        <v>0.1</v>
      </c>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43"/>
      <c r="ET48" s="43"/>
      <c r="EU48" s="43"/>
      <c r="EV48" s="43"/>
      <c r="EW48" s="43"/>
      <c r="EX48" s="43"/>
      <c r="EY48" s="43"/>
      <c r="EZ48" s="43"/>
      <c r="FA48" s="43"/>
      <c r="FB48" s="43"/>
      <c r="FC48" s="43"/>
      <c r="FD48" s="43"/>
      <c r="FE48" s="43"/>
      <c r="FF48" s="43"/>
      <c r="FG48" s="43"/>
      <c r="FH48" s="43"/>
      <c r="FI48" s="43"/>
    </row>
    <row r="49" ht="18.0" customHeight="1">
      <c r="A49" s="22" t="s">
        <v>116</v>
      </c>
      <c r="B49" s="43" t="s">
        <v>884</v>
      </c>
      <c r="C49" s="22" t="s">
        <v>283</v>
      </c>
      <c r="D49" s="22" t="s">
        <v>119</v>
      </c>
      <c r="E49" s="43" t="s">
        <v>751</v>
      </c>
      <c r="F49" s="22" t="s">
        <v>885</v>
      </c>
      <c r="G49" s="22" t="s">
        <v>361</v>
      </c>
      <c r="H49" s="22" t="s">
        <v>476</v>
      </c>
      <c r="I49" s="43"/>
      <c r="J49" s="43"/>
      <c r="K49" s="22" t="b">
        <v>1</v>
      </c>
      <c r="L49" s="22" t="b">
        <v>1</v>
      </c>
      <c r="M49" s="22" t="b">
        <v>1</v>
      </c>
      <c r="N49" s="22" t="b">
        <v>1</v>
      </c>
      <c r="O49" s="22" t="b">
        <v>1</v>
      </c>
      <c r="P49" s="22" t="b">
        <v>0</v>
      </c>
      <c r="Q49" s="22" t="b">
        <v>0</v>
      </c>
      <c r="R49" s="43"/>
      <c r="S49" s="43" t="s">
        <v>886</v>
      </c>
      <c r="T49" s="22" t="s">
        <v>884</v>
      </c>
      <c r="U49" s="22" t="s">
        <v>884</v>
      </c>
      <c r="V49" s="22" t="s">
        <v>884</v>
      </c>
      <c r="W49" s="43" t="s">
        <v>884</v>
      </c>
      <c r="X49" s="43"/>
      <c r="Y49" s="43"/>
      <c r="Z49" s="43"/>
      <c r="AA49" s="22">
        <v>4.17262785E8</v>
      </c>
      <c r="AB49" s="22">
        <v>2.168454928E9</v>
      </c>
      <c r="AC49" s="22">
        <v>4.476682176E9</v>
      </c>
      <c r="AD49" s="22">
        <v>9.9000117796E10</v>
      </c>
      <c r="AE49" s="22"/>
      <c r="AF49" s="43"/>
      <c r="AG49" s="43"/>
      <c r="AH49" s="43" t="s">
        <v>885</v>
      </c>
      <c r="AI49" s="22" t="s">
        <v>887</v>
      </c>
      <c r="AJ49" s="22" t="s">
        <v>887</v>
      </c>
      <c r="AK49" s="22" t="s">
        <v>888</v>
      </c>
      <c r="AL49" s="22" t="s">
        <v>889</v>
      </c>
      <c r="AM49" s="43"/>
      <c r="AN49" s="43"/>
      <c r="AO49" s="43"/>
      <c r="AP49" s="46" t="s">
        <v>890</v>
      </c>
      <c r="AQ49" s="46" t="s">
        <v>891</v>
      </c>
      <c r="AR49" s="46" t="s">
        <v>892</v>
      </c>
      <c r="AS49" s="46" t="s">
        <v>893</v>
      </c>
      <c r="AT49" s="43"/>
      <c r="AU49" s="43"/>
      <c r="AV49" s="43"/>
      <c r="AW49" s="22" t="s">
        <v>361</v>
      </c>
      <c r="AX49" s="22" t="s">
        <v>887</v>
      </c>
      <c r="AY49" s="22" t="s">
        <v>372</v>
      </c>
      <c r="AZ49" s="22" t="s">
        <v>373</v>
      </c>
      <c r="BA49" s="43"/>
      <c r="BB49" s="43"/>
      <c r="BC49" s="43"/>
      <c r="BD49" s="43" t="s">
        <v>374</v>
      </c>
      <c r="BE49" s="43" t="s">
        <v>243</v>
      </c>
      <c r="BF49" s="22" t="s">
        <v>131</v>
      </c>
      <c r="BG49" s="22" t="s">
        <v>132</v>
      </c>
      <c r="BH49" s="22" t="s">
        <v>132</v>
      </c>
      <c r="BI49" s="22" t="s">
        <v>132</v>
      </c>
      <c r="BJ49" s="43"/>
      <c r="BK49" s="43"/>
      <c r="BL49" s="22">
        <v>4.607025204626E12</v>
      </c>
      <c r="BM49" s="22"/>
      <c r="BN49" s="22" t="s">
        <v>894</v>
      </c>
      <c r="BO49" s="46" t="s">
        <v>895</v>
      </c>
      <c r="BP49" s="22" t="s">
        <v>245</v>
      </c>
      <c r="BQ49" s="43"/>
      <c r="BR49" s="43"/>
      <c r="BS49" s="22" t="s">
        <v>896</v>
      </c>
      <c r="BT49" s="43"/>
      <c r="BU49" s="22" t="s">
        <v>897</v>
      </c>
      <c r="BV49" s="22" t="s">
        <v>898</v>
      </c>
      <c r="BW49" s="22" t="s">
        <v>398</v>
      </c>
      <c r="BX49" s="22">
        <v>60.0</v>
      </c>
      <c r="BY49" s="22" t="s">
        <v>621</v>
      </c>
      <c r="BZ49" s="22"/>
      <c r="CA49" s="22" t="s">
        <v>355</v>
      </c>
      <c r="CB49" s="22" t="s">
        <v>307</v>
      </c>
      <c r="CC49" s="45" t="s">
        <v>899</v>
      </c>
      <c r="CD49" s="43"/>
      <c r="CE49" s="43"/>
      <c r="CF49" s="45"/>
      <c r="CG49" s="54">
        <v>46101.0</v>
      </c>
      <c r="CH49" s="46" t="s">
        <v>900</v>
      </c>
      <c r="CI49" s="43"/>
      <c r="CJ49" s="43"/>
      <c r="CK49" s="43"/>
      <c r="CL49" s="43"/>
      <c r="CM49" s="49">
        <f>IFERROR(VLOOKUP(B49,CC!A:D,4,0)," ")</f>
        <v>136.8</v>
      </c>
      <c r="CN49" s="22" t="s">
        <v>901</v>
      </c>
      <c r="CO49" s="22"/>
      <c r="CP49" s="22" t="s">
        <v>902</v>
      </c>
      <c r="CQ49" s="22">
        <v>60.0</v>
      </c>
      <c r="CR49" s="43"/>
      <c r="CS49" s="22">
        <v>1.0</v>
      </c>
      <c r="CT49" s="22" t="s">
        <v>145</v>
      </c>
      <c r="CU49" s="43"/>
      <c r="CV49" s="43"/>
      <c r="CW49" s="43"/>
      <c r="CX49" s="43"/>
      <c r="CY49" s="43" t="b">
        <v>0</v>
      </c>
      <c r="CZ49" s="43" t="b">
        <v>0</v>
      </c>
      <c r="DA49" s="43" t="b">
        <v>0</v>
      </c>
      <c r="DB49" s="43" t="b">
        <v>0</v>
      </c>
      <c r="DC49" s="43"/>
      <c r="DD49" s="43"/>
      <c r="DE49" s="43"/>
      <c r="DF49" s="43"/>
      <c r="DG49" s="43"/>
      <c r="DH49" s="43"/>
      <c r="DI49" s="43"/>
      <c r="DJ49" s="22">
        <f>IFERROR(VLOOKUP($B49,'Лист4'!$D:$AI,27,0)," ")</f>
        <v>6</v>
      </c>
      <c r="DK49" s="22">
        <f>IFERROR(VLOOKUP($B49,'Лист4'!$D:$AI,28,0)," ")</f>
        <v>10</v>
      </c>
      <c r="DL49" s="22">
        <f>IFERROR(VLOOKUP($B49,'Лист4'!$D:$AI,29,0)," ")</f>
        <v>6</v>
      </c>
      <c r="DM49" s="22">
        <f t="shared" si="1"/>
        <v>360</v>
      </c>
      <c r="DN49" s="22">
        <f>IFERROR(VLOOKUP($B49,'Лист4'!$D:$AI,32,0)," ")</f>
        <v>0.035</v>
      </c>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2"/>
      <c r="EQ49" s="22"/>
      <c r="ER49" s="22"/>
      <c r="ES49" s="43"/>
      <c r="ET49" s="43"/>
      <c r="EU49" s="43"/>
      <c r="EV49" s="43"/>
      <c r="EW49" s="43"/>
      <c r="EX49" s="43"/>
      <c r="EY49" s="43"/>
      <c r="EZ49" s="43"/>
      <c r="FA49" s="43"/>
      <c r="FB49" s="43"/>
      <c r="FC49" s="43"/>
      <c r="FD49" s="43"/>
      <c r="FE49" s="43"/>
      <c r="FF49" s="43"/>
      <c r="FG49" s="43"/>
      <c r="FH49" s="43"/>
      <c r="FI49" s="43"/>
    </row>
    <row r="50" ht="18.0" customHeight="1">
      <c r="A50" s="22" t="s">
        <v>116</v>
      </c>
      <c r="B50" s="43" t="s">
        <v>903</v>
      </c>
      <c r="C50" s="22" t="s">
        <v>283</v>
      </c>
      <c r="D50" s="22" t="s">
        <v>119</v>
      </c>
      <c r="E50" s="43" t="s">
        <v>751</v>
      </c>
      <c r="F50" s="22" t="s">
        <v>904</v>
      </c>
      <c r="G50" s="22" t="s">
        <v>361</v>
      </c>
      <c r="H50" s="22" t="s">
        <v>476</v>
      </c>
      <c r="I50" s="43"/>
      <c r="J50" s="43"/>
      <c r="K50" s="22" t="b">
        <v>1</v>
      </c>
      <c r="L50" s="22" t="b">
        <v>1</v>
      </c>
      <c r="M50" s="22" t="b">
        <v>1</v>
      </c>
      <c r="N50" s="22" t="b">
        <v>1</v>
      </c>
      <c r="O50" s="22" t="b">
        <v>1</v>
      </c>
      <c r="P50" s="22" t="b">
        <v>0</v>
      </c>
      <c r="Q50" s="22" t="b">
        <v>0</v>
      </c>
      <c r="R50" s="43"/>
      <c r="S50" s="43" t="s">
        <v>905</v>
      </c>
      <c r="T50" s="22" t="s">
        <v>903</v>
      </c>
      <c r="U50" s="22" t="s">
        <v>903</v>
      </c>
      <c r="V50" s="22" t="s">
        <v>903</v>
      </c>
      <c r="W50" s="43" t="s">
        <v>903</v>
      </c>
      <c r="X50" s="43"/>
      <c r="Y50" s="43"/>
      <c r="Z50" s="43"/>
      <c r="AA50" s="22">
        <v>2.66214623E8</v>
      </c>
      <c r="AB50" s="22">
        <v>1.713242647E9</v>
      </c>
      <c r="AC50" s="22">
        <v>1.03555039362E11</v>
      </c>
      <c r="AD50" s="22">
        <v>9.9000121328E10</v>
      </c>
      <c r="AE50" s="22"/>
      <c r="AF50" s="43"/>
      <c r="AG50" s="43"/>
      <c r="AH50" s="43" t="s">
        <v>904</v>
      </c>
      <c r="AI50" s="22" t="s">
        <v>906</v>
      </c>
      <c r="AJ50" s="22" t="s">
        <v>907</v>
      </c>
      <c r="AK50" s="22" t="s">
        <v>908</v>
      </c>
      <c r="AL50" s="22" t="s">
        <v>909</v>
      </c>
      <c r="AM50" s="43"/>
      <c r="AN50" s="43"/>
      <c r="AO50" s="43"/>
      <c r="AP50" s="46" t="s">
        <v>910</v>
      </c>
      <c r="AQ50" s="46" t="s">
        <v>911</v>
      </c>
      <c r="AR50" s="46" t="s">
        <v>912</v>
      </c>
      <c r="AS50" s="46" t="s">
        <v>913</v>
      </c>
      <c r="AT50" s="43"/>
      <c r="AU50" s="43"/>
      <c r="AV50" s="43"/>
      <c r="AW50" s="22" t="s">
        <v>361</v>
      </c>
      <c r="AX50" s="22" t="s">
        <v>907</v>
      </c>
      <c r="AY50" s="22" t="s">
        <v>372</v>
      </c>
      <c r="AZ50" s="22" t="s">
        <v>373</v>
      </c>
      <c r="BA50" s="43"/>
      <c r="BB50" s="43"/>
      <c r="BC50" s="43"/>
      <c r="BD50" s="43" t="s">
        <v>374</v>
      </c>
      <c r="BE50" s="43" t="s">
        <v>243</v>
      </c>
      <c r="BF50" s="22" t="s">
        <v>131</v>
      </c>
      <c r="BG50" s="22" t="s">
        <v>132</v>
      </c>
      <c r="BH50" s="22" t="s">
        <v>132</v>
      </c>
      <c r="BI50" s="22" t="s">
        <v>132</v>
      </c>
      <c r="BJ50" s="43"/>
      <c r="BK50" s="43"/>
      <c r="BL50" s="22" t="s">
        <v>914</v>
      </c>
      <c r="BM50" s="22">
        <v>2.106909808E9</v>
      </c>
      <c r="BN50" s="22" t="s">
        <v>915</v>
      </c>
      <c r="BO50" s="46" t="s">
        <v>916</v>
      </c>
      <c r="BP50" s="22" t="s">
        <v>245</v>
      </c>
      <c r="BQ50" s="43"/>
      <c r="BR50" s="43"/>
      <c r="BS50" s="22" t="s">
        <v>917</v>
      </c>
      <c r="BT50" s="43"/>
      <c r="BU50" s="22" t="s">
        <v>918</v>
      </c>
      <c r="BV50" s="22" t="s">
        <v>919</v>
      </c>
      <c r="BW50" s="22" t="s">
        <v>491</v>
      </c>
      <c r="BX50" s="22">
        <v>60.0</v>
      </c>
      <c r="BY50" s="22" t="s">
        <v>492</v>
      </c>
      <c r="BZ50" s="43"/>
      <c r="CA50" s="22" t="s">
        <v>355</v>
      </c>
      <c r="CB50" s="22" t="s">
        <v>307</v>
      </c>
      <c r="CC50" s="45" t="s">
        <v>920</v>
      </c>
      <c r="CD50" s="43"/>
      <c r="CE50" s="43"/>
      <c r="CF50" s="45"/>
      <c r="CG50" s="54">
        <v>46059.0</v>
      </c>
      <c r="CH50" s="44" t="s">
        <v>921</v>
      </c>
      <c r="CI50" s="43"/>
      <c r="CJ50" s="43"/>
      <c r="CK50" s="43"/>
      <c r="CL50" s="43"/>
      <c r="CM50" s="49">
        <f>IFERROR(VLOOKUP(B50,CC!A:D,4,0)," ")</f>
        <v>261</v>
      </c>
      <c r="CN50" s="22" t="s">
        <v>494</v>
      </c>
      <c r="CO50" s="22"/>
      <c r="CP50" s="22" t="s">
        <v>495</v>
      </c>
      <c r="CQ50" s="22">
        <v>60.0</v>
      </c>
      <c r="CR50" s="43"/>
      <c r="CS50" s="22">
        <v>5.0</v>
      </c>
      <c r="CT50" s="22" t="s">
        <v>496</v>
      </c>
      <c r="CU50" s="43"/>
      <c r="CV50" s="43"/>
      <c r="CW50" s="43"/>
      <c r="CX50" s="43"/>
      <c r="CY50" s="43" t="b">
        <v>0</v>
      </c>
      <c r="CZ50" s="43" t="b">
        <v>0</v>
      </c>
      <c r="DA50" s="43" t="b">
        <v>0</v>
      </c>
      <c r="DB50" s="43" t="b">
        <v>0</v>
      </c>
      <c r="DC50" s="43"/>
      <c r="DD50" s="43"/>
      <c r="DE50" s="43"/>
      <c r="DF50" s="43"/>
      <c r="DG50" s="43"/>
      <c r="DH50" s="43"/>
      <c r="DI50" s="43"/>
      <c r="DJ50" s="22">
        <f>IFERROR(VLOOKUP($B50,'Лист4'!$D:$AI,27,0)," ")</f>
        <v>11</v>
      </c>
      <c r="DK50" s="22">
        <f>IFERROR(VLOOKUP($B50,'Лист4'!$D:$AI,28,0)," ")</f>
        <v>6</v>
      </c>
      <c r="DL50" s="22">
        <f>IFERROR(VLOOKUP($B50,'Лист4'!$D:$AI,29,0)," ")</f>
        <v>11</v>
      </c>
      <c r="DM50" s="22">
        <f t="shared" si="1"/>
        <v>726</v>
      </c>
      <c r="DN50" s="22">
        <f>IFERROR(VLOOKUP($B50,'Лист4'!$D:$AI,32,0)," ")</f>
        <v>0.069</v>
      </c>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43"/>
      <c r="ET50" s="43"/>
      <c r="EU50" s="43"/>
      <c r="EV50" s="43"/>
      <c r="EW50" s="43"/>
      <c r="EX50" s="43"/>
      <c r="EY50" s="43"/>
      <c r="EZ50" s="43"/>
      <c r="FA50" s="43"/>
      <c r="FB50" s="43"/>
      <c r="FC50" s="43"/>
      <c r="FD50" s="43"/>
      <c r="FE50" s="43"/>
      <c r="FF50" s="43"/>
      <c r="FG50" s="43"/>
      <c r="FH50" s="43"/>
      <c r="FI50" s="43"/>
    </row>
    <row r="51" ht="18.0" customHeight="1">
      <c r="A51" s="22" t="s">
        <v>116</v>
      </c>
      <c r="B51" s="43" t="s">
        <v>922</v>
      </c>
      <c r="C51" s="22" t="s">
        <v>283</v>
      </c>
      <c r="D51" s="22" t="s">
        <v>187</v>
      </c>
      <c r="E51" s="43" t="s">
        <v>923</v>
      </c>
      <c r="F51" s="22" t="s">
        <v>924</v>
      </c>
      <c r="G51" s="22" t="s">
        <v>361</v>
      </c>
      <c r="H51" s="22" t="s">
        <v>476</v>
      </c>
      <c r="I51" s="43"/>
      <c r="J51" s="43"/>
      <c r="K51" s="22" t="b">
        <v>1</v>
      </c>
      <c r="L51" s="22" t="b">
        <v>1</v>
      </c>
      <c r="M51" s="22" t="b">
        <v>1</v>
      </c>
      <c r="N51" s="22" t="b">
        <v>1</v>
      </c>
      <c r="O51" s="22" t="b">
        <v>0</v>
      </c>
      <c r="P51" s="22" t="b">
        <v>0</v>
      </c>
      <c r="Q51" s="22" t="b">
        <v>0</v>
      </c>
      <c r="R51" s="43"/>
      <c r="S51" s="43" t="s">
        <v>925</v>
      </c>
      <c r="T51" s="22" t="s">
        <v>922</v>
      </c>
      <c r="U51" s="22" t="s">
        <v>922</v>
      </c>
      <c r="V51" s="22" t="s">
        <v>922</v>
      </c>
      <c r="W51" s="43"/>
      <c r="X51" s="43"/>
      <c r="Y51" s="43"/>
      <c r="Z51" s="43"/>
      <c r="AA51" s="22">
        <v>2.71680783E8</v>
      </c>
      <c r="AB51" s="22">
        <v>1.738941767E9</v>
      </c>
      <c r="AC51" s="22">
        <v>4.29561052E9</v>
      </c>
      <c r="AD51" s="22"/>
      <c r="AE51" s="22"/>
      <c r="AF51" s="43"/>
      <c r="AG51" s="43"/>
      <c r="AH51" s="43" t="s">
        <v>924</v>
      </c>
      <c r="AI51" s="22" t="s">
        <v>926</v>
      </c>
      <c r="AJ51" s="22" t="s">
        <v>927</v>
      </c>
      <c r="AK51" s="22" t="s">
        <v>927</v>
      </c>
      <c r="AL51" s="43"/>
      <c r="AM51" s="43"/>
      <c r="AN51" s="43"/>
      <c r="AO51" s="43"/>
      <c r="AP51" s="46" t="s">
        <v>928</v>
      </c>
      <c r="AQ51" s="46" t="s">
        <v>929</v>
      </c>
      <c r="AR51" s="46" t="s">
        <v>930</v>
      </c>
      <c r="AS51" s="43"/>
      <c r="AT51" s="43"/>
      <c r="AU51" s="43"/>
      <c r="AV51" s="43"/>
      <c r="AW51" s="22" t="s">
        <v>361</v>
      </c>
      <c r="AX51" s="22" t="s">
        <v>927</v>
      </c>
      <c r="AY51" s="22" t="s">
        <v>372</v>
      </c>
      <c r="AZ51" s="43"/>
      <c r="BA51" s="43"/>
      <c r="BB51" s="43"/>
      <c r="BC51" s="43"/>
      <c r="BD51" s="43" t="s">
        <v>374</v>
      </c>
      <c r="BE51" s="43" t="s">
        <v>243</v>
      </c>
      <c r="BF51" s="22" t="s">
        <v>131</v>
      </c>
      <c r="BG51" s="22" t="s">
        <v>132</v>
      </c>
      <c r="BH51" s="22" t="s">
        <v>132</v>
      </c>
      <c r="BI51" s="22" t="s">
        <v>132</v>
      </c>
      <c r="BJ51" s="43"/>
      <c r="BK51" s="43"/>
      <c r="BL51" s="22">
        <v>4.610030631868E12</v>
      </c>
      <c r="BM51" s="22">
        <v>2.106909808E9</v>
      </c>
      <c r="BN51" s="22" t="s">
        <v>931</v>
      </c>
      <c r="BO51" s="22"/>
      <c r="BP51" s="22" t="s">
        <v>245</v>
      </c>
      <c r="BQ51" s="43"/>
      <c r="BR51" s="43"/>
      <c r="BS51" s="22" t="s">
        <v>932</v>
      </c>
      <c r="BT51" s="43"/>
      <c r="BU51" s="22" t="s">
        <v>802</v>
      </c>
      <c r="BV51" s="22" t="s">
        <v>675</v>
      </c>
      <c r="BW51" s="22" t="s">
        <v>491</v>
      </c>
      <c r="BX51" s="22">
        <v>60.0</v>
      </c>
      <c r="BY51" s="22" t="s">
        <v>492</v>
      </c>
      <c r="BZ51" s="43"/>
      <c r="CA51" s="22" t="s">
        <v>355</v>
      </c>
      <c r="CB51" s="22" t="s">
        <v>307</v>
      </c>
      <c r="CC51" s="45" t="s">
        <v>933</v>
      </c>
      <c r="CD51" s="43"/>
      <c r="CE51" s="43"/>
      <c r="CF51" s="45"/>
      <c r="CG51" s="43"/>
      <c r="CH51" s="43"/>
      <c r="CI51" s="43"/>
      <c r="CJ51" s="43"/>
      <c r="CK51" s="43"/>
      <c r="CL51" s="43"/>
      <c r="CM51" s="49">
        <f>IFERROR(VLOOKUP(B51,CC!A:D,4,0)," ")</f>
        <v>174.15</v>
      </c>
      <c r="CN51" s="22" t="s">
        <v>804</v>
      </c>
      <c r="CO51" s="22"/>
      <c r="CP51" s="22" t="s">
        <v>805</v>
      </c>
      <c r="CQ51" s="22">
        <v>90.0</v>
      </c>
      <c r="CR51" s="43"/>
      <c r="CS51" s="22">
        <v>1.0</v>
      </c>
      <c r="CT51" s="22" t="s">
        <v>145</v>
      </c>
      <c r="CU51" s="43"/>
      <c r="CV51" s="43"/>
      <c r="CW51" s="43"/>
      <c r="CX51" s="43"/>
      <c r="CY51" s="43" t="b">
        <v>0</v>
      </c>
      <c r="CZ51" s="43" t="b">
        <v>0</v>
      </c>
      <c r="DA51" s="43" t="b">
        <v>0</v>
      </c>
      <c r="DB51" s="43" t="b">
        <v>0</v>
      </c>
      <c r="DC51" s="43"/>
      <c r="DD51" s="43"/>
      <c r="DE51" s="43"/>
      <c r="DF51" s="43"/>
      <c r="DG51" s="43"/>
      <c r="DH51" s="43"/>
      <c r="DI51" s="43"/>
      <c r="DJ51" s="22">
        <f>IFERROR(VLOOKUP($B51,'Лист4'!$D:$AI,27,0)," ")</f>
        <v>4</v>
      </c>
      <c r="DK51" s="22">
        <f>IFERROR(VLOOKUP($B51,'Лист4'!$D:$AI,28,0)," ")</f>
        <v>8</v>
      </c>
      <c r="DL51" s="22">
        <f>IFERROR(VLOOKUP($B51,'Лист4'!$D:$AI,29,0)," ")</f>
        <v>4</v>
      </c>
      <c r="DM51" s="22">
        <f t="shared" si="1"/>
        <v>128</v>
      </c>
      <c r="DN51" s="22">
        <f>IFERROR(VLOOKUP($B51,'Лист4'!$D:$AI,32,0)," ")</f>
        <v>0.045</v>
      </c>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43"/>
      <c r="ET51" s="43"/>
      <c r="EU51" s="43"/>
      <c r="EV51" s="43"/>
      <c r="EW51" s="43"/>
      <c r="EX51" s="43"/>
      <c r="EY51" s="43"/>
      <c r="EZ51" s="43"/>
      <c r="FA51" s="43"/>
      <c r="FB51" s="43"/>
      <c r="FC51" s="43"/>
      <c r="FD51" s="43"/>
      <c r="FE51" s="43"/>
      <c r="FF51" s="43"/>
      <c r="FG51" s="43"/>
      <c r="FH51" s="43"/>
      <c r="FI51" s="43"/>
    </row>
    <row r="52" ht="18.0" customHeight="1">
      <c r="A52" s="22" t="s">
        <v>116</v>
      </c>
      <c r="B52" s="43" t="s">
        <v>934</v>
      </c>
      <c r="C52" s="22" t="s">
        <v>283</v>
      </c>
      <c r="D52" s="22" t="s">
        <v>119</v>
      </c>
      <c r="E52" s="43"/>
      <c r="F52" s="22" t="s">
        <v>935</v>
      </c>
      <c r="G52" s="22" t="s">
        <v>361</v>
      </c>
      <c r="H52" s="22" t="s">
        <v>641</v>
      </c>
      <c r="I52" s="43"/>
      <c r="J52" s="43"/>
      <c r="K52" s="22" t="b">
        <v>1</v>
      </c>
      <c r="L52" s="22" t="b">
        <v>1</v>
      </c>
      <c r="M52" s="22" t="b">
        <v>1</v>
      </c>
      <c r="N52" s="22" t="b">
        <v>1</v>
      </c>
      <c r="O52" s="22" t="b">
        <v>1</v>
      </c>
      <c r="P52" s="22" t="b">
        <v>0</v>
      </c>
      <c r="Q52" s="22" t="b">
        <v>0</v>
      </c>
      <c r="R52" s="43"/>
      <c r="S52" s="43" t="s">
        <v>936</v>
      </c>
      <c r="T52" s="22" t="s">
        <v>934</v>
      </c>
      <c r="U52" s="22" t="s">
        <v>934</v>
      </c>
      <c r="V52" s="22" t="s">
        <v>934</v>
      </c>
      <c r="W52" s="43" t="s">
        <v>934</v>
      </c>
      <c r="X52" s="43"/>
      <c r="Y52" s="43"/>
      <c r="Z52" s="43"/>
      <c r="AA52" s="22">
        <v>9.196935E7</v>
      </c>
      <c r="AB52" s="22">
        <v>6.50348972E8</v>
      </c>
      <c r="AC52" s="22">
        <v>1.01871358737E11</v>
      </c>
      <c r="AD52" s="22">
        <v>9.9000122455E10</v>
      </c>
      <c r="AE52" s="22"/>
      <c r="AF52" s="43"/>
      <c r="AG52" s="43"/>
      <c r="AH52" s="43" t="s">
        <v>935</v>
      </c>
      <c r="AI52" s="22" t="s">
        <v>643</v>
      </c>
      <c r="AJ52" s="22" t="s">
        <v>937</v>
      </c>
      <c r="AK52" s="22" t="s">
        <v>938</v>
      </c>
      <c r="AL52" s="22" t="s">
        <v>939</v>
      </c>
      <c r="AM52" s="43"/>
      <c r="AN52" s="43"/>
      <c r="AO52" s="43"/>
      <c r="AP52" s="46" t="s">
        <v>940</v>
      </c>
      <c r="AQ52" s="46" t="s">
        <v>941</v>
      </c>
      <c r="AR52" s="43"/>
      <c r="AS52" s="43"/>
      <c r="AT52" s="43"/>
      <c r="AU52" s="43"/>
      <c r="AV52" s="43"/>
      <c r="AW52" s="22" t="s">
        <v>361</v>
      </c>
      <c r="AX52" s="22" t="s">
        <v>937</v>
      </c>
      <c r="AY52" s="22" t="s">
        <v>942</v>
      </c>
      <c r="AZ52" s="22" t="s">
        <v>373</v>
      </c>
      <c r="BA52" s="43"/>
      <c r="BB52" s="43"/>
      <c r="BC52" s="43"/>
      <c r="BD52" s="43" t="s">
        <v>374</v>
      </c>
      <c r="BE52" s="43" t="s">
        <v>243</v>
      </c>
      <c r="BF52" s="22" t="s">
        <v>131</v>
      </c>
      <c r="BG52" s="22" t="s">
        <v>132</v>
      </c>
      <c r="BH52" s="22" t="s">
        <v>132</v>
      </c>
      <c r="BI52" s="22" t="s">
        <v>132</v>
      </c>
      <c r="BJ52" s="43"/>
      <c r="BK52" s="43"/>
      <c r="BL52" s="22">
        <v>4.630040228322E12</v>
      </c>
      <c r="BM52" s="22">
        <v>2.106909808E9</v>
      </c>
      <c r="BN52" s="22" t="s">
        <v>943</v>
      </c>
      <c r="BO52" s="46" t="s">
        <v>944</v>
      </c>
      <c r="BP52" s="22" t="s">
        <v>245</v>
      </c>
      <c r="BQ52" s="43"/>
      <c r="BR52" s="43"/>
      <c r="BS52" s="22" t="s">
        <v>945</v>
      </c>
      <c r="BT52" s="43"/>
      <c r="BU52" s="22" t="s">
        <v>946</v>
      </c>
      <c r="BV52" s="43" t="s">
        <v>557</v>
      </c>
      <c r="BW52" s="22" t="s">
        <v>947</v>
      </c>
      <c r="BX52" s="22">
        <v>30.0</v>
      </c>
      <c r="BY52" s="22" t="s">
        <v>421</v>
      </c>
      <c r="BZ52" s="22"/>
      <c r="CA52" s="22" t="s">
        <v>849</v>
      </c>
      <c r="CB52" s="22" t="s">
        <v>307</v>
      </c>
      <c r="CC52" s="44" t="s">
        <v>948</v>
      </c>
      <c r="CD52" s="43"/>
      <c r="CE52" s="43"/>
      <c r="CF52" s="45"/>
      <c r="CG52" s="54">
        <v>46062.0</v>
      </c>
      <c r="CH52" s="46" t="s">
        <v>949</v>
      </c>
      <c r="CI52" s="43"/>
      <c r="CJ52" s="43"/>
      <c r="CK52" s="43"/>
      <c r="CL52" s="43"/>
      <c r="CM52" s="49">
        <f>IFERROR(VLOOKUP(B52,CC!A:D,4,0)," ")</f>
        <v>155.15</v>
      </c>
      <c r="CN52" s="22" t="s">
        <v>400</v>
      </c>
      <c r="CO52" s="22"/>
      <c r="CP52" s="22" t="s">
        <v>562</v>
      </c>
      <c r="CQ52" s="22" t="s">
        <v>401</v>
      </c>
      <c r="CR52" s="43"/>
      <c r="CS52" s="22">
        <v>10.0</v>
      </c>
      <c r="CT52" s="22" t="s">
        <v>145</v>
      </c>
      <c r="CU52" s="43"/>
      <c r="CV52" s="43"/>
      <c r="CW52" s="43"/>
      <c r="CX52" s="43"/>
      <c r="CY52" s="43" t="b">
        <v>0</v>
      </c>
      <c r="CZ52" s="43" t="b">
        <v>0</v>
      </c>
      <c r="DA52" s="43" t="b">
        <v>0</v>
      </c>
      <c r="DB52" s="43" t="b">
        <v>0</v>
      </c>
      <c r="DC52" s="43"/>
      <c r="DD52" s="43"/>
      <c r="DE52" s="43"/>
      <c r="DF52" s="43"/>
      <c r="DG52" s="43"/>
      <c r="DH52" s="43"/>
      <c r="DI52" s="43"/>
      <c r="DJ52" s="22">
        <f>IFERROR(VLOOKUP($B52,'Лист4'!$D:$AI,27,0)," ")</f>
        <v>2</v>
      </c>
      <c r="DK52" s="22">
        <f>IFERROR(VLOOKUP($B52,'Лист4'!$D:$AI,28,0)," ")</f>
        <v>10</v>
      </c>
      <c r="DL52" s="22">
        <f>IFERROR(VLOOKUP($B52,'Лист4'!$D:$AI,29,0)," ")</f>
        <v>2</v>
      </c>
      <c r="DM52" s="22">
        <f t="shared" si="1"/>
        <v>40</v>
      </c>
      <c r="DN52" s="22">
        <f>IFERROR(VLOOKUP($B52,'Лист4'!$D:$AI,32,0)," ")</f>
        <v>0.05</v>
      </c>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43"/>
      <c r="ET52" s="43"/>
      <c r="EU52" s="43"/>
      <c r="EV52" s="43"/>
      <c r="EW52" s="43"/>
      <c r="EX52" s="43"/>
      <c r="EY52" s="43"/>
      <c r="EZ52" s="43"/>
      <c r="FA52" s="43"/>
      <c r="FB52" s="43"/>
      <c r="FC52" s="43"/>
      <c r="FD52" s="43"/>
      <c r="FE52" s="43"/>
      <c r="FF52" s="43"/>
      <c r="FG52" s="43"/>
      <c r="FH52" s="43"/>
      <c r="FI52" s="43"/>
    </row>
    <row r="53" ht="18.75" customHeight="1">
      <c r="A53" s="22" t="s">
        <v>116</v>
      </c>
      <c r="B53" s="43" t="s">
        <v>950</v>
      </c>
      <c r="C53" s="22" t="s">
        <v>283</v>
      </c>
      <c r="D53" s="22" t="s">
        <v>187</v>
      </c>
      <c r="E53" s="43" t="s">
        <v>951</v>
      </c>
      <c r="F53" s="22" t="s">
        <v>952</v>
      </c>
      <c r="G53" s="22" t="s">
        <v>361</v>
      </c>
      <c r="H53" s="22" t="s">
        <v>641</v>
      </c>
      <c r="I53" s="43"/>
      <c r="J53" s="43"/>
      <c r="K53" s="22" t="b">
        <v>1</v>
      </c>
      <c r="L53" s="22" t="b">
        <v>1</v>
      </c>
      <c r="M53" s="22" t="b">
        <v>1</v>
      </c>
      <c r="N53" s="22" t="b">
        <v>1</v>
      </c>
      <c r="O53" s="22" t="b">
        <v>0</v>
      </c>
      <c r="P53" s="22" t="b">
        <v>0</v>
      </c>
      <c r="Q53" s="22" t="b">
        <v>0</v>
      </c>
      <c r="R53" s="43"/>
      <c r="S53" s="43" t="s">
        <v>953</v>
      </c>
      <c r="T53" s="22" t="s">
        <v>950</v>
      </c>
      <c r="U53" s="22" t="s">
        <v>950</v>
      </c>
      <c r="V53" s="22" t="s">
        <v>950</v>
      </c>
      <c r="W53" s="43"/>
      <c r="X53" s="43"/>
      <c r="Y53" s="43"/>
      <c r="Z53" s="43"/>
      <c r="AA53" s="22">
        <v>1.9312388E8</v>
      </c>
      <c r="AB53" s="22">
        <v>1.323353605E9</v>
      </c>
      <c r="AC53" s="22">
        <v>1.02621786592E11</v>
      </c>
      <c r="AD53" s="22"/>
      <c r="AE53" s="22"/>
      <c r="AF53" s="43"/>
      <c r="AG53" s="43"/>
      <c r="AH53" s="43" t="s">
        <v>952</v>
      </c>
      <c r="AI53" s="22" t="s">
        <v>954</v>
      </c>
      <c r="AJ53" s="22" t="s">
        <v>955</v>
      </c>
      <c r="AK53" s="22" t="s">
        <v>956</v>
      </c>
      <c r="AL53" s="43"/>
      <c r="AM53" s="43"/>
      <c r="AN53" s="43"/>
      <c r="AO53" s="43"/>
      <c r="AP53" s="46" t="s">
        <v>957</v>
      </c>
      <c r="AQ53" s="46" t="s">
        <v>958</v>
      </c>
      <c r="AR53" s="46" t="s">
        <v>959</v>
      </c>
      <c r="AS53" s="43"/>
      <c r="AT53" s="43"/>
      <c r="AU53" s="43"/>
      <c r="AV53" s="43"/>
      <c r="AW53" s="22" t="s">
        <v>960</v>
      </c>
      <c r="AX53" s="22" t="s">
        <v>955</v>
      </c>
      <c r="AY53" s="22" t="s">
        <v>372</v>
      </c>
      <c r="AZ53" s="43"/>
      <c r="BA53" s="43"/>
      <c r="BB53" s="43"/>
      <c r="BC53" s="43"/>
      <c r="BD53" s="43" t="s">
        <v>129</v>
      </c>
      <c r="BE53" s="43" t="s">
        <v>243</v>
      </c>
      <c r="BF53" s="22" t="s">
        <v>131</v>
      </c>
      <c r="BG53" s="22" t="s">
        <v>132</v>
      </c>
      <c r="BH53" s="22" t="s">
        <v>132</v>
      </c>
      <c r="BI53" s="22" t="s">
        <v>132</v>
      </c>
      <c r="BJ53" s="43"/>
      <c r="BK53" s="43"/>
      <c r="BL53" s="22">
        <v>4.67014296535E12</v>
      </c>
      <c r="BM53" s="22">
        <v>2.106909808E9</v>
      </c>
      <c r="BN53" s="22" t="s">
        <v>961</v>
      </c>
      <c r="BO53" s="46" t="s">
        <v>962</v>
      </c>
      <c r="BP53" s="22" t="s">
        <v>245</v>
      </c>
      <c r="BQ53" s="43"/>
      <c r="BR53" s="43"/>
      <c r="BS53" s="22" t="s">
        <v>963</v>
      </c>
      <c r="BT53" s="43"/>
      <c r="BU53" s="22" t="s">
        <v>964</v>
      </c>
      <c r="BV53" s="43" t="s">
        <v>965</v>
      </c>
      <c r="BW53" s="22" t="s">
        <v>966</v>
      </c>
      <c r="BX53" s="22">
        <v>60.0</v>
      </c>
      <c r="BY53" s="22" t="s">
        <v>492</v>
      </c>
      <c r="BZ53" s="43"/>
      <c r="CA53" s="22" t="s">
        <v>726</v>
      </c>
      <c r="CB53" s="22" t="s">
        <v>727</v>
      </c>
      <c r="CC53" s="45" t="s">
        <v>967</v>
      </c>
      <c r="CD53" s="43"/>
      <c r="CE53" s="43"/>
      <c r="CF53" s="45"/>
      <c r="CG53" s="43"/>
      <c r="CH53" s="43"/>
      <c r="CI53" s="43"/>
      <c r="CJ53" s="43"/>
      <c r="CK53" s="43"/>
      <c r="CL53" s="43"/>
      <c r="CM53" s="49">
        <f>IFERROR(VLOOKUP(B53,CC!A:D,4,0)," ")</f>
        <v>240</v>
      </c>
      <c r="CN53" s="22" t="s">
        <v>968</v>
      </c>
      <c r="CO53" s="22"/>
      <c r="CP53" s="22" t="s">
        <v>969</v>
      </c>
      <c r="CQ53" s="22">
        <v>60.0</v>
      </c>
      <c r="CR53" s="43"/>
      <c r="CS53" s="22">
        <v>10.0</v>
      </c>
      <c r="CT53" s="22" t="s">
        <v>145</v>
      </c>
      <c r="CU53" s="43"/>
      <c r="CV53" s="43"/>
      <c r="CW53" s="43"/>
      <c r="CX53" s="43"/>
      <c r="CY53" s="43" t="b">
        <v>0</v>
      </c>
      <c r="CZ53" s="43" t="b">
        <v>0</v>
      </c>
      <c r="DA53" s="43" t="b">
        <v>0</v>
      </c>
      <c r="DB53" s="43" t="b">
        <v>0</v>
      </c>
      <c r="DC53" s="43"/>
      <c r="DD53" s="43"/>
      <c r="DE53" s="43"/>
      <c r="DF53" s="43"/>
      <c r="DG53" s="43"/>
      <c r="DH53" s="43"/>
      <c r="DI53" s="43"/>
      <c r="DJ53" s="22">
        <f>IFERROR(VLOOKUP($B53,'Лист4'!$D:$AI,27,0)," ")</f>
        <v>8</v>
      </c>
      <c r="DK53" s="22">
        <f>IFERROR(VLOOKUP($B53,'Лист4'!$D:$AI,28,0)," ")</f>
        <v>11</v>
      </c>
      <c r="DL53" s="22">
        <f>IFERROR(VLOOKUP($B53,'Лист4'!$D:$AI,29,0)," ")</f>
        <v>8</v>
      </c>
      <c r="DM53" s="22">
        <f t="shared" si="1"/>
        <v>704</v>
      </c>
      <c r="DN53" s="22">
        <f>IFERROR(VLOOKUP($B53,'Лист4'!$D:$AI,32,0)," ")</f>
        <v>0.06</v>
      </c>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43"/>
      <c r="ET53" s="43"/>
      <c r="EU53" s="43"/>
      <c r="EV53" s="43"/>
      <c r="EW53" s="43"/>
      <c r="EX53" s="43"/>
      <c r="EY53" s="43"/>
      <c r="EZ53" s="43"/>
      <c r="FA53" s="43"/>
      <c r="FB53" s="43"/>
      <c r="FC53" s="43"/>
      <c r="FD53" s="43"/>
      <c r="FE53" s="43"/>
      <c r="FF53" s="43"/>
      <c r="FG53" s="43"/>
      <c r="FH53" s="43"/>
      <c r="FI53" s="43"/>
    </row>
    <row r="54" ht="18.0" customHeight="1">
      <c r="A54" s="22" t="s">
        <v>116</v>
      </c>
      <c r="B54" s="43" t="s">
        <v>970</v>
      </c>
      <c r="C54" s="22" t="s">
        <v>283</v>
      </c>
      <c r="D54" s="22" t="s">
        <v>187</v>
      </c>
      <c r="E54" s="43" t="s">
        <v>971</v>
      </c>
      <c r="F54" s="22" t="s">
        <v>972</v>
      </c>
      <c r="G54" s="22" t="s">
        <v>361</v>
      </c>
      <c r="H54" s="22" t="s">
        <v>641</v>
      </c>
      <c r="I54" s="43"/>
      <c r="J54" s="43"/>
      <c r="K54" s="22" t="b">
        <v>1</v>
      </c>
      <c r="L54" s="22" t="b">
        <v>1</v>
      </c>
      <c r="M54" s="22" t="b">
        <v>1</v>
      </c>
      <c r="N54" s="22" t="b">
        <v>1</v>
      </c>
      <c r="O54" s="22" t="b">
        <v>1</v>
      </c>
      <c r="P54" s="22" t="b">
        <v>0</v>
      </c>
      <c r="Q54" s="22" t="b">
        <v>0</v>
      </c>
      <c r="R54" s="43"/>
      <c r="S54" s="43" t="s">
        <v>973</v>
      </c>
      <c r="T54" s="22" t="s">
        <v>970</v>
      </c>
      <c r="U54" s="22" t="s">
        <v>970</v>
      </c>
      <c r="V54" s="22" t="s">
        <v>970</v>
      </c>
      <c r="W54" s="43" t="s">
        <v>970</v>
      </c>
      <c r="X54" s="43"/>
      <c r="Y54" s="43"/>
      <c r="Z54" s="43"/>
      <c r="AA54" s="22">
        <v>1.69963867E8</v>
      </c>
      <c r="AB54" s="22">
        <v>1.101330936E9</v>
      </c>
      <c r="AC54" s="22">
        <v>1.0262604369E11</v>
      </c>
      <c r="AD54" s="22">
        <v>9.9000118639E10</v>
      </c>
      <c r="AE54" s="22"/>
      <c r="AF54" s="43"/>
      <c r="AG54" s="43"/>
      <c r="AH54" s="43" t="s">
        <v>972</v>
      </c>
      <c r="AI54" s="22" t="s">
        <v>974</v>
      </c>
      <c r="AJ54" s="22" t="s">
        <v>975</v>
      </c>
      <c r="AK54" s="22" t="s">
        <v>976</v>
      </c>
      <c r="AL54" s="22" t="s">
        <v>977</v>
      </c>
      <c r="AM54" s="43"/>
      <c r="AN54" s="43"/>
      <c r="AO54" s="43"/>
      <c r="AP54" s="46" t="s">
        <v>978</v>
      </c>
      <c r="AQ54" s="46" t="s">
        <v>979</v>
      </c>
      <c r="AR54" s="46" t="s">
        <v>980</v>
      </c>
      <c r="AS54" s="43"/>
      <c r="AT54" s="43"/>
      <c r="AU54" s="43"/>
      <c r="AV54" s="43"/>
      <c r="AW54" s="22" t="s">
        <v>361</v>
      </c>
      <c r="AX54" s="22" t="s">
        <v>975</v>
      </c>
      <c r="AY54" s="22" t="s">
        <v>372</v>
      </c>
      <c r="AZ54" s="22" t="s">
        <v>778</v>
      </c>
      <c r="BA54" s="43"/>
      <c r="BB54" s="43"/>
      <c r="BC54" s="43"/>
      <c r="BD54" s="43" t="s">
        <v>374</v>
      </c>
      <c r="BE54" s="43" t="s">
        <v>243</v>
      </c>
      <c r="BF54" s="22" t="s">
        <v>131</v>
      </c>
      <c r="BG54" s="22" t="s">
        <v>132</v>
      </c>
      <c r="BH54" s="22" t="s">
        <v>132</v>
      </c>
      <c r="BI54" s="22" t="s">
        <v>132</v>
      </c>
      <c r="BJ54" s="43"/>
      <c r="BK54" s="43"/>
      <c r="BL54" s="22" t="s">
        <v>981</v>
      </c>
      <c r="BM54" s="22">
        <v>2.106909808E9</v>
      </c>
      <c r="BN54" s="22" t="s">
        <v>982</v>
      </c>
      <c r="BO54" s="46" t="s">
        <v>983</v>
      </c>
      <c r="BP54" s="22" t="s">
        <v>245</v>
      </c>
      <c r="BQ54" s="43"/>
      <c r="BR54" s="43"/>
      <c r="BS54" s="22" t="s">
        <v>984</v>
      </c>
      <c r="BT54" s="43"/>
      <c r="BU54" s="22" t="s">
        <v>985</v>
      </c>
      <c r="BV54" s="43" t="s">
        <v>986</v>
      </c>
      <c r="BW54" s="22" t="s">
        <v>987</v>
      </c>
      <c r="BX54" s="22">
        <v>60.0</v>
      </c>
      <c r="BY54" s="22" t="s">
        <v>492</v>
      </c>
      <c r="BZ54" s="43"/>
      <c r="CA54" s="22" t="s">
        <v>355</v>
      </c>
      <c r="CB54" s="22" t="s">
        <v>307</v>
      </c>
      <c r="CC54" s="45" t="s">
        <v>988</v>
      </c>
      <c r="CD54" s="43"/>
      <c r="CE54" s="43"/>
      <c r="CF54" s="45" t="s">
        <v>989</v>
      </c>
      <c r="CG54" s="43"/>
      <c r="CH54" s="43"/>
      <c r="CI54" s="43"/>
      <c r="CJ54" s="43"/>
      <c r="CK54" s="43"/>
      <c r="CL54" s="43"/>
      <c r="CM54" s="49">
        <f>IFERROR(VLOOKUP(B54,CC!A:D,4,0)," ")</f>
        <v>268</v>
      </c>
      <c r="CN54" s="22" t="s">
        <v>494</v>
      </c>
      <c r="CO54" s="22"/>
      <c r="CP54" s="22" t="s">
        <v>990</v>
      </c>
      <c r="CQ54" s="22">
        <v>60.0</v>
      </c>
      <c r="CR54" s="43"/>
      <c r="CS54" s="22">
        <v>5.0</v>
      </c>
      <c r="CT54" s="22" t="s">
        <v>496</v>
      </c>
      <c r="CU54" s="43"/>
      <c r="CV54" s="43"/>
      <c r="CW54" s="43"/>
      <c r="CX54" s="43"/>
      <c r="CY54" s="43" t="b">
        <v>0</v>
      </c>
      <c r="CZ54" s="43" t="b">
        <v>0</v>
      </c>
      <c r="DA54" s="43" t="b">
        <v>0</v>
      </c>
      <c r="DB54" s="43" t="b">
        <v>0</v>
      </c>
      <c r="DC54" s="43"/>
      <c r="DD54" s="43"/>
      <c r="DE54" s="43"/>
      <c r="DF54" s="43"/>
      <c r="DG54" s="43"/>
      <c r="DH54" s="43"/>
      <c r="DI54" s="43"/>
      <c r="DJ54" s="22">
        <f>IFERROR(VLOOKUP($B54,'Лист4'!$D:$AI,27,0)," ")</f>
        <v>5</v>
      </c>
      <c r="DK54" s="22">
        <f>IFERROR(VLOOKUP($B54,'Лист4'!$D:$AI,28,0)," ")</f>
        <v>15</v>
      </c>
      <c r="DL54" s="22">
        <f>IFERROR(VLOOKUP($B54,'Лист4'!$D:$AI,29,0)," ")</f>
        <v>5</v>
      </c>
      <c r="DM54" s="22">
        <f t="shared" si="1"/>
        <v>375</v>
      </c>
      <c r="DN54" s="22">
        <f>IFERROR(VLOOKUP($B54,'Лист4'!$D:$AI,32,0)," ")</f>
        <v>0.088</v>
      </c>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43"/>
      <c r="ET54" s="43"/>
      <c r="EU54" s="43"/>
      <c r="EV54" s="43"/>
      <c r="EW54" s="43"/>
      <c r="EX54" s="43"/>
      <c r="EY54" s="43"/>
      <c r="EZ54" s="43"/>
      <c r="FA54" s="43"/>
      <c r="FB54" s="43"/>
      <c r="FC54" s="43"/>
      <c r="FD54" s="43"/>
      <c r="FE54" s="43"/>
      <c r="FF54" s="43"/>
      <c r="FG54" s="43"/>
      <c r="FH54" s="43"/>
      <c r="FI54" s="43"/>
    </row>
    <row r="55" ht="18.0" customHeight="1">
      <c r="A55" s="22" t="s">
        <v>116</v>
      </c>
      <c r="B55" s="43" t="s">
        <v>991</v>
      </c>
      <c r="C55" s="22" t="s">
        <v>283</v>
      </c>
      <c r="D55" s="22" t="s">
        <v>187</v>
      </c>
      <c r="E55" s="43" t="s">
        <v>992</v>
      </c>
      <c r="F55" s="22" t="s">
        <v>993</v>
      </c>
      <c r="G55" s="22" t="s">
        <v>361</v>
      </c>
      <c r="H55" s="22" t="s">
        <v>641</v>
      </c>
      <c r="I55" s="43"/>
      <c r="J55" s="43"/>
      <c r="K55" s="22" t="b">
        <v>1</v>
      </c>
      <c r="L55" s="22" t="b">
        <v>1</v>
      </c>
      <c r="M55" s="22" t="b">
        <v>1</v>
      </c>
      <c r="N55" s="22" t="b">
        <v>1</v>
      </c>
      <c r="O55" s="22" t="b">
        <v>0</v>
      </c>
      <c r="P55" s="22" t="b">
        <v>0</v>
      </c>
      <c r="Q55" s="22" t="b">
        <v>0</v>
      </c>
      <c r="R55" s="43"/>
      <c r="S55" s="43" t="s">
        <v>994</v>
      </c>
      <c r="T55" s="22" t="s">
        <v>991</v>
      </c>
      <c r="U55" s="22" t="s">
        <v>991</v>
      </c>
      <c r="V55" s="22" t="s">
        <v>991</v>
      </c>
      <c r="W55" s="43"/>
      <c r="X55" s="43"/>
      <c r="Y55" s="43"/>
      <c r="Z55" s="43"/>
      <c r="AA55" s="22">
        <v>1.61526543E8</v>
      </c>
      <c r="AB55" s="22">
        <v>9.85677823E8</v>
      </c>
      <c r="AC55" s="22">
        <v>4.997621076E9</v>
      </c>
      <c r="AD55" s="22"/>
      <c r="AE55" s="22"/>
      <c r="AF55" s="43"/>
      <c r="AG55" s="43"/>
      <c r="AH55" s="43" t="s">
        <v>993</v>
      </c>
      <c r="AI55" s="22" t="s">
        <v>995</v>
      </c>
      <c r="AJ55" s="22" t="s">
        <v>996</v>
      </c>
      <c r="AK55" s="22" t="s">
        <v>997</v>
      </c>
      <c r="AL55" s="43"/>
      <c r="AM55" s="43"/>
      <c r="AN55" s="43"/>
      <c r="AO55" s="43"/>
      <c r="AP55" s="46" t="s">
        <v>998</v>
      </c>
      <c r="AQ55" s="46" t="s">
        <v>999</v>
      </c>
      <c r="AR55" s="43"/>
      <c r="AS55" s="43"/>
      <c r="AT55" s="43"/>
      <c r="AU55" s="43"/>
      <c r="AV55" s="43"/>
      <c r="AW55" s="22" t="s">
        <v>361</v>
      </c>
      <c r="AX55" s="22" t="s">
        <v>996</v>
      </c>
      <c r="AY55" s="22" t="s">
        <v>372</v>
      </c>
      <c r="AZ55" s="43"/>
      <c r="BA55" s="43"/>
      <c r="BB55" s="43"/>
      <c r="BC55" s="43"/>
      <c r="BD55" s="43" t="s">
        <v>374</v>
      </c>
      <c r="BE55" s="43" t="s">
        <v>243</v>
      </c>
      <c r="BF55" s="22" t="s">
        <v>131</v>
      </c>
      <c r="BG55" s="22" t="s">
        <v>132</v>
      </c>
      <c r="BH55" s="22" t="s">
        <v>132</v>
      </c>
      <c r="BI55" s="22" t="s">
        <v>132</v>
      </c>
      <c r="BJ55" s="43"/>
      <c r="BK55" s="43"/>
      <c r="BL55" s="22">
        <v>4.670142964537E12</v>
      </c>
      <c r="BM55" s="22">
        <v>2.106909808E9</v>
      </c>
      <c r="BN55" s="22" t="s">
        <v>1000</v>
      </c>
      <c r="BO55" s="46" t="s">
        <v>1001</v>
      </c>
      <c r="BP55" s="22" t="s">
        <v>245</v>
      </c>
      <c r="BQ55" s="43"/>
      <c r="BR55" s="43"/>
      <c r="BS55" s="22" t="s">
        <v>1002</v>
      </c>
      <c r="BT55" s="43"/>
      <c r="BU55" s="22" t="s">
        <v>1003</v>
      </c>
      <c r="BV55" s="43" t="s">
        <v>965</v>
      </c>
      <c r="BW55" s="22" t="s">
        <v>1004</v>
      </c>
      <c r="BX55" s="22">
        <v>60.0</v>
      </c>
      <c r="BY55" s="22" t="s">
        <v>492</v>
      </c>
      <c r="BZ55" s="43"/>
      <c r="CA55" s="22" t="s">
        <v>355</v>
      </c>
      <c r="CB55" s="22" t="s">
        <v>307</v>
      </c>
      <c r="CC55" s="45" t="s">
        <v>1005</v>
      </c>
      <c r="CD55" s="43"/>
      <c r="CE55" s="43"/>
      <c r="CF55" s="45" t="s">
        <v>1006</v>
      </c>
      <c r="CG55" s="43"/>
      <c r="CH55" s="43"/>
      <c r="CI55" s="43"/>
      <c r="CJ55" s="43"/>
      <c r="CK55" s="43"/>
      <c r="CL55" s="43"/>
      <c r="CM55" s="49">
        <f>IFERROR(VLOOKUP(B55,CC!A:D,4,0)," ")</f>
        <v>235</v>
      </c>
      <c r="CN55" s="22" t="s">
        <v>968</v>
      </c>
      <c r="CO55" s="22"/>
      <c r="CP55" s="22" t="s">
        <v>969</v>
      </c>
      <c r="CQ55" s="22">
        <v>60.0</v>
      </c>
      <c r="CR55" s="43"/>
      <c r="CS55" s="22">
        <v>10.0</v>
      </c>
      <c r="CT55" s="22" t="s">
        <v>145</v>
      </c>
      <c r="CU55" s="43"/>
      <c r="CV55" s="43"/>
      <c r="CW55" s="43"/>
      <c r="CX55" s="43"/>
      <c r="CY55" s="43" t="b">
        <v>0</v>
      </c>
      <c r="CZ55" s="43" t="b">
        <v>0</v>
      </c>
      <c r="DA55" s="43" t="b">
        <v>0</v>
      </c>
      <c r="DB55" s="43" t="b">
        <v>0</v>
      </c>
      <c r="DC55" s="43"/>
      <c r="DD55" s="43"/>
      <c r="DE55" s="43"/>
      <c r="DF55" s="43"/>
      <c r="DG55" s="43"/>
      <c r="DH55" s="43"/>
      <c r="DI55" s="43"/>
      <c r="DJ55" s="22">
        <f>IFERROR(VLOOKUP($B55,'Лист4'!$D:$AI,27,0)," ")</f>
        <v>10</v>
      </c>
      <c r="DK55" s="22">
        <f>IFERROR(VLOOKUP($B55,'Лист4'!$D:$AI,28,0)," ")</f>
        <v>5</v>
      </c>
      <c r="DL55" s="22">
        <f>IFERROR(VLOOKUP($B55,'Лист4'!$D:$AI,29,0)," ")</f>
        <v>10</v>
      </c>
      <c r="DM55" s="22">
        <f t="shared" si="1"/>
        <v>500</v>
      </c>
      <c r="DN55" s="22">
        <f>IFERROR(VLOOKUP($B55,'Лист4'!$D:$AI,32,0)," ")</f>
        <v>0.063</v>
      </c>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43"/>
      <c r="ET55" s="43"/>
      <c r="EU55" s="43"/>
      <c r="EV55" s="43"/>
      <c r="EW55" s="43"/>
      <c r="EX55" s="43"/>
      <c r="EY55" s="43"/>
      <c r="EZ55" s="43"/>
      <c r="FA55" s="43"/>
      <c r="FB55" s="43"/>
      <c r="FC55" s="43"/>
      <c r="FD55" s="43"/>
      <c r="FE55" s="43"/>
      <c r="FF55" s="43"/>
      <c r="FG55" s="43"/>
      <c r="FH55" s="43"/>
      <c r="FI55" s="43"/>
    </row>
    <row r="56" ht="18.0" customHeight="1">
      <c r="A56" s="22" t="s">
        <v>116</v>
      </c>
      <c r="B56" s="43" t="s">
        <v>1007</v>
      </c>
      <c r="C56" s="22" t="s">
        <v>118</v>
      </c>
      <c r="D56" s="22" t="s">
        <v>119</v>
      </c>
      <c r="E56" s="43"/>
      <c r="F56" s="22" t="s">
        <v>1008</v>
      </c>
      <c r="G56" s="22" t="s">
        <v>443</v>
      </c>
      <c r="H56" s="22" t="s">
        <v>1009</v>
      </c>
      <c r="I56" s="43"/>
      <c r="J56" s="43"/>
      <c r="K56" s="22" t="b">
        <v>1</v>
      </c>
      <c r="L56" s="22" t="b">
        <v>1</v>
      </c>
      <c r="M56" s="22" t="b">
        <v>1</v>
      </c>
      <c r="N56" s="22" t="b">
        <v>1</v>
      </c>
      <c r="O56" s="22" t="b">
        <v>0</v>
      </c>
      <c r="P56" s="22" t="b">
        <v>0</v>
      </c>
      <c r="Q56" s="22" t="b">
        <v>0</v>
      </c>
      <c r="R56" s="43"/>
      <c r="S56" s="43" t="s">
        <v>1010</v>
      </c>
      <c r="T56" s="22" t="s">
        <v>1007</v>
      </c>
      <c r="U56" s="22" t="s">
        <v>1007</v>
      </c>
      <c r="V56" s="22" t="s">
        <v>1007</v>
      </c>
      <c r="W56" s="43"/>
      <c r="X56" s="43"/>
      <c r="Y56" s="43"/>
      <c r="Z56" s="43"/>
      <c r="AA56" s="22">
        <v>4.94708852E8</v>
      </c>
      <c r="AB56" s="22">
        <v>2.686479094E9</v>
      </c>
      <c r="AC56" s="22">
        <v>4.602254449E9</v>
      </c>
      <c r="AD56" s="22"/>
      <c r="AE56" s="22"/>
      <c r="AF56" s="43"/>
      <c r="AG56" s="43"/>
      <c r="AH56" s="43" t="s">
        <v>1008</v>
      </c>
      <c r="AI56" s="22" t="s">
        <v>1011</v>
      </c>
      <c r="AJ56" s="22" t="s">
        <v>1011</v>
      </c>
      <c r="AK56" s="22" t="s">
        <v>1012</v>
      </c>
      <c r="AL56" s="43"/>
      <c r="AM56" s="43"/>
      <c r="AN56" s="43"/>
      <c r="AO56" s="43"/>
      <c r="AP56" s="46" t="s">
        <v>1013</v>
      </c>
      <c r="AQ56" s="46" t="s">
        <v>1014</v>
      </c>
      <c r="AR56" s="46" t="s">
        <v>1015</v>
      </c>
      <c r="AS56" s="43"/>
      <c r="AT56" s="43"/>
      <c r="AU56" s="43"/>
      <c r="AV56" s="43"/>
      <c r="AW56" s="22" t="s">
        <v>128</v>
      </c>
      <c r="AX56" s="22" t="s">
        <v>1011</v>
      </c>
      <c r="AY56" s="22" t="s">
        <v>1016</v>
      </c>
      <c r="AZ56" s="43"/>
      <c r="BA56" s="43"/>
      <c r="BB56" s="43"/>
      <c r="BC56" s="43"/>
      <c r="BD56" s="43" t="s">
        <v>129</v>
      </c>
      <c r="BE56" s="43" t="s">
        <v>130</v>
      </c>
      <c r="BF56" s="22" t="s">
        <v>131</v>
      </c>
      <c r="BG56" s="22" t="s">
        <v>132</v>
      </c>
      <c r="BH56" s="22" t="s">
        <v>132</v>
      </c>
      <c r="BI56" s="22" t="s">
        <v>132</v>
      </c>
      <c r="BJ56" s="43"/>
      <c r="BK56" s="43"/>
      <c r="BL56" s="22" t="s">
        <v>1017</v>
      </c>
      <c r="BM56" s="22"/>
      <c r="BN56" s="22" t="s">
        <v>1018</v>
      </c>
      <c r="BO56" s="46" t="s">
        <v>1019</v>
      </c>
      <c r="BP56" s="22" t="s">
        <v>245</v>
      </c>
      <c r="BQ56" s="43"/>
      <c r="BR56" s="43"/>
      <c r="BS56" s="22" t="s">
        <v>1020</v>
      </c>
      <c r="BT56" s="56">
        <v>46044.0</v>
      </c>
      <c r="BU56" s="22" t="s">
        <v>1021</v>
      </c>
      <c r="BV56" s="43"/>
      <c r="BW56" s="22" t="s">
        <v>1022</v>
      </c>
      <c r="BX56" s="22">
        <v>50.0</v>
      </c>
      <c r="BY56" s="22" t="s">
        <v>139</v>
      </c>
      <c r="BZ56" s="22"/>
      <c r="CA56" s="22" t="s">
        <v>332</v>
      </c>
      <c r="CB56" s="22" t="s">
        <v>332</v>
      </c>
      <c r="CC56" s="45" t="s">
        <v>1023</v>
      </c>
      <c r="CD56" s="43"/>
      <c r="CE56" s="43"/>
      <c r="CF56" s="45"/>
      <c r="CG56" s="54">
        <v>46044.0</v>
      </c>
      <c r="CH56" s="46" t="s">
        <v>1024</v>
      </c>
      <c r="CI56" s="43"/>
      <c r="CJ56" s="43"/>
      <c r="CK56" s="43"/>
      <c r="CL56" s="43"/>
      <c r="CM56" s="49">
        <f>IFERROR(VLOOKUP(B56,CC!A:D,4,0)," ")</f>
        <v>116</v>
      </c>
      <c r="CN56" s="22" t="s">
        <v>250</v>
      </c>
      <c r="CO56" s="22"/>
      <c r="CP56" s="22" t="s">
        <v>251</v>
      </c>
      <c r="CQ56" s="22">
        <v>60.0</v>
      </c>
      <c r="CR56" s="43"/>
      <c r="CS56" s="22">
        <v>2.0</v>
      </c>
      <c r="CT56" s="22" t="s">
        <v>145</v>
      </c>
      <c r="CU56" s="43"/>
      <c r="CV56" s="43"/>
      <c r="CW56" s="43"/>
      <c r="CX56" s="43"/>
      <c r="CY56" s="43" t="b">
        <v>0</v>
      </c>
      <c r="CZ56" s="43" t="b">
        <v>0</v>
      </c>
      <c r="DA56" s="43" t="b">
        <v>0</v>
      </c>
      <c r="DB56" s="43" t="b">
        <v>0</v>
      </c>
      <c r="DC56" s="43"/>
      <c r="DD56" s="43"/>
      <c r="DE56" s="43"/>
      <c r="DF56" s="43"/>
      <c r="DG56" s="43"/>
      <c r="DH56" s="43"/>
      <c r="DI56" s="43"/>
      <c r="DJ56" s="22">
        <f>IFERROR(VLOOKUP($B56,'Лист4'!$D:$AI,27,0)," ")</f>
        <v>4</v>
      </c>
      <c r="DK56" s="22">
        <f>IFERROR(VLOOKUP($B56,'Лист4'!$D:$AI,28,0)," ")</f>
        <v>41</v>
      </c>
      <c r="DL56" s="22">
        <f>IFERROR(VLOOKUP($B56,'Лист4'!$D:$AI,29,0)," ")</f>
        <v>4</v>
      </c>
      <c r="DM56" s="22">
        <f t="shared" si="1"/>
        <v>656</v>
      </c>
      <c r="DN56" s="22">
        <f>IFERROR(VLOOKUP($B56,'Лист4'!$D:$AI,32,0)," ")</f>
        <v>0.061</v>
      </c>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43"/>
      <c r="ET56" s="43"/>
      <c r="EU56" s="43"/>
      <c r="EV56" s="43"/>
      <c r="EW56" s="43"/>
      <c r="EX56" s="43"/>
      <c r="EY56" s="43"/>
      <c r="EZ56" s="43"/>
      <c r="FA56" s="43"/>
      <c r="FB56" s="43"/>
      <c r="FC56" s="43"/>
      <c r="FD56" s="43"/>
      <c r="FE56" s="43"/>
      <c r="FF56" s="43"/>
      <c r="FG56" s="43"/>
      <c r="FH56" s="43"/>
      <c r="FI56" s="43"/>
    </row>
    <row r="57" ht="18.0" customHeight="1">
      <c r="A57" s="22" t="s">
        <v>116</v>
      </c>
      <c r="B57" s="43" t="s">
        <v>1025</v>
      </c>
      <c r="C57" s="22" t="s">
        <v>283</v>
      </c>
      <c r="D57" s="22" t="s">
        <v>119</v>
      </c>
      <c r="E57" s="43"/>
      <c r="F57" s="22" t="s">
        <v>1026</v>
      </c>
      <c r="G57" s="22" t="s">
        <v>361</v>
      </c>
      <c r="H57" s="22" t="s">
        <v>1027</v>
      </c>
      <c r="I57" s="43"/>
      <c r="J57" s="43"/>
      <c r="K57" s="22" t="b">
        <v>1</v>
      </c>
      <c r="L57" s="22" t="b">
        <v>1</v>
      </c>
      <c r="M57" s="22" t="b">
        <v>1</v>
      </c>
      <c r="N57" s="22" t="b">
        <v>1</v>
      </c>
      <c r="O57" s="22" t="b">
        <v>1</v>
      </c>
      <c r="P57" s="22" t="b">
        <v>0</v>
      </c>
      <c r="Q57" s="22" t="b">
        <v>0</v>
      </c>
      <c r="R57" s="43"/>
      <c r="S57" s="43" t="s">
        <v>1028</v>
      </c>
      <c r="T57" s="22" t="s">
        <v>1025</v>
      </c>
      <c r="U57" s="22" t="s">
        <v>1025</v>
      </c>
      <c r="V57" s="22" t="s">
        <v>1025</v>
      </c>
      <c r="W57" s="43" t="s">
        <v>1025</v>
      </c>
      <c r="X57" s="43"/>
      <c r="Y57" s="43"/>
      <c r="Z57" s="43"/>
      <c r="AA57" s="22">
        <v>1.61948275E8</v>
      </c>
      <c r="AB57" s="22">
        <v>9.89542196E8</v>
      </c>
      <c r="AC57" s="22">
        <v>1.02071901773E11</v>
      </c>
      <c r="AD57" s="22">
        <v>9.9000118638E10</v>
      </c>
      <c r="AE57" s="22"/>
      <c r="AF57" s="43"/>
      <c r="AG57" s="43"/>
      <c r="AH57" s="43" t="s">
        <v>1026</v>
      </c>
      <c r="AI57" s="22" t="s">
        <v>1029</v>
      </c>
      <c r="AJ57" s="22" t="s">
        <v>1030</v>
      </c>
      <c r="AK57" s="22" t="s">
        <v>1031</v>
      </c>
      <c r="AL57" s="22" t="s">
        <v>1032</v>
      </c>
      <c r="AM57" s="43"/>
      <c r="AN57" s="43"/>
      <c r="AO57" s="43"/>
      <c r="AP57" s="46" t="s">
        <v>1033</v>
      </c>
      <c r="AQ57" s="46" t="s">
        <v>1034</v>
      </c>
      <c r="AR57" s="46" t="s">
        <v>1035</v>
      </c>
      <c r="AS57" s="46" t="s">
        <v>1036</v>
      </c>
      <c r="AT57" s="43"/>
      <c r="AU57" s="43"/>
      <c r="AV57" s="43"/>
      <c r="AW57" s="22" t="s">
        <v>361</v>
      </c>
      <c r="AX57" s="22" t="s">
        <v>1030</v>
      </c>
      <c r="AY57" s="22" t="s">
        <v>372</v>
      </c>
      <c r="AZ57" s="22" t="s">
        <v>373</v>
      </c>
      <c r="BA57" s="43"/>
      <c r="BB57" s="43"/>
      <c r="BC57" s="43"/>
      <c r="BD57" s="43" t="s">
        <v>374</v>
      </c>
      <c r="BE57" s="43" t="s">
        <v>243</v>
      </c>
      <c r="BF57" s="22" t="s">
        <v>131</v>
      </c>
      <c r="BG57" s="22" t="s">
        <v>132</v>
      </c>
      <c r="BH57" s="22" t="s">
        <v>132</v>
      </c>
      <c r="BI57" s="22" t="s">
        <v>132</v>
      </c>
      <c r="BJ57" s="43"/>
      <c r="BK57" s="43"/>
      <c r="BL57" s="22">
        <v>4.620153902592E12</v>
      </c>
      <c r="BM57" s="22">
        <v>2.106909808E9</v>
      </c>
      <c r="BN57" s="22" t="s">
        <v>1037</v>
      </c>
      <c r="BO57" s="46" t="s">
        <v>1038</v>
      </c>
      <c r="BP57" s="22" t="s">
        <v>245</v>
      </c>
      <c r="BQ57" s="43"/>
      <c r="BR57" s="43"/>
      <c r="BS57" s="22" t="s">
        <v>1039</v>
      </c>
      <c r="BT57" s="43"/>
      <c r="BU57" s="22" t="s">
        <v>1040</v>
      </c>
      <c r="BV57" s="43" t="s">
        <v>1041</v>
      </c>
      <c r="BW57" s="22" t="s">
        <v>1042</v>
      </c>
      <c r="BX57" s="22">
        <v>90.0</v>
      </c>
      <c r="BY57" s="22" t="s">
        <v>492</v>
      </c>
      <c r="BZ57" s="43"/>
      <c r="CA57" s="22" t="s">
        <v>355</v>
      </c>
      <c r="CB57" s="22" t="s">
        <v>307</v>
      </c>
      <c r="CC57" s="44" t="s">
        <v>1043</v>
      </c>
      <c r="CD57" s="43"/>
      <c r="CE57" s="43"/>
      <c r="CF57" s="45" t="s">
        <v>1044</v>
      </c>
      <c r="CG57" s="43"/>
      <c r="CH57" s="43"/>
      <c r="CI57" s="43"/>
      <c r="CJ57" s="43"/>
      <c r="CK57" s="43"/>
      <c r="CL57" s="43"/>
      <c r="CM57" s="49">
        <f>IFERROR(VLOOKUP(B57,CC!A:D,4,0)," ")</f>
        <v>475.01</v>
      </c>
      <c r="CN57" s="22" t="s">
        <v>400</v>
      </c>
      <c r="CO57" s="22"/>
      <c r="CP57" s="22" t="s">
        <v>562</v>
      </c>
      <c r="CQ57" s="22">
        <v>90.0</v>
      </c>
      <c r="CR57" s="43"/>
      <c r="CS57" s="22">
        <v>10.0</v>
      </c>
      <c r="CT57" s="22" t="s">
        <v>145</v>
      </c>
      <c r="CU57" s="43"/>
      <c r="CV57" s="43"/>
      <c r="CW57" s="43"/>
      <c r="CX57" s="43"/>
      <c r="CY57" s="43" t="b">
        <v>0</v>
      </c>
      <c r="CZ57" s="43" t="b">
        <v>0</v>
      </c>
      <c r="DA57" s="43" t="b">
        <v>0</v>
      </c>
      <c r="DB57" s="43" t="b">
        <v>0</v>
      </c>
      <c r="DC57" s="43"/>
      <c r="DD57" s="43"/>
      <c r="DE57" s="43"/>
      <c r="DF57" s="43"/>
      <c r="DG57" s="43"/>
      <c r="DH57" s="43"/>
      <c r="DI57" s="43"/>
      <c r="DJ57" s="22">
        <f>IFERROR(VLOOKUP($B57,'Лист4'!$D:$AI,27,0)," ")</f>
        <v>6</v>
      </c>
      <c r="DK57" s="22">
        <f>IFERROR(VLOOKUP($B57,'Лист4'!$D:$AI,28,0)," ")</f>
        <v>11</v>
      </c>
      <c r="DL57" s="22">
        <f>IFERROR(VLOOKUP($B57,'Лист4'!$D:$AI,29,0)," ")</f>
        <v>6</v>
      </c>
      <c r="DM57" s="22">
        <f t="shared" si="1"/>
        <v>396</v>
      </c>
      <c r="DN57" s="22">
        <f>IFERROR(VLOOKUP($B57,'Лист4'!$D:$AI,32,0)," ")</f>
        <v>0.176</v>
      </c>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43"/>
      <c r="ET57" s="43"/>
      <c r="EU57" s="43"/>
      <c r="EV57" s="43"/>
      <c r="EW57" s="43"/>
      <c r="EX57" s="43"/>
      <c r="EY57" s="43"/>
      <c r="EZ57" s="43"/>
      <c r="FA57" s="43"/>
      <c r="FB57" s="43"/>
      <c r="FC57" s="43"/>
      <c r="FD57" s="43"/>
      <c r="FE57" s="43"/>
      <c r="FF57" s="43"/>
      <c r="FG57" s="43"/>
      <c r="FH57" s="43"/>
      <c r="FI57" s="43"/>
    </row>
    <row r="58" ht="18.0" customHeight="1">
      <c r="A58" s="22" t="s">
        <v>116</v>
      </c>
      <c r="B58" s="43" t="s">
        <v>1045</v>
      </c>
      <c r="C58" s="22" t="s">
        <v>283</v>
      </c>
      <c r="D58" s="22" t="s">
        <v>119</v>
      </c>
      <c r="E58" s="43" t="s">
        <v>1046</v>
      </c>
      <c r="F58" s="22" t="s">
        <v>1047</v>
      </c>
      <c r="G58" s="22" t="s">
        <v>361</v>
      </c>
      <c r="H58" s="22" t="s">
        <v>1027</v>
      </c>
      <c r="I58" s="43"/>
      <c r="J58" s="43"/>
      <c r="K58" s="22" t="b">
        <v>1</v>
      </c>
      <c r="L58" s="22" t="b">
        <v>1</v>
      </c>
      <c r="M58" s="22" t="b">
        <v>1</v>
      </c>
      <c r="N58" s="22" t="b">
        <v>1</v>
      </c>
      <c r="O58" s="22" t="b">
        <v>1</v>
      </c>
      <c r="P58" s="22" t="b">
        <v>0</v>
      </c>
      <c r="Q58" s="22" t="b">
        <v>0</v>
      </c>
      <c r="R58" s="43"/>
      <c r="S58" s="43" t="s">
        <v>1048</v>
      </c>
      <c r="T58" s="22" t="s">
        <v>1045</v>
      </c>
      <c r="U58" s="22" t="s">
        <v>1045</v>
      </c>
      <c r="V58" s="22" t="s">
        <v>1045</v>
      </c>
      <c r="W58" s="43" t="s">
        <v>1045</v>
      </c>
      <c r="X58" s="43"/>
      <c r="Y58" s="43"/>
      <c r="Z58" s="43"/>
      <c r="AA58" s="22">
        <v>2.40166228E8</v>
      </c>
      <c r="AB58" s="22">
        <v>1.613724697E9</v>
      </c>
      <c r="AC58" s="22">
        <v>1.03396767624E11</v>
      </c>
      <c r="AD58" s="22">
        <v>9.9000118345E10</v>
      </c>
      <c r="AE58" s="22"/>
      <c r="AF58" s="43"/>
      <c r="AG58" s="43"/>
      <c r="AH58" s="43" t="s">
        <v>1047</v>
      </c>
      <c r="AI58" s="22" t="s">
        <v>1049</v>
      </c>
      <c r="AJ58" s="22" t="s">
        <v>1050</v>
      </c>
      <c r="AK58" s="22" t="s">
        <v>1051</v>
      </c>
      <c r="AL58" s="22" t="s">
        <v>1052</v>
      </c>
      <c r="AM58" s="43"/>
      <c r="AN58" s="43"/>
      <c r="AO58" s="43"/>
      <c r="AP58" s="46" t="s">
        <v>1053</v>
      </c>
      <c r="AQ58" s="46" t="s">
        <v>1054</v>
      </c>
      <c r="AR58" s="46" t="s">
        <v>1055</v>
      </c>
      <c r="AS58" s="46" t="s">
        <v>1056</v>
      </c>
      <c r="AT58" s="43"/>
      <c r="AU58" s="43"/>
      <c r="AV58" s="43"/>
      <c r="AW58" s="22" t="s">
        <v>649</v>
      </c>
      <c r="AX58" s="22" t="s">
        <v>1050</v>
      </c>
      <c r="AY58" s="22" t="s">
        <v>372</v>
      </c>
      <c r="AZ58" s="22" t="s">
        <v>373</v>
      </c>
      <c r="BA58" s="43"/>
      <c r="BB58" s="43"/>
      <c r="BC58" s="43"/>
      <c r="BD58" s="43" t="s">
        <v>129</v>
      </c>
      <c r="BE58" s="43" t="s">
        <v>243</v>
      </c>
      <c r="BF58" s="22" t="s">
        <v>131</v>
      </c>
      <c r="BG58" s="22" t="s">
        <v>132</v>
      </c>
      <c r="BH58" s="22" t="s">
        <v>132</v>
      </c>
      <c r="BI58" s="22" t="s">
        <v>132</v>
      </c>
      <c r="BJ58" s="43"/>
      <c r="BK58" s="43"/>
      <c r="BL58" s="22" t="s">
        <v>1057</v>
      </c>
      <c r="BM58" s="22">
        <v>2.106909808E9</v>
      </c>
      <c r="BN58" s="22" t="s">
        <v>1058</v>
      </c>
      <c r="BO58" s="46" t="s">
        <v>1059</v>
      </c>
      <c r="BP58" s="22" t="s">
        <v>303</v>
      </c>
      <c r="BQ58" s="43"/>
      <c r="BR58" s="43"/>
      <c r="BS58" s="22" t="s">
        <v>1060</v>
      </c>
      <c r="BT58" s="43"/>
      <c r="BU58" s="22" t="s">
        <v>1061</v>
      </c>
      <c r="BV58" s="43" t="s">
        <v>766</v>
      </c>
      <c r="BW58" s="22" t="s">
        <v>1004</v>
      </c>
      <c r="BX58" s="22">
        <v>90.0</v>
      </c>
      <c r="BY58" s="22" t="s">
        <v>492</v>
      </c>
      <c r="BZ58" s="43"/>
      <c r="CA58" s="22" t="s">
        <v>355</v>
      </c>
      <c r="CB58" s="22" t="s">
        <v>307</v>
      </c>
      <c r="CC58" s="45" t="s">
        <v>1062</v>
      </c>
      <c r="CD58" s="43"/>
      <c r="CE58" s="43"/>
      <c r="CF58" s="45"/>
      <c r="CG58" s="43"/>
      <c r="CH58" s="43"/>
      <c r="CI58" s="43"/>
      <c r="CJ58" s="43"/>
      <c r="CK58" s="43"/>
      <c r="CL58" s="43"/>
      <c r="CM58" s="49">
        <f>IFERROR(VLOOKUP(B58,CC!A:D,4,0)," ")</f>
        <v>427</v>
      </c>
      <c r="CN58" s="22" t="s">
        <v>494</v>
      </c>
      <c r="CO58" s="22"/>
      <c r="CP58" s="22" t="s">
        <v>495</v>
      </c>
      <c r="CQ58" s="22">
        <v>60.0</v>
      </c>
      <c r="CR58" s="43"/>
      <c r="CS58" s="22">
        <v>5.0</v>
      </c>
      <c r="CT58" s="22" t="s">
        <v>496</v>
      </c>
      <c r="CU58" s="43"/>
      <c r="CV58" s="43"/>
      <c r="CW58" s="43"/>
      <c r="CX58" s="43"/>
      <c r="CY58" s="43" t="b">
        <v>0</v>
      </c>
      <c r="CZ58" s="43" t="b">
        <v>0</v>
      </c>
      <c r="DA58" s="43" t="b">
        <v>0</v>
      </c>
      <c r="DB58" s="43" t="b">
        <v>0</v>
      </c>
      <c r="DC58" s="43"/>
      <c r="DD58" s="43"/>
      <c r="DE58" s="43"/>
      <c r="DF58" s="43"/>
      <c r="DG58" s="43"/>
      <c r="DH58" s="43"/>
      <c r="DI58" s="43"/>
      <c r="DJ58" s="22">
        <f>IFERROR(VLOOKUP($B58,'Лист4'!$D:$AI,27,0)," ")</f>
        <v>6</v>
      </c>
      <c r="DK58" s="22">
        <f>IFERROR(VLOOKUP($B58,'Лист4'!$D:$AI,28,0)," ")</f>
        <v>12</v>
      </c>
      <c r="DL58" s="22">
        <f>IFERROR(VLOOKUP($B58,'Лист4'!$D:$AI,29,0)," ")</f>
        <v>6</v>
      </c>
      <c r="DM58" s="22">
        <f t="shared" si="1"/>
        <v>432</v>
      </c>
      <c r="DN58" s="22">
        <f>IFERROR(VLOOKUP($B58,'Лист4'!$D:$AI,32,0)," ")</f>
        <v>0.122</v>
      </c>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43"/>
      <c r="ET58" s="43"/>
      <c r="EU58" s="43"/>
      <c r="EV58" s="43"/>
      <c r="EW58" s="43"/>
      <c r="EX58" s="43"/>
      <c r="EY58" s="43"/>
      <c r="EZ58" s="43"/>
      <c r="FA58" s="43"/>
      <c r="FB58" s="43"/>
      <c r="FC58" s="43"/>
      <c r="FD58" s="43"/>
      <c r="FE58" s="43"/>
      <c r="FF58" s="43"/>
      <c r="FG58" s="43"/>
      <c r="FH58" s="43"/>
      <c r="FI58" s="43"/>
    </row>
    <row r="59" ht="18.0" customHeight="1">
      <c r="A59" s="22" t="s">
        <v>116</v>
      </c>
      <c r="B59" s="43" t="s">
        <v>1063</v>
      </c>
      <c r="C59" s="22" t="s">
        <v>283</v>
      </c>
      <c r="D59" s="22" t="s">
        <v>187</v>
      </c>
      <c r="E59" s="43" t="s">
        <v>1064</v>
      </c>
      <c r="F59" s="22" t="s">
        <v>1065</v>
      </c>
      <c r="G59" s="22" t="s">
        <v>361</v>
      </c>
      <c r="H59" s="22" t="s">
        <v>1027</v>
      </c>
      <c r="I59" s="43"/>
      <c r="J59" s="43"/>
      <c r="K59" s="22" t="b">
        <v>1</v>
      </c>
      <c r="L59" s="22" t="b">
        <v>1</v>
      </c>
      <c r="M59" s="22" t="b">
        <v>1</v>
      </c>
      <c r="N59" s="22" t="b">
        <v>1</v>
      </c>
      <c r="O59" s="22" t="b">
        <v>0</v>
      </c>
      <c r="P59" s="22" t="b">
        <v>0</v>
      </c>
      <c r="Q59" s="22" t="b">
        <v>0</v>
      </c>
      <c r="R59" s="43"/>
      <c r="S59" s="43" t="s">
        <v>1066</v>
      </c>
      <c r="T59" s="22" t="s">
        <v>1063</v>
      </c>
      <c r="U59" s="22" t="s">
        <v>1063</v>
      </c>
      <c r="V59" s="22" t="s">
        <v>1063</v>
      </c>
      <c r="W59" s="43"/>
      <c r="X59" s="43"/>
      <c r="Y59" s="43"/>
      <c r="Z59" s="43"/>
      <c r="AA59" s="22">
        <v>2.28331343E8</v>
      </c>
      <c r="AB59" s="22">
        <v>1.566735886E9</v>
      </c>
      <c r="AC59" s="22">
        <v>1.03824496894E11</v>
      </c>
      <c r="AD59" s="22"/>
      <c r="AE59" s="22"/>
      <c r="AF59" s="43"/>
      <c r="AG59" s="43"/>
      <c r="AH59" s="43" t="s">
        <v>1065</v>
      </c>
      <c r="AI59" s="22" t="s">
        <v>1067</v>
      </c>
      <c r="AJ59" s="22" t="s">
        <v>1068</v>
      </c>
      <c r="AK59" s="22" t="s">
        <v>1069</v>
      </c>
      <c r="AL59" s="43"/>
      <c r="AM59" s="43"/>
      <c r="AN59" s="43"/>
      <c r="AO59" s="43"/>
      <c r="AP59" s="46" t="s">
        <v>1070</v>
      </c>
      <c r="AQ59" s="46" t="s">
        <v>1071</v>
      </c>
      <c r="AR59" s="46" t="s">
        <v>1072</v>
      </c>
      <c r="AS59" s="43"/>
      <c r="AT59" s="43"/>
      <c r="AU59" s="43"/>
      <c r="AV59" s="43"/>
      <c r="AW59" s="22" t="s">
        <v>361</v>
      </c>
      <c r="AX59" s="22" t="s">
        <v>1068</v>
      </c>
      <c r="AY59" s="22" t="s">
        <v>372</v>
      </c>
      <c r="AZ59" s="43"/>
      <c r="BA59" s="43"/>
      <c r="BB59" s="43"/>
      <c r="BC59" s="43"/>
      <c r="BD59" s="43" t="s">
        <v>194</v>
      </c>
      <c r="BE59" s="43" t="s">
        <v>243</v>
      </c>
      <c r="BF59" s="22" t="s">
        <v>131</v>
      </c>
      <c r="BG59" s="22" t="s">
        <v>132</v>
      </c>
      <c r="BH59" s="22" t="s">
        <v>132</v>
      </c>
      <c r="BI59" s="22" t="s">
        <v>132</v>
      </c>
      <c r="BJ59" s="43"/>
      <c r="BK59" s="43"/>
      <c r="BL59" s="22" t="s">
        <v>1073</v>
      </c>
      <c r="BM59" s="22">
        <v>2.106909808E9</v>
      </c>
      <c r="BN59" s="22" t="s">
        <v>1074</v>
      </c>
      <c r="BO59" s="46" t="s">
        <v>1075</v>
      </c>
      <c r="BP59" s="22" t="s">
        <v>245</v>
      </c>
      <c r="BQ59" s="43"/>
      <c r="BR59" s="43"/>
      <c r="BS59" s="22" t="s">
        <v>1076</v>
      </c>
      <c r="BT59" s="43"/>
      <c r="BU59" s="22" t="s">
        <v>1077</v>
      </c>
      <c r="BV59" s="43" t="s">
        <v>1078</v>
      </c>
      <c r="BW59" s="22" t="s">
        <v>1079</v>
      </c>
      <c r="BX59" s="22">
        <v>180.0</v>
      </c>
      <c r="BY59" s="22" t="s">
        <v>492</v>
      </c>
      <c r="BZ59" s="43"/>
      <c r="CA59" s="22" t="s">
        <v>355</v>
      </c>
      <c r="CB59" s="22" t="s">
        <v>307</v>
      </c>
      <c r="CC59" s="45" t="s">
        <v>1080</v>
      </c>
      <c r="CD59" s="43"/>
      <c r="CE59" s="43"/>
      <c r="CF59" s="45"/>
      <c r="CG59" s="43"/>
      <c r="CH59" s="43"/>
      <c r="CI59" s="43"/>
      <c r="CJ59" s="43"/>
      <c r="CK59" s="43"/>
      <c r="CL59" s="43"/>
      <c r="CM59" s="49">
        <f>IFERROR(VLOOKUP(B59,CC!A:D,4,0)," ")</f>
        <v>271</v>
      </c>
      <c r="CN59" s="22" t="s">
        <v>1081</v>
      </c>
      <c r="CO59" s="22"/>
      <c r="CP59" s="22" t="s">
        <v>1082</v>
      </c>
      <c r="CQ59" s="22">
        <v>90.0</v>
      </c>
      <c r="CR59" s="43"/>
      <c r="CS59" s="43"/>
      <c r="CT59" s="22" t="s">
        <v>145</v>
      </c>
      <c r="CU59" s="43"/>
      <c r="CV59" s="43"/>
      <c r="CW59" s="43"/>
      <c r="CX59" s="43"/>
      <c r="CY59" s="43" t="b">
        <v>0</v>
      </c>
      <c r="CZ59" s="43" t="b">
        <v>0</v>
      </c>
      <c r="DA59" s="43" t="b">
        <v>0</v>
      </c>
      <c r="DB59" s="43" t="b">
        <v>0</v>
      </c>
      <c r="DC59" s="43"/>
      <c r="DD59" s="43"/>
      <c r="DE59" s="43"/>
      <c r="DF59" s="43"/>
      <c r="DG59" s="43"/>
      <c r="DH59" s="43"/>
      <c r="DI59" s="43"/>
      <c r="DJ59" s="22">
        <f>IFERROR(VLOOKUP($B59,'Лист4'!$D:$AI,27,0)," ")</f>
        <v>11</v>
      </c>
      <c r="DK59" s="22">
        <f>IFERROR(VLOOKUP($B59,'Лист4'!$D:$AI,28,0)," ")</f>
        <v>6</v>
      </c>
      <c r="DL59" s="22">
        <f>IFERROR(VLOOKUP($B59,'Лист4'!$D:$AI,29,0)," ")</f>
        <v>11</v>
      </c>
      <c r="DM59" s="22">
        <f t="shared" si="1"/>
        <v>726</v>
      </c>
      <c r="DN59" s="22">
        <f>IFERROR(VLOOKUP($B59,'Лист4'!$D:$AI,32,0)," ")</f>
        <v>0.149</v>
      </c>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43"/>
      <c r="ET59" s="43"/>
      <c r="EU59" s="43"/>
      <c r="EV59" s="43"/>
      <c r="EW59" s="43"/>
      <c r="EX59" s="43"/>
      <c r="EY59" s="43"/>
      <c r="EZ59" s="43"/>
      <c r="FA59" s="43"/>
      <c r="FB59" s="43"/>
      <c r="FC59" s="43"/>
      <c r="FD59" s="43"/>
      <c r="FE59" s="43"/>
      <c r="FF59" s="43"/>
      <c r="FG59" s="43"/>
      <c r="FH59" s="43"/>
      <c r="FI59" s="43"/>
    </row>
    <row r="60" ht="18.0" customHeight="1">
      <c r="A60" s="22" t="s">
        <v>116</v>
      </c>
      <c r="B60" s="43" t="s">
        <v>1083</v>
      </c>
      <c r="C60" s="22" t="s">
        <v>283</v>
      </c>
      <c r="D60" s="22" t="s">
        <v>119</v>
      </c>
      <c r="E60" s="43"/>
      <c r="F60" s="22" t="s">
        <v>1084</v>
      </c>
      <c r="G60" s="22" t="s">
        <v>361</v>
      </c>
      <c r="H60" s="22" t="s">
        <v>1027</v>
      </c>
      <c r="I60" s="43"/>
      <c r="J60" s="43"/>
      <c r="K60" s="22" t="b">
        <v>1</v>
      </c>
      <c r="L60" s="22" t="b">
        <v>1</v>
      </c>
      <c r="M60" s="22" t="b">
        <v>1</v>
      </c>
      <c r="N60" s="22" t="b">
        <v>1</v>
      </c>
      <c r="O60" s="22" t="b">
        <v>0</v>
      </c>
      <c r="P60" s="22" t="b">
        <v>0</v>
      </c>
      <c r="Q60" s="22" t="b">
        <v>0</v>
      </c>
      <c r="R60" s="43"/>
      <c r="S60" s="43" t="s">
        <v>1085</v>
      </c>
      <c r="T60" s="22" t="s">
        <v>1083</v>
      </c>
      <c r="U60" s="22" t="s">
        <v>1083</v>
      </c>
      <c r="V60" s="22" t="s">
        <v>1083</v>
      </c>
      <c r="W60" s="43"/>
      <c r="X60" s="43"/>
      <c r="Y60" s="43"/>
      <c r="Z60" s="43"/>
      <c r="AA60" s="22">
        <v>1.76110909E8</v>
      </c>
      <c r="AB60" s="22">
        <v>1.181035529E9</v>
      </c>
      <c r="AC60" s="22">
        <v>1.02621619721E11</v>
      </c>
      <c r="AD60" s="22"/>
      <c r="AE60" s="22"/>
      <c r="AF60" s="43"/>
      <c r="AG60" s="43"/>
      <c r="AH60" s="43" t="s">
        <v>1084</v>
      </c>
      <c r="AI60" s="22" t="s">
        <v>1086</v>
      </c>
      <c r="AJ60" s="22" t="s">
        <v>1087</v>
      </c>
      <c r="AK60" s="22" t="s">
        <v>1088</v>
      </c>
      <c r="AL60" s="43"/>
      <c r="AM60" s="43"/>
      <c r="AN60" s="43"/>
      <c r="AO60" s="43"/>
      <c r="AP60" s="46" t="s">
        <v>1089</v>
      </c>
      <c r="AQ60" s="46" t="s">
        <v>1090</v>
      </c>
      <c r="AR60" s="46" t="s">
        <v>1091</v>
      </c>
      <c r="AS60" s="43"/>
      <c r="AT60" s="43"/>
      <c r="AU60" s="43"/>
      <c r="AV60" s="43"/>
      <c r="AW60" s="22" t="s">
        <v>361</v>
      </c>
      <c r="AX60" s="22" t="s">
        <v>1087</v>
      </c>
      <c r="AY60" s="22" t="s">
        <v>372</v>
      </c>
      <c r="AZ60" s="43"/>
      <c r="BA60" s="43"/>
      <c r="BB60" s="43"/>
      <c r="BC60" s="43"/>
      <c r="BD60" s="43" t="s">
        <v>374</v>
      </c>
      <c r="BE60" s="43" t="s">
        <v>243</v>
      </c>
      <c r="BF60" s="22" t="s">
        <v>131</v>
      </c>
      <c r="BG60" s="22" t="s">
        <v>132</v>
      </c>
      <c r="BH60" s="22" t="s">
        <v>132</v>
      </c>
      <c r="BI60" s="22" t="s">
        <v>132</v>
      </c>
      <c r="BJ60" s="43"/>
      <c r="BK60" s="43"/>
      <c r="BL60" s="22">
        <v>4.607025203049E12</v>
      </c>
      <c r="BM60" s="22">
        <v>2.106909808E9</v>
      </c>
      <c r="BN60" s="22" t="s">
        <v>1092</v>
      </c>
      <c r="BO60" s="46" t="s">
        <v>1093</v>
      </c>
      <c r="BP60" s="22" t="s">
        <v>245</v>
      </c>
      <c r="BQ60" s="43"/>
      <c r="BR60" s="43"/>
      <c r="BS60" s="22" t="s">
        <v>1094</v>
      </c>
      <c r="BT60" s="43"/>
      <c r="BU60" s="22" t="s">
        <v>1095</v>
      </c>
      <c r="BV60" s="43" t="s">
        <v>1096</v>
      </c>
      <c r="BW60" s="22" t="s">
        <v>1097</v>
      </c>
      <c r="BX60" s="22">
        <v>90.0</v>
      </c>
      <c r="BY60" s="22" t="s">
        <v>492</v>
      </c>
      <c r="BZ60" s="43"/>
      <c r="CA60" s="22" t="s">
        <v>355</v>
      </c>
      <c r="CB60" s="22" t="s">
        <v>307</v>
      </c>
      <c r="CC60" s="45" t="s">
        <v>1098</v>
      </c>
      <c r="CD60" s="43"/>
      <c r="CE60" s="43"/>
      <c r="CF60" s="45" t="s">
        <v>1099</v>
      </c>
      <c r="CG60" s="43"/>
      <c r="CH60" s="43"/>
      <c r="CI60" s="43"/>
      <c r="CJ60" s="43"/>
      <c r="CK60" s="43"/>
      <c r="CL60" s="43"/>
      <c r="CM60" s="49">
        <f>IFERROR(VLOOKUP(B60,CC!A:D,4,0)," ")</f>
        <v>232.3</v>
      </c>
      <c r="CN60" s="22" t="s">
        <v>901</v>
      </c>
      <c r="CO60" s="22"/>
      <c r="CP60" s="22" t="s">
        <v>902</v>
      </c>
      <c r="CQ60" s="22">
        <v>60.0</v>
      </c>
      <c r="CR60" s="43"/>
      <c r="CS60" s="22">
        <v>1.0</v>
      </c>
      <c r="CT60" s="22" t="s">
        <v>145</v>
      </c>
      <c r="CU60" s="43"/>
      <c r="CV60" s="43"/>
      <c r="CW60" s="43"/>
      <c r="CX60" s="43"/>
      <c r="CY60" s="43" t="b">
        <v>0</v>
      </c>
      <c r="CZ60" s="43" t="b">
        <v>0</v>
      </c>
      <c r="DA60" s="43" t="b">
        <v>0</v>
      </c>
      <c r="DB60" s="43" t="b">
        <v>0</v>
      </c>
      <c r="DC60" s="43"/>
      <c r="DD60" s="43"/>
      <c r="DE60" s="43"/>
      <c r="DF60" s="43"/>
      <c r="DG60" s="43"/>
      <c r="DH60" s="43"/>
      <c r="DI60" s="43"/>
      <c r="DJ60" s="22">
        <f>IFERROR(VLOOKUP($B60,'Лист4'!$D:$AI,27,0)," ")</f>
        <v>9</v>
      </c>
      <c r="DK60" s="22">
        <f>IFERROR(VLOOKUP($B60,'Лист4'!$D:$AI,28,0)," ")</f>
        <v>5</v>
      </c>
      <c r="DL60" s="22">
        <f>IFERROR(VLOOKUP($B60,'Лист4'!$D:$AI,29,0)," ")</f>
        <v>9</v>
      </c>
      <c r="DM60" s="22">
        <f t="shared" si="1"/>
        <v>405</v>
      </c>
      <c r="DN60" s="22">
        <f>IFERROR(VLOOKUP($B60,'Лист4'!$D:$AI,32,0)," ")</f>
        <v>0.086</v>
      </c>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43"/>
      <c r="ET60" s="43"/>
      <c r="EU60" s="43"/>
      <c r="EV60" s="43"/>
      <c r="EW60" s="43"/>
      <c r="EX60" s="43"/>
      <c r="EY60" s="43"/>
      <c r="EZ60" s="43"/>
      <c r="FA60" s="43"/>
      <c r="FB60" s="43"/>
      <c r="FC60" s="43"/>
      <c r="FD60" s="43"/>
      <c r="FE60" s="43"/>
      <c r="FF60" s="43"/>
      <c r="FG60" s="43"/>
      <c r="FH60" s="43"/>
      <c r="FI60" s="43"/>
    </row>
    <row r="61" ht="18.0" customHeight="1">
      <c r="A61" s="22" t="s">
        <v>116</v>
      </c>
      <c r="B61" s="43" t="s">
        <v>1100</v>
      </c>
      <c r="C61" s="22" t="s">
        <v>283</v>
      </c>
      <c r="D61" s="22" t="s">
        <v>119</v>
      </c>
      <c r="E61" s="43"/>
      <c r="F61" s="22" t="s">
        <v>1101</v>
      </c>
      <c r="G61" s="22" t="s">
        <v>361</v>
      </c>
      <c r="H61" s="22" t="s">
        <v>1027</v>
      </c>
      <c r="I61" s="43"/>
      <c r="J61" s="43"/>
      <c r="K61" s="22" t="b">
        <v>1</v>
      </c>
      <c r="L61" s="22" t="b">
        <v>1</v>
      </c>
      <c r="M61" s="22" t="b">
        <v>1</v>
      </c>
      <c r="N61" s="22" t="b">
        <v>1</v>
      </c>
      <c r="O61" s="22" t="b">
        <v>1</v>
      </c>
      <c r="P61" s="22" t="b">
        <v>0</v>
      </c>
      <c r="Q61" s="22" t="b">
        <v>0</v>
      </c>
      <c r="R61" s="43"/>
      <c r="S61" s="43" t="s">
        <v>1102</v>
      </c>
      <c r="T61" s="22" t="s">
        <v>1100</v>
      </c>
      <c r="U61" s="22" t="s">
        <v>1100</v>
      </c>
      <c r="V61" s="22" t="s">
        <v>1100</v>
      </c>
      <c r="W61" s="43" t="s">
        <v>1100</v>
      </c>
      <c r="X61" s="43"/>
      <c r="Y61" s="43"/>
      <c r="Z61" s="43"/>
      <c r="AA61" s="22">
        <v>1.48382531E8</v>
      </c>
      <c r="AB61" s="22">
        <v>8.81205774E8</v>
      </c>
      <c r="AC61" s="22">
        <v>1.01975171797E11</v>
      </c>
      <c r="AD61" s="22">
        <v>9.9000122833E10</v>
      </c>
      <c r="AE61" s="22"/>
      <c r="AF61" s="43"/>
      <c r="AG61" s="43"/>
      <c r="AH61" s="43" t="s">
        <v>1101</v>
      </c>
      <c r="AI61" s="22" t="s">
        <v>1103</v>
      </c>
      <c r="AJ61" s="22" t="s">
        <v>1104</v>
      </c>
      <c r="AK61" s="22" t="s">
        <v>1105</v>
      </c>
      <c r="AL61" s="22" t="s">
        <v>1106</v>
      </c>
      <c r="AM61" s="43"/>
      <c r="AN61" s="43"/>
      <c r="AO61" s="43"/>
      <c r="AP61" s="46" t="s">
        <v>1107</v>
      </c>
      <c r="AQ61" s="46" t="s">
        <v>1108</v>
      </c>
      <c r="AR61" s="46" t="s">
        <v>1109</v>
      </c>
      <c r="AS61" s="46" t="s">
        <v>1110</v>
      </c>
      <c r="AT61" s="43"/>
      <c r="AU61" s="43"/>
      <c r="AV61" s="43"/>
      <c r="AW61" s="22" t="s">
        <v>361</v>
      </c>
      <c r="AX61" s="22" t="s">
        <v>1104</v>
      </c>
      <c r="AY61" s="22" t="s">
        <v>372</v>
      </c>
      <c r="AZ61" s="22" t="s">
        <v>373</v>
      </c>
      <c r="BA61" s="43"/>
      <c r="BB61" s="43"/>
      <c r="BC61" s="43"/>
      <c r="BD61" s="43" t="s">
        <v>374</v>
      </c>
      <c r="BE61" s="43" t="s">
        <v>243</v>
      </c>
      <c r="BF61" s="22" t="s">
        <v>131</v>
      </c>
      <c r="BG61" s="22" t="s">
        <v>132</v>
      </c>
      <c r="BH61" s="22" t="s">
        <v>132</v>
      </c>
      <c r="BI61" s="22" t="s">
        <v>132</v>
      </c>
      <c r="BJ61" s="43"/>
      <c r="BK61" s="43"/>
      <c r="BL61" s="22">
        <v>4.670110184271E12</v>
      </c>
      <c r="BM61" s="22">
        <v>2.106909808E9</v>
      </c>
      <c r="BN61" s="22" t="s">
        <v>1111</v>
      </c>
      <c r="BO61" s="22"/>
      <c r="BP61" s="22" t="s">
        <v>245</v>
      </c>
      <c r="BQ61" s="43"/>
      <c r="BR61" s="43"/>
      <c r="BS61" s="22" t="s">
        <v>1112</v>
      </c>
      <c r="BT61" s="43"/>
      <c r="BU61" s="22" t="s">
        <v>1113</v>
      </c>
      <c r="BV61" s="43" t="s">
        <v>1114</v>
      </c>
      <c r="BW61" s="22" t="s">
        <v>1115</v>
      </c>
      <c r="BX61" s="22">
        <v>60.0</v>
      </c>
      <c r="BY61" s="22" t="s">
        <v>492</v>
      </c>
      <c r="BZ61" s="43"/>
      <c r="CA61" s="22" t="s">
        <v>849</v>
      </c>
      <c r="CB61" s="22" t="s">
        <v>307</v>
      </c>
      <c r="CC61" s="45" t="s">
        <v>1116</v>
      </c>
      <c r="CD61" s="43"/>
      <c r="CE61" s="43"/>
      <c r="CF61" s="45" t="s">
        <v>1117</v>
      </c>
      <c r="CG61" s="43"/>
      <c r="CH61" s="43"/>
      <c r="CI61" s="43"/>
      <c r="CJ61" s="43"/>
      <c r="CK61" s="43"/>
      <c r="CL61" s="43"/>
      <c r="CM61" s="49">
        <f>IFERROR(VLOOKUP(B61,CC!A:D,4,0)," ")</f>
        <v>190</v>
      </c>
      <c r="CN61" s="22" t="s">
        <v>1118</v>
      </c>
      <c r="CO61" s="22"/>
      <c r="CP61" s="22" t="s">
        <v>1119</v>
      </c>
      <c r="CQ61" s="22" t="s">
        <v>401</v>
      </c>
      <c r="CR61" s="43"/>
      <c r="CS61" s="43"/>
      <c r="CT61" s="22" t="s">
        <v>145</v>
      </c>
      <c r="CU61" s="43"/>
      <c r="CV61" s="43"/>
      <c r="CW61" s="43"/>
      <c r="CX61" s="43"/>
      <c r="CY61" s="43" t="b">
        <v>0</v>
      </c>
      <c r="CZ61" s="43" t="b">
        <v>0</v>
      </c>
      <c r="DA61" s="43" t="b">
        <v>0</v>
      </c>
      <c r="DB61" s="43" t="b">
        <v>0</v>
      </c>
      <c r="DC61" s="43"/>
      <c r="DD61" s="43"/>
      <c r="DE61" s="43"/>
      <c r="DF61" s="43"/>
      <c r="DG61" s="43"/>
      <c r="DH61" s="43"/>
      <c r="DI61" s="43"/>
      <c r="DJ61" s="22">
        <f>IFERROR(VLOOKUP($B61,'Лист4'!$D:$AI,27,0)," ")</f>
        <v>4</v>
      </c>
      <c r="DK61" s="22">
        <f>IFERROR(VLOOKUP($B61,'Лист4'!$D:$AI,28,0)," ")</f>
        <v>7</v>
      </c>
      <c r="DL61" s="22">
        <f>IFERROR(VLOOKUP($B61,'Лист4'!$D:$AI,29,0)," ")</f>
        <v>4</v>
      </c>
      <c r="DM61" s="22">
        <f t="shared" si="1"/>
        <v>112</v>
      </c>
      <c r="DN61" s="22">
        <f>IFERROR(VLOOKUP($B61,'Лист4'!$D:$AI,32,0)," ")</f>
        <v>0.1</v>
      </c>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43"/>
      <c r="ET61" s="43"/>
      <c r="EU61" s="43"/>
      <c r="EV61" s="43"/>
      <c r="EW61" s="43"/>
      <c r="EX61" s="43"/>
      <c r="EY61" s="43"/>
      <c r="EZ61" s="43"/>
      <c r="FA61" s="43"/>
      <c r="FB61" s="43"/>
      <c r="FC61" s="43"/>
      <c r="FD61" s="43"/>
      <c r="FE61" s="43"/>
      <c r="FF61" s="43"/>
      <c r="FG61" s="43"/>
      <c r="FH61" s="43"/>
      <c r="FI61" s="43"/>
    </row>
    <row r="62" ht="18.0" customHeight="1">
      <c r="A62" s="22" t="s">
        <v>116</v>
      </c>
      <c r="B62" s="43" t="s">
        <v>1120</v>
      </c>
      <c r="C62" s="22" t="s">
        <v>283</v>
      </c>
      <c r="D62" s="22" t="s">
        <v>119</v>
      </c>
      <c r="E62" s="43"/>
      <c r="F62" s="22" t="s">
        <v>1121</v>
      </c>
      <c r="G62" s="22" t="s">
        <v>361</v>
      </c>
      <c r="H62" s="22" t="s">
        <v>1027</v>
      </c>
      <c r="I62" s="43"/>
      <c r="J62" s="43"/>
      <c r="K62" s="22" t="b">
        <v>1</v>
      </c>
      <c r="L62" s="22" t="b">
        <v>1</v>
      </c>
      <c r="M62" s="22" t="b">
        <v>1</v>
      </c>
      <c r="N62" s="22" t="b">
        <v>1</v>
      </c>
      <c r="O62" s="22" t="b">
        <v>1</v>
      </c>
      <c r="P62" s="22" t="b">
        <v>0</v>
      </c>
      <c r="Q62" s="22" t="b">
        <v>0</v>
      </c>
      <c r="R62" s="43"/>
      <c r="S62" s="43" t="s">
        <v>1122</v>
      </c>
      <c r="T62" s="22" t="s">
        <v>1120</v>
      </c>
      <c r="U62" s="22" t="s">
        <v>1120</v>
      </c>
      <c r="V62" s="22" t="s">
        <v>1120</v>
      </c>
      <c r="W62" s="43" t="s">
        <v>1120</v>
      </c>
      <c r="X62" s="43"/>
      <c r="Y62" s="43"/>
      <c r="Z62" s="43"/>
      <c r="AA62" s="22">
        <v>1.57382017E8</v>
      </c>
      <c r="AB62" s="22">
        <v>9.45003764E8</v>
      </c>
      <c r="AC62" s="22">
        <v>1.02019832737E11</v>
      </c>
      <c r="AD62" s="22">
        <v>9.9000121335E10</v>
      </c>
      <c r="AE62" s="22"/>
      <c r="AF62" s="43"/>
      <c r="AG62" s="43"/>
      <c r="AH62" s="43" t="s">
        <v>1121</v>
      </c>
      <c r="AI62" s="22" t="s">
        <v>1123</v>
      </c>
      <c r="AJ62" s="22" t="s">
        <v>1124</v>
      </c>
      <c r="AK62" s="22" t="s">
        <v>1125</v>
      </c>
      <c r="AL62" s="22" t="s">
        <v>1126</v>
      </c>
      <c r="AM62" s="43"/>
      <c r="AN62" s="43"/>
      <c r="AO62" s="43"/>
      <c r="AP62" s="46" t="s">
        <v>1127</v>
      </c>
      <c r="AQ62" s="46" t="s">
        <v>1128</v>
      </c>
      <c r="AR62" s="46" t="s">
        <v>1129</v>
      </c>
      <c r="AS62" s="46" t="s">
        <v>1130</v>
      </c>
      <c r="AT62" s="43"/>
      <c r="AU62" s="43"/>
      <c r="AV62" s="43"/>
      <c r="AW62" s="22" t="s">
        <v>361</v>
      </c>
      <c r="AX62" s="22" t="s">
        <v>1124</v>
      </c>
      <c r="AY62" s="22" t="s">
        <v>372</v>
      </c>
      <c r="AZ62" s="22" t="s">
        <v>373</v>
      </c>
      <c r="BA62" s="43"/>
      <c r="BB62" s="43"/>
      <c r="BC62" s="43"/>
      <c r="BD62" s="43" t="s">
        <v>374</v>
      </c>
      <c r="BE62" s="43" t="s">
        <v>243</v>
      </c>
      <c r="BF62" s="22" t="s">
        <v>131</v>
      </c>
      <c r="BG62" s="22" t="s">
        <v>132</v>
      </c>
      <c r="BH62" s="22" t="s">
        <v>132</v>
      </c>
      <c r="BI62" s="22" t="s">
        <v>132</v>
      </c>
      <c r="BJ62" s="43"/>
      <c r="BK62" s="43"/>
      <c r="BL62" s="22">
        <v>4.670142964339E12</v>
      </c>
      <c r="BM62" s="22">
        <v>2.106909808E9</v>
      </c>
      <c r="BN62" s="22" t="s">
        <v>1131</v>
      </c>
      <c r="BO62" s="46" t="s">
        <v>1132</v>
      </c>
      <c r="BP62" s="22" t="s">
        <v>245</v>
      </c>
      <c r="BQ62" s="43"/>
      <c r="BR62" s="43"/>
      <c r="BS62" s="22" t="s">
        <v>1133</v>
      </c>
      <c r="BT62" s="43"/>
      <c r="BU62" s="22" t="s">
        <v>1134</v>
      </c>
      <c r="BV62" s="43" t="s">
        <v>1135</v>
      </c>
      <c r="BW62" s="22" t="s">
        <v>1136</v>
      </c>
      <c r="BX62" s="22">
        <v>30.0</v>
      </c>
      <c r="BY62" s="22" t="s">
        <v>139</v>
      </c>
      <c r="BZ62" s="22"/>
      <c r="CA62" s="22" t="s">
        <v>355</v>
      </c>
      <c r="CB62" s="22" t="s">
        <v>307</v>
      </c>
      <c r="CC62" s="45" t="s">
        <v>1137</v>
      </c>
      <c r="CD62" s="43"/>
      <c r="CE62" s="43"/>
      <c r="CF62" s="45" t="s">
        <v>1138</v>
      </c>
      <c r="CG62" s="43"/>
      <c r="CH62" s="43"/>
      <c r="CI62" s="43"/>
      <c r="CJ62" s="43"/>
      <c r="CK62" s="43"/>
      <c r="CL62" s="43"/>
      <c r="CM62" s="49">
        <f>IFERROR(VLOOKUP(B62,CC!A:D,4,0)," ")</f>
        <v>265</v>
      </c>
      <c r="CN62" s="22" t="s">
        <v>968</v>
      </c>
      <c r="CO62" s="22"/>
      <c r="CP62" s="22" t="s">
        <v>969</v>
      </c>
      <c r="CQ62" s="22">
        <v>60.0</v>
      </c>
      <c r="CR62" s="43"/>
      <c r="CS62" s="22">
        <v>10.0</v>
      </c>
      <c r="CT62" s="22" t="s">
        <v>145</v>
      </c>
      <c r="CU62" s="43"/>
      <c r="CV62" s="43"/>
      <c r="CW62" s="43"/>
      <c r="CX62" s="43"/>
      <c r="CY62" s="43" t="b">
        <v>0</v>
      </c>
      <c r="CZ62" s="43" t="b">
        <v>0</v>
      </c>
      <c r="DA62" s="43" t="b">
        <v>0</v>
      </c>
      <c r="DB62" s="43" t="b">
        <v>0</v>
      </c>
      <c r="DC62" s="43"/>
      <c r="DD62" s="43"/>
      <c r="DE62" s="43"/>
      <c r="DF62" s="43"/>
      <c r="DG62" s="43"/>
      <c r="DH62" s="43"/>
      <c r="DI62" s="43"/>
      <c r="DJ62" s="22">
        <f>IFERROR(VLOOKUP($B62,'Лист4'!$D:$AI,27,0)," ")</f>
        <v>11</v>
      </c>
      <c r="DK62" s="22">
        <f>IFERROR(VLOOKUP($B62,'Лист4'!$D:$AI,28,0)," ")</f>
        <v>3</v>
      </c>
      <c r="DL62" s="22">
        <f>IFERROR(VLOOKUP($B62,'Лист4'!$D:$AI,29,0)," ")</f>
        <v>11</v>
      </c>
      <c r="DM62" s="22">
        <f t="shared" si="1"/>
        <v>363</v>
      </c>
      <c r="DN62" s="22">
        <f>IFERROR(VLOOKUP($B62,'Лист4'!$D:$AI,32,0)," ")</f>
        <v>0.087</v>
      </c>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43"/>
      <c r="ET62" s="43"/>
      <c r="EU62" s="43"/>
      <c r="EV62" s="43"/>
      <c r="EW62" s="43"/>
      <c r="EX62" s="43"/>
      <c r="EY62" s="43"/>
      <c r="EZ62" s="43"/>
      <c r="FA62" s="43"/>
      <c r="FB62" s="43"/>
      <c r="FC62" s="43"/>
      <c r="FD62" s="43"/>
      <c r="FE62" s="43"/>
      <c r="FF62" s="43"/>
      <c r="FG62" s="43"/>
      <c r="FH62" s="43"/>
      <c r="FI62" s="43"/>
    </row>
    <row r="63" ht="18.0" customHeight="1">
      <c r="A63" s="22" t="s">
        <v>116</v>
      </c>
      <c r="B63" s="43" t="s">
        <v>1139</v>
      </c>
      <c r="C63" s="22" t="s">
        <v>283</v>
      </c>
      <c r="D63" s="22" t="s">
        <v>119</v>
      </c>
      <c r="E63" s="43" t="s">
        <v>1140</v>
      </c>
      <c r="F63" s="22" t="s">
        <v>1141</v>
      </c>
      <c r="G63" s="22" t="s">
        <v>361</v>
      </c>
      <c r="H63" s="22" t="s">
        <v>1027</v>
      </c>
      <c r="I63" s="43"/>
      <c r="J63" s="43"/>
      <c r="K63" s="22" t="b">
        <v>1</v>
      </c>
      <c r="L63" s="22" t="b">
        <v>1</v>
      </c>
      <c r="M63" s="22" t="b">
        <v>1</v>
      </c>
      <c r="N63" s="22" t="b">
        <v>1</v>
      </c>
      <c r="O63" s="22" t="b">
        <v>0</v>
      </c>
      <c r="P63" s="22" t="b">
        <v>0</v>
      </c>
      <c r="Q63" s="22" t="b">
        <v>0</v>
      </c>
      <c r="R63" s="43"/>
      <c r="S63" s="43" t="s">
        <v>1142</v>
      </c>
      <c r="T63" s="22" t="s">
        <v>1139</v>
      </c>
      <c r="U63" s="22" t="s">
        <v>1139</v>
      </c>
      <c r="V63" s="22" t="s">
        <v>1139</v>
      </c>
      <c r="W63" s="43"/>
      <c r="X63" s="43"/>
      <c r="Y63" s="43"/>
      <c r="Z63" s="43"/>
      <c r="AA63" s="22">
        <v>1.38758948E8</v>
      </c>
      <c r="AB63" s="22">
        <v>8.1482422E8</v>
      </c>
      <c r="AC63" s="22">
        <v>1.01948497015E11</v>
      </c>
      <c r="AD63" s="22"/>
      <c r="AE63" s="22"/>
      <c r="AF63" s="43"/>
      <c r="AG63" s="43"/>
      <c r="AH63" s="43" t="s">
        <v>1141</v>
      </c>
      <c r="AI63" s="22" t="s">
        <v>1143</v>
      </c>
      <c r="AJ63" s="22" t="s">
        <v>1144</v>
      </c>
      <c r="AK63" s="22" t="s">
        <v>1145</v>
      </c>
      <c r="AL63" s="43"/>
      <c r="AM63" s="43"/>
      <c r="AN63" s="43"/>
      <c r="AO63" s="43"/>
      <c r="AP63" s="46" t="s">
        <v>1146</v>
      </c>
      <c r="AQ63" s="46" t="s">
        <v>1147</v>
      </c>
      <c r="AR63" s="46" t="s">
        <v>1148</v>
      </c>
      <c r="AS63" s="43"/>
      <c r="AT63" s="43"/>
      <c r="AU63" s="43"/>
      <c r="AV63" s="43"/>
      <c r="AW63" s="22" t="s">
        <v>361</v>
      </c>
      <c r="AX63" s="22" t="s">
        <v>1144</v>
      </c>
      <c r="AY63" s="22" t="s">
        <v>372</v>
      </c>
      <c r="AZ63" s="43"/>
      <c r="BA63" s="43"/>
      <c r="BB63" s="43"/>
      <c r="BC63" s="43"/>
      <c r="BD63" s="43" t="s">
        <v>374</v>
      </c>
      <c r="BE63" s="43" t="s">
        <v>243</v>
      </c>
      <c r="BF63" s="22" t="s">
        <v>131</v>
      </c>
      <c r="BG63" s="22" t="s">
        <v>132</v>
      </c>
      <c r="BH63" s="22" t="s">
        <v>132</v>
      </c>
      <c r="BI63" s="22" t="s">
        <v>132</v>
      </c>
      <c r="BJ63" s="43"/>
      <c r="BK63" s="43"/>
      <c r="BL63" s="22">
        <v>4.607025202875E12</v>
      </c>
      <c r="BM63" s="22">
        <v>3.504009E9</v>
      </c>
      <c r="BN63" s="22" t="s">
        <v>1149</v>
      </c>
      <c r="BO63" s="22"/>
      <c r="BP63" s="22" t="s">
        <v>245</v>
      </c>
      <c r="BQ63" s="43"/>
      <c r="BR63" s="43"/>
      <c r="BS63" s="22" t="s">
        <v>1150</v>
      </c>
      <c r="BT63" s="43"/>
      <c r="BU63" s="22" t="s">
        <v>1151</v>
      </c>
      <c r="BV63" s="43" t="s">
        <v>557</v>
      </c>
      <c r="BW63" s="22" t="s">
        <v>398</v>
      </c>
      <c r="BX63" s="22">
        <v>90.0</v>
      </c>
      <c r="BY63" s="22" t="s">
        <v>210</v>
      </c>
      <c r="BZ63" s="22"/>
      <c r="CA63" s="22" t="s">
        <v>355</v>
      </c>
      <c r="CB63" s="22" t="s">
        <v>307</v>
      </c>
      <c r="CC63" s="44" t="s">
        <v>1152</v>
      </c>
      <c r="CD63" s="43"/>
      <c r="CE63" s="43"/>
      <c r="CF63" s="45" t="s">
        <v>1153</v>
      </c>
      <c r="CG63" s="54">
        <v>46101.0</v>
      </c>
      <c r="CH63" s="46" t="s">
        <v>1154</v>
      </c>
      <c r="CI63" s="43"/>
      <c r="CJ63" s="43"/>
      <c r="CK63" s="43"/>
      <c r="CL63" s="43"/>
      <c r="CM63" s="49">
        <f>IFERROR(VLOOKUP(B63,CC!A:D,4,0)," ")</f>
        <v>169.09</v>
      </c>
      <c r="CN63" s="22" t="s">
        <v>901</v>
      </c>
      <c r="CO63" s="22"/>
      <c r="CP63" s="22" t="s">
        <v>902</v>
      </c>
      <c r="CQ63" s="22" t="s">
        <v>401</v>
      </c>
      <c r="CR63" s="43"/>
      <c r="CS63" s="22">
        <v>1.0</v>
      </c>
      <c r="CT63" s="22" t="s">
        <v>145</v>
      </c>
      <c r="CU63" s="43"/>
      <c r="CV63" s="43"/>
      <c r="CW63" s="43"/>
      <c r="CX63" s="43"/>
      <c r="CY63" s="43" t="b">
        <v>0</v>
      </c>
      <c r="CZ63" s="43" t="b">
        <v>0</v>
      </c>
      <c r="DA63" s="43" t="b">
        <v>0</v>
      </c>
      <c r="DB63" s="43" t="b">
        <v>0</v>
      </c>
      <c r="DC63" s="43"/>
      <c r="DD63" s="43"/>
      <c r="DE63" s="43"/>
      <c r="DF63" s="43"/>
      <c r="DG63" s="43"/>
      <c r="DH63" s="43"/>
      <c r="DI63" s="43"/>
      <c r="DJ63" s="22">
        <f>IFERROR(VLOOKUP($B63,'Лист4'!$D:$AI,27,0)," ")</f>
        <v>9</v>
      </c>
      <c r="DK63" s="22">
        <f>IFERROR(VLOOKUP($B63,'Лист4'!$D:$AI,28,0)," ")</f>
        <v>6</v>
      </c>
      <c r="DL63" s="22">
        <f>IFERROR(VLOOKUP($B63,'Лист4'!$D:$AI,29,0)," ")</f>
        <v>9</v>
      </c>
      <c r="DM63" s="22">
        <f t="shared" si="1"/>
        <v>486</v>
      </c>
      <c r="DN63" s="22">
        <f>IFERROR(VLOOKUP($B63,'Лист4'!$D:$AI,32,0)," ")</f>
        <v>0.05</v>
      </c>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43"/>
      <c r="ET63" s="43"/>
      <c r="EU63" s="43"/>
      <c r="EV63" s="43"/>
      <c r="EW63" s="43"/>
      <c r="EX63" s="43"/>
      <c r="EY63" s="43"/>
      <c r="EZ63" s="43"/>
      <c r="FA63" s="43"/>
      <c r="FB63" s="43"/>
      <c r="FC63" s="43"/>
      <c r="FD63" s="43"/>
      <c r="FE63" s="43"/>
      <c r="FF63" s="43"/>
      <c r="FG63" s="43"/>
      <c r="FH63" s="43"/>
      <c r="FI63" s="43"/>
    </row>
    <row r="64" ht="18.0" customHeight="1">
      <c r="A64" s="22" t="s">
        <v>116</v>
      </c>
      <c r="B64" s="43" t="s">
        <v>1155</v>
      </c>
      <c r="C64" s="22" t="s">
        <v>283</v>
      </c>
      <c r="D64" s="22" t="s">
        <v>853</v>
      </c>
      <c r="E64" s="43"/>
      <c r="F64" s="22" t="s">
        <v>1156</v>
      </c>
      <c r="G64" s="22" t="s">
        <v>361</v>
      </c>
      <c r="H64" s="22" t="s">
        <v>1027</v>
      </c>
      <c r="I64" s="43"/>
      <c r="J64" s="43"/>
      <c r="K64" s="22" t="b">
        <v>1</v>
      </c>
      <c r="L64" s="22" t="b">
        <v>1</v>
      </c>
      <c r="M64" s="22" t="b">
        <v>1</v>
      </c>
      <c r="N64" s="22" t="b">
        <v>1</v>
      </c>
      <c r="O64" s="22" t="b">
        <v>0</v>
      </c>
      <c r="P64" s="22" t="b">
        <v>0</v>
      </c>
      <c r="Q64" s="22" t="b">
        <v>0</v>
      </c>
      <c r="R64" s="43"/>
      <c r="S64" s="43" t="s">
        <v>1157</v>
      </c>
      <c r="T64" s="22" t="s">
        <v>1155</v>
      </c>
      <c r="U64" s="22" t="s">
        <v>1155</v>
      </c>
      <c r="V64" s="22" t="s">
        <v>1155</v>
      </c>
      <c r="W64" s="43"/>
      <c r="X64" s="43"/>
      <c r="Y64" s="43"/>
      <c r="Z64" s="43"/>
      <c r="AA64" s="22">
        <v>1.6525279E8</v>
      </c>
      <c r="AB64" s="22">
        <v>1.0326954E9</v>
      </c>
      <c r="AC64" s="22">
        <v>1.0205433015E11</v>
      </c>
      <c r="AD64" s="22"/>
      <c r="AE64" s="22"/>
      <c r="AF64" s="43"/>
      <c r="AG64" s="43"/>
      <c r="AH64" s="43" t="s">
        <v>1156</v>
      </c>
      <c r="AI64" s="22" t="s">
        <v>1158</v>
      </c>
      <c r="AJ64" s="22" t="s">
        <v>1159</v>
      </c>
      <c r="AK64" s="22" t="s">
        <v>1160</v>
      </c>
      <c r="AL64" s="43"/>
      <c r="AM64" s="43"/>
      <c r="AN64" s="43"/>
      <c r="AO64" s="43"/>
      <c r="AP64" s="46" t="s">
        <v>1161</v>
      </c>
      <c r="AQ64" s="46" t="s">
        <v>1162</v>
      </c>
      <c r="AR64" s="43"/>
      <c r="AS64" s="43"/>
      <c r="AT64" s="43"/>
      <c r="AU64" s="43"/>
      <c r="AV64" s="43"/>
      <c r="AW64" s="22" t="s">
        <v>361</v>
      </c>
      <c r="AX64" s="22" t="s">
        <v>1159</v>
      </c>
      <c r="AY64" s="22" t="s">
        <v>372</v>
      </c>
      <c r="AZ64" s="43"/>
      <c r="BA64" s="43"/>
      <c r="BB64" s="43"/>
      <c r="BC64" s="43"/>
      <c r="BD64" s="43" t="s">
        <v>243</v>
      </c>
      <c r="BE64" s="43" t="s">
        <v>243</v>
      </c>
      <c r="BF64" s="22" t="s">
        <v>131</v>
      </c>
      <c r="BG64" s="22" t="s">
        <v>132</v>
      </c>
      <c r="BH64" s="22" t="s">
        <v>132</v>
      </c>
      <c r="BI64" s="22" t="s">
        <v>132</v>
      </c>
      <c r="BJ64" s="43"/>
      <c r="BK64" s="43"/>
      <c r="BL64" s="22">
        <v>4.670167253043E12</v>
      </c>
      <c r="BM64" s="22">
        <v>2.106909808E9</v>
      </c>
      <c r="BN64" s="22" t="s">
        <v>1163</v>
      </c>
      <c r="BO64" s="46" t="s">
        <v>1164</v>
      </c>
      <c r="BP64" s="22" t="s">
        <v>245</v>
      </c>
      <c r="BQ64" s="43"/>
      <c r="BR64" s="43"/>
      <c r="BS64" s="22" t="s">
        <v>1165</v>
      </c>
      <c r="BT64" s="43"/>
      <c r="BU64" s="22" t="s">
        <v>1166</v>
      </c>
      <c r="BV64" s="43" t="s">
        <v>965</v>
      </c>
      <c r="BW64" s="22" t="s">
        <v>1167</v>
      </c>
      <c r="BX64" s="22">
        <v>90.0</v>
      </c>
      <c r="BY64" s="22" t="s">
        <v>492</v>
      </c>
      <c r="BZ64" s="43"/>
      <c r="CA64" s="22" t="s">
        <v>355</v>
      </c>
      <c r="CB64" s="22" t="s">
        <v>307</v>
      </c>
      <c r="CC64" s="45" t="s">
        <v>1168</v>
      </c>
      <c r="CD64" s="43"/>
      <c r="CE64" s="43"/>
      <c r="CF64" s="45" t="s">
        <v>1044</v>
      </c>
      <c r="CG64" s="43"/>
      <c r="CH64" s="43"/>
      <c r="CI64" s="43"/>
      <c r="CJ64" s="43"/>
      <c r="CK64" s="43"/>
      <c r="CL64" s="43"/>
      <c r="CM64" s="49">
        <f>IFERROR(VLOOKUP(B64,CC!A:D,4,0)," ")</f>
        <v>321.07</v>
      </c>
      <c r="CN64" s="22" t="s">
        <v>1169</v>
      </c>
      <c r="CO64" s="22"/>
      <c r="CP64" s="22" t="s">
        <v>1170</v>
      </c>
      <c r="CQ64" s="22">
        <v>60.0</v>
      </c>
      <c r="CR64" s="43"/>
      <c r="CS64" s="22">
        <v>3.0</v>
      </c>
      <c r="CT64" s="22" t="s">
        <v>145</v>
      </c>
      <c r="CU64" s="43"/>
      <c r="CV64" s="43"/>
      <c r="CW64" s="43"/>
      <c r="CX64" s="43"/>
      <c r="CY64" s="43" t="b">
        <v>0</v>
      </c>
      <c r="CZ64" s="43" t="b">
        <v>0</v>
      </c>
      <c r="DA64" s="43" t="b">
        <v>0</v>
      </c>
      <c r="DB64" s="43" t="b">
        <v>0</v>
      </c>
      <c r="DC64" s="43"/>
      <c r="DD64" s="43"/>
      <c r="DE64" s="43"/>
      <c r="DF64" s="43"/>
      <c r="DG64" s="43"/>
      <c r="DH64" s="43"/>
      <c r="DI64" s="43"/>
      <c r="DJ64" s="22">
        <f>IFERROR(VLOOKUP($B64,'Лист4'!$D:$AI,27,0)," ")</f>
        <v>6</v>
      </c>
      <c r="DK64" s="22">
        <f>IFERROR(VLOOKUP($B64,'Лист4'!$D:$AI,28,0)," ")</f>
        <v>11</v>
      </c>
      <c r="DL64" s="22">
        <f>IFERROR(VLOOKUP($B64,'Лист4'!$D:$AI,29,0)," ")</f>
        <v>6</v>
      </c>
      <c r="DM64" s="22">
        <f t="shared" si="1"/>
        <v>396</v>
      </c>
      <c r="DN64" s="22">
        <f>IFERROR(VLOOKUP($B64,'Лист4'!$D:$AI,32,0)," ")</f>
        <v>0.2</v>
      </c>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43"/>
      <c r="ET64" s="43"/>
      <c r="EU64" s="43"/>
      <c r="EV64" s="43"/>
      <c r="EW64" s="43"/>
      <c r="EX64" s="43"/>
      <c r="EY64" s="43"/>
      <c r="EZ64" s="43"/>
      <c r="FA64" s="43"/>
      <c r="FB64" s="43"/>
      <c r="FC64" s="43"/>
      <c r="FD64" s="43"/>
      <c r="FE64" s="43"/>
      <c r="FF64" s="43"/>
      <c r="FG64" s="43"/>
      <c r="FH64" s="43"/>
      <c r="FI64" s="43"/>
    </row>
    <row r="65" ht="18.0" customHeight="1">
      <c r="A65" s="22" t="s">
        <v>116</v>
      </c>
      <c r="B65" s="43" t="s">
        <v>1171</v>
      </c>
      <c r="C65" s="22" t="s">
        <v>283</v>
      </c>
      <c r="D65" s="22" t="s">
        <v>119</v>
      </c>
      <c r="E65" s="43" t="s">
        <v>1172</v>
      </c>
      <c r="F65" s="22" t="s">
        <v>1173</v>
      </c>
      <c r="G65" s="22" t="s">
        <v>361</v>
      </c>
      <c r="H65" s="22" t="s">
        <v>1027</v>
      </c>
      <c r="I65" s="43"/>
      <c r="J65" s="43"/>
      <c r="K65" s="22" t="b">
        <v>1</v>
      </c>
      <c r="L65" s="22" t="b">
        <v>1</v>
      </c>
      <c r="M65" s="22" t="b">
        <v>1</v>
      </c>
      <c r="N65" s="22" t="b">
        <v>1</v>
      </c>
      <c r="O65" s="22" t="b">
        <v>1</v>
      </c>
      <c r="P65" s="22" t="b">
        <v>0</v>
      </c>
      <c r="Q65" s="22" t="b">
        <v>0</v>
      </c>
      <c r="R65" s="43"/>
      <c r="S65" s="43" t="s">
        <v>1174</v>
      </c>
      <c r="T65" s="22" t="s">
        <v>1171</v>
      </c>
      <c r="U65" s="22" t="s">
        <v>1171</v>
      </c>
      <c r="V65" s="22" t="s">
        <v>1171</v>
      </c>
      <c r="W65" s="43" t="s">
        <v>1171</v>
      </c>
      <c r="X65" s="43"/>
      <c r="Y65" s="43"/>
      <c r="Z65" s="43"/>
      <c r="AA65" s="22">
        <v>2.09196024E8</v>
      </c>
      <c r="AB65" s="22">
        <v>1.499949331E9</v>
      </c>
      <c r="AC65" s="22">
        <v>1.03398256605E11</v>
      </c>
      <c r="AD65" s="22">
        <v>9.9000121333E10</v>
      </c>
      <c r="AE65" s="22"/>
      <c r="AF65" s="43"/>
      <c r="AG65" s="43"/>
      <c r="AH65" s="43" t="s">
        <v>1173</v>
      </c>
      <c r="AI65" s="22" t="s">
        <v>1175</v>
      </c>
      <c r="AJ65" s="22" t="s">
        <v>1176</v>
      </c>
      <c r="AK65" s="22" t="s">
        <v>1177</v>
      </c>
      <c r="AL65" s="22" t="s">
        <v>1178</v>
      </c>
      <c r="AM65" s="43"/>
      <c r="AN65" s="43"/>
      <c r="AO65" s="43"/>
      <c r="AP65" s="46" t="s">
        <v>1179</v>
      </c>
      <c r="AQ65" s="46" t="s">
        <v>1180</v>
      </c>
      <c r="AR65" s="46" t="s">
        <v>1181</v>
      </c>
      <c r="AS65" s="46" t="s">
        <v>1182</v>
      </c>
      <c r="AT65" s="43"/>
      <c r="AU65" s="43"/>
      <c r="AV65" s="43"/>
      <c r="AW65" s="22" t="s">
        <v>361</v>
      </c>
      <c r="AX65" s="22" t="s">
        <v>1176</v>
      </c>
      <c r="AY65" s="22" t="s">
        <v>372</v>
      </c>
      <c r="AZ65" s="22" t="s">
        <v>373</v>
      </c>
      <c r="BA65" s="43"/>
      <c r="BB65" s="43"/>
      <c r="BC65" s="43"/>
      <c r="BD65" s="43" t="s">
        <v>374</v>
      </c>
      <c r="BE65" s="43" t="s">
        <v>243</v>
      </c>
      <c r="BF65" s="22" t="s">
        <v>131</v>
      </c>
      <c r="BG65" s="22" t="s">
        <v>132</v>
      </c>
      <c r="BH65" s="22" t="s">
        <v>132</v>
      </c>
      <c r="BI65" s="22" t="s">
        <v>132</v>
      </c>
      <c r="BJ65" s="43"/>
      <c r="BK65" s="43"/>
      <c r="BL65" s="22">
        <v>4.630205149011E12</v>
      </c>
      <c r="BM65" s="22">
        <v>2.106909808E9</v>
      </c>
      <c r="BN65" s="22" t="s">
        <v>1183</v>
      </c>
      <c r="BO65" s="46" t="s">
        <v>1184</v>
      </c>
      <c r="BP65" s="22" t="s">
        <v>245</v>
      </c>
      <c r="BQ65" s="43"/>
      <c r="BR65" s="43"/>
      <c r="BS65" s="22" t="s">
        <v>1185</v>
      </c>
      <c r="BT65" s="43"/>
      <c r="BU65" s="22" t="s">
        <v>1186</v>
      </c>
      <c r="BV65" s="43" t="s">
        <v>1078</v>
      </c>
      <c r="BW65" s="22" t="s">
        <v>1079</v>
      </c>
      <c r="BX65" s="22">
        <v>120.0</v>
      </c>
      <c r="BY65" s="22" t="s">
        <v>210</v>
      </c>
      <c r="BZ65" s="43"/>
      <c r="CA65" s="22" t="s">
        <v>355</v>
      </c>
      <c r="CB65" s="22" t="s">
        <v>307</v>
      </c>
      <c r="CC65" s="45" t="s">
        <v>1187</v>
      </c>
      <c r="CD65" s="43"/>
      <c r="CE65" s="43"/>
      <c r="CF65" s="45"/>
      <c r="CG65" s="43"/>
      <c r="CH65" s="43"/>
      <c r="CI65" s="43"/>
      <c r="CJ65" s="43"/>
      <c r="CK65" s="43"/>
      <c r="CL65" s="43"/>
      <c r="CM65" s="49">
        <f>IFERROR(VLOOKUP(B65,CC!A:D,4,0)," ")</f>
        <v>190</v>
      </c>
      <c r="CN65" s="22" t="s">
        <v>494</v>
      </c>
      <c r="CO65" s="22"/>
      <c r="CP65" s="22" t="s">
        <v>495</v>
      </c>
      <c r="CQ65" s="22">
        <v>60.0</v>
      </c>
      <c r="CR65" s="43"/>
      <c r="CS65" s="22">
        <v>5.0</v>
      </c>
      <c r="CT65" s="22" t="s">
        <v>496</v>
      </c>
      <c r="CU65" s="43"/>
      <c r="CV65" s="43"/>
      <c r="CW65" s="43"/>
      <c r="CX65" s="43"/>
      <c r="CY65" s="43" t="b">
        <v>0</v>
      </c>
      <c r="CZ65" s="43" t="b">
        <v>0</v>
      </c>
      <c r="DA65" s="43" t="b">
        <v>0</v>
      </c>
      <c r="DB65" s="43" t="b">
        <v>0</v>
      </c>
      <c r="DC65" s="43"/>
      <c r="DD65" s="43"/>
      <c r="DE65" s="43"/>
      <c r="DF65" s="43"/>
      <c r="DG65" s="43"/>
      <c r="DH65" s="43"/>
      <c r="DI65" s="43"/>
      <c r="DJ65" s="22">
        <f>IFERROR(VLOOKUP($B65,'Лист4'!$D:$AI,27,0)," ")</f>
        <v>4</v>
      </c>
      <c r="DK65" s="22">
        <f>IFERROR(VLOOKUP($B65,'Лист4'!$D:$AI,28,0)," ")</f>
        <v>9</v>
      </c>
      <c r="DL65" s="22">
        <f>IFERROR(VLOOKUP($B65,'Лист4'!$D:$AI,29,0)," ")</f>
        <v>4</v>
      </c>
      <c r="DM65" s="22">
        <f t="shared" si="1"/>
        <v>144</v>
      </c>
      <c r="DN65" s="22">
        <f>IFERROR(VLOOKUP($B65,'Лист4'!$D:$AI,32,0)," ")</f>
        <v>0.062</v>
      </c>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43"/>
      <c r="ET65" s="43"/>
      <c r="EU65" s="43"/>
      <c r="EV65" s="43"/>
      <c r="EW65" s="43"/>
      <c r="EX65" s="43"/>
      <c r="EY65" s="43"/>
      <c r="EZ65" s="43"/>
      <c r="FA65" s="43"/>
      <c r="FB65" s="43"/>
      <c r="FC65" s="43"/>
      <c r="FD65" s="43"/>
      <c r="FE65" s="43"/>
      <c r="FF65" s="43"/>
      <c r="FG65" s="43"/>
      <c r="FH65" s="43"/>
      <c r="FI65" s="43"/>
    </row>
    <row r="66" ht="18.0" customHeight="1">
      <c r="A66" s="22" t="s">
        <v>116</v>
      </c>
      <c r="B66" s="43" t="s">
        <v>1188</v>
      </c>
      <c r="C66" s="22" t="s">
        <v>283</v>
      </c>
      <c r="D66" s="22" t="s">
        <v>119</v>
      </c>
      <c r="E66" s="43"/>
      <c r="F66" s="22" t="s">
        <v>1189</v>
      </c>
      <c r="G66" s="22" t="s">
        <v>361</v>
      </c>
      <c r="H66" s="22" t="s">
        <v>1027</v>
      </c>
      <c r="I66" s="43"/>
      <c r="J66" s="43"/>
      <c r="K66" s="22" t="b">
        <v>1</v>
      </c>
      <c r="L66" s="22" t="b">
        <v>1</v>
      </c>
      <c r="M66" s="22" t="b">
        <v>1</v>
      </c>
      <c r="N66" s="22" t="b">
        <v>1</v>
      </c>
      <c r="O66" s="22" t="b">
        <v>1</v>
      </c>
      <c r="P66" s="22" t="b">
        <v>0</v>
      </c>
      <c r="Q66" s="22" t="b">
        <v>0</v>
      </c>
      <c r="R66" s="43"/>
      <c r="S66" s="43" t="s">
        <v>1190</v>
      </c>
      <c r="T66" s="22" t="s">
        <v>1188</v>
      </c>
      <c r="U66" s="22" t="s">
        <v>1188</v>
      </c>
      <c r="V66" s="22" t="s">
        <v>1188</v>
      </c>
      <c r="W66" s="43" t="s">
        <v>1188</v>
      </c>
      <c r="X66" s="43"/>
      <c r="Y66" s="43"/>
      <c r="Z66" s="43"/>
      <c r="AA66" s="22">
        <v>1.96519115E8</v>
      </c>
      <c r="AB66" s="22">
        <v>1.342066127E9</v>
      </c>
      <c r="AC66" s="22">
        <v>1.02621875416E11</v>
      </c>
      <c r="AD66" s="22">
        <v>9.9000121327E10</v>
      </c>
      <c r="AE66" s="22"/>
      <c r="AF66" s="43"/>
      <c r="AG66" s="43"/>
      <c r="AH66" s="43" t="s">
        <v>1189</v>
      </c>
      <c r="AI66" s="22" t="s">
        <v>1191</v>
      </c>
      <c r="AJ66" s="22" t="s">
        <v>1192</v>
      </c>
      <c r="AK66" s="22" t="s">
        <v>1193</v>
      </c>
      <c r="AL66" s="22" t="s">
        <v>1194</v>
      </c>
      <c r="AM66" s="43"/>
      <c r="AN66" s="43"/>
      <c r="AO66" s="43"/>
      <c r="AP66" s="46" t="s">
        <v>1195</v>
      </c>
      <c r="AQ66" s="46" t="s">
        <v>1196</v>
      </c>
      <c r="AR66" s="46" t="s">
        <v>1197</v>
      </c>
      <c r="AS66" s="43"/>
      <c r="AT66" s="43"/>
      <c r="AU66" s="43"/>
      <c r="AV66" s="43"/>
      <c r="AW66" s="22" t="s">
        <v>361</v>
      </c>
      <c r="AX66" s="22" t="s">
        <v>1192</v>
      </c>
      <c r="AY66" s="22" t="s">
        <v>372</v>
      </c>
      <c r="AZ66" s="22" t="s">
        <v>373</v>
      </c>
      <c r="BA66" s="43"/>
      <c r="BB66" s="43"/>
      <c r="BC66" s="43"/>
      <c r="BD66" s="43" t="s">
        <v>374</v>
      </c>
      <c r="BE66" s="43" t="s">
        <v>243</v>
      </c>
      <c r="BF66" s="22" t="s">
        <v>131</v>
      </c>
      <c r="BG66" s="22" t="s">
        <v>132</v>
      </c>
      <c r="BH66" s="22" t="s">
        <v>132</v>
      </c>
      <c r="BI66" s="22" t="s">
        <v>132</v>
      </c>
      <c r="BJ66" s="43"/>
      <c r="BK66" s="43"/>
      <c r="BL66" s="22">
        <v>4.63020514573E12</v>
      </c>
      <c r="BM66" s="22">
        <v>2.106909808E9</v>
      </c>
      <c r="BN66" s="22" t="s">
        <v>1198</v>
      </c>
      <c r="BO66" s="46" t="s">
        <v>1199</v>
      </c>
      <c r="BP66" s="22" t="s">
        <v>245</v>
      </c>
      <c r="BQ66" s="43"/>
      <c r="BR66" s="43"/>
      <c r="BS66" s="22" t="s">
        <v>1200</v>
      </c>
      <c r="BT66" s="43"/>
      <c r="BU66" s="22" t="s">
        <v>1201</v>
      </c>
      <c r="BV66" s="43" t="s">
        <v>766</v>
      </c>
      <c r="BW66" s="22" t="s">
        <v>491</v>
      </c>
      <c r="BX66" s="22">
        <v>120.0</v>
      </c>
      <c r="BY66" s="22" t="s">
        <v>492</v>
      </c>
      <c r="BZ66" s="43"/>
      <c r="CA66" s="22" t="s">
        <v>726</v>
      </c>
      <c r="CB66" s="22" t="s">
        <v>727</v>
      </c>
      <c r="CC66" s="45" t="s">
        <v>1202</v>
      </c>
      <c r="CD66" s="43"/>
      <c r="CE66" s="43"/>
      <c r="CF66" s="45"/>
      <c r="CG66" s="43"/>
      <c r="CH66" s="43"/>
      <c r="CI66" s="43"/>
      <c r="CJ66" s="43"/>
      <c r="CK66" s="43"/>
      <c r="CL66" s="43"/>
      <c r="CM66" s="49">
        <f>IFERROR(VLOOKUP(B66,CC!A:D,4,0)," ")</f>
        <v>191</v>
      </c>
      <c r="CN66" s="22" t="s">
        <v>494</v>
      </c>
      <c r="CO66" s="22"/>
      <c r="CP66" s="22" t="s">
        <v>495</v>
      </c>
      <c r="CQ66" s="22">
        <v>60.0</v>
      </c>
      <c r="CR66" s="43"/>
      <c r="CS66" s="22">
        <v>5.0</v>
      </c>
      <c r="CT66" s="22" t="s">
        <v>496</v>
      </c>
      <c r="CU66" s="43"/>
      <c r="CV66" s="43"/>
      <c r="CW66" s="43"/>
      <c r="CX66" s="43"/>
      <c r="CY66" s="43" t="b">
        <v>0</v>
      </c>
      <c r="CZ66" s="43" t="b">
        <v>0</v>
      </c>
      <c r="DA66" s="43" t="b">
        <v>0</v>
      </c>
      <c r="DB66" s="43" t="b">
        <v>0</v>
      </c>
      <c r="DC66" s="43"/>
      <c r="DD66" s="43"/>
      <c r="DE66" s="43"/>
      <c r="DF66" s="43"/>
      <c r="DG66" s="43"/>
      <c r="DH66" s="43"/>
      <c r="DI66" s="43"/>
      <c r="DJ66" s="22">
        <f>IFERROR(VLOOKUP($B66,'Лист4'!$D:$AI,27,0)," ")</f>
        <v>4</v>
      </c>
      <c r="DK66" s="22">
        <f>IFERROR(VLOOKUP($B66,'Лист4'!$D:$AI,28,0)," ")</f>
        <v>9</v>
      </c>
      <c r="DL66" s="22">
        <f>IFERROR(VLOOKUP($B66,'Лист4'!$D:$AI,29,0)," ")</f>
        <v>4</v>
      </c>
      <c r="DM66" s="22">
        <f t="shared" si="1"/>
        <v>144</v>
      </c>
      <c r="DN66" s="22">
        <f>IFERROR(VLOOKUP($B66,'Лист4'!$D:$AI,32,0)," ")</f>
        <v>0.062</v>
      </c>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43"/>
      <c r="ET66" s="43"/>
      <c r="EU66" s="43"/>
      <c r="EV66" s="43"/>
      <c r="EW66" s="43"/>
      <c r="EX66" s="43"/>
      <c r="EY66" s="43"/>
      <c r="EZ66" s="43"/>
      <c r="FA66" s="43"/>
      <c r="FB66" s="43"/>
      <c r="FC66" s="43"/>
      <c r="FD66" s="43"/>
      <c r="FE66" s="43"/>
      <c r="FF66" s="43"/>
      <c r="FG66" s="43"/>
      <c r="FH66" s="43"/>
      <c r="FI66" s="43"/>
    </row>
    <row r="67" ht="18.0" customHeight="1">
      <c r="A67" s="22" t="s">
        <v>116</v>
      </c>
      <c r="B67" s="43" t="s">
        <v>1203</v>
      </c>
      <c r="C67" s="22" t="s">
        <v>283</v>
      </c>
      <c r="D67" s="22" t="s">
        <v>119</v>
      </c>
      <c r="E67" s="43"/>
      <c r="F67" s="22" t="s">
        <v>1204</v>
      </c>
      <c r="G67" s="22" t="s">
        <v>361</v>
      </c>
      <c r="H67" s="22" t="s">
        <v>1027</v>
      </c>
      <c r="I67" s="43"/>
      <c r="J67" s="43"/>
      <c r="K67" s="22" t="b">
        <v>1</v>
      </c>
      <c r="L67" s="22" t="b">
        <v>1</v>
      </c>
      <c r="M67" s="22" t="b">
        <v>1</v>
      </c>
      <c r="N67" s="22" t="b">
        <v>1</v>
      </c>
      <c r="O67" s="22" t="b">
        <v>1</v>
      </c>
      <c r="P67" s="22" t="b">
        <v>0</v>
      </c>
      <c r="Q67" s="22" t="b">
        <v>0</v>
      </c>
      <c r="R67" s="43"/>
      <c r="S67" s="43" t="s">
        <v>1205</v>
      </c>
      <c r="T67" s="22" t="s">
        <v>1203</v>
      </c>
      <c r="U67" s="22" t="s">
        <v>1203</v>
      </c>
      <c r="V67" s="22" t="s">
        <v>1203</v>
      </c>
      <c r="W67" s="43" t="s">
        <v>1203</v>
      </c>
      <c r="X67" s="43"/>
      <c r="Y67" s="43"/>
      <c r="Z67" s="43"/>
      <c r="AA67" s="22">
        <v>9.1969213E7</v>
      </c>
      <c r="AB67" s="22">
        <v>6.50726667E8</v>
      </c>
      <c r="AC67" s="22">
        <v>1.0180513027E11</v>
      </c>
      <c r="AD67" s="22">
        <v>9.9000119614E10</v>
      </c>
      <c r="AE67" s="22"/>
      <c r="AF67" s="43"/>
      <c r="AG67" s="43"/>
      <c r="AH67" s="43" t="s">
        <v>1204</v>
      </c>
      <c r="AI67" s="22" t="s">
        <v>1103</v>
      </c>
      <c r="AJ67" s="22" t="s">
        <v>1206</v>
      </c>
      <c r="AK67" s="22" t="s">
        <v>1207</v>
      </c>
      <c r="AL67" s="22" t="s">
        <v>1208</v>
      </c>
      <c r="AM67" s="43"/>
      <c r="AN67" s="43"/>
      <c r="AO67" s="43"/>
      <c r="AP67" s="46" t="s">
        <v>1209</v>
      </c>
      <c r="AQ67" s="46" t="s">
        <v>1210</v>
      </c>
      <c r="AR67" s="46" t="s">
        <v>1211</v>
      </c>
      <c r="AS67" s="43"/>
      <c r="AT67" s="43"/>
      <c r="AU67" s="43"/>
      <c r="AV67" s="43"/>
      <c r="AW67" s="22" t="s">
        <v>361</v>
      </c>
      <c r="AX67" s="22" t="s">
        <v>1206</v>
      </c>
      <c r="AY67" s="22" t="s">
        <v>372</v>
      </c>
      <c r="AZ67" s="22" t="s">
        <v>778</v>
      </c>
      <c r="BA67" s="43"/>
      <c r="BB67" s="43"/>
      <c r="BC67" s="43"/>
      <c r="BD67" s="43" t="s">
        <v>374</v>
      </c>
      <c r="BE67" s="43" t="s">
        <v>243</v>
      </c>
      <c r="BF67" s="22" t="s">
        <v>131</v>
      </c>
      <c r="BG67" s="22" t="s">
        <v>132</v>
      </c>
      <c r="BH67" s="22" t="s">
        <v>132</v>
      </c>
      <c r="BI67" s="22" t="s">
        <v>132</v>
      </c>
      <c r="BJ67" s="43"/>
      <c r="BK67" s="43"/>
      <c r="BL67" s="22" t="s">
        <v>1212</v>
      </c>
      <c r="BM67" s="22">
        <v>2.106909808E9</v>
      </c>
      <c r="BN67" s="22" t="s">
        <v>1213</v>
      </c>
      <c r="BO67" s="22"/>
      <c r="BP67" s="22" t="s">
        <v>245</v>
      </c>
      <c r="BQ67" s="43"/>
      <c r="BR67" s="43"/>
      <c r="BS67" s="22" t="s">
        <v>1214</v>
      </c>
      <c r="BT67" s="43"/>
      <c r="BU67" s="22" t="s">
        <v>1215</v>
      </c>
      <c r="BV67" s="43" t="s">
        <v>557</v>
      </c>
      <c r="BW67" s="22" t="s">
        <v>1216</v>
      </c>
      <c r="BX67" s="22">
        <v>60.0</v>
      </c>
      <c r="BY67" s="22" t="s">
        <v>421</v>
      </c>
      <c r="BZ67" s="22"/>
      <c r="CA67" s="22" t="s">
        <v>849</v>
      </c>
      <c r="CB67" s="22" t="s">
        <v>307</v>
      </c>
      <c r="CC67" s="45" t="s">
        <v>1217</v>
      </c>
      <c r="CD67" s="43"/>
      <c r="CE67" s="43"/>
      <c r="CF67" s="45" t="s">
        <v>1218</v>
      </c>
      <c r="CG67" s="43"/>
      <c r="CH67" s="43"/>
      <c r="CI67" s="43"/>
      <c r="CJ67" s="43"/>
      <c r="CK67" s="43"/>
      <c r="CL67" s="43"/>
      <c r="CM67" s="49">
        <f>IFERROR(VLOOKUP(B67,CC!A:D,4,0)," ")</f>
        <v>236.59</v>
      </c>
      <c r="CN67" s="22" t="s">
        <v>1219</v>
      </c>
      <c r="CO67" s="22"/>
      <c r="CP67" s="22" t="s">
        <v>562</v>
      </c>
      <c r="CQ67" s="22" t="s">
        <v>401</v>
      </c>
      <c r="CR67" s="43"/>
      <c r="CS67" s="22">
        <v>10.0</v>
      </c>
      <c r="CT67" s="22" t="s">
        <v>145</v>
      </c>
      <c r="CU67" s="43"/>
      <c r="CV67" s="43"/>
      <c r="CW67" s="43"/>
      <c r="CX67" s="43"/>
      <c r="CY67" s="43" t="b">
        <v>0</v>
      </c>
      <c r="CZ67" s="43" t="b">
        <v>0</v>
      </c>
      <c r="DA67" s="43" t="b">
        <v>0</v>
      </c>
      <c r="DB67" s="43" t="b">
        <v>0</v>
      </c>
      <c r="DC67" s="43"/>
      <c r="DD67" s="43"/>
      <c r="DE67" s="43"/>
      <c r="DF67" s="43"/>
      <c r="DG67" s="43"/>
      <c r="DH67" s="43"/>
      <c r="DI67" s="43"/>
      <c r="DJ67" s="22">
        <f>IFERROR(VLOOKUP($B67,'Лист4'!$D:$AI,27,0)," ")</f>
        <v>5</v>
      </c>
      <c r="DK67" s="22">
        <f>IFERROR(VLOOKUP($B67,'Лист4'!$D:$AI,28,0)," ")</f>
        <v>9</v>
      </c>
      <c r="DL67" s="22">
        <f>IFERROR(VLOOKUP($B67,'Лист4'!$D:$AI,29,0)," ")</f>
        <v>5</v>
      </c>
      <c r="DM67" s="22">
        <f t="shared" si="1"/>
        <v>225</v>
      </c>
      <c r="DN67" s="22">
        <f>IFERROR(VLOOKUP($B67,'Лист4'!$D:$AI,32,0)," ")</f>
        <v>0.073</v>
      </c>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43"/>
      <c r="ET67" s="43"/>
      <c r="EU67" s="43"/>
      <c r="EV67" s="43"/>
      <c r="EW67" s="43"/>
      <c r="EX67" s="43"/>
      <c r="EY67" s="43"/>
      <c r="EZ67" s="43"/>
      <c r="FA67" s="43"/>
      <c r="FB67" s="43"/>
      <c r="FC67" s="43"/>
      <c r="FD67" s="43"/>
      <c r="FE67" s="43"/>
      <c r="FF67" s="43"/>
      <c r="FG67" s="43"/>
      <c r="FH67" s="43"/>
      <c r="FI67" s="43"/>
    </row>
    <row r="68" ht="18.0" customHeight="1">
      <c r="A68" s="22" t="s">
        <v>116</v>
      </c>
      <c r="B68" s="43" t="s">
        <v>1220</v>
      </c>
      <c r="C68" s="22" t="s">
        <v>283</v>
      </c>
      <c r="D68" s="22" t="s">
        <v>187</v>
      </c>
      <c r="E68" s="43" t="s">
        <v>992</v>
      </c>
      <c r="F68" s="22" t="s">
        <v>1221</v>
      </c>
      <c r="G68" s="22" t="s">
        <v>361</v>
      </c>
      <c r="H68" s="22" t="s">
        <v>1027</v>
      </c>
      <c r="I68" s="43"/>
      <c r="J68" s="43"/>
      <c r="K68" s="22" t="b">
        <v>1</v>
      </c>
      <c r="L68" s="22" t="b">
        <v>1</v>
      </c>
      <c r="M68" s="22" t="b">
        <v>1</v>
      </c>
      <c r="N68" s="22" t="b">
        <v>1</v>
      </c>
      <c r="O68" s="22" t="b">
        <v>1</v>
      </c>
      <c r="P68" s="22" t="b">
        <v>0</v>
      </c>
      <c r="Q68" s="22" t="b">
        <v>0</v>
      </c>
      <c r="R68" s="43"/>
      <c r="S68" s="43" t="s">
        <v>1222</v>
      </c>
      <c r="T68" s="22" t="s">
        <v>1220</v>
      </c>
      <c r="U68" s="22" t="s">
        <v>1220</v>
      </c>
      <c r="V68" s="22" t="s">
        <v>1220</v>
      </c>
      <c r="W68" s="43" t="s">
        <v>1220</v>
      </c>
      <c r="X68" s="43"/>
      <c r="Y68" s="43"/>
      <c r="Z68" s="43"/>
      <c r="AA68" s="22">
        <v>2.21232387E8</v>
      </c>
      <c r="AB68" s="22">
        <v>1.539152458E9</v>
      </c>
      <c r="AC68" s="22">
        <v>1.03398256607E11</v>
      </c>
      <c r="AD68" s="22">
        <v>9.9000118343E10</v>
      </c>
      <c r="AE68" s="22"/>
      <c r="AF68" s="43"/>
      <c r="AG68" s="43"/>
      <c r="AH68" s="43" t="s">
        <v>1221</v>
      </c>
      <c r="AI68" s="22" t="s">
        <v>1223</v>
      </c>
      <c r="AJ68" s="22" t="s">
        <v>1224</v>
      </c>
      <c r="AK68" s="22" t="s">
        <v>1225</v>
      </c>
      <c r="AL68" s="22" t="s">
        <v>1226</v>
      </c>
      <c r="AM68" s="43"/>
      <c r="AN68" s="43"/>
      <c r="AO68" s="43"/>
      <c r="AP68" s="46" t="s">
        <v>1227</v>
      </c>
      <c r="AQ68" s="46" t="s">
        <v>1228</v>
      </c>
      <c r="AR68" s="46" t="s">
        <v>1229</v>
      </c>
      <c r="AS68" s="43"/>
      <c r="AT68" s="43"/>
      <c r="AU68" s="43"/>
      <c r="AV68" s="43"/>
      <c r="AW68" s="22" t="s">
        <v>361</v>
      </c>
      <c r="AX68" s="22" t="s">
        <v>1224</v>
      </c>
      <c r="AY68" s="22" t="s">
        <v>372</v>
      </c>
      <c r="AZ68" s="22" t="s">
        <v>778</v>
      </c>
      <c r="BA68" s="43"/>
      <c r="BB68" s="43"/>
      <c r="BC68" s="43"/>
      <c r="BD68" s="43" t="s">
        <v>374</v>
      </c>
      <c r="BE68" s="43" t="s">
        <v>243</v>
      </c>
      <c r="BF68" s="22" t="s">
        <v>131</v>
      </c>
      <c r="BG68" s="22" t="s">
        <v>132</v>
      </c>
      <c r="BH68" s="22" t="s">
        <v>132</v>
      </c>
      <c r="BI68" s="22" t="s">
        <v>132</v>
      </c>
      <c r="BJ68" s="43"/>
      <c r="BK68" s="43"/>
      <c r="BL68" s="22">
        <v>4.670227412809E12</v>
      </c>
      <c r="BM68" s="22">
        <v>2.106909808E9</v>
      </c>
      <c r="BN68" s="22" t="s">
        <v>1230</v>
      </c>
      <c r="BO68" s="46" t="s">
        <v>1231</v>
      </c>
      <c r="BP68" s="22" t="s">
        <v>245</v>
      </c>
      <c r="BQ68" s="43"/>
      <c r="BR68" s="43"/>
      <c r="BS68" s="22" t="s">
        <v>1232</v>
      </c>
      <c r="BT68" s="43"/>
      <c r="BU68" s="22" t="s">
        <v>1233</v>
      </c>
      <c r="BV68" s="22" t="s">
        <v>557</v>
      </c>
      <c r="BW68" s="22" t="s">
        <v>491</v>
      </c>
      <c r="BX68" s="22">
        <v>90.0</v>
      </c>
      <c r="BY68" s="22" t="s">
        <v>492</v>
      </c>
      <c r="BZ68" s="43"/>
      <c r="CA68" s="22" t="s">
        <v>355</v>
      </c>
      <c r="CB68" s="22" t="s">
        <v>307</v>
      </c>
      <c r="CC68" s="45" t="s">
        <v>1234</v>
      </c>
      <c r="CD68" s="43"/>
      <c r="CE68" s="43"/>
      <c r="CF68" s="45"/>
      <c r="CG68" s="43"/>
      <c r="CH68" s="43"/>
      <c r="CI68" s="43"/>
      <c r="CJ68" s="43"/>
      <c r="CK68" s="43"/>
      <c r="CL68" s="43"/>
      <c r="CM68" s="49">
        <f>IFERROR(VLOOKUP(B68,CC!A:D,4,0)," ")</f>
        <v>190</v>
      </c>
      <c r="CN68" s="22" t="s">
        <v>494</v>
      </c>
      <c r="CO68" s="22"/>
      <c r="CP68" s="22" t="s">
        <v>495</v>
      </c>
      <c r="CQ68" s="22">
        <v>60.0</v>
      </c>
      <c r="CR68" s="43"/>
      <c r="CS68" s="22">
        <v>5.0</v>
      </c>
      <c r="CT68" s="22" t="s">
        <v>496</v>
      </c>
      <c r="CU68" s="43"/>
      <c r="CV68" s="43"/>
      <c r="CW68" s="43"/>
      <c r="CX68" s="43"/>
      <c r="CY68" s="43" t="b">
        <v>0</v>
      </c>
      <c r="CZ68" s="43" t="b">
        <v>0</v>
      </c>
      <c r="DA68" s="43" t="b">
        <v>0</v>
      </c>
      <c r="DB68" s="43" t="b">
        <v>0</v>
      </c>
      <c r="DC68" s="43"/>
      <c r="DD68" s="43"/>
      <c r="DE68" s="43"/>
      <c r="DF68" s="43"/>
      <c r="DG68" s="43"/>
      <c r="DH68" s="43"/>
      <c r="DI68" s="43"/>
      <c r="DJ68" s="22">
        <f>IFERROR(VLOOKUP($B68,'Лист4'!$D:$AI,27,0)," ")</f>
        <v>5</v>
      </c>
      <c r="DK68" s="22">
        <f>IFERROR(VLOOKUP($B68,'Лист4'!$D:$AI,28,0)," ")</f>
        <v>5</v>
      </c>
      <c r="DL68" s="22">
        <f>IFERROR(VLOOKUP($B68,'Лист4'!$D:$AI,29,0)," ")</f>
        <v>5</v>
      </c>
      <c r="DM68" s="22">
        <f t="shared" si="1"/>
        <v>125</v>
      </c>
      <c r="DN68" s="22">
        <f>IFERROR(VLOOKUP($B68,'Лист4'!$D:$AI,32,0)," ")</f>
        <v>0.058</v>
      </c>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43"/>
      <c r="ET68" s="43"/>
      <c r="EU68" s="43"/>
      <c r="EV68" s="43"/>
      <c r="EW68" s="43"/>
      <c r="EX68" s="43"/>
      <c r="EY68" s="43"/>
      <c r="EZ68" s="43"/>
      <c r="FA68" s="43"/>
      <c r="FB68" s="43"/>
      <c r="FC68" s="43"/>
      <c r="FD68" s="43"/>
      <c r="FE68" s="43"/>
      <c r="FF68" s="43"/>
      <c r="FG68" s="43"/>
      <c r="FH68" s="43"/>
      <c r="FI68" s="43"/>
    </row>
    <row r="69" ht="18.0" customHeight="1">
      <c r="A69" s="22" t="s">
        <v>116</v>
      </c>
      <c r="B69" s="43" t="s">
        <v>1235</v>
      </c>
      <c r="C69" s="22" t="s">
        <v>118</v>
      </c>
      <c r="D69" s="22" t="s">
        <v>119</v>
      </c>
      <c r="E69" s="43"/>
      <c r="F69" s="22" t="s">
        <v>1236</v>
      </c>
      <c r="G69" s="22" t="s">
        <v>443</v>
      </c>
      <c r="H69" s="22" t="s">
        <v>1237</v>
      </c>
      <c r="I69" s="43"/>
      <c r="J69" s="43"/>
      <c r="K69" s="22" t="b">
        <v>1</v>
      </c>
      <c r="L69" s="22" t="b">
        <v>1</v>
      </c>
      <c r="M69" s="22" t="b">
        <v>1</v>
      </c>
      <c r="N69" s="22" t="b">
        <v>1</v>
      </c>
      <c r="O69" s="22" t="b">
        <v>0</v>
      </c>
      <c r="P69" s="22" t="b">
        <v>0</v>
      </c>
      <c r="Q69" s="22" t="b">
        <v>0</v>
      </c>
      <c r="R69" s="43"/>
      <c r="S69" s="43" t="s">
        <v>1238</v>
      </c>
      <c r="T69" s="22" t="s">
        <v>1235</v>
      </c>
      <c r="U69" s="22" t="s">
        <v>1235</v>
      </c>
      <c r="V69" s="22" t="s">
        <v>1235</v>
      </c>
      <c r="W69" s="43"/>
      <c r="X69" s="43"/>
      <c r="Y69" s="43"/>
      <c r="Z69" s="43"/>
      <c r="AA69" s="22">
        <v>2.32451654E8</v>
      </c>
      <c r="AB69" s="22">
        <v>1.580754644E9</v>
      </c>
      <c r="AC69" s="22">
        <v>1.0339700266E11</v>
      </c>
      <c r="AD69" s="22"/>
      <c r="AE69" s="22"/>
      <c r="AF69" s="43"/>
      <c r="AG69" s="43"/>
      <c r="AH69" s="43" t="s">
        <v>1236</v>
      </c>
      <c r="AI69" s="22" t="s">
        <v>1239</v>
      </c>
      <c r="AJ69" s="22" t="s">
        <v>1240</v>
      </c>
      <c r="AK69" s="22" t="s">
        <v>1241</v>
      </c>
      <c r="AL69" s="43"/>
      <c r="AM69" s="43"/>
      <c r="AN69" s="43"/>
      <c r="AO69" s="43"/>
      <c r="AP69" s="46" t="s">
        <v>1242</v>
      </c>
      <c r="AQ69" s="46" t="s">
        <v>1243</v>
      </c>
      <c r="AR69" s="46" t="s">
        <v>1244</v>
      </c>
      <c r="AS69" s="43"/>
      <c r="AT69" s="43"/>
      <c r="AU69" s="43"/>
      <c r="AV69" s="43"/>
      <c r="AW69" s="22" t="s">
        <v>1245</v>
      </c>
      <c r="AX69" s="22" t="s">
        <v>1240</v>
      </c>
      <c r="AY69" s="22" t="s">
        <v>1246</v>
      </c>
      <c r="AZ69" s="43"/>
      <c r="BA69" s="43"/>
      <c r="BB69" s="43"/>
      <c r="BC69" s="43"/>
      <c r="BD69" s="43" t="s">
        <v>129</v>
      </c>
      <c r="BE69" s="43" t="s">
        <v>130</v>
      </c>
      <c r="BF69" s="22" t="s">
        <v>131</v>
      </c>
      <c r="BG69" s="22" t="s">
        <v>132</v>
      </c>
      <c r="BH69" s="22" t="s">
        <v>132</v>
      </c>
      <c r="BI69" s="22" t="s">
        <v>132</v>
      </c>
      <c r="BJ69" s="43"/>
      <c r="BK69" s="43"/>
      <c r="BL69" s="22">
        <v>4.605543012839E12</v>
      </c>
      <c r="BM69" s="22">
        <v>3.004900002E9</v>
      </c>
      <c r="BN69" s="22" t="s">
        <v>1247</v>
      </c>
      <c r="BO69" s="46" t="s">
        <v>1248</v>
      </c>
      <c r="BP69" s="22" t="s">
        <v>160</v>
      </c>
      <c r="BQ69" s="43"/>
      <c r="BR69" s="43"/>
      <c r="BS69" s="22" t="s">
        <v>1249</v>
      </c>
      <c r="BT69" s="43"/>
      <c r="BU69" s="22" t="s">
        <v>1250</v>
      </c>
      <c r="BV69" s="43"/>
      <c r="BW69" s="22" t="s">
        <v>1251</v>
      </c>
      <c r="BX69" s="22">
        <v>10.0</v>
      </c>
      <c r="BY69" s="22" t="s">
        <v>139</v>
      </c>
      <c r="BZ69" s="22"/>
      <c r="CA69" s="22" t="s">
        <v>355</v>
      </c>
      <c r="CB69" s="22" t="s">
        <v>307</v>
      </c>
      <c r="CC69" s="45" t="s">
        <v>1252</v>
      </c>
      <c r="CD69" s="43"/>
      <c r="CE69" s="43"/>
      <c r="CF69" s="45"/>
      <c r="CG69" s="43"/>
      <c r="CH69" s="43"/>
      <c r="CI69" s="43"/>
      <c r="CJ69" s="43"/>
      <c r="CK69" s="43"/>
      <c r="CL69" s="43"/>
      <c r="CM69" s="49">
        <f>IFERROR(VLOOKUP(B69,CC!A:D,4,0)," ")</f>
        <v>55.98</v>
      </c>
      <c r="CN69" s="22" t="s">
        <v>143</v>
      </c>
      <c r="CO69" s="22"/>
      <c r="CP69" s="22" t="s">
        <v>168</v>
      </c>
      <c r="CQ69" s="22">
        <v>30.0</v>
      </c>
      <c r="CR69" s="43"/>
      <c r="CS69" s="22">
        <v>1.0</v>
      </c>
      <c r="CT69" s="22" t="s">
        <v>145</v>
      </c>
      <c r="CU69" s="43"/>
      <c r="CV69" s="43"/>
      <c r="CW69" s="43"/>
      <c r="CX69" s="43"/>
      <c r="CY69" s="43" t="b">
        <v>0</v>
      </c>
      <c r="CZ69" s="43" t="b">
        <v>0</v>
      </c>
      <c r="DA69" s="43" t="b">
        <v>0</v>
      </c>
      <c r="DB69" s="43" t="b">
        <v>0</v>
      </c>
      <c r="DC69" s="43"/>
      <c r="DD69" s="43"/>
      <c r="DE69" s="43"/>
      <c r="DF69" s="43"/>
      <c r="DG69" s="43"/>
      <c r="DH69" s="43"/>
      <c r="DI69" s="43"/>
      <c r="DJ69" s="22">
        <f>IFERROR(VLOOKUP($B69,'Лист4'!$D:$AI,27,0)," ")</f>
        <v>8</v>
      </c>
      <c r="DK69" s="22">
        <f>IFERROR(VLOOKUP($B69,'Лист4'!$D:$AI,28,0)," ")</f>
        <v>4</v>
      </c>
      <c r="DL69" s="22">
        <f>IFERROR(VLOOKUP($B69,'Лист4'!$D:$AI,29,0)," ")</f>
        <v>8</v>
      </c>
      <c r="DM69" s="22">
        <f t="shared" si="1"/>
        <v>256</v>
      </c>
      <c r="DN69" s="22">
        <f>IFERROR(VLOOKUP($B69,'Лист4'!$D:$AI,32,0)," ")</f>
        <v>0.026</v>
      </c>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22"/>
      <c r="EN69" s="22"/>
      <c r="EO69" s="22"/>
      <c r="EP69" s="22"/>
      <c r="EQ69" s="22"/>
      <c r="ER69" s="22"/>
      <c r="ES69" s="43"/>
      <c r="ET69" s="43"/>
      <c r="EU69" s="43"/>
      <c r="EV69" s="43"/>
      <c r="EW69" s="43"/>
      <c r="EX69" s="43"/>
      <c r="EY69" s="43"/>
      <c r="EZ69" s="43"/>
      <c r="FA69" s="43"/>
      <c r="FB69" s="43"/>
      <c r="FC69" s="43"/>
      <c r="FD69" s="43"/>
      <c r="FE69" s="43"/>
      <c r="FF69" s="43"/>
      <c r="FG69" s="43"/>
      <c r="FH69" s="43"/>
      <c r="FI69" s="43"/>
    </row>
    <row r="70" ht="18.0" customHeight="1">
      <c r="A70" s="22" t="s">
        <v>116</v>
      </c>
      <c r="B70" s="43" t="s">
        <v>1253</v>
      </c>
      <c r="C70" s="22" t="s">
        <v>118</v>
      </c>
      <c r="D70" s="22" t="s">
        <v>119</v>
      </c>
      <c r="E70" s="43"/>
      <c r="F70" s="22" t="s">
        <v>1254</v>
      </c>
      <c r="G70" s="22" t="s">
        <v>443</v>
      </c>
      <c r="H70" s="22" t="s">
        <v>1237</v>
      </c>
      <c r="I70" s="43"/>
      <c r="J70" s="43"/>
      <c r="K70" s="22" t="b">
        <v>1</v>
      </c>
      <c r="L70" s="22" t="b">
        <v>1</v>
      </c>
      <c r="M70" s="22" t="b">
        <v>1</v>
      </c>
      <c r="N70" s="22" t="b">
        <v>1</v>
      </c>
      <c r="O70" s="22" t="b">
        <v>0</v>
      </c>
      <c r="P70" s="22" t="b">
        <v>0</v>
      </c>
      <c r="Q70" s="22" t="b">
        <v>0</v>
      </c>
      <c r="R70" s="43"/>
      <c r="S70" s="43" t="s">
        <v>1255</v>
      </c>
      <c r="T70" s="22" t="s">
        <v>1253</v>
      </c>
      <c r="U70" s="22" t="s">
        <v>1253</v>
      </c>
      <c r="V70" s="22" t="s">
        <v>1253</v>
      </c>
      <c r="W70" s="43"/>
      <c r="X70" s="43"/>
      <c r="Y70" s="43"/>
      <c r="Z70" s="43"/>
      <c r="AA70" s="22">
        <v>3.85728241E8</v>
      </c>
      <c r="AB70" s="22">
        <v>2.022703709E9</v>
      </c>
      <c r="AC70" s="22">
        <v>4.335656072E9</v>
      </c>
      <c r="AD70" s="22"/>
      <c r="AE70" s="22"/>
      <c r="AF70" s="43"/>
      <c r="AG70" s="43"/>
      <c r="AH70" s="43" t="s">
        <v>1254</v>
      </c>
      <c r="AI70" s="22" t="s">
        <v>1256</v>
      </c>
      <c r="AJ70" s="22" t="s">
        <v>1257</v>
      </c>
      <c r="AK70" s="22" t="s">
        <v>1258</v>
      </c>
      <c r="AL70" s="43"/>
      <c r="AM70" s="43"/>
      <c r="AN70" s="43"/>
      <c r="AO70" s="43"/>
      <c r="AP70" s="46" t="s">
        <v>1259</v>
      </c>
      <c r="AQ70" s="46" t="s">
        <v>1260</v>
      </c>
      <c r="AR70" s="46" t="s">
        <v>1261</v>
      </c>
      <c r="AS70" s="43"/>
      <c r="AT70" s="43"/>
      <c r="AU70" s="43"/>
      <c r="AV70" s="43"/>
      <c r="AW70" s="22" t="s">
        <v>1262</v>
      </c>
      <c r="AX70" s="22" t="s">
        <v>1257</v>
      </c>
      <c r="AY70" s="22" t="s">
        <v>1246</v>
      </c>
      <c r="AZ70" s="43"/>
      <c r="BA70" s="43"/>
      <c r="BB70" s="43"/>
      <c r="BC70" s="43"/>
      <c r="BD70" s="43" t="s">
        <v>129</v>
      </c>
      <c r="BE70" s="43" t="s">
        <v>243</v>
      </c>
      <c r="BF70" s="22" t="s">
        <v>131</v>
      </c>
      <c r="BG70" s="22" t="s">
        <v>132</v>
      </c>
      <c r="BH70" s="22" t="s">
        <v>132</v>
      </c>
      <c r="BI70" s="22" t="s">
        <v>132</v>
      </c>
      <c r="BJ70" s="43"/>
      <c r="BK70" s="43"/>
      <c r="BL70" s="22">
        <v>4.680201379691E12</v>
      </c>
      <c r="BM70" s="22">
        <v>3.307900008E9</v>
      </c>
      <c r="BN70" s="22" t="s">
        <v>1263</v>
      </c>
      <c r="BO70" s="46" t="s">
        <v>1264</v>
      </c>
      <c r="BP70" s="22" t="s">
        <v>245</v>
      </c>
      <c r="BQ70" s="43"/>
      <c r="BR70" s="43"/>
      <c r="BS70" s="22" t="s">
        <v>1265</v>
      </c>
      <c r="BT70" s="43"/>
      <c r="BU70" s="22" t="s">
        <v>1266</v>
      </c>
      <c r="BV70" s="43"/>
      <c r="BW70" s="22" t="s">
        <v>1267</v>
      </c>
      <c r="BX70" s="22">
        <v>100.0</v>
      </c>
      <c r="BY70" s="22" t="s">
        <v>139</v>
      </c>
      <c r="BZ70" s="22"/>
      <c r="CA70" s="22" t="s">
        <v>332</v>
      </c>
      <c r="CB70" s="22" t="s">
        <v>332</v>
      </c>
      <c r="CC70" s="45" t="s">
        <v>1268</v>
      </c>
      <c r="CD70" s="43"/>
      <c r="CE70" s="43"/>
      <c r="CF70" s="44" t="s">
        <v>1269</v>
      </c>
      <c r="CG70" s="54">
        <v>46044.0</v>
      </c>
      <c r="CH70" s="43"/>
      <c r="CI70" s="43"/>
      <c r="CJ70" s="43"/>
      <c r="CK70" s="43"/>
      <c r="CL70" s="43"/>
      <c r="CM70" s="49">
        <f>IFERROR(VLOOKUP(B70,CC!A:D,4,0)," ")</f>
        <v>108</v>
      </c>
      <c r="CN70" s="22" t="s">
        <v>250</v>
      </c>
      <c r="CO70" s="22"/>
      <c r="CP70" s="22" t="s">
        <v>251</v>
      </c>
      <c r="CQ70" s="22">
        <v>60.0</v>
      </c>
      <c r="CR70" s="43"/>
      <c r="CS70" s="22">
        <v>2.0</v>
      </c>
      <c r="CT70" s="22" t="s">
        <v>145</v>
      </c>
      <c r="CU70" s="43"/>
      <c r="CV70" s="43"/>
      <c r="CW70" s="43"/>
      <c r="CX70" s="43"/>
      <c r="CY70" s="43" t="b">
        <v>0</v>
      </c>
      <c r="CZ70" s="43" t="b">
        <v>0</v>
      </c>
      <c r="DA70" s="43" t="b">
        <v>0</v>
      </c>
      <c r="DB70" s="43" t="b">
        <v>0</v>
      </c>
      <c r="DC70" s="43"/>
      <c r="DD70" s="43"/>
      <c r="DE70" s="43"/>
      <c r="DF70" s="43"/>
      <c r="DG70" s="43"/>
      <c r="DH70" s="43"/>
      <c r="DI70" s="43"/>
      <c r="DJ70" s="22">
        <f>IFERROR(VLOOKUP($B70,'Лист4'!$D:$AI,27,0)," ")</f>
        <v>4</v>
      </c>
      <c r="DK70" s="22">
        <f>IFERROR(VLOOKUP($B70,'Лист4'!$D:$AI,28,0)," ")</f>
        <v>16</v>
      </c>
      <c r="DL70" s="22">
        <f>IFERROR(VLOOKUP($B70,'Лист4'!$D:$AI,29,0)," ")</f>
        <v>4</v>
      </c>
      <c r="DM70" s="22">
        <f t="shared" si="1"/>
        <v>256</v>
      </c>
      <c r="DN70" s="22">
        <f>IFERROR(VLOOKUP($B70,'Лист4'!$D:$AI,32,0)," ")</f>
        <v>0.126</v>
      </c>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43"/>
      <c r="ET70" s="43"/>
      <c r="EU70" s="43"/>
      <c r="EV70" s="43"/>
      <c r="EW70" s="43"/>
      <c r="EX70" s="43"/>
      <c r="EY70" s="43"/>
      <c r="EZ70" s="43"/>
      <c r="FA70" s="43"/>
      <c r="FB70" s="43"/>
      <c r="FC70" s="43"/>
      <c r="FD70" s="43"/>
      <c r="FE70" s="43"/>
      <c r="FF70" s="43"/>
      <c r="FG70" s="43"/>
      <c r="FH70" s="43"/>
      <c r="FI70" s="43"/>
    </row>
    <row r="71" ht="18.0" customHeight="1">
      <c r="A71" s="22" t="s">
        <v>116</v>
      </c>
      <c r="B71" s="43" t="s">
        <v>1270</v>
      </c>
      <c r="C71" s="22" t="s">
        <v>283</v>
      </c>
      <c r="D71" s="22" t="s">
        <v>187</v>
      </c>
      <c r="E71" s="43"/>
      <c r="F71" s="22" t="s">
        <v>1271</v>
      </c>
      <c r="G71" s="22" t="s">
        <v>361</v>
      </c>
      <c r="H71" s="22" t="s">
        <v>1272</v>
      </c>
      <c r="I71" s="43"/>
      <c r="J71" s="43"/>
      <c r="K71" s="22" t="b">
        <v>1</v>
      </c>
      <c r="L71" s="22" t="b">
        <v>1</v>
      </c>
      <c r="M71" s="22" t="b">
        <v>1</v>
      </c>
      <c r="N71" s="22" t="b">
        <v>1</v>
      </c>
      <c r="O71" s="22" t="b">
        <v>0</v>
      </c>
      <c r="P71" s="22" t="b">
        <v>0</v>
      </c>
      <c r="Q71" s="22" t="b">
        <v>0</v>
      </c>
      <c r="R71" s="43"/>
      <c r="S71" s="43" t="s">
        <v>1273</v>
      </c>
      <c r="T71" s="22" t="s">
        <v>1270</v>
      </c>
      <c r="U71" s="22" t="s">
        <v>1270</v>
      </c>
      <c r="V71" s="22" t="s">
        <v>1270</v>
      </c>
      <c r="W71" s="43"/>
      <c r="X71" s="43"/>
      <c r="Y71" s="43"/>
      <c r="Z71" s="43"/>
      <c r="AA71" s="22">
        <v>2.28329542E8</v>
      </c>
      <c r="AB71" s="22">
        <v>1.56374202E9</v>
      </c>
      <c r="AC71" s="22">
        <v>1.03397906852E11</v>
      </c>
      <c r="AD71" s="22"/>
      <c r="AE71" s="22"/>
      <c r="AF71" s="43"/>
      <c r="AG71" s="43"/>
      <c r="AH71" s="43" t="s">
        <v>1271</v>
      </c>
      <c r="AI71" s="22" t="s">
        <v>1274</v>
      </c>
      <c r="AJ71" s="22" t="s">
        <v>1275</v>
      </c>
      <c r="AK71" s="22" t="s">
        <v>1275</v>
      </c>
      <c r="AL71" s="43"/>
      <c r="AM71" s="43"/>
      <c r="AN71" s="43"/>
      <c r="AO71" s="43"/>
      <c r="AP71" s="46" t="s">
        <v>1276</v>
      </c>
      <c r="AQ71" s="46" t="s">
        <v>1277</v>
      </c>
      <c r="AR71" s="46" t="s">
        <v>1278</v>
      </c>
      <c r="AS71" s="43"/>
      <c r="AT71" s="43"/>
      <c r="AU71" s="43"/>
      <c r="AV71" s="43"/>
      <c r="AW71" s="22" t="s">
        <v>1279</v>
      </c>
      <c r="AX71" s="22" t="s">
        <v>1275</v>
      </c>
      <c r="AY71" s="22" t="s">
        <v>797</v>
      </c>
      <c r="AZ71" s="43"/>
      <c r="BA71" s="43"/>
      <c r="BB71" s="43"/>
      <c r="BC71" s="43"/>
      <c r="BD71" s="43" t="s">
        <v>194</v>
      </c>
      <c r="BE71" s="43" t="s">
        <v>243</v>
      </c>
      <c r="BF71" s="22" t="s">
        <v>131</v>
      </c>
      <c r="BG71" s="22" t="s">
        <v>132</v>
      </c>
      <c r="BH71" s="22" t="s">
        <v>132</v>
      </c>
      <c r="BI71" s="22" t="s">
        <v>132</v>
      </c>
      <c r="BJ71" s="43"/>
      <c r="BK71" s="43"/>
      <c r="BL71" s="22">
        <v>4.670227410591E12</v>
      </c>
      <c r="BM71" s="22">
        <v>2.106909808E9</v>
      </c>
      <c r="BN71" s="22" t="s">
        <v>1280</v>
      </c>
      <c r="BO71" s="22"/>
      <c r="BP71" s="22" t="s">
        <v>245</v>
      </c>
      <c r="BQ71" s="43"/>
      <c r="BR71" s="43"/>
      <c r="BS71" s="22" t="s">
        <v>1281</v>
      </c>
      <c r="BT71" s="43"/>
      <c r="BU71" s="22" t="s">
        <v>1282</v>
      </c>
      <c r="BV71" s="43" t="s">
        <v>490</v>
      </c>
      <c r="BW71" s="22" t="s">
        <v>491</v>
      </c>
      <c r="BX71" s="22">
        <v>14.0</v>
      </c>
      <c r="BY71" s="22" t="s">
        <v>139</v>
      </c>
      <c r="BZ71" s="22"/>
      <c r="CA71" s="22" t="s">
        <v>165</v>
      </c>
      <c r="CB71" s="22" t="s">
        <v>165</v>
      </c>
      <c r="CC71" s="45" t="s">
        <v>1283</v>
      </c>
      <c r="CD71" s="43"/>
      <c r="CE71" s="43"/>
      <c r="CF71" s="45"/>
      <c r="CG71" s="43"/>
      <c r="CH71" s="43"/>
      <c r="CI71" s="43"/>
      <c r="CJ71" s="43"/>
      <c r="CK71" s="43"/>
      <c r="CL71" s="43"/>
      <c r="CM71" s="49">
        <f>IFERROR(VLOOKUP(B71,CC!A:D,4,0)," ")</f>
        <v>820</v>
      </c>
      <c r="CN71" s="22" t="s">
        <v>494</v>
      </c>
      <c r="CO71" s="22"/>
      <c r="CP71" s="22" t="s">
        <v>495</v>
      </c>
      <c r="CQ71" s="22">
        <v>60.0</v>
      </c>
      <c r="CR71" s="43"/>
      <c r="CS71" s="22">
        <v>5.0</v>
      </c>
      <c r="CT71" s="22" t="s">
        <v>496</v>
      </c>
      <c r="CU71" s="43"/>
      <c r="CV71" s="43"/>
      <c r="CW71" s="43"/>
      <c r="CX71" s="43"/>
      <c r="CY71" s="43" t="b">
        <v>0</v>
      </c>
      <c r="CZ71" s="43" t="b">
        <v>0</v>
      </c>
      <c r="DA71" s="43" t="b">
        <v>0</v>
      </c>
      <c r="DB71" s="43" t="b">
        <v>0</v>
      </c>
      <c r="DC71" s="43"/>
      <c r="DD71" s="43"/>
      <c r="DE71" s="43"/>
      <c r="DF71" s="43"/>
      <c r="DG71" s="43"/>
      <c r="DH71" s="43"/>
      <c r="DI71" s="43"/>
      <c r="DJ71" s="22">
        <f>IFERROR(VLOOKUP($B71,'Лист4'!$D:$AI,27,0)," ")</f>
        <v>15</v>
      </c>
      <c r="DK71" s="22">
        <f>IFERROR(VLOOKUP($B71,'Лист4'!$D:$AI,28,0)," ")</f>
        <v>12</v>
      </c>
      <c r="DL71" s="22">
        <f>IFERROR(VLOOKUP($B71,'Лист4'!$D:$AI,29,0)," ")</f>
        <v>15</v>
      </c>
      <c r="DM71" s="22">
        <f t="shared" si="1"/>
        <v>2700</v>
      </c>
      <c r="DN71" s="22">
        <f>IFERROR(VLOOKUP($B71,'Лист4'!$D:$AI,32,0)," ")</f>
        <v>0.542</v>
      </c>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22"/>
      <c r="EN71" s="22"/>
      <c r="EO71" s="22"/>
      <c r="EP71" s="22"/>
      <c r="EQ71" s="22"/>
      <c r="ER71" s="22"/>
      <c r="ES71" s="43"/>
      <c r="ET71" s="43"/>
      <c r="EU71" s="43"/>
      <c r="EV71" s="43"/>
      <c r="EW71" s="43"/>
      <c r="EX71" s="43"/>
      <c r="EY71" s="43"/>
      <c r="EZ71" s="43"/>
      <c r="FA71" s="43"/>
      <c r="FB71" s="43"/>
      <c r="FC71" s="43"/>
      <c r="FD71" s="43"/>
      <c r="FE71" s="43"/>
      <c r="FF71" s="43"/>
      <c r="FG71" s="43"/>
      <c r="FH71" s="43"/>
      <c r="FI71" s="43"/>
    </row>
    <row r="72" ht="18.0" customHeight="1">
      <c r="A72" s="22" t="s">
        <v>116</v>
      </c>
      <c r="B72" s="43" t="s">
        <v>1284</v>
      </c>
      <c r="C72" s="22" t="s">
        <v>283</v>
      </c>
      <c r="D72" s="22" t="s">
        <v>187</v>
      </c>
      <c r="E72" s="43"/>
      <c r="F72" s="22" t="s">
        <v>1285</v>
      </c>
      <c r="G72" s="22" t="s">
        <v>361</v>
      </c>
      <c r="H72" s="22" t="s">
        <v>1272</v>
      </c>
      <c r="I72" s="43"/>
      <c r="J72" s="43"/>
      <c r="K72" s="22" t="b">
        <v>1</v>
      </c>
      <c r="L72" s="22" t="b">
        <v>1</v>
      </c>
      <c r="M72" s="22" t="b">
        <v>1</v>
      </c>
      <c r="N72" s="22" t="b">
        <v>1</v>
      </c>
      <c r="O72" s="22" t="b">
        <v>0</v>
      </c>
      <c r="P72" s="22" t="b">
        <v>0</v>
      </c>
      <c r="Q72" s="22" t="b">
        <v>0</v>
      </c>
      <c r="R72" s="43"/>
      <c r="S72" s="43" t="s">
        <v>1286</v>
      </c>
      <c r="T72" s="22" t="s">
        <v>1284</v>
      </c>
      <c r="U72" s="22" t="s">
        <v>1284</v>
      </c>
      <c r="V72" s="22" t="s">
        <v>1284</v>
      </c>
      <c r="W72" s="43"/>
      <c r="X72" s="43"/>
      <c r="Y72" s="43"/>
      <c r="Z72" s="43"/>
      <c r="AA72" s="22">
        <v>2.28329661E8</v>
      </c>
      <c r="AB72" s="22">
        <v>1.563742059E9</v>
      </c>
      <c r="AC72" s="22">
        <v>1.03397906851E11</v>
      </c>
      <c r="AD72" s="22"/>
      <c r="AE72" s="22"/>
      <c r="AF72" s="43"/>
      <c r="AG72" s="43"/>
      <c r="AH72" s="43" t="s">
        <v>1285</v>
      </c>
      <c r="AI72" s="22" t="s">
        <v>1274</v>
      </c>
      <c r="AJ72" s="22" t="s">
        <v>1287</v>
      </c>
      <c r="AK72" s="22" t="s">
        <v>1287</v>
      </c>
      <c r="AL72" s="43"/>
      <c r="AM72" s="43"/>
      <c r="AN72" s="43"/>
      <c r="AO72" s="43"/>
      <c r="AP72" s="46" t="s">
        <v>1288</v>
      </c>
      <c r="AQ72" s="46" t="s">
        <v>1289</v>
      </c>
      <c r="AR72" s="46" t="s">
        <v>1290</v>
      </c>
      <c r="AS72" s="43"/>
      <c r="AT72" s="43"/>
      <c r="AU72" s="43"/>
      <c r="AV72" s="43"/>
      <c r="AW72" s="22" t="s">
        <v>1279</v>
      </c>
      <c r="AX72" s="22" t="s">
        <v>1287</v>
      </c>
      <c r="AY72" s="22" t="s">
        <v>797</v>
      </c>
      <c r="AZ72" s="43"/>
      <c r="BA72" s="43"/>
      <c r="BB72" s="43"/>
      <c r="BC72" s="43"/>
      <c r="BD72" s="43" t="s">
        <v>194</v>
      </c>
      <c r="BE72" s="43" t="s">
        <v>243</v>
      </c>
      <c r="BF72" s="22" t="s">
        <v>131</v>
      </c>
      <c r="BG72" s="22" t="s">
        <v>132</v>
      </c>
      <c r="BH72" s="22" t="s">
        <v>132</v>
      </c>
      <c r="BI72" s="22" t="s">
        <v>132</v>
      </c>
      <c r="BJ72" s="43"/>
      <c r="BK72" s="43"/>
      <c r="BL72" s="22">
        <v>4.670227410614E12</v>
      </c>
      <c r="BM72" s="22">
        <v>2.106909808E9</v>
      </c>
      <c r="BN72" s="22" t="s">
        <v>1280</v>
      </c>
      <c r="BO72" s="22"/>
      <c r="BP72" s="22" t="s">
        <v>245</v>
      </c>
      <c r="BQ72" s="43"/>
      <c r="BR72" s="43"/>
      <c r="BS72" s="22" t="s">
        <v>1291</v>
      </c>
      <c r="BT72" s="43"/>
      <c r="BU72" s="22" t="s">
        <v>1282</v>
      </c>
      <c r="BV72" s="43" t="s">
        <v>490</v>
      </c>
      <c r="BW72" s="22" t="s">
        <v>491</v>
      </c>
      <c r="BX72" s="22">
        <v>14.0</v>
      </c>
      <c r="BY72" s="22" t="s">
        <v>139</v>
      </c>
      <c r="BZ72" s="22"/>
      <c r="CA72" s="22" t="s">
        <v>165</v>
      </c>
      <c r="CB72" s="22" t="s">
        <v>165</v>
      </c>
      <c r="CC72" s="44" t="s">
        <v>1283</v>
      </c>
      <c r="CD72" s="43"/>
      <c r="CE72" s="43"/>
      <c r="CF72" s="45"/>
      <c r="CG72" s="43"/>
      <c r="CH72" s="43"/>
      <c r="CI72" s="43"/>
      <c r="CJ72" s="43"/>
      <c r="CK72" s="43"/>
      <c r="CL72" s="43"/>
      <c r="CM72" s="49">
        <f>IFERROR(VLOOKUP(B72,CC!A:D,4,0)," ")</f>
        <v>820</v>
      </c>
      <c r="CN72" s="22" t="s">
        <v>494</v>
      </c>
      <c r="CO72" s="22"/>
      <c r="CP72" s="22" t="s">
        <v>495</v>
      </c>
      <c r="CQ72" s="22">
        <v>60.0</v>
      </c>
      <c r="CR72" s="43"/>
      <c r="CS72" s="22">
        <v>5.0</v>
      </c>
      <c r="CT72" s="22" t="s">
        <v>496</v>
      </c>
      <c r="CU72" s="43"/>
      <c r="CV72" s="43"/>
      <c r="CW72" s="43"/>
      <c r="CX72" s="43"/>
      <c r="CY72" s="43" t="b">
        <v>0</v>
      </c>
      <c r="CZ72" s="43" t="b">
        <v>0</v>
      </c>
      <c r="DA72" s="43" t="b">
        <v>0</v>
      </c>
      <c r="DB72" s="43" t="b">
        <v>0</v>
      </c>
      <c r="DC72" s="43"/>
      <c r="DD72" s="43"/>
      <c r="DE72" s="43"/>
      <c r="DF72" s="43"/>
      <c r="DG72" s="43"/>
      <c r="DH72" s="43"/>
      <c r="DI72" s="43"/>
      <c r="DJ72" s="22">
        <f>IFERROR(VLOOKUP($B72,'Лист4'!$D:$AI,27,0)," ")</f>
        <v>15</v>
      </c>
      <c r="DK72" s="22">
        <f>IFERROR(VLOOKUP($B72,'Лист4'!$D:$AI,28,0)," ")</f>
        <v>12</v>
      </c>
      <c r="DL72" s="22">
        <f>IFERROR(VLOOKUP($B72,'Лист4'!$D:$AI,29,0)," ")</f>
        <v>15</v>
      </c>
      <c r="DM72" s="22">
        <f t="shared" si="1"/>
        <v>2700</v>
      </c>
      <c r="DN72" s="22">
        <f>IFERROR(VLOOKUP($B72,'Лист4'!$D:$AI,32,0)," ")</f>
        <v>0.542</v>
      </c>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22"/>
      <c r="EN72" s="22"/>
      <c r="EO72" s="22"/>
      <c r="EP72" s="22"/>
      <c r="EQ72" s="22"/>
      <c r="ER72" s="22"/>
      <c r="ES72" s="43"/>
      <c r="ET72" s="43"/>
      <c r="EU72" s="43"/>
      <c r="EV72" s="43"/>
      <c r="EW72" s="43"/>
      <c r="EX72" s="43"/>
      <c r="EY72" s="43"/>
      <c r="EZ72" s="43"/>
      <c r="FA72" s="43"/>
      <c r="FB72" s="43"/>
      <c r="FC72" s="43"/>
      <c r="FD72" s="43"/>
      <c r="FE72" s="43"/>
      <c r="FF72" s="43"/>
      <c r="FG72" s="43"/>
      <c r="FH72" s="43"/>
      <c r="FI72" s="43"/>
    </row>
    <row r="73" ht="18.0" customHeight="1">
      <c r="A73" s="22" t="s">
        <v>116</v>
      </c>
      <c r="B73" s="43" t="s">
        <v>1292</v>
      </c>
      <c r="C73" s="22" t="s">
        <v>283</v>
      </c>
      <c r="D73" s="22" t="s">
        <v>187</v>
      </c>
      <c r="E73" s="43"/>
      <c r="F73" s="22" t="s">
        <v>1293</v>
      </c>
      <c r="G73" s="22" t="s">
        <v>361</v>
      </c>
      <c r="H73" s="22" t="s">
        <v>1272</v>
      </c>
      <c r="I73" s="43"/>
      <c r="J73" s="43"/>
      <c r="K73" s="22" t="b">
        <v>1</v>
      </c>
      <c r="L73" s="22" t="b">
        <v>1</v>
      </c>
      <c r="M73" s="22" t="b">
        <v>1</v>
      </c>
      <c r="N73" s="22" t="b">
        <v>1</v>
      </c>
      <c r="O73" s="22" t="b">
        <v>0</v>
      </c>
      <c r="P73" s="22" t="b">
        <v>0</v>
      </c>
      <c r="Q73" s="22" t="b">
        <v>0</v>
      </c>
      <c r="R73" s="43"/>
      <c r="S73" s="43" t="s">
        <v>1294</v>
      </c>
      <c r="T73" s="22" t="s">
        <v>1292</v>
      </c>
      <c r="U73" s="22" t="s">
        <v>1292</v>
      </c>
      <c r="V73" s="22" t="s">
        <v>1292</v>
      </c>
      <c r="W73" s="43"/>
      <c r="X73" s="43"/>
      <c r="Y73" s="43"/>
      <c r="Z73" s="43"/>
      <c r="AA73" s="22">
        <v>9.0476399E7</v>
      </c>
      <c r="AB73" s="22">
        <v>6.16963626E8</v>
      </c>
      <c r="AC73" s="22">
        <v>1.01824298337E11</v>
      </c>
      <c r="AD73" s="22"/>
      <c r="AE73" s="22"/>
      <c r="AF73" s="43"/>
      <c r="AG73" s="43"/>
      <c r="AH73" s="43" t="s">
        <v>1293</v>
      </c>
      <c r="AI73" s="22" t="s">
        <v>1295</v>
      </c>
      <c r="AJ73" s="22" t="s">
        <v>1296</v>
      </c>
      <c r="AK73" s="22" t="s">
        <v>1296</v>
      </c>
      <c r="AL73" s="43"/>
      <c r="AM73" s="43"/>
      <c r="AN73" s="43"/>
      <c r="AO73" s="43"/>
      <c r="AP73" s="46" t="s">
        <v>1297</v>
      </c>
      <c r="AQ73" s="46" t="s">
        <v>1298</v>
      </c>
      <c r="AR73" s="46" t="s">
        <v>1299</v>
      </c>
      <c r="AS73" s="43"/>
      <c r="AT73" s="43"/>
      <c r="AU73" s="43"/>
      <c r="AV73" s="43"/>
      <c r="AW73" s="22" t="s">
        <v>361</v>
      </c>
      <c r="AX73" s="22" t="s">
        <v>1296</v>
      </c>
      <c r="AY73" s="22" t="s">
        <v>372</v>
      </c>
      <c r="AZ73" s="43"/>
      <c r="BA73" s="43"/>
      <c r="BB73" s="43"/>
      <c r="BC73" s="43"/>
      <c r="BD73" s="43" t="s">
        <v>374</v>
      </c>
      <c r="BE73" s="43" t="s">
        <v>243</v>
      </c>
      <c r="BF73" s="22" t="s">
        <v>131</v>
      </c>
      <c r="BG73" s="22" t="s">
        <v>132</v>
      </c>
      <c r="BH73" s="22" t="s">
        <v>132</v>
      </c>
      <c r="BI73" s="22" t="s">
        <v>132</v>
      </c>
      <c r="BJ73" s="43"/>
      <c r="BK73" s="43"/>
      <c r="BL73" s="22" t="s">
        <v>1300</v>
      </c>
      <c r="BM73" s="22">
        <v>2.106909808E9</v>
      </c>
      <c r="BN73" s="22" t="s">
        <v>1301</v>
      </c>
      <c r="BO73" s="22"/>
      <c r="BP73" s="22" t="s">
        <v>245</v>
      </c>
      <c r="BQ73" s="43"/>
      <c r="BR73" s="43"/>
      <c r="BS73" s="22" t="s">
        <v>1302</v>
      </c>
      <c r="BT73" s="43"/>
      <c r="BU73" s="22" t="s">
        <v>1303</v>
      </c>
      <c r="BV73" s="43" t="s">
        <v>557</v>
      </c>
      <c r="BW73" s="22" t="s">
        <v>1304</v>
      </c>
      <c r="BX73" s="22">
        <v>60.0</v>
      </c>
      <c r="BY73" s="22" t="s">
        <v>421</v>
      </c>
      <c r="BZ73" s="22"/>
      <c r="CA73" s="22" t="s">
        <v>849</v>
      </c>
      <c r="CB73" s="22" t="s">
        <v>307</v>
      </c>
      <c r="CC73" s="44" t="s">
        <v>1305</v>
      </c>
      <c r="CD73" s="43"/>
      <c r="CE73" s="43"/>
      <c r="CF73" s="45" t="s">
        <v>1305</v>
      </c>
      <c r="CG73" s="43"/>
      <c r="CH73" s="43"/>
      <c r="CI73" s="43"/>
      <c r="CJ73" s="43"/>
      <c r="CK73" s="43"/>
      <c r="CL73" s="43"/>
      <c r="CM73" s="49">
        <f>IFERROR(VLOOKUP(B73,CC!A:D,4,0)," ")</f>
        <v>225.54</v>
      </c>
      <c r="CN73" s="22" t="s">
        <v>1306</v>
      </c>
      <c r="CO73" s="22"/>
      <c r="CP73" s="22" t="s">
        <v>562</v>
      </c>
      <c r="CQ73" s="22" t="s">
        <v>401</v>
      </c>
      <c r="CR73" s="43"/>
      <c r="CS73" s="22">
        <v>10.0</v>
      </c>
      <c r="CT73" s="22" t="s">
        <v>145</v>
      </c>
      <c r="CU73" s="43"/>
      <c r="CV73" s="43"/>
      <c r="CW73" s="43"/>
      <c r="CX73" s="43"/>
      <c r="CY73" s="43" t="b">
        <v>0</v>
      </c>
      <c r="CZ73" s="43" t="b">
        <v>0</v>
      </c>
      <c r="DA73" s="43" t="b">
        <v>0</v>
      </c>
      <c r="DB73" s="43" t="b">
        <v>0</v>
      </c>
      <c r="DC73" s="43"/>
      <c r="DD73" s="43"/>
      <c r="DE73" s="43"/>
      <c r="DF73" s="43"/>
      <c r="DG73" s="43"/>
      <c r="DH73" s="43"/>
      <c r="DI73" s="43"/>
      <c r="DJ73" s="22">
        <f>IFERROR(VLOOKUP($B73,'Лист4'!$D:$AI,27,0)," ")</f>
        <v>10</v>
      </c>
      <c r="DK73" s="22">
        <f>IFERROR(VLOOKUP($B73,'Лист4'!$D:$AI,28,0)," ")</f>
        <v>5</v>
      </c>
      <c r="DL73" s="22">
        <f>IFERROR(VLOOKUP($B73,'Лист4'!$D:$AI,29,0)," ")</f>
        <v>10</v>
      </c>
      <c r="DM73" s="22">
        <f t="shared" si="1"/>
        <v>500</v>
      </c>
      <c r="DN73" s="22">
        <f>IFERROR(VLOOKUP($B73,'Лист4'!$D:$AI,32,0)," ")</f>
        <v>0.059</v>
      </c>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43"/>
      <c r="ET73" s="43"/>
      <c r="EU73" s="43"/>
      <c r="EV73" s="43"/>
      <c r="EW73" s="43"/>
      <c r="EX73" s="43"/>
      <c r="EY73" s="43"/>
      <c r="EZ73" s="43"/>
      <c r="FA73" s="43"/>
      <c r="FB73" s="43"/>
      <c r="FC73" s="43"/>
      <c r="FD73" s="43"/>
      <c r="FE73" s="43"/>
      <c r="FF73" s="43"/>
      <c r="FG73" s="43"/>
      <c r="FH73" s="43"/>
      <c r="FI73" s="43"/>
    </row>
    <row r="74" ht="18.0" customHeight="1">
      <c r="A74" s="22" t="s">
        <v>116</v>
      </c>
      <c r="B74" s="43" t="s">
        <v>1307</v>
      </c>
      <c r="C74" s="22" t="s">
        <v>283</v>
      </c>
      <c r="D74" s="22" t="s">
        <v>187</v>
      </c>
      <c r="E74" s="43"/>
      <c r="F74" s="22" t="s">
        <v>1308</v>
      </c>
      <c r="G74" s="22" t="s">
        <v>361</v>
      </c>
      <c r="H74" s="22" t="s">
        <v>1272</v>
      </c>
      <c r="I74" s="43"/>
      <c r="J74" s="43"/>
      <c r="K74" s="22" t="b">
        <v>1</v>
      </c>
      <c r="L74" s="22" t="b">
        <v>1</v>
      </c>
      <c r="M74" s="22" t="b">
        <v>1</v>
      </c>
      <c r="N74" s="22" t="b">
        <v>1</v>
      </c>
      <c r="O74" s="22" t="b">
        <v>0</v>
      </c>
      <c r="P74" s="22" t="b">
        <v>0</v>
      </c>
      <c r="Q74" s="22" t="b">
        <v>0</v>
      </c>
      <c r="R74" s="43"/>
      <c r="S74" s="43" t="s">
        <v>1309</v>
      </c>
      <c r="T74" s="22" t="s">
        <v>1307</v>
      </c>
      <c r="U74" s="22" t="s">
        <v>1307</v>
      </c>
      <c r="V74" s="22" t="s">
        <v>1307</v>
      </c>
      <c r="W74" s="43"/>
      <c r="X74" s="43"/>
      <c r="Y74" s="43"/>
      <c r="Z74" s="43"/>
      <c r="AA74" s="22">
        <v>2.28329662E8</v>
      </c>
      <c r="AB74" s="22">
        <v>1.56374215E9</v>
      </c>
      <c r="AC74" s="22">
        <v>1.0339790685E11</v>
      </c>
      <c r="AD74" s="22"/>
      <c r="AE74" s="22"/>
      <c r="AF74" s="43"/>
      <c r="AG74" s="43"/>
      <c r="AH74" s="43" t="s">
        <v>1308</v>
      </c>
      <c r="AI74" s="22" t="s">
        <v>1274</v>
      </c>
      <c r="AJ74" s="22" t="s">
        <v>1310</v>
      </c>
      <c r="AK74" s="22" t="s">
        <v>1310</v>
      </c>
      <c r="AL74" s="43"/>
      <c r="AM74" s="43"/>
      <c r="AN74" s="43"/>
      <c r="AO74" s="43"/>
      <c r="AP74" s="46" t="s">
        <v>1311</v>
      </c>
      <c r="AQ74" s="46" t="s">
        <v>1312</v>
      </c>
      <c r="AR74" s="46" t="s">
        <v>1313</v>
      </c>
      <c r="AS74" s="43"/>
      <c r="AT74" s="43"/>
      <c r="AU74" s="43"/>
      <c r="AV74" s="43"/>
      <c r="AW74" s="22" t="s">
        <v>1279</v>
      </c>
      <c r="AX74" s="22" t="s">
        <v>1310</v>
      </c>
      <c r="AY74" s="22" t="s">
        <v>797</v>
      </c>
      <c r="AZ74" s="43"/>
      <c r="BA74" s="43"/>
      <c r="BB74" s="43"/>
      <c r="BC74" s="43"/>
      <c r="BD74" s="43" t="s">
        <v>194</v>
      </c>
      <c r="BE74" s="43" t="s">
        <v>243</v>
      </c>
      <c r="BF74" s="22" t="s">
        <v>131</v>
      </c>
      <c r="BG74" s="22" t="s">
        <v>132</v>
      </c>
      <c r="BH74" s="22" t="s">
        <v>132</v>
      </c>
      <c r="BI74" s="22" t="s">
        <v>132</v>
      </c>
      <c r="BJ74" s="43"/>
      <c r="BK74" s="43"/>
      <c r="BL74" s="22">
        <v>4.670227410607E12</v>
      </c>
      <c r="BM74" s="22">
        <v>2.106909808E9</v>
      </c>
      <c r="BN74" s="22" t="s">
        <v>1280</v>
      </c>
      <c r="BO74" s="22"/>
      <c r="BP74" s="22" t="s">
        <v>245</v>
      </c>
      <c r="BQ74" s="43"/>
      <c r="BR74" s="43"/>
      <c r="BS74" s="22" t="s">
        <v>1291</v>
      </c>
      <c r="BT74" s="43"/>
      <c r="BU74" s="22" t="s">
        <v>1282</v>
      </c>
      <c r="BV74" s="43" t="s">
        <v>490</v>
      </c>
      <c r="BW74" s="22" t="s">
        <v>491</v>
      </c>
      <c r="BX74" s="22">
        <v>14.0</v>
      </c>
      <c r="BY74" s="22" t="s">
        <v>139</v>
      </c>
      <c r="BZ74" s="22"/>
      <c r="CA74" s="22" t="s">
        <v>165</v>
      </c>
      <c r="CB74" s="22" t="s">
        <v>165</v>
      </c>
      <c r="CC74" s="44" t="s">
        <v>1283</v>
      </c>
      <c r="CD74" s="43"/>
      <c r="CE74" s="43"/>
      <c r="CF74" s="45"/>
      <c r="CG74" s="43"/>
      <c r="CH74" s="43"/>
      <c r="CI74" s="43"/>
      <c r="CJ74" s="43"/>
      <c r="CK74" s="43"/>
      <c r="CL74" s="43"/>
      <c r="CM74" s="49">
        <f>IFERROR(VLOOKUP(B74,CC!A:D,4,0)," ")</f>
        <v>820</v>
      </c>
      <c r="CN74" s="22" t="s">
        <v>494</v>
      </c>
      <c r="CO74" s="22"/>
      <c r="CP74" s="22" t="s">
        <v>495</v>
      </c>
      <c r="CQ74" s="22">
        <v>60.0</v>
      </c>
      <c r="CR74" s="43"/>
      <c r="CS74" s="22">
        <v>5.0</v>
      </c>
      <c r="CT74" s="22" t="s">
        <v>496</v>
      </c>
      <c r="CU74" s="43"/>
      <c r="CV74" s="43"/>
      <c r="CW74" s="43"/>
      <c r="CX74" s="43"/>
      <c r="CY74" s="43" t="b">
        <v>0</v>
      </c>
      <c r="CZ74" s="43" t="b">
        <v>0</v>
      </c>
      <c r="DA74" s="43" t="b">
        <v>0</v>
      </c>
      <c r="DB74" s="43" t="b">
        <v>0</v>
      </c>
      <c r="DC74" s="43"/>
      <c r="DD74" s="43"/>
      <c r="DE74" s="43"/>
      <c r="DF74" s="43"/>
      <c r="DG74" s="43"/>
      <c r="DH74" s="43"/>
      <c r="DI74" s="43"/>
      <c r="DJ74" s="22">
        <f>IFERROR(VLOOKUP($B74,'Лист4'!$D:$AI,27,0)," ")</f>
        <v>15</v>
      </c>
      <c r="DK74" s="22">
        <f>IFERROR(VLOOKUP($B74,'Лист4'!$D:$AI,28,0)," ")</f>
        <v>12</v>
      </c>
      <c r="DL74" s="22">
        <f>IFERROR(VLOOKUP($B74,'Лист4'!$D:$AI,29,0)," ")</f>
        <v>15</v>
      </c>
      <c r="DM74" s="22">
        <f t="shared" si="1"/>
        <v>2700</v>
      </c>
      <c r="DN74" s="22">
        <f>IFERROR(VLOOKUP($B74,'Лист4'!$D:$AI,32,0)," ")</f>
        <v>0.542</v>
      </c>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43"/>
      <c r="ET74" s="43"/>
      <c r="EU74" s="43"/>
      <c r="EV74" s="43"/>
      <c r="EW74" s="43"/>
      <c r="EX74" s="43"/>
      <c r="EY74" s="43"/>
      <c r="EZ74" s="43"/>
      <c r="FA74" s="43"/>
      <c r="FB74" s="43"/>
      <c r="FC74" s="43"/>
      <c r="FD74" s="43"/>
      <c r="FE74" s="43"/>
      <c r="FF74" s="43"/>
      <c r="FG74" s="43"/>
      <c r="FH74" s="43"/>
      <c r="FI74" s="43"/>
    </row>
    <row r="75" ht="18.0" customHeight="1">
      <c r="A75" s="22" t="s">
        <v>116</v>
      </c>
      <c r="B75" s="43" t="s">
        <v>1314</v>
      </c>
      <c r="C75" s="22" t="s">
        <v>283</v>
      </c>
      <c r="D75" s="22" t="s">
        <v>187</v>
      </c>
      <c r="E75" s="43"/>
      <c r="F75" s="22" t="s">
        <v>1315</v>
      </c>
      <c r="G75" s="22" t="s">
        <v>361</v>
      </c>
      <c r="H75" s="22" t="s">
        <v>1272</v>
      </c>
      <c r="I75" s="43"/>
      <c r="J75" s="43"/>
      <c r="K75" s="22" t="b">
        <v>1</v>
      </c>
      <c r="L75" s="22" t="b">
        <v>1</v>
      </c>
      <c r="M75" s="22" t="b">
        <v>1</v>
      </c>
      <c r="N75" s="22" t="b">
        <v>1</v>
      </c>
      <c r="O75" s="22" t="b">
        <v>0</v>
      </c>
      <c r="P75" s="22" t="b">
        <v>0</v>
      </c>
      <c r="Q75" s="22" t="b">
        <v>0</v>
      </c>
      <c r="R75" s="43"/>
      <c r="S75" s="43" t="s">
        <v>1316</v>
      </c>
      <c r="T75" s="22" t="s">
        <v>1314</v>
      </c>
      <c r="U75" s="22" t="s">
        <v>1314</v>
      </c>
      <c r="V75" s="22" t="s">
        <v>1314</v>
      </c>
      <c r="W75" s="43"/>
      <c r="X75" s="43"/>
      <c r="Y75" s="43"/>
      <c r="Z75" s="43"/>
      <c r="AA75" s="22">
        <v>1.31852035E8</v>
      </c>
      <c r="AB75" s="22">
        <v>7.72327923E8</v>
      </c>
      <c r="AC75" s="22">
        <v>1.01841345735E11</v>
      </c>
      <c r="AD75" s="22"/>
      <c r="AE75" s="22"/>
      <c r="AF75" s="43"/>
      <c r="AG75" s="43"/>
      <c r="AH75" s="43" t="s">
        <v>1315</v>
      </c>
      <c r="AI75" s="22" t="s">
        <v>1317</v>
      </c>
      <c r="AJ75" s="22" t="s">
        <v>1318</v>
      </c>
      <c r="AK75" s="22" t="s">
        <v>1319</v>
      </c>
      <c r="AL75" s="43"/>
      <c r="AM75" s="43"/>
      <c r="AN75" s="43"/>
      <c r="AO75" s="43"/>
      <c r="AP75" s="46" t="s">
        <v>1320</v>
      </c>
      <c r="AQ75" s="46" t="s">
        <v>1321</v>
      </c>
      <c r="AR75" s="46" t="s">
        <v>1322</v>
      </c>
      <c r="AS75" s="43"/>
      <c r="AT75" s="43"/>
      <c r="AU75" s="43"/>
      <c r="AV75" s="43"/>
      <c r="AW75" s="22" t="s">
        <v>1279</v>
      </c>
      <c r="AX75" s="22" t="s">
        <v>1318</v>
      </c>
      <c r="AY75" s="22" t="s">
        <v>372</v>
      </c>
      <c r="AZ75" s="43"/>
      <c r="BA75" s="43"/>
      <c r="BB75" s="43"/>
      <c r="BC75" s="43"/>
      <c r="BD75" s="43" t="s">
        <v>374</v>
      </c>
      <c r="BE75" s="43" t="s">
        <v>243</v>
      </c>
      <c r="BF75" s="22" t="s">
        <v>131</v>
      </c>
      <c r="BG75" s="22" t="s">
        <v>132</v>
      </c>
      <c r="BH75" s="22" t="s">
        <v>132</v>
      </c>
      <c r="BI75" s="22" t="s">
        <v>132</v>
      </c>
      <c r="BJ75" s="43"/>
      <c r="BK75" s="43"/>
      <c r="BL75" s="22">
        <v>4.630205140308E12</v>
      </c>
      <c r="BM75" s="22">
        <v>3.504009E9</v>
      </c>
      <c r="BN75" s="22" t="s">
        <v>1323</v>
      </c>
      <c r="BO75" s="22"/>
      <c r="BP75" s="22" t="s">
        <v>245</v>
      </c>
      <c r="BQ75" s="43"/>
      <c r="BR75" s="43"/>
      <c r="BS75" s="22" t="s">
        <v>1324</v>
      </c>
      <c r="BT75" s="43"/>
      <c r="BU75" s="22" t="s">
        <v>1325</v>
      </c>
      <c r="BV75" s="43" t="s">
        <v>1326</v>
      </c>
      <c r="BW75" s="22" t="s">
        <v>1327</v>
      </c>
      <c r="BX75" s="22">
        <v>180.0</v>
      </c>
      <c r="BY75" s="22" t="s">
        <v>580</v>
      </c>
      <c r="BZ75" s="22"/>
      <c r="CA75" s="22" t="s">
        <v>1328</v>
      </c>
      <c r="CB75" s="22" t="s">
        <v>1329</v>
      </c>
      <c r="CC75" s="45"/>
      <c r="CD75" s="43"/>
      <c r="CE75" s="43"/>
      <c r="CF75" s="45" t="s">
        <v>1330</v>
      </c>
      <c r="CG75" s="43"/>
      <c r="CH75" s="43"/>
      <c r="CI75" s="43"/>
      <c r="CJ75" s="43"/>
      <c r="CK75" s="43"/>
      <c r="CL75" s="43"/>
      <c r="CM75" s="49">
        <f>IFERROR(VLOOKUP(B75,CC!A:D,4,0)," ")</f>
        <v>342</v>
      </c>
      <c r="CN75" s="22" t="s">
        <v>494</v>
      </c>
      <c r="CO75" s="22"/>
      <c r="CP75" s="22" t="s">
        <v>495</v>
      </c>
      <c r="CQ75" s="22" t="s">
        <v>401</v>
      </c>
      <c r="CR75" s="43"/>
      <c r="CS75" s="22">
        <v>5.0</v>
      </c>
      <c r="CT75" s="22" t="s">
        <v>496</v>
      </c>
      <c r="CU75" s="43"/>
      <c r="CV75" s="43"/>
      <c r="CW75" s="43"/>
      <c r="CX75" s="43"/>
      <c r="CY75" s="43" t="b">
        <v>0</v>
      </c>
      <c r="CZ75" s="43" t="b">
        <v>0</v>
      </c>
      <c r="DA75" s="43" t="b">
        <v>0</v>
      </c>
      <c r="DB75" s="43" t="b">
        <v>0</v>
      </c>
      <c r="DC75" s="43"/>
      <c r="DD75" s="43"/>
      <c r="DE75" s="43"/>
      <c r="DF75" s="43"/>
      <c r="DG75" s="43"/>
      <c r="DH75" s="43"/>
      <c r="DI75" s="43"/>
      <c r="DJ75" s="22">
        <f>IFERROR(VLOOKUP($B75,'Лист4'!$D:$AI,27,0)," ")</f>
        <v>13</v>
      </c>
      <c r="DK75" s="22">
        <f>IFERROR(VLOOKUP($B75,'Лист4'!$D:$AI,28,0)," ")</f>
        <v>8</v>
      </c>
      <c r="DL75" s="22">
        <f>IFERROR(VLOOKUP($B75,'Лист4'!$D:$AI,29,0)," ")</f>
        <v>13</v>
      </c>
      <c r="DM75" s="22">
        <f t="shared" si="1"/>
        <v>1352</v>
      </c>
      <c r="DN75" s="22">
        <f>IFERROR(VLOOKUP($B75,'Лист4'!$D:$AI,32,0)," ")</f>
        <v>0.245</v>
      </c>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43"/>
      <c r="ET75" s="43"/>
      <c r="EU75" s="43"/>
      <c r="EV75" s="43"/>
      <c r="EW75" s="43"/>
      <c r="EX75" s="43"/>
      <c r="EY75" s="43"/>
      <c r="EZ75" s="43"/>
      <c r="FA75" s="43"/>
      <c r="FB75" s="43"/>
      <c r="FC75" s="43"/>
      <c r="FD75" s="43"/>
      <c r="FE75" s="43"/>
      <c r="FF75" s="43"/>
      <c r="FG75" s="43"/>
      <c r="FH75" s="43"/>
      <c r="FI75" s="43"/>
    </row>
    <row r="76" ht="18.0" customHeight="1">
      <c r="A76" s="22" t="s">
        <v>116</v>
      </c>
      <c r="B76" s="43" t="s">
        <v>1331</v>
      </c>
      <c r="C76" s="22" t="s">
        <v>283</v>
      </c>
      <c r="D76" s="22" t="s">
        <v>187</v>
      </c>
      <c r="E76" s="43"/>
      <c r="F76" s="22" t="s">
        <v>1332</v>
      </c>
      <c r="G76" s="22" t="s">
        <v>361</v>
      </c>
      <c r="H76" s="22" t="s">
        <v>1272</v>
      </c>
      <c r="I76" s="43"/>
      <c r="J76" s="43"/>
      <c r="K76" s="22" t="b">
        <v>1</v>
      </c>
      <c r="L76" s="22" t="b">
        <v>1</v>
      </c>
      <c r="M76" s="22" t="b">
        <v>1</v>
      </c>
      <c r="N76" s="22" t="b">
        <v>1</v>
      </c>
      <c r="O76" s="22" t="b">
        <v>0</v>
      </c>
      <c r="P76" s="22" t="b">
        <v>0</v>
      </c>
      <c r="Q76" s="22" t="b">
        <v>0</v>
      </c>
      <c r="R76" s="43"/>
      <c r="S76" s="43" t="s">
        <v>1333</v>
      </c>
      <c r="T76" s="22" t="s">
        <v>1331</v>
      </c>
      <c r="U76" s="22" t="s">
        <v>1331</v>
      </c>
      <c r="V76" s="22" t="s">
        <v>1331</v>
      </c>
      <c r="W76" s="43"/>
      <c r="X76" s="43"/>
      <c r="Y76" s="43"/>
      <c r="Z76" s="43"/>
      <c r="AA76" s="22">
        <v>1.31852033E8</v>
      </c>
      <c r="AB76" s="22">
        <v>7.7232793E8</v>
      </c>
      <c r="AC76" s="22">
        <v>1.01841345736E11</v>
      </c>
      <c r="AD76" s="22"/>
      <c r="AE76" s="22"/>
      <c r="AF76" s="43"/>
      <c r="AG76" s="43"/>
      <c r="AH76" s="43" t="s">
        <v>1332</v>
      </c>
      <c r="AI76" s="22" t="s">
        <v>1334</v>
      </c>
      <c r="AJ76" s="22" t="s">
        <v>1335</v>
      </c>
      <c r="AK76" s="22" t="s">
        <v>1335</v>
      </c>
      <c r="AL76" s="43"/>
      <c r="AM76" s="43"/>
      <c r="AN76" s="43"/>
      <c r="AO76" s="43"/>
      <c r="AP76" s="46" t="s">
        <v>1336</v>
      </c>
      <c r="AQ76" s="46" t="s">
        <v>1337</v>
      </c>
      <c r="AR76" s="46" t="s">
        <v>1338</v>
      </c>
      <c r="AS76" s="43"/>
      <c r="AT76" s="43"/>
      <c r="AU76" s="43"/>
      <c r="AV76" s="43"/>
      <c r="AW76" s="22" t="s">
        <v>1279</v>
      </c>
      <c r="AX76" s="22" t="s">
        <v>1335</v>
      </c>
      <c r="AY76" s="22" t="s">
        <v>372</v>
      </c>
      <c r="AZ76" s="43"/>
      <c r="BA76" s="43"/>
      <c r="BB76" s="43"/>
      <c r="BC76" s="43"/>
      <c r="BD76" s="43" t="s">
        <v>374</v>
      </c>
      <c r="BE76" s="43" t="s">
        <v>243</v>
      </c>
      <c r="BF76" s="22" t="s">
        <v>131</v>
      </c>
      <c r="BG76" s="22" t="s">
        <v>132</v>
      </c>
      <c r="BH76" s="22" t="s">
        <v>132</v>
      </c>
      <c r="BI76" s="22" t="s">
        <v>132</v>
      </c>
      <c r="BJ76" s="43"/>
      <c r="BK76" s="43"/>
      <c r="BL76" s="22">
        <v>4.630205140179E12</v>
      </c>
      <c r="BM76" s="22">
        <v>3.504009E9</v>
      </c>
      <c r="BN76" s="22" t="s">
        <v>1323</v>
      </c>
      <c r="BO76" s="22"/>
      <c r="BP76" s="22" t="s">
        <v>245</v>
      </c>
      <c r="BQ76" s="43"/>
      <c r="BR76" s="43"/>
      <c r="BS76" s="22" t="s">
        <v>1339</v>
      </c>
      <c r="BT76" s="43"/>
      <c r="BU76" s="22" t="s">
        <v>1325</v>
      </c>
      <c r="BV76" s="43" t="s">
        <v>1326</v>
      </c>
      <c r="BW76" s="22" t="s">
        <v>1340</v>
      </c>
      <c r="BX76" s="22">
        <v>180.0</v>
      </c>
      <c r="BY76" s="22" t="s">
        <v>580</v>
      </c>
      <c r="BZ76" s="22"/>
      <c r="CA76" s="22" t="s">
        <v>1328</v>
      </c>
      <c r="CB76" s="22" t="s">
        <v>1329</v>
      </c>
      <c r="CC76" s="45"/>
      <c r="CD76" s="43"/>
      <c r="CE76" s="43"/>
      <c r="CF76" s="45" t="s">
        <v>1330</v>
      </c>
      <c r="CG76" s="43"/>
      <c r="CH76" s="43"/>
      <c r="CI76" s="43"/>
      <c r="CJ76" s="43"/>
      <c r="CK76" s="43"/>
      <c r="CL76" s="43"/>
      <c r="CM76" s="49">
        <f>IFERROR(VLOOKUP(B76,CC!A:D,4,0)," ")</f>
        <v>356</v>
      </c>
      <c r="CN76" s="22" t="s">
        <v>494</v>
      </c>
      <c r="CO76" s="22"/>
      <c r="CP76" s="22" t="s">
        <v>495</v>
      </c>
      <c r="CQ76" s="22" t="s">
        <v>401</v>
      </c>
      <c r="CR76" s="43"/>
      <c r="CS76" s="22">
        <v>5.0</v>
      </c>
      <c r="CT76" s="22" t="s">
        <v>496</v>
      </c>
      <c r="CU76" s="43"/>
      <c r="CV76" s="43"/>
      <c r="CW76" s="43"/>
      <c r="CX76" s="43"/>
      <c r="CY76" s="43" t="b">
        <v>0</v>
      </c>
      <c r="CZ76" s="43" t="b">
        <v>0</v>
      </c>
      <c r="DA76" s="43" t="b">
        <v>0</v>
      </c>
      <c r="DB76" s="43" t="b">
        <v>0</v>
      </c>
      <c r="DC76" s="43"/>
      <c r="DD76" s="43"/>
      <c r="DE76" s="43"/>
      <c r="DF76" s="43"/>
      <c r="DG76" s="43"/>
      <c r="DH76" s="43"/>
      <c r="DI76" s="43"/>
      <c r="DJ76" s="22">
        <f>IFERROR(VLOOKUP($B76,'Лист4'!$D:$AI,27,0)," ")</f>
        <v>13</v>
      </c>
      <c r="DK76" s="22">
        <f>IFERROR(VLOOKUP($B76,'Лист4'!$D:$AI,28,0)," ")</f>
        <v>8</v>
      </c>
      <c r="DL76" s="22">
        <f>IFERROR(VLOOKUP($B76,'Лист4'!$D:$AI,29,0)," ")</f>
        <v>13</v>
      </c>
      <c r="DM76" s="22">
        <f t="shared" si="1"/>
        <v>1352</v>
      </c>
      <c r="DN76" s="22">
        <f>IFERROR(VLOOKUP($B76,'Лист4'!$D:$AI,32,0)," ")</f>
        <v>0.248</v>
      </c>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43"/>
      <c r="ET76" s="43"/>
      <c r="EU76" s="43"/>
      <c r="EV76" s="43"/>
      <c r="EW76" s="43"/>
      <c r="EX76" s="43"/>
      <c r="EY76" s="43"/>
      <c r="EZ76" s="43"/>
      <c r="FA76" s="43"/>
      <c r="FB76" s="43"/>
      <c r="FC76" s="43"/>
      <c r="FD76" s="43"/>
      <c r="FE76" s="43"/>
      <c r="FF76" s="43"/>
      <c r="FG76" s="43"/>
      <c r="FH76" s="43"/>
      <c r="FI76" s="43"/>
    </row>
    <row r="77" ht="18.0" customHeight="1">
      <c r="A77" s="22" t="s">
        <v>116</v>
      </c>
      <c r="B77" s="43" t="s">
        <v>1341</v>
      </c>
      <c r="C77" s="22" t="s">
        <v>283</v>
      </c>
      <c r="D77" s="22" t="s">
        <v>187</v>
      </c>
      <c r="E77" s="43"/>
      <c r="F77" s="22" t="s">
        <v>1342</v>
      </c>
      <c r="G77" s="22" t="s">
        <v>361</v>
      </c>
      <c r="H77" s="22" t="s">
        <v>1272</v>
      </c>
      <c r="I77" s="43"/>
      <c r="J77" s="43"/>
      <c r="K77" s="22" t="b">
        <v>1</v>
      </c>
      <c r="L77" s="22" t="b">
        <v>1</v>
      </c>
      <c r="M77" s="22" t="b">
        <v>1</v>
      </c>
      <c r="N77" s="22" t="b">
        <v>1</v>
      </c>
      <c r="O77" s="22" t="b">
        <v>0</v>
      </c>
      <c r="P77" s="22" t="b">
        <v>0</v>
      </c>
      <c r="Q77" s="22" t="b">
        <v>0</v>
      </c>
      <c r="R77" s="43"/>
      <c r="S77" s="43" t="s">
        <v>1343</v>
      </c>
      <c r="T77" s="22" t="s">
        <v>1341</v>
      </c>
      <c r="U77" s="22" t="s">
        <v>1341</v>
      </c>
      <c r="V77" s="22" t="s">
        <v>1341</v>
      </c>
      <c r="W77" s="43"/>
      <c r="X77" s="43"/>
      <c r="Y77" s="43"/>
      <c r="Z77" s="43"/>
      <c r="AA77" s="22">
        <v>1.31852032E8</v>
      </c>
      <c r="AB77" s="22">
        <v>7.71659759E8</v>
      </c>
      <c r="AC77" s="22">
        <v>1.01841345737E11</v>
      </c>
      <c r="AD77" s="22"/>
      <c r="AE77" s="22"/>
      <c r="AF77" s="43"/>
      <c r="AG77" s="43"/>
      <c r="AH77" s="43" t="s">
        <v>1342</v>
      </c>
      <c r="AI77" s="22" t="s">
        <v>1344</v>
      </c>
      <c r="AJ77" s="22" t="s">
        <v>1345</v>
      </c>
      <c r="AK77" s="22" t="s">
        <v>1345</v>
      </c>
      <c r="AL77" s="43"/>
      <c r="AM77" s="43"/>
      <c r="AN77" s="43"/>
      <c r="AO77" s="43"/>
      <c r="AP77" s="46" t="s">
        <v>1346</v>
      </c>
      <c r="AQ77" s="46" t="s">
        <v>1347</v>
      </c>
      <c r="AR77" s="46" t="s">
        <v>1348</v>
      </c>
      <c r="AS77" s="43"/>
      <c r="AT77" s="43"/>
      <c r="AU77" s="43"/>
      <c r="AV77" s="43"/>
      <c r="AW77" s="22" t="s">
        <v>1279</v>
      </c>
      <c r="AX77" s="22" t="s">
        <v>1345</v>
      </c>
      <c r="AY77" s="22" t="s">
        <v>372</v>
      </c>
      <c r="AZ77" s="43"/>
      <c r="BA77" s="43"/>
      <c r="BB77" s="43"/>
      <c r="BC77" s="43"/>
      <c r="BD77" s="43" t="s">
        <v>374</v>
      </c>
      <c r="BE77" s="43" t="s">
        <v>243</v>
      </c>
      <c r="BF77" s="22" t="s">
        <v>131</v>
      </c>
      <c r="BG77" s="22" t="s">
        <v>132</v>
      </c>
      <c r="BH77" s="22" t="s">
        <v>132</v>
      </c>
      <c r="BI77" s="22" t="s">
        <v>132</v>
      </c>
      <c r="BJ77" s="43"/>
      <c r="BK77" s="43"/>
      <c r="BL77" s="22">
        <v>4.630205140322E12</v>
      </c>
      <c r="BM77" s="22">
        <v>3.504009E9</v>
      </c>
      <c r="BN77" s="22" t="s">
        <v>1323</v>
      </c>
      <c r="BO77" s="46" t="s">
        <v>1349</v>
      </c>
      <c r="BP77" s="22" t="s">
        <v>245</v>
      </c>
      <c r="BQ77" s="43"/>
      <c r="BR77" s="43"/>
      <c r="BS77" s="22" t="s">
        <v>1350</v>
      </c>
      <c r="BT77" s="43"/>
      <c r="BU77" s="22" t="s">
        <v>1325</v>
      </c>
      <c r="BV77" s="43" t="s">
        <v>1326</v>
      </c>
      <c r="BW77" s="22" t="s">
        <v>1327</v>
      </c>
      <c r="BX77" s="22">
        <v>180.0</v>
      </c>
      <c r="BY77" s="22" t="s">
        <v>580</v>
      </c>
      <c r="BZ77" s="22"/>
      <c r="CA77" s="22" t="s">
        <v>1328</v>
      </c>
      <c r="CB77" s="22" t="s">
        <v>1329</v>
      </c>
      <c r="CC77" s="45"/>
      <c r="CD77" s="43"/>
      <c r="CE77" s="43"/>
      <c r="CF77" s="45" t="s">
        <v>1330</v>
      </c>
      <c r="CG77" s="43"/>
      <c r="CH77" s="43"/>
      <c r="CI77" s="43"/>
      <c r="CJ77" s="43"/>
      <c r="CK77" s="43"/>
      <c r="CL77" s="43"/>
      <c r="CM77" s="49">
        <f>IFERROR(VLOOKUP(B77,CC!A:D,4,0)," ")</f>
        <v>356</v>
      </c>
      <c r="CN77" s="22" t="s">
        <v>494</v>
      </c>
      <c r="CO77" s="22"/>
      <c r="CP77" s="22" t="s">
        <v>495</v>
      </c>
      <c r="CQ77" s="22" t="s">
        <v>401</v>
      </c>
      <c r="CR77" s="43"/>
      <c r="CS77" s="22">
        <v>5.0</v>
      </c>
      <c r="CT77" s="22" t="s">
        <v>496</v>
      </c>
      <c r="CU77" s="43"/>
      <c r="CV77" s="43"/>
      <c r="CW77" s="43"/>
      <c r="CX77" s="43"/>
      <c r="CY77" s="43" t="b">
        <v>0</v>
      </c>
      <c r="CZ77" s="43" t="b">
        <v>0</v>
      </c>
      <c r="DA77" s="43" t="b">
        <v>0</v>
      </c>
      <c r="DB77" s="43" t="b">
        <v>0</v>
      </c>
      <c r="DC77" s="43"/>
      <c r="DD77" s="43"/>
      <c r="DE77" s="43"/>
      <c r="DF77" s="43"/>
      <c r="DG77" s="43"/>
      <c r="DH77" s="43"/>
      <c r="DI77" s="43"/>
      <c r="DJ77" s="22">
        <f>IFERROR(VLOOKUP($B77,'Лист4'!$D:$AI,27,0)," ")</f>
        <v>8</v>
      </c>
      <c r="DK77" s="22">
        <f>IFERROR(VLOOKUP($B77,'Лист4'!$D:$AI,28,0)," ")</f>
        <v>8</v>
      </c>
      <c r="DL77" s="22">
        <f>IFERROR(VLOOKUP($B77,'Лист4'!$D:$AI,29,0)," ")</f>
        <v>8</v>
      </c>
      <c r="DM77" s="22">
        <f t="shared" si="1"/>
        <v>512</v>
      </c>
      <c r="DN77" s="22">
        <f>IFERROR(VLOOKUP($B77,'Лист4'!$D:$AI,32,0)," ")</f>
        <v>0.246</v>
      </c>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43"/>
      <c r="ET77" s="43"/>
      <c r="EU77" s="43"/>
      <c r="EV77" s="43"/>
      <c r="EW77" s="43"/>
      <c r="EX77" s="43"/>
      <c r="EY77" s="43"/>
      <c r="EZ77" s="43"/>
      <c r="FA77" s="43"/>
      <c r="FB77" s="43"/>
      <c r="FC77" s="43"/>
      <c r="FD77" s="43"/>
      <c r="FE77" s="43"/>
      <c r="FF77" s="43"/>
      <c r="FG77" s="43"/>
      <c r="FH77" s="43"/>
      <c r="FI77" s="43"/>
    </row>
    <row r="78" ht="18.0" customHeight="1">
      <c r="A78" s="22" t="s">
        <v>116</v>
      </c>
      <c r="B78" s="43" t="s">
        <v>1351</v>
      </c>
      <c r="C78" s="22" t="s">
        <v>118</v>
      </c>
      <c r="D78" s="22" t="s">
        <v>119</v>
      </c>
      <c r="E78" s="43" t="s">
        <v>1352</v>
      </c>
      <c r="F78" s="22" t="s">
        <v>1353</v>
      </c>
      <c r="G78" s="22" t="s">
        <v>121</v>
      </c>
      <c r="H78" s="22" t="s">
        <v>1354</v>
      </c>
      <c r="I78" s="43"/>
      <c r="J78" s="43"/>
      <c r="K78" s="22" t="b">
        <v>1</v>
      </c>
      <c r="L78" s="22" t="b">
        <v>1</v>
      </c>
      <c r="M78" s="22" t="b">
        <v>1</v>
      </c>
      <c r="N78" s="22" t="b">
        <v>1</v>
      </c>
      <c r="O78" s="22" t="b">
        <v>0</v>
      </c>
      <c r="P78" s="22" t="b">
        <v>0</v>
      </c>
      <c r="Q78" s="22" t="b">
        <v>0</v>
      </c>
      <c r="R78" s="43"/>
      <c r="S78" s="43" t="s">
        <v>1355</v>
      </c>
      <c r="T78" s="22" t="s">
        <v>1351</v>
      </c>
      <c r="U78" s="22" t="s">
        <v>1351</v>
      </c>
      <c r="V78" s="22" t="s">
        <v>1351</v>
      </c>
      <c r="W78" s="43"/>
      <c r="X78" s="43"/>
      <c r="Y78" s="43"/>
      <c r="Z78" s="43"/>
      <c r="AA78" s="22">
        <v>2.33855851E8</v>
      </c>
      <c r="AB78" s="22">
        <v>1.59664608E9</v>
      </c>
      <c r="AC78" s="22">
        <v>1.03396954722E11</v>
      </c>
      <c r="AD78" s="22"/>
      <c r="AE78" s="22"/>
      <c r="AF78" s="43"/>
      <c r="AG78" s="43"/>
      <c r="AH78" s="43" t="s">
        <v>1353</v>
      </c>
      <c r="AI78" s="22" t="s">
        <v>1356</v>
      </c>
      <c r="AJ78" s="22" t="s">
        <v>1357</v>
      </c>
      <c r="AK78" s="22" t="s">
        <v>1357</v>
      </c>
      <c r="AL78" s="43"/>
      <c r="AM78" s="43"/>
      <c r="AN78" s="43"/>
      <c r="AO78" s="43"/>
      <c r="AP78" s="46" t="s">
        <v>1358</v>
      </c>
      <c r="AQ78" s="46" t="s">
        <v>1359</v>
      </c>
      <c r="AR78" s="46" t="s">
        <v>1360</v>
      </c>
      <c r="AS78" s="43"/>
      <c r="AT78" s="43"/>
      <c r="AU78" s="43"/>
      <c r="AV78" s="43"/>
      <c r="AW78" s="22" t="s">
        <v>1361</v>
      </c>
      <c r="AX78" s="22" t="s">
        <v>1357</v>
      </c>
      <c r="AY78" s="22" t="s">
        <v>1362</v>
      </c>
      <c r="AZ78" s="43"/>
      <c r="BA78" s="43"/>
      <c r="BB78" s="43"/>
      <c r="BC78" s="43"/>
      <c r="BD78" s="43" t="s">
        <v>129</v>
      </c>
      <c r="BE78" s="43" t="s">
        <v>243</v>
      </c>
      <c r="BF78" s="22" t="s">
        <v>131</v>
      </c>
      <c r="BG78" s="22" t="s">
        <v>132</v>
      </c>
      <c r="BH78" s="22" t="s">
        <v>132</v>
      </c>
      <c r="BI78" s="22" t="s">
        <v>132</v>
      </c>
      <c r="BJ78" s="43"/>
      <c r="BK78" s="43"/>
      <c r="BL78" s="22">
        <v>4.607077176643E12</v>
      </c>
      <c r="BM78" s="22">
        <v>2.309109E9</v>
      </c>
      <c r="BN78" s="22" t="s">
        <v>1363</v>
      </c>
      <c r="BO78" s="46" t="s">
        <v>1364</v>
      </c>
      <c r="BP78" s="22" t="s">
        <v>160</v>
      </c>
      <c r="BQ78" s="43"/>
      <c r="BR78" s="43"/>
      <c r="BS78" s="22" t="s">
        <v>1365</v>
      </c>
      <c r="BT78" s="43"/>
      <c r="BU78" s="22" t="s">
        <v>1366</v>
      </c>
      <c r="BV78" s="43"/>
      <c r="BW78" s="22" t="s">
        <v>1367</v>
      </c>
      <c r="BX78" s="22">
        <v>2.0</v>
      </c>
      <c r="BY78" s="22" t="s">
        <v>1368</v>
      </c>
      <c r="BZ78" s="22"/>
      <c r="CA78" s="22" t="s">
        <v>165</v>
      </c>
      <c r="CB78" s="22" t="s">
        <v>165</v>
      </c>
      <c r="CC78" s="45" t="s">
        <v>1369</v>
      </c>
      <c r="CD78" s="43"/>
      <c r="CE78" s="43"/>
      <c r="CF78" s="45"/>
      <c r="CG78" s="43"/>
      <c r="CH78" s="43"/>
      <c r="CI78" s="43"/>
      <c r="CJ78" s="43"/>
      <c r="CK78" s="43"/>
      <c r="CL78" s="43"/>
      <c r="CM78" s="49">
        <f>IFERROR(VLOOKUP(B78,CC!A:D,4,0)," ")</f>
        <v>412</v>
      </c>
      <c r="CN78" s="22" t="s">
        <v>1370</v>
      </c>
      <c r="CO78" s="22" t="s">
        <v>1371</v>
      </c>
      <c r="CP78" s="22" t="s">
        <v>1372</v>
      </c>
      <c r="CQ78" s="22">
        <v>60.0</v>
      </c>
      <c r="CR78" s="43"/>
      <c r="CS78" s="22">
        <v>4.0</v>
      </c>
      <c r="CT78" s="22" t="s">
        <v>145</v>
      </c>
      <c r="CU78" s="43"/>
      <c r="CV78" s="43"/>
      <c r="CW78" s="43"/>
      <c r="CX78" s="43"/>
      <c r="CY78" s="43" t="b">
        <v>0</v>
      </c>
      <c r="CZ78" s="43" t="b">
        <v>0</v>
      </c>
      <c r="DA78" s="43" t="b">
        <v>0</v>
      </c>
      <c r="DB78" s="43" t="b">
        <v>0</v>
      </c>
      <c r="DC78" s="43"/>
      <c r="DD78" s="43"/>
      <c r="DE78" s="43"/>
      <c r="DF78" s="43"/>
      <c r="DG78" s="43"/>
      <c r="DH78" s="43"/>
      <c r="DI78" s="43"/>
      <c r="DJ78" s="22">
        <f>IFERROR(VLOOKUP($B78,'Лист4'!$D:$AI,27,0)," ")</f>
        <v>37</v>
      </c>
      <c r="DK78" s="22">
        <f>IFERROR(VLOOKUP($B78,'Лист4'!$D:$AI,28,0)," ")</f>
        <v>6</v>
      </c>
      <c r="DL78" s="22">
        <f>IFERROR(VLOOKUP($B78,'Лист4'!$D:$AI,29,0)," ")</f>
        <v>37</v>
      </c>
      <c r="DM78" s="22">
        <f t="shared" si="1"/>
        <v>8214</v>
      </c>
      <c r="DN78" s="22">
        <f>IFERROR(VLOOKUP($B78,'Лист4'!$D:$AI,32,0)," ")</f>
        <v>2</v>
      </c>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43"/>
      <c r="ET78" s="43"/>
      <c r="EU78" s="43"/>
      <c r="EV78" s="43"/>
      <c r="EW78" s="43"/>
      <c r="EX78" s="43"/>
      <c r="EY78" s="43"/>
      <c r="EZ78" s="43"/>
      <c r="FA78" s="43"/>
      <c r="FB78" s="43"/>
      <c r="FC78" s="43"/>
      <c r="FD78" s="43"/>
      <c r="FE78" s="43"/>
      <c r="FF78" s="43"/>
      <c r="FG78" s="43"/>
      <c r="FH78" s="43"/>
      <c r="FI78" s="43"/>
    </row>
    <row r="79" ht="18.0" customHeight="1">
      <c r="A79" s="22" t="s">
        <v>116</v>
      </c>
      <c r="B79" s="43" t="s">
        <v>1373</v>
      </c>
      <c r="C79" s="22" t="s">
        <v>118</v>
      </c>
      <c r="D79" s="22" t="s">
        <v>119</v>
      </c>
      <c r="E79" s="43" t="s">
        <v>1352</v>
      </c>
      <c r="F79" s="22" t="s">
        <v>1374</v>
      </c>
      <c r="G79" s="22" t="s">
        <v>121</v>
      </c>
      <c r="H79" s="22" t="s">
        <v>1354</v>
      </c>
      <c r="I79" s="43"/>
      <c r="J79" s="43"/>
      <c r="K79" s="22" t="b">
        <v>1</v>
      </c>
      <c r="L79" s="22" t="b">
        <v>1</v>
      </c>
      <c r="M79" s="22" t="b">
        <v>1</v>
      </c>
      <c r="N79" s="22" t="b">
        <v>1</v>
      </c>
      <c r="O79" s="22" t="b">
        <v>0</v>
      </c>
      <c r="P79" s="22" t="b">
        <v>0</v>
      </c>
      <c r="Q79" s="22" t="b">
        <v>0</v>
      </c>
      <c r="R79" s="43"/>
      <c r="S79" s="43" t="s">
        <v>1375</v>
      </c>
      <c r="T79" s="22" t="s">
        <v>1373</v>
      </c>
      <c r="U79" s="22" t="s">
        <v>1373</v>
      </c>
      <c r="V79" s="22" t="s">
        <v>1373</v>
      </c>
      <c r="W79" s="43"/>
      <c r="X79" s="43"/>
      <c r="Y79" s="43"/>
      <c r="Z79" s="43"/>
      <c r="AA79" s="22">
        <v>2.33815804E8</v>
      </c>
      <c r="AB79" s="22">
        <v>1.591515871E9</v>
      </c>
      <c r="AC79" s="22">
        <v>1.03396954723E11</v>
      </c>
      <c r="AD79" s="22"/>
      <c r="AE79" s="22"/>
      <c r="AF79" s="43"/>
      <c r="AG79" s="43"/>
      <c r="AH79" s="43" t="s">
        <v>1374</v>
      </c>
      <c r="AI79" s="22" t="s">
        <v>1376</v>
      </c>
      <c r="AJ79" s="22" t="s">
        <v>1377</v>
      </c>
      <c r="AK79" s="22" t="s">
        <v>1377</v>
      </c>
      <c r="AL79" s="43"/>
      <c r="AM79" s="43"/>
      <c r="AN79" s="43"/>
      <c r="AO79" s="43"/>
      <c r="AP79" s="46" t="s">
        <v>1378</v>
      </c>
      <c r="AQ79" s="46" t="s">
        <v>1379</v>
      </c>
      <c r="AR79" s="46" t="s">
        <v>1380</v>
      </c>
      <c r="AS79" s="43"/>
      <c r="AT79" s="43"/>
      <c r="AU79" s="43"/>
      <c r="AV79" s="43"/>
      <c r="AW79" s="22" t="s">
        <v>1361</v>
      </c>
      <c r="AX79" s="22" t="s">
        <v>1377</v>
      </c>
      <c r="AY79" s="22" t="s">
        <v>1362</v>
      </c>
      <c r="AZ79" s="43"/>
      <c r="BA79" s="43"/>
      <c r="BB79" s="43"/>
      <c r="BC79" s="43"/>
      <c r="BD79" s="43" t="s">
        <v>129</v>
      </c>
      <c r="BE79" s="43" t="s">
        <v>243</v>
      </c>
      <c r="BF79" s="22" t="s">
        <v>131</v>
      </c>
      <c r="BG79" s="22" t="s">
        <v>132</v>
      </c>
      <c r="BH79" s="22" t="s">
        <v>132</v>
      </c>
      <c r="BI79" s="22" t="s">
        <v>132</v>
      </c>
      <c r="BJ79" s="43"/>
      <c r="BK79" s="43"/>
      <c r="BL79" s="22">
        <v>4.607077176636E12</v>
      </c>
      <c r="BM79" s="22">
        <v>2.309109E9</v>
      </c>
      <c r="BN79" s="22" t="s">
        <v>1363</v>
      </c>
      <c r="BO79" s="22"/>
      <c r="BP79" s="22" t="s">
        <v>160</v>
      </c>
      <c r="BQ79" s="43"/>
      <c r="BR79" s="43"/>
      <c r="BS79" s="22" t="s">
        <v>1381</v>
      </c>
      <c r="BT79" s="43"/>
      <c r="BU79" s="22" t="s">
        <v>1366</v>
      </c>
      <c r="BV79" s="43"/>
      <c r="BW79" s="22" t="s">
        <v>1367</v>
      </c>
      <c r="BX79" s="22">
        <v>2.0</v>
      </c>
      <c r="BY79" s="22" t="s">
        <v>1368</v>
      </c>
      <c r="BZ79" s="22"/>
      <c r="CA79" s="22" t="s">
        <v>165</v>
      </c>
      <c r="CB79" s="22" t="s">
        <v>165</v>
      </c>
      <c r="CC79" s="45" t="s">
        <v>1382</v>
      </c>
      <c r="CD79" s="43"/>
      <c r="CE79" s="43"/>
      <c r="CF79" s="45"/>
      <c r="CG79" s="43"/>
      <c r="CH79" s="43"/>
      <c r="CI79" s="43"/>
      <c r="CJ79" s="43"/>
      <c r="CK79" s="43"/>
      <c r="CL79" s="43"/>
      <c r="CM79" s="49">
        <f>IFERROR(VLOOKUP(B79,CC!A:D,4,0)," ")</f>
        <v>419</v>
      </c>
      <c r="CN79" s="22" t="s">
        <v>1370</v>
      </c>
      <c r="CO79" s="22" t="s">
        <v>1371</v>
      </c>
      <c r="CP79" s="22" t="s">
        <v>1383</v>
      </c>
      <c r="CQ79" s="22">
        <v>60.0</v>
      </c>
      <c r="CR79" s="43"/>
      <c r="CS79" s="22">
        <v>4.0</v>
      </c>
      <c r="CT79" s="22" t="s">
        <v>145</v>
      </c>
      <c r="CU79" s="43"/>
      <c r="CV79" s="43"/>
      <c r="CW79" s="43"/>
      <c r="CX79" s="43"/>
      <c r="CY79" s="43" t="b">
        <v>0</v>
      </c>
      <c r="CZ79" s="43" t="b">
        <v>0</v>
      </c>
      <c r="DA79" s="43" t="b">
        <v>0</v>
      </c>
      <c r="DB79" s="43" t="b">
        <v>0</v>
      </c>
      <c r="DC79" s="43"/>
      <c r="DD79" s="43"/>
      <c r="DE79" s="43"/>
      <c r="DF79" s="43"/>
      <c r="DG79" s="43"/>
      <c r="DH79" s="43"/>
      <c r="DI79" s="43"/>
      <c r="DJ79" s="22">
        <f>IFERROR(VLOOKUP($B79,'Лист4'!$D:$AI,27,0)," ")</f>
        <v>37</v>
      </c>
      <c r="DK79" s="22">
        <f>IFERROR(VLOOKUP($B79,'Лист4'!$D:$AI,28,0)," ")</f>
        <v>6</v>
      </c>
      <c r="DL79" s="22">
        <f>IFERROR(VLOOKUP($B79,'Лист4'!$D:$AI,29,0)," ")</f>
        <v>37</v>
      </c>
      <c r="DM79" s="22">
        <f t="shared" si="1"/>
        <v>8214</v>
      </c>
      <c r="DN79" s="22">
        <f>IFERROR(VLOOKUP($B79,'Лист4'!$D:$AI,32,0)," ")</f>
        <v>2</v>
      </c>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43"/>
      <c r="ET79" s="43"/>
      <c r="EU79" s="43"/>
      <c r="EV79" s="43"/>
      <c r="EW79" s="43"/>
      <c r="EX79" s="43"/>
      <c r="EY79" s="43"/>
      <c r="EZ79" s="43"/>
      <c r="FA79" s="43"/>
      <c r="FB79" s="43"/>
      <c r="FC79" s="43"/>
      <c r="FD79" s="43"/>
      <c r="FE79" s="43"/>
      <c r="FF79" s="43"/>
      <c r="FG79" s="43"/>
      <c r="FH79" s="43"/>
      <c r="FI79" s="43"/>
    </row>
    <row r="80" ht="18.0" customHeight="1">
      <c r="A80" s="22" t="s">
        <v>116</v>
      </c>
      <c r="B80" s="43" t="s">
        <v>1384</v>
      </c>
      <c r="C80" s="22" t="s">
        <v>118</v>
      </c>
      <c r="D80" s="22" t="s">
        <v>119</v>
      </c>
      <c r="E80" s="43" t="s">
        <v>1352</v>
      </c>
      <c r="F80" s="22" t="s">
        <v>1385</v>
      </c>
      <c r="G80" s="22" t="s">
        <v>121</v>
      </c>
      <c r="H80" s="22" t="s">
        <v>1386</v>
      </c>
      <c r="I80" s="43"/>
      <c r="J80" s="43"/>
      <c r="K80" s="22" t="b">
        <v>1</v>
      </c>
      <c r="L80" s="22" t="b">
        <v>1</v>
      </c>
      <c r="M80" s="22" t="b">
        <v>1</v>
      </c>
      <c r="N80" s="22" t="b">
        <v>1</v>
      </c>
      <c r="O80" s="22" t="b">
        <v>0</v>
      </c>
      <c r="P80" s="22" t="b">
        <v>0</v>
      </c>
      <c r="Q80" s="22" t="b">
        <v>0</v>
      </c>
      <c r="R80" s="43"/>
      <c r="S80" s="43" t="s">
        <v>1387</v>
      </c>
      <c r="T80" s="22" t="s">
        <v>1384</v>
      </c>
      <c r="U80" s="22" t="s">
        <v>1384</v>
      </c>
      <c r="V80" s="22" t="s">
        <v>1384</v>
      </c>
      <c r="W80" s="43"/>
      <c r="X80" s="43"/>
      <c r="Y80" s="43"/>
      <c r="Z80" s="43"/>
      <c r="AA80" s="22">
        <v>2.63835222E8</v>
      </c>
      <c r="AB80" s="22">
        <v>1.703901908E9</v>
      </c>
      <c r="AC80" s="22">
        <v>1.03536211764E11</v>
      </c>
      <c r="AD80" s="22"/>
      <c r="AE80" s="22"/>
      <c r="AF80" s="43"/>
      <c r="AG80" s="43"/>
      <c r="AH80" s="43" t="s">
        <v>1385</v>
      </c>
      <c r="AI80" s="22" t="s">
        <v>1388</v>
      </c>
      <c r="AJ80" s="22" t="s">
        <v>1389</v>
      </c>
      <c r="AK80" s="22" t="s">
        <v>1390</v>
      </c>
      <c r="AL80" s="43"/>
      <c r="AM80" s="43"/>
      <c r="AN80" s="43"/>
      <c r="AO80" s="43"/>
      <c r="AP80" s="46" t="s">
        <v>1391</v>
      </c>
      <c r="AQ80" s="46" t="s">
        <v>1392</v>
      </c>
      <c r="AR80" s="46" t="s">
        <v>1393</v>
      </c>
      <c r="AS80" s="43"/>
      <c r="AT80" s="43"/>
      <c r="AU80" s="43"/>
      <c r="AV80" s="43"/>
      <c r="AW80" s="22" t="s">
        <v>1361</v>
      </c>
      <c r="AX80" s="22" t="s">
        <v>1389</v>
      </c>
      <c r="AY80" s="22" t="s">
        <v>1394</v>
      </c>
      <c r="AZ80" s="43"/>
      <c r="BA80" s="43"/>
      <c r="BB80" s="43"/>
      <c r="BC80" s="43"/>
      <c r="BD80" s="43" t="s">
        <v>129</v>
      </c>
      <c r="BE80" s="43" t="s">
        <v>243</v>
      </c>
      <c r="BF80" s="22" t="s">
        <v>131</v>
      </c>
      <c r="BG80" s="22" t="s">
        <v>132</v>
      </c>
      <c r="BH80" s="22" t="s">
        <v>132</v>
      </c>
      <c r="BI80" s="22" t="s">
        <v>132</v>
      </c>
      <c r="BJ80" s="43"/>
      <c r="BK80" s="43"/>
      <c r="BL80" s="22" t="s">
        <v>1395</v>
      </c>
      <c r="BM80" s="22">
        <v>2.309109E9</v>
      </c>
      <c r="BN80" s="22" t="s">
        <v>133</v>
      </c>
      <c r="BO80" s="46" t="s">
        <v>1396</v>
      </c>
      <c r="BP80" s="22" t="s">
        <v>160</v>
      </c>
      <c r="BQ80" s="43"/>
      <c r="BR80" s="43"/>
      <c r="BS80" s="22" t="s">
        <v>1397</v>
      </c>
      <c r="BT80" s="43"/>
      <c r="BU80" s="22" t="s">
        <v>1366</v>
      </c>
      <c r="BV80" s="43"/>
      <c r="BW80" s="22" t="s">
        <v>1367</v>
      </c>
      <c r="BX80" s="22">
        <v>2.0</v>
      </c>
      <c r="BY80" s="22" t="s">
        <v>1368</v>
      </c>
      <c r="BZ80" s="22"/>
      <c r="CA80" s="22" t="s">
        <v>165</v>
      </c>
      <c r="CB80" s="22" t="s">
        <v>165</v>
      </c>
      <c r="CC80" s="45" t="s">
        <v>1398</v>
      </c>
      <c r="CD80" s="43"/>
      <c r="CE80" s="43"/>
      <c r="CF80" s="45"/>
      <c r="CG80" s="43"/>
      <c r="CH80" s="43"/>
      <c r="CI80" s="43"/>
      <c r="CJ80" s="43"/>
      <c r="CK80" s="43"/>
      <c r="CL80" s="43"/>
      <c r="CM80" s="49">
        <f>IFERROR(VLOOKUP(B80,CC!A:D,4,0)," ")</f>
        <v>368</v>
      </c>
      <c r="CN80" s="22" t="s">
        <v>1370</v>
      </c>
      <c r="CO80" s="22" t="s">
        <v>1371</v>
      </c>
      <c r="CP80" s="22" t="s">
        <v>1399</v>
      </c>
      <c r="CQ80" s="22">
        <v>60.0</v>
      </c>
      <c r="CR80" s="43"/>
      <c r="CS80" s="22">
        <v>4.0</v>
      </c>
      <c r="CT80" s="22" t="s">
        <v>145</v>
      </c>
      <c r="CU80" s="43"/>
      <c r="CV80" s="43"/>
      <c r="CW80" s="43"/>
      <c r="CX80" s="43"/>
      <c r="CY80" s="43" t="b">
        <v>0</v>
      </c>
      <c r="CZ80" s="43" t="b">
        <v>0</v>
      </c>
      <c r="DA80" s="43" t="b">
        <v>0</v>
      </c>
      <c r="DB80" s="43" t="b">
        <v>0</v>
      </c>
      <c r="DC80" s="43"/>
      <c r="DD80" s="43"/>
      <c r="DE80" s="43"/>
      <c r="DF80" s="43"/>
      <c r="DG80" s="43"/>
      <c r="DH80" s="43"/>
      <c r="DI80" s="43"/>
      <c r="DJ80" s="22">
        <f>IFERROR(VLOOKUP($B80,'Лист4'!$D:$AI,27,0)," ")</f>
        <v>37</v>
      </c>
      <c r="DK80" s="22">
        <f>IFERROR(VLOOKUP($B80,'Лист4'!$D:$AI,28,0)," ")</f>
        <v>6</v>
      </c>
      <c r="DL80" s="22">
        <f>IFERROR(VLOOKUP($B80,'Лист4'!$D:$AI,29,0)," ")</f>
        <v>37</v>
      </c>
      <c r="DM80" s="22">
        <f t="shared" si="1"/>
        <v>8214</v>
      </c>
      <c r="DN80" s="22">
        <f>IFERROR(VLOOKUP($B80,'Лист4'!$D:$AI,32,0)," ")</f>
        <v>2</v>
      </c>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43"/>
      <c r="ET80" s="43"/>
      <c r="EU80" s="43"/>
      <c r="EV80" s="43"/>
      <c r="EW80" s="43"/>
      <c r="EX80" s="43"/>
      <c r="EY80" s="43"/>
      <c r="EZ80" s="43"/>
      <c r="FA80" s="43"/>
      <c r="FB80" s="43"/>
      <c r="FC80" s="43"/>
      <c r="FD80" s="43"/>
      <c r="FE80" s="43"/>
      <c r="FF80" s="43"/>
      <c r="FG80" s="43"/>
      <c r="FH80" s="43"/>
      <c r="FI80" s="43"/>
    </row>
    <row r="81" ht="18.0" customHeight="1">
      <c r="A81" s="22" t="s">
        <v>116</v>
      </c>
      <c r="B81" s="43" t="s">
        <v>1400</v>
      </c>
      <c r="C81" s="22" t="s">
        <v>118</v>
      </c>
      <c r="D81" s="22" t="s">
        <v>119</v>
      </c>
      <c r="E81" s="43" t="s">
        <v>1352</v>
      </c>
      <c r="F81" s="22" t="s">
        <v>1401</v>
      </c>
      <c r="G81" s="22" t="s">
        <v>121</v>
      </c>
      <c r="H81" s="22" t="s">
        <v>1386</v>
      </c>
      <c r="I81" s="43"/>
      <c r="J81" s="43"/>
      <c r="K81" s="22" t="b">
        <v>1</v>
      </c>
      <c r="L81" s="22" t="b">
        <v>1</v>
      </c>
      <c r="M81" s="22" t="b">
        <v>1</v>
      </c>
      <c r="N81" s="22" t="b">
        <v>1</v>
      </c>
      <c r="O81" s="22" t="b">
        <v>0</v>
      </c>
      <c r="P81" s="22" t="b">
        <v>0</v>
      </c>
      <c r="Q81" s="22" t="b">
        <v>0</v>
      </c>
      <c r="R81" s="43"/>
      <c r="S81" s="43" t="s">
        <v>1402</v>
      </c>
      <c r="T81" s="22" t="s">
        <v>1400</v>
      </c>
      <c r="U81" s="22" t="s">
        <v>1400</v>
      </c>
      <c r="V81" s="22" t="s">
        <v>1400</v>
      </c>
      <c r="W81" s="43"/>
      <c r="X81" s="43"/>
      <c r="Y81" s="43"/>
      <c r="Z81" s="43"/>
      <c r="AA81" s="22">
        <v>2.63831566E8</v>
      </c>
      <c r="AB81" s="22">
        <v>1.710553197E9</v>
      </c>
      <c r="AC81" s="22">
        <v>1.03553212446E11</v>
      </c>
      <c r="AD81" s="22"/>
      <c r="AE81" s="22"/>
      <c r="AF81" s="43"/>
      <c r="AG81" s="43"/>
      <c r="AH81" s="43" t="s">
        <v>1401</v>
      </c>
      <c r="AI81" s="22" t="s">
        <v>1403</v>
      </c>
      <c r="AJ81" s="22" t="s">
        <v>1404</v>
      </c>
      <c r="AK81" s="22" t="s">
        <v>1405</v>
      </c>
      <c r="AL81" s="43"/>
      <c r="AM81" s="43"/>
      <c r="AN81" s="43"/>
      <c r="AO81" s="43"/>
      <c r="AP81" s="46" t="s">
        <v>1406</v>
      </c>
      <c r="AQ81" s="46" t="s">
        <v>1407</v>
      </c>
      <c r="AR81" s="43"/>
      <c r="AS81" s="43"/>
      <c r="AT81" s="43"/>
      <c r="AU81" s="43"/>
      <c r="AV81" s="43"/>
      <c r="AW81" s="22" t="s">
        <v>1361</v>
      </c>
      <c r="AX81" s="22" t="s">
        <v>1404</v>
      </c>
      <c r="AY81" s="22" t="s">
        <v>1394</v>
      </c>
      <c r="AZ81" s="43"/>
      <c r="BA81" s="43"/>
      <c r="BB81" s="43"/>
      <c r="BC81" s="43"/>
      <c r="BD81" s="43" t="s">
        <v>129</v>
      </c>
      <c r="BE81" s="43" t="s">
        <v>243</v>
      </c>
      <c r="BF81" s="22" t="s">
        <v>131</v>
      </c>
      <c r="BG81" s="22" t="s">
        <v>132</v>
      </c>
      <c r="BH81" s="22" t="s">
        <v>132</v>
      </c>
      <c r="BI81" s="22" t="s">
        <v>132</v>
      </c>
      <c r="BJ81" s="43"/>
      <c r="BK81" s="43"/>
      <c r="BL81" s="22" t="s">
        <v>1408</v>
      </c>
      <c r="BM81" s="22">
        <v>2.309109E9</v>
      </c>
      <c r="BN81" s="22" t="s">
        <v>133</v>
      </c>
      <c r="BO81" s="22"/>
      <c r="BP81" s="22" t="s">
        <v>160</v>
      </c>
      <c r="BQ81" s="43"/>
      <c r="BR81" s="43"/>
      <c r="BS81" s="22" t="s">
        <v>1409</v>
      </c>
      <c r="BT81" s="43"/>
      <c r="BU81" s="22" t="s">
        <v>1366</v>
      </c>
      <c r="BV81" s="43"/>
      <c r="BW81" s="22" t="s">
        <v>1367</v>
      </c>
      <c r="BX81" s="22">
        <v>2.0</v>
      </c>
      <c r="BY81" s="22" t="s">
        <v>1368</v>
      </c>
      <c r="BZ81" s="22"/>
      <c r="CA81" s="22" t="s">
        <v>165</v>
      </c>
      <c r="CB81" s="22" t="s">
        <v>165</v>
      </c>
      <c r="CC81" s="45" t="s">
        <v>1410</v>
      </c>
      <c r="CD81" s="43"/>
      <c r="CE81" s="43"/>
      <c r="CF81" s="45"/>
      <c r="CG81" s="43"/>
      <c r="CH81" s="43"/>
      <c r="CI81" s="43"/>
      <c r="CJ81" s="43"/>
      <c r="CK81" s="43"/>
      <c r="CL81" s="43"/>
      <c r="CM81" s="49">
        <f>IFERROR(VLOOKUP(B81,CC!A:D,4,0)," ")</f>
        <v>344</v>
      </c>
      <c r="CN81" s="22" t="s">
        <v>1370</v>
      </c>
      <c r="CO81" s="22" t="s">
        <v>1371</v>
      </c>
      <c r="CP81" s="22" t="s">
        <v>1399</v>
      </c>
      <c r="CQ81" s="22">
        <v>60.0</v>
      </c>
      <c r="CR81" s="43"/>
      <c r="CS81" s="22">
        <v>4.0</v>
      </c>
      <c r="CT81" s="22" t="s">
        <v>145</v>
      </c>
      <c r="CU81" s="43"/>
      <c r="CV81" s="43"/>
      <c r="CW81" s="43"/>
      <c r="CX81" s="43"/>
      <c r="CY81" s="43" t="b">
        <v>0</v>
      </c>
      <c r="CZ81" s="43" t="b">
        <v>0</v>
      </c>
      <c r="DA81" s="43" t="b">
        <v>0</v>
      </c>
      <c r="DB81" s="43" t="b">
        <v>0</v>
      </c>
      <c r="DC81" s="43"/>
      <c r="DD81" s="43"/>
      <c r="DE81" s="43"/>
      <c r="DF81" s="43"/>
      <c r="DG81" s="43"/>
      <c r="DH81" s="43"/>
      <c r="DI81" s="43"/>
      <c r="DJ81" s="22">
        <f>IFERROR(VLOOKUP($B81,'Лист4'!$D:$AI,27,0)," ")</f>
        <v>37</v>
      </c>
      <c r="DK81" s="22">
        <f>IFERROR(VLOOKUP($B81,'Лист4'!$D:$AI,28,0)," ")</f>
        <v>6</v>
      </c>
      <c r="DL81" s="22">
        <f>IFERROR(VLOOKUP($B81,'Лист4'!$D:$AI,29,0)," ")</f>
        <v>37</v>
      </c>
      <c r="DM81" s="22">
        <f t="shared" si="1"/>
        <v>8214</v>
      </c>
      <c r="DN81" s="22">
        <f>IFERROR(VLOOKUP($B81,'Лист4'!$D:$AI,32,0)," ")</f>
        <v>2</v>
      </c>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22"/>
      <c r="EN81" s="22"/>
      <c r="EO81" s="22"/>
      <c r="EP81" s="22"/>
      <c r="EQ81" s="22"/>
      <c r="ER81" s="22"/>
      <c r="ES81" s="43"/>
      <c r="ET81" s="43"/>
      <c r="EU81" s="43"/>
      <c r="EV81" s="43"/>
      <c r="EW81" s="43"/>
      <c r="EX81" s="43"/>
      <c r="EY81" s="43"/>
      <c r="EZ81" s="43"/>
      <c r="FA81" s="43"/>
      <c r="FB81" s="43"/>
      <c r="FC81" s="43"/>
      <c r="FD81" s="43"/>
      <c r="FE81" s="43"/>
      <c r="FF81" s="43"/>
      <c r="FG81" s="43"/>
      <c r="FH81" s="43"/>
      <c r="FI81" s="43"/>
    </row>
    <row r="82" ht="18.0" customHeight="1">
      <c r="A82" s="22" t="s">
        <v>116</v>
      </c>
      <c r="B82" s="43" t="s">
        <v>1411</v>
      </c>
      <c r="C82" s="22" t="s">
        <v>283</v>
      </c>
      <c r="D82" s="22" t="s">
        <v>119</v>
      </c>
      <c r="E82" s="43"/>
      <c r="F82" s="22" t="s">
        <v>1412</v>
      </c>
      <c r="G82" s="22" t="s">
        <v>286</v>
      </c>
      <c r="H82" s="22" t="s">
        <v>565</v>
      </c>
      <c r="I82" s="43"/>
      <c r="J82" s="43"/>
      <c r="K82" s="22" t="b">
        <v>1</v>
      </c>
      <c r="L82" s="22" t="b">
        <v>1</v>
      </c>
      <c r="M82" s="22" t="b">
        <v>1</v>
      </c>
      <c r="N82" s="22" t="b">
        <v>1</v>
      </c>
      <c r="O82" s="22" t="b">
        <v>0</v>
      </c>
      <c r="P82" s="22" t="b">
        <v>1</v>
      </c>
      <c r="Q82" s="22" t="b">
        <v>1</v>
      </c>
      <c r="R82" s="43"/>
      <c r="S82" s="43" t="s">
        <v>1413</v>
      </c>
      <c r="T82" s="22" t="s">
        <v>1411</v>
      </c>
      <c r="U82" s="22" t="s">
        <v>1411</v>
      </c>
      <c r="V82" s="22" t="s">
        <v>1411</v>
      </c>
      <c r="W82" s="43"/>
      <c r="X82" s="43" t="s">
        <v>1411</v>
      </c>
      <c r="Y82" s="22" t="s">
        <v>1411</v>
      </c>
      <c r="Z82" s="43"/>
      <c r="AA82" s="22">
        <v>3.26154767E8</v>
      </c>
      <c r="AB82" s="22">
        <v>1.856657517E9</v>
      </c>
      <c r="AC82" s="22">
        <v>1.03812560928E11</v>
      </c>
      <c r="AD82" s="22"/>
      <c r="AE82" s="22" t="s">
        <v>1414</v>
      </c>
      <c r="AF82" s="22" t="s">
        <v>1415</v>
      </c>
      <c r="AG82" s="43"/>
      <c r="AH82" s="43" t="s">
        <v>1412</v>
      </c>
      <c r="AI82" s="22" t="s">
        <v>1416</v>
      </c>
      <c r="AJ82" s="22" t="s">
        <v>1417</v>
      </c>
      <c r="AK82" s="22" t="s">
        <v>1418</v>
      </c>
      <c r="AL82" s="43"/>
      <c r="AM82" s="22" t="s">
        <v>1419</v>
      </c>
      <c r="AN82" s="22" t="s">
        <v>1420</v>
      </c>
      <c r="AO82" s="43"/>
      <c r="AP82" s="46" t="s">
        <v>1421</v>
      </c>
      <c r="AQ82" s="46" t="s">
        <v>1422</v>
      </c>
      <c r="AR82" s="46" t="s">
        <v>1423</v>
      </c>
      <c r="AS82" s="43"/>
      <c r="AT82" s="46" t="s">
        <v>1424</v>
      </c>
      <c r="AU82" s="46" t="s">
        <v>1425</v>
      </c>
      <c r="AV82" s="43"/>
      <c r="AW82" s="22" t="s">
        <v>1426</v>
      </c>
      <c r="AX82" s="22" t="s">
        <v>1417</v>
      </c>
      <c r="AY82" s="22" t="s">
        <v>595</v>
      </c>
      <c r="AZ82" s="43"/>
      <c r="BA82" s="22" t="s">
        <v>1427</v>
      </c>
      <c r="BB82" s="22" t="s">
        <v>1428</v>
      </c>
      <c r="BC82" s="22"/>
      <c r="BD82" s="43" t="s">
        <v>301</v>
      </c>
      <c r="BE82" s="43" t="s">
        <v>130</v>
      </c>
      <c r="BF82" s="22" t="s">
        <v>131</v>
      </c>
      <c r="BG82" s="22" t="s">
        <v>132</v>
      </c>
      <c r="BH82" s="22" t="s">
        <v>132</v>
      </c>
      <c r="BI82" s="22" t="s">
        <v>132</v>
      </c>
      <c r="BJ82" s="43"/>
      <c r="BK82" s="43"/>
      <c r="BL82" s="22" t="s">
        <v>1429</v>
      </c>
      <c r="BM82" s="22"/>
      <c r="BN82" s="22" t="s">
        <v>133</v>
      </c>
      <c r="BO82" s="46" t="s">
        <v>1430</v>
      </c>
      <c r="BP82" s="22" t="s">
        <v>303</v>
      </c>
      <c r="BQ82" s="43"/>
      <c r="BR82" s="43"/>
      <c r="BS82" s="22" t="s">
        <v>1431</v>
      </c>
      <c r="BT82" s="43"/>
      <c r="BU82" s="22" t="s">
        <v>1432</v>
      </c>
      <c r="BV82" s="43"/>
      <c r="BW82" s="22" t="s">
        <v>1433</v>
      </c>
      <c r="BX82" s="22">
        <v>30.0</v>
      </c>
      <c r="BY82" s="22" t="s">
        <v>139</v>
      </c>
      <c r="BZ82" s="22"/>
      <c r="CA82" s="22" t="s">
        <v>355</v>
      </c>
      <c r="CB82" s="22" t="s">
        <v>307</v>
      </c>
      <c r="CC82" s="45" t="s">
        <v>1434</v>
      </c>
      <c r="CD82" s="43"/>
      <c r="CE82" s="43"/>
      <c r="CF82" s="45"/>
      <c r="CG82" s="43"/>
      <c r="CH82" s="43"/>
      <c r="CI82" s="43"/>
      <c r="CJ82" s="43"/>
      <c r="CK82" s="43"/>
      <c r="CL82" s="43"/>
      <c r="CM82" s="49">
        <f>IFERROR(VLOOKUP(B82,CC!A:D,4,0)," ")</f>
        <v>108.8</v>
      </c>
      <c r="CN82" s="22" t="s">
        <v>309</v>
      </c>
      <c r="CO82" s="22" t="s">
        <v>335</v>
      </c>
      <c r="CP82" s="43"/>
      <c r="CQ82" s="22">
        <v>90.0</v>
      </c>
      <c r="CR82" s="43"/>
      <c r="CS82" s="22">
        <v>5.0</v>
      </c>
      <c r="CT82" s="22" t="s">
        <v>145</v>
      </c>
      <c r="CU82" s="43"/>
      <c r="CV82" s="43"/>
      <c r="CW82" s="43"/>
      <c r="CX82" s="43"/>
      <c r="CY82" s="43" t="b">
        <v>0</v>
      </c>
      <c r="CZ82" s="43" t="b">
        <v>0</v>
      </c>
      <c r="DA82" s="43" t="b">
        <v>0</v>
      </c>
      <c r="DB82" s="43" t="b">
        <v>0</v>
      </c>
      <c r="DC82" s="43"/>
      <c r="DD82" s="43"/>
      <c r="DE82" s="43"/>
      <c r="DF82" s="43"/>
      <c r="DG82" s="43"/>
      <c r="DH82" s="43"/>
      <c r="DI82" s="43"/>
      <c r="DJ82" s="22">
        <f>IFERROR(VLOOKUP($B82,'Лист4'!$D:$AI,27,0)," ")</f>
        <v>4</v>
      </c>
      <c r="DK82" s="22">
        <f>IFERROR(VLOOKUP($B82,'Лист4'!$D:$AI,28,0)," ")</f>
        <v>12</v>
      </c>
      <c r="DL82" s="22">
        <f>IFERROR(VLOOKUP($B82,'Лист4'!$D:$AI,29,0)," ")</f>
        <v>4</v>
      </c>
      <c r="DM82" s="22">
        <f t="shared" si="1"/>
        <v>192</v>
      </c>
      <c r="DN82" s="22">
        <f>IFERROR(VLOOKUP($B82,'Лист4'!$D:$AI,32,0)," ")</f>
        <v>0.092</v>
      </c>
      <c r="DO82" s="22"/>
      <c r="DP82" s="22"/>
      <c r="DQ82" s="22"/>
      <c r="DR82" s="22"/>
      <c r="DS82" s="22"/>
      <c r="DT82" s="22"/>
      <c r="DU82" s="22"/>
      <c r="DV82" s="22"/>
      <c r="DW82" s="22"/>
      <c r="DX82" s="22"/>
      <c r="DY82" s="22"/>
      <c r="DZ82" s="22"/>
      <c r="EA82" s="22"/>
      <c r="EB82" s="22"/>
      <c r="EC82" s="22"/>
      <c r="ED82" s="22"/>
      <c r="EE82" s="22"/>
      <c r="EF82" s="22"/>
      <c r="EG82" s="22"/>
      <c r="EH82" s="22"/>
      <c r="EI82" s="22"/>
      <c r="EJ82" s="22"/>
      <c r="EK82" s="22"/>
      <c r="EL82" s="22"/>
      <c r="EM82" s="22"/>
      <c r="EN82" s="22"/>
      <c r="EO82" s="22"/>
      <c r="EP82" s="22"/>
      <c r="EQ82" s="22"/>
      <c r="ER82" s="22"/>
      <c r="ES82" s="43"/>
      <c r="ET82" s="43"/>
      <c r="EU82" s="43"/>
      <c r="EV82" s="43"/>
      <c r="EW82" s="43"/>
      <c r="EX82" s="43"/>
      <c r="EY82" s="43"/>
      <c r="EZ82" s="43"/>
      <c r="FA82" s="43"/>
      <c r="FB82" s="43"/>
      <c r="FC82" s="43"/>
      <c r="FD82" s="43"/>
      <c r="FE82" s="43"/>
      <c r="FF82" s="43"/>
      <c r="FG82" s="43"/>
      <c r="FH82" s="43"/>
      <c r="FI82" s="43"/>
    </row>
    <row r="83" ht="18.0" customHeight="1">
      <c r="A83" s="22" t="s">
        <v>116</v>
      </c>
      <c r="B83" s="43" t="s">
        <v>1435</v>
      </c>
      <c r="C83" s="22" t="s">
        <v>283</v>
      </c>
      <c r="D83" s="22" t="s">
        <v>119</v>
      </c>
      <c r="E83" s="43"/>
      <c r="F83" s="22" t="s">
        <v>1436</v>
      </c>
      <c r="G83" s="22" t="s">
        <v>286</v>
      </c>
      <c r="H83" s="22" t="s">
        <v>565</v>
      </c>
      <c r="I83" s="43"/>
      <c r="J83" s="43"/>
      <c r="K83" s="22" t="b">
        <v>1</v>
      </c>
      <c r="L83" s="22" t="b">
        <v>1</v>
      </c>
      <c r="M83" s="22" t="b">
        <v>1</v>
      </c>
      <c r="N83" s="22" t="b">
        <v>1</v>
      </c>
      <c r="O83" s="22" t="b">
        <v>1</v>
      </c>
      <c r="P83" s="22" t="b">
        <v>1</v>
      </c>
      <c r="Q83" s="22" t="b">
        <v>0</v>
      </c>
      <c r="R83" s="43"/>
      <c r="S83" s="43" t="s">
        <v>1437</v>
      </c>
      <c r="T83" s="22" t="s">
        <v>1435</v>
      </c>
      <c r="U83" s="22" t="s">
        <v>1435</v>
      </c>
      <c r="V83" s="22" t="s">
        <v>1435</v>
      </c>
      <c r="W83" s="43" t="s">
        <v>1435</v>
      </c>
      <c r="X83" s="43" t="s">
        <v>1435</v>
      </c>
      <c r="Y83" s="43"/>
      <c r="Z83" s="43"/>
      <c r="AA83" s="22">
        <v>4.1873348E8</v>
      </c>
      <c r="AB83" s="22">
        <v>2.142858345E9</v>
      </c>
      <c r="AC83" s="22">
        <v>4.476364348E9</v>
      </c>
      <c r="AD83" s="22">
        <v>9.9000115951E10</v>
      </c>
      <c r="AE83" s="22" t="s">
        <v>1438</v>
      </c>
      <c r="AF83" s="43"/>
      <c r="AG83" s="43"/>
      <c r="AH83" s="43" t="s">
        <v>1436</v>
      </c>
      <c r="AI83" s="22" t="s">
        <v>1439</v>
      </c>
      <c r="AJ83" s="22" t="s">
        <v>1440</v>
      </c>
      <c r="AK83" s="22" t="s">
        <v>1440</v>
      </c>
      <c r="AL83" s="22" t="s">
        <v>1441</v>
      </c>
      <c r="AM83" s="22" t="s">
        <v>1439</v>
      </c>
      <c r="AN83" s="43"/>
      <c r="AO83" s="43"/>
      <c r="AP83" s="46" t="s">
        <v>1442</v>
      </c>
      <c r="AQ83" s="46" t="s">
        <v>1443</v>
      </c>
      <c r="AR83" s="46" t="s">
        <v>1444</v>
      </c>
      <c r="AS83" s="43"/>
      <c r="AT83" s="46" t="s">
        <v>1445</v>
      </c>
      <c r="AU83" s="43"/>
      <c r="AV83" s="43"/>
      <c r="AW83" s="22" t="s">
        <v>1446</v>
      </c>
      <c r="AX83" s="22" t="s">
        <v>1440</v>
      </c>
      <c r="AY83" s="22" t="s">
        <v>575</v>
      </c>
      <c r="AZ83" s="22" t="s">
        <v>1447</v>
      </c>
      <c r="BA83" s="22" t="s">
        <v>1448</v>
      </c>
      <c r="BB83" s="43"/>
      <c r="BC83" s="43"/>
      <c r="BD83" s="43" t="s">
        <v>1449</v>
      </c>
      <c r="BE83" s="43" t="s">
        <v>130</v>
      </c>
      <c r="BF83" s="22" t="s">
        <v>131</v>
      </c>
      <c r="BG83" s="22" t="s">
        <v>132</v>
      </c>
      <c r="BH83" s="22" t="s">
        <v>132</v>
      </c>
      <c r="BI83" s="22" t="s">
        <v>132</v>
      </c>
      <c r="BJ83" s="43"/>
      <c r="BK83" s="43"/>
      <c r="BL83" s="22">
        <v>4.670020498468E12</v>
      </c>
      <c r="BM83" s="22"/>
      <c r="BN83" s="22" t="s">
        <v>1450</v>
      </c>
      <c r="BO83" s="46" t="s">
        <v>1451</v>
      </c>
      <c r="BP83" s="22" t="s">
        <v>303</v>
      </c>
      <c r="BQ83" s="43"/>
      <c r="BR83" s="43"/>
      <c r="BS83" s="22" t="s">
        <v>1452</v>
      </c>
      <c r="BT83" s="43"/>
      <c r="BU83" s="22" t="s">
        <v>1453</v>
      </c>
      <c r="BV83" s="43"/>
      <c r="BW83" s="22" t="s">
        <v>1433</v>
      </c>
      <c r="BX83" s="22">
        <v>200.0</v>
      </c>
      <c r="BY83" s="22" t="s">
        <v>139</v>
      </c>
      <c r="BZ83" s="22"/>
      <c r="CA83" s="22" t="s">
        <v>355</v>
      </c>
      <c r="CB83" s="22" t="s">
        <v>307</v>
      </c>
      <c r="CC83" s="45" t="s">
        <v>1454</v>
      </c>
      <c r="CD83" s="43"/>
      <c r="CE83" s="43"/>
      <c r="CF83" s="45"/>
      <c r="CG83" s="43"/>
      <c r="CH83" s="43"/>
      <c r="CI83" s="43"/>
      <c r="CJ83" s="43"/>
      <c r="CK83" s="43"/>
      <c r="CL83" s="43"/>
      <c r="CM83" s="49">
        <f>IFERROR(VLOOKUP(B83,CC!A:D,4,0)," ")</f>
        <v>108.5</v>
      </c>
      <c r="CN83" s="22" t="s">
        <v>309</v>
      </c>
      <c r="CO83" s="22"/>
      <c r="CP83" s="22" t="s">
        <v>310</v>
      </c>
      <c r="CQ83" s="22">
        <v>90.0</v>
      </c>
      <c r="CR83" s="43"/>
      <c r="CS83" s="22">
        <v>5.0</v>
      </c>
      <c r="CT83" s="22" t="s">
        <v>145</v>
      </c>
      <c r="CU83" s="43"/>
      <c r="CV83" s="43"/>
      <c r="CW83" s="43"/>
      <c r="CX83" s="43"/>
      <c r="CY83" s="43" t="b">
        <v>0</v>
      </c>
      <c r="CZ83" s="43" t="b">
        <v>0</v>
      </c>
      <c r="DA83" s="43" t="b">
        <v>0</v>
      </c>
      <c r="DB83" s="43" t="b">
        <v>0</v>
      </c>
      <c r="DC83" s="43"/>
      <c r="DD83" s="43"/>
      <c r="DE83" s="43"/>
      <c r="DF83" s="43"/>
      <c r="DG83" s="43"/>
      <c r="DH83" s="43"/>
      <c r="DI83" s="43"/>
      <c r="DJ83" s="22">
        <f>IFERROR(VLOOKUP($B83,'Лист4'!$D:$AI,27,0)," ")</f>
        <v>12</v>
      </c>
      <c r="DK83" s="22">
        <f>IFERROR(VLOOKUP($B83,'Лист4'!$D:$AI,28,0)," ")</f>
        <v>18</v>
      </c>
      <c r="DL83" s="22">
        <f>IFERROR(VLOOKUP($B83,'Лист4'!$D:$AI,29,0)," ")</f>
        <v>12</v>
      </c>
      <c r="DM83" s="22">
        <f t="shared" si="1"/>
        <v>2592</v>
      </c>
      <c r="DN83" s="22">
        <f>IFERROR(VLOOKUP($B83,'Лист4'!$D:$AI,32,0)," ")</f>
        <v>0.293</v>
      </c>
      <c r="DO83" s="22"/>
      <c r="DP83" s="22"/>
      <c r="DQ83" s="22"/>
      <c r="DR83" s="22"/>
      <c r="DS83" s="22"/>
      <c r="DT83" s="22"/>
      <c r="DU83" s="22"/>
      <c r="DV83" s="22"/>
      <c r="DW83" s="22"/>
      <c r="DX83" s="22"/>
      <c r="DY83" s="22"/>
      <c r="DZ83" s="22"/>
      <c r="EA83" s="22"/>
      <c r="EB83" s="22"/>
      <c r="EC83" s="22"/>
      <c r="ED83" s="22"/>
      <c r="EE83" s="22"/>
      <c r="EF83" s="22"/>
      <c r="EG83" s="22"/>
      <c r="EH83" s="22"/>
      <c r="EI83" s="22"/>
      <c r="EJ83" s="22"/>
      <c r="EK83" s="22"/>
      <c r="EL83" s="22"/>
      <c r="EM83" s="22"/>
      <c r="EN83" s="22"/>
      <c r="EO83" s="22"/>
      <c r="EP83" s="22"/>
      <c r="EQ83" s="22"/>
      <c r="ER83" s="22"/>
      <c r="ES83" s="43"/>
      <c r="ET83" s="43"/>
      <c r="EU83" s="43"/>
      <c r="EV83" s="43"/>
      <c r="EW83" s="43"/>
      <c r="EX83" s="43"/>
      <c r="EY83" s="43"/>
      <c r="EZ83" s="43"/>
      <c r="FA83" s="43"/>
      <c r="FB83" s="43"/>
      <c r="FC83" s="43"/>
      <c r="FD83" s="43"/>
      <c r="FE83" s="43"/>
      <c r="FF83" s="43"/>
      <c r="FG83" s="43"/>
      <c r="FH83" s="43"/>
      <c r="FI83" s="43"/>
    </row>
    <row r="84" ht="18.0" customHeight="1">
      <c r="A84" s="22" t="s">
        <v>116</v>
      </c>
      <c r="B84" s="43" t="s">
        <v>1455</v>
      </c>
      <c r="C84" s="22" t="s">
        <v>283</v>
      </c>
      <c r="D84" s="22" t="s">
        <v>119</v>
      </c>
      <c r="E84" s="43"/>
      <c r="F84" s="22" t="s">
        <v>1456</v>
      </c>
      <c r="G84" s="22" t="s">
        <v>286</v>
      </c>
      <c r="H84" s="22" t="s">
        <v>565</v>
      </c>
      <c r="I84" s="43"/>
      <c r="J84" s="43"/>
      <c r="K84" s="22" t="b">
        <v>1</v>
      </c>
      <c r="L84" s="22" t="b">
        <v>1</v>
      </c>
      <c r="M84" s="22" t="b">
        <v>1</v>
      </c>
      <c r="N84" s="22" t="b">
        <v>1</v>
      </c>
      <c r="O84" s="22" t="b">
        <v>0</v>
      </c>
      <c r="P84" s="22" t="b">
        <v>1</v>
      </c>
      <c r="Q84" s="22" t="b">
        <v>0</v>
      </c>
      <c r="R84" s="43"/>
      <c r="S84" s="43" t="s">
        <v>1457</v>
      </c>
      <c r="T84" s="22" t="s">
        <v>1455</v>
      </c>
      <c r="U84" s="22" t="s">
        <v>1455</v>
      </c>
      <c r="V84" s="22" t="s">
        <v>1455</v>
      </c>
      <c r="W84" s="43"/>
      <c r="X84" s="43" t="s">
        <v>1455</v>
      </c>
      <c r="Y84" s="43"/>
      <c r="Z84" s="43"/>
      <c r="AA84" s="22">
        <v>3.92028939E8</v>
      </c>
      <c r="AB84" s="22">
        <v>2.039052035E9</v>
      </c>
      <c r="AC84" s="22">
        <v>4.335655895E9</v>
      </c>
      <c r="AD84" s="22"/>
      <c r="AE84" s="22" t="s">
        <v>1458</v>
      </c>
      <c r="AF84" s="43"/>
      <c r="AG84" s="43"/>
      <c r="AH84" s="43" t="s">
        <v>1456</v>
      </c>
      <c r="AI84" s="22" t="s">
        <v>1459</v>
      </c>
      <c r="AJ84" s="22" t="s">
        <v>1460</v>
      </c>
      <c r="AK84" s="22" t="s">
        <v>1461</v>
      </c>
      <c r="AL84" s="43"/>
      <c r="AM84" s="22" t="s">
        <v>1462</v>
      </c>
      <c r="AN84" s="43"/>
      <c r="AO84" s="43"/>
      <c r="AP84" s="46" t="s">
        <v>1463</v>
      </c>
      <c r="AQ84" s="46" t="s">
        <v>1464</v>
      </c>
      <c r="AR84" s="46" t="s">
        <v>1465</v>
      </c>
      <c r="AS84" s="43"/>
      <c r="AT84" s="46" t="s">
        <v>1466</v>
      </c>
      <c r="AU84" s="43"/>
      <c r="AV84" s="43"/>
      <c r="AW84" s="22" t="s">
        <v>594</v>
      </c>
      <c r="AX84" s="22" t="s">
        <v>1460</v>
      </c>
      <c r="AY84" s="22" t="s">
        <v>595</v>
      </c>
      <c r="AZ84" s="43"/>
      <c r="BA84" s="22" t="s">
        <v>596</v>
      </c>
      <c r="BB84" s="43"/>
      <c r="BC84" s="43"/>
      <c r="BD84" s="43" t="s">
        <v>1449</v>
      </c>
      <c r="BE84" s="43" t="s">
        <v>130</v>
      </c>
      <c r="BF84" s="22" t="s">
        <v>131</v>
      </c>
      <c r="BG84" s="22" t="s">
        <v>132</v>
      </c>
      <c r="BH84" s="22" t="s">
        <v>132</v>
      </c>
      <c r="BI84" s="22" t="s">
        <v>132</v>
      </c>
      <c r="BJ84" s="43"/>
      <c r="BK84" s="43"/>
      <c r="BL84" s="22" t="s">
        <v>1467</v>
      </c>
      <c r="BM84" s="22">
        <v>3.30499E9</v>
      </c>
      <c r="BN84" s="22" t="s">
        <v>1468</v>
      </c>
      <c r="BO84" s="22"/>
      <c r="BP84" s="22" t="s">
        <v>303</v>
      </c>
      <c r="BQ84" s="43"/>
      <c r="BR84" s="43"/>
      <c r="BS84" s="22" t="s">
        <v>1469</v>
      </c>
      <c r="BT84" s="43"/>
      <c r="BU84" s="22" t="s">
        <v>1470</v>
      </c>
      <c r="BV84" s="43"/>
      <c r="BW84" s="22" t="s">
        <v>1433</v>
      </c>
      <c r="BX84" s="22">
        <v>20.0</v>
      </c>
      <c r="BY84" s="22" t="s">
        <v>139</v>
      </c>
      <c r="BZ84" s="22"/>
      <c r="CA84" s="22" t="s">
        <v>307</v>
      </c>
      <c r="CB84" s="22" t="s">
        <v>307</v>
      </c>
      <c r="CC84" s="45" t="s">
        <v>1471</v>
      </c>
      <c r="CD84" s="43"/>
      <c r="CE84" s="43"/>
      <c r="CF84" s="45"/>
      <c r="CG84" s="56">
        <v>45699.0</v>
      </c>
      <c r="CH84" s="46" t="s">
        <v>1472</v>
      </c>
      <c r="CI84" s="43"/>
      <c r="CJ84" s="43"/>
      <c r="CK84" s="43"/>
      <c r="CL84" s="43"/>
      <c r="CM84" s="49">
        <f>IFERROR(VLOOKUP(B84,CC!A:D,4,0)," ")</f>
        <v>81.2</v>
      </c>
      <c r="CN84" s="22" t="s">
        <v>309</v>
      </c>
      <c r="CO84" s="22"/>
      <c r="CP84" s="22" t="s">
        <v>1473</v>
      </c>
      <c r="CQ84" s="22">
        <v>90.0</v>
      </c>
      <c r="CR84" s="43"/>
      <c r="CS84" s="22">
        <v>5.0</v>
      </c>
      <c r="CT84" s="22" t="s">
        <v>145</v>
      </c>
      <c r="CU84" s="43"/>
      <c r="CV84" s="43"/>
      <c r="CW84" s="43"/>
      <c r="CX84" s="43"/>
      <c r="CY84" s="43" t="b">
        <v>0</v>
      </c>
      <c r="CZ84" s="43" t="b">
        <v>0</v>
      </c>
      <c r="DA84" s="43" t="b">
        <v>0</v>
      </c>
      <c r="DB84" s="43" t="b">
        <v>0</v>
      </c>
      <c r="DC84" s="43"/>
      <c r="DD84" s="43"/>
      <c r="DE84" s="43"/>
      <c r="DF84" s="43"/>
      <c r="DG84" s="43"/>
      <c r="DH84" s="43"/>
      <c r="DI84" s="43"/>
      <c r="DJ84" s="22">
        <f>IFERROR(VLOOKUP($B84,'Лист4'!$D:$AI,27,0)," ")</f>
        <v>3</v>
      </c>
      <c r="DK84" s="22">
        <f>IFERROR(VLOOKUP($B84,'Лист4'!$D:$AI,28,0)," ")</f>
        <v>14</v>
      </c>
      <c r="DL84" s="22">
        <f>IFERROR(VLOOKUP($B84,'Лист4'!$D:$AI,29,0)," ")</f>
        <v>3</v>
      </c>
      <c r="DM84" s="22">
        <f t="shared" si="1"/>
        <v>126</v>
      </c>
      <c r="DN84" s="22">
        <f>IFERROR(VLOOKUP($B84,'Лист4'!$D:$AI,32,0)," ")</f>
        <v>0.031</v>
      </c>
      <c r="DO84" s="22"/>
      <c r="DP84" s="22"/>
      <c r="DQ84" s="22"/>
      <c r="DR84" s="22"/>
      <c r="DS84" s="22"/>
      <c r="DT84" s="22"/>
      <c r="DU84" s="22"/>
      <c r="DV84" s="22"/>
      <c r="DW84" s="22"/>
      <c r="DX84" s="22"/>
      <c r="DY84" s="22"/>
      <c r="DZ84" s="22"/>
      <c r="EA84" s="22"/>
      <c r="EB84" s="22"/>
      <c r="EC84" s="22"/>
      <c r="ED84" s="22"/>
      <c r="EE84" s="22"/>
      <c r="EF84" s="22"/>
      <c r="EG84" s="22"/>
      <c r="EH84" s="22"/>
      <c r="EI84" s="22"/>
      <c r="EJ84" s="22"/>
      <c r="EK84" s="22"/>
      <c r="EL84" s="22"/>
      <c r="EM84" s="22"/>
      <c r="EN84" s="22"/>
      <c r="EO84" s="22"/>
      <c r="EP84" s="22"/>
      <c r="EQ84" s="22"/>
      <c r="ER84" s="22"/>
      <c r="ES84" s="43"/>
      <c r="ET84" s="43"/>
      <c r="EU84" s="43"/>
      <c r="EV84" s="43"/>
      <c r="EW84" s="43"/>
      <c r="EX84" s="43"/>
      <c r="EY84" s="43"/>
      <c r="EZ84" s="43"/>
      <c r="FA84" s="43"/>
      <c r="FB84" s="43"/>
      <c r="FC84" s="43"/>
      <c r="FD84" s="43"/>
      <c r="FE84" s="43"/>
      <c r="FF84" s="43"/>
      <c r="FG84" s="43"/>
      <c r="FH84" s="43"/>
      <c r="FI84" s="43"/>
    </row>
    <row r="85" ht="18.0" customHeight="1">
      <c r="A85" s="22" t="s">
        <v>116</v>
      </c>
      <c r="B85" s="43" t="s">
        <v>1474</v>
      </c>
      <c r="C85" s="22" t="s">
        <v>283</v>
      </c>
      <c r="D85" s="22" t="s">
        <v>119</v>
      </c>
      <c r="E85" s="43"/>
      <c r="F85" s="22" t="s">
        <v>1475</v>
      </c>
      <c r="G85" s="22" t="s">
        <v>286</v>
      </c>
      <c r="H85" s="22" t="s">
        <v>565</v>
      </c>
      <c r="I85" s="43"/>
      <c r="J85" s="43"/>
      <c r="K85" s="22" t="b">
        <v>1</v>
      </c>
      <c r="L85" s="22" t="b">
        <v>1</v>
      </c>
      <c r="M85" s="22" t="b">
        <v>1</v>
      </c>
      <c r="N85" s="22" t="b">
        <v>1</v>
      </c>
      <c r="O85" s="22" t="b">
        <v>1</v>
      </c>
      <c r="P85" s="22" t="b">
        <v>1</v>
      </c>
      <c r="Q85" s="22" t="b">
        <v>1</v>
      </c>
      <c r="R85" s="43"/>
      <c r="S85" s="43" t="s">
        <v>1476</v>
      </c>
      <c r="T85" s="22" t="s">
        <v>1474</v>
      </c>
      <c r="U85" s="22" t="s">
        <v>1474</v>
      </c>
      <c r="V85" s="22" t="s">
        <v>1474</v>
      </c>
      <c r="W85" s="43" t="s">
        <v>1474</v>
      </c>
      <c r="X85" s="43" t="s">
        <v>1474</v>
      </c>
      <c r="Y85" s="22" t="s">
        <v>1474</v>
      </c>
      <c r="Z85" s="43"/>
      <c r="AA85" s="22">
        <v>4.84619244E8</v>
      </c>
      <c r="AB85" s="22">
        <v>2.583231387E9</v>
      </c>
      <c r="AC85" s="22">
        <v>4.569564653E9</v>
      </c>
      <c r="AD85" s="22">
        <v>9.9000115782E10</v>
      </c>
      <c r="AE85" s="22" t="s">
        <v>1477</v>
      </c>
      <c r="AF85" s="22" t="s">
        <v>1478</v>
      </c>
      <c r="AG85" s="43"/>
      <c r="AH85" s="43" t="s">
        <v>1475</v>
      </c>
      <c r="AI85" s="22" t="s">
        <v>1479</v>
      </c>
      <c r="AJ85" s="22" t="s">
        <v>1480</v>
      </c>
      <c r="AK85" s="22" t="s">
        <v>1481</v>
      </c>
      <c r="AL85" s="22" t="s">
        <v>1482</v>
      </c>
      <c r="AM85" s="22" t="s">
        <v>1483</v>
      </c>
      <c r="AN85" s="22" t="s">
        <v>1484</v>
      </c>
      <c r="AO85" s="43"/>
      <c r="AP85" s="46" t="s">
        <v>1485</v>
      </c>
      <c r="AQ85" s="46" t="s">
        <v>1486</v>
      </c>
      <c r="AR85" s="46" t="s">
        <v>1487</v>
      </c>
      <c r="AS85" s="46" t="s">
        <v>1488</v>
      </c>
      <c r="AT85" s="46" t="s">
        <v>1489</v>
      </c>
      <c r="AU85" s="46" t="s">
        <v>1490</v>
      </c>
      <c r="AV85" s="43"/>
      <c r="AW85" s="22" t="s">
        <v>1491</v>
      </c>
      <c r="AX85" s="22" t="s">
        <v>1480</v>
      </c>
      <c r="AY85" s="22" t="s">
        <v>1492</v>
      </c>
      <c r="AZ85" s="22" t="s">
        <v>1493</v>
      </c>
      <c r="BA85" s="22" t="s">
        <v>1494</v>
      </c>
      <c r="BB85" s="22" t="s">
        <v>1495</v>
      </c>
      <c r="BC85" s="22"/>
      <c r="BD85" s="43" t="s">
        <v>301</v>
      </c>
      <c r="BE85" s="43" t="s">
        <v>130</v>
      </c>
      <c r="BF85" s="22" t="s">
        <v>131</v>
      </c>
      <c r="BG85" s="22" t="s">
        <v>132</v>
      </c>
      <c r="BH85" s="22" t="s">
        <v>132</v>
      </c>
      <c r="BI85" s="22" t="s">
        <v>132</v>
      </c>
      <c r="BJ85" s="43"/>
      <c r="BK85" s="43"/>
      <c r="BL85" s="22">
        <v>4.670020498727E12</v>
      </c>
      <c r="BM85" s="22"/>
      <c r="BN85" s="22" t="s">
        <v>1496</v>
      </c>
      <c r="BO85" s="46" t="s">
        <v>1497</v>
      </c>
      <c r="BP85" s="22" t="s">
        <v>303</v>
      </c>
      <c r="BQ85" s="43"/>
      <c r="BR85" s="43"/>
      <c r="BS85" s="22" t="s">
        <v>1498</v>
      </c>
      <c r="BT85" s="43"/>
      <c r="BU85" s="22" t="s">
        <v>1499</v>
      </c>
      <c r="BV85" s="43"/>
      <c r="BW85" s="22" t="s">
        <v>1500</v>
      </c>
      <c r="BX85" s="22">
        <v>150.0</v>
      </c>
      <c r="BY85" s="22" t="s">
        <v>139</v>
      </c>
      <c r="BZ85" s="22"/>
      <c r="CA85" s="22" t="s">
        <v>355</v>
      </c>
      <c r="CB85" s="22" t="s">
        <v>307</v>
      </c>
      <c r="CC85" s="45" t="s">
        <v>1501</v>
      </c>
      <c r="CD85" s="43"/>
      <c r="CE85" s="43"/>
      <c r="CF85" s="45"/>
      <c r="CG85" s="43"/>
      <c r="CH85" s="43"/>
      <c r="CI85" s="43"/>
      <c r="CJ85" s="43"/>
      <c r="CK85" s="43"/>
      <c r="CL85" s="43"/>
      <c r="CM85" s="49">
        <f>IFERROR(VLOOKUP(B85,CC!A:D,4,0)," ")</f>
        <v>140.4</v>
      </c>
      <c r="CN85" s="22" t="s">
        <v>309</v>
      </c>
      <c r="CO85" s="22"/>
      <c r="CP85" s="22" t="s">
        <v>310</v>
      </c>
      <c r="CQ85" s="22">
        <v>90.0</v>
      </c>
      <c r="CR85" s="43"/>
      <c r="CS85" s="22">
        <v>5.0</v>
      </c>
      <c r="CT85" s="22" t="s">
        <v>145</v>
      </c>
      <c r="CU85" s="43"/>
      <c r="CV85" s="43"/>
      <c r="CW85" s="43"/>
      <c r="CX85" s="43"/>
      <c r="CY85" s="43" t="b">
        <v>0</v>
      </c>
      <c r="CZ85" s="43" t="b">
        <v>0</v>
      </c>
      <c r="DA85" s="43" t="b">
        <v>0</v>
      </c>
      <c r="DB85" s="43" t="b">
        <v>0</v>
      </c>
      <c r="DC85" s="43"/>
      <c r="DD85" s="43"/>
      <c r="DE85" s="43"/>
      <c r="DF85" s="43"/>
      <c r="DG85" s="43"/>
      <c r="DH85" s="43"/>
      <c r="DI85" s="43"/>
      <c r="DJ85" s="22">
        <f>IFERROR(VLOOKUP($B85,'Лист4'!$D:$AI,27,0)," ")</f>
        <v>5</v>
      </c>
      <c r="DK85" s="22">
        <f>IFERROR(VLOOKUP($B85,'Лист4'!$D:$AI,28,0)," ")</f>
        <v>18</v>
      </c>
      <c r="DL85" s="22">
        <f>IFERROR(VLOOKUP($B85,'Лист4'!$D:$AI,29,0)," ")</f>
        <v>5</v>
      </c>
      <c r="DM85" s="22">
        <f t="shared" si="1"/>
        <v>450</v>
      </c>
      <c r="DN85" s="22">
        <f>IFERROR(VLOOKUP($B85,'Лист4'!$D:$AI,32,0)," ")</f>
        <v>0.204</v>
      </c>
      <c r="DO85" s="22"/>
      <c r="DP85" s="22"/>
      <c r="DQ85" s="22"/>
      <c r="DR85" s="22"/>
      <c r="DS85" s="22"/>
      <c r="DT85" s="22"/>
      <c r="DU85" s="22"/>
      <c r="DV85" s="22"/>
      <c r="DW85" s="22"/>
      <c r="DX85" s="22"/>
      <c r="DY85" s="22"/>
      <c r="DZ85" s="22"/>
      <c r="EA85" s="22"/>
      <c r="EB85" s="22"/>
      <c r="EC85" s="22"/>
      <c r="ED85" s="22"/>
      <c r="EE85" s="22"/>
      <c r="EF85" s="22"/>
      <c r="EG85" s="22"/>
      <c r="EH85" s="22"/>
      <c r="EI85" s="22"/>
      <c r="EJ85" s="22"/>
      <c r="EK85" s="22"/>
      <c r="EL85" s="22"/>
      <c r="EM85" s="22"/>
      <c r="EN85" s="22"/>
      <c r="EO85" s="22"/>
      <c r="EP85" s="22"/>
      <c r="EQ85" s="22"/>
      <c r="ER85" s="22"/>
      <c r="ES85" s="43"/>
      <c r="ET85" s="43"/>
      <c r="EU85" s="43"/>
      <c r="EV85" s="43"/>
      <c r="EW85" s="43"/>
      <c r="EX85" s="43"/>
      <c r="EY85" s="43"/>
      <c r="EZ85" s="43"/>
      <c r="FA85" s="43"/>
      <c r="FB85" s="43"/>
      <c r="FC85" s="43"/>
      <c r="FD85" s="43"/>
      <c r="FE85" s="43"/>
      <c r="FF85" s="43"/>
      <c r="FG85" s="43"/>
      <c r="FH85" s="43"/>
      <c r="FI85" s="43"/>
    </row>
    <row r="86" ht="18.0" customHeight="1">
      <c r="A86" s="22" t="s">
        <v>116</v>
      </c>
      <c r="B86" s="43" t="s">
        <v>1502</v>
      </c>
      <c r="C86" s="22" t="s">
        <v>283</v>
      </c>
      <c r="D86" s="22" t="s">
        <v>119</v>
      </c>
      <c r="E86" s="43"/>
      <c r="F86" s="22" t="s">
        <v>1456</v>
      </c>
      <c r="G86" s="22" t="s">
        <v>286</v>
      </c>
      <c r="H86" s="22" t="s">
        <v>565</v>
      </c>
      <c r="I86" s="43"/>
      <c r="J86" s="43"/>
      <c r="K86" s="22" t="b">
        <v>1</v>
      </c>
      <c r="L86" s="22" t="b">
        <v>0</v>
      </c>
      <c r="M86" s="22" t="b">
        <v>1</v>
      </c>
      <c r="N86" s="22" t="b">
        <v>0</v>
      </c>
      <c r="O86" s="22" t="b">
        <v>1</v>
      </c>
      <c r="P86" s="22" t="b">
        <v>1</v>
      </c>
      <c r="Q86" s="22" t="b">
        <v>1</v>
      </c>
      <c r="R86" s="43"/>
      <c r="S86" s="43" t="s">
        <v>1503</v>
      </c>
      <c r="T86" s="22"/>
      <c r="U86" s="22" t="s">
        <v>1502</v>
      </c>
      <c r="V86" s="22"/>
      <c r="W86" s="43" t="s">
        <v>1502</v>
      </c>
      <c r="X86" s="43" t="s">
        <v>1502</v>
      </c>
      <c r="Y86" s="22" t="s">
        <v>1502</v>
      </c>
      <c r="Z86" s="43"/>
      <c r="AA86" s="22"/>
      <c r="AB86" s="22">
        <v>2.589302298E9</v>
      </c>
      <c r="AC86" s="22"/>
      <c r="AD86" s="22">
        <v>9.9000115781E10</v>
      </c>
      <c r="AE86" s="22" t="s">
        <v>1504</v>
      </c>
      <c r="AF86" s="22" t="s">
        <v>1505</v>
      </c>
      <c r="AG86" s="43"/>
      <c r="AH86" s="43" t="s">
        <v>1456</v>
      </c>
      <c r="AI86" s="43"/>
      <c r="AJ86" s="22" t="s">
        <v>1460</v>
      </c>
      <c r="AK86" s="43"/>
      <c r="AL86" s="22" t="s">
        <v>1506</v>
      </c>
      <c r="AM86" s="22" t="s">
        <v>1507</v>
      </c>
      <c r="AN86" s="22" t="s">
        <v>1508</v>
      </c>
      <c r="AO86" s="43"/>
      <c r="AP86" s="43"/>
      <c r="AQ86" s="46" t="s">
        <v>1509</v>
      </c>
      <c r="AR86" s="43"/>
      <c r="AS86" s="43"/>
      <c r="AT86" s="46" t="s">
        <v>1510</v>
      </c>
      <c r="AU86" s="46" t="s">
        <v>1511</v>
      </c>
      <c r="AV86" s="43"/>
      <c r="AW86" s="22"/>
      <c r="AX86" s="22" t="s">
        <v>1460</v>
      </c>
      <c r="AY86" s="43"/>
      <c r="AZ86" s="22" t="s">
        <v>1447</v>
      </c>
      <c r="BA86" s="22" t="s">
        <v>596</v>
      </c>
      <c r="BB86" s="22" t="s">
        <v>594</v>
      </c>
      <c r="BC86" s="22"/>
      <c r="BD86" s="43" t="s">
        <v>401</v>
      </c>
      <c r="BE86" s="43" t="s">
        <v>130</v>
      </c>
      <c r="BF86" s="22" t="s">
        <v>131</v>
      </c>
      <c r="BG86" s="22" t="s">
        <v>132</v>
      </c>
      <c r="BH86" s="22" t="s">
        <v>132</v>
      </c>
      <c r="BI86" s="22" t="s">
        <v>132</v>
      </c>
      <c r="BJ86" s="43"/>
      <c r="BK86" s="43"/>
      <c r="BL86" s="22" t="s">
        <v>401</v>
      </c>
      <c r="BM86" s="22"/>
      <c r="BN86" s="22" t="s">
        <v>133</v>
      </c>
      <c r="BO86" s="46" t="s">
        <v>1512</v>
      </c>
      <c r="BP86" s="22" t="s">
        <v>245</v>
      </c>
      <c r="BQ86" s="43"/>
      <c r="BR86" s="43"/>
      <c r="BS86" s="22" t="s">
        <v>1469</v>
      </c>
      <c r="BT86" s="43"/>
      <c r="BU86" s="22" t="s">
        <v>1470</v>
      </c>
      <c r="BV86" s="43" t="s">
        <v>401</v>
      </c>
      <c r="BW86" s="22" t="s">
        <v>1433</v>
      </c>
      <c r="BX86" s="22">
        <v>20.0</v>
      </c>
      <c r="BY86" s="22" t="s">
        <v>139</v>
      </c>
      <c r="BZ86" s="43"/>
      <c r="CA86" s="22" t="s">
        <v>307</v>
      </c>
      <c r="CB86" s="22" t="s">
        <v>307</v>
      </c>
      <c r="CC86" s="44" t="s">
        <v>1471</v>
      </c>
      <c r="CD86" s="43"/>
      <c r="CE86" s="43"/>
      <c r="CF86" s="45" t="s">
        <v>401</v>
      </c>
      <c r="CG86" s="54">
        <v>46070.0</v>
      </c>
      <c r="CH86" s="46" t="s">
        <v>1513</v>
      </c>
      <c r="CI86" s="43"/>
      <c r="CJ86" s="43"/>
      <c r="CK86" s="43"/>
      <c r="CL86" s="43"/>
      <c r="CM86" s="49">
        <f>IFERROR(VLOOKUP(B86,CC!A:D,4,0)," ")</f>
        <v>77.9</v>
      </c>
      <c r="CN86" s="22" t="s">
        <v>604</v>
      </c>
      <c r="CO86" s="22"/>
      <c r="CP86" s="43"/>
      <c r="CQ86" s="22" t="s">
        <v>401</v>
      </c>
      <c r="CR86" s="43"/>
      <c r="CS86" s="22">
        <v>1.0</v>
      </c>
      <c r="CT86" s="22" t="s">
        <v>145</v>
      </c>
      <c r="CU86" s="43"/>
      <c r="CV86" s="43"/>
      <c r="CW86" s="43"/>
      <c r="CX86" s="43"/>
      <c r="CY86" s="43" t="b">
        <v>0</v>
      </c>
      <c r="CZ86" s="43" t="b">
        <v>0</v>
      </c>
      <c r="DA86" s="43" t="b">
        <v>0</v>
      </c>
      <c r="DB86" s="43" t="b">
        <v>0</v>
      </c>
      <c r="DC86" s="43"/>
      <c r="DD86" s="43"/>
      <c r="DE86" s="43"/>
      <c r="DF86" s="43"/>
      <c r="DG86" s="43"/>
      <c r="DH86" s="43"/>
      <c r="DI86" s="43"/>
      <c r="DJ86" s="22">
        <f>IFERROR(VLOOKUP($B86,'Лист4'!$D:$AI,27,0)," ")</f>
        <v>3</v>
      </c>
      <c r="DK86" s="22">
        <f>IFERROR(VLOOKUP($B86,'Лист4'!$D:$AI,28,0)," ")</f>
        <v>14</v>
      </c>
      <c r="DL86" s="22">
        <f>IFERROR(VLOOKUP($B86,'Лист4'!$D:$AI,29,0)," ")</f>
        <v>3</v>
      </c>
      <c r="DM86" s="22">
        <f t="shared" si="1"/>
        <v>126</v>
      </c>
      <c r="DN86" s="22">
        <f>IFERROR(VLOOKUP($B86,'Лист4'!$D:$AI,32,0)," ")</f>
        <v>0.031</v>
      </c>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22"/>
      <c r="EN86" s="22"/>
      <c r="EO86" s="22"/>
      <c r="EP86" s="22"/>
      <c r="EQ86" s="22"/>
      <c r="ER86" s="22"/>
      <c r="ES86" s="43"/>
      <c r="ET86" s="43"/>
      <c r="EU86" s="43"/>
      <c r="EV86" s="43"/>
      <c r="EW86" s="43"/>
      <c r="EX86" s="43"/>
      <c r="EY86" s="43"/>
      <c r="EZ86" s="43"/>
      <c r="FA86" s="43"/>
      <c r="FB86" s="43"/>
      <c r="FC86" s="43"/>
      <c r="FD86" s="43"/>
      <c r="FE86" s="43"/>
      <c r="FF86" s="43"/>
      <c r="FG86" s="43"/>
      <c r="FH86" s="43"/>
      <c r="FI86" s="43"/>
    </row>
    <row r="87" ht="18.0" customHeight="1">
      <c r="A87" s="22" t="s">
        <v>116</v>
      </c>
      <c r="B87" s="43" t="s">
        <v>1514</v>
      </c>
      <c r="C87" s="22" t="s">
        <v>118</v>
      </c>
      <c r="D87" s="22" t="s">
        <v>119</v>
      </c>
      <c r="E87" s="43"/>
      <c r="F87" s="22" t="s">
        <v>1515</v>
      </c>
      <c r="G87" s="22" t="s">
        <v>121</v>
      </c>
      <c r="H87" s="22" t="s">
        <v>682</v>
      </c>
      <c r="I87" s="43"/>
      <c r="J87" s="43"/>
      <c r="K87" s="22" t="b">
        <v>1</v>
      </c>
      <c r="L87" s="22" t="b">
        <v>1</v>
      </c>
      <c r="M87" s="22" t="b">
        <v>1</v>
      </c>
      <c r="N87" s="22" t="b">
        <v>1</v>
      </c>
      <c r="O87" s="22" t="b">
        <v>0</v>
      </c>
      <c r="P87" s="22" t="b">
        <v>0</v>
      </c>
      <c r="Q87" s="22" t="b">
        <v>0</v>
      </c>
      <c r="R87" s="43"/>
      <c r="S87" s="43" t="s">
        <v>1516</v>
      </c>
      <c r="T87" s="22" t="s">
        <v>1514</v>
      </c>
      <c r="U87" s="22" t="s">
        <v>1514</v>
      </c>
      <c r="V87" s="22" t="s">
        <v>1514</v>
      </c>
      <c r="W87" s="43"/>
      <c r="X87" s="43"/>
      <c r="Y87" s="43"/>
      <c r="Z87" s="43"/>
      <c r="AA87" s="22">
        <v>3.81335309E8</v>
      </c>
      <c r="AB87" s="22">
        <v>2.019073769E9</v>
      </c>
      <c r="AC87" s="22">
        <v>4.334505684E9</v>
      </c>
      <c r="AD87" s="22"/>
      <c r="AE87" s="22"/>
      <c r="AF87" s="43"/>
      <c r="AG87" s="43"/>
      <c r="AH87" s="43" t="s">
        <v>1515</v>
      </c>
      <c r="AI87" s="22" t="s">
        <v>684</v>
      </c>
      <c r="AJ87" s="22" t="s">
        <v>1517</v>
      </c>
      <c r="AK87" s="22" t="s">
        <v>1518</v>
      </c>
      <c r="AL87" s="43"/>
      <c r="AM87" s="43"/>
      <c r="AN87" s="43"/>
      <c r="AO87" s="43"/>
      <c r="AP87" s="46" t="s">
        <v>1519</v>
      </c>
      <c r="AQ87" s="46" t="s">
        <v>1520</v>
      </c>
      <c r="AR87" s="46" t="s">
        <v>1521</v>
      </c>
      <c r="AS87" s="43"/>
      <c r="AT87" s="43"/>
      <c r="AU87" s="43"/>
      <c r="AV87" s="43"/>
      <c r="AW87" s="22" t="s">
        <v>156</v>
      </c>
      <c r="AX87" s="22" t="s">
        <v>1517</v>
      </c>
      <c r="AY87" s="22" t="s">
        <v>221</v>
      </c>
      <c r="AZ87" s="43"/>
      <c r="BA87" s="43"/>
      <c r="BB87" s="43"/>
      <c r="BC87" s="43"/>
      <c r="BD87" s="43" t="s">
        <v>129</v>
      </c>
      <c r="BE87" s="43" t="s">
        <v>243</v>
      </c>
      <c r="BF87" s="22" t="s">
        <v>131</v>
      </c>
      <c r="BG87" s="22" t="s">
        <v>132</v>
      </c>
      <c r="BH87" s="22" t="s">
        <v>132</v>
      </c>
      <c r="BI87" s="22" t="s">
        <v>132</v>
      </c>
      <c r="BJ87" s="43"/>
      <c r="BK87" s="43"/>
      <c r="BL87" s="22" t="s">
        <v>1522</v>
      </c>
      <c r="BM87" s="22">
        <v>1.504209E9</v>
      </c>
      <c r="BN87" s="22" t="s">
        <v>690</v>
      </c>
      <c r="BO87" s="22"/>
      <c r="BP87" s="22" t="s">
        <v>245</v>
      </c>
      <c r="BQ87" s="43"/>
      <c r="BR87" s="43"/>
      <c r="BS87" s="22" t="s">
        <v>1523</v>
      </c>
      <c r="BT87" s="43"/>
      <c r="BU87" s="22" t="s">
        <v>1524</v>
      </c>
      <c r="BV87" s="43"/>
      <c r="BW87" s="22" t="s">
        <v>694</v>
      </c>
      <c r="BX87" s="22">
        <v>150.0</v>
      </c>
      <c r="BY87" s="22" t="s">
        <v>139</v>
      </c>
      <c r="BZ87" s="22"/>
      <c r="CA87" s="22" t="s">
        <v>140</v>
      </c>
      <c r="CB87" s="22" t="s">
        <v>140</v>
      </c>
      <c r="CC87" s="45" t="s">
        <v>1525</v>
      </c>
      <c r="CD87" s="43"/>
      <c r="CE87" s="43"/>
      <c r="CF87" s="45"/>
      <c r="CG87" s="54">
        <v>46044.0</v>
      </c>
      <c r="CH87" s="46" t="s">
        <v>696</v>
      </c>
      <c r="CI87" s="43"/>
      <c r="CJ87" s="43"/>
      <c r="CK87" s="43"/>
      <c r="CL87" s="43"/>
      <c r="CM87" s="49">
        <f>IFERROR(VLOOKUP(B87,CC!A:D,4,0)," ")</f>
        <v>217</v>
      </c>
      <c r="CN87" s="22" t="s">
        <v>250</v>
      </c>
      <c r="CO87" s="22"/>
      <c r="CP87" s="22" t="s">
        <v>1526</v>
      </c>
      <c r="CQ87" s="22">
        <v>60.0</v>
      </c>
      <c r="CR87" s="43"/>
      <c r="CS87" s="22">
        <v>2.0</v>
      </c>
      <c r="CT87" s="22" t="s">
        <v>145</v>
      </c>
      <c r="CU87" s="43"/>
      <c r="CV87" s="43"/>
      <c r="CW87" s="43"/>
      <c r="CX87" s="43"/>
      <c r="CY87" s="43" t="b">
        <v>0</v>
      </c>
      <c r="CZ87" s="43" t="b">
        <v>0</v>
      </c>
      <c r="DA87" s="43" t="b">
        <v>0</v>
      </c>
      <c r="DB87" s="43" t="b">
        <v>0</v>
      </c>
      <c r="DC87" s="43"/>
      <c r="DD87" s="43"/>
      <c r="DE87" s="43"/>
      <c r="DF87" s="43"/>
      <c r="DG87" s="43"/>
      <c r="DH87" s="43"/>
      <c r="DI87" s="43"/>
      <c r="DJ87" s="22">
        <f>IFERROR(VLOOKUP($B87,'Лист4'!$D:$AI,27,0)," ")</f>
        <v>5</v>
      </c>
      <c r="DK87" s="22">
        <f>IFERROR(VLOOKUP($B87,'Лист4'!$D:$AI,28,0)," ")</f>
        <v>17</v>
      </c>
      <c r="DL87" s="22">
        <f>IFERROR(VLOOKUP($B87,'Лист4'!$D:$AI,29,0)," ")</f>
        <v>5</v>
      </c>
      <c r="DM87" s="22">
        <f t="shared" si="1"/>
        <v>425</v>
      </c>
      <c r="DN87" s="22">
        <f>IFERROR(VLOOKUP($B87,'Лист4'!$D:$AI,32,0)," ")</f>
        <v>0.163</v>
      </c>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43"/>
      <c r="ET87" s="43"/>
      <c r="EU87" s="43"/>
      <c r="EV87" s="43"/>
      <c r="EW87" s="43"/>
      <c r="EX87" s="43"/>
      <c r="EY87" s="43"/>
      <c r="EZ87" s="43"/>
      <c r="FA87" s="43"/>
      <c r="FB87" s="43"/>
      <c r="FC87" s="43"/>
      <c r="FD87" s="43"/>
      <c r="FE87" s="43"/>
      <c r="FF87" s="43"/>
      <c r="FG87" s="43"/>
      <c r="FH87" s="43"/>
      <c r="FI87" s="43"/>
    </row>
    <row r="88" ht="18.0" customHeight="1">
      <c r="A88" s="22" t="s">
        <v>116</v>
      </c>
      <c r="B88" s="43" t="s">
        <v>1527</v>
      </c>
      <c r="C88" s="22" t="s">
        <v>118</v>
      </c>
      <c r="D88" s="22" t="s">
        <v>119</v>
      </c>
      <c r="E88" s="43"/>
      <c r="F88" s="22" t="s">
        <v>1528</v>
      </c>
      <c r="G88" s="22" t="s">
        <v>1529</v>
      </c>
      <c r="H88" s="22" t="s">
        <v>1530</v>
      </c>
      <c r="I88" s="43"/>
      <c r="J88" s="43"/>
      <c r="K88" s="22" t="b">
        <v>1</v>
      </c>
      <c r="L88" s="22" t="b">
        <v>1</v>
      </c>
      <c r="M88" s="22" t="b">
        <v>1</v>
      </c>
      <c r="N88" s="22" t="b">
        <v>1</v>
      </c>
      <c r="O88" s="22" t="b">
        <v>0</v>
      </c>
      <c r="P88" s="22" t="b">
        <v>0</v>
      </c>
      <c r="Q88" s="22" t="b">
        <v>0</v>
      </c>
      <c r="R88" s="43"/>
      <c r="S88" s="43" t="s">
        <v>1531</v>
      </c>
      <c r="T88" s="22" t="s">
        <v>1527</v>
      </c>
      <c r="U88" s="22" t="s">
        <v>1527</v>
      </c>
      <c r="V88" s="22" t="s">
        <v>1527</v>
      </c>
      <c r="W88" s="43"/>
      <c r="X88" s="43"/>
      <c r="Y88" s="43"/>
      <c r="Z88" s="43"/>
      <c r="AA88" s="22">
        <v>4.45333054E8</v>
      </c>
      <c r="AB88" s="22">
        <v>2.344269342E9</v>
      </c>
      <c r="AC88" s="22">
        <v>4.476321741E9</v>
      </c>
      <c r="AD88" s="22"/>
      <c r="AE88" s="22"/>
      <c r="AF88" s="43"/>
      <c r="AG88" s="43"/>
      <c r="AH88" s="43" t="s">
        <v>1528</v>
      </c>
      <c r="AI88" s="22" t="s">
        <v>1532</v>
      </c>
      <c r="AJ88" s="22" t="s">
        <v>1532</v>
      </c>
      <c r="AK88" s="22" t="s">
        <v>1533</v>
      </c>
      <c r="AL88" s="43"/>
      <c r="AM88" s="43"/>
      <c r="AN88" s="43"/>
      <c r="AO88" s="43"/>
      <c r="AP88" s="46" t="s">
        <v>1534</v>
      </c>
      <c r="AQ88" s="46" t="s">
        <v>1535</v>
      </c>
      <c r="AR88" s="46" t="s">
        <v>1536</v>
      </c>
      <c r="AS88" s="43"/>
      <c r="AT88" s="43"/>
      <c r="AU88" s="43"/>
      <c r="AV88" s="43"/>
      <c r="AW88" s="22" t="s">
        <v>1537</v>
      </c>
      <c r="AX88" s="22" t="s">
        <v>1532</v>
      </c>
      <c r="AY88" s="22" t="s">
        <v>1538</v>
      </c>
      <c r="AZ88" s="43"/>
      <c r="BA88" s="43"/>
      <c r="BB88" s="43"/>
      <c r="BC88" s="43"/>
      <c r="BD88" s="43" t="s">
        <v>129</v>
      </c>
      <c r="BE88" s="43" t="s">
        <v>243</v>
      </c>
      <c r="BF88" s="22" t="s">
        <v>131</v>
      </c>
      <c r="BG88" s="22" t="s">
        <v>132</v>
      </c>
      <c r="BH88" s="22" t="s">
        <v>132</v>
      </c>
      <c r="BI88" s="22" t="s">
        <v>132</v>
      </c>
      <c r="BJ88" s="43"/>
      <c r="BK88" s="43"/>
      <c r="BL88" s="22" t="s">
        <v>1539</v>
      </c>
      <c r="BM88" s="22"/>
      <c r="BN88" s="22" t="s">
        <v>133</v>
      </c>
      <c r="BO88" s="46" t="s">
        <v>1540</v>
      </c>
      <c r="BP88" s="22"/>
      <c r="BQ88" s="43"/>
      <c r="BR88" s="43"/>
      <c r="BS88" s="22" t="s">
        <v>1541</v>
      </c>
      <c r="BT88" s="43"/>
      <c r="BU88" s="22" t="s">
        <v>1542</v>
      </c>
      <c r="BV88" s="22" t="s">
        <v>1543</v>
      </c>
      <c r="BW88" s="22" t="s">
        <v>1544</v>
      </c>
      <c r="BX88" s="22">
        <v>500.0</v>
      </c>
      <c r="BY88" s="22" t="s">
        <v>139</v>
      </c>
      <c r="BZ88" s="43"/>
      <c r="CA88" s="22" t="s">
        <v>307</v>
      </c>
      <c r="CB88" s="22" t="s">
        <v>307</v>
      </c>
      <c r="CC88" s="45" t="s">
        <v>1545</v>
      </c>
      <c r="CD88" s="43"/>
      <c r="CE88" s="43"/>
      <c r="CF88" s="45"/>
      <c r="CG88" s="57">
        <v>46044.0</v>
      </c>
      <c r="CH88" s="46" t="s">
        <v>1546</v>
      </c>
      <c r="CI88" s="43"/>
      <c r="CJ88" s="43"/>
      <c r="CK88" s="43"/>
      <c r="CL88" s="43"/>
      <c r="CM88" s="49">
        <f>IFERROR(VLOOKUP(B88,CC!A:D,4,0)," ")</f>
        <v>126.09</v>
      </c>
      <c r="CN88" s="22" t="s">
        <v>458</v>
      </c>
      <c r="CO88" s="22"/>
      <c r="CP88" s="22" t="s">
        <v>459</v>
      </c>
      <c r="CQ88" s="22">
        <v>45.0</v>
      </c>
      <c r="CR88" s="43"/>
      <c r="CS88" s="22">
        <v>3.0</v>
      </c>
      <c r="CT88" s="22" t="s">
        <v>145</v>
      </c>
      <c r="CU88" s="43"/>
      <c r="CV88" s="43"/>
      <c r="CW88" s="43"/>
      <c r="CX88" s="43"/>
      <c r="CY88" s="43" t="b">
        <v>0</v>
      </c>
      <c r="CZ88" s="43" t="b">
        <v>0</v>
      </c>
      <c r="DA88" s="43" t="b">
        <v>0</v>
      </c>
      <c r="DB88" s="43" t="b">
        <v>0</v>
      </c>
      <c r="DC88" s="43"/>
      <c r="DD88" s="43"/>
      <c r="DE88" s="43"/>
      <c r="DF88" s="43"/>
      <c r="DG88" s="43"/>
      <c r="DH88" s="43"/>
      <c r="DI88" s="43"/>
      <c r="DJ88" s="22">
        <f>IFERROR(VLOOKUP($B88,'Лист4'!$D:$AI,27,0)," ")</f>
        <v>25</v>
      </c>
      <c r="DK88" s="22">
        <f>IFERROR(VLOOKUP($B88,'Лист4'!$D:$AI,28,0)," ")</f>
        <v>6</v>
      </c>
      <c r="DL88" s="22">
        <f>IFERROR(VLOOKUP($B88,'Лист4'!$D:$AI,29,0)," ")</f>
        <v>25</v>
      </c>
      <c r="DM88" s="22">
        <f t="shared" si="1"/>
        <v>3750</v>
      </c>
      <c r="DN88" s="22">
        <f>IFERROR(VLOOKUP($B88,'Лист4'!$D:$AI,32,0)," ")</f>
        <v>0.557</v>
      </c>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43"/>
      <c r="ET88" s="43"/>
      <c r="EU88" s="43"/>
      <c r="EV88" s="43"/>
      <c r="EW88" s="43"/>
      <c r="EX88" s="43"/>
      <c r="EY88" s="43"/>
      <c r="EZ88" s="43"/>
      <c r="FA88" s="43"/>
      <c r="FB88" s="43"/>
      <c r="FC88" s="43"/>
      <c r="FD88" s="43"/>
      <c r="FE88" s="43"/>
      <c r="FF88" s="43"/>
      <c r="FG88" s="43"/>
      <c r="FH88" s="43"/>
      <c r="FI88" s="43"/>
    </row>
    <row r="89" ht="18.0" customHeight="1">
      <c r="A89" s="22" t="s">
        <v>116</v>
      </c>
      <c r="B89" s="43" t="s">
        <v>1547</v>
      </c>
      <c r="C89" s="22" t="s">
        <v>118</v>
      </c>
      <c r="D89" s="22" t="s">
        <v>187</v>
      </c>
      <c r="E89" s="43" t="s">
        <v>188</v>
      </c>
      <c r="F89" s="22" t="s">
        <v>1548</v>
      </c>
      <c r="G89" s="22" t="s">
        <v>1529</v>
      </c>
      <c r="H89" s="22" t="s">
        <v>1530</v>
      </c>
      <c r="I89" s="43"/>
      <c r="J89" s="43"/>
      <c r="K89" s="22" t="b">
        <v>1</v>
      </c>
      <c r="L89" s="22" t="b">
        <v>1</v>
      </c>
      <c r="M89" s="22" t="b">
        <v>1</v>
      </c>
      <c r="N89" s="22" t="b">
        <v>0</v>
      </c>
      <c r="O89" s="22" t="b">
        <v>0</v>
      </c>
      <c r="P89" s="22" t="b">
        <v>0</v>
      </c>
      <c r="Q89" s="22" t="b">
        <v>0</v>
      </c>
      <c r="R89" s="43"/>
      <c r="S89" s="43" t="s">
        <v>1549</v>
      </c>
      <c r="T89" s="22" t="s">
        <v>1547</v>
      </c>
      <c r="U89" s="22" t="s">
        <v>1547</v>
      </c>
      <c r="V89" s="22"/>
      <c r="W89" s="43"/>
      <c r="X89" s="43"/>
      <c r="Y89" s="43"/>
      <c r="Z89" s="43"/>
      <c r="AA89" s="22">
        <v>2.40173672E8</v>
      </c>
      <c r="AB89" s="22">
        <v>1.613731894E9</v>
      </c>
      <c r="AC89" s="22"/>
      <c r="AD89" s="22"/>
      <c r="AE89" s="22"/>
      <c r="AF89" s="43"/>
      <c r="AG89" s="43"/>
      <c r="AH89" s="43" t="s">
        <v>1548</v>
      </c>
      <c r="AI89" s="22" t="s">
        <v>1532</v>
      </c>
      <c r="AJ89" s="22" t="s">
        <v>1532</v>
      </c>
      <c r="AK89" s="43"/>
      <c r="AL89" s="43"/>
      <c r="AM89" s="43"/>
      <c r="AN89" s="43"/>
      <c r="AO89" s="43"/>
      <c r="AP89" s="46" t="s">
        <v>1550</v>
      </c>
      <c r="AQ89" s="46" t="s">
        <v>1551</v>
      </c>
      <c r="AR89" s="43"/>
      <c r="AS89" s="43"/>
      <c r="AT89" s="43"/>
      <c r="AU89" s="43"/>
      <c r="AV89" s="43"/>
      <c r="AW89" s="22" t="s">
        <v>1537</v>
      </c>
      <c r="AX89" s="22" t="s">
        <v>1532</v>
      </c>
      <c r="AY89" s="43"/>
      <c r="AZ89" s="43"/>
      <c r="BA89" s="43"/>
      <c r="BB89" s="43"/>
      <c r="BC89" s="43"/>
      <c r="BD89" s="43" t="s">
        <v>194</v>
      </c>
      <c r="BE89" s="43" t="s">
        <v>243</v>
      </c>
      <c r="BF89" s="22" t="s">
        <v>131</v>
      </c>
      <c r="BG89" s="22" t="s">
        <v>132</v>
      </c>
      <c r="BH89" s="22" t="s">
        <v>132</v>
      </c>
      <c r="BI89" s="22" t="s">
        <v>132</v>
      </c>
      <c r="BJ89" s="43"/>
      <c r="BK89" s="43"/>
      <c r="BL89" s="22">
        <v>4.610172186752E12</v>
      </c>
      <c r="BM89" s="22">
        <v>3.307900008E9</v>
      </c>
      <c r="BN89" s="22" t="s">
        <v>1552</v>
      </c>
      <c r="BO89" s="22"/>
      <c r="BP89" s="22" t="s">
        <v>303</v>
      </c>
      <c r="BQ89" s="43"/>
      <c r="BR89" s="43"/>
      <c r="BS89" s="22" t="s">
        <v>1541</v>
      </c>
      <c r="BT89" s="43"/>
      <c r="BU89" s="22" t="s">
        <v>1542</v>
      </c>
      <c r="BV89" s="22" t="s">
        <v>1543</v>
      </c>
      <c r="BW89" s="22" t="s">
        <v>1544</v>
      </c>
      <c r="BX89" s="22">
        <v>500.0</v>
      </c>
      <c r="BY89" s="22" t="s">
        <v>139</v>
      </c>
      <c r="BZ89" s="22"/>
      <c r="CA89" s="22" t="s">
        <v>355</v>
      </c>
      <c r="CB89" s="22" t="s">
        <v>307</v>
      </c>
      <c r="CC89" s="45" t="s">
        <v>1545</v>
      </c>
      <c r="CD89" s="43"/>
      <c r="CE89" s="43"/>
      <c r="CF89" s="45"/>
      <c r="CG89" s="43"/>
      <c r="CH89" s="43"/>
      <c r="CI89" s="43"/>
      <c r="CJ89" s="43"/>
      <c r="CK89" s="43"/>
      <c r="CL89" s="43"/>
      <c r="CM89" s="49">
        <f>IFERROR(VLOOKUP(B89,CC!A:D,4,0)," ")</f>
        <v>162.38</v>
      </c>
      <c r="CN89" s="22" t="s">
        <v>1553</v>
      </c>
      <c r="CO89" s="22" t="s">
        <v>458</v>
      </c>
      <c r="CP89" s="22" t="s">
        <v>1554</v>
      </c>
      <c r="CQ89" s="22">
        <v>90.0</v>
      </c>
      <c r="CR89" s="43"/>
      <c r="CS89" s="22">
        <v>3.0</v>
      </c>
      <c r="CT89" s="22" t="s">
        <v>145</v>
      </c>
      <c r="CU89" s="43"/>
      <c r="CV89" s="43"/>
      <c r="CW89" s="43"/>
      <c r="CX89" s="43"/>
      <c r="CY89" s="43" t="b">
        <v>0</v>
      </c>
      <c r="CZ89" s="43" t="b">
        <v>0</v>
      </c>
      <c r="DA89" s="43" t="b">
        <v>0</v>
      </c>
      <c r="DB89" s="43" t="b">
        <v>0</v>
      </c>
      <c r="DC89" s="43"/>
      <c r="DD89" s="43"/>
      <c r="DE89" s="43"/>
      <c r="DF89" s="43"/>
      <c r="DG89" s="43"/>
      <c r="DH89" s="43"/>
      <c r="DI89" s="43"/>
      <c r="DJ89" s="22">
        <f>IFERROR(VLOOKUP($B89,'Лист4'!$D:$AI,27,0)," ")</f>
        <v>25</v>
      </c>
      <c r="DK89" s="22">
        <f>IFERROR(VLOOKUP($B89,'Лист4'!$D:$AI,28,0)," ")</f>
        <v>6</v>
      </c>
      <c r="DL89" s="22">
        <f>IFERROR(VLOOKUP($B89,'Лист4'!$D:$AI,29,0)," ")</f>
        <v>25</v>
      </c>
      <c r="DM89" s="22">
        <f t="shared" si="1"/>
        <v>3750</v>
      </c>
      <c r="DN89" s="22">
        <f>IFERROR(VLOOKUP($B89,'Лист4'!$D:$AI,32,0)," ")</f>
        <v>0.56</v>
      </c>
      <c r="DO89" s="22"/>
      <c r="DP89" s="22"/>
      <c r="DQ89" s="22"/>
      <c r="DR89" s="22"/>
      <c r="DS89" s="22"/>
      <c r="DT89" s="22"/>
      <c r="DU89" s="22"/>
      <c r="DV89" s="22"/>
      <c r="DW89" s="22"/>
      <c r="DX89" s="22"/>
      <c r="DY89" s="22"/>
      <c r="DZ89" s="22"/>
      <c r="EA89" s="22"/>
      <c r="EB89" s="22"/>
      <c r="EC89" s="22"/>
      <c r="ED89" s="22"/>
      <c r="EE89" s="22"/>
      <c r="EF89" s="22"/>
      <c r="EG89" s="22"/>
      <c r="EH89" s="22"/>
      <c r="EI89" s="22"/>
      <c r="EJ89" s="22"/>
      <c r="EK89" s="22"/>
      <c r="EL89" s="22"/>
      <c r="EM89" s="22"/>
      <c r="EN89" s="22"/>
      <c r="EO89" s="22"/>
      <c r="EP89" s="22"/>
      <c r="EQ89" s="22"/>
      <c r="ER89" s="22"/>
      <c r="ES89" s="43"/>
      <c r="ET89" s="43"/>
      <c r="EU89" s="43"/>
      <c r="EV89" s="43"/>
      <c r="EW89" s="43"/>
      <c r="EX89" s="43"/>
      <c r="EY89" s="43"/>
      <c r="EZ89" s="43"/>
      <c r="FA89" s="43"/>
      <c r="FB89" s="43"/>
      <c r="FC89" s="43"/>
      <c r="FD89" s="43"/>
      <c r="FE89" s="43"/>
      <c r="FF89" s="43"/>
      <c r="FG89" s="43"/>
      <c r="FH89" s="43"/>
      <c r="FI89" s="43"/>
    </row>
    <row r="90" ht="18.0" customHeight="1">
      <c r="A90" s="22" t="s">
        <v>116</v>
      </c>
      <c r="B90" s="43" t="s">
        <v>1555</v>
      </c>
      <c r="C90" s="22" t="s">
        <v>283</v>
      </c>
      <c r="D90" s="22" t="s">
        <v>119</v>
      </c>
      <c r="E90" s="43"/>
      <c r="F90" s="22" t="s">
        <v>1556</v>
      </c>
      <c r="G90" s="22" t="s">
        <v>361</v>
      </c>
      <c r="H90" s="22" t="s">
        <v>1557</v>
      </c>
      <c r="I90" s="43"/>
      <c r="J90" s="43"/>
      <c r="K90" s="22" t="b">
        <v>1</v>
      </c>
      <c r="L90" s="22" t="b">
        <v>1</v>
      </c>
      <c r="M90" s="22" t="b">
        <v>1</v>
      </c>
      <c r="N90" s="22" t="b">
        <v>1</v>
      </c>
      <c r="O90" s="22" t="b">
        <v>1</v>
      </c>
      <c r="P90" s="22" t="b">
        <v>0</v>
      </c>
      <c r="Q90" s="22" t="b">
        <v>0</v>
      </c>
      <c r="R90" s="43"/>
      <c r="S90" s="43" t="s">
        <v>1558</v>
      </c>
      <c r="T90" s="22" t="s">
        <v>1555</v>
      </c>
      <c r="U90" s="22" t="s">
        <v>1555</v>
      </c>
      <c r="V90" s="22" t="s">
        <v>1555</v>
      </c>
      <c r="W90" s="43" t="s">
        <v>1555</v>
      </c>
      <c r="X90" s="43"/>
      <c r="Y90" s="43"/>
      <c r="Z90" s="43"/>
      <c r="AA90" s="22">
        <v>2.65543042E8</v>
      </c>
      <c r="AB90" s="22">
        <v>1.713149756E9</v>
      </c>
      <c r="AC90" s="22">
        <v>1.03555039361E11</v>
      </c>
      <c r="AD90" s="22">
        <v>9.9000121326E10</v>
      </c>
      <c r="AE90" s="22"/>
      <c r="AF90" s="43"/>
      <c r="AG90" s="43"/>
      <c r="AH90" s="43" t="s">
        <v>1556</v>
      </c>
      <c r="AI90" s="22" t="s">
        <v>1559</v>
      </c>
      <c r="AJ90" s="22" t="s">
        <v>1560</v>
      </c>
      <c r="AK90" s="22" t="s">
        <v>1561</v>
      </c>
      <c r="AL90" s="22" t="s">
        <v>1562</v>
      </c>
      <c r="AM90" s="43"/>
      <c r="AN90" s="43"/>
      <c r="AO90" s="43"/>
      <c r="AP90" s="46" t="s">
        <v>1563</v>
      </c>
      <c r="AQ90" s="46" t="s">
        <v>1564</v>
      </c>
      <c r="AR90" s="46" t="s">
        <v>1565</v>
      </c>
      <c r="AS90" s="46" t="s">
        <v>1566</v>
      </c>
      <c r="AT90" s="43"/>
      <c r="AU90" s="43"/>
      <c r="AV90" s="43"/>
      <c r="AW90" s="22" t="s">
        <v>361</v>
      </c>
      <c r="AX90" s="22" t="s">
        <v>1560</v>
      </c>
      <c r="AY90" s="22" t="s">
        <v>372</v>
      </c>
      <c r="AZ90" s="22" t="s">
        <v>373</v>
      </c>
      <c r="BA90" s="43"/>
      <c r="BB90" s="43"/>
      <c r="BC90" s="43"/>
      <c r="BD90" s="43" t="s">
        <v>374</v>
      </c>
      <c r="BE90" s="43" t="s">
        <v>243</v>
      </c>
      <c r="BF90" s="22" t="s">
        <v>131</v>
      </c>
      <c r="BG90" s="22" t="s">
        <v>132</v>
      </c>
      <c r="BH90" s="22" t="s">
        <v>132</v>
      </c>
      <c r="BI90" s="22" t="s">
        <v>132</v>
      </c>
      <c r="BJ90" s="43"/>
      <c r="BK90" s="43"/>
      <c r="BL90" s="22">
        <v>4.68016284276E12</v>
      </c>
      <c r="BM90" s="22">
        <v>2.106909808E9</v>
      </c>
      <c r="BN90" s="22" t="s">
        <v>1567</v>
      </c>
      <c r="BO90" s="46" t="s">
        <v>1568</v>
      </c>
      <c r="BP90" s="22" t="s">
        <v>245</v>
      </c>
      <c r="BQ90" s="43"/>
      <c r="BR90" s="43"/>
      <c r="BS90" s="22" t="s">
        <v>1569</v>
      </c>
      <c r="BT90" s="43"/>
      <c r="BU90" s="22" t="s">
        <v>1570</v>
      </c>
      <c r="BV90" s="22" t="s">
        <v>1571</v>
      </c>
      <c r="BW90" s="22" t="s">
        <v>784</v>
      </c>
      <c r="BX90" s="22">
        <v>120.0</v>
      </c>
      <c r="BY90" s="22" t="s">
        <v>492</v>
      </c>
      <c r="BZ90" s="43"/>
      <c r="CA90" s="22" t="s">
        <v>355</v>
      </c>
      <c r="CB90" s="22" t="s">
        <v>307</v>
      </c>
      <c r="CC90" s="45" t="s">
        <v>1572</v>
      </c>
      <c r="CD90" s="43"/>
      <c r="CE90" s="43"/>
      <c r="CF90" s="45"/>
      <c r="CG90" s="54">
        <v>46043.0</v>
      </c>
      <c r="CH90" s="44" t="s">
        <v>1573</v>
      </c>
      <c r="CI90" s="43"/>
      <c r="CJ90" s="43"/>
      <c r="CK90" s="43"/>
      <c r="CL90" s="43"/>
      <c r="CM90" s="49">
        <f>IFERROR(VLOOKUP(B90,CC!A:D,4,0)," ")</f>
        <v>272</v>
      </c>
      <c r="CN90" s="22" t="s">
        <v>786</v>
      </c>
      <c r="CO90" s="22"/>
      <c r="CP90" s="22" t="s">
        <v>787</v>
      </c>
      <c r="CQ90" s="22">
        <v>90.0</v>
      </c>
      <c r="CR90" s="43"/>
      <c r="CS90" s="22">
        <v>7.0</v>
      </c>
      <c r="CT90" s="22" t="s">
        <v>145</v>
      </c>
      <c r="CU90" s="43"/>
      <c r="CV90" s="43"/>
      <c r="CW90" s="43"/>
      <c r="CX90" s="43"/>
      <c r="CY90" s="43" t="b">
        <v>0</v>
      </c>
      <c r="CZ90" s="43" t="b">
        <v>0</v>
      </c>
      <c r="DA90" s="43" t="b">
        <v>0</v>
      </c>
      <c r="DB90" s="43" t="b">
        <v>0</v>
      </c>
      <c r="DC90" s="43"/>
      <c r="DD90" s="43"/>
      <c r="DE90" s="43"/>
      <c r="DF90" s="43"/>
      <c r="DG90" s="43"/>
      <c r="DH90" s="43"/>
      <c r="DI90" s="43"/>
      <c r="DJ90" s="22">
        <f>IFERROR(VLOOKUP($B90,'Лист4'!$D:$AI,27,0)," ")</f>
        <v>11</v>
      </c>
      <c r="DK90" s="22">
        <f>IFERROR(VLOOKUP($B90,'Лист4'!$D:$AI,28,0)," ")</f>
        <v>5</v>
      </c>
      <c r="DL90" s="22">
        <f>IFERROR(VLOOKUP($B90,'Лист4'!$D:$AI,29,0)," ")</f>
        <v>11</v>
      </c>
      <c r="DM90" s="22">
        <f t="shared" si="1"/>
        <v>605</v>
      </c>
      <c r="DN90" s="22">
        <f>IFERROR(VLOOKUP($B90,'Лист4'!$D:$AI,32,0)," ")</f>
        <v>0.13</v>
      </c>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22"/>
      <c r="EN90" s="22"/>
      <c r="EO90" s="22"/>
      <c r="EP90" s="22"/>
      <c r="EQ90" s="22"/>
      <c r="ER90" s="22"/>
      <c r="ES90" s="43"/>
      <c r="ET90" s="43"/>
      <c r="EU90" s="43"/>
      <c r="EV90" s="43"/>
      <c r="EW90" s="43"/>
      <c r="EX90" s="43"/>
      <c r="EY90" s="43"/>
      <c r="EZ90" s="43"/>
      <c r="FA90" s="43"/>
      <c r="FB90" s="43"/>
      <c r="FC90" s="43"/>
      <c r="FD90" s="43"/>
      <c r="FE90" s="43"/>
      <c r="FF90" s="43"/>
      <c r="FG90" s="43"/>
      <c r="FH90" s="43"/>
      <c r="FI90" s="43"/>
    </row>
    <row r="91" ht="18.0" customHeight="1">
      <c r="A91" s="22" t="s">
        <v>116</v>
      </c>
      <c r="B91" s="43" t="s">
        <v>1574</v>
      </c>
      <c r="C91" s="22" t="s">
        <v>283</v>
      </c>
      <c r="D91" s="22" t="s">
        <v>187</v>
      </c>
      <c r="E91" s="43" t="s">
        <v>992</v>
      </c>
      <c r="F91" s="22" t="s">
        <v>1575</v>
      </c>
      <c r="G91" s="22" t="s">
        <v>361</v>
      </c>
      <c r="H91" s="22" t="s">
        <v>1557</v>
      </c>
      <c r="I91" s="43"/>
      <c r="J91" s="43"/>
      <c r="K91" s="22" t="b">
        <v>1</v>
      </c>
      <c r="L91" s="22" t="b">
        <v>1</v>
      </c>
      <c r="M91" s="22" t="b">
        <v>1</v>
      </c>
      <c r="N91" s="22" t="b">
        <v>1</v>
      </c>
      <c r="O91" s="22" t="b">
        <v>1</v>
      </c>
      <c r="P91" s="22" t="b">
        <v>0</v>
      </c>
      <c r="Q91" s="22" t="b">
        <v>0</v>
      </c>
      <c r="R91" s="43"/>
      <c r="S91" s="43" t="s">
        <v>1576</v>
      </c>
      <c r="T91" s="22" t="s">
        <v>1574</v>
      </c>
      <c r="U91" s="22" t="s">
        <v>1574</v>
      </c>
      <c r="V91" s="22" t="s">
        <v>1574</v>
      </c>
      <c r="W91" s="43" t="s">
        <v>1574</v>
      </c>
      <c r="X91" s="43"/>
      <c r="Y91" s="43"/>
      <c r="Z91" s="43"/>
      <c r="AA91" s="22">
        <v>1.69962249E8</v>
      </c>
      <c r="AB91" s="22">
        <v>1.101364594E9</v>
      </c>
      <c r="AC91" s="22">
        <v>1.02318027321E11</v>
      </c>
      <c r="AD91" s="22">
        <v>9.900011864E10</v>
      </c>
      <c r="AE91" s="22"/>
      <c r="AF91" s="43"/>
      <c r="AG91" s="43"/>
      <c r="AH91" s="43" t="s">
        <v>1575</v>
      </c>
      <c r="AI91" s="22" t="s">
        <v>1577</v>
      </c>
      <c r="AJ91" s="22" t="s">
        <v>1578</v>
      </c>
      <c r="AK91" s="22" t="s">
        <v>1579</v>
      </c>
      <c r="AL91" s="22" t="s">
        <v>1580</v>
      </c>
      <c r="AM91" s="43"/>
      <c r="AN91" s="43"/>
      <c r="AO91" s="43"/>
      <c r="AP91" s="46" t="s">
        <v>1581</v>
      </c>
      <c r="AQ91" s="46" t="s">
        <v>1582</v>
      </c>
      <c r="AR91" s="46" t="s">
        <v>1583</v>
      </c>
      <c r="AS91" s="43"/>
      <c r="AT91" s="43"/>
      <c r="AU91" s="43"/>
      <c r="AV91" s="43"/>
      <c r="AW91" s="22" t="s">
        <v>361</v>
      </c>
      <c r="AX91" s="22" t="s">
        <v>1578</v>
      </c>
      <c r="AY91" s="22" t="s">
        <v>372</v>
      </c>
      <c r="AZ91" s="22" t="s">
        <v>778</v>
      </c>
      <c r="BA91" s="43"/>
      <c r="BB91" s="43"/>
      <c r="BC91" s="43"/>
      <c r="BD91" s="43" t="s">
        <v>374</v>
      </c>
      <c r="BE91" s="43" t="s">
        <v>243</v>
      </c>
      <c r="BF91" s="22" t="s">
        <v>131</v>
      </c>
      <c r="BG91" s="22" t="s">
        <v>132</v>
      </c>
      <c r="BH91" s="22" t="s">
        <v>132</v>
      </c>
      <c r="BI91" s="22" t="s">
        <v>132</v>
      </c>
      <c r="BJ91" s="43"/>
      <c r="BK91" s="43"/>
      <c r="BL91" s="22">
        <v>4.630205144061E12</v>
      </c>
      <c r="BM91" s="22">
        <v>2.106909808E9</v>
      </c>
      <c r="BN91" s="22" t="s">
        <v>1584</v>
      </c>
      <c r="BO91" s="46" t="s">
        <v>1585</v>
      </c>
      <c r="BP91" s="22" t="s">
        <v>245</v>
      </c>
      <c r="BQ91" s="43"/>
      <c r="BR91" s="43"/>
      <c r="BS91" s="22" t="s">
        <v>1586</v>
      </c>
      <c r="BT91" s="43"/>
      <c r="BU91" s="22" t="s">
        <v>1587</v>
      </c>
      <c r="BV91" s="43" t="s">
        <v>490</v>
      </c>
      <c r="BW91" s="22" t="s">
        <v>491</v>
      </c>
      <c r="BX91" s="22">
        <v>90.0</v>
      </c>
      <c r="BY91" s="22" t="s">
        <v>492</v>
      </c>
      <c r="BZ91" s="43"/>
      <c r="CA91" s="22" t="s">
        <v>355</v>
      </c>
      <c r="CB91" s="22" t="s">
        <v>307</v>
      </c>
      <c r="CC91" s="45" t="s">
        <v>1588</v>
      </c>
      <c r="CD91" s="43"/>
      <c r="CE91" s="43"/>
      <c r="CF91" s="45" t="s">
        <v>1589</v>
      </c>
      <c r="CG91" s="43"/>
      <c r="CH91" s="43"/>
      <c r="CI91" s="43"/>
      <c r="CJ91" s="43"/>
      <c r="CK91" s="43"/>
      <c r="CL91" s="43"/>
      <c r="CM91" s="49">
        <f>IFERROR(VLOOKUP(B91,CC!A:D,4,0)," ")</f>
        <v>305</v>
      </c>
      <c r="CN91" s="22" t="s">
        <v>494</v>
      </c>
      <c r="CO91" s="22"/>
      <c r="CP91" s="22" t="s">
        <v>495</v>
      </c>
      <c r="CQ91" s="22">
        <v>60.0</v>
      </c>
      <c r="CR91" s="43"/>
      <c r="CS91" s="22">
        <v>5.0</v>
      </c>
      <c r="CT91" s="22" t="s">
        <v>496</v>
      </c>
      <c r="CU91" s="43"/>
      <c r="CV91" s="43"/>
      <c r="CW91" s="43"/>
      <c r="CX91" s="43"/>
      <c r="CY91" s="43" t="b">
        <v>0</v>
      </c>
      <c r="CZ91" s="43" t="b">
        <v>0</v>
      </c>
      <c r="DA91" s="43" t="b">
        <v>0</v>
      </c>
      <c r="DB91" s="43" t="b">
        <v>0</v>
      </c>
      <c r="DC91" s="43"/>
      <c r="DD91" s="43"/>
      <c r="DE91" s="43"/>
      <c r="DF91" s="43"/>
      <c r="DG91" s="43"/>
      <c r="DH91" s="43"/>
      <c r="DI91" s="43"/>
      <c r="DJ91" s="22">
        <f>IFERROR(VLOOKUP($B91,'Лист4'!$D:$AI,27,0)," ")</f>
        <v>12</v>
      </c>
      <c r="DK91" s="22">
        <f>IFERROR(VLOOKUP($B91,'Лист4'!$D:$AI,28,0)," ")</f>
        <v>6</v>
      </c>
      <c r="DL91" s="22">
        <f>IFERROR(VLOOKUP($B91,'Лист4'!$D:$AI,29,0)," ")</f>
        <v>12</v>
      </c>
      <c r="DM91" s="22">
        <f t="shared" si="1"/>
        <v>864</v>
      </c>
      <c r="DN91" s="22">
        <f>IFERROR(VLOOKUP($B91,'Лист4'!$D:$AI,32,0)," ")</f>
        <v>0.094</v>
      </c>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22"/>
      <c r="EN91" s="22"/>
      <c r="EO91" s="22"/>
      <c r="EP91" s="22"/>
      <c r="EQ91" s="22"/>
      <c r="ER91" s="22"/>
      <c r="ES91" s="43"/>
      <c r="ET91" s="43"/>
      <c r="EU91" s="43"/>
      <c r="EV91" s="43"/>
      <c r="EW91" s="43"/>
      <c r="EX91" s="43"/>
      <c r="EY91" s="43"/>
      <c r="EZ91" s="43"/>
      <c r="FA91" s="43"/>
      <c r="FB91" s="43"/>
      <c r="FC91" s="43"/>
      <c r="FD91" s="43"/>
      <c r="FE91" s="43"/>
      <c r="FF91" s="43"/>
      <c r="FG91" s="43"/>
      <c r="FH91" s="43"/>
      <c r="FI91" s="43"/>
    </row>
    <row r="92" ht="18.0" customHeight="1">
      <c r="A92" s="22" t="s">
        <v>116</v>
      </c>
      <c r="B92" s="43" t="s">
        <v>1590</v>
      </c>
      <c r="C92" s="22" t="s">
        <v>283</v>
      </c>
      <c r="D92" s="22" t="s">
        <v>187</v>
      </c>
      <c r="E92" s="43" t="s">
        <v>992</v>
      </c>
      <c r="F92" s="22" t="s">
        <v>1591</v>
      </c>
      <c r="G92" s="22" t="s">
        <v>361</v>
      </c>
      <c r="H92" s="22" t="s">
        <v>1557</v>
      </c>
      <c r="I92" s="43"/>
      <c r="J92" s="43"/>
      <c r="K92" s="22" t="b">
        <v>1</v>
      </c>
      <c r="L92" s="22" t="b">
        <v>1</v>
      </c>
      <c r="M92" s="22" t="b">
        <v>1</v>
      </c>
      <c r="N92" s="22" t="b">
        <v>1</v>
      </c>
      <c r="O92" s="22" t="b">
        <v>1</v>
      </c>
      <c r="P92" s="22" t="b">
        <v>0</v>
      </c>
      <c r="Q92" s="22" t="b">
        <v>0</v>
      </c>
      <c r="R92" s="43"/>
      <c r="S92" s="43" t="s">
        <v>1592</v>
      </c>
      <c r="T92" s="22" t="s">
        <v>1590</v>
      </c>
      <c r="U92" s="22" t="s">
        <v>1590</v>
      </c>
      <c r="V92" s="22" t="s">
        <v>1590</v>
      </c>
      <c r="W92" s="43" t="s">
        <v>1590</v>
      </c>
      <c r="X92" s="43"/>
      <c r="Y92" s="43"/>
      <c r="Z92" s="43"/>
      <c r="AA92" s="22">
        <v>1.5973404E8</v>
      </c>
      <c r="AB92" s="22">
        <v>9.67623667E8</v>
      </c>
      <c r="AC92" s="22">
        <v>1.02196237159E11</v>
      </c>
      <c r="AD92" s="22"/>
      <c r="AE92" s="22"/>
      <c r="AF92" s="43"/>
      <c r="AG92" s="43"/>
      <c r="AH92" s="43" t="s">
        <v>1591</v>
      </c>
      <c r="AI92" s="22" t="s">
        <v>1593</v>
      </c>
      <c r="AJ92" s="22" t="s">
        <v>1594</v>
      </c>
      <c r="AK92" s="22" t="s">
        <v>1595</v>
      </c>
      <c r="AL92" s="43"/>
      <c r="AM92" s="43"/>
      <c r="AN92" s="43"/>
      <c r="AO92" s="43"/>
      <c r="AP92" s="46" t="s">
        <v>1596</v>
      </c>
      <c r="AQ92" s="46" t="s">
        <v>1597</v>
      </c>
      <c r="AR92" s="46" t="s">
        <v>1598</v>
      </c>
      <c r="AS92" s="43"/>
      <c r="AT92" s="43"/>
      <c r="AU92" s="43"/>
      <c r="AV92" s="43"/>
      <c r="AW92" s="22" t="s">
        <v>361</v>
      </c>
      <c r="AX92" s="22" t="s">
        <v>1594</v>
      </c>
      <c r="AY92" s="22" t="s">
        <v>372</v>
      </c>
      <c r="AZ92" s="22"/>
      <c r="BA92" s="43"/>
      <c r="BB92" s="43"/>
      <c r="BC92" s="43"/>
      <c r="BD92" s="43" t="s">
        <v>374</v>
      </c>
      <c r="BE92" s="43" t="s">
        <v>243</v>
      </c>
      <c r="BF92" s="22" t="s">
        <v>131</v>
      </c>
      <c r="BG92" s="22" t="s">
        <v>132</v>
      </c>
      <c r="BH92" s="22" t="s">
        <v>132</v>
      </c>
      <c r="BI92" s="22" t="s">
        <v>132</v>
      </c>
      <c r="BJ92" s="43"/>
      <c r="BK92" s="43"/>
      <c r="BL92" s="22">
        <v>4.620153901908E12</v>
      </c>
      <c r="BM92" s="22">
        <v>2.106909808E9</v>
      </c>
      <c r="BN92" s="22" t="s">
        <v>1599</v>
      </c>
      <c r="BO92" s="46" t="s">
        <v>1600</v>
      </c>
      <c r="BP92" s="22" t="s">
        <v>245</v>
      </c>
      <c r="BQ92" s="43"/>
      <c r="BR92" s="43"/>
      <c r="BS92" s="22" t="s">
        <v>1601</v>
      </c>
      <c r="BT92" s="43"/>
      <c r="BU92" s="22" t="s">
        <v>1602</v>
      </c>
      <c r="BV92" s="43" t="s">
        <v>557</v>
      </c>
      <c r="BW92" s="22" t="s">
        <v>1603</v>
      </c>
      <c r="BX92" s="22">
        <v>60.0</v>
      </c>
      <c r="BY92" s="22" t="s">
        <v>492</v>
      </c>
      <c r="BZ92" s="43"/>
      <c r="CA92" s="22" t="s">
        <v>355</v>
      </c>
      <c r="CB92" s="22" t="s">
        <v>307</v>
      </c>
      <c r="CC92" s="45" t="s">
        <v>1604</v>
      </c>
      <c r="CD92" s="43"/>
      <c r="CE92" s="43"/>
      <c r="CF92" s="45" t="s">
        <v>1605</v>
      </c>
      <c r="CG92" s="43"/>
      <c r="CH92" s="43"/>
      <c r="CI92" s="43"/>
      <c r="CJ92" s="43"/>
      <c r="CK92" s="43"/>
      <c r="CL92" s="43"/>
      <c r="CM92" s="49">
        <f>IFERROR(VLOOKUP(B92,CC!A:D,4,0)," ")</f>
        <v>240.12</v>
      </c>
      <c r="CN92" s="22" t="s">
        <v>400</v>
      </c>
      <c r="CO92" s="22"/>
      <c r="CP92" s="22" t="s">
        <v>562</v>
      </c>
      <c r="CQ92" s="22">
        <v>90.0</v>
      </c>
      <c r="CR92" s="43"/>
      <c r="CS92" s="22">
        <v>10.0</v>
      </c>
      <c r="CT92" s="22" t="s">
        <v>145</v>
      </c>
      <c r="CU92" s="43"/>
      <c r="CV92" s="43"/>
      <c r="CW92" s="43"/>
      <c r="CX92" s="43"/>
      <c r="CY92" s="43" t="b">
        <v>0</v>
      </c>
      <c r="CZ92" s="43" t="b">
        <v>0</v>
      </c>
      <c r="DA92" s="43" t="b">
        <v>0</v>
      </c>
      <c r="DB92" s="43" t="b">
        <v>0</v>
      </c>
      <c r="DC92" s="43"/>
      <c r="DD92" s="43"/>
      <c r="DE92" s="43"/>
      <c r="DF92" s="43"/>
      <c r="DG92" s="43"/>
      <c r="DH92" s="43"/>
      <c r="DI92" s="43"/>
      <c r="DJ92" s="22">
        <f>IFERROR(VLOOKUP($B92,'Лист4'!$D:$AI,27,0)," ")</f>
        <v>5</v>
      </c>
      <c r="DK92" s="22">
        <f>IFERROR(VLOOKUP($B92,'Лист4'!$D:$AI,28,0)," ")</f>
        <v>9</v>
      </c>
      <c r="DL92" s="22">
        <f>IFERROR(VLOOKUP($B92,'Лист4'!$D:$AI,29,0)," ")</f>
        <v>5</v>
      </c>
      <c r="DM92" s="22">
        <f t="shared" si="1"/>
        <v>225</v>
      </c>
      <c r="DN92" s="22">
        <f>IFERROR(VLOOKUP($B92,'Лист4'!$D:$AI,32,0)," ")</f>
        <v>0.076</v>
      </c>
      <c r="DO92" s="22"/>
      <c r="DP92" s="22"/>
      <c r="DQ92" s="22"/>
      <c r="DR92" s="22"/>
      <c r="DS92" s="22"/>
      <c r="DT92" s="22"/>
      <c r="DU92" s="22"/>
      <c r="DV92" s="22"/>
      <c r="DW92" s="22"/>
      <c r="DX92" s="22"/>
      <c r="DY92" s="22"/>
      <c r="DZ92" s="22"/>
      <c r="EA92" s="22"/>
      <c r="EB92" s="22"/>
      <c r="EC92" s="22"/>
      <c r="ED92" s="22"/>
      <c r="EE92" s="22"/>
      <c r="EF92" s="22"/>
      <c r="EG92" s="22"/>
      <c r="EH92" s="22"/>
      <c r="EI92" s="22"/>
      <c r="EJ92" s="22"/>
      <c r="EK92" s="22"/>
      <c r="EL92" s="22"/>
      <c r="EM92" s="22"/>
      <c r="EN92" s="22"/>
      <c r="EO92" s="22"/>
      <c r="EP92" s="22"/>
      <c r="EQ92" s="22"/>
      <c r="ER92" s="22"/>
      <c r="ES92" s="43"/>
      <c r="ET92" s="43"/>
      <c r="EU92" s="43"/>
      <c r="EV92" s="43"/>
      <c r="EW92" s="43"/>
      <c r="EX92" s="43"/>
      <c r="EY92" s="43"/>
      <c r="EZ92" s="43"/>
      <c r="FA92" s="43"/>
      <c r="FB92" s="43"/>
      <c r="FC92" s="43"/>
      <c r="FD92" s="43"/>
      <c r="FE92" s="43"/>
      <c r="FF92" s="43"/>
      <c r="FG92" s="43"/>
      <c r="FH92" s="43"/>
      <c r="FI92" s="43"/>
    </row>
    <row r="93" ht="18.0" customHeight="1">
      <c r="A93" s="22" t="s">
        <v>116</v>
      </c>
      <c r="B93" s="43" t="s">
        <v>1606</v>
      </c>
      <c r="C93" s="22" t="s">
        <v>118</v>
      </c>
      <c r="D93" s="22" t="s">
        <v>119</v>
      </c>
      <c r="E93" s="43"/>
      <c r="F93" s="22" t="s">
        <v>1607</v>
      </c>
      <c r="G93" s="22" t="s">
        <v>1529</v>
      </c>
      <c r="H93" s="22" t="s">
        <v>1608</v>
      </c>
      <c r="I93" s="43"/>
      <c r="J93" s="43"/>
      <c r="K93" s="22" t="b">
        <v>1</v>
      </c>
      <c r="L93" s="22" t="b">
        <v>1</v>
      </c>
      <c r="M93" s="22" t="b">
        <v>1</v>
      </c>
      <c r="N93" s="22" t="b">
        <v>1</v>
      </c>
      <c r="O93" s="22" t="b">
        <v>0</v>
      </c>
      <c r="P93" s="22" t="b">
        <v>0</v>
      </c>
      <c r="Q93" s="22" t="b">
        <v>0</v>
      </c>
      <c r="R93" s="43"/>
      <c r="S93" s="43" t="s">
        <v>1609</v>
      </c>
      <c r="T93" s="22" t="s">
        <v>1606</v>
      </c>
      <c r="U93" s="22" t="s">
        <v>1606</v>
      </c>
      <c r="V93" s="22" t="s">
        <v>1606</v>
      </c>
      <c r="W93" s="43"/>
      <c r="X93" s="43"/>
      <c r="Y93" s="43"/>
      <c r="Z93" s="43"/>
      <c r="AA93" s="22">
        <v>2.3278502E8</v>
      </c>
      <c r="AB93" s="22">
        <v>1.581834792E9</v>
      </c>
      <c r="AC93" s="22">
        <v>1.0339670813E11</v>
      </c>
      <c r="AD93" s="22"/>
      <c r="AE93" s="22"/>
      <c r="AF93" s="43"/>
      <c r="AG93" s="43"/>
      <c r="AH93" s="43" t="s">
        <v>1607</v>
      </c>
      <c r="AI93" s="22" t="s">
        <v>1610</v>
      </c>
      <c r="AJ93" s="22" t="s">
        <v>1611</v>
      </c>
      <c r="AK93" s="22" t="s">
        <v>1612</v>
      </c>
      <c r="AL93" s="43"/>
      <c r="AM93" s="43"/>
      <c r="AN93" s="43"/>
      <c r="AO93" s="43"/>
      <c r="AP93" s="46" t="s">
        <v>1613</v>
      </c>
      <c r="AQ93" s="46" t="s">
        <v>1614</v>
      </c>
      <c r="AR93" s="46" t="s">
        <v>1615</v>
      </c>
      <c r="AS93" s="43"/>
      <c r="AT93" s="43"/>
      <c r="AU93" s="43"/>
      <c r="AV93" s="43"/>
      <c r="AW93" s="22" t="s">
        <v>1616</v>
      </c>
      <c r="AX93" s="22" t="s">
        <v>1611</v>
      </c>
      <c r="AY93" s="22" t="s">
        <v>1617</v>
      </c>
      <c r="AZ93" s="43"/>
      <c r="BA93" s="43"/>
      <c r="BB93" s="43"/>
      <c r="BC93" s="43"/>
      <c r="BD93" s="43" t="s">
        <v>129</v>
      </c>
      <c r="BE93" s="43" t="s">
        <v>243</v>
      </c>
      <c r="BF93" s="22" t="s">
        <v>131</v>
      </c>
      <c r="BG93" s="22" t="s">
        <v>132</v>
      </c>
      <c r="BH93" s="22" t="s">
        <v>132</v>
      </c>
      <c r="BI93" s="22" t="s">
        <v>132</v>
      </c>
      <c r="BJ93" s="43"/>
      <c r="BK93" s="43"/>
      <c r="BL93" s="22">
        <v>4.650099657515E12</v>
      </c>
      <c r="BM93" s="22">
        <v>9.6190021E9</v>
      </c>
      <c r="BN93" s="22" t="s">
        <v>1618</v>
      </c>
      <c r="BO93" s="46" t="s">
        <v>1619</v>
      </c>
      <c r="BP93" s="22" t="s">
        <v>303</v>
      </c>
      <c r="BQ93" s="43"/>
      <c r="BR93" s="43"/>
      <c r="BS93" s="22" t="s">
        <v>1620</v>
      </c>
      <c r="BT93" s="43"/>
      <c r="BU93" s="22"/>
      <c r="BV93" s="43"/>
      <c r="BW93" s="22" t="s">
        <v>1621</v>
      </c>
      <c r="BX93" s="22">
        <v>30.0</v>
      </c>
      <c r="BY93" s="22" t="s">
        <v>421</v>
      </c>
      <c r="BZ93" s="43"/>
      <c r="CA93" s="22" t="s">
        <v>1622</v>
      </c>
      <c r="CB93" s="22" t="s">
        <v>1623</v>
      </c>
      <c r="CC93" s="45" t="s">
        <v>1624</v>
      </c>
      <c r="CD93" s="43"/>
      <c r="CE93" s="43"/>
      <c r="CF93" s="45"/>
      <c r="CG93" s="54">
        <v>46097.0</v>
      </c>
      <c r="CH93" s="46" t="s">
        <v>1625</v>
      </c>
      <c r="CI93" s="43"/>
      <c r="CJ93" s="43"/>
      <c r="CK93" s="43"/>
      <c r="CL93" s="43"/>
      <c r="CM93" s="49">
        <f>IFERROR(VLOOKUP(B93,CC!A:D,4,0)," ")</f>
        <v>192</v>
      </c>
      <c r="CN93" s="22" t="s">
        <v>1626</v>
      </c>
      <c r="CO93" s="22"/>
      <c r="CP93" s="22" t="s">
        <v>1627</v>
      </c>
      <c r="CQ93" s="22">
        <v>30.0</v>
      </c>
      <c r="CR93" s="43"/>
      <c r="CS93" s="22">
        <v>1.0</v>
      </c>
      <c r="CT93" s="22" t="s">
        <v>145</v>
      </c>
      <c r="CU93" s="43"/>
      <c r="CV93" s="43"/>
      <c r="CW93" s="43"/>
      <c r="CX93" s="43"/>
      <c r="CY93" s="43" t="b">
        <v>0</v>
      </c>
      <c r="CZ93" s="43" t="b">
        <v>0</v>
      </c>
      <c r="DA93" s="43" t="b">
        <v>0</v>
      </c>
      <c r="DB93" s="43" t="b">
        <v>0</v>
      </c>
      <c r="DC93" s="43"/>
      <c r="DD93" s="43"/>
      <c r="DE93" s="43"/>
      <c r="DF93" s="43"/>
      <c r="DG93" s="43"/>
      <c r="DH93" s="43"/>
      <c r="DI93" s="43"/>
      <c r="DJ93" s="22">
        <f>IFERROR(VLOOKUP($B93,'Лист4'!$D:$AI,27,0)," ")</f>
        <v>27</v>
      </c>
      <c r="DK93" s="22">
        <f>IFERROR(VLOOKUP($B93,'Лист4'!$D:$AI,28,0)," ")</f>
        <v>12</v>
      </c>
      <c r="DL93" s="22">
        <f>IFERROR(VLOOKUP($B93,'Лист4'!$D:$AI,29,0)," ")</f>
        <v>27</v>
      </c>
      <c r="DM93" s="22">
        <f t="shared" si="1"/>
        <v>8748</v>
      </c>
      <c r="DN93" s="22">
        <f>IFERROR(VLOOKUP($B93,'Лист4'!$D:$AI,32,0)," ")</f>
        <v>0.698</v>
      </c>
      <c r="DO93" s="22"/>
      <c r="DP93" s="22"/>
      <c r="DQ93" s="22"/>
      <c r="DR93" s="22"/>
      <c r="DS93" s="22"/>
      <c r="DT93" s="22"/>
      <c r="DU93" s="22"/>
      <c r="DV93" s="22"/>
      <c r="DW93" s="22"/>
      <c r="DX93" s="22"/>
      <c r="DY93" s="22"/>
      <c r="DZ93" s="22"/>
      <c r="EA93" s="22"/>
      <c r="EB93" s="22"/>
      <c r="EC93" s="22"/>
      <c r="ED93" s="22"/>
      <c r="EE93" s="22"/>
      <c r="EF93" s="22"/>
      <c r="EG93" s="22"/>
      <c r="EH93" s="22"/>
      <c r="EI93" s="22"/>
      <c r="EJ93" s="22"/>
      <c r="EK93" s="22"/>
      <c r="EL93" s="22"/>
      <c r="EM93" s="22"/>
      <c r="EN93" s="22"/>
      <c r="EO93" s="22"/>
      <c r="EP93" s="22"/>
      <c r="EQ93" s="22"/>
      <c r="ER93" s="22"/>
      <c r="ES93" s="43"/>
      <c r="ET93" s="43"/>
      <c r="EU93" s="43"/>
      <c r="EV93" s="43"/>
      <c r="EW93" s="43"/>
      <c r="EX93" s="43"/>
      <c r="EY93" s="43"/>
      <c r="EZ93" s="43"/>
      <c r="FA93" s="43"/>
      <c r="FB93" s="43"/>
      <c r="FC93" s="43"/>
      <c r="FD93" s="43"/>
      <c r="FE93" s="43"/>
      <c r="FF93" s="43"/>
      <c r="FG93" s="43"/>
      <c r="FH93" s="43"/>
      <c r="FI93" s="43"/>
    </row>
    <row r="94" ht="18.0" customHeight="1">
      <c r="A94" s="22" t="s">
        <v>116</v>
      </c>
      <c r="B94" s="43" t="s">
        <v>1628</v>
      </c>
      <c r="C94" s="22" t="s">
        <v>283</v>
      </c>
      <c r="D94" s="22" t="s">
        <v>119</v>
      </c>
      <c r="E94" s="43"/>
      <c r="F94" s="22" t="s">
        <v>1629</v>
      </c>
      <c r="G94" s="22" t="s">
        <v>286</v>
      </c>
      <c r="H94" s="22" t="s">
        <v>1630</v>
      </c>
      <c r="I94" s="43"/>
      <c r="J94" s="43"/>
      <c r="K94" s="22" t="b">
        <v>1</v>
      </c>
      <c r="L94" s="22" t="b">
        <v>1</v>
      </c>
      <c r="M94" s="22" t="b">
        <v>1</v>
      </c>
      <c r="N94" s="22" t="b">
        <v>1</v>
      </c>
      <c r="O94" s="22" t="b">
        <v>1</v>
      </c>
      <c r="P94" s="22" t="b">
        <v>1</v>
      </c>
      <c r="Q94" s="22" t="b">
        <v>0</v>
      </c>
      <c r="R94" s="43"/>
      <c r="S94" s="43" t="s">
        <v>1631</v>
      </c>
      <c r="T94" s="22" t="s">
        <v>1628</v>
      </c>
      <c r="U94" s="22" t="s">
        <v>1628</v>
      </c>
      <c r="V94" s="22" t="s">
        <v>1628</v>
      </c>
      <c r="W94" s="43" t="s">
        <v>1628</v>
      </c>
      <c r="X94" s="43" t="s">
        <v>1628</v>
      </c>
      <c r="Y94" s="43"/>
      <c r="Z94" s="43"/>
      <c r="AA94" s="22">
        <v>2.55209721E8</v>
      </c>
      <c r="AB94" s="22">
        <v>1.666962684E9</v>
      </c>
      <c r="AC94" s="22">
        <v>1.03477930205E11</v>
      </c>
      <c r="AD94" s="22">
        <v>9.9000115953E10</v>
      </c>
      <c r="AE94" s="22" t="s">
        <v>1632</v>
      </c>
      <c r="AF94" s="43"/>
      <c r="AG94" s="43"/>
      <c r="AH94" s="43" t="s">
        <v>1629</v>
      </c>
      <c r="AI94" s="22" t="s">
        <v>1633</v>
      </c>
      <c r="AJ94" s="22" t="s">
        <v>1634</v>
      </c>
      <c r="AK94" s="22" t="s">
        <v>1635</v>
      </c>
      <c r="AL94" s="22" t="s">
        <v>1636</v>
      </c>
      <c r="AM94" s="22" t="s">
        <v>1637</v>
      </c>
      <c r="AN94" s="43"/>
      <c r="AO94" s="43"/>
      <c r="AP94" s="46" t="s">
        <v>1638</v>
      </c>
      <c r="AQ94" s="46" t="s">
        <v>1639</v>
      </c>
      <c r="AR94" s="46" t="s">
        <v>1640</v>
      </c>
      <c r="AS94" s="43"/>
      <c r="AT94" s="46" t="s">
        <v>1641</v>
      </c>
      <c r="AU94" s="43"/>
      <c r="AV94" s="43"/>
      <c r="AW94" s="22" t="s">
        <v>1642</v>
      </c>
      <c r="AX94" s="22" t="s">
        <v>1634</v>
      </c>
      <c r="AY94" s="22" t="s">
        <v>1643</v>
      </c>
      <c r="AZ94" s="22" t="s">
        <v>1644</v>
      </c>
      <c r="BA94" s="22" t="s">
        <v>1645</v>
      </c>
      <c r="BB94" s="43"/>
      <c r="BC94" s="43"/>
      <c r="BD94" s="43" t="s">
        <v>301</v>
      </c>
      <c r="BE94" s="43" t="s">
        <v>130</v>
      </c>
      <c r="BF94" s="22" t="s">
        <v>131</v>
      </c>
      <c r="BG94" s="22" t="s">
        <v>132</v>
      </c>
      <c r="BH94" s="22" t="s">
        <v>132</v>
      </c>
      <c r="BI94" s="22" t="s">
        <v>132</v>
      </c>
      <c r="BJ94" s="43"/>
      <c r="BK94" s="43"/>
      <c r="BL94" s="22" t="s">
        <v>1646</v>
      </c>
      <c r="BM94" s="22">
        <v>3.3043E9</v>
      </c>
      <c r="BN94" s="22" t="s">
        <v>133</v>
      </c>
      <c r="BO94" s="46" t="s">
        <v>1647</v>
      </c>
      <c r="BP94" s="22" t="s">
        <v>303</v>
      </c>
      <c r="BQ94" s="43"/>
      <c r="BR94" s="43"/>
      <c r="BS94" s="22" t="s">
        <v>1648</v>
      </c>
      <c r="BT94" s="43"/>
      <c r="BU94" s="22" t="s">
        <v>1649</v>
      </c>
      <c r="BV94" s="22" t="s">
        <v>1650</v>
      </c>
      <c r="BW94" s="22" t="s">
        <v>1651</v>
      </c>
      <c r="BX94" s="22">
        <v>40.0</v>
      </c>
      <c r="BY94" s="22" t="s">
        <v>139</v>
      </c>
      <c r="BZ94" s="43"/>
      <c r="CA94" s="22" t="s">
        <v>726</v>
      </c>
      <c r="CB94" s="22" t="s">
        <v>307</v>
      </c>
      <c r="CC94" s="44" t="s">
        <v>1652</v>
      </c>
      <c r="CD94" s="43"/>
      <c r="CE94" s="43"/>
      <c r="CF94" s="45" t="s">
        <v>401</v>
      </c>
      <c r="CG94" s="43"/>
      <c r="CH94" s="43"/>
      <c r="CI94" s="43"/>
      <c r="CJ94" s="43"/>
      <c r="CK94" s="43"/>
      <c r="CL94" s="43"/>
      <c r="CM94" s="49">
        <f>IFERROR(VLOOKUP(B94,CC!A:D,4,0)," ")</f>
        <v>49.5</v>
      </c>
      <c r="CN94" s="22" t="s">
        <v>1653</v>
      </c>
      <c r="CO94" s="22"/>
      <c r="CP94" s="22" t="s">
        <v>1654</v>
      </c>
      <c r="CQ94" s="22">
        <v>30.0</v>
      </c>
      <c r="CR94" s="43"/>
      <c r="CS94" s="22">
        <v>1.0</v>
      </c>
      <c r="CT94" s="22" t="s">
        <v>145</v>
      </c>
      <c r="CU94" s="43"/>
      <c r="CV94" s="43"/>
      <c r="CW94" s="43"/>
      <c r="CX94" s="43"/>
      <c r="CY94" s="43" t="b">
        <v>0</v>
      </c>
      <c r="CZ94" s="43" t="b">
        <v>0</v>
      </c>
      <c r="DA94" s="43" t="b">
        <v>0</v>
      </c>
      <c r="DB94" s="43" t="b">
        <v>0</v>
      </c>
      <c r="DC94" s="43"/>
      <c r="DD94" s="43"/>
      <c r="DE94" s="43"/>
      <c r="DF94" s="43"/>
      <c r="DG94" s="43"/>
      <c r="DH94" s="43"/>
      <c r="DI94" s="43"/>
      <c r="DJ94" s="22">
        <f>IFERROR(VLOOKUP($B94,'Лист4'!$D:$AI,27,0)," ")</f>
        <v>9</v>
      </c>
      <c r="DK94" s="22">
        <f>IFERROR(VLOOKUP($B94,'Лист4'!$D:$AI,28,0)," ")</f>
        <v>15</v>
      </c>
      <c r="DL94" s="22">
        <f>IFERROR(VLOOKUP($B94,'Лист4'!$D:$AI,29,0)," ")</f>
        <v>9</v>
      </c>
      <c r="DM94" s="22">
        <f t="shared" si="1"/>
        <v>1215</v>
      </c>
      <c r="DN94" s="22">
        <f>IFERROR(VLOOKUP($B94,'Лист4'!$D:$AI,32,0)," ")</f>
        <v>0.082</v>
      </c>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22"/>
      <c r="EN94" s="22"/>
      <c r="EO94" s="22"/>
      <c r="EP94" s="22"/>
      <c r="EQ94" s="22"/>
      <c r="ER94" s="22"/>
      <c r="ES94" s="43"/>
      <c r="ET94" s="43"/>
      <c r="EU94" s="43"/>
      <c r="EV94" s="43"/>
      <c r="EW94" s="43"/>
      <c r="EX94" s="43"/>
      <c r="EY94" s="43"/>
      <c r="EZ94" s="43"/>
      <c r="FA94" s="43"/>
      <c r="FB94" s="43"/>
      <c r="FC94" s="43"/>
      <c r="FD94" s="43"/>
      <c r="FE94" s="43"/>
      <c r="FF94" s="43"/>
      <c r="FG94" s="43"/>
      <c r="FH94" s="43"/>
      <c r="FI94" s="43"/>
    </row>
    <row r="95" ht="18.0" customHeight="1">
      <c r="A95" s="22" t="s">
        <v>116</v>
      </c>
      <c r="B95" s="43" t="s">
        <v>1655</v>
      </c>
      <c r="C95" s="22" t="s">
        <v>283</v>
      </c>
      <c r="D95" s="22" t="s">
        <v>187</v>
      </c>
      <c r="E95" s="43" t="s">
        <v>1656</v>
      </c>
      <c r="F95" s="22" t="s">
        <v>1657</v>
      </c>
      <c r="G95" s="22" t="s">
        <v>286</v>
      </c>
      <c r="H95" s="22" t="s">
        <v>1630</v>
      </c>
      <c r="I95" s="43"/>
      <c r="J95" s="43"/>
      <c r="K95" s="22" t="b">
        <v>1</v>
      </c>
      <c r="L95" s="22" t="b">
        <v>1</v>
      </c>
      <c r="M95" s="22" t="b">
        <v>1</v>
      </c>
      <c r="N95" s="22" t="b">
        <v>1</v>
      </c>
      <c r="O95" s="22" t="b">
        <v>0</v>
      </c>
      <c r="P95" s="22" t="b">
        <v>0</v>
      </c>
      <c r="Q95" s="22" t="b">
        <v>0</v>
      </c>
      <c r="R95" s="43"/>
      <c r="S95" s="43" t="s">
        <v>1658</v>
      </c>
      <c r="T95" s="22" t="s">
        <v>1655</v>
      </c>
      <c r="U95" s="22" t="s">
        <v>1655</v>
      </c>
      <c r="V95" s="22" t="s">
        <v>1655</v>
      </c>
      <c r="W95" s="43"/>
      <c r="X95" s="43"/>
      <c r="Y95" s="43"/>
      <c r="Z95" s="43"/>
      <c r="AA95" s="22">
        <v>4.00501943E8</v>
      </c>
      <c r="AB95" s="22">
        <v>2.071319159E9</v>
      </c>
      <c r="AC95" s="22">
        <v>4.623332199E9</v>
      </c>
      <c r="AD95" s="22"/>
      <c r="AE95" s="22"/>
      <c r="AF95" s="43"/>
      <c r="AG95" s="43"/>
      <c r="AH95" s="43" t="s">
        <v>1657</v>
      </c>
      <c r="AI95" s="22" t="s">
        <v>1659</v>
      </c>
      <c r="AJ95" s="22" t="s">
        <v>1660</v>
      </c>
      <c r="AK95" s="22" t="s">
        <v>1661</v>
      </c>
      <c r="AL95" s="43"/>
      <c r="AM95" s="43"/>
      <c r="AN95" s="43"/>
      <c r="AO95" s="43"/>
      <c r="AP95" s="46" t="s">
        <v>1662</v>
      </c>
      <c r="AQ95" s="46" t="s">
        <v>1663</v>
      </c>
      <c r="AR95" s="46" t="s">
        <v>1664</v>
      </c>
      <c r="AS95" s="43"/>
      <c r="AT95" s="43"/>
      <c r="AU95" s="43"/>
      <c r="AV95" s="43"/>
      <c r="AW95" s="22" t="s">
        <v>1642</v>
      </c>
      <c r="AX95" s="22" t="s">
        <v>1660</v>
      </c>
      <c r="AY95" s="22" t="s">
        <v>1643</v>
      </c>
      <c r="AZ95" s="43"/>
      <c r="BA95" s="43"/>
      <c r="BB95" s="43"/>
      <c r="BC95" s="43"/>
      <c r="BD95" s="43" t="s">
        <v>301</v>
      </c>
      <c r="BE95" s="43" t="s">
        <v>130</v>
      </c>
      <c r="BF95" s="22" t="s">
        <v>131</v>
      </c>
      <c r="BG95" s="22" t="s">
        <v>132</v>
      </c>
      <c r="BH95" s="22" t="s">
        <v>132</v>
      </c>
      <c r="BI95" s="22" t="s">
        <v>132</v>
      </c>
      <c r="BJ95" s="43"/>
      <c r="BK95" s="43"/>
      <c r="BL95" s="22" t="s">
        <v>1665</v>
      </c>
      <c r="BM95" s="22"/>
      <c r="BN95" s="22" t="s">
        <v>133</v>
      </c>
      <c r="BO95" s="22"/>
      <c r="BP95" s="22" t="s">
        <v>303</v>
      </c>
      <c r="BQ95" s="43"/>
      <c r="BR95" s="43"/>
      <c r="BS95" s="22" t="s">
        <v>1648</v>
      </c>
      <c r="BT95" s="43"/>
      <c r="BU95" s="22" t="s">
        <v>1649</v>
      </c>
      <c r="BV95" s="22" t="s">
        <v>1650</v>
      </c>
      <c r="BW95" s="22" t="s">
        <v>1651</v>
      </c>
      <c r="BX95" s="22"/>
      <c r="BY95" s="58" t="s">
        <v>1666</v>
      </c>
      <c r="BZ95" s="58"/>
      <c r="CA95" s="22" t="s">
        <v>355</v>
      </c>
      <c r="CB95" s="22" t="s">
        <v>307</v>
      </c>
      <c r="CC95" s="45"/>
      <c r="CD95" s="43"/>
      <c r="CE95" s="43"/>
      <c r="CF95" s="45"/>
      <c r="CG95" s="43"/>
      <c r="CH95" s="43"/>
      <c r="CI95" s="43"/>
      <c r="CJ95" s="43"/>
      <c r="CK95" s="43"/>
      <c r="CL95" s="43"/>
      <c r="CM95" s="49">
        <f>IFERROR(VLOOKUP(B95,CC!A:D,4,0)," ")</f>
        <v>99</v>
      </c>
      <c r="CN95" s="22" t="s">
        <v>1653</v>
      </c>
      <c r="CO95" s="22"/>
      <c r="CP95" s="22" t="s">
        <v>1654</v>
      </c>
      <c r="CQ95" s="22">
        <v>30.0</v>
      </c>
      <c r="CR95" s="43"/>
      <c r="CS95" s="22">
        <v>1.0</v>
      </c>
      <c r="CT95" s="22" t="s">
        <v>145</v>
      </c>
      <c r="CU95" s="43"/>
      <c r="CV95" s="43"/>
      <c r="CW95" s="43"/>
      <c r="CX95" s="43"/>
      <c r="CY95" s="43" t="b">
        <v>0</v>
      </c>
      <c r="CZ95" s="43" t="b">
        <v>0</v>
      </c>
      <c r="DA95" s="43" t="b">
        <v>0</v>
      </c>
      <c r="DB95" s="43" t="b">
        <v>0</v>
      </c>
      <c r="DC95" s="43"/>
      <c r="DD95" s="43"/>
      <c r="DE95" s="43"/>
      <c r="DF95" s="43"/>
      <c r="DG95" s="43"/>
      <c r="DH95" s="43"/>
      <c r="DI95" s="43"/>
      <c r="DJ95" s="22">
        <f>IFERROR(VLOOKUP($B95,'Лист4'!$D:$AI,27,0)," ")</f>
        <v>9</v>
      </c>
      <c r="DK95" s="22">
        <f>IFERROR(VLOOKUP($B95,'Лист4'!$D:$AI,28,0)," ")</f>
        <v>15</v>
      </c>
      <c r="DL95" s="22">
        <f>IFERROR(VLOOKUP($B95,'Лист4'!$D:$AI,29,0)," ")</f>
        <v>9</v>
      </c>
      <c r="DM95" s="22">
        <f t="shared" si="1"/>
        <v>1215</v>
      </c>
      <c r="DN95" s="22">
        <f>IFERROR(VLOOKUP($B95,'Лист4'!$D:$AI,32,0)," ")</f>
        <v>0.082</v>
      </c>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22"/>
      <c r="EN95" s="22"/>
      <c r="EO95" s="22"/>
      <c r="EP95" s="22"/>
      <c r="EQ95" s="22"/>
      <c r="ER95" s="22"/>
      <c r="ES95" s="43"/>
      <c r="ET95" s="43"/>
      <c r="EU95" s="43"/>
      <c r="EV95" s="43"/>
      <c r="EW95" s="43"/>
      <c r="EX95" s="43"/>
      <c r="EY95" s="43"/>
      <c r="EZ95" s="43"/>
      <c r="FA95" s="43"/>
      <c r="FB95" s="43"/>
      <c r="FC95" s="43"/>
      <c r="FD95" s="43"/>
      <c r="FE95" s="43"/>
      <c r="FF95" s="43"/>
      <c r="FG95" s="43"/>
      <c r="FH95" s="43"/>
      <c r="FI95" s="43"/>
    </row>
    <row r="96" ht="18.0" customHeight="1">
      <c r="A96" s="22" t="s">
        <v>116</v>
      </c>
      <c r="B96" s="43" t="s">
        <v>1667</v>
      </c>
      <c r="C96" s="22" t="s">
        <v>283</v>
      </c>
      <c r="D96" s="22" t="s">
        <v>119</v>
      </c>
      <c r="E96" s="43"/>
      <c r="F96" s="22" t="s">
        <v>1668</v>
      </c>
      <c r="G96" s="22" t="s">
        <v>361</v>
      </c>
      <c r="H96" s="22" t="s">
        <v>662</v>
      </c>
      <c r="I96" s="43"/>
      <c r="J96" s="43"/>
      <c r="K96" s="22" t="b">
        <v>1</v>
      </c>
      <c r="L96" s="22" t="b">
        <v>1</v>
      </c>
      <c r="M96" s="22" t="b">
        <v>1</v>
      </c>
      <c r="N96" s="22" t="b">
        <v>1</v>
      </c>
      <c r="O96" s="22" t="b">
        <v>0</v>
      </c>
      <c r="P96" s="22" t="b">
        <v>0</v>
      </c>
      <c r="Q96" s="22" t="b">
        <v>0</v>
      </c>
      <c r="R96" s="43"/>
      <c r="S96" s="43" t="s">
        <v>1669</v>
      </c>
      <c r="T96" s="22" t="s">
        <v>1667</v>
      </c>
      <c r="U96" s="22" t="s">
        <v>1667</v>
      </c>
      <c r="V96" s="22" t="s">
        <v>1667</v>
      </c>
      <c r="W96" s="43"/>
      <c r="X96" s="43"/>
      <c r="Y96" s="43"/>
      <c r="Z96" s="43"/>
      <c r="AA96" s="22">
        <v>1.56995682E8</v>
      </c>
      <c r="AB96" s="22">
        <v>9.46980875E8</v>
      </c>
      <c r="AC96" s="22">
        <v>4.663002727E9</v>
      </c>
      <c r="AD96" s="22"/>
      <c r="AE96" s="22"/>
      <c r="AF96" s="43"/>
      <c r="AG96" s="43"/>
      <c r="AH96" s="43" t="s">
        <v>1668</v>
      </c>
      <c r="AI96" s="22" t="s">
        <v>1670</v>
      </c>
      <c r="AJ96" s="22" t="s">
        <v>1671</v>
      </c>
      <c r="AK96" s="22" t="s">
        <v>1672</v>
      </c>
      <c r="AL96" s="43"/>
      <c r="AM96" s="43"/>
      <c r="AN96" s="43"/>
      <c r="AO96" s="43"/>
      <c r="AP96" s="46" t="s">
        <v>1673</v>
      </c>
      <c r="AQ96" s="46" t="s">
        <v>1674</v>
      </c>
      <c r="AR96" s="46" t="s">
        <v>1675</v>
      </c>
      <c r="AS96" s="43"/>
      <c r="AT96" s="43"/>
      <c r="AU96" s="43"/>
      <c r="AV96" s="43"/>
      <c r="AW96" s="22" t="s">
        <v>669</v>
      </c>
      <c r="AX96" s="22" t="s">
        <v>1671</v>
      </c>
      <c r="AY96" s="22" t="s">
        <v>670</v>
      </c>
      <c r="AZ96" s="43"/>
      <c r="BA96" s="43"/>
      <c r="BB96" s="43"/>
      <c r="BC96" s="43"/>
      <c r="BD96" s="43" t="s">
        <v>129</v>
      </c>
      <c r="BE96" s="43" t="s">
        <v>243</v>
      </c>
      <c r="BF96" s="22" t="s">
        <v>131</v>
      </c>
      <c r="BG96" s="22" t="s">
        <v>132</v>
      </c>
      <c r="BH96" s="22" t="s">
        <v>132</v>
      </c>
      <c r="BI96" s="22" t="s">
        <v>132</v>
      </c>
      <c r="BJ96" s="43"/>
      <c r="BK96" s="43"/>
      <c r="BL96" s="22">
        <v>4.63020514234E12</v>
      </c>
      <c r="BM96" s="22">
        <v>2.106909808E9</v>
      </c>
      <c r="BN96" s="22" t="s">
        <v>1676</v>
      </c>
      <c r="BO96" s="46" t="s">
        <v>1677</v>
      </c>
      <c r="BP96" s="22" t="s">
        <v>245</v>
      </c>
      <c r="BQ96" s="43"/>
      <c r="BR96" s="43"/>
      <c r="BS96" s="22" t="s">
        <v>1678</v>
      </c>
      <c r="BT96" s="43"/>
      <c r="BU96" s="22" t="s">
        <v>1679</v>
      </c>
      <c r="BV96" s="43" t="s">
        <v>490</v>
      </c>
      <c r="BW96" s="22" t="s">
        <v>1680</v>
      </c>
      <c r="BX96" s="22">
        <v>60.0</v>
      </c>
      <c r="BY96" s="22" t="s">
        <v>492</v>
      </c>
      <c r="BZ96" s="22"/>
      <c r="CA96" s="22" t="s">
        <v>355</v>
      </c>
      <c r="CB96" s="22" t="s">
        <v>307</v>
      </c>
      <c r="CC96" s="44" t="s">
        <v>1681</v>
      </c>
      <c r="CD96" s="43"/>
      <c r="CE96" s="43"/>
      <c r="CF96" s="45" t="s">
        <v>1682</v>
      </c>
      <c r="CG96" s="43"/>
      <c r="CH96" s="43"/>
      <c r="CI96" s="43"/>
      <c r="CJ96" s="43"/>
      <c r="CK96" s="43"/>
      <c r="CL96" s="43"/>
      <c r="CM96" s="49">
        <f>IFERROR(VLOOKUP(B96,CC!A:D,4,0)," ")</f>
        <v>252.5</v>
      </c>
      <c r="CN96" s="22" t="s">
        <v>494</v>
      </c>
      <c r="CO96" s="22"/>
      <c r="CP96" s="22" t="s">
        <v>495</v>
      </c>
      <c r="CQ96" s="22">
        <v>60.0</v>
      </c>
      <c r="CR96" s="43"/>
      <c r="CS96" s="22">
        <v>5.0</v>
      </c>
      <c r="CT96" s="22" t="s">
        <v>496</v>
      </c>
      <c r="CU96" s="43"/>
      <c r="CV96" s="43"/>
      <c r="CW96" s="43"/>
      <c r="CX96" s="43"/>
      <c r="CY96" s="43" t="b">
        <v>0</v>
      </c>
      <c r="CZ96" s="43" t="b">
        <v>0</v>
      </c>
      <c r="DA96" s="43" t="b">
        <v>0</v>
      </c>
      <c r="DB96" s="43" t="b">
        <v>0</v>
      </c>
      <c r="DC96" s="43"/>
      <c r="DD96" s="43"/>
      <c r="DE96" s="43"/>
      <c r="DF96" s="43"/>
      <c r="DG96" s="43"/>
      <c r="DH96" s="43"/>
      <c r="DI96" s="43"/>
      <c r="DJ96" s="22">
        <f>IFERROR(VLOOKUP($B96,'Лист4'!$D:$AI,27,0)," ")</f>
        <v>12</v>
      </c>
      <c r="DK96" s="22">
        <f>IFERROR(VLOOKUP($B96,'Лист4'!$D:$AI,28,0)," ")</f>
        <v>6</v>
      </c>
      <c r="DL96" s="22">
        <f>IFERROR(VLOOKUP($B96,'Лист4'!$D:$AI,29,0)," ")</f>
        <v>12</v>
      </c>
      <c r="DM96" s="22">
        <f t="shared" si="1"/>
        <v>864</v>
      </c>
      <c r="DN96" s="22">
        <f>IFERROR(VLOOKUP($B96,'Лист4'!$D:$AI,32,0)," ")</f>
        <v>0.087</v>
      </c>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43"/>
      <c r="ET96" s="43"/>
      <c r="EU96" s="43"/>
      <c r="EV96" s="43"/>
      <c r="EW96" s="43"/>
      <c r="EX96" s="43"/>
      <c r="EY96" s="43"/>
      <c r="EZ96" s="43"/>
      <c r="FA96" s="43"/>
      <c r="FB96" s="43"/>
      <c r="FC96" s="43"/>
      <c r="FD96" s="43"/>
      <c r="FE96" s="43"/>
      <c r="FF96" s="43"/>
      <c r="FG96" s="43"/>
      <c r="FH96" s="43"/>
      <c r="FI96" s="43"/>
    </row>
    <row r="97" ht="18.0" customHeight="1">
      <c r="A97" s="22" t="s">
        <v>116</v>
      </c>
      <c r="B97" s="43" t="s">
        <v>1683</v>
      </c>
      <c r="C97" s="22" t="s">
        <v>283</v>
      </c>
      <c r="D97" s="22" t="s">
        <v>119</v>
      </c>
      <c r="E97" s="43"/>
      <c r="F97" s="22" t="s">
        <v>1684</v>
      </c>
      <c r="G97" s="22" t="s">
        <v>361</v>
      </c>
      <c r="H97" s="22" t="s">
        <v>662</v>
      </c>
      <c r="I97" s="43"/>
      <c r="J97" s="43"/>
      <c r="K97" s="22" t="b">
        <v>1</v>
      </c>
      <c r="L97" s="22" t="b">
        <v>1</v>
      </c>
      <c r="M97" s="22" t="b">
        <v>1</v>
      </c>
      <c r="N97" s="22" t="b">
        <v>1</v>
      </c>
      <c r="O97" s="22" t="b">
        <v>1</v>
      </c>
      <c r="P97" s="22" t="b">
        <v>0</v>
      </c>
      <c r="Q97" s="22" t="b">
        <v>0</v>
      </c>
      <c r="R97" s="43"/>
      <c r="S97" s="43" t="s">
        <v>1685</v>
      </c>
      <c r="T97" s="22" t="s">
        <v>1683</v>
      </c>
      <c r="U97" s="22" t="s">
        <v>1683</v>
      </c>
      <c r="V97" s="22" t="s">
        <v>1683</v>
      </c>
      <c r="W97" s="43" t="s">
        <v>1683</v>
      </c>
      <c r="X97" s="43"/>
      <c r="Y97" s="43"/>
      <c r="Z97" s="43"/>
      <c r="AA97" s="22">
        <v>2.71462078E8</v>
      </c>
      <c r="AB97" s="22">
        <v>1.731455142E9</v>
      </c>
      <c r="AC97" s="22">
        <v>1.0358214911E11</v>
      </c>
      <c r="AD97" s="22">
        <v>9.9000118346E10</v>
      </c>
      <c r="AE97" s="22"/>
      <c r="AF97" s="43"/>
      <c r="AG97" s="43"/>
      <c r="AH97" s="43" t="s">
        <v>1684</v>
      </c>
      <c r="AI97" s="22" t="s">
        <v>1686</v>
      </c>
      <c r="AJ97" s="22" t="s">
        <v>1687</v>
      </c>
      <c r="AK97" s="22" t="s">
        <v>1688</v>
      </c>
      <c r="AL97" s="22" t="s">
        <v>1689</v>
      </c>
      <c r="AM97" s="43"/>
      <c r="AN97" s="43"/>
      <c r="AO97" s="43"/>
      <c r="AP97" s="46" t="s">
        <v>1690</v>
      </c>
      <c r="AQ97" s="46" t="s">
        <v>1691</v>
      </c>
      <c r="AR97" s="46" t="s">
        <v>1692</v>
      </c>
      <c r="AS97" s="46" t="s">
        <v>1693</v>
      </c>
      <c r="AT97" s="43"/>
      <c r="AU97" s="43"/>
      <c r="AV97" s="43"/>
      <c r="AW97" s="22" t="s">
        <v>669</v>
      </c>
      <c r="AX97" s="22" t="s">
        <v>1687</v>
      </c>
      <c r="AY97" s="22" t="s">
        <v>670</v>
      </c>
      <c r="AZ97" s="22" t="s">
        <v>373</v>
      </c>
      <c r="BA97" s="43"/>
      <c r="BB97" s="43"/>
      <c r="BC97" s="43"/>
      <c r="BD97" s="43" t="s">
        <v>129</v>
      </c>
      <c r="BE97" s="43" t="s">
        <v>243</v>
      </c>
      <c r="BF97" s="22" t="s">
        <v>131</v>
      </c>
      <c r="BG97" s="22" t="s">
        <v>132</v>
      </c>
      <c r="BH97" s="22" t="s">
        <v>132</v>
      </c>
      <c r="BI97" s="22" t="s">
        <v>132</v>
      </c>
      <c r="BJ97" s="43"/>
      <c r="BK97" s="43"/>
      <c r="BL97" s="22">
        <v>4.673748455348E12</v>
      </c>
      <c r="BM97" s="22">
        <v>2.106909808E9</v>
      </c>
      <c r="BN97" s="22" t="s">
        <v>1694</v>
      </c>
      <c r="BO97" s="44" t="s">
        <v>1695</v>
      </c>
      <c r="BP97" s="22" t="s">
        <v>303</v>
      </c>
      <c r="BQ97" s="43"/>
      <c r="BR97" s="43"/>
      <c r="BS97" s="22" t="s">
        <v>1696</v>
      </c>
      <c r="BT97" s="43"/>
      <c r="BU97" s="22" t="s">
        <v>1697</v>
      </c>
      <c r="BV97" s="22" t="s">
        <v>1698</v>
      </c>
      <c r="BW97" s="22" t="s">
        <v>1699</v>
      </c>
      <c r="BX97" s="22">
        <v>60.0</v>
      </c>
      <c r="BY97" s="22" t="s">
        <v>492</v>
      </c>
      <c r="BZ97" s="43"/>
      <c r="CA97" s="22" t="s">
        <v>355</v>
      </c>
      <c r="CB97" s="22" t="s">
        <v>307</v>
      </c>
      <c r="CC97" s="45" t="s">
        <v>1700</v>
      </c>
      <c r="CD97" s="43"/>
      <c r="CE97" s="43"/>
      <c r="CF97" s="45"/>
      <c r="CG97" s="43"/>
      <c r="CH97" s="43"/>
      <c r="CI97" s="43"/>
      <c r="CJ97" s="43"/>
      <c r="CK97" s="43"/>
      <c r="CL97" s="43"/>
      <c r="CM97" s="49">
        <f>IFERROR(VLOOKUP(B97,CC!A:D,4,0)," ")</f>
        <v>170</v>
      </c>
      <c r="CN97" s="22" t="s">
        <v>1701</v>
      </c>
      <c r="CO97" s="22"/>
      <c r="CP97" s="22" t="s">
        <v>1702</v>
      </c>
      <c r="CQ97" s="22">
        <v>60.0</v>
      </c>
      <c r="CR97" s="43"/>
      <c r="CS97" s="22">
        <v>2.0</v>
      </c>
      <c r="CT97" s="22" t="s">
        <v>145</v>
      </c>
      <c r="CU97" s="43"/>
      <c r="CV97" s="43"/>
      <c r="CW97" s="43"/>
      <c r="CX97" s="43"/>
      <c r="CY97" s="43" t="b">
        <v>0</v>
      </c>
      <c r="CZ97" s="43" t="b">
        <v>0</v>
      </c>
      <c r="DA97" s="43" t="b">
        <v>0</v>
      </c>
      <c r="DB97" s="43" t="b">
        <v>0</v>
      </c>
      <c r="DC97" s="43"/>
      <c r="DD97" s="43"/>
      <c r="DE97" s="43"/>
      <c r="DF97" s="43"/>
      <c r="DG97" s="43"/>
      <c r="DH97" s="43"/>
      <c r="DI97" s="43"/>
      <c r="DJ97" s="22">
        <f>IFERROR(VLOOKUP($B97,'Лист4'!$D:$AI,27,0)," ")</f>
        <v>8</v>
      </c>
      <c r="DK97" s="22">
        <f>IFERROR(VLOOKUP($B97,'Лист4'!$D:$AI,28,0)," ")</f>
        <v>4</v>
      </c>
      <c r="DL97" s="22">
        <f>IFERROR(VLOOKUP($B97,'Лист4'!$D:$AI,29,0)," ")</f>
        <v>8</v>
      </c>
      <c r="DM97" s="22">
        <f t="shared" si="1"/>
        <v>256</v>
      </c>
      <c r="DN97" s="22">
        <f>IFERROR(VLOOKUP($B97,'Лист4'!$D:$AI,32,0)," ")</f>
        <v>0.048</v>
      </c>
      <c r="DO97" s="22"/>
      <c r="DP97" s="22"/>
      <c r="DQ97" s="22"/>
      <c r="DR97" s="22"/>
      <c r="DS97" s="22"/>
      <c r="DT97" s="22"/>
      <c r="DU97" s="22"/>
      <c r="DV97" s="22"/>
      <c r="DW97" s="22"/>
      <c r="DX97" s="22"/>
      <c r="DY97" s="22"/>
      <c r="DZ97" s="22"/>
      <c r="EA97" s="22"/>
      <c r="EB97" s="22"/>
      <c r="EC97" s="22"/>
      <c r="ED97" s="22"/>
      <c r="EE97" s="22"/>
      <c r="EF97" s="22"/>
      <c r="EG97" s="22"/>
      <c r="EH97" s="22"/>
      <c r="EI97" s="22"/>
      <c r="EJ97" s="22"/>
      <c r="EK97" s="22"/>
      <c r="EL97" s="22"/>
      <c r="EM97" s="22"/>
      <c r="EN97" s="22"/>
      <c r="EO97" s="22"/>
      <c r="EP97" s="22"/>
      <c r="EQ97" s="22"/>
      <c r="ER97" s="22"/>
      <c r="ES97" s="43"/>
      <c r="ET97" s="43"/>
      <c r="EU97" s="43"/>
      <c r="EV97" s="43"/>
      <c r="EW97" s="43"/>
      <c r="EX97" s="43"/>
      <c r="EY97" s="43"/>
      <c r="EZ97" s="43"/>
      <c r="FA97" s="43"/>
      <c r="FB97" s="43"/>
      <c r="FC97" s="43"/>
      <c r="FD97" s="43"/>
      <c r="FE97" s="43"/>
      <c r="FF97" s="43"/>
      <c r="FG97" s="43"/>
      <c r="FH97" s="43"/>
      <c r="FI97" s="43"/>
    </row>
    <row r="98" ht="18.0" customHeight="1">
      <c r="A98" s="22" t="s">
        <v>116</v>
      </c>
      <c r="B98" s="43" t="s">
        <v>1703</v>
      </c>
      <c r="C98" s="22" t="s">
        <v>283</v>
      </c>
      <c r="D98" s="22" t="s">
        <v>187</v>
      </c>
      <c r="E98" s="43" t="s">
        <v>188</v>
      </c>
      <c r="F98" s="22" t="s">
        <v>1704</v>
      </c>
      <c r="G98" s="22" t="s">
        <v>361</v>
      </c>
      <c r="H98" s="22" t="s">
        <v>662</v>
      </c>
      <c r="I98" s="43"/>
      <c r="J98" s="43"/>
      <c r="K98" s="22" t="b">
        <v>1</v>
      </c>
      <c r="L98" s="22" t="b">
        <v>1</v>
      </c>
      <c r="M98" s="22" t="b">
        <v>1</v>
      </c>
      <c r="N98" s="22" t="b">
        <v>1</v>
      </c>
      <c r="O98" s="22" t="b">
        <v>0</v>
      </c>
      <c r="P98" s="22" t="b">
        <v>0</v>
      </c>
      <c r="Q98" s="22" t="b">
        <v>0</v>
      </c>
      <c r="R98" s="43"/>
      <c r="S98" s="43" t="s">
        <v>1705</v>
      </c>
      <c r="T98" s="22" t="s">
        <v>1703</v>
      </c>
      <c r="U98" s="22" t="s">
        <v>1703</v>
      </c>
      <c r="V98" s="22" t="s">
        <v>1703</v>
      </c>
      <c r="W98" s="43"/>
      <c r="X98" s="43"/>
      <c r="Y98" s="43"/>
      <c r="Z98" s="43"/>
      <c r="AA98" s="22">
        <v>1.65241082E8</v>
      </c>
      <c r="AB98" s="22">
        <v>1.032691496E9</v>
      </c>
      <c r="AC98" s="22">
        <v>1.02054388448E11</v>
      </c>
      <c r="AD98" s="22"/>
      <c r="AE98" s="22"/>
      <c r="AF98" s="43"/>
      <c r="AG98" s="43"/>
      <c r="AH98" s="43" t="s">
        <v>1704</v>
      </c>
      <c r="AI98" s="22" t="s">
        <v>1706</v>
      </c>
      <c r="AJ98" s="22" t="s">
        <v>665</v>
      </c>
      <c r="AK98" s="22" t="s">
        <v>665</v>
      </c>
      <c r="AL98" s="43"/>
      <c r="AM98" s="43"/>
      <c r="AN98" s="43"/>
      <c r="AO98" s="43"/>
      <c r="AP98" s="46" t="s">
        <v>1707</v>
      </c>
      <c r="AQ98" s="46" t="s">
        <v>1708</v>
      </c>
      <c r="AR98" s="46" t="s">
        <v>1709</v>
      </c>
      <c r="AS98" s="43"/>
      <c r="AT98" s="43"/>
      <c r="AU98" s="43"/>
      <c r="AV98" s="43"/>
      <c r="AW98" s="22" t="s">
        <v>669</v>
      </c>
      <c r="AX98" s="22" t="s">
        <v>665</v>
      </c>
      <c r="AY98" s="22" t="s">
        <v>670</v>
      </c>
      <c r="AZ98" s="43"/>
      <c r="BA98" s="43"/>
      <c r="BB98" s="43"/>
      <c r="BC98" s="43"/>
      <c r="BD98" s="43" t="s">
        <v>129</v>
      </c>
      <c r="BE98" s="43" t="s">
        <v>243</v>
      </c>
      <c r="BF98" s="22" t="s">
        <v>131</v>
      </c>
      <c r="BG98" s="22" t="s">
        <v>132</v>
      </c>
      <c r="BH98" s="22" t="s">
        <v>132</v>
      </c>
      <c r="BI98" s="22" t="s">
        <v>132</v>
      </c>
      <c r="BJ98" s="43"/>
      <c r="BK98" s="43"/>
      <c r="BL98" s="22">
        <v>4.67016725305E12</v>
      </c>
      <c r="BM98" s="22">
        <v>2.106909808E9</v>
      </c>
      <c r="BN98" s="22" t="s">
        <v>1710</v>
      </c>
      <c r="BO98" s="22"/>
      <c r="BP98" s="22" t="s">
        <v>245</v>
      </c>
      <c r="BQ98" s="43"/>
      <c r="BR98" s="43"/>
      <c r="BS98" s="22" t="s">
        <v>1711</v>
      </c>
      <c r="BT98" s="43"/>
      <c r="BU98" s="22" t="s">
        <v>1712</v>
      </c>
      <c r="BV98" s="43" t="s">
        <v>965</v>
      </c>
      <c r="BW98" s="22" t="s">
        <v>1713</v>
      </c>
      <c r="BX98" s="22">
        <v>120.0</v>
      </c>
      <c r="BY98" s="22" t="s">
        <v>492</v>
      </c>
      <c r="BZ98" s="43"/>
      <c r="CA98" s="22" t="s">
        <v>355</v>
      </c>
      <c r="CB98" s="22" t="s">
        <v>307</v>
      </c>
      <c r="CC98" s="44" t="s">
        <v>1714</v>
      </c>
      <c r="CD98" s="43"/>
      <c r="CE98" s="43"/>
      <c r="CF98" s="45" t="s">
        <v>1715</v>
      </c>
      <c r="CG98" s="43"/>
      <c r="CH98" s="43"/>
      <c r="CI98" s="43"/>
      <c r="CJ98" s="43"/>
      <c r="CK98" s="43"/>
      <c r="CL98" s="43"/>
      <c r="CM98" s="49">
        <f>IFERROR(VLOOKUP(B98,CC!A:D,4,0)," ")</f>
        <v>295.98</v>
      </c>
      <c r="CN98" s="22" t="s">
        <v>1169</v>
      </c>
      <c r="CO98" s="22"/>
      <c r="CP98" s="22" t="s">
        <v>1170</v>
      </c>
      <c r="CQ98" s="22">
        <v>60.0</v>
      </c>
      <c r="CR98" s="43"/>
      <c r="CS98" s="22">
        <v>3.0</v>
      </c>
      <c r="CT98" s="22" t="s">
        <v>145</v>
      </c>
      <c r="CU98" s="43"/>
      <c r="CV98" s="43"/>
      <c r="CW98" s="43"/>
      <c r="CX98" s="43"/>
      <c r="CY98" s="43" t="b">
        <v>0</v>
      </c>
      <c r="CZ98" s="43" t="b">
        <v>0</v>
      </c>
      <c r="DA98" s="43" t="b">
        <v>0</v>
      </c>
      <c r="DB98" s="43" t="b">
        <v>0</v>
      </c>
      <c r="DC98" s="43"/>
      <c r="DD98" s="43"/>
      <c r="DE98" s="43"/>
      <c r="DF98" s="43"/>
      <c r="DG98" s="43"/>
      <c r="DH98" s="43"/>
      <c r="DI98" s="43"/>
      <c r="DJ98" s="22">
        <f>IFERROR(VLOOKUP($B98,'Лист4'!$D:$AI,27,0)," ")</f>
        <v>11</v>
      </c>
      <c r="DK98" s="22">
        <f>IFERROR(VLOOKUP($B98,'Лист4'!$D:$AI,28,0)," ")</f>
        <v>5</v>
      </c>
      <c r="DL98" s="22">
        <f>IFERROR(VLOOKUP($B98,'Лист4'!$D:$AI,29,0)," ")</f>
        <v>11</v>
      </c>
      <c r="DM98" s="22">
        <f t="shared" si="1"/>
        <v>605</v>
      </c>
      <c r="DN98" s="22">
        <f>IFERROR(VLOOKUP($B98,'Лист4'!$D:$AI,32,0)," ")</f>
        <v>0.145</v>
      </c>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22"/>
      <c r="EN98" s="22"/>
      <c r="EO98" s="22"/>
      <c r="EP98" s="22"/>
      <c r="EQ98" s="22"/>
      <c r="ER98" s="22"/>
      <c r="ES98" s="43"/>
      <c r="ET98" s="43"/>
      <c r="EU98" s="43"/>
      <c r="EV98" s="43"/>
      <c r="EW98" s="43"/>
      <c r="EX98" s="43"/>
      <c r="EY98" s="43"/>
      <c r="EZ98" s="43"/>
      <c r="FA98" s="43"/>
      <c r="FB98" s="43"/>
      <c r="FC98" s="43"/>
      <c r="FD98" s="43"/>
      <c r="FE98" s="43"/>
      <c r="FF98" s="43"/>
      <c r="FG98" s="43"/>
      <c r="FH98" s="43"/>
      <c r="FI98" s="43"/>
    </row>
    <row r="99" ht="18.0" customHeight="1">
      <c r="A99" s="22" t="s">
        <v>116</v>
      </c>
      <c r="B99" s="43" t="s">
        <v>1716</v>
      </c>
      <c r="C99" s="22" t="s">
        <v>283</v>
      </c>
      <c r="D99" s="22" t="s">
        <v>119</v>
      </c>
      <c r="E99" s="43"/>
      <c r="F99" s="22" t="s">
        <v>1717</v>
      </c>
      <c r="G99" s="22" t="s">
        <v>361</v>
      </c>
      <c r="H99" s="22" t="s">
        <v>662</v>
      </c>
      <c r="I99" s="43"/>
      <c r="J99" s="43"/>
      <c r="K99" s="22" t="b">
        <v>1</v>
      </c>
      <c r="L99" s="22" t="b">
        <v>1</v>
      </c>
      <c r="M99" s="22" t="b">
        <v>1</v>
      </c>
      <c r="N99" s="22" t="b">
        <v>1</v>
      </c>
      <c r="O99" s="22" t="b">
        <v>0</v>
      </c>
      <c r="P99" s="22" t="b">
        <v>0</v>
      </c>
      <c r="Q99" s="22" t="b">
        <v>0</v>
      </c>
      <c r="R99" s="43"/>
      <c r="S99" s="43" t="s">
        <v>1718</v>
      </c>
      <c r="T99" s="22" t="s">
        <v>1716</v>
      </c>
      <c r="U99" s="22" t="s">
        <v>1716</v>
      </c>
      <c r="V99" s="22" t="s">
        <v>1716</v>
      </c>
      <c r="W99" s="43"/>
      <c r="X99" s="43"/>
      <c r="Y99" s="43"/>
      <c r="Z99" s="43"/>
      <c r="AA99" s="22">
        <v>1.58114551E8</v>
      </c>
      <c r="AB99" s="22">
        <v>9.51604183E8</v>
      </c>
      <c r="AC99" s="22">
        <v>1.02024722039E11</v>
      </c>
      <c r="AD99" s="22"/>
      <c r="AE99" s="22"/>
      <c r="AF99" s="43"/>
      <c r="AG99" s="43"/>
      <c r="AH99" s="43" t="s">
        <v>1717</v>
      </c>
      <c r="AI99" s="22" t="s">
        <v>1719</v>
      </c>
      <c r="AJ99" s="22" t="s">
        <v>1720</v>
      </c>
      <c r="AK99" s="22" t="s">
        <v>1721</v>
      </c>
      <c r="AL99" s="43"/>
      <c r="AM99" s="43"/>
      <c r="AN99" s="43"/>
      <c r="AO99" s="43"/>
      <c r="AP99" s="46" t="s">
        <v>1722</v>
      </c>
      <c r="AQ99" s="46" t="s">
        <v>1723</v>
      </c>
      <c r="AR99" s="46" t="s">
        <v>1724</v>
      </c>
      <c r="AS99" s="43"/>
      <c r="AT99" s="43"/>
      <c r="AU99" s="43"/>
      <c r="AV99" s="43"/>
      <c r="AW99" s="22" t="s">
        <v>1725</v>
      </c>
      <c r="AX99" s="22" t="s">
        <v>1720</v>
      </c>
      <c r="AY99" s="22" t="s">
        <v>1726</v>
      </c>
      <c r="AZ99" s="43"/>
      <c r="BA99" s="43"/>
      <c r="BB99" s="43"/>
      <c r="BC99" s="43"/>
      <c r="BD99" s="43" t="s">
        <v>129</v>
      </c>
      <c r="BE99" s="43" t="s">
        <v>243</v>
      </c>
      <c r="BF99" s="22" t="s">
        <v>131</v>
      </c>
      <c r="BG99" s="22" t="s">
        <v>132</v>
      </c>
      <c r="BH99" s="22" t="s">
        <v>132</v>
      </c>
      <c r="BI99" s="22" t="s">
        <v>132</v>
      </c>
      <c r="BJ99" s="43"/>
      <c r="BK99" s="43"/>
      <c r="BL99" s="22">
        <v>4.603335716026E12</v>
      </c>
      <c r="BM99" s="22">
        <v>2.106909808E9</v>
      </c>
      <c r="BN99" s="22" t="s">
        <v>1727</v>
      </c>
      <c r="BO99" s="46" t="s">
        <v>1728</v>
      </c>
      <c r="BP99" s="22" t="s">
        <v>245</v>
      </c>
      <c r="BQ99" s="43"/>
      <c r="BR99" s="43"/>
      <c r="BS99" s="22" t="s">
        <v>1729</v>
      </c>
      <c r="BT99" s="43"/>
      <c r="BU99" s="22" t="s">
        <v>1730</v>
      </c>
      <c r="BV99" s="43" t="s">
        <v>1731</v>
      </c>
      <c r="BW99" s="22" t="s">
        <v>1732</v>
      </c>
      <c r="BX99" s="22">
        <v>90.0</v>
      </c>
      <c r="BY99" s="22" t="s">
        <v>492</v>
      </c>
      <c r="BZ99" s="43"/>
      <c r="CA99" s="22" t="s">
        <v>355</v>
      </c>
      <c r="CB99" s="22" t="s">
        <v>307</v>
      </c>
      <c r="CC99" s="45" t="s">
        <v>1733</v>
      </c>
      <c r="CD99" s="43"/>
      <c r="CE99" s="43"/>
      <c r="CF99" s="45" t="s">
        <v>1734</v>
      </c>
      <c r="CG99" s="54">
        <v>46085.0</v>
      </c>
      <c r="CH99" s="46" t="s">
        <v>1735</v>
      </c>
      <c r="CI99" s="43"/>
      <c r="CJ99" s="43"/>
      <c r="CK99" s="43"/>
      <c r="CL99" s="43"/>
      <c r="CM99" s="49">
        <f>IFERROR(VLOOKUP(B99,CC!A:D,4,0)," ")</f>
        <v>200</v>
      </c>
      <c r="CN99" s="22" t="s">
        <v>518</v>
      </c>
      <c r="CO99" s="22"/>
      <c r="CP99" s="22" t="s">
        <v>519</v>
      </c>
      <c r="CQ99" s="22">
        <v>60.0</v>
      </c>
      <c r="CR99" s="43"/>
      <c r="CS99" s="22">
        <v>1.0</v>
      </c>
      <c r="CT99" s="22" t="s">
        <v>145</v>
      </c>
      <c r="CU99" s="43"/>
      <c r="CV99" s="43"/>
      <c r="CW99" s="43"/>
      <c r="CX99" s="43"/>
      <c r="CY99" s="43" t="b">
        <v>0</v>
      </c>
      <c r="CZ99" s="43" t="b">
        <v>0</v>
      </c>
      <c r="DA99" s="43" t="b">
        <v>0</v>
      </c>
      <c r="DB99" s="43" t="b">
        <v>0</v>
      </c>
      <c r="DC99" s="43"/>
      <c r="DD99" s="43"/>
      <c r="DE99" s="43"/>
      <c r="DF99" s="43"/>
      <c r="DG99" s="43"/>
      <c r="DH99" s="43"/>
      <c r="DI99" s="43"/>
      <c r="DJ99" s="22">
        <f>IFERROR(VLOOKUP($B99,'Лист4'!$D:$AI,27,0)," ")</f>
        <v>11</v>
      </c>
      <c r="DK99" s="22">
        <f>IFERROR(VLOOKUP($B99,'Лист4'!$D:$AI,28,0)," ")</f>
        <v>4</v>
      </c>
      <c r="DL99" s="22">
        <f>IFERROR(VLOOKUP($B99,'Лист4'!$D:$AI,29,0)," ")</f>
        <v>11</v>
      </c>
      <c r="DM99" s="22">
        <f t="shared" si="1"/>
        <v>484</v>
      </c>
      <c r="DN99" s="22">
        <f>IFERROR(VLOOKUP($B99,'Лист4'!$D:$AI,32,0)," ")</f>
        <v>0.056</v>
      </c>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43"/>
      <c r="ET99" s="43"/>
      <c r="EU99" s="43"/>
      <c r="EV99" s="43"/>
      <c r="EW99" s="43"/>
      <c r="EX99" s="43"/>
      <c r="EY99" s="43"/>
      <c r="EZ99" s="43"/>
      <c r="FA99" s="43"/>
      <c r="FB99" s="43"/>
      <c r="FC99" s="43"/>
      <c r="FD99" s="43"/>
      <c r="FE99" s="43"/>
      <c r="FF99" s="43"/>
      <c r="FG99" s="43"/>
      <c r="FH99" s="43"/>
      <c r="FI99" s="43"/>
    </row>
    <row r="100" ht="18.0" customHeight="1">
      <c r="A100" s="22" t="s">
        <v>116</v>
      </c>
      <c r="B100" s="43" t="s">
        <v>1736</v>
      </c>
      <c r="C100" s="22" t="s">
        <v>283</v>
      </c>
      <c r="D100" s="22" t="s">
        <v>187</v>
      </c>
      <c r="E100" s="43"/>
      <c r="F100" s="22" t="s">
        <v>1737</v>
      </c>
      <c r="G100" s="22" t="s">
        <v>361</v>
      </c>
      <c r="H100" s="22" t="s">
        <v>662</v>
      </c>
      <c r="I100" s="43"/>
      <c r="J100" s="43"/>
      <c r="K100" s="22" t="b">
        <v>1</v>
      </c>
      <c r="L100" s="22" t="b">
        <v>1</v>
      </c>
      <c r="M100" s="22" t="b">
        <v>1</v>
      </c>
      <c r="N100" s="22" t="b">
        <v>1</v>
      </c>
      <c r="O100" s="22" t="b">
        <v>0</v>
      </c>
      <c r="P100" s="22" t="b">
        <v>0</v>
      </c>
      <c r="Q100" s="22" t="b">
        <v>0</v>
      </c>
      <c r="R100" s="43"/>
      <c r="S100" s="43" t="s">
        <v>1738</v>
      </c>
      <c r="T100" s="22" t="s">
        <v>1736</v>
      </c>
      <c r="U100" s="22" t="s">
        <v>1736</v>
      </c>
      <c r="V100" s="22" t="s">
        <v>1736</v>
      </c>
      <c r="W100" s="43"/>
      <c r="X100" s="43"/>
      <c r="Y100" s="43"/>
      <c r="Z100" s="43"/>
      <c r="AA100" s="22">
        <v>2.70128827E8</v>
      </c>
      <c r="AB100" s="22">
        <v>1.726985284E9</v>
      </c>
      <c r="AC100" s="22">
        <v>1.03572448024E11</v>
      </c>
      <c r="AD100" s="22"/>
      <c r="AE100" s="22"/>
      <c r="AF100" s="43"/>
      <c r="AG100" s="43"/>
      <c r="AH100" s="43" t="s">
        <v>1737</v>
      </c>
      <c r="AI100" s="22" t="s">
        <v>1739</v>
      </c>
      <c r="AJ100" s="22" t="s">
        <v>1740</v>
      </c>
      <c r="AK100" s="22" t="s">
        <v>1741</v>
      </c>
      <c r="AL100" s="43"/>
      <c r="AM100" s="43"/>
      <c r="AN100" s="43"/>
      <c r="AO100" s="43"/>
      <c r="AP100" s="46" t="s">
        <v>1742</v>
      </c>
      <c r="AQ100" s="46" t="s">
        <v>1743</v>
      </c>
      <c r="AR100" s="46" t="s">
        <v>1744</v>
      </c>
      <c r="AS100" s="43"/>
      <c r="AT100" s="43"/>
      <c r="AU100" s="43"/>
      <c r="AV100" s="43"/>
      <c r="AW100" s="22" t="s">
        <v>1745</v>
      </c>
      <c r="AX100" s="22" t="s">
        <v>1740</v>
      </c>
      <c r="AY100" s="22" t="s">
        <v>1746</v>
      </c>
      <c r="AZ100" s="43"/>
      <c r="BA100" s="43"/>
      <c r="BB100" s="43"/>
      <c r="BC100" s="43"/>
      <c r="BD100" s="43" t="s">
        <v>374</v>
      </c>
      <c r="BE100" s="43" t="s">
        <v>243</v>
      </c>
      <c r="BF100" s="22" t="s">
        <v>131</v>
      </c>
      <c r="BG100" s="22" t="s">
        <v>132</v>
      </c>
      <c r="BH100" s="22" t="s">
        <v>132</v>
      </c>
      <c r="BI100" s="22" t="s">
        <v>132</v>
      </c>
      <c r="BJ100" s="43"/>
      <c r="BK100" s="43"/>
      <c r="BL100" s="22">
        <v>4.67022741564E12</v>
      </c>
      <c r="BM100" s="22">
        <v>2.106909808E9</v>
      </c>
      <c r="BN100" s="22" t="s">
        <v>1747</v>
      </c>
      <c r="BO100" s="46" t="s">
        <v>1748</v>
      </c>
      <c r="BP100" s="22" t="s">
        <v>245</v>
      </c>
      <c r="BQ100" s="43"/>
      <c r="BR100" s="43"/>
      <c r="BS100" s="22" t="s">
        <v>1749</v>
      </c>
      <c r="BT100" s="43"/>
      <c r="BU100" s="22" t="s">
        <v>1750</v>
      </c>
      <c r="BV100" s="22" t="s">
        <v>1751</v>
      </c>
      <c r="BW100" s="22" t="s">
        <v>1752</v>
      </c>
      <c r="BX100" s="22">
        <v>300.0</v>
      </c>
      <c r="BY100" s="22" t="s">
        <v>580</v>
      </c>
      <c r="BZ100" s="22"/>
      <c r="CA100" s="22" t="s">
        <v>355</v>
      </c>
      <c r="CB100" s="22" t="s">
        <v>307</v>
      </c>
      <c r="CC100" s="45" t="s">
        <v>1753</v>
      </c>
      <c r="CD100" s="43"/>
      <c r="CE100" s="43"/>
      <c r="CF100" s="45"/>
      <c r="CG100" s="43"/>
      <c r="CH100" s="43"/>
      <c r="CI100" s="43"/>
      <c r="CJ100" s="43"/>
      <c r="CK100" s="43"/>
      <c r="CL100" s="43"/>
      <c r="CM100" s="49">
        <f>IFERROR(VLOOKUP(B100,CC!A:D,4,0)," ")</f>
        <v>433</v>
      </c>
      <c r="CN100" s="22" t="s">
        <v>494</v>
      </c>
      <c r="CO100" s="22"/>
      <c r="CP100" s="22" t="s">
        <v>495</v>
      </c>
      <c r="CQ100" s="22">
        <v>60.0</v>
      </c>
      <c r="CR100" s="43"/>
      <c r="CS100" s="22">
        <v>5.0</v>
      </c>
      <c r="CT100" s="22" t="s">
        <v>496</v>
      </c>
      <c r="CU100" s="43"/>
      <c r="CV100" s="43"/>
      <c r="CW100" s="43"/>
      <c r="CX100" s="43"/>
      <c r="CY100" s="43" t="b">
        <v>0</v>
      </c>
      <c r="CZ100" s="43" t="b">
        <v>0</v>
      </c>
      <c r="DA100" s="43" t="b">
        <v>0</v>
      </c>
      <c r="DB100" s="43" t="b">
        <v>0</v>
      </c>
      <c r="DC100" s="43"/>
      <c r="DD100" s="43"/>
      <c r="DE100" s="43"/>
      <c r="DF100" s="43"/>
      <c r="DG100" s="43"/>
      <c r="DH100" s="43"/>
      <c r="DI100" s="43"/>
      <c r="DJ100" s="22">
        <f>IFERROR(VLOOKUP($B100,'Лист4'!$D:$AI,27,0)," ")</f>
        <v>8</v>
      </c>
      <c r="DK100" s="22">
        <f>IFERROR(VLOOKUP($B100,'Лист4'!$D:$AI,28,0)," ")</f>
        <v>12</v>
      </c>
      <c r="DL100" s="22">
        <f>IFERROR(VLOOKUP($B100,'Лист4'!$D:$AI,29,0)," ")</f>
        <v>8</v>
      </c>
      <c r="DM100" s="22">
        <f t="shared" si="1"/>
        <v>768</v>
      </c>
      <c r="DN100" s="22">
        <f>IFERROR(VLOOKUP($B100,'Лист4'!$D:$AI,32,0)," ")</f>
        <v>0.37</v>
      </c>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43"/>
      <c r="ET100" s="43"/>
      <c r="EU100" s="43"/>
      <c r="EV100" s="43"/>
      <c r="EW100" s="43"/>
      <c r="EX100" s="43"/>
      <c r="EY100" s="43"/>
      <c r="EZ100" s="43"/>
      <c r="FA100" s="43"/>
      <c r="FB100" s="43"/>
      <c r="FC100" s="43"/>
      <c r="FD100" s="43"/>
      <c r="FE100" s="43"/>
      <c r="FF100" s="43"/>
      <c r="FG100" s="43"/>
      <c r="FH100" s="43"/>
      <c r="FI100" s="43"/>
    </row>
    <row r="101" ht="18.0" customHeight="1">
      <c r="A101" s="22" t="s">
        <v>116</v>
      </c>
      <c r="B101" s="43" t="s">
        <v>1754</v>
      </c>
      <c r="C101" s="22" t="s">
        <v>283</v>
      </c>
      <c r="D101" s="22" t="s">
        <v>119</v>
      </c>
      <c r="E101" s="43"/>
      <c r="F101" s="22" t="s">
        <v>1755</v>
      </c>
      <c r="G101" s="22" t="s">
        <v>361</v>
      </c>
      <c r="H101" s="22" t="s">
        <v>662</v>
      </c>
      <c r="I101" s="43"/>
      <c r="J101" s="43"/>
      <c r="K101" s="22" t="b">
        <v>1</v>
      </c>
      <c r="L101" s="22" t="b">
        <v>1</v>
      </c>
      <c r="M101" s="22" t="b">
        <v>1</v>
      </c>
      <c r="N101" s="22" t="b">
        <v>1</v>
      </c>
      <c r="O101" s="22" t="b">
        <v>0</v>
      </c>
      <c r="P101" s="22" t="b">
        <v>0</v>
      </c>
      <c r="Q101" s="22" t="b">
        <v>0</v>
      </c>
      <c r="R101" s="43"/>
      <c r="S101" s="43" t="s">
        <v>1756</v>
      </c>
      <c r="T101" s="22" t="s">
        <v>1754</v>
      </c>
      <c r="U101" s="22" t="s">
        <v>1754</v>
      </c>
      <c r="V101" s="22" t="s">
        <v>1754</v>
      </c>
      <c r="W101" s="43"/>
      <c r="X101" s="43"/>
      <c r="Y101" s="43"/>
      <c r="Z101" s="43"/>
      <c r="AA101" s="22">
        <v>2.29246778E8</v>
      </c>
      <c r="AB101" s="22">
        <v>1.566871461E9</v>
      </c>
      <c r="AC101" s="22">
        <v>1.03397810974E11</v>
      </c>
      <c r="AD101" s="22"/>
      <c r="AE101" s="22"/>
      <c r="AF101" s="43"/>
      <c r="AG101" s="43"/>
      <c r="AH101" s="43" t="s">
        <v>1755</v>
      </c>
      <c r="AI101" s="22" t="s">
        <v>1757</v>
      </c>
      <c r="AJ101" s="22" t="s">
        <v>1758</v>
      </c>
      <c r="AK101" s="22" t="s">
        <v>1759</v>
      </c>
      <c r="AL101" s="43"/>
      <c r="AM101" s="43"/>
      <c r="AN101" s="43"/>
      <c r="AO101" s="43"/>
      <c r="AP101" s="46" t="s">
        <v>1760</v>
      </c>
      <c r="AQ101" s="46" t="s">
        <v>1761</v>
      </c>
      <c r="AR101" s="46" t="s">
        <v>1762</v>
      </c>
      <c r="AS101" s="43"/>
      <c r="AT101" s="43"/>
      <c r="AU101" s="43"/>
      <c r="AV101" s="43"/>
      <c r="AW101" s="22" t="s">
        <v>1763</v>
      </c>
      <c r="AX101" s="22" t="s">
        <v>1758</v>
      </c>
      <c r="AY101" s="22" t="s">
        <v>1764</v>
      </c>
      <c r="AZ101" s="43"/>
      <c r="BA101" s="43"/>
      <c r="BB101" s="43"/>
      <c r="BC101" s="43"/>
      <c r="BD101" s="43" t="s">
        <v>374</v>
      </c>
      <c r="BE101" s="43" t="s">
        <v>243</v>
      </c>
      <c r="BF101" s="22" t="s">
        <v>131</v>
      </c>
      <c r="BG101" s="22" t="s">
        <v>132</v>
      </c>
      <c r="BH101" s="22" t="s">
        <v>132</v>
      </c>
      <c r="BI101" s="22" t="s">
        <v>132</v>
      </c>
      <c r="BJ101" s="43"/>
      <c r="BK101" s="43"/>
      <c r="BL101" s="22">
        <v>4.673722841006E12</v>
      </c>
      <c r="BM101" s="22"/>
      <c r="BN101" s="22" t="s">
        <v>1765</v>
      </c>
      <c r="BO101" s="46" t="s">
        <v>1766</v>
      </c>
      <c r="BP101" s="22" t="s">
        <v>303</v>
      </c>
      <c r="BQ101" s="43"/>
      <c r="BR101" s="43"/>
      <c r="BS101" s="22" t="s">
        <v>1767</v>
      </c>
      <c r="BT101" s="43"/>
      <c r="BU101" s="22" t="s">
        <v>1768</v>
      </c>
      <c r="BV101" s="43" t="s">
        <v>1769</v>
      </c>
      <c r="BW101" s="22" t="s">
        <v>1770</v>
      </c>
      <c r="BX101" s="22">
        <v>300.0</v>
      </c>
      <c r="BY101" s="22" t="s">
        <v>580</v>
      </c>
      <c r="BZ101" s="22"/>
      <c r="CA101" s="22" t="s">
        <v>355</v>
      </c>
      <c r="CB101" s="22" t="s">
        <v>307</v>
      </c>
      <c r="CC101" s="45" t="s">
        <v>1771</v>
      </c>
      <c r="CD101" s="43"/>
      <c r="CE101" s="43"/>
      <c r="CF101" s="45"/>
      <c r="CG101" s="43"/>
      <c r="CH101" s="43"/>
      <c r="CI101" s="43"/>
      <c r="CJ101" s="43"/>
      <c r="CK101" s="43"/>
      <c r="CL101" s="43"/>
      <c r="CM101" s="49">
        <f>IFERROR(VLOOKUP(B101,CC!A:D,4,0)," ")</f>
        <v>333</v>
      </c>
      <c r="CN101" s="22" t="s">
        <v>1081</v>
      </c>
      <c r="CO101" s="22"/>
      <c r="CP101" s="22" t="s">
        <v>1082</v>
      </c>
      <c r="CQ101" s="22">
        <v>90.0</v>
      </c>
      <c r="CR101" s="43"/>
      <c r="CS101" s="22">
        <v>1.0</v>
      </c>
      <c r="CT101" s="22" t="s">
        <v>145</v>
      </c>
      <c r="CU101" s="43"/>
      <c r="CV101" s="43"/>
      <c r="CW101" s="43"/>
      <c r="CX101" s="43"/>
      <c r="CY101" s="43" t="b">
        <v>0</v>
      </c>
      <c r="CZ101" s="43" t="b">
        <v>0</v>
      </c>
      <c r="DA101" s="43" t="b">
        <v>0</v>
      </c>
      <c r="DB101" s="43" t="b">
        <v>0</v>
      </c>
      <c r="DC101" s="43"/>
      <c r="DD101" s="43"/>
      <c r="DE101" s="43"/>
      <c r="DF101" s="43"/>
      <c r="DG101" s="43"/>
      <c r="DH101" s="43"/>
      <c r="DI101" s="43"/>
      <c r="DJ101" s="22">
        <f>IFERROR(VLOOKUP($B101,'Лист4'!$D:$AI,27,0)," ")</f>
        <v>9</v>
      </c>
      <c r="DK101" s="22">
        <f>IFERROR(VLOOKUP($B101,'Лист4'!$D:$AI,28,0)," ")</f>
        <v>11</v>
      </c>
      <c r="DL101" s="22">
        <f>IFERROR(VLOOKUP($B101,'Лист4'!$D:$AI,29,0)," ")</f>
        <v>9</v>
      </c>
      <c r="DM101" s="22">
        <f t="shared" si="1"/>
        <v>891</v>
      </c>
      <c r="DN101" s="22">
        <f>IFERROR(VLOOKUP($B101,'Лист4'!$D:$AI,32,0)," ")</f>
        <v>0.368</v>
      </c>
      <c r="DO101" s="22"/>
      <c r="DP101" s="22"/>
      <c r="DQ101" s="22"/>
      <c r="DR101" s="22"/>
      <c r="DS101" s="22"/>
      <c r="DT101" s="22"/>
      <c r="DU101" s="22"/>
      <c r="DV101" s="22"/>
      <c r="DW101" s="22"/>
      <c r="DX101" s="22"/>
      <c r="DY101" s="22"/>
      <c r="DZ101" s="22"/>
      <c r="EA101" s="22"/>
      <c r="EB101" s="22"/>
      <c r="EC101" s="22"/>
      <c r="ED101" s="22"/>
      <c r="EE101" s="22"/>
      <c r="EF101" s="22"/>
      <c r="EG101" s="22"/>
      <c r="EH101" s="22"/>
      <c r="EI101" s="22"/>
      <c r="EJ101" s="22"/>
      <c r="EK101" s="22"/>
      <c r="EL101" s="22"/>
      <c r="EM101" s="22"/>
      <c r="EN101" s="22"/>
      <c r="EO101" s="22"/>
      <c r="EP101" s="22"/>
      <c r="EQ101" s="22"/>
      <c r="ER101" s="22"/>
      <c r="ES101" s="43"/>
      <c r="ET101" s="43"/>
      <c r="EU101" s="43"/>
      <c r="EV101" s="43"/>
      <c r="EW101" s="43"/>
      <c r="EX101" s="43"/>
      <c r="EY101" s="43"/>
      <c r="EZ101" s="43"/>
      <c r="FA101" s="43"/>
      <c r="FB101" s="43"/>
      <c r="FC101" s="43"/>
      <c r="FD101" s="43"/>
      <c r="FE101" s="43"/>
      <c r="FF101" s="43"/>
      <c r="FG101" s="43"/>
      <c r="FH101" s="43"/>
      <c r="FI101" s="43"/>
    </row>
    <row r="102" ht="18.0" customHeight="1">
      <c r="A102" s="22" t="s">
        <v>116</v>
      </c>
      <c r="B102" s="43" t="s">
        <v>1772</v>
      </c>
      <c r="C102" s="22" t="s">
        <v>283</v>
      </c>
      <c r="D102" s="22" t="s">
        <v>187</v>
      </c>
      <c r="E102" s="43"/>
      <c r="F102" s="22" t="s">
        <v>1773</v>
      </c>
      <c r="G102" s="22" t="s">
        <v>361</v>
      </c>
      <c r="H102" s="22" t="s">
        <v>662</v>
      </c>
      <c r="I102" s="43"/>
      <c r="J102" s="43"/>
      <c r="K102" s="22" t="b">
        <v>1</v>
      </c>
      <c r="L102" s="22" t="b">
        <v>1</v>
      </c>
      <c r="M102" s="22" t="b">
        <v>1</v>
      </c>
      <c r="N102" s="22" t="b">
        <v>1</v>
      </c>
      <c r="O102" s="22" t="b">
        <v>0</v>
      </c>
      <c r="P102" s="22" t="b">
        <v>0</v>
      </c>
      <c r="Q102" s="22" t="b">
        <v>0</v>
      </c>
      <c r="R102" s="43"/>
      <c r="S102" s="43" t="s">
        <v>1774</v>
      </c>
      <c r="T102" s="22" t="s">
        <v>1772</v>
      </c>
      <c r="U102" s="22" t="s">
        <v>1772</v>
      </c>
      <c r="V102" s="22" t="s">
        <v>1772</v>
      </c>
      <c r="W102" s="43"/>
      <c r="X102" s="43"/>
      <c r="Y102" s="43"/>
      <c r="Z102" s="43"/>
      <c r="AA102" s="22">
        <v>2.70128828E8</v>
      </c>
      <c r="AB102" s="22">
        <v>1.726985022E9</v>
      </c>
      <c r="AC102" s="22">
        <v>1.03572466383E11</v>
      </c>
      <c r="AD102" s="22"/>
      <c r="AE102" s="22"/>
      <c r="AF102" s="43"/>
      <c r="AG102" s="43"/>
      <c r="AH102" s="43" t="s">
        <v>1773</v>
      </c>
      <c r="AI102" s="22" t="s">
        <v>1739</v>
      </c>
      <c r="AJ102" s="22" t="s">
        <v>1740</v>
      </c>
      <c r="AK102" s="22" t="s">
        <v>1775</v>
      </c>
      <c r="AL102" s="43"/>
      <c r="AM102" s="43"/>
      <c r="AN102" s="43"/>
      <c r="AO102" s="43"/>
      <c r="AP102" s="46" t="s">
        <v>1776</v>
      </c>
      <c r="AQ102" s="46" t="s">
        <v>1777</v>
      </c>
      <c r="AR102" s="46" t="s">
        <v>1778</v>
      </c>
      <c r="AS102" s="43"/>
      <c r="AT102" s="43"/>
      <c r="AU102" s="43"/>
      <c r="AV102" s="43"/>
      <c r="AW102" s="22" t="s">
        <v>1745</v>
      </c>
      <c r="AX102" s="22" t="s">
        <v>1740</v>
      </c>
      <c r="AY102" s="22" t="s">
        <v>1746</v>
      </c>
      <c r="AZ102" s="43"/>
      <c r="BA102" s="43"/>
      <c r="BB102" s="43"/>
      <c r="BC102" s="43"/>
      <c r="BD102" s="43" t="s">
        <v>374</v>
      </c>
      <c r="BE102" s="43" t="s">
        <v>243</v>
      </c>
      <c r="BF102" s="22" t="s">
        <v>131</v>
      </c>
      <c r="BG102" s="22" t="s">
        <v>132</v>
      </c>
      <c r="BH102" s="22" t="s">
        <v>132</v>
      </c>
      <c r="BI102" s="22" t="s">
        <v>132</v>
      </c>
      <c r="BJ102" s="43"/>
      <c r="BK102" s="43"/>
      <c r="BL102" s="22">
        <v>4.670227415657E12</v>
      </c>
      <c r="BM102" s="22">
        <v>2.106909808E9</v>
      </c>
      <c r="BN102" s="22" t="s">
        <v>1747</v>
      </c>
      <c r="BO102" s="22"/>
      <c r="BP102" s="22" t="s">
        <v>245</v>
      </c>
      <c r="BQ102" s="43"/>
      <c r="BR102" s="43"/>
      <c r="BS102" s="22" t="s">
        <v>1749</v>
      </c>
      <c r="BT102" s="43"/>
      <c r="BU102" s="22" t="s">
        <v>1750</v>
      </c>
      <c r="BV102" s="22" t="s">
        <v>1751</v>
      </c>
      <c r="BW102" s="22" t="s">
        <v>1752</v>
      </c>
      <c r="BX102" s="22">
        <v>300.0</v>
      </c>
      <c r="BY102" s="22" t="s">
        <v>580</v>
      </c>
      <c r="BZ102" s="22"/>
      <c r="CA102" s="22" t="s">
        <v>355</v>
      </c>
      <c r="CB102" s="22" t="s">
        <v>307</v>
      </c>
      <c r="CC102" s="45" t="s">
        <v>1753</v>
      </c>
      <c r="CD102" s="43"/>
      <c r="CE102" s="43"/>
      <c r="CF102" s="45"/>
      <c r="CG102" s="43"/>
      <c r="CH102" s="43"/>
      <c r="CI102" s="43"/>
      <c r="CJ102" s="43"/>
      <c r="CK102" s="43"/>
      <c r="CL102" s="43"/>
      <c r="CM102" s="49">
        <f>IFERROR(VLOOKUP(B102,CC!A:D,4,0)," ")</f>
        <v>433</v>
      </c>
      <c r="CN102" s="22" t="s">
        <v>494</v>
      </c>
      <c r="CO102" s="22"/>
      <c r="CP102" s="22" t="s">
        <v>495</v>
      </c>
      <c r="CQ102" s="22">
        <v>60.0</v>
      </c>
      <c r="CR102" s="43"/>
      <c r="CS102" s="22">
        <v>5.0</v>
      </c>
      <c r="CT102" s="22" t="s">
        <v>496</v>
      </c>
      <c r="CU102" s="43"/>
      <c r="CV102" s="43"/>
      <c r="CW102" s="43"/>
      <c r="CX102" s="43"/>
      <c r="CY102" s="43" t="b">
        <v>0</v>
      </c>
      <c r="CZ102" s="43" t="b">
        <v>0</v>
      </c>
      <c r="DA102" s="43" t="b">
        <v>0</v>
      </c>
      <c r="DB102" s="43" t="b">
        <v>0</v>
      </c>
      <c r="DC102" s="43"/>
      <c r="DD102" s="43"/>
      <c r="DE102" s="43"/>
      <c r="DF102" s="43"/>
      <c r="DG102" s="43"/>
      <c r="DH102" s="43"/>
      <c r="DI102" s="43"/>
      <c r="DJ102" s="22">
        <f>IFERROR(VLOOKUP($B102,'Лист4'!$D:$AI,27,0)," ")</f>
        <v>8</v>
      </c>
      <c r="DK102" s="22">
        <f>IFERROR(VLOOKUP($B102,'Лист4'!$D:$AI,28,0)," ")</f>
        <v>12</v>
      </c>
      <c r="DL102" s="22">
        <f>IFERROR(VLOOKUP($B102,'Лист4'!$D:$AI,29,0)," ")</f>
        <v>8</v>
      </c>
      <c r="DM102" s="22">
        <f t="shared" si="1"/>
        <v>768</v>
      </c>
      <c r="DN102" s="22">
        <f>IFERROR(VLOOKUP($B102,'Лист4'!$D:$AI,32,0)," ")</f>
        <v>0.37</v>
      </c>
      <c r="DO102" s="22"/>
      <c r="DP102" s="22"/>
      <c r="DQ102" s="22"/>
      <c r="DR102" s="22"/>
      <c r="DS102" s="22"/>
      <c r="DT102" s="22"/>
      <c r="DU102" s="22"/>
      <c r="DV102" s="22"/>
      <c r="DW102" s="22"/>
      <c r="DX102" s="22"/>
      <c r="DY102" s="22"/>
      <c r="DZ102" s="22"/>
      <c r="EA102" s="22"/>
      <c r="EB102" s="22"/>
      <c r="EC102" s="22"/>
      <c r="ED102" s="22"/>
      <c r="EE102" s="22"/>
      <c r="EF102" s="22"/>
      <c r="EG102" s="22"/>
      <c r="EH102" s="22"/>
      <c r="EI102" s="22"/>
      <c r="EJ102" s="22"/>
      <c r="EK102" s="22"/>
      <c r="EL102" s="22"/>
      <c r="EM102" s="22"/>
      <c r="EN102" s="22"/>
      <c r="EO102" s="22"/>
      <c r="EP102" s="22"/>
      <c r="EQ102" s="22"/>
      <c r="ER102" s="22"/>
      <c r="ES102" s="43"/>
      <c r="ET102" s="43"/>
      <c r="EU102" s="43"/>
      <c r="EV102" s="43"/>
      <c r="EW102" s="43"/>
      <c r="EX102" s="43"/>
      <c r="EY102" s="43"/>
      <c r="EZ102" s="43"/>
      <c r="FA102" s="43"/>
      <c r="FB102" s="43"/>
      <c r="FC102" s="43"/>
      <c r="FD102" s="43"/>
      <c r="FE102" s="43"/>
      <c r="FF102" s="43"/>
      <c r="FG102" s="43"/>
      <c r="FH102" s="43"/>
      <c r="FI102" s="43"/>
    </row>
    <row r="103" ht="18.0" customHeight="1">
      <c r="A103" s="22" t="s">
        <v>116</v>
      </c>
      <c r="B103" s="43" t="s">
        <v>1779</v>
      </c>
      <c r="C103" s="22" t="s">
        <v>283</v>
      </c>
      <c r="D103" s="22" t="s">
        <v>119</v>
      </c>
      <c r="E103" s="43" t="s">
        <v>751</v>
      </c>
      <c r="F103" s="22" t="s">
        <v>1780</v>
      </c>
      <c r="G103" s="22" t="s">
        <v>361</v>
      </c>
      <c r="H103" s="22" t="s">
        <v>662</v>
      </c>
      <c r="I103" s="43"/>
      <c r="J103" s="43"/>
      <c r="K103" s="22" t="b">
        <v>1</v>
      </c>
      <c r="L103" s="22" t="b">
        <v>1</v>
      </c>
      <c r="M103" s="22" t="b">
        <v>1</v>
      </c>
      <c r="N103" s="22" t="b">
        <v>1</v>
      </c>
      <c r="O103" s="22" t="b">
        <v>0</v>
      </c>
      <c r="P103" s="22" t="b">
        <v>0</v>
      </c>
      <c r="Q103" s="22" t="b">
        <v>0</v>
      </c>
      <c r="R103" s="43"/>
      <c r="S103" s="43" t="s">
        <v>1781</v>
      </c>
      <c r="T103" s="22" t="s">
        <v>1779</v>
      </c>
      <c r="U103" s="22" t="s">
        <v>1779</v>
      </c>
      <c r="V103" s="22" t="s">
        <v>1779</v>
      </c>
      <c r="W103" s="43"/>
      <c r="X103" s="43"/>
      <c r="Y103" s="43"/>
      <c r="Z103" s="43"/>
      <c r="AA103" s="22">
        <v>1.77867999E8</v>
      </c>
      <c r="AB103" s="22">
        <v>1.200359466E9</v>
      </c>
      <c r="AC103" s="22">
        <v>1.02618106645E11</v>
      </c>
      <c r="AD103" s="22"/>
      <c r="AE103" s="22"/>
      <c r="AF103" s="43"/>
      <c r="AG103" s="43"/>
      <c r="AH103" s="43" t="s">
        <v>1780</v>
      </c>
      <c r="AI103" s="22" t="s">
        <v>1782</v>
      </c>
      <c r="AJ103" s="22" t="s">
        <v>1783</v>
      </c>
      <c r="AK103" s="22" t="s">
        <v>1783</v>
      </c>
      <c r="AL103" s="43"/>
      <c r="AM103" s="43"/>
      <c r="AN103" s="43"/>
      <c r="AO103" s="43"/>
      <c r="AP103" s="46" t="s">
        <v>1784</v>
      </c>
      <c r="AQ103" s="46" t="s">
        <v>1785</v>
      </c>
      <c r="AR103" s="46" t="s">
        <v>1786</v>
      </c>
      <c r="AS103" s="43"/>
      <c r="AT103" s="43"/>
      <c r="AU103" s="43"/>
      <c r="AV103" s="43"/>
      <c r="AW103" s="22" t="s">
        <v>361</v>
      </c>
      <c r="AX103" s="22" t="s">
        <v>1783</v>
      </c>
      <c r="AY103" s="22" t="s">
        <v>1726</v>
      </c>
      <c r="AZ103" s="43"/>
      <c r="BA103" s="43"/>
      <c r="BB103" s="43"/>
      <c r="BC103" s="43"/>
      <c r="BD103" s="43" t="s">
        <v>374</v>
      </c>
      <c r="BE103" s="43" t="s">
        <v>243</v>
      </c>
      <c r="BF103" s="22" t="s">
        <v>131</v>
      </c>
      <c r="BG103" s="22" t="s">
        <v>132</v>
      </c>
      <c r="BH103" s="22" t="s">
        <v>132</v>
      </c>
      <c r="BI103" s="22" t="s">
        <v>132</v>
      </c>
      <c r="BJ103" s="43"/>
      <c r="BK103" s="43"/>
      <c r="BL103" s="22">
        <v>4.620153903605E12</v>
      </c>
      <c r="BM103" s="22">
        <v>2.106909808E9</v>
      </c>
      <c r="BN103" s="22" t="s">
        <v>1787</v>
      </c>
      <c r="BO103" s="46" t="s">
        <v>1788</v>
      </c>
      <c r="BP103" s="22" t="s">
        <v>245</v>
      </c>
      <c r="BQ103" s="43"/>
      <c r="BR103" s="43"/>
      <c r="BS103" s="22" t="s">
        <v>1789</v>
      </c>
      <c r="BT103" s="43"/>
      <c r="BU103" s="22" t="s">
        <v>1790</v>
      </c>
      <c r="BV103" s="43" t="s">
        <v>1041</v>
      </c>
      <c r="BW103" s="22" t="s">
        <v>1791</v>
      </c>
      <c r="BX103" s="22">
        <v>90.0</v>
      </c>
      <c r="BY103" s="22" t="s">
        <v>492</v>
      </c>
      <c r="BZ103" s="43"/>
      <c r="CA103" s="22" t="s">
        <v>355</v>
      </c>
      <c r="CB103" s="22" t="s">
        <v>307</v>
      </c>
      <c r="CC103" s="45" t="s">
        <v>1792</v>
      </c>
      <c r="CD103" s="43"/>
      <c r="CE103" s="43"/>
      <c r="CF103" s="45" t="s">
        <v>1793</v>
      </c>
      <c r="CG103" s="43"/>
      <c r="CH103" s="43"/>
      <c r="CI103" s="43"/>
      <c r="CJ103" s="43"/>
      <c r="CK103" s="43"/>
      <c r="CL103" s="43"/>
      <c r="CM103" s="49">
        <f>IFERROR(VLOOKUP(B103,CC!A:D,4,0)," ")</f>
        <v>287.39</v>
      </c>
      <c r="CN103" s="22" t="s">
        <v>400</v>
      </c>
      <c r="CO103" s="22"/>
      <c r="CP103" s="22" t="s">
        <v>562</v>
      </c>
      <c r="CQ103" s="22">
        <v>90.0</v>
      </c>
      <c r="CR103" s="43"/>
      <c r="CS103" s="22">
        <v>10.0</v>
      </c>
      <c r="CT103" s="22" t="s">
        <v>145</v>
      </c>
      <c r="CU103" s="43"/>
      <c r="CV103" s="43"/>
      <c r="CW103" s="43"/>
      <c r="CX103" s="43"/>
      <c r="CY103" s="43" t="b">
        <v>0</v>
      </c>
      <c r="CZ103" s="43" t="b">
        <v>0</v>
      </c>
      <c r="DA103" s="43" t="b">
        <v>0</v>
      </c>
      <c r="DB103" s="43" t="b">
        <v>0</v>
      </c>
      <c r="DC103" s="43"/>
      <c r="DD103" s="43"/>
      <c r="DE103" s="43"/>
      <c r="DF103" s="43"/>
      <c r="DG103" s="43"/>
      <c r="DH103" s="43"/>
      <c r="DI103" s="43"/>
      <c r="DJ103" s="22">
        <f>IFERROR(VLOOKUP($B103,'Лист4'!$D:$AI,27,0)," ")</f>
        <v>10</v>
      </c>
      <c r="DK103" s="22">
        <f>IFERROR(VLOOKUP($B103,'Лист4'!$D:$AI,28,0)," ")</f>
        <v>5</v>
      </c>
      <c r="DL103" s="22">
        <f>IFERROR(VLOOKUP($B103,'Лист4'!$D:$AI,29,0)," ")</f>
        <v>10</v>
      </c>
      <c r="DM103" s="22">
        <f t="shared" si="1"/>
        <v>500</v>
      </c>
      <c r="DN103" s="22">
        <f>IFERROR(VLOOKUP($B103,'Лист4'!$D:$AI,32,0)," ")</f>
        <v>0.082</v>
      </c>
      <c r="DO103" s="22"/>
      <c r="DP103" s="22"/>
      <c r="DQ103" s="22"/>
      <c r="DR103" s="22"/>
      <c r="DS103" s="22"/>
      <c r="DT103" s="22"/>
      <c r="DU103" s="22"/>
      <c r="DV103" s="22"/>
      <c r="DW103" s="22"/>
      <c r="DX103" s="22"/>
      <c r="DY103" s="22"/>
      <c r="DZ103" s="22"/>
      <c r="EA103" s="22"/>
      <c r="EB103" s="22"/>
      <c r="EC103" s="22"/>
      <c r="ED103" s="22"/>
      <c r="EE103" s="22"/>
      <c r="EF103" s="22"/>
      <c r="EG103" s="22"/>
      <c r="EH103" s="22"/>
      <c r="EI103" s="22"/>
      <c r="EJ103" s="22"/>
      <c r="EK103" s="22"/>
      <c r="EL103" s="22"/>
      <c r="EM103" s="22"/>
      <c r="EN103" s="22"/>
      <c r="EO103" s="22"/>
      <c r="EP103" s="22"/>
      <c r="EQ103" s="22"/>
      <c r="ER103" s="22"/>
      <c r="ES103" s="43"/>
      <c r="ET103" s="43"/>
      <c r="EU103" s="43"/>
      <c r="EV103" s="43"/>
      <c r="EW103" s="43"/>
      <c r="EX103" s="43"/>
      <c r="EY103" s="43"/>
      <c r="EZ103" s="43"/>
      <c r="FA103" s="43"/>
      <c r="FB103" s="43"/>
      <c r="FC103" s="43"/>
      <c r="FD103" s="43"/>
      <c r="FE103" s="43"/>
      <c r="FF103" s="43"/>
      <c r="FG103" s="43"/>
      <c r="FH103" s="43"/>
      <c r="FI103" s="43"/>
    </row>
    <row r="104" ht="18.0" customHeight="1">
      <c r="A104" s="22" t="s">
        <v>116</v>
      </c>
      <c r="B104" s="43" t="s">
        <v>1794</v>
      </c>
      <c r="C104" s="22" t="s">
        <v>283</v>
      </c>
      <c r="D104" s="22" t="s">
        <v>187</v>
      </c>
      <c r="E104" s="43"/>
      <c r="F104" s="22" t="s">
        <v>1795</v>
      </c>
      <c r="G104" s="22" t="s">
        <v>361</v>
      </c>
      <c r="H104" s="22" t="s">
        <v>662</v>
      </c>
      <c r="I104" s="43"/>
      <c r="J104" s="43"/>
      <c r="K104" s="22" t="b">
        <v>1</v>
      </c>
      <c r="L104" s="22" t="b">
        <v>1</v>
      </c>
      <c r="M104" s="22" t="b">
        <v>1</v>
      </c>
      <c r="N104" s="22" t="b">
        <v>1</v>
      </c>
      <c r="O104" s="22" t="b">
        <v>0</v>
      </c>
      <c r="P104" s="22" t="b">
        <v>0</v>
      </c>
      <c r="Q104" s="22" t="b">
        <v>0</v>
      </c>
      <c r="R104" s="43"/>
      <c r="S104" s="43" t="s">
        <v>1796</v>
      </c>
      <c r="T104" s="22" t="s">
        <v>1794</v>
      </c>
      <c r="U104" s="22" t="s">
        <v>1794</v>
      </c>
      <c r="V104" s="22" t="s">
        <v>1794</v>
      </c>
      <c r="W104" s="43"/>
      <c r="X104" s="43"/>
      <c r="Y104" s="43"/>
      <c r="Z104" s="43"/>
      <c r="AA104" s="22">
        <v>2.7036074E8</v>
      </c>
      <c r="AB104" s="22">
        <v>1.726985085E9</v>
      </c>
      <c r="AC104" s="22">
        <v>1.03572448025E11</v>
      </c>
      <c r="AD104" s="22"/>
      <c r="AE104" s="22"/>
      <c r="AF104" s="43"/>
      <c r="AG104" s="43"/>
      <c r="AH104" s="43" t="s">
        <v>1795</v>
      </c>
      <c r="AI104" s="22" t="s">
        <v>1739</v>
      </c>
      <c r="AJ104" s="22" t="s">
        <v>1740</v>
      </c>
      <c r="AK104" s="22" t="s">
        <v>1797</v>
      </c>
      <c r="AL104" s="43"/>
      <c r="AM104" s="43"/>
      <c r="AN104" s="43"/>
      <c r="AO104" s="43"/>
      <c r="AP104" s="46" t="s">
        <v>1798</v>
      </c>
      <c r="AQ104" s="46" t="s">
        <v>1799</v>
      </c>
      <c r="AR104" s="46" t="s">
        <v>1800</v>
      </c>
      <c r="AS104" s="43"/>
      <c r="AT104" s="43"/>
      <c r="AU104" s="43"/>
      <c r="AV104" s="43"/>
      <c r="AW104" s="22" t="s">
        <v>1745</v>
      </c>
      <c r="AX104" s="22" t="s">
        <v>1740</v>
      </c>
      <c r="AY104" s="22" t="s">
        <v>1746</v>
      </c>
      <c r="AZ104" s="43"/>
      <c r="BA104" s="43"/>
      <c r="BB104" s="43"/>
      <c r="BC104" s="43"/>
      <c r="BD104" s="43" t="s">
        <v>374</v>
      </c>
      <c r="BE104" s="43" t="s">
        <v>243</v>
      </c>
      <c r="BF104" s="22" t="s">
        <v>131</v>
      </c>
      <c r="BG104" s="22" t="s">
        <v>132</v>
      </c>
      <c r="BH104" s="22" t="s">
        <v>132</v>
      </c>
      <c r="BI104" s="22" t="s">
        <v>132</v>
      </c>
      <c r="BJ104" s="43"/>
      <c r="BK104" s="43"/>
      <c r="BL104" s="22">
        <v>4.670227415817E12</v>
      </c>
      <c r="BM104" s="22">
        <v>2.106909808E9</v>
      </c>
      <c r="BN104" s="22" t="s">
        <v>1747</v>
      </c>
      <c r="BO104" s="22"/>
      <c r="BP104" s="22" t="s">
        <v>245</v>
      </c>
      <c r="BQ104" s="43"/>
      <c r="BR104" s="43"/>
      <c r="BS104" s="22" t="s">
        <v>1749</v>
      </c>
      <c r="BT104" s="43"/>
      <c r="BU104" s="22" t="s">
        <v>1750</v>
      </c>
      <c r="BV104" s="22" t="s">
        <v>1751</v>
      </c>
      <c r="BW104" s="22" t="s">
        <v>1752</v>
      </c>
      <c r="BX104" s="22">
        <v>300.0</v>
      </c>
      <c r="BY104" s="22" t="s">
        <v>580</v>
      </c>
      <c r="BZ104" s="22"/>
      <c r="CA104" s="22" t="s">
        <v>355</v>
      </c>
      <c r="CB104" s="22" t="s">
        <v>307</v>
      </c>
      <c r="CC104" s="45" t="s">
        <v>1753</v>
      </c>
      <c r="CD104" s="43"/>
      <c r="CE104" s="43"/>
      <c r="CF104" s="45"/>
      <c r="CG104" s="43"/>
      <c r="CH104" s="43"/>
      <c r="CI104" s="43"/>
      <c r="CJ104" s="43"/>
      <c r="CK104" s="43"/>
      <c r="CL104" s="43"/>
      <c r="CM104" s="49">
        <f>IFERROR(VLOOKUP(B104,CC!A:D,4,0)," ")</f>
        <v>433</v>
      </c>
      <c r="CN104" s="22" t="s">
        <v>494</v>
      </c>
      <c r="CO104" s="22"/>
      <c r="CP104" s="22" t="s">
        <v>495</v>
      </c>
      <c r="CQ104" s="22">
        <v>60.0</v>
      </c>
      <c r="CR104" s="43"/>
      <c r="CS104" s="22">
        <v>5.0</v>
      </c>
      <c r="CT104" s="22" t="s">
        <v>496</v>
      </c>
      <c r="CU104" s="43"/>
      <c r="CV104" s="43"/>
      <c r="CW104" s="43"/>
      <c r="CX104" s="43"/>
      <c r="CY104" s="43" t="b">
        <v>0</v>
      </c>
      <c r="CZ104" s="43" t="b">
        <v>0</v>
      </c>
      <c r="DA104" s="43" t="b">
        <v>0</v>
      </c>
      <c r="DB104" s="43" t="b">
        <v>0</v>
      </c>
      <c r="DC104" s="43"/>
      <c r="DD104" s="43"/>
      <c r="DE104" s="43"/>
      <c r="DF104" s="43"/>
      <c r="DG104" s="43"/>
      <c r="DH104" s="43"/>
      <c r="DI104" s="43"/>
      <c r="DJ104" s="22">
        <f>IFERROR(VLOOKUP($B104,'Лист4'!$D:$AI,27,0)," ")</f>
        <v>8</v>
      </c>
      <c r="DK104" s="22">
        <f>IFERROR(VLOOKUP($B104,'Лист4'!$D:$AI,28,0)," ")</f>
        <v>12</v>
      </c>
      <c r="DL104" s="22">
        <f>IFERROR(VLOOKUP($B104,'Лист4'!$D:$AI,29,0)," ")</f>
        <v>8</v>
      </c>
      <c r="DM104" s="22">
        <f t="shared" si="1"/>
        <v>768</v>
      </c>
      <c r="DN104" s="22">
        <f>IFERROR(VLOOKUP($B104,'Лист4'!$D:$AI,32,0)," ")</f>
        <v>0.37</v>
      </c>
      <c r="DO104" s="22"/>
      <c r="DP104" s="22"/>
      <c r="DQ104" s="22"/>
      <c r="DR104" s="22"/>
      <c r="DS104" s="22"/>
      <c r="DT104" s="22"/>
      <c r="DU104" s="22"/>
      <c r="DV104" s="22"/>
      <c r="DW104" s="22"/>
      <c r="DX104" s="22"/>
      <c r="DY104" s="22"/>
      <c r="DZ104" s="22"/>
      <c r="EA104" s="22"/>
      <c r="EB104" s="22"/>
      <c r="EC104" s="22"/>
      <c r="ED104" s="22"/>
      <c r="EE104" s="22"/>
      <c r="EF104" s="22"/>
      <c r="EG104" s="22"/>
      <c r="EH104" s="22"/>
      <c r="EI104" s="22"/>
      <c r="EJ104" s="22"/>
      <c r="EK104" s="22"/>
      <c r="EL104" s="22"/>
      <c r="EM104" s="22"/>
      <c r="EN104" s="22"/>
      <c r="EO104" s="22"/>
      <c r="EP104" s="22"/>
      <c r="EQ104" s="22"/>
      <c r="ER104" s="22"/>
      <c r="ES104" s="43"/>
      <c r="ET104" s="43"/>
      <c r="EU104" s="43"/>
      <c r="EV104" s="43"/>
      <c r="EW104" s="43"/>
      <c r="EX104" s="43"/>
      <c r="EY104" s="43"/>
      <c r="EZ104" s="43"/>
      <c r="FA104" s="43"/>
      <c r="FB104" s="43"/>
      <c r="FC104" s="43"/>
      <c r="FD104" s="43"/>
      <c r="FE104" s="43"/>
      <c r="FF104" s="43"/>
      <c r="FG104" s="43"/>
      <c r="FH104" s="43"/>
      <c r="FI104" s="43"/>
    </row>
    <row r="105" ht="18.0" customHeight="1">
      <c r="A105" s="22" t="s">
        <v>116</v>
      </c>
      <c r="B105" s="43" t="s">
        <v>1801</v>
      </c>
      <c r="C105" s="22" t="s">
        <v>118</v>
      </c>
      <c r="D105" s="22" t="s">
        <v>119</v>
      </c>
      <c r="E105" s="43"/>
      <c r="F105" s="22" t="s">
        <v>1802</v>
      </c>
      <c r="G105" s="22" t="s">
        <v>443</v>
      </c>
      <c r="H105" s="22" t="s">
        <v>1803</v>
      </c>
      <c r="I105" s="43"/>
      <c r="J105" s="43"/>
      <c r="K105" s="22" t="b">
        <v>1</v>
      </c>
      <c r="L105" s="22" t="b">
        <v>1</v>
      </c>
      <c r="M105" s="22" t="b">
        <v>1</v>
      </c>
      <c r="N105" s="22" t="b">
        <v>1</v>
      </c>
      <c r="O105" s="22" t="b">
        <v>0</v>
      </c>
      <c r="P105" s="22" t="b">
        <v>0</v>
      </c>
      <c r="Q105" s="22" t="b">
        <v>0</v>
      </c>
      <c r="R105" s="43"/>
      <c r="S105" s="43" t="s">
        <v>1804</v>
      </c>
      <c r="T105" s="22" t="s">
        <v>1801</v>
      </c>
      <c r="U105" s="22" t="s">
        <v>1801</v>
      </c>
      <c r="V105" s="22" t="s">
        <v>1801</v>
      </c>
      <c r="W105" s="43"/>
      <c r="X105" s="43"/>
      <c r="Y105" s="43"/>
      <c r="Z105" s="43"/>
      <c r="AA105" s="22">
        <v>2.4016933E8</v>
      </c>
      <c r="AB105" s="22">
        <v>1.613729326E9</v>
      </c>
      <c r="AC105" s="22">
        <v>1.03397005171E11</v>
      </c>
      <c r="AD105" s="22"/>
      <c r="AE105" s="22"/>
      <c r="AF105" s="43"/>
      <c r="AG105" s="43"/>
      <c r="AH105" s="43" t="s">
        <v>1802</v>
      </c>
      <c r="AI105" s="22" t="s">
        <v>1805</v>
      </c>
      <c r="AJ105" s="22" t="s">
        <v>1805</v>
      </c>
      <c r="AK105" s="22" t="s">
        <v>1806</v>
      </c>
      <c r="AL105" s="43"/>
      <c r="AM105" s="43"/>
      <c r="AN105" s="43"/>
      <c r="AO105" s="43"/>
      <c r="AP105" s="46" t="s">
        <v>1807</v>
      </c>
      <c r="AQ105" s="46" t="s">
        <v>1808</v>
      </c>
      <c r="AR105" s="46" t="s">
        <v>1809</v>
      </c>
      <c r="AS105" s="43"/>
      <c r="AT105" s="43"/>
      <c r="AU105" s="43"/>
      <c r="AV105" s="43"/>
      <c r="AW105" s="22" t="s">
        <v>1810</v>
      </c>
      <c r="AX105" s="22" t="s">
        <v>1805</v>
      </c>
      <c r="AY105" s="22" t="s">
        <v>635</v>
      </c>
      <c r="AZ105" s="43"/>
      <c r="BA105" s="43"/>
      <c r="BB105" s="43"/>
      <c r="BC105" s="43"/>
      <c r="BD105" s="43" t="s">
        <v>129</v>
      </c>
      <c r="BE105" s="43" t="s">
        <v>130</v>
      </c>
      <c r="BF105" s="22" t="s">
        <v>131</v>
      </c>
      <c r="BG105" s="22" t="s">
        <v>132</v>
      </c>
      <c r="BH105" s="22" t="s">
        <v>132</v>
      </c>
      <c r="BI105" s="22" t="s">
        <v>132</v>
      </c>
      <c r="BJ105" s="43"/>
      <c r="BK105" s="43"/>
      <c r="BL105" s="22">
        <v>4.610172186745E12</v>
      </c>
      <c r="BM105" s="22">
        <v>3.307900008E9</v>
      </c>
      <c r="BN105" s="22" t="s">
        <v>1811</v>
      </c>
      <c r="BO105" s="46" t="s">
        <v>1812</v>
      </c>
      <c r="BP105" s="22" t="s">
        <v>303</v>
      </c>
      <c r="BQ105" s="43"/>
      <c r="BR105" s="43"/>
      <c r="BS105" s="22" t="s">
        <v>1813</v>
      </c>
      <c r="BT105" s="43"/>
      <c r="BU105" s="22" t="s">
        <v>1814</v>
      </c>
      <c r="BV105" s="22" t="s">
        <v>1815</v>
      </c>
      <c r="BW105" s="22" t="s">
        <v>1816</v>
      </c>
      <c r="BX105" s="22">
        <v>250.0</v>
      </c>
      <c r="BY105" s="22" t="s">
        <v>139</v>
      </c>
      <c r="BZ105" s="22"/>
      <c r="CA105" s="22" t="s">
        <v>355</v>
      </c>
      <c r="CB105" s="22" t="s">
        <v>307</v>
      </c>
      <c r="CC105" s="45" t="s">
        <v>1817</v>
      </c>
      <c r="CD105" s="43"/>
      <c r="CE105" s="43"/>
      <c r="CF105" s="45"/>
      <c r="CG105" s="43"/>
      <c r="CH105" s="43"/>
      <c r="CI105" s="43"/>
      <c r="CJ105" s="43"/>
      <c r="CK105" s="43"/>
      <c r="CL105" s="43"/>
      <c r="CM105" s="49">
        <f>IFERROR(VLOOKUP(B105,CC!A:D,4,0)," ")</f>
        <v>109</v>
      </c>
      <c r="CN105" s="22" t="s">
        <v>1818</v>
      </c>
      <c r="CO105" s="22" t="s">
        <v>458</v>
      </c>
      <c r="CP105" s="22" t="s">
        <v>1554</v>
      </c>
      <c r="CQ105" s="22">
        <v>90.0</v>
      </c>
      <c r="CR105" s="43"/>
      <c r="CS105" s="22">
        <v>3.0</v>
      </c>
      <c r="CT105" s="22" t="s">
        <v>145</v>
      </c>
      <c r="CU105" s="43"/>
      <c r="CV105" s="43"/>
      <c r="CW105" s="43"/>
      <c r="CX105" s="43"/>
      <c r="CY105" s="43" t="b">
        <v>0</v>
      </c>
      <c r="CZ105" s="43" t="b">
        <v>0</v>
      </c>
      <c r="DA105" s="43" t="b">
        <v>0</v>
      </c>
      <c r="DB105" s="43" t="b">
        <v>0</v>
      </c>
      <c r="DC105" s="43"/>
      <c r="DD105" s="43"/>
      <c r="DE105" s="43"/>
      <c r="DF105" s="43"/>
      <c r="DG105" s="43"/>
      <c r="DH105" s="43"/>
      <c r="DI105" s="43"/>
      <c r="DJ105" s="22">
        <f>IFERROR(VLOOKUP($B105,'Лист4'!$D:$AI,27,0)," ")</f>
        <v>5</v>
      </c>
      <c r="DK105" s="22">
        <f>IFERROR(VLOOKUP($B105,'Лист4'!$D:$AI,28,0)," ")</f>
        <v>22</v>
      </c>
      <c r="DL105" s="22">
        <f>IFERROR(VLOOKUP($B105,'Лист4'!$D:$AI,29,0)," ")</f>
        <v>5</v>
      </c>
      <c r="DM105" s="22">
        <f t="shared" si="1"/>
        <v>550</v>
      </c>
      <c r="DN105" s="22">
        <f>IFERROR(VLOOKUP($B105,'Лист4'!$D:$AI,32,0)," ")</f>
        <v>0.28</v>
      </c>
      <c r="DO105" s="22"/>
      <c r="DP105" s="22"/>
      <c r="DQ105" s="22"/>
      <c r="DR105" s="22"/>
      <c r="DS105" s="22"/>
      <c r="DT105" s="22"/>
      <c r="DU105" s="22"/>
      <c r="DV105" s="22"/>
      <c r="DW105" s="22"/>
      <c r="DX105" s="22"/>
      <c r="DY105" s="22"/>
      <c r="DZ105" s="22"/>
      <c r="EA105" s="22"/>
      <c r="EB105" s="22"/>
      <c r="EC105" s="22"/>
      <c r="ED105" s="22"/>
      <c r="EE105" s="22"/>
      <c r="EF105" s="22"/>
      <c r="EG105" s="22"/>
      <c r="EH105" s="22"/>
      <c r="EI105" s="22"/>
      <c r="EJ105" s="22"/>
      <c r="EK105" s="22"/>
      <c r="EL105" s="22"/>
      <c r="EM105" s="22"/>
      <c r="EN105" s="22"/>
      <c r="EO105" s="22"/>
      <c r="EP105" s="22"/>
      <c r="EQ105" s="22"/>
      <c r="ER105" s="22"/>
      <c r="ES105" s="43"/>
      <c r="ET105" s="43"/>
      <c r="EU105" s="43"/>
      <c r="EV105" s="43"/>
      <c r="EW105" s="43"/>
      <c r="EX105" s="43"/>
      <c r="EY105" s="43"/>
      <c r="EZ105" s="43"/>
      <c r="FA105" s="43"/>
      <c r="FB105" s="43"/>
      <c r="FC105" s="43"/>
      <c r="FD105" s="43"/>
      <c r="FE105" s="43"/>
      <c r="FF105" s="43"/>
      <c r="FG105" s="43"/>
      <c r="FH105" s="43"/>
      <c r="FI105" s="43"/>
    </row>
    <row r="106" ht="18.0" customHeight="1">
      <c r="A106" s="22" t="s">
        <v>116</v>
      </c>
      <c r="B106" s="43" t="s">
        <v>1819</v>
      </c>
      <c r="C106" s="22" t="s">
        <v>283</v>
      </c>
      <c r="D106" s="22" t="s">
        <v>187</v>
      </c>
      <c r="E106" s="43" t="s">
        <v>971</v>
      </c>
      <c r="F106" s="22" t="s">
        <v>1820</v>
      </c>
      <c r="G106" s="22" t="s">
        <v>286</v>
      </c>
      <c r="H106" s="22" t="s">
        <v>1821</v>
      </c>
      <c r="I106" s="43"/>
      <c r="J106" s="43"/>
      <c r="K106" s="22" t="b">
        <v>1</v>
      </c>
      <c r="L106" s="22" t="b">
        <v>1</v>
      </c>
      <c r="M106" s="22" t="b">
        <v>1</v>
      </c>
      <c r="N106" s="22" t="b">
        <v>1</v>
      </c>
      <c r="O106" s="22" t="b">
        <v>1</v>
      </c>
      <c r="P106" s="22" t="b">
        <v>1</v>
      </c>
      <c r="Q106" s="22" t="b">
        <v>0</v>
      </c>
      <c r="R106" s="43"/>
      <c r="S106" s="43" t="s">
        <v>1822</v>
      </c>
      <c r="T106" s="22" t="s">
        <v>1819</v>
      </c>
      <c r="U106" s="22" t="s">
        <v>1819</v>
      </c>
      <c r="V106" s="22" t="s">
        <v>1819</v>
      </c>
      <c r="W106" s="43" t="s">
        <v>1819</v>
      </c>
      <c r="X106" s="43" t="s">
        <v>1819</v>
      </c>
      <c r="Y106" s="43"/>
      <c r="Z106" s="43"/>
      <c r="AA106" s="22">
        <v>3.02419362E8</v>
      </c>
      <c r="AB106" s="22">
        <v>1.785782001E9</v>
      </c>
      <c r="AC106" s="22">
        <v>1.0368989109E11</v>
      </c>
      <c r="AD106" s="22">
        <v>9.9000116835E10</v>
      </c>
      <c r="AE106" s="22" t="s">
        <v>1823</v>
      </c>
      <c r="AF106" s="43"/>
      <c r="AG106" s="43"/>
      <c r="AH106" s="43" t="s">
        <v>1820</v>
      </c>
      <c r="AI106" s="22" t="s">
        <v>1824</v>
      </c>
      <c r="AJ106" s="22" t="s">
        <v>1825</v>
      </c>
      <c r="AK106" s="22" t="s">
        <v>1826</v>
      </c>
      <c r="AL106" s="22" t="s">
        <v>1827</v>
      </c>
      <c r="AM106" s="22" t="s">
        <v>1824</v>
      </c>
      <c r="AN106" s="43"/>
      <c r="AO106" s="43"/>
      <c r="AP106" s="46" t="s">
        <v>1828</v>
      </c>
      <c r="AQ106" s="46" t="s">
        <v>1829</v>
      </c>
      <c r="AR106" s="46" t="s">
        <v>1830</v>
      </c>
      <c r="AS106" s="43"/>
      <c r="AT106" s="46" t="s">
        <v>1831</v>
      </c>
      <c r="AU106" s="43"/>
      <c r="AV106" s="43"/>
      <c r="AW106" s="22" t="s">
        <v>1832</v>
      </c>
      <c r="AX106" s="22" t="s">
        <v>1825</v>
      </c>
      <c r="AY106" s="22" t="s">
        <v>1833</v>
      </c>
      <c r="AZ106" s="22" t="s">
        <v>1834</v>
      </c>
      <c r="BA106" s="22" t="s">
        <v>1835</v>
      </c>
      <c r="BB106" s="43"/>
      <c r="BC106" s="43"/>
      <c r="BD106" s="43" t="s">
        <v>1449</v>
      </c>
      <c r="BE106" s="43" t="s">
        <v>130</v>
      </c>
      <c r="BF106" s="22" t="s">
        <v>131</v>
      </c>
      <c r="BG106" s="22" t="s">
        <v>132</v>
      </c>
      <c r="BH106" s="22" t="s">
        <v>132</v>
      </c>
      <c r="BI106" s="22" t="s">
        <v>132</v>
      </c>
      <c r="BJ106" s="43"/>
      <c r="BK106" s="43"/>
      <c r="BL106" s="22">
        <v>4.603320465236E12</v>
      </c>
      <c r="BM106" s="22">
        <v>3305.0</v>
      </c>
      <c r="BN106" s="22" t="s">
        <v>1836</v>
      </c>
      <c r="BO106" s="46" t="s">
        <v>1837</v>
      </c>
      <c r="BP106" s="22" t="s">
        <v>303</v>
      </c>
      <c r="BQ106" s="43"/>
      <c r="BR106" s="43"/>
      <c r="BS106" s="22" t="s">
        <v>1838</v>
      </c>
      <c r="BT106" s="43"/>
      <c r="BU106" s="22" t="s">
        <v>1839</v>
      </c>
      <c r="BV106" s="22" t="s">
        <v>1840</v>
      </c>
      <c r="BW106" s="22" t="s">
        <v>1841</v>
      </c>
      <c r="BX106" s="22">
        <v>450.0</v>
      </c>
      <c r="BY106" s="22" t="s">
        <v>139</v>
      </c>
      <c r="BZ106" s="22"/>
      <c r="CA106" s="22" t="s">
        <v>355</v>
      </c>
      <c r="CB106" s="22" t="s">
        <v>307</v>
      </c>
      <c r="CC106" s="45" t="s">
        <v>1842</v>
      </c>
      <c r="CD106" s="43"/>
      <c r="CE106" s="43"/>
      <c r="CF106" s="45"/>
      <c r="CG106" s="43"/>
      <c r="CH106" s="43"/>
      <c r="CI106" s="43"/>
      <c r="CJ106" s="43"/>
      <c r="CK106" s="43"/>
      <c r="CL106" s="43"/>
      <c r="CM106" s="49">
        <f>IFERROR(VLOOKUP(B106,CC!A:D,4,0)," ")</f>
        <v>120</v>
      </c>
      <c r="CN106" s="22" t="s">
        <v>335</v>
      </c>
      <c r="CO106" s="22"/>
      <c r="CP106" s="22" t="s">
        <v>337</v>
      </c>
      <c r="CQ106" s="22">
        <v>60.0</v>
      </c>
      <c r="CR106" s="43"/>
      <c r="CS106" s="22">
        <v>3.0</v>
      </c>
      <c r="CT106" s="22" t="s">
        <v>145</v>
      </c>
      <c r="CU106" s="43"/>
      <c r="CV106" s="43"/>
      <c r="CW106" s="43"/>
      <c r="CX106" s="43"/>
      <c r="CY106" s="43" t="b">
        <v>0</v>
      </c>
      <c r="CZ106" s="43" t="b">
        <v>0</v>
      </c>
      <c r="DA106" s="43" t="b">
        <v>0</v>
      </c>
      <c r="DB106" s="43" t="b">
        <v>0</v>
      </c>
      <c r="DC106" s="43"/>
      <c r="DD106" s="43"/>
      <c r="DE106" s="43"/>
      <c r="DF106" s="43"/>
      <c r="DG106" s="43"/>
      <c r="DH106" s="43"/>
      <c r="DI106" s="43"/>
      <c r="DJ106" s="22">
        <f>IFERROR(VLOOKUP($B106,'Лист4'!$D:$AI,27,0)," ")</f>
        <v>6</v>
      </c>
      <c r="DK106" s="22">
        <f>IFERROR(VLOOKUP($B106,'Лист4'!$D:$AI,28,0)," ")</f>
        <v>22</v>
      </c>
      <c r="DL106" s="22">
        <f>IFERROR(VLOOKUP($B106,'Лист4'!$D:$AI,29,0)," ")</f>
        <v>6</v>
      </c>
      <c r="DM106" s="22">
        <f t="shared" si="1"/>
        <v>792</v>
      </c>
      <c r="DN106" s="22">
        <f>IFERROR(VLOOKUP($B106,'Лист4'!$D:$AI,32,0)," ")</f>
        <v>0.475</v>
      </c>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22"/>
      <c r="EN106" s="22"/>
      <c r="EO106" s="22"/>
      <c r="EP106" s="22"/>
      <c r="EQ106" s="22"/>
      <c r="ER106" s="22"/>
      <c r="ES106" s="43"/>
      <c r="ET106" s="43"/>
      <c r="EU106" s="43"/>
      <c r="EV106" s="43"/>
      <c r="EW106" s="43"/>
      <c r="EX106" s="43"/>
      <c r="EY106" s="43"/>
      <c r="EZ106" s="43"/>
      <c r="FA106" s="43"/>
      <c r="FB106" s="43"/>
      <c r="FC106" s="43"/>
      <c r="FD106" s="43"/>
      <c r="FE106" s="43"/>
      <c r="FF106" s="43"/>
      <c r="FG106" s="43"/>
      <c r="FH106" s="43"/>
      <c r="FI106" s="43"/>
    </row>
    <row r="107" ht="18.0" customHeight="1">
      <c r="A107" s="22" t="s">
        <v>116</v>
      </c>
      <c r="B107" s="43" t="s">
        <v>1843</v>
      </c>
      <c r="C107" s="22" t="s">
        <v>118</v>
      </c>
      <c r="D107" s="22" t="s">
        <v>119</v>
      </c>
      <c r="E107" s="43" t="s">
        <v>1844</v>
      </c>
      <c r="F107" s="22" t="s">
        <v>1845</v>
      </c>
      <c r="G107" s="22" t="s">
        <v>443</v>
      </c>
      <c r="H107" s="22" t="s">
        <v>1846</v>
      </c>
      <c r="I107" s="43"/>
      <c r="J107" s="43"/>
      <c r="K107" s="22" t="b">
        <v>1</v>
      </c>
      <c r="L107" s="22" t="b">
        <v>1</v>
      </c>
      <c r="M107" s="22" t="b">
        <v>1</v>
      </c>
      <c r="N107" s="22" t="b">
        <v>1</v>
      </c>
      <c r="O107" s="22" t="b">
        <v>0</v>
      </c>
      <c r="P107" s="22" t="b">
        <v>0</v>
      </c>
      <c r="Q107" s="22" t="b">
        <v>0</v>
      </c>
      <c r="R107" s="43"/>
      <c r="S107" s="43" t="s">
        <v>1847</v>
      </c>
      <c r="T107" s="22" t="s">
        <v>1843</v>
      </c>
      <c r="U107" s="22" t="s">
        <v>1843</v>
      </c>
      <c r="V107" s="22" t="s">
        <v>1843</v>
      </c>
      <c r="W107" s="43"/>
      <c r="X107" s="43"/>
      <c r="Y107" s="43"/>
      <c r="Z107" s="43"/>
      <c r="AA107" s="22">
        <v>3.25209184E8</v>
      </c>
      <c r="AB107" s="22">
        <v>1.873376596E9</v>
      </c>
      <c r="AC107" s="22">
        <v>1.03812561953E11</v>
      </c>
      <c r="AD107" s="22"/>
      <c r="AE107" s="22"/>
      <c r="AF107" s="43"/>
      <c r="AG107" s="43"/>
      <c r="AH107" s="43" t="s">
        <v>1845</v>
      </c>
      <c r="AI107" s="22" t="s">
        <v>1848</v>
      </c>
      <c r="AJ107" s="22" t="s">
        <v>1849</v>
      </c>
      <c r="AK107" s="22" t="s">
        <v>1850</v>
      </c>
      <c r="AL107" s="43"/>
      <c r="AM107" s="43"/>
      <c r="AN107" s="43"/>
      <c r="AO107" s="43"/>
      <c r="AP107" s="46" t="s">
        <v>1851</v>
      </c>
      <c r="AQ107" s="46" t="s">
        <v>1852</v>
      </c>
      <c r="AR107" s="46" t="s">
        <v>1853</v>
      </c>
      <c r="AS107" s="43"/>
      <c r="AT107" s="43"/>
      <c r="AU107" s="43"/>
      <c r="AV107" s="43"/>
      <c r="AW107" s="22" t="s">
        <v>634</v>
      </c>
      <c r="AX107" s="22" t="s">
        <v>1849</v>
      </c>
      <c r="AY107" s="22" t="s">
        <v>1246</v>
      </c>
      <c r="AZ107" s="43"/>
      <c r="BA107" s="43"/>
      <c r="BB107" s="43"/>
      <c r="BC107" s="43"/>
      <c r="BD107" s="43" t="s">
        <v>129</v>
      </c>
      <c r="BE107" s="43" t="s">
        <v>130</v>
      </c>
      <c r="BF107" s="22" t="s">
        <v>131</v>
      </c>
      <c r="BG107" s="22" t="s">
        <v>132</v>
      </c>
      <c r="BH107" s="22" t="s">
        <v>132</v>
      </c>
      <c r="BI107" s="22" t="s">
        <v>132</v>
      </c>
      <c r="BJ107" s="43"/>
      <c r="BK107" s="43"/>
      <c r="BL107" s="22" t="s">
        <v>1854</v>
      </c>
      <c r="BM107" s="22">
        <v>3.307900008E9</v>
      </c>
      <c r="BN107" s="22" t="s">
        <v>133</v>
      </c>
      <c r="BO107" s="46" t="s">
        <v>1855</v>
      </c>
      <c r="BP107" s="22" t="s">
        <v>303</v>
      </c>
      <c r="BQ107" s="43"/>
      <c r="BR107" s="43"/>
      <c r="BS107" s="22" t="s">
        <v>1856</v>
      </c>
      <c r="BT107" s="43"/>
      <c r="BU107" s="22" t="s">
        <v>1857</v>
      </c>
      <c r="BV107" s="22" t="s">
        <v>1858</v>
      </c>
      <c r="BW107" s="22" t="s">
        <v>1841</v>
      </c>
      <c r="BX107" s="22">
        <v>250.0</v>
      </c>
      <c r="BY107" s="22" t="s">
        <v>139</v>
      </c>
      <c r="BZ107" s="22"/>
      <c r="CA107" s="22" t="s">
        <v>355</v>
      </c>
      <c r="CB107" s="22" t="s">
        <v>307</v>
      </c>
      <c r="CC107" s="45" t="s">
        <v>1859</v>
      </c>
      <c r="CD107" s="43"/>
      <c r="CE107" s="43"/>
      <c r="CF107" s="45"/>
      <c r="CG107" s="54">
        <v>46044.0</v>
      </c>
      <c r="CH107" s="46" t="s">
        <v>1860</v>
      </c>
      <c r="CI107" s="43"/>
      <c r="CJ107" s="43"/>
      <c r="CK107" s="43"/>
      <c r="CL107" s="43"/>
      <c r="CM107" s="49">
        <f>IFERROR(VLOOKUP(B107,CC!A:D,4,0)," ")</f>
        <v>97.27</v>
      </c>
      <c r="CN107" s="22" t="s">
        <v>458</v>
      </c>
      <c r="CO107" s="22"/>
      <c r="CP107" s="22" t="s">
        <v>459</v>
      </c>
      <c r="CQ107" s="22">
        <v>45.0</v>
      </c>
      <c r="CR107" s="43"/>
      <c r="CS107" s="22">
        <v>3.0</v>
      </c>
      <c r="CT107" s="22" t="s">
        <v>145</v>
      </c>
      <c r="CU107" s="43"/>
      <c r="CV107" s="43"/>
      <c r="CW107" s="43"/>
      <c r="CX107" s="43"/>
      <c r="CY107" s="43" t="b">
        <v>0</v>
      </c>
      <c r="CZ107" s="43" t="b">
        <v>0</v>
      </c>
      <c r="DA107" s="43" t="b">
        <v>0</v>
      </c>
      <c r="DB107" s="43" t="b">
        <v>0</v>
      </c>
      <c r="DC107" s="43"/>
      <c r="DD107" s="43"/>
      <c r="DE107" s="43"/>
      <c r="DF107" s="43"/>
      <c r="DG107" s="43"/>
      <c r="DH107" s="43"/>
      <c r="DI107" s="43"/>
      <c r="DJ107" s="22">
        <f>IFERROR(VLOOKUP($B107,'Лист4'!$D:$AI,27,0)," ")</f>
        <v>5</v>
      </c>
      <c r="DK107" s="22">
        <f>IFERROR(VLOOKUP($B107,'Лист4'!$D:$AI,28,0)," ")</f>
        <v>16</v>
      </c>
      <c r="DL107" s="22">
        <f>IFERROR(VLOOKUP($B107,'Лист4'!$D:$AI,29,0)," ")</f>
        <v>5</v>
      </c>
      <c r="DM107" s="22">
        <f t="shared" si="1"/>
        <v>400</v>
      </c>
      <c r="DN107" s="22">
        <f>IFERROR(VLOOKUP($B107,'Лист4'!$D:$AI,32,0)," ")</f>
        <v>0.281</v>
      </c>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22"/>
      <c r="EN107" s="22"/>
      <c r="EO107" s="22"/>
      <c r="EP107" s="22"/>
      <c r="EQ107" s="22"/>
      <c r="ER107" s="22"/>
      <c r="ES107" s="43"/>
      <c r="ET107" s="43"/>
      <c r="EU107" s="43"/>
      <c r="EV107" s="43"/>
      <c r="EW107" s="43"/>
      <c r="EX107" s="43"/>
      <c r="EY107" s="43"/>
      <c r="EZ107" s="43"/>
      <c r="FA107" s="43"/>
      <c r="FB107" s="43"/>
      <c r="FC107" s="43"/>
      <c r="FD107" s="43"/>
      <c r="FE107" s="43"/>
      <c r="FF107" s="43"/>
      <c r="FG107" s="43"/>
      <c r="FH107" s="43"/>
      <c r="FI107" s="43"/>
    </row>
    <row r="108" ht="18.0" customHeight="1">
      <c r="A108" s="22" t="s">
        <v>116</v>
      </c>
      <c r="B108" s="43" t="s">
        <v>1861</v>
      </c>
      <c r="C108" s="22" t="s">
        <v>118</v>
      </c>
      <c r="D108" s="22" t="s">
        <v>119</v>
      </c>
      <c r="E108" s="43"/>
      <c r="F108" s="22" t="s">
        <v>1862</v>
      </c>
      <c r="G108" s="22" t="s">
        <v>443</v>
      </c>
      <c r="H108" s="22" t="s">
        <v>1846</v>
      </c>
      <c r="I108" s="43"/>
      <c r="J108" s="43"/>
      <c r="K108" s="22" t="b">
        <v>1</v>
      </c>
      <c r="L108" s="22" t="b">
        <v>1</v>
      </c>
      <c r="M108" s="22" t="b">
        <v>1</v>
      </c>
      <c r="N108" s="22" t="b">
        <v>1</v>
      </c>
      <c r="O108" s="22" t="b">
        <v>0</v>
      </c>
      <c r="P108" s="22" t="b">
        <v>0</v>
      </c>
      <c r="Q108" s="22" t="b">
        <v>0</v>
      </c>
      <c r="R108" s="43"/>
      <c r="S108" s="43" t="s">
        <v>1863</v>
      </c>
      <c r="T108" s="22" t="s">
        <v>1861</v>
      </c>
      <c r="U108" s="22" t="s">
        <v>1861</v>
      </c>
      <c r="V108" s="22" t="s">
        <v>1861</v>
      </c>
      <c r="W108" s="43"/>
      <c r="X108" s="43"/>
      <c r="Y108" s="43"/>
      <c r="Z108" s="43"/>
      <c r="AA108" s="22">
        <v>2.19926965E8</v>
      </c>
      <c r="AB108" s="22">
        <v>1.503121227E9</v>
      </c>
      <c r="AC108" s="22">
        <v>1.03397002661E11</v>
      </c>
      <c r="AD108" s="22"/>
      <c r="AE108" s="22"/>
      <c r="AF108" s="43"/>
      <c r="AG108" s="43"/>
      <c r="AH108" s="43" t="s">
        <v>1862</v>
      </c>
      <c r="AI108" s="22" t="s">
        <v>629</v>
      </c>
      <c r="AJ108" s="22" t="s">
        <v>629</v>
      </c>
      <c r="AK108" s="22" t="s">
        <v>630</v>
      </c>
      <c r="AL108" s="43"/>
      <c r="AM108" s="43"/>
      <c r="AN108" s="43"/>
      <c r="AO108" s="43"/>
      <c r="AP108" s="46" t="s">
        <v>1864</v>
      </c>
      <c r="AQ108" s="46" t="s">
        <v>632</v>
      </c>
      <c r="AR108" s="46" t="s">
        <v>633</v>
      </c>
      <c r="AS108" s="43"/>
      <c r="AT108" s="43"/>
      <c r="AU108" s="43"/>
      <c r="AV108" s="43"/>
      <c r="AW108" s="22" t="s">
        <v>634</v>
      </c>
      <c r="AX108" s="22" t="s">
        <v>629</v>
      </c>
      <c r="AY108" s="22" t="s">
        <v>635</v>
      </c>
      <c r="AZ108" s="43"/>
      <c r="BA108" s="43"/>
      <c r="BB108" s="43"/>
      <c r="BC108" s="43"/>
      <c r="BD108" s="43" t="s">
        <v>129</v>
      </c>
      <c r="BE108" s="43" t="s">
        <v>130</v>
      </c>
      <c r="BF108" s="22" t="s">
        <v>131</v>
      </c>
      <c r="BG108" s="22" t="s">
        <v>132</v>
      </c>
      <c r="BH108" s="22" t="s">
        <v>132</v>
      </c>
      <c r="BI108" s="22" t="s">
        <v>132</v>
      </c>
      <c r="BJ108" s="43"/>
      <c r="BK108" s="43"/>
      <c r="BL108" s="22">
        <v>4.605543012518E12</v>
      </c>
      <c r="BM108" s="22">
        <v>3.307900008E9</v>
      </c>
      <c r="BN108" s="22" t="s">
        <v>1865</v>
      </c>
      <c r="BO108" s="46" t="s">
        <v>1866</v>
      </c>
      <c r="BP108" s="22" t="s">
        <v>303</v>
      </c>
      <c r="BQ108" s="43"/>
      <c r="BR108" s="43"/>
      <c r="BS108" s="22" t="s">
        <v>1867</v>
      </c>
      <c r="BT108" s="43"/>
      <c r="BU108" s="22" t="s">
        <v>1868</v>
      </c>
      <c r="BV108" s="43" t="s">
        <v>1869</v>
      </c>
      <c r="BW108" s="22" t="s">
        <v>1841</v>
      </c>
      <c r="BX108" s="22">
        <v>500.0</v>
      </c>
      <c r="BY108" s="22" t="s">
        <v>139</v>
      </c>
      <c r="BZ108" s="22"/>
      <c r="CA108" s="22" t="s">
        <v>355</v>
      </c>
      <c r="CB108" s="22" t="s">
        <v>307</v>
      </c>
      <c r="CC108" s="45" t="s">
        <v>1870</v>
      </c>
      <c r="CD108" s="43"/>
      <c r="CE108" s="43"/>
      <c r="CF108" s="45"/>
      <c r="CG108" s="43"/>
      <c r="CH108" s="43"/>
      <c r="CI108" s="43"/>
      <c r="CJ108" s="43"/>
      <c r="CK108" s="43"/>
      <c r="CL108" s="43"/>
      <c r="CM108" s="49">
        <f>IFERROR(VLOOKUP(B108,CC!A:D,4,0)," ")</f>
        <v>79.35</v>
      </c>
      <c r="CN108" s="22" t="s">
        <v>143</v>
      </c>
      <c r="CO108" s="22"/>
      <c r="CP108" s="22" t="s">
        <v>168</v>
      </c>
      <c r="CQ108" s="22">
        <v>30.0</v>
      </c>
      <c r="CR108" s="43"/>
      <c r="CS108" s="22">
        <v>1.0</v>
      </c>
      <c r="CT108" s="22" t="s">
        <v>145</v>
      </c>
      <c r="CU108" s="43"/>
      <c r="CV108" s="43"/>
      <c r="CW108" s="43"/>
      <c r="CX108" s="43"/>
      <c r="CY108" s="43" t="b">
        <v>0</v>
      </c>
      <c r="CZ108" s="43" t="b">
        <v>0</v>
      </c>
      <c r="DA108" s="43" t="b">
        <v>0</v>
      </c>
      <c r="DB108" s="43" t="b">
        <v>0</v>
      </c>
      <c r="DC108" s="43"/>
      <c r="DD108" s="43"/>
      <c r="DE108" s="43"/>
      <c r="DF108" s="43"/>
      <c r="DG108" s="43"/>
      <c r="DH108" s="43"/>
      <c r="DI108" s="43"/>
      <c r="DJ108" s="22">
        <f>IFERROR(VLOOKUP($B108,'Лист4'!$D:$AI,27,0)," ")</f>
        <v>18</v>
      </c>
      <c r="DK108" s="22">
        <f>IFERROR(VLOOKUP($B108,'Лист4'!$D:$AI,28,0)," ")</f>
        <v>6</v>
      </c>
      <c r="DL108" s="22">
        <f>IFERROR(VLOOKUP($B108,'Лист4'!$D:$AI,29,0)," ")</f>
        <v>18</v>
      </c>
      <c r="DM108" s="22">
        <f t="shared" si="1"/>
        <v>1944</v>
      </c>
      <c r="DN108" s="22">
        <f>IFERROR(VLOOKUP($B108,'Лист4'!$D:$AI,32,0)," ")</f>
        <v>0.55</v>
      </c>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43"/>
      <c r="ET108" s="43"/>
      <c r="EU108" s="43"/>
      <c r="EV108" s="43"/>
      <c r="EW108" s="43"/>
      <c r="EX108" s="43"/>
      <c r="EY108" s="43"/>
      <c r="EZ108" s="43"/>
      <c r="FA108" s="43"/>
      <c r="FB108" s="43"/>
      <c r="FC108" s="43"/>
      <c r="FD108" s="43"/>
      <c r="FE108" s="43"/>
      <c r="FF108" s="43"/>
      <c r="FG108" s="43"/>
      <c r="FH108" s="43"/>
      <c r="FI108" s="43"/>
    </row>
    <row r="109" ht="18.0" customHeight="1">
      <c r="A109" s="22" t="s">
        <v>116</v>
      </c>
      <c r="B109" s="43" t="s">
        <v>1871</v>
      </c>
      <c r="C109" s="22" t="s">
        <v>118</v>
      </c>
      <c r="D109" s="22" t="s">
        <v>119</v>
      </c>
      <c r="E109" s="43" t="s">
        <v>1844</v>
      </c>
      <c r="F109" s="22" t="s">
        <v>1872</v>
      </c>
      <c r="G109" s="22" t="s">
        <v>443</v>
      </c>
      <c r="H109" s="22" t="s">
        <v>1873</v>
      </c>
      <c r="I109" s="43"/>
      <c r="J109" s="43"/>
      <c r="K109" s="22" t="b">
        <v>1</v>
      </c>
      <c r="L109" s="22" t="b">
        <v>1</v>
      </c>
      <c r="M109" s="22" t="b">
        <v>1</v>
      </c>
      <c r="N109" s="22" t="b">
        <v>1</v>
      </c>
      <c r="O109" s="22" t="b">
        <v>0</v>
      </c>
      <c r="P109" s="22" t="b">
        <v>0</v>
      </c>
      <c r="Q109" s="22" t="b">
        <v>0</v>
      </c>
      <c r="R109" s="43"/>
      <c r="S109" s="43" t="s">
        <v>1874</v>
      </c>
      <c r="T109" s="22" t="s">
        <v>1871</v>
      </c>
      <c r="U109" s="22" t="s">
        <v>1871</v>
      </c>
      <c r="V109" s="22" t="s">
        <v>1871</v>
      </c>
      <c r="W109" s="43"/>
      <c r="X109" s="43"/>
      <c r="Y109" s="43"/>
      <c r="Z109" s="43"/>
      <c r="AA109" s="22">
        <v>3.25216323E8</v>
      </c>
      <c r="AB109" s="22">
        <v>1.873383663E9</v>
      </c>
      <c r="AC109" s="22">
        <v>1.03812550678E11</v>
      </c>
      <c r="AD109" s="22"/>
      <c r="AE109" s="22"/>
      <c r="AF109" s="43"/>
      <c r="AG109" s="43"/>
      <c r="AH109" s="43" t="s">
        <v>1872</v>
      </c>
      <c r="AI109" s="22" t="s">
        <v>1875</v>
      </c>
      <c r="AJ109" s="22" t="s">
        <v>1876</v>
      </c>
      <c r="AK109" s="22" t="s">
        <v>1877</v>
      </c>
      <c r="AL109" s="43"/>
      <c r="AM109" s="43"/>
      <c r="AN109" s="43"/>
      <c r="AO109" s="43"/>
      <c r="AP109" s="46" t="s">
        <v>1878</v>
      </c>
      <c r="AQ109" s="46" t="s">
        <v>1879</v>
      </c>
      <c r="AR109" s="46" t="s">
        <v>1880</v>
      </c>
      <c r="AS109" s="43"/>
      <c r="AT109" s="43"/>
      <c r="AU109" s="43"/>
      <c r="AV109" s="43"/>
      <c r="AW109" s="22" t="s">
        <v>634</v>
      </c>
      <c r="AX109" s="22" t="s">
        <v>1876</v>
      </c>
      <c r="AY109" s="22" t="s">
        <v>1246</v>
      </c>
      <c r="AZ109" s="43"/>
      <c r="BA109" s="43"/>
      <c r="BB109" s="43"/>
      <c r="BC109" s="43"/>
      <c r="BD109" s="43" t="s">
        <v>129</v>
      </c>
      <c r="BE109" s="43" t="s">
        <v>130</v>
      </c>
      <c r="BF109" s="22" t="s">
        <v>131</v>
      </c>
      <c r="BG109" s="22" t="s">
        <v>132</v>
      </c>
      <c r="BH109" s="22" t="s">
        <v>132</v>
      </c>
      <c r="BI109" s="22" t="s">
        <v>132</v>
      </c>
      <c r="BJ109" s="43"/>
      <c r="BK109" s="43"/>
      <c r="BL109" s="22" t="s">
        <v>1881</v>
      </c>
      <c r="BM109" s="22">
        <v>3.307900008E9</v>
      </c>
      <c r="BN109" s="22" t="s">
        <v>133</v>
      </c>
      <c r="BO109" s="46" t="s">
        <v>1882</v>
      </c>
      <c r="BP109" s="22" t="s">
        <v>303</v>
      </c>
      <c r="BQ109" s="43"/>
      <c r="BR109" s="43"/>
      <c r="BS109" s="22" t="s">
        <v>1856</v>
      </c>
      <c r="BT109" s="43"/>
      <c r="BU109" s="22" t="s">
        <v>1857</v>
      </c>
      <c r="BV109" s="22" t="s">
        <v>1858</v>
      </c>
      <c r="BW109" s="22" t="s">
        <v>1841</v>
      </c>
      <c r="BX109" s="22">
        <v>500.0</v>
      </c>
      <c r="BY109" s="22" t="s">
        <v>139</v>
      </c>
      <c r="BZ109" s="22"/>
      <c r="CA109" s="22" t="s">
        <v>355</v>
      </c>
      <c r="CB109" s="22" t="s">
        <v>307</v>
      </c>
      <c r="CC109" s="45" t="s">
        <v>1883</v>
      </c>
      <c r="CD109" s="43"/>
      <c r="CE109" s="43"/>
      <c r="CF109" s="45"/>
      <c r="CG109" s="43"/>
      <c r="CH109" s="43"/>
      <c r="CI109" s="43"/>
      <c r="CJ109" s="43"/>
      <c r="CK109" s="43"/>
      <c r="CL109" s="43"/>
      <c r="CM109" s="49">
        <f>IFERROR(VLOOKUP(B109,CC!A:D,4,0)," ")</f>
        <v>99</v>
      </c>
      <c r="CN109" s="22" t="s">
        <v>458</v>
      </c>
      <c r="CO109" s="22"/>
      <c r="CP109" s="22" t="s">
        <v>459</v>
      </c>
      <c r="CQ109" s="22">
        <v>45.0</v>
      </c>
      <c r="CR109" s="43"/>
      <c r="CS109" s="22">
        <v>3.0</v>
      </c>
      <c r="CT109" s="22" t="s">
        <v>145</v>
      </c>
      <c r="CU109" s="43"/>
      <c r="CV109" s="43"/>
      <c r="CW109" s="43"/>
      <c r="CX109" s="43"/>
      <c r="CY109" s="43" t="b">
        <v>0</v>
      </c>
      <c r="CZ109" s="43" t="b">
        <v>0</v>
      </c>
      <c r="DA109" s="43" t="b">
        <v>0</v>
      </c>
      <c r="DB109" s="43" t="b">
        <v>0</v>
      </c>
      <c r="DC109" s="43"/>
      <c r="DD109" s="43"/>
      <c r="DE109" s="43"/>
      <c r="DF109" s="43"/>
      <c r="DG109" s="43"/>
      <c r="DH109" s="43"/>
      <c r="DI109" s="43"/>
      <c r="DJ109" s="22">
        <f>IFERROR(VLOOKUP($B109,'Лист4'!$D:$AI,27,0)," ")</f>
        <v>7</v>
      </c>
      <c r="DK109" s="22">
        <f>IFERROR(VLOOKUP($B109,'Лист4'!$D:$AI,28,0)," ")</f>
        <v>16</v>
      </c>
      <c r="DL109" s="22">
        <f>IFERROR(VLOOKUP($B109,'Лист4'!$D:$AI,29,0)," ")</f>
        <v>7</v>
      </c>
      <c r="DM109" s="22">
        <f t="shared" si="1"/>
        <v>784</v>
      </c>
      <c r="DN109" s="22">
        <f>IFERROR(VLOOKUP($B109,'Лист4'!$D:$AI,32,0)," ")</f>
        <v>0.55</v>
      </c>
      <c r="DO109" s="22"/>
      <c r="DP109" s="22"/>
      <c r="DQ109" s="22"/>
      <c r="DR109" s="22"/>
      <c r="DS109" s="22"/>
      <c r="DT109" s="22"/>
      <c r="DU109" s="22"/>
      <c r="DV109" s="22"/>
      <c r="DW109" s="22"/>
      <c r="DX109" s="22"/>
      <c r="DY109" s="22"/>
      <c r="DZ109" s="22"/>
      <c r="EA109" s="22"/>
      <c r="EB109" s="22"/>
      <c r="EC109" s="22"/>
      <c r="ED109" s="22"/>
      <c r="EE109" s="22"/>
      <c r="EF109" s="22"/>
      <c r="EG109" s="22"/>
      <c r="EH109" s="22"/>
      <c r="EI109" s="22"/>
      <c r="EJ109" s="22"/>
      <c r="EK109" s="22"/>
      <c r="EL109" s="22"/>
      <c r="EM109" s="22"/>
      <c r="EN109" s="22"/>
      <c r="EO109" s="22"/>
      <c r="EP109" s="22"/>
      <c r="EQ109" s="22"/>
      <c r="ER109" s="22"/>
      <c r="ES109" s="43"/>
      <c r="ET109" s="43"/>
      <c r="EU109" s="43"/>
      <c r="EV109" s="43"/>
      <c r="EW109" s="43"/>
      <c r="EX109" s="43"/>
      <c r="EY109" s="43"/>
      <c r="EZ109" s="43"/>
      <c r="FA109" s="43"/>
      <c r="FB109" s="43"/>
      <c r="FC109" s="43"/>
      <c r="FD109" s="43"/>
      <c r="FE109" s="43"/>
      <c r="FF109" s="43"/>
      <c r="FG109" s="43"/>
      <c r="FH109" s="43"/>
      <c r="FI109" s="43"/>
    </row>
    <row r="110" ht="18.0" customHeight="1">
      <c r="A110" s="22" t="s">
        <v>116</v>
      </c>
      <c r="B110" s="43" t="s">
        <v>1884</v>
      </c>
      <c r="C110" s="22" t="s">
        <v>118</v>
      </c>
      <c r="D110" s="22" t="s">
        <v>119</v>
      </c>
      <c r="E110" s="43"/>
      <c r="F110" s="22" t="s">
        <v>1885</v>
      </c>
      <c r="G110" s="22" t="s">
        <v>443</v>
      </c>
      <c r="H110" s="22" t="s">
        <v>1886</v>
      </c>
      <c r="I110" s="43"/>
      <c r="J110" s="43"/>
      <c r="K110" s="22" t="b">
        <v>1</v>
      </c>
      <c r="L110" s="22" t="b">
        <v>1</v>
      </c>
      <c r="M110" s="22" t="b">
        <v>1</v>
      </c>
      <c r="N110" s="22" t="b">
        <v>1</v>
      </c>
      <c r="O110" s="22" t="b">
        <v>0</v>
      </c>
      <c r="P110" s="22" t="b">
        <v>0</v>
      </c>
      <c r="Q110" s="22" t="b">
        <v>0</v>
      </c>
      <c r="R110" s="43"/>
      <c r="S110" s="43" t="s">
        <v>1887</v>
      </c>
      <c r="T110" s="22" t="s">
        <v>1884</v>
      </c>
      <c r="U110" s="22" t="s">
        <v>1884</v>
      </c>
      <c r="V110" s="22" t="s">
        <v>1884</v>
      </c>
      <c r="W110" s="43"/>
      <c r="X110" s="43"/>
      <c r="Y110" s="43"/>
      <c r="Z110" s="43"/>
      <c r="AA110" s="22">
        <v>2.55212157E8</v>
      </c>
      <c r="AB110" s="22">
        <v>1.703618254E9</v>
      </c>
      <c r="AC110" s="22">
        <v>1.03536273553E11</v>
      </c>
      <c r="AD110" s="22"/>
      <c r="AE110" s="22"/>
      <c r="AF110" s="43"/>
      <c r="AG110" s="43"/>
      <c r="AH110" s="43" t="s">
        <v>1885</v>
      </c>
      <c r="AI110" s="22" t="s">
        <v>1888</v>
      </c>
      <c r="AJ110" s="22" t="s">
        <v>1889</v>
      </c>
      <c r="AK110" s="22" t="s">
        <v>1890</v>
      </c>
      <c r="AL110" s="43"/>
      <c r="AM110" s="43"/>
      <c r="AN110" s="43"/>
      <c r="AO110" s="43"/>
      <c r="AP110" s="46" t="s">
        <v>1891</v>
      </c>
      <c r="AQ110" s="46" t="s">
        <v>1892</v>
      </c>
      <c r="AR110" s="46" t="s">
        <v>1893</v>
      </c>
      <c r="AS110" s="43"/>
      <c r="AT110" s="43"/>
      <c r="AU110" s="43"/>
      <c r="AV110" s="43"/>
      <c r="AW110" s="22" t="s">
        <v>634</v>
      </c>
      <c r="AX110" s="22" t="s">
        <v>1889</v>
      </c>
      <c r="AY110" s="22" t="s">
        <v>635</v>
      </c>
      <c r="AZ110" s="43"/>
      <c r="BA110" s="43"/>
      <c r="BB110" s="43"/>
      <c r="BC110" s="43"/>
      <c r="BD110" s="43" t="s">
        <v>129</v>
      </c>
      <c r="BE110" s="43" t="s">
        <v>130</v>
      </c>
      <c r="BF110" s="22" t="s">
        <v>131</v>
      </c>
      <c r="BG110" s="22" t="s">
        <v>132</v>
      </c>
      <c r="BH110" s="22" t="s">
        <v>132</v>
      </c>
      <c r="BI110" s="22" t="s">
        <v>132</v>
      </c>
      <c r="BJ110" s="43"/>
      <c r="BK110" s="43"/>
      <c r="BL110" s="22" t="s">
        <v>1894</v>
      </c>
      <c r="BM110" s="22">
        <v>3.307900008E9</v>
      </c>
      <c r="BN110" s="22" t="s">
        <v>133</v>
      </c>
      <c r="BO110" s="46" t="s">
        <v>1895</v>
      </c>
      <c r="BP110" s="22" t="s">
        <v>303</v>
      </c>
      <c r="BQ110" s="43"/>
      <c r="BR110" s="43"/>
      <c r="BS110" s="22" t="s">
        <v>1896</v>
      </c>
      <c r="BT110" s="43"/>
      <c r="BU110" s="22" t="s">
        <v>1857</v>
      </c>
      <c r="BV110" s="22" t="s">
        <v>1858</v>
      </c>
      <c r="BW110" s="22" t="s">
        <v>1841</v>
      </c>
      <c r="BX110" s="22">
        <v>500.0</v>
      </c>
      <c r="BY110" s="22" t="s">
        <v>139</v>
      </c>
      <c r="BZ110" s="22"/>
      <c r="CA110" s="22" t="s">
        <v>355</v>
      </c>
      <c r="CB110" s="22" t="s">
        <v>307</v>
      </c>
      <c r="CC110" s="45" t="s">
        <v>1897</v>
      </c>
      <c r="CD110" s="43"/>
      <c r="CE110" s="43"/>
      <c r="CF110" s="45"/>
      <c r="CG110" s="54">
        <v>46044.0</v>
      </c>
      <c r="CH110" s="46" t="s">
        <v>1898</v>
      </c>
      <c r="CI110" s="43"/>
      <c r="CJ110" s="43"/>
      <c r="CK110" s="43"/>
      <c r="CL110" s="43"/>
      <c r="CM110" s="49">
        <f>IFERROR(VLOOKUP(B110,CC!A:D,4,0)," ")</f>
        <v>99.47</v>
      </c>
      <c r="CN110" s="22" t="s">
        <v>458</v>
      </c>
      <c r="CO110" s="22"/>
      <c r="CP110" s="22" t="s">
        <v>459</v>
      </c>
      <c r="CQ110" s="22">
        <v>45.0</v>
      </c>
      <c r="CR110" s="43"/>
      <c r="CS110" s="22">
        <v>3.0</v>
      </c>
      <c r="CT110" s="22" t="s">
        <v>145</v>
      </c>
      <c r="CU110" s="43"/>
      <c r="CV110" s="43"/>
      <c r="CW110" s="43"/>
      <c r="CX110" s="43"/>
      <c r="CY110" s="43" t="b">
        <v>0</v>
      </c>
      <c r="CZ110" s="43" t="b">
        <v>0</v>
      </c>
      <c r="DA110" s="43" t="b">
        <v>0</v>
      </c>
      <c r="DB110" s="43" t="b">
        <v>0</v>
      </c>
      <c r="DC110" s="43"/>
      <c r="DD110" s="43"/>
      <c r="DE110" s="43"/>
      <c r="DF110" s="43"/>
      <c r="DG110" s="43"/>
      <c r="DH110" s="43"/>
      <c r="DI110" s="43"/>
      <c r="DJ110" s="22">
        <f>IFERROR(VLOOKUP($B110,'Лист4'!$D:$AI,27,0)," ")</f>
        <v>8</v>
      </c>
      <c r="DK110" s="22">
        <f>IFERROR(VLOOKUP($B110,'Лист4'!$D:$AI,28,0)," ")</f>
        <v>16</v>
      </c>
      <c r="DL110" s="22">
        <f>IFERROR(VLOOKUP($B110,'Лист4'!$D:$AI,29,0)," ")</f>
        <v>8</v>
      </c>
      <c r="DM110" s="22">
        <f t="shared" si="1"/>
        <v>1024</v>
      </c>
      <c r="DN110" s="22">
        <f>IFERROR(VLOOKUP($B110,'Лист4'!$D:$AI,32,0)," ")</f>
        <v>0.55</v>
      </c>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22"/>
      <c r="EN110" s="22"/>
      <c r="EO110" s="22"/>
      <c r="EP110" s="22"/>
      <c r="EQ110" s="22"/>
      <c r="ER110" s="22"/>
      <c r="ES110" s="43"/>
      <c r="ET110" s="43"/>
      <c r="EU110" s="43"/>
      <c r="EV110" s="43"/>
      <c r="EW110" s="43"/>
      <c r="EX110" s="43"/>
      <c r="EY110" s="43"/>
      <c r="EZ110" s="43"/>
      <c r="FA110" s="43"/>
      <c r="FB110" s="43"/>
      <c r="FC110" s="43"/>
      <c r="FD110" s="43"/>
      <c r="FE110" s="43"/>
      <c r="FF110" s="43"/>
      <c r="FG110" s="43"/>
      <c r="FH110" s="43"/>
      <c r="FI110" s="43"/>
    </row>
    <row r="111" ht="18.0" customHeight="1">
      <c r="A111" s="22" t="s">
        <v>116</v>
      </c>
      <c r="B111" s="43" t="s">
        <v>1899</v>
      </c>
      <c r="C111" s="22" t="s">
        <v>283</v>
      </c>
      <c r="D111" s="22" t="s">
        <v>187</v>
      </c>
      <c r="E111" s="43" t="s">
        <v>521</v>
      </c>
      <c r="F111" s="22" t="s">
        <v>1900</v>
      </c>
      <c r="G111" s="22"/>
      <c r="H111" s="22"/>
      <c r="I111" s="43"/>
      <c r="J111" s="43"/>
      <c r="K111" s="22" t="b">
        <v>1</v>
      </c>
      <c r="L111" s="22" t="b">
        <v>1</v>
      </c>
      <c r="M111" s="22" t="b">
        <v>1</v>
      </c>
      <c r="N111" s="22" t="b">
        <v>0</v>
      </c>
      <c r="O111" s="22" t="b">
        <v>0</v>
      </c>
      <c r="P111" s="22" t="b">
        <v>0</v>
      </c>
      <c r="Q111" s="22" t="b">
        <v>0</v>
      </c>
      <c r="R111" s="43"/>
      <c r="S111" s="43" t="s">
        <v>1901</v>
      </c>
      <c r="T111" s="22" t="s">
        <v>1899</v>
      </c>
      <c r="U111" s="22" t="s">
        <v>1899</v>
      </c>
      <c r="V111" s="22"/>
      <c r="W111" s="43"/>
      <c r="X111" s="43"/>
      <c r="Y111" s="43"/>
      <c r="Z111" s="43"/>
      <c r="AA111" s="22">
        <v>2.32462E8</v>
      </c>
      <c r="AB111" s="22">
        <v>1.581800376E9</v>
      </c>
      <c r="AC111" s="22"/>
      <c r="AD111" s="22"/>
      <c r="AE111" s="22"/>
      <c r="AF111" s="43"/>
      <c r="AG111" s="43"/>
      <c r="AH111" s="43" t="s">
        <v>1900</v>
      </c>
      <c r="AI111" s="22" t="s">
        <v>1902</v>
      </c>
      <c r="AJ111" s="22" t="s">
        <v>1903</v>
      </c>
      <c r="AK111" s="43"/>
      <c r="AL111" s="43"/>
      <c r="AM111" s="43"/>
      <c r="AN111" s="43"/>
      <c r="AO111" s="43"/>
      <c r="AP111" s="46" t="s">
        <v>1904</v>
      </c>
      <c r="AQ111" s="46" t="s">
        <v>1905</v>
      </c>
      <c r="AR111" s="43"/>
      <c r="AS111" s="43"/>
      <c r="AT111" s="43"/>
      <c r="AU111" s="43"/>
      <c r="AV111" s="43"/>
      <c r="AW111" s="22" t="s">
        <v>361</v>
      </c>
      <c r="AX111" s="22" t="s">
        <v>1903</v>
      </c>
      <c r="AY111" s="43"/>
      <c r="AZ111" s="43"/>
      <c r="BA111" s="43"/>
      <c r="BB111" s="43"/>
      <c r="BC111" s="43"/>
      <c r="BD111" s="43" t="s">
        <v>194</v>
      </c>
      <c r="BE111" s="43" t="s">
        <v>243</v>
      </c>
      <c r="BF111" s="22" t="s">
        <v>131</v>
      </c>
      <c r="BG111" s="22" t="s">
        <v>132</v>
      </c>
      <c r="BH111" s="22" t="s">
        <v>132</v>
      </c>
      <c r="BI111" s="22" t="s">
        <v>132</v>
      </c>
      <c r="BJ111" s="43"/>
      <c r="BK111" s="43"/>
      <c r="BL111" s="22">
        <v>4.680169562692E12</v>
      </c>
      <c r="BM111" s="22">
        <v>2.106909808E9</v>
      </c>
      <c r="BN111" s="22" t="s">
        <v>1906</v>
      </c>
      <c r="BO111" s="22"/>
      <c r="BP111" s="22" t="s">
        <v>245</v>
      </c>
      <c r="BQ111" s="43"/>
      <c r="BR111" s="43"/>
      <c r="BS111" s="22" t="s">
        <v>1907</v>
      </c>
      <c r="BT111" s="43"/>
      <c r="BU111" s="22" t="s">
        <v>1908</v>
      </c>
      <c r="BV111" s="43" t="s">
        <v>1909</v>
      </c>
      <c r="BW111" s="22" t="s">
        <v>1910</v>
      </c>
      <c r="BX111" s="22">
        <v>60.0</v>
      </c>
      <c r="BY111" s="22" t="s">
        <v>492</v>
      </c>
      <c r="BZ111" s="43"/>
      <c r="CA111" s="22" t="s">
        <v>355</v>
      </c>
      <c r="CB111" s="22" t="s">
        <v>307</v>
      </c>
      <c r="CC111" s="45" t="s">
        <v>1911</v>
      </c>
      <c r="CD111" s="43"/>
      <c r="CE111" s="43"/>
      <c r="CF111" s="45"/>
      <c r="CG111" s="43"/>
      <c r="CH111" s="43"/>
      <c r="CI111" s="43"/>
      <c r="CJ111" s="43"/>
      <c r="CK111" s="43"/>
      <c r="CL111" s="43"/>
      <c r="CM111" s="49">
        <f>IFERROR(VLOOKUP(B111,CC!A:D,4,0)," ")</f>
        <v>172</v>
      </c>
      <c r="CN111" s="22" t="s">
        <v>1912</v>
      </c>
      <c r="CO111" s="22"/>
      <c r="CP111" s="22" t="s">
        <v>1913</v>
      </c>
      <c r="CQ111" s="22">
        <v>90.0</v>
      </c>
      <c r="CR111" s="43"/>
      <c r="CS111" s="43"/>
      <c r="CT111" s="22" t="s">
        <v>145</v>
      </c>
      <c r="CU111" s="43"/>
      <c r="CV111" s="43"/>
      <c r="CW111" s="43"/>
      <c r="CX111" s="43"/>
      <c r="CY111" s="43" t="b">
        <v>0</v>
      </c>
      <c r="CZ111" s="43" t="b">
        <v>0</v>
      </c>
      <c r="DA111" s="43" t="b">
        <v>0</v>
      </c>
      <c r="DB111" s="43" t="b">
        <v>0</v>
      </c>
      <c r="DC111" s="43"/>
      <c r="DD111" s="43"/>
      <c r="DE111" s="43"/>
      <c r="DF111" s="43"/>
      <c r="DG111" s="43"/>
      <c r="DH111" s="43"/>
      <c r="DI111" s="43"/>
      <c r="DJ111" s="22">
        <f>IFERROR(VLOOKUP($B111,'Лист4'!$D:$AI,27,0)," ")</f>
        <v>5</v>
      </c>
      <c r="DK111" s="22">
        <f>IFERROR(VLOOKUP($B111,'Лист4'!$D:$AI,28,0)," ")</f>
        <v>5</v>
      </c>
      <c r="DL111" s="22">
        <f>IFERROR(VLOOKUP($B111,'Лист4'!$D:$AI,29,0)," ")</f>
        <v>5</v>
      </c>
      <c r="DM111" s="22">
        <f t="shared" si="1"/>
        <v>125</v>
      </c>
      <c r="DN111" s="22">
        <f>IFERROR(VLOOKUP($B111,'Лист4'!$D:$AI,32,0)," ")</f>
        <v>0.05</v>
      </c>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22"/>
      <c r="EN111" s="22"/>
      <c r="EO111" s="22"/>
      <c r="EP111" s="22"/>
      <c r="EQ111" s="22"/>
      <c r="ER111" s="22"/>
      <c r="ES111" s="43"/>
      <c r="ET111" s="43"/>
      <c r="EU111" s="43"/>
      <c r="EV111" s="43"/>
      <c r="EW111" s="43"/>
      <c r="EX111" s="43"/>
      <c r="EY111" s="43"/>
      <c r="EZ111" s="43"/>
      <c r="FA111" s="43"/>
      <c r="FB111" s="43"/>
      <c r="FC111" s="43"/>
      <c r="FD111" s="43"/>
      <c r="FE111" s="43"/>
      <c r="FF111" s="43"/>
      <c r="FG111" s="43"/>
      <c r="FH111" s="43"/>
      <c r="FI111" s="43"/>
    </row>
    <row r="112" ht="18.0" customHeight="1">
      <c r="A112" s="22" t="s">
        <v>116</v>
      </c>
      <c r="B112" s="43" t="s">
        <v>1914</v>
      </c>
      <c r="C112" s="22" t="s">
        <v>283</v>
      </c>
      <c r="D112" s="22" t="s">
        <v>187</v>
      </c>
      <c r="E112" s="43" t="s">
        <v>521</v>
      </c>
      <c r="F112" s="22" t="s">
        <v>1915</v>
      </c>
      <c r="G112" s="22"/>
      <c r="H112" s="22"/>
      <c r="I112" s="43"/>
      <c r="J112" s="43"/>
      <c r="K112" s="22" t="b">
        <v>1</v>
      </c>
      <c r="L112" s="22" t="b">
        <v>1</v>
      </c>
      <c r="M112" s="22" t="b">
        <v>1</v>
      </c>
      <c r="N112" s="22" t="b">
        <v>1</v>
      </c>
      <c r="O112" s="22" t="b">
        <v>0</v>
      </c>
      <c r="P112" s="22" t="b">
        <v>0</v>
      </c>
      <c r="Q112" s="22" t="b">
        <v>0</v>
      </c>
      <c r="R112" s="43"/>
      <c r="S112" s="43" t="s">
        <v>1916</v>
      </c>
      <c r="T112" s="22" t="s">
        <v>1914</v>
      </c>
      <c r="U112" s="22" t="s">
        <v>1914</v>
      </c>
      <c r="V112" s="22" t="s">
        <v>1914</v>
      </c>
      <c r="W112" s="43"/>
      <c r="X112" s="43"/>
      <c r="Y112" s="43"/>
      <c r="Z112" s="43"/>
      <c r="AA112" s="22">
        <v>2.94499466E8</v>
      </c>
      <c r="AB112" s="22">
        <v>1.773345751E9</v>
      </c>
      <c r="AC112" s="22">
        <v>1.0366549006E11</v>
      </c>
      <c r="AD112" s="22"/>
      <c r="AE112" s="22"/>
      <c r="AF112" s="43"/>
      <c r="AG112" s="43"/>
      <c r="AH112" s="43" t="s">
        <v>1915</v>
      </c>
      <c r="AI112" s="22" t="s">
        <v>1917</v>
      </c>
      <c r="AJ112" s="22" t="s">
        <v>1918</v>
      </c>
      <c r="AK112" s="22" t="s">
        <v>1919</v>
      </c>
      <c r="AL112" s="43"/>
      <c r="AM112" s="43"/>
      <c r="AN112" s="43"/>
      <c r="AO112" s="43"/>
      <c r="AP112" s="46" t="s">
        <v>1920</v>
      </c>
      <c r="AQ112" s="46" t="s">
        <v>1921</v>
      </c>
      <c r="AR112" s="46" t="s">
        <v>1922</v>
      </c>
      <c r="AS112" s="43"/>
      <c r="AT112" s="43"/>
      <c r="AU112" s="43"/>
      <c r="AV112" s="43"/>
      <c r="AW112" s="22" t="s">
        <v>1763</v>
      </c>
      <c r="AX112" s="22" t="s">
        <v>1918</v>
      </c>
      <c r="AY112" s="22" t="s">
        <v>372</v>
      </c>
      <c r="AZ112" s="43"/>
      <c r="BA112" s="43"/>
      <c r="BB112" s="43"/>
      <c r="BC112" s="43"/>
      <c r="BD112" s="43" t="s">
        <v>374</v>
      </c>
      <c r="BE112" s="43" t="s">
        <v>243</v>
      </c>
      <c r="BF112" s="22" t="s">
        <v>131</v>
      </c>
      <c r="BG112" s="22" t="s">
        <v>132</v>
      </c>
      <c r="BH112" s="22" t="s">
        <v>132</v>
      </c>
      <c r="BI112" s="22" t="s">
        <v>132</v>
      </c>
      <c r="BJ112" s="43"/>
      <c r="BK112" s="43"/>
      <c r="BL112" s="22" t="s">
        <v>1923</v>
      </c>
      <c r="BM112" s="22">
        <v>2.106909808E9</v>
      </c>
      <c r="BN112" s="22"/>
      <c r="BO112" s="22"/>
      <c r="BP112" s="22" t="s">
        <v>303</v>
      </c>
      <c r="BQ112" s="43"/>
      <c r="BR112" s="43"/>
      <c r="BS112" s="22" t="s">
        <v>1924</v>
      </c>
      <c r="BT112" s="43"/>
      <c r="BU112" s="22"/>
      <c r="BV112" s="43"/>
      <c r="BW112" s="22"/>
      <c r="BX112" s="22"/>
      <c r="BY112" s="43"/>
      <c r="BZ112" s="43"/>
      <c r="CA112" s="22"/>
      <c r="CB112" s="22"/>
      <c r="CC112" s="45"/>
      <c r="CD112" s="43"/>
      <c r="CE112" s="43"/>
      <c r="CF112" s="45"/>
      <c r="CG112" s="43"/>
      <c r="CH112" s="43"/>
      <c r="CI112" s="43"/>
      <c r="CJ112" s="43"/>
      <c r="CK112" s="43"/>
      <c r="CL112" s="43"/>
      <c r="CM112" s="49">
        <f>IFERROR(VLOOKUP(B112,CC!A:D,4,0)," ")</f>
        <v>862</v>
      </c>
      <c r="CN112" s="22"/>
      <c r="CO112" s="22"/>
      <c r="CP112" s="43"/>
      <c r="CQ112" s="22">
        <v>90.0</v>
      </c>
      <c r="CR112" s="43"/>
      <c r="CS112" s="43"/>
      <c r="CT112" s="22" t="s">
        <v>145</v>
      </c>
      <c r="CU112" s="43"/>
      <c r="CV112" s="43"/>
      <c r="CW112" s="43"/>
      <c r="CX112" s="43"/>
      <c r="CY112" s="43" t="b">
        <v>0</v>
      </c>
      <c r="CZ112" s="43" t="b">
        <v>0</v>
      </c>
      <c r="DA112" s="43" t="b">
        <v>0</v>
      </c>
      <c r="DB112" s="43" t="b">
        <v>0</v>
      </c>
      <c r="DC112" s="43"/>
      <c r="DD112" s="43"/>
      <c r="DE112" s="43"/>
      <c r="DF112" s="43"/>
      <c r="DG112" s="43"/>
      <c r="DH112" s="43"/>
      <c r="DI112" s="43"/>
      <c r="DJ112" s="22">
        <f>IFERROR(VLOOKUP($B112,'Лист4'!$D:$AI,27,0)," ")</f>
        <v>23</v>
      </c>
      <c r="DK112" s="22">
        <f>IFERROR(VLOOKUP($B112,'Лист4'!$D:$AI,28,0)," ")</f>
        <v>15</v>
      </c>
      <c r="DL112" s="22">
        <f>IFERROR(VLOOKUP($B112,'Лист4'!$D:$AI,29,0)," ")</f>
        <v>23</v>
      </c>
      <c r="DM112" s="22">
        <f t="shared" si="1"/>
        <v>7935</v>
      </c>
      <c r="DN112" s="22">
        <f>IFERROR(VLOOKUP($B112,'Лист4'!$D:$AI,32,0)," ")</f>
        <v>0.7</v>
      </c>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22"/>
      <c r="ES112" s="43"/>
      <c r="ET112" s="43"/>
      <c r="EU112" s="43"/>
      <c r="EV112" s="43"/>
      <c r="EW112" s="43"/>
      <c r="EX112" s="43"/>
      <c r="EY112" s="43"/>
      <c r="EZ112" s="43"/>
      <c r="FA112" s="43"/>
      <c r="FB112" s="43"/>
      <c r="FC112" s="43"/>
      <c r="FD112" s="43"/>
      <c r="FE112" s="43"/>
      <c r="FF112" s="43"/>
      <c r="FG112" s="43"/>
      <c r="FH112" s="43"/>
      <c r="FI112" s="43"/>
    </row>
    <row r="113" ht="18.0" customHeight="1">
      <c r="A113" s="22" t="s">
        <v>116</v>
      </c>
      <c r="B113" s="43" t="s">
        <v>1925</v>
      </c>
      <c r="C113" s="22" t="s">
        <v>283</v>
      </c>
      <c r="D113" s="22" t="s">
        <v>187</v>
      </c>
      <c r="E113" s="43" t="s">
        <v>521</v>
      </c>
      <c r="F113" s="22" t="s">
        <v>1926</v>
      </c>
      <c r="G113" s="22"/>
      <c r="H113" s="22"/>
      <c r="I113" s="43"/>
      <c r="J113" s="43"/>
      <c r="K113" s="22" t="b">
        <v>1</v>
      </c>
      <c r="L113" s="22" t="b">
        <v>1</v>
      </c>
      <c r="M113" s="22" t="b">
        <v>1</v>
      </c>
      <c r="N113" s="22" t="b">
        <v>0</v>
      </c>
      <c r="O113" s="22" t="b">
        <v>0</v>
      </c>
      <c r="P113" s="22" t="b">
        <v>0</v>
      </c>
      <c r="Q113" s="22" t="b">
        <v>0</v>
      </c>
      <c r="R113" s="43"/>
      <c r="S113" s="43" t="s">
        <v>1927</v>
      </c>
      <c r="T113" s="22" t="s">
        <v>1925</v>
      </c>
      <c r="U113" s="22" t="s">
        <v>1925</v>
      </c>
      <c r="V113" s="22"/>
      <c r="W113" s="43"/>
      <c r="X113" s="43"/>
      <c r="Y113" s="43"/>
      <c r="Z113" s="43"/>
      <c r="AA113" s="22">
        <v>2.20091999E8</v>
      </c>
      <c r="AB113" s="22">
        <v>1.342086207E9</v>
      </c>
      <c r="AC113" s="22"/>
      <c r="AD113" s="22"/>
      <c r="AE113" s="22"/>
      <c r="AF113" s="43"/>
      <c r="AG113" s="43"/>
      <c r="AH113" s="43" t="s">
        <v>1926</v>
      </c>
      <c r="AI113" s="22" t="s">
        <v>1928</v>
      </c>
      <c r="AJ113" s="22" t="s">
        <v>1929</v>
      </c>
      <c r="AK113" s="43"/>
      <c r="AL113" s="43"/>
      <c r="AM113" s="43"/>
      <c r="AN113" s="43"/>
      <c r="AO113" s="43"/>
      <c r="AP113" s="46" t="s">
        <v>1930</v>
      </c>
      <c r="AQ113" s="46" t="s">
        <v>1931</v>
      </c>
      <c r="AR113" s="43"/>
      <c r="AS113" s="43"/>
      <c r="AT113" s="43"/>
      <c r="AU113" s="43"/>
      <c r="AV113" s="43"/>
      <c r="AW113" s="22" t="s">
        <v>649</v>
      </c>
      <c r="AX113" s="22" t="s">
        <v>1929</v>
      </c>
      <c r="AY113" s="43"/>
      <c r="AZ113" s="43"/>
      <c r="BA113" s="43"/>
      <c r="BB113" s="43"/>
      <c r="BC113" s="43"/>
      <c r="BD113" s="43" t="s">
        <v>374</v>
      </c>
      <c r="BE113" s="43" t="s">
        <v>243</v>
      </c>
      <c r="BF113" s="22" t="s">
        <v>131</v>
      </c>
      <c r="BG113" s="22" t="s">
        <v>132</v>
      </c>
      <c r="BH113" s="22" t="s">
        <v>132</v>
      </c>
      <c r="BI113" s="22" t="s">
        <v>132</v>
      </c>
      <c r="BJ113" s="43"/>
      <c r="BK113" s="43"/>
      <c r="BL113" s="22">
        <v>4.630205146096E12</v>
      </c>
      <c r="BM113" s="22">
        <v>2.106909808E9</v>
      </c>
      <c r="BN113" s="22" t="s">
        <v>1932</v>
      </c>
      <c r="BO113" s="22"/>
      <c r="BP113" s="22" t="s">
        <v>245</v>
      </c>
      <c r="BQ113" s="43"/>
      <c r="BR113" s="43"/>
      <c r="BS113" s="22" t="s">
        <v>1933</v>
      </c>
      <c r="BT113" s="43"/>
      <c r="BU113" s="22" t="s">
        <v>1934</v>
      </c>
      <c r="BV113" s="43" t="s">
        <v>490</v>
      </c>
      <c r="BW113" s="22" t="s">
        <v>491</v>
      </c>
      <c r="BX113" s="22">
        <v>90.0</v>
      </c>
      <c r="BY113" s="22" t="s">
        <v>492</v>
      </c>
      <c r="BZ113" s="43"/>
      <c r="CA113" s="22" t="s">
        <v>355</v>
      </c>
      <c r="CB113" s="22" t="s">
        <v>307</v>
      </c>
      <c r="CC113" s="45" t="s">
        <v>1935</v>
      </c>
      <c r="CD113" s="43"/>
      <c r="CE113" s="43"/>
      <c r="CF113" s="45"/>
      <c r="CG113" s="43"/>
      <c r="CH113" s="43"/>
      <c r="CI113" s="43"/>
      <c r="CJ113" s="43"/>
      <c r="CK113" s="43"/>
      <c r="CL113" s="43"/>
      <c r="CM113" s="49">
        <f>IFERROR(VLOOKUP(B113,CC!A:D,4,0)," ")</f>
        <v>333</v>
      </c>
      <c r="CN113" s="22" t="s">
        <v>494</v>
      </c>
      <c r="CO113" s="22"/>
      <c r="CP113" s="22" t="s">
        <v>495</v>
      </c>
      <c r="CQ113" s="22">
        <v>60.0</v>
      </c>
      <c r="CR113" s="43"/>
      <c r="CS113" s="22">
        <v>5.0</v>
      </c>
      <c r="CT113" s="22" t="s">
        <v>145</v>
      </c>
      <c r="CU113" s="43"/>
      <c r="CV113" s="43"/>
      <c r="CW113" s="43"/>
      <c r="CX113" s="43"/>
      <c r="CY113" s="43" t="b">
        <v>0</v>
      </c>
      <c r="CZ113" s="43" t="b">
        <v>0</v>
      </c>
      <c r="DA113" s="43" t="b">
        <v>0</v>
      </c>
      <c r="DB113" s="43" t="b">
        <v>0</v>
      </c>
      <c r="DC113" s="43"/>
      <c r="DD113" s="43"/>
      <c r="DE113" s="43"/>
      <c r="DF113" s="43"/>
      <c r="DG113" s="43"/>
      <c r="DH113" s="43"/>
      <c r="DI113" s="43"/>
      <c r="DJ113" s="22">
        <f>IFERROR(VLOOKUP($B113,'Лист4'!$D:$AI,27,0)," ")</f>
        <v>11</v>
      </c>
      <c r="DK113" s="22">
        <f>IFERROR(VLOOKUP($B113,'Лист4'!$D:$AI,28,0)," ")</f>
        <v>5</v>
      </c>
      <c r="DL113" s="22">
        <f>IFERROR(VLOOKUP($B113,'Лист4'!$D:$AI,29,0)," ")</f>
        <v>11</v>
      </c>
      <c r="DM113" s="22">
        <f t="shared" si="1"/>
        <v>605</v>
      </c>
      <c r="DN113" s="22">
        <f>IFERROR(VLOOKUP($B113,'Лист4'!$D:$AI,32,0)," ")</f>
        <v>0.076</v>
      </c>
      <c r="DO113" s="22"/>
      <c r="DP113" s="22"/>
      <c r="DQ113" s="22"/>
      <c r="DR113" s="22"/>
      <c r="DS113" s="22"/>
      <c r="DT113" s="22"/>
      <c r="DU113" s="22"/>
      <c r="DV113" s="22"/>
      <c r="DW113" s="22"/>
      <c r="DX113" s="22"/>
      <c r="DY113" s="22"/>
      <c r="DZ113" s="22"/>
      <c r="EA113" s="22"/>
      <c r="EB113" s="22"/>
      <c r="EC113" s="22"/>
      <c r="ED113" s="22"/>
      <c r="EE113" s="22"/>
      <c r="EF113" s="22"/>
      <c r="EG113" s="22"/>
      <c r="EH113" s="22"/>
      <c r="EI113" s="22"/>
      <c r="EJ113" s="22"/>
      <c r="EK113" s="22"/>
      <c r="EL113" s="22"/>
      <c r="EM113" s="22"/>
      <c r="EN113" s="22"/>
      <c r="EO113" s="22"/>
      <c r="EP113" s="22"/>
      <c r="EQ113" s="22"/>
      <c r="ER113" s="22"/>
      <c r="ES113" s="43"/>
      <c r="ET113" s="43"/>
      <c r="EU113" s="43"/>
      <c r="EV113" s="43"/>
      <c r="EW113" s="43"/>
      <c r="EX113" s="43"/>
      <c r="EY113" s="43"/>
      <c r="EZ113" s="43"/>
      <c r="FA113" s="43"/>
      <c r="FB113" s="43"/>
      <c r="FC113" s="43"/>
      <c r="FD113" s="43"/>
      <c r="FE113" s="43"/>
      <c r="FF113" s="43"/>
      <c r="FG113" s="43"/>
      <c r="FH113" s="43"/>
      <c r="FI113" s="43"/>
    </row>
    <row r="114" ht="18.0" customHeight="1">
      <c r="A114" s="22" t="s">
        <v>116</v>
      </c>
      <c r="B114" s="43" t="s">
        <v>1936</v>
      </c>
      <c r="C114" s="22" t="s">
        <v>283</v>
      </c>
      <c r="D114" s="22" t="s">
        <v>187</v>
      </c>
      <c r="E114" s="43" t="s">
        <v>521</v>
      </c>
      <c r="F114" s="22" t="s">
        <v>1937</v>
      </c>
      <c r="G114" s="22"/>
      <c r="H114" s="22"/>
      <c r="I114" s="43"/>
      <c r="J114" s="43"/>
      <c r="K114" s="22" t="b">
        <v>1</v>
      </c>
      <c r="L114" s="22" t="b">
        <v>1</v>
      </c>
      <c r="M114" s="22" t="b">
        <v>1</v>
      </c>
      <c r="N114" s="22" t="b">
        <v>0</v>
      </c>
      <c r="O114" s="22" t="b">
        <v>0</v>
      </c>
      <c r="P114" s="22" t="b">
        <v>0</v>
      </c>
      <c r="Q114" s="22" t="b">
        <v>0</v>
      </c>
      <c r="R114" s="43"/>
      <c r="S114" s="43" t="s">
        <v>1938</v>
      </c>
      <c r="T114" s="22" t="s">
        <v>1936</v>
      </c>
      <c r="U114" s="22" t="s">
        <v>1936</v>
      </c>
      <c r="V114" s="22"/>
      <c r="W114" s="43"/>
      <c r="X114" s="43"/>
      <c r="Y114" s="43"/>
      <c r="Z114" s="43"/>
      <c r="AA114" s="22">
        <v>1.28833711E8</v>
      </c>
      <c r="AB114" s="22">
        <v>7.67090126E8</v>
      </c>
      <c r="AC114" s="22"/>
      <c r="AD114" s="22"/>
      <c r="AE114" s="22"/>
      <c r="AF114" s="43"/>
      <c r="AG114" s="43"/>
      <c r="AH114" s="43" t="s">
        <v>1937</v>
      </c>
      <c r="AI114" s="22" t="s">
        <v>1939</v>
      </c>
      <c r="AJ114" s="22" t="s">
        <v>1940</v>
      </c>
      <c r="AK114" s="43"/>
      <c r="AL114" s="43"/>
      <c r="AM114" s="43"/>
      <c r="AN114" s="43"/>
      <c r="AO114" s="43"/>
      <c r="AP114" s="46" t="s">
        <v>1941</v>
      </c>
      <c r="AQ114" s="46" t="s">
        <v>1942</v>
      </c>
      <c r="AR114" s="43"/>
      <c r="AS114" s="43"/>
      <c r="AT114" s="43"/>
      <c r="AU114" s="43"/>
      <c r="AV114" s="43"/>
      <c r="AW114" s="22" t="s">
        <v>325</v>
      </c>
      <c r="AX114" s="22" t="s">
        <v>1940</v>
      </c>
      <c r="AY114" s="43"/>
      <c r="AZ114" s="43"/>
      <c r="BA114" s="43"/>
      <c r="BB114" s="43"/>
      <c r="BC114" s="43"/>
      <c r="BD114" s="43" t="s">
        <v>243</v>
      </c>
      <c r="BE114" s="43" t="s">
        <v>243</v>
      </c>
      <c r="BF114" s="22" t="s">
        <v>131</v>
      </c>
      <c r="BG114" s="22" t="s">
        <v>132</v>
      </c>
      <c r="BH114" s="22" t="s">
        <v>132</v>
      </c>
      <c r="BI114" s="22" t="s">
        <v>132</v>
      </c>
      <c r="BJ114" s="43"/>
      <c r="BK114" s="43"/>
      <c r="BL114" s="22" t="s">
        <v>1943</v>
      </c>
      <c r="BM114" s="22">
        <v>3.30499E9</v>
      </c>
      <c r="BN114" s="22" t="s">
        <v>1944</v>
      </c>
      <c r="BO114" s="22"/>
      <c r="BP114" s="22" t="s">
        <v>1945</v>
      </c>
      <c r="BQ114" s="43"/>
      <c r="BR114" s="43"/>
      <c r="BS114" s="22" t="s">
        <v>1946</v>
      </c>
      <c r="BT114" s="43"/>
      <c r="BU114" s="22" t="s">
        <v>1947</v>
      </c>
      <c r="BV114" s="43" t="s">
        <v>1948</v>
      </c>
      <c r="BW114" s="22" t="s">
        <v>1949</v>
      </c>
      <c r="BX114" s="22">
        <v>30.0</v>
      </c>
      <c r="BY114" s="22" t="s">
        <v>139</v>
      </c>
      <c r="BZ114" s="22"/>
      <c r="CA114" s="22" t="s">
        <v>1950</v>
      </c>
      <c r="CB114" s="22" t="s">
        <v>1951</v>
      </c>
      <c r="CC114" s="45" t="s">
        <v>1952</v>
      </c>
      <c r="CD114" s="43"/>
      <c r="CE114" s="43"/>
      <c r="CF114" s="45" t="s">
        <v>1953</v>
      </c>
      <c r="CG114" s="43"/>
      <c r="CH114" s="43"/>
      <c r="CI114" s="43"/>
      <c r="CJ114" s="43"/>
      <c r="CK114" s="43"/>
      <c r="CL114" s="43"/>
      <c r="CM114" s="49">
        <f>IFERROR(VLOOKUP(B114,CC!A:D,4,0)," ")</f>
        <v>171.1</v>
      </c>
      <c r="CN114" s="22" t="s">
        <v>1954</v>
      </c>
      <c r="CO114" s="22"/>
      <c r="CP114" s="22" t="s">
        <v>1955</v>
      </c>
      <c r="CQ114" s="22" t="s">
        <v>401</v>
      </c>
      <c r="CR114" s="43"/>
      <c r="CS114" s="43"/>
      <c r="CT114" s="22" t="s">
        <v>496</v>
      </c>
      <c r="CU114" s="43"/>
      <c r="CV114" s="43"/>
      <c r="CW114" s="43"/>
      <c r="CX114" s="43"/>
      <c r="CY114" s="43" t="b">
        <v>0</v>
      </c>
      <c r="CZ114" s="43" t="b">
        <v>0</v>
      </c>
      <c r="DA114" s="43" t="b">
        <v>0</v>
      </c>
      <c r="DB114" s="43" t="b">
        <v>0</v>
      </c>
      <c r="DC114" s="43"/>
      <c r="DD114" s="43"/>
      <c r="DE114" s="43"/>
      <c r="DF114" s="43"/>
      <c r="DG114" s="43"/>
      <c r="DH114" s="43"/>
      <c r="DI114" s="43"/>
      <c r="DJ114" s="22">
        <f>IFERROR(VLOOKUP($B114,'Лист4'!$D:$AI,27,0)," ")</f>
        <v>10</v>
      </c>
      <c r="DK114" s="22">
        <f>IFERROR(VLOOKUP($B114,'Лист4'!$D:$AI,28,0)," ")</f>
        <v>3</v>
      </c>
      <c r="DL114" s="22">
        <f>IFERROR(VLOOKUP($B114,'Лист4'!$D:$AI,29,0)," ")</f>
        <v>10</v>
      </c>
      <c r="DM114" s="22">
        <f t="shared" si="1"/>
        <v>300</v>
      </c>
      <c r="DN114" s="22">
        <f>IFERROR(VLOOKUP($B114,'Лист4'!$D:$AI,32,0)," ")</f>
        <v>0.085</v>
      </c>
      <c r="DO114" s="22"/>
      <c r="DP114" s="22"/>
      <c r="DQ114" s="22"/>
      <c r="DR114" s="22"/>
      <c r="DS114" s="22"/>
      <c r="DT114" s="22"/>
      <c r="DU114" s="22"/>
      <c r="DV114" s="22"/>
      <c r="DW114" s="22"/>
      <c r="DX114" s="22"/>
      <c r="DY114" s="22"/>
      <c r="DZ114" s="22"/>
      <c r="EA114" s="22"/>
      <c r="EB114" s="22"/>
      <c r="EC114" s="22"/>
      <c r="ED114" s="22"/>
      <c r="EE114" s="22"/>
      <c r="EF114" s="22"/>
      <c r="EG114" s="22"/>
      <c r="EH114" s="22"/>
      <c r="EI114" s="22"/>
      <c r="EJ114" s="22"/>
      <c r="EK114" s="22"/>
      <c r="EL114" s="22"/>
      <c r="EM114" s="22"/>
      <c r="EN114" s="22"/>
      <c r="EO114" s="22"/>
      <c r="EP114" s="22"/>
      <c r="EQ114" s="22"/>
      <c r="ER114" s="22"/>
      <c r="ES114" s="43"/>
      <c r="ET114" s="43"/>
      <c r="EU114" s="43"/>
      <c r="EV114" s="43"/>
      <c r="EW114" s="43"/>
      <c r="EX114" s="43"/>
      <c r="EY114" s="43"/>
      <c r="EZ114" s="43"/>
      <c r="FA114" s="43"/>
      <c r="FB114" s="43"/>
      <c r="FC114" s="43"/>
      <c r="FD114" s="43"/>
      <c r="FE114" s="43"/>
      <c r="FF114" s="43"/>
      <c r="FG114" s="43"/>
      <c r="FH114" s="43"/>
      <c r="FI114" s="43"/>
    </row>
    <row r="115" ht="18.0" customHeight="1">
      <c r="A115" s="22" t="s">
        <v>116</v>
      </c>
      <c r="B115" s="43" t="s">
        <v>1956</v>
      </c>
      <c r="C115" s="22" t="s">
        <v>283</v>
      </c>
      <c r="D115" s="22" t="s">
        <v>187</v>
      </c>
      <c r="E115" s="43" t="s">
        <v>521</v>
      </c>
      <c r="F115" s="22" t="s">
        <v>1957</v>
      </c>
      <c r="G115" s="22"/>
      <c r="H115" s="22"/>
      <c r="I115" s="43"/>
      <c r="J115" s="43"/>
      <c r="K115" s="22" t="b">
        <v>1</v>
      </c>
      <c r="L115" s="22" t="b">
        <v>1</v>
      </c>
      <c r="M115" s="22" t="b">
        <v>1</v>
      </c>
      <c r="N115" s="22" t="b">
        <v>1</v>
      </c>
      <c r="O115" s="22" t="b">
        <v>0</v>
      </c>
      <c r="P115" s="22" t="b">
        <v>0</v>
      </c>
      <c r="Q115" s="22" t="b">
        <v>0</v>
      </c>
      <c r="R115" s="43"/>
      <c r="S115" s="43" t="s">
        <v>1958</v>
      </c>
      <c r="T115" s="22" t="s">
        <v>1956</v>
      </c>
      <c r="U115" s="22" t="s">
        <v>1956</v>
      </c>
      <c r="V115" s="22" t="s">
        <v>1956</v>
      </c>
      <c r="W115" s="43"/>
      <c r="X115" s="43"/>
      <c r="Y115" s="43"/>
      <c r="Z115" s="43"/>
      <c r="AA115" s="22">
        <v>1.70000477E8</v>
      </c>
      <c r="AB115" s="22">
        <v>1.099704127E9</v>
      </c>
      <c r="AC115" s="22">
        <v>1.02619837298E11</v>
      </c>
      <c r="AD115" s="22"/>
      <c r="AE115" s="22"/>
      <c r="AF115" s="43"/>
      <c r="AG115" s="43"/>
      <c r="AH115" s="43" t="s">
        <v>1957</v>
      </c>
      <c r="AI115" s="22" t="s">
        <v>1959</v>
      </c>
      <c r="AJ115" s="22" t="s">
        <v>1960</v>
      </c>
      <c r="AK115" s="22" t="s">
        <v>1960</v>
      </c>
      <c r="AL115" s="43"/>
      <c r="AM115" s="43"/>
      <c r="AN115" s="43"/>
      <c r="AO115" s="43"/>
      <c r="AP115" s="46" t="s">
        <v>1961</v>
      </c>
      <c r="AQ115" s="46" t="s">
        <v>1962</v>
      </c>
      <c r="AR115" s="46" t="s">
        <v>1963</v>
      </c>
      <c r="AS115" s="43"/>
      <c r="AT115" s="43"/>
      <c r="AU115" s="43"/>
      <c r="AV115" s="43"/>
      <c r="AW115" s="22" t="s">
        <v>1964</v>
      </c>
      <c r="AX115" s="22" t="s">
        <v>1960</v>
      </c>
      <c r="AY115" s="22" t="s">
        <v>1965</v>
      </c>
      <c r="AZ115" s="43"/>
      <c r="BA115" s="43"/>
      <c r="BB115" s="43"/>
      <c r="BC115" s="43"/>
      <c r="BD115" s="43" t="s">
        <v>243</v>
      </c>
      <c r="BE115" s="43" t="s">
        <v>243</v>
      </c>
      <c r="BF115" s="22" t="s">
        <v>131</v>
      </c>
      <c r="BG115" s="22" t="s">
        <v>132</v>
      </c>
      <c r="BH115" s="22" t="s">
        <v>132</v>
      </c>
      <c r="BI115" s="22" t="s">
        <v>132</v>
      </c>
      <c r="BJ115" s="43"/>
      <c r="BK115" s="43"/>
      <c r="BL115" s="22">
        <v>4.630205144115E12</v>
      </c>
      <c r="BM115" s="22">
        <v>2.106909808E9</v>
      </c>
      <c r="BN115" s="22" t="s">
        <v>1966</v>
      </c>
      <c r="BO115" s="46" t="s">
        <v>1967</v>
      </c>
      <c r="BP115" s="22" t="s">
        <v>245</v>
      </c>
      <c r="BQ115" s="43"/>
      <c r="BR115" s="43"/>
      <c r="BS115" s="22" t="s">
        <v>1968</v>
      </c>
      <c r="BT115" s="43"/>
      <c r="BU115" s="22" t="s">
        <v>1969</v>
      </c>
      <c r="BV115" s="43"/>
      <c r="BW115" s="22" t="s">
        <v>1970</v>
      </c>
      <c r="BX115" s="22">
        <v>400.0</v>
      </c>
      <c r="BY115" s="22" t="s">
        <v>580</v>
      </c>
      <c r="BZ115" s="22"/>
      <c r="CA115" s="22" t="s">
        <v>355</v>
      </c>
      <c r="CB115" s="22" t="s">
        <v>307</v>
      </c>
      <c r="CC115" s="45" t="s">
        <v>1971</v>
      </c>
      <c r="CD115" s="43"/>
      <c r="CE115" s="43"/>
      <c r="CF115" s="45" t="s">
        <v>1972</v>
      </c>
      <c r="CG115" s="43"/>
      <c r="CH115" s="43"/>
      <c r="CI115" s="43"/>
      <c r="CJ115" s="43"/>
      <c r="CK115" s="43"/>
      <c r="CL115" s="43"/>
      <c r="CM115" s="49">
        <f>IFERROR(VLOOKUP(B115,CC!A:D,4,0)," ")</f>
        <v>242</v>
      </c>
      <c r="CN115" s="22" t="s">
        <v>494</v>
      </c>
      <c r="CO115" s="22"/>
      <c r="CP115" s="22" t="s">
        <v>495</v>
      </c>
      <c r="CQ115" s="22">
        <v>60.0</v>
      </c>
      <c r="CR115" s="43"/>
      <c r="CS115" s="22">
        <v>5.0</v>
      </c>
      <c r="CT115" s="22" t="s">
        <v>145</v>
      </c>
      <c r="CU115" s="43"/>
      <c r="CV115" s="43"/>
      <c r="CW115" s="43"/>
      <c r="CX115" s="43"/>
      <c r="CY115" s="43" t="b">
        <v>0</v>
      </c>
      <c r="CZ115" s="43" t="b">
        <v>0</v>
      </c>
      <c r="DA115" s="43" t="b">
        <v>0</v>
      </c>
      <c r="DB115" s="43" t="b">
        <v>0</v>
      </c>
      <c r="DC115" s="43"/>
      <c r="DD115" s="43"/>
      <c r="DE115" s="43"/>
      <c r="DF115" s="43"/>
      <c r="DG115" s="43"/>
      <c r="DH115" s="43"/>
      <c r="DI115" s="43"/>
      <c r="DJ115" s="22">
        <f>IFERROR(VLOOKUP($B115,'Лист4'!$D:$AI,27,0)," ")</f>
        <v>7</v>
      </c>
      <c r="DK115" s="22">
        <f>IFERROR(VLOOKUP($B115,'Лист4'!$D:$AI,28,0)," ")</f>
        <v>9</v>
      </c>
      <c r="DL115" s="22">
        <f>IFERROR(VLOOKUP($B115,'Лист4'!$D:$AI,29,0)," ")</f>
        <v>7</v>
      </c>
      <c r="DM115" s="22">
        <f t="shared" si="1"/>
        <v>441</v>
      </c>
      <c r="DN115" s="22">
        <f>IFERROR(VLOOKUP($B115,'Лист4'!$D:$AI,32,0)," ")</f>
        <v>0.47</v>
      </c>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43"/>
      <c r="ET115" s="43"/>
      <c r="EU115" s="43"/>
      <c r="EV115" s="43"/>
      <c r="EW115" s="43"/>
      <c r="EX115" s="43"/>
      <c r="EY115" s="43"/>
      <c r="EZ115" s="43"/>
      <c r="FA115" s="43"/>
      <c r="FB115" s="43"/>
      <c r="FC115" s="43"/>
      <c r="FD115" s="43"/>
      <c r="FE115" s="43"/>
      <c r="FF115" s="43"/>
      <c r="FG115" s="43"/>
      <c r="FH115" s="43"/>
      <c r="FI115" s="43"/>
    </row>
    <row r="116" ht="18.0" customHeight="1">
      <c r="A116" s="22" t="s">
        <v>116</v>
      </c>
      <c r="B116" s="43" t="s">
        <v>1973</v>
      </c>
      <c r="C116" s="22" t="s">
        <v>283</v>
      </c>
      <c r="D116" s="22" t="s">
        <v>187</v>
      </c>
      <c r="E116" s="43" t="s">
        <v>521</v>
      </c>
      <c r="F116" s="22" t="s">
        <v>1974</v>
      </c>
      <c r="G116" s="22"/>
      <c r="H116" s="22"/>
      <c r="I116" s="43"/>
      <c r="J116" s="43"/>
      <c r="K116" s="22" t="b">
        <v>1</v>
      </c>
      <c r="L116" s="22" t="b">
        <v>1</v>
      </c>
      <c r="M116" s="22" t="b">
        <v>1</v>
      </c>
      <c r="N116" s="22" t="b">
        <v>1</v>
      </c>
      <c r="O116" s="22" t="b">
        <v>0</v>
      </c>
      <c r="P116" s="22" t="b">
        <v>0</v>
      </c>
      <c r="Q116" s="22" t="b">
        <v>0</v>
      </c>
      <c r="R116" s="43"/>
      <c r="S116" s="43" t="s">
        <v>1975</v>
      </c>
      <c r="T116" s="22" t="s">
        <v>1973</v>
      </c>
      <c r="U116" s="22" t="s">
        <v>1973</v>
      </c>
      <c r="V116" s="22" t="s">
        <v>1973</v>
      </c>
      <c r="W116" s="43"/>
      <c r="X116" s="43"/>
      <c r="Y116" s="43"/>
      <c r="Z116" s="43"/>
      <c r="AA116" s="22">
        <v>1.86780052E8</v>
      </c>
      <c r="AB116" s="22">
        <v>1.271329609E9</v>
      </c>
      <c r="AC116" s="22"/>
      <c r="AD116" s="22"/>
      <c r="AE116" s="22"/>
      <c r="AF116" s="43"/>
      <c r="AG116" s="43"/>
      <c r="AH116" s="43" t="s">
        <v>1974</v>
      </c>
      <c r="AI116" s="22" t="s">
        <v>1976</v>
      </c>
      <c r="AJ116" s="22" t="s">
        <v>1977</v>
      </c>
      <c r="AK116" s="43"/>
      <c r="AL116" s="43"/>
      <c r="AM116" s="43"/>
      <c r="AN116" s="43"/>
      <c r="AO116" s="43"/>
      <c r="AP116" s="46" t="s">
        <v>1978</v>
      </c>
      <c r="AQ116" s="46" t="s">
        <v>1979</v>
      </c>
      <c r="AR116" s="43"/>
      <c r="AS116" s="43"/>
      <c r="AT116" s="43"/>
      <c r="AU116" s="43"/>
      <c r="AV116" s="43"/>
      <c r="AW116" s="22" t="s">
        <v>649</v>
      </c>
      <c r="AX116" s="22" t="s">
        <v>1977</v>
      </c>
      <c r="AY116" s="43"/>
      <c r="AZ116" s="43"/>
      <c r="BA116" s="43"/>
      <c r="BB116" s="43"/>
      <c r="BC116" s="43"/>
      <c r="BD116" s="43" t="s">
        <v>243</v>
      </c>
      <c r="BE116" s="43" t="s">
        <v>243</v>
      </c>
      <c r="BF116" s="22" t="s">
        <v>131</v>
      </c>
      <c r="BG116" s="22" t="s">
        <v>132</v>
      </c>
      <c r="BH116" s="22" t="s">
        <v>132</v>
      </c>
      <c r="BI116" s="22" t="s">
        <v>132</v>
      </c>
      <c r="BJ116" s="43"/>
      <c r="BK116" s="43"/>
      <c r="BL116" s="22">
        <v>4.680162841794E12</v>
      </c>
      <c r="BM116" s="22">
        <v>2.106909808E9</v>
      </c>
      <c r="BN116" s="22" t="s">
        <v>1980</v>
      </c>
      <c r="BO116" s="46" t="s">
        <v>1981</v>
      </c>
      <c r="BP116" s="22" t="s">
        <v>245</v>
      </c>
      <c r="BQ116" s="43"/>
      <c r="BR116" s="43"/>
      <c r="BS116" s="22" t="s">
        <v>1982</v>
      </c>
      <c r="BT116" s="43"/>
      <c r="BU116" s="22" t="s">
        <v>1983</v>
      </c>
      <c r="BV116" s="43" t="s">
        <v>1984</v>
      </c>
      <c r="BW116" s="22" t="s">
        <v>1985</v>
      </c>
      <c r="BX116" s="22">
        <v>60.0</v>
      </c>
      <c r="BY116" s="22" t="s">
        <v>492</v>
      </c>
      <c r="BZ116" s="43"/>
      <c r="CA116" s="22" t="s">
        <v>355</v>
      </c>
      <c r="CB116" s="22" t="s">
        <v>307</v>
      </c>
      <c r="CC116" s="45" t="s">
        <v>1986</v>
      </c>
      <c r="CD116" s="43"/>
      <c r="CE116" s="43"/>
      <c r="CF116" s="45" t="s">
        <v>1987</v>
      </c>
      <c r="CG116" s="43"/>
      <c r="CH116" s="43"/>
      <c r="CI116" s="43"/>
      <c r="CJ116" s="43"/>
      <c r="CK116" s="43"/>
      <c r="CL116" s="43"/>
      <c r="CM116" s="49">
        <f>IFERROR(VLOOKUP(B116,CC!A:D,4,0)," ")</f>
        <v>399.75</v>
      </c>
      <c r="CN116" s="22" t="s">
        <v>786</v>
      </c>
      <c r="CO116" s="22"/>
      <c r="CP116" s="22" t="s">
        <v>787</v>
      </c>
      <c r="CQ116" s="22">
        <v>90.0</v>
      </c>
      <c r="CR116" s="43"/>
      <c r="CS116" s="22">
        <v>7.0</v>
      </c>
      <c r="CT116" s="22" t="s">
        <v>145</v>
      </c>
      <c r="CU116" s="43"/>
      <c r="CV116" s="43"/>
      <c r="CW116" s="43"/>
      <c r="CX116" s="43"/>
      <c r="CY116" s="43" t="b">
        <v>0</v>
      </c>
      <c r="CZ116" s="43" t="b">
        <v>0</v>
      </c>
      <c r="DA116" s="43" t="b">
        <v>0</v>
      </c>
      <c r="DB116" s="43" t="b">
        <v>0</v>
      </c>
      <c r="DC116" s="43"/>
      <c r="DD116" s="43"/>
      <c r="DE116" s="43"/>
      <c r="DF116" s="43"/>
      <c r="DG116" s="43"/>
      <c r="DH116" s="43"/>
      <c r="DI116" s="43"/>
      <c r="DJ116" s="22">
        <f>IFERROR(VLOOKUP($B116,'Лист4'!$D:$AI,27,0)," ")</f>
        <v>5</v>
      </c>
      <c r="DK116" s="22">
        <f>IFERROR(VLOOKUP($B116,'Лист4'!$D:$AI,28,0)," ")</f>
        <v>9</v>
      </c>
      <c r="DL116" s="22">
        <f>IFERROR(VLOOKUP($B116,'Лист4'!$D:$AI,29,0)," ")</f>
        <v>5</v>
      </c>
      <c r="DM116" s="22">
        <f t="shared" si="1"/>
        <v>225</v>
      </c>
      <c r="DN116" s="22">
        <f>IFERROR(VLOOKUP($B116,'Лист4'!$D:$AI,32,0)," ")</f>
        <v>0.05</v>
      </c>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22"/>
      <c r="ES116" s="43"/>
      <c r="ET116" s="43"/>
      <c r="EU116" s="43"/>
      <c r="EV116" s="43"/>
      <c r="EW116" s="43"/>
      <c r="EX116" s="43"/>
      <c r="EY116" s="43"/>
      <c r="EZ116" s="43"/>
      <c r="FA116" s="43"/>
      <c r="FB116" s="43"/>
      <c r="FC116" s="43"/>
      <c r="FD116" s="43"/>
      <c r="FE116" s="43"/>
      <c r="FF116" s="43"/>
      <c r="FG116" s="43"/>
      <c r="FH116" s="43"/>
      <c r="FI116" s="43"/>
    </row>
    <row r="117" ht="18.0" customHeight="1">
      <c r="A117" s="22" t="s">
        <v>116</v>
      </c>
      <c r="B117" s="43" t="s">
        <v>1988</v>
      </c>
      <c r="C117" s="22" t="s">
        <v>283</v>
      </c>
      <c r="D117" s="22" t="s">
        <v>187</v>
      </c>
      <c r="E117" s="43" t="s">
        <v>521</v>
      </c>
      <c r="F117" s="22" t="s">
        <v>1989</v>
      </c>
      <c r="G117" s="22"/>
      <c r="H117" s="22"/>
      <c r="I117" s="43"/>
      <c r="J117" s="43"/>
      <c r="K117" s="22" t="b">
        <v>1</v>
      </c>
      <c r="L117" s="22" t="b">
        <v>1</v>
      </c>
      <c r="M117" s="22" t="b">
        <v>1</v>
      </c>
      <c r="N117" s="22" t="b">
        <v>0</v>
      </c>
      <c r="O117" s="22" t="b">
        <v>0</v>
      </c>
      <c r="P117" s="22" t="b">
        <v>0</v>
      </c>
      <c r="Q117" s="22" t="b">
        <v>0</v>
      </c>
      <c r="R117" s="43"/>
      <c r="S117" s="43" t="s">
        <v>1990</v>
      </c>
      <c r="T117" s="22" t="s">
        <v>1988</v>
      </c>
      <c r="U117" s="22" t="s">
        <v>1988</v>
      </c>
      <c r="V117" s="22"/>
      <c r="W117" s="43"/>
      <c r="X117" s="43"/>
      <c r="Y117" s="43"/>
      <c r="Z117" s="43"/>
      <c r="AA117" s="22">
        <v>1.33689253E8</v>
      </c>
      <c r="AB117" s="22"/>
      <c r="AC117" s="22"/>
      <c r="AD117" s="22"/>
      <c r="AE117" s="22"/>
      <c r="AF117" s="43"/>
      <c r="AG117" s="43"/>
      <c r="AH117" s="43" t="s">
        <v>1989</v>
      </c>
      <c r="AI117" s="22" t="s">
        <v>1991</v>
      </c>
      <c r="AJ117" s="43"/>
      <c r="AK117" s="43"/>
      <c r="AL117" s="43"/>
      <c r="AM117" s="43"/>
      <c r="AN117" s="43"/>
      <c r="AO117" s="43"/>
      <c r="AP117" s="46" t="s">
        <v>1992</v>
      </c>
      <c r="AQ117" s="43"/>
      <c r="AR117" s="43"/>
      <c r="AS117" s="43"/>
      <c r="AT117" s="43"/>
      <c r="AU117" s="43"/>
      <c r="AV117" s="43"/>
      <c r="AW117" s="22" t="s">
        <v>649</v>
      </c>
      <c r="AX117" s="22"/>
      <c r="AY117" s="43"/>
      <c r="AZ117" s="43"/>
      <c r="BA117" s="43"/>
      <c r="BB117" s="43"/>
      <c r="BC117" s="43"/>
      <c r="BD117" s="43" t="s">
        <v>243</v>
      </c>
      <c r="BE117" s="43" t="s">
        <v>243</v>
      </c>
      <c r="BF117" s="22" t="s">
        <v>131</v>
      </c>
      <c r="BG117" s="22" t="s">
        <v>132</v>
      </c>
      <c r="BH117" s="22" t="s">
        <v>132</v>
      </c>
      <c r="BI117" s="22" t="s">
        <v>132</v>
      </c>
      <c r="BJ117" s="43"/>
      <c r="BK117" s="43"/>
      <c r="BL117" s="22" t="s">
        <v>1993</v>
      </c>
      <c r="BM117" s="22">
        <v>2.106909808E9</v>
      </c>
      <c r="BN117" s="22" t="s">
        <v>1994</v>
      </c>
      <c r="BO117" s="22"/>
      <c r="BP117" s="22" t="s">
        <v>1945</v>
      </c>
      <c r="BQ117" s="43"/>
      <c r="BR117" s="43"/>
      <c r="BS117" s="22" t="s">
        <v>1995</v>
      </c>
      <c r="BT117" s="43"/>
      <c r="BU117" s="22" t="s">
        <v>1996</v>
      </c>
      <c r="BV117" s="43" t="s">
        <v>1997</v>
      </c>
      <c r="BW117" s="22" t="s">
        <v>1998</v>
      </c>
      <c r="BX117" s="22">
        <v>120.0</v>
      </c>
      <c r="BY117" s="22" t="s">
        <v>210</v>
      </c>
      <c r="BZ117" s="22"/>
      <c r="CA117" s="22" t="s">
        <v>726</v>
      </c>
      <c r="CB117" s="22" t="s">
        <v>727</v>
      </c>
      <c r="CC117" s="45" t="s">
        <v>1999</v>
      </c>
      <c r="CD117" s="43"/>
      <c r="CE117" s="43"/>
      <c r="CF117" s="45" t="s">
        <v>2000</v>
      </c>
      <c r="CG117" s="43"/>
      <c r="CH117" s="43"/>
      <c r="CI117" s="43"/>
      <c r="CJ117" s="43"/>
      <c r="CK117" s="43"/>
      <c r="CL117" s="43"/>
      <c r="CM117" s="49">
        <f>IFERROR(VLOOKUP(B117,CC!A:D,4,0)," ")</f>
        <v>415</v>
      </c>
      <c r="CN117" s="22" t="s">
        <v>2001</v>
      </c>
      <c r="CO117" s="22"/>
      <c r="CP117" s="22" t="s">
        <v>2002</v>
      </c>
      <c r="CQ117" s="22" t="s">
        <v>401</v>
      </c>
      <c r="CR117" s="43"/>
      <c r="CS117" s="43"/>
      <c r="CT117" s="22" t="s">
        <v>145</v>
      </c>
      <c r="CU117" s="43"/>
      <c r="CV117" s="43"/>
      <c r="CW117" s="43"/>
      <c r="CX117" s="43"/>
      <c r="CY117" s="43" t="b">
        <v>0</v>
      </c>
      <c r="CZ117" s="43" t="b">
        <v>0</v>
      </c>
      <c r="DA117" s="43" t="b">
        <v>0</v>
      </c>
      <c r="DB117" s="43" t="b">
        <v>0</v>
      </c>
      <c r="DC117" s="43"/>
      <c r="DD117" s="43"/>
      <c r="DE117" s="43"/>
      <c r="DF117" s="43"/>
      <c r="DG117" s="43"/>
      <c r="DH117" s="43"/>
      <c r="DI117" s="43"/>
      <c r="DJ117" s="22">
        <f>IFERROR(VLOOKUP($B117,'Лист4'!$D:$AI,27,0)," ")</f>
        <v>7</v>
      </c>
      <c r="DK117" s="22">
        <f>IFERROR(VLOOKUP($B117,'Лист4'!$D:$AI,28,0)," ")</f>
        <v>8</v>
      </c>
      <c r="DL117" s="22">
        <f>IFERROR(VLOOKUP($B117,'Лист4'!$D:$AI,29,0)," ")</f>
        <v>7</v>
      </c>
      <c r="DM117" s="22">
        <f t="shared" si="1"/>
        <v>392</v>
      </c>
      <c r="DN117" s="22">
        <f>IFERROR(VLOOKUP($B117,'Лист4'!$D:$AI,32,0)," ")</f>
        <v>0.105</v>
      </c>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22"/>
      <c r="EN117" s="22"/>
      <c r="EO117" s="22"/>
      <c r="EP117" s="22"/>
      <c r="EQ117" s="22"/>
      <c r="ER117" s="22"/>
      <c r="ES117" s="43"/>
      <c r="ET117" s="43"/>
      <c r="EU117" s="43"/>
      <c r="EV117" s="43"/>
      <c r="EW117" s="43"/>
      <c r="EX117" s="43"/>
      <c r="EY117" s="43"/>
      <c r="EZ117" s="43"/>
      <c r="FA117" s="43"/>
      <c r="FB117" s="43"/>
      <c r="FC117" s="43"/>
      <c r="FD117" s="43"/>
      <c r="FE117" s="43"/>
      <c r="FF117" s="43"/>
      <c r="FG117" s="43"/>
      <c r="FH117" s="43"/>
      <c r="FI117" s="43"/>
    </row>
    <row r="118" ht="18.0" customHeight="1">
      <c r="A118" s="22" t="s">
        <v>116</v>
      </c>
      <c r="B118" s="43" t="s">
        <v>2003</v>
      </c>
      <c r="C118" s="22" t="s">
        <v>283</v>
      </c>
      <c r="D118" s="22" t="s">
        <v>187</v>
      </c>
      <c r="E118" s="43" t="s">
        <v>521</v>
      </c>
      <c r="F118" s="22" t="s">
        <v>2004</v>
      </c>
      <c r="G118" s="22"/>
      <c r="H118" s="22"/>
      <c r="I118" s="43"/>
      <c r="J118" s="43"/>
      <c r="K118" s="22" t="b">
        <v>1</v>
      </c>
      <c r="L118" s="22" t="b">
        <v>1</v>
      </c>
      <c r="M118" s="22" t="b">
        <v>1</v>
      </c>
      <c r="N118" s="22" t="b">
        <v>0</v>
      </c>
      <c r="O118" s="22" t="b">
        <v>0</v>
      </c>
      <c r="P118" s="22" t="b">
        <v>0</v>
      </c>
      <c r="Q118" s="22" t="b">
        <v>0</v>
      </c>
      <c r="R118" s="43"/>
      <c r="S118" s="43" t="s">
        <v>2005</v>
      </c>
      <c r="T118" s="22" t="s">
        <v>2003</v>
      </c>
      <c r="U118" s="22" t="s">
        <v>2003</v>
      </c>
      <c r="V118" s="22"/>
      <c r="W118" s="43"/>
      <c r="X118" s="43"/>
      <c r="Y118" s="43"/>
      <c r="Z118" s="43"/>
      <c r="AA118" s="22">
        <v>1.67273376E8</v>
      </c>
      <c r="AB118" s="22">
        <v>1.068139791E9</v>
      </c>
      <c r="AC118" s="22"/>
      <c r="AD118" s="22"/>
      <c r="AE118" s="22"/>
      <c r="AF118" s="43"/>
      <c r="AG118" s="43"/>
      <c r="AH118" s="43" t="s">
        <v>2004</v>
      </c>
      <c r="AI118" s="22" t="s">
        <v>2006</v>
      </c>
      <c r="AJ118" s="22" t="s">
        <v>2007</v>
      </c>
      <c r="AK118" s="43"/>
      <c r="AL118" s="43"/>
      <c r="AM118" s="43"/>
      <c r="AN118" s="43"/>
      <c r="AO118" s="43"/>
      <c r="AP118" s="46" t="s">
        <v>2008</v>
      </c>
      <c r="AQ118" s="46" t="s">
        <v>2009</v>
      </c>
      <c r="AR118" s="43"/>
      <c r="AS118" s="43"/>
      <c r="AT118" s="43"/>
      <c r="AU118" s="43"/>
      <c r="AV118" s="43"/>
      <c r="AW118" s="22" t="s">
        <v>361</v>
      </c>
      <c r="AX118" s="22" t="s">
        <v>2007</v>
      </c>
      <c r="AY118" s="43"/>
      <c r="AZ118" s="43"/>
      <c r="BA118" s="43"/>
      <c r="BB118" s="43"/>
      <c r="BC118" s="43"/>
      <c r="BD118" s="43" t="s">
        <v>243</v>
      </c>
      <c r="BE118" s="43" t="s">
        <v>243</v>
      </c>
      <c r="BF118" s="22" t="s">
        <v>131</v>
      </c>
      <c r="BG118" s="22" t="s">
        <v>132</v>
      </c>
      <c r="BH118" s="22" t="s">
        <v>132</v>
      </c>
      <c r="BI118" s="22" t="s">
        <v>132</v>
      </c>
      <c r="BJ118" s="43"/>
      <c r="BK118" s="43"/>
      <c r="BL118" s="22" t="s">
        <v>2010</v>
      </c>
      <c r="BM118" s="22">
        <v>2.106909808E9</v>
      </c>
      <c r="BN118" s="22" t="s">
        <v>2011</v>
      </c>
      <c r="BO118" s="46" t="s">
        <v>2012</v>
      </c>
      <c r="BP118" s="22" t="s">
        <v>245</v>
      </c>
      <c r="BQ118" s="43"/>
      <c r="BR118" s="43"/>
      <c r="BS118" s="22" t="s">
        <v>2013</v>
      </c>
      <c r="BT118" s="43"/>
      <c r="BU118" s="22" t="s">
        <v>2014</v>
      </c>
      <c r="BV118" s="43" t="s">
        <v>2015</v>
      </c>
      <c r="BW118" s="22" t="s">
        <v>2016</v>
      </c>
      <c r="BX118" s="22">
        <v>60.0</v>
      </c>
      <c r="BY118" s="22" t="s">
        <v>492</v>
      </c>
      <c r="BZ118" s="43"/>
      <c r="CA118" s="22" t="s">
        <v>355</v>
      </c>
      <c r="CB118" s="22" t="s">
        <v>307</v>
      </c>
      <c r="CC118" s="45" t="s">
        <v>2017</v>
      </c>
      <c r="CD118" s="43"/>
      <c r="CE118" s="43"/>
      <c r="CF118" s="45" t="s">
        <v>2018</v>
      </c>
      <c r="CG118" s="43"/>
      <c r="CH118" s="43"/>
      <c r="CI118" s="43"/>
      <c r="CJ118" s="43"/>
      <c r="CK118" s="43"/>
      <c r="CL118" s="43"/>
      <c r="CM118" s="49">
        <f>IFERROR(VLOOKUP(B118,CC!A:D,4,0)," ")</f>
        <v>134.58</v>
      </c>
      <c r="CN118" s="22" t="s">
        <v>400</v>
      </c>
      <c r="CO118" s="22"/>
      <c r="CP118" s="22" t="s">
        <v>562</v>
      </c>
      <c r="CQ118" s="22">
        <v>90.0</v>
      </c>
      <c r="CR118" s="43"/>
      <c r="CS118" s="22">
        <v>10.0</v>
      </c>
      <c r="CT118" s="22" t="s">
        <v>145</v>
      </c>
      <c r="CU118" s="43"/>
      <c r="CV118" s="43"/>
      <c r="CW118" s="43"/>
      <c r="CX118" s="43"/>
      <c r="CY118" s="43" t="b">
        <v>0</v>
      </c>
      <c r="CZ118" s="43" t="b">
        <v>0</v>
      </c>
      <c r="DA118" s="43" t="b">
        <v>0</v>
      </c>
      <c r="DB118" s="43" t="b">
        <v>0</v>
      </c>
      <c r="DC118" s="43"/>
      <c r="DD118" s="43"/>
      <c r="DE118" s="43"/>
      <c r="DF118" s="43"/>
      <c r="DG118" s="43"/>
      <c r="DH118" s="43"/>
      <c r="DI118" s="43"/>
      <c r="DJ118" s="22">
        <f>IFERROR(VLOOKUP($B118,'Лист4'!$D:$AI,27,0)," ")</f>
        <v>7</v>
      </c>
      <c r="DK118" s="22">
        <f>IFERROR(VLOOKUP($B118,'Лист4'!$D:$AI,28,0)," ")</f>
        <v>10</v>
      </c>
      <c r="DL118" s="22">
        <f>IFERROR(VLOOKUP($B118,'Лист4'!$D:$AI,29,0)," ")</f>
        <v>7</v>
      </c>
      <c r="DM118" s="22">
        <f t="shared" si="1"/>
        <v>490</v>
      </c>
      <c r="DN118" s="22">
        <f>IFERROR(VLOOKUP($B118,'Лист4'!$D:$AI,32,0)," ")</f>
        <v>0.08</v>
      </c>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22"/>
      <c r="ES118" s="43"/>
      <c r="ET118" s="43"/>
      <c r="EU118" s="43"/>
      <c r="EV118" s="43"/>
      <c r="EW118" s="43"/>
      <c r="EX118" s="43"/>
      <c r="EY118" s="43"/>
      <c r="EZ118" s="43"/>
      <c r="FA118" s="43"/>
      <c r="FB118" s="43"/>
      <c r="FC118" s="43"/>
      <c r="FD118" s="43"/>
      <c r="FE118" s="43"/>
      <c r="FF118" s="43"/>
      <c r="FG118" s="43"/>
      <c r="FH118" s="43"/>
      <c r="FI118" s="43"/>
    </row>
    <row r="119" ht="18.0" customHeight="1">
      <c r="A119" s="22" t="s">
        <v>116</v>
      </c>
      <c r="B119" s="43" t="s">
        <v>2019</v>
      </c>
      <c r="C119" s="22" t="s">
        <v>283</v>
      </c>
      <c r="D119" s="22" t="s">
        <v>187</v>
      </c>
      <c r="E119" s="43" t="s">
        <v>521</v>
      </c>
      <c r="F119" s="22" t="s">
        <v>2020</v>
      </c>
      <c r="G119" s="22"/>
      <c r="H119" s="22"/>
      <c r="I119" s="43"/>
      <c r="J119" s="43"/>
      <c r="K119" s="22" t="b">
        <v>1</v>
      </c>
      <c r="L119" s="22" t="b">
        <v>1</v>
      </c>
      <c r="M119" s="22" t="b">
        <v>1</v>
      </c>
      <c r="N119" s="22" t="b">
        <v>0</v>
      </c>
      <c r="O119" s="22" t="b">
        <v>0</v>
      </c>
      <c r="P119" s="22" t="b">
        <v>0</v>
      </c>
      <c r="Q119" s="22" t="b">
        <v>0</v>
      </c>
      <c r="R119" s="43"/>
      <c r="S119" s="43" t="s">
        <v>2021</v>
      </c>
      <c r="T119" s="22" t="s">
        <v>2019</v>
      </c>
      <c r="U119" s="22" t="s">
        <v>2019</v>
      </c>
      <c r="V119" s="22"/>
      <c r="W119" s="43"/>
      <c r="X119" s="43"/>
      <c r="Y119" s="43"/>
      <c r="Z119" s="43"/>
      <c r="AA119" s="22">
        <v>1.86730528E8</v>
      </c>
      <c r="AB119" s="22">
        <v>1.271355943E9</v>
      </c>
      <c r="AC119" s="22"/>
      <c r="AD119" s="22"/>
      <c r="AE119" s="22"/>
      <c r="AF119" s="43"/>
      <c r="AG119" s="43"/>
      <c r="AH119" s="43" t="s">
        <v>2020</v>
      </c>
      <c r="AI119" s="22" t="s">
        <v>2022</v>
      </c>
      <c r="AJ119" s="22" t="s">
        <v>2023</v>
      </c>
      <c r="AK119" s="43"/>
      <c r="AL119" s="43"/>
      <c r="AM119" s="43"/>
      <c r="AN119" s="43"/>
      <c r="AO119" s="43"/>
      <c r="AP119" s="46" t="s">
        <v>2024</v>
      </c>
      <c r="AQ119" s="46" t="s">
        <v>2025</v>
      </c>
      <c r="AR119" s="43"/>
      <c r="AS119" s="43"/>
      <c r="AT119" s="43"/>
      <c r="AU119" s="43"/>
      <c r="AV119" s="43"/>
      <c r="AW119" s="22" t="s">
        <v>361</v>
      </c>
      <c r="AX119" s="22" t="s">
        <v>2023</v>
      </c>
      <c r="AY119" s="43"/>
      <c r="AZ119" s="43"/>
      <c r="BA119" s="43"/>
      <c r="BB119" s="43"/>
      <c r="BC119" s="43"/>
      <c r="BD119" s="43" t="s">
        <v>243</v>
      </c>
      <c r="BE119" s="43" t="s">
        <v>243</v>
      </c>
      <c r="BF119" s="22" t="s">
        <v>131</v>
      </c>
      <c r="BG119" s="22" t="s">
        <v>132</v>
      </c>
      <c r="BH119" s="22" t="s">
        <v>132</v>
      </c>
      <c r="BI119" s="22" t="s">
        <v>132</v>
      </c>
      <c r="BJ119" s="43"/>
      <c r="BK119" s="43"/>
      <c r="BL119" s="22">
        <v>4.627144543109E12</v>
      </c>
      <c r="BM119" s="22">
        <v>2.106909808E9</v>
      </c>
      <c r="BN119" s="22" t="s">
        <v>2026</v>
      </c>
      <c r="BO119" s="22"/>
      <c r="BP119" s="22" t="s">
        <v>245</v>
      </c>
      <c r="BQ119" s="43"/>
      <c r="BR119" s="43"/>
      <c r="BS119" s="22" t="s">
        <v>2027</v>
      </c>
      <c r="BT119" s="43"/>
      <c r="BU119" s="22" t="s">
        <v>1095</v>
      </c>
      <c r="BV119" s="43" t="s">
        <v>557</v>
      </c>
      <c r="BW119" s="22" t="s">
        <v>2028</v>
      </c>
      <c r="BX119" s="22">
        <v>60.0</v>
      </c>
      <c r="BY119" s="22" t="s">
        <v>492</v>
      </c>
      <c r="BZ119" s="43"/>
      <c r="CA119" s="22" t="s">
        <v>726</v>
      </c>
      <c r="CB119" s="22" t="s">
        <v>727</v>
      </c>
      <c r="CC119" s="45" t="s">
        <v>2029</v>
      </c>
      <c r="CD119" s="43"/>
      <c r="CE119" s="43"/>
      <c r="CF119" s="45" t="s">
        <v>2030</v>
      </c>
      <c r="CG119" s="43"/>
      <c r="CH119" s="43"/>
      <c r="CI119" s="43"/>
      <c r="CJ119" s="43"/>
      <c r="CK119" s="43"/>
      <c r="CL119" s="43"/>
      <c r="CM119" s="49">
        <f>IFERROR(VLOOKUP(B119,CC!A:D,4,0)," ")</f>
        <v>241</v>
      </c>
      <c r="CN119" s="22" t="s">
        <v>2031</v>
      </c>
      <c r="CO119" s="22"/>
      <c r="CP119" s="22" t="s">
        <v>2032</v>
      </c>
      <c r="CQ119" s="22">
        <v>90.0</v>
      </c>
      <c r="CR119" s="43"/>
      <c r="CS119" s="43"/>
      <c r="CT119" s="22" t="s">
        <v>145</v>
      </c>
      <c r="CU119" s="43"/>
      <c r="CV119" s="43"/>
      <c r="CW119" s="43"/>
      <c r="CX119" s="43"/>
      <c r="CY119" s="43" t="b">
        <v>0</v>
      </c>
      <c r="CZ119" s="43" t="b">
        <v>0</v>
      </c>
      <c r="DA119" s="43" t="b">
        <v>0</v>
      </c>
      <c r="DB119" s="43" t="b">
        <v>0</v>
      </c>
      <c r="DC119" s="43"/>
      <c r="DD119" s="43"/>
      <c r="DE119" s="43"/>
      <c r="DF119" s="43"/>
      <c r="DG119" s="43"/>
      <c r="DH119" s="43"/>
      <c r="DI119" s="43"/>
      <c r="DJ119" s="22">
        <f>IFERROR(VLOOKUP($B119,'Лист4'!$D:$AI,27,0)," ")</f>
        <v>6</v>
      </c>
      <c r="DK119" s="22">
        <f>IFERROR(VLOOKUP($B119,'Лист4'!$D:$AI,28,0)," ")</f>
        <v>12</v>
      </c>
      <c r="DL119" s="22">
        <f>IFERROR(VLOOKUP($B119,'Лист4'!$D:$AI,29,0)," ")</f>
        <v>6</v>
      </c>
      <c r="DM119" s="22">
        <f t="shared" si="1"/>
        <v>432</v>
      </c>
      <c r="DN119" s="22">
        <f>IFERROR(VLOOKUP($B119,'Лист4'!$D:$AI,32,0)," ")</f>
        <v>0.06</v>
      </c>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22"/>
      <c r="EN119" s="22"/>
      <c r="EO119" s="22"/>
      <c r="EP119" s="22"/>
      <c r="EQ119" s="22"/>
      <c r="ER119" s="22"/>
      <c r="ES119" s="43"/>
      <c r="ET119" s="43"/>
      <c r="EU119" s="43"/>
      <c r="EV119" s="43"/>
      <c r="EW119" s="43"/>
      <c r="EX119" s="43"/>
      <c r="EY119" s="43"/>
      <c r="EZ119" s="43"/>
      <c r="FA119" s="43"/>
      <c r="FB119" s="43"/>
      <c r="FC119" s="43"/>
      <c r="FD119" s="43"/>
      <c r="FE119" s="43"/>
      <c r="FF119" s="43"/>
      <c r="FG119" s="43"/>
      <c r="FH119" s="43"/>
      <c r="FI119" s="43"/>
    </row>
    <row r="120" ht="18.0" customHeight="1">
      <c r="A120" s="22" t="s">
        <v>116</v>
      </c>
      <c r="B120" s="43" t="s">
        <v>2033</v>
      </c>
      <c r="C120" s="22" t="s">
        <v>283</v>
      </c>
      <c r="D120" s="22" t="s">
        <v>187</v>
      </c>
      <c r="E120" s="43" t="s">
        <v>521</v>
      </c>
      <c r="F120" s="22" t="s">
        <v>2034</v>
      </c>
      <c r="G120" s="22"/>
      <c r="H120" s="22"/>
      <c r="I120" s="43"/>
      <c r="J120" s="43"/>
      <c r="K120" s="22" t="b">
        <v>1</v>
      </c>
      <c r="L120" s="22" t="b">
        <v>1</v>
      </c>
      <c r="M120" s="22" t="b">
        <v>1</v>
      </c>
      <c r="N120" s="22" t="b">
        <v>1</v>
      </c>
      <c r="O120" s="22" t="b">
        <v>0</v>
      </c>
      <c r="P120" s="22" t="b">
        <v>0</v>
      </c>
      <c r="Q120" s="22" t="b">
        <v>0</v>
      </c>
      <c r="R120" s="43"/>
      <c r="S120" s="43" t="s">
        <v>2035</v>
      </c>
      <c r="T120" s="22" t="s">
        <v>2033</v>
      </c>
      <c r="U120" s="22" t="s">
        <v>2033</v>
      </c>
      <c r="V120" s="22" t="s">
        <v>2033</v>
      </c>
      <c r="W120" s="43"/>
      <c r="X120" s="43"/>
      <c r="Y120" s="43"/>
      <c r="Z120" s="43"/>
      <c r="AA120" s="22">
        <v>1.57007801E8</v>
      </c>
      <c r="AB120" s="22">
        <v>9.46976846E8</v>
      </c>
      <c r="AC120" s="22">
        <v>1.02022022998E11</v>
      </c>
      <c r="AD120" s="22"/>
      <c r="AE120" s="22"/>
      <c r="AF120" s="43"/>
      <c r="AG120" s="43"/>
      <c r="AH120" s="43" t="s">
        <v>2034</v>
      </c>
      <c r="AI120" s="22" t="s">
        <v>2036</v>
      </c>
      <c r="AJ120" s="22" t="s">
        <v>2037</v>
      </c>
      <c r="AK120" s="22" t="s">
        <v>2037</v>
      </c>
      <c r="AL120" s="43"/>
      <c r="AM120" s="43"/>
      <c r="AN120" s="43"/>
      <c r="AO120" s="43"/>
      <c r="AP120" s="46" t="s">
        <v>2038</v>
      </c>
      <c r="AQ120" s="46" t="s">
        <v>2039</v>
      </c>
      <c r="AR120" s="43"/>
      <c r="AS120" s="43"/>
      <c r="AT120" s="43"/>
      <c r="AU120" s="43"/>
      <c r="AV120" s="43"/>
      <c r="AW120" s="22" t="s">
        <v>361</v>
      </c>
      <c r="AX120" s="22" t="s">
        <v>2037</v>
      </c>
      <c r="AY120" s="22" t="s">
        <v>372</v>
      </c>
      <c r="AZ120" s="43"/>
      <c r="BA120" s="43"/>
      <c r="BB120" s="43"/>
      <c r="BC120" s="43"/>
      <c r="BD120" s="43" t="s">
        <v>243</v>
      </c>
      <c r="BE120" s="43" t="s">
        <v>243</v>
      </c>
      <c r="BF120" s="22" t="s">
        <v>131</v>
      </c>
      <c r="BG120" s="22" t="s">
        <v>132</v>
      </c>
      <c r="BH120" s="22" t="s">
        <v>132</v>
      </c>
      <c r="BI120" s="22" t="s">
        <v>132</v>
      </c>
      <c r="BJ120" s="43"/>
      <c r="BK120" s="43"/>
      <c r="BL120" s="22">
        <v>4.607025202899E12</v>
      </c>
      <c r="BM120" s="22">
        <v>2.106909808E9</v>
      </c>
      <c r="BN120" s="22" t="s">
        <v>2040</v>
      </c>
      <c r="BO120" s="22"/>
      <c r="BP120" s="22" t="s">
        <v>245</v>
      </c>
      <c r="BQ120" s="43"/>
      <c r="BR120" s="43"/>
      <c r="BS120" s="22" t="s">
        <v>2041</v>
      </c>
      <c r="BT120" s="43"/>
      <c r="BU120" s="22" t="s">
        <v>2042</v>
      </c>
      <c r="BV120" s="43" t="s">
        <v>2043</v>
      </c>
      <c r="BW120" s="22" t="s">
        <v>2044</v>
      </c>
      <c r="BX120" s="22">
        <v>60.0</v>
      </c>
      <c r="BY120" s="22" t="s">
        <v>2045</v>
      </c>
      <c r="BZ120" s="22"/>
      <c r="CA120" s="22" t="s">
        <v>355</v>
      </c>
      <c r="CB120" s="22" t="s">
        <v>307</v>
      </c>
      <c r="CC120" s="45" t="s">
        <v>2046</v>
      </c>
      <c r="CD120" s="43"/>
      <c r="CE120" s="43"/>
      <c r="CF120" s="45" t="s">
        <v>2047</v>
      </c>
      <c r="CG120" s="43"/>
      <c r="CH120" s="43"/>
      <c r="CI120" s="43"/>
      <c r="CJ120" s="43"/>
      <c r="CK120" s="43"/>
      <c r="CL120" s="43"/>
      <c r="CM120" s="49">
        <f>IFERROR(VLOOKUP(B120,CC!A:D,4,0)," ")</f>
        <v>146.1</v>
      </c>
      <c r="CN120" s="22" t="s">
        <v>901</v>
      </c>
      <c r="CO120" s="22"/>
      <c r="CP120" s="22" t="s">
        <v>902</v>
      </c>
      <c r="CQ120" s="22">
        <v>60.0</v>
      </c>
      <c r="CR120" s="43"/>
      <c r="CS120" s="22">
        <v>1.0</v>
      </c>
      <c r="CT120" s="22" t="s">
        <v>145</v>
      </c>
      <c r="CU120" s="43"/>
      <c r="CV120" s="43"/>
      <c r="CW120" s="43"/>
      <c r="CX120" s="43"/>
      <c r="CY120" s="43" t="b">
        <v>0</v>
      </c>
      <c r="CZ120" s="43" t="b">
        <v>0</v>
      </c>
      <c r="DA120" s="43" t="b">
        <v>0</v>
      </c>
      <c r="DB120" s="43" t="b">
        <v>0</v>
      </c>
      <c r="DC120" s="43"/>
      <c r="DD120" s="43"/>
      <c r="DE120" s="43"/>
      <c r="DF120" s="43"/>
      <c r="DG120" s="43"/>
      <c r="DH120" s="43"/>
      <c r="DI120" s="43"/>
      <c r="DJ120" s="22">
        <f>IFERROR(VLOOKUP($B120,'Лист4'!$D:$AI,27,0)," ")</f>
        <v>10</v>
      </c>
      <c r="DK120" s="22">
        <f>IFERROR(VLOOKUP($B120,'Лист4'!$D:$AI,28,0)," ")</f>
        <v>5</v>
      </c>
      <c r="DL120" s="22">
        <f>IFERROR(VLOOKUP($B120,'Лист4'!$D:$AI,29,0)," ")</f>
        <v>10</v>
      </c>
      <c r="DM120" s="22">
        <f t="shared" si="1"/>
        <v>500</v>
      </c>
      <c r="DN120" s="22">
        <f>IFERROR(VLOOKUP($B120,'Лист4'!$D:$AI,32,0)," ")</f>
        <v>0.04</v>
      </c>
      <c r="DO120" s="22"/>
      <c r="DP120" s="22"/>
      <c r="DQ120" s="22"/>
      <c r="DR120" s="22"/>
      <c r="DS120" s="22"/>
      <c r="DT120" s="22"/>
      <c r="DU120" s="22"/>
      <c r="DV120" s="22"/>
      <c r="DW120" s="22"/>
      <c r="DX120" s="22"/>
      <c r="DY120" s="22"/>
      <c r="DZ120" s="22"/>
      <c r="EA120" s="22"/>
      <c r="EB120" s="22"/>
      <c r="EC120" s="22"/>
      <c r="ED120" s="22"/>
      <c r="EE120" s="22"/>
      <c r="EF120" s="22"/>
      <c r="EG120" s="22"/>
      <c r="EH120" s="22"/>
      <c r="EI120" s="22"/>
      <c r="EJ120" s="22"/>
      <c r="EK120" s="22"/>
      <c r="EL120" s="22"/>
      <c r="EM120" s="22"/>
      <c r="EN120" s="22"/>
      <c r="EO120" s="22"/>
      <c r="EP120" s="22"/>
      <c r="EQ120" s="22"/>
      <c r="ER120" s="22"/>
      <c r="ES120" s="43"/>
      <c r="ET120" s="43"/>
      <c r="EU120" s="43"/>
      <c r="EV120" s="43"/>
      <c r="EW120" s="43"/>
      <c r="EX120" s="43"/>
      <c r="EY120" s="43"/>
      <c r="EZ120" s="43"/>
      <c r="FA120" s="43"/>
      <c r="FB120" s="43"/>
      <c r="FC120" s="43"/>
      <c r="FD120" s="43"/>
      <c r="FE120" s="43"/>
      <c r="FF120" s="43"/>
      <c r="FG120" s="43"/>
      <c r="FH120" s="43"/>
      <c r="FI120" s="43"/>
    </row>
    <row r="121" ht="18.0" customHeight="1">
      <c r="A121" s="22" t="s">
        <v>116</v>
      </c>
      <c r="B121" s="43" t="s">
        <v>2048</v>
      </c>
      <c r="C121" s="22" t="s">
        <v>283</v>
      </c>
      <c r="D121" s="22" t="s">
        <v>187</v>
      </c>
      <c r="E121" s="43" t="s">
        <v>521</v>
      </c>
      <c r="F121" s="22" t="s">
        <v>2049</v>
      </c>
      <c r="G121" s="22"/>
      <c r="H121" s="22"/>
      <c r="I121" s="43"/>
      <c r="J121" s="43"/>
      <c r="K121" s="22" t="b">
        <v>1</v>
      </c>
      <c r="L121" s="22" t="b">
        <v>1</v>
      </c>
      <c r="M121" s="22" t="b">
        <v>1</v>
      </c>
      <c r="N121" s="22" t="b">
        <v>1</v>
      </c>
      <c r="O121" s="22" t="b">
        <v>0</v>
      </c>
      <c r="P121" s="22" t="b">
        <v>0</v>
      </c>
      <c r="Q121" s="22" t="b">
        <v>0</v>
      </c>
      <c r="R121" s="43"/>
      <c r="S121" s="43" t="s">
        <v>2050</v>
      </c>
      <c r="T121" s="22" t="s">
        <v>2048</v>
      </c>
      <c r="U121" s="22" t="s">
        <v>2048</v>
      </c>
      <c r="V121" s="22" t="s">
        <v>2048</v>
      </c>
      <c r="W121" s="43"/>
      <c r="X121" s="43"/>
      <c r="Y121" s="43"/>
      <c r="Z121" s="43"/>
      <c r="AA121" s="22">
        <v>2.94499169E8</v>
      </c>
      <c r="AB121" s="22">
        <v>1.773312643E9</v>
      </c>
      <c r="AC121" s="22">
        <v>1.0366547817E11</v>
      </c>
      <c r="AD121" s="22"/>
      <c r="AE121" s="22"/>
      <c r="AF121" s="43"/>
      <c r="AG121" s="43"/>
      <c r="AH121" s="43" t="s">
        <v>2049</v>
      </c>
      <c r="AI121" s="22" t="s">
        <v>2051</v>
      </c>
      <c r="AJ121" s="22" t="s">
        <v>2052</v>
      </c>
      <c r="AK121" s="22" t="s">
        <v>2052</v>
      </c>
      <c r="AL121" s="43"/>
      <c r="AM121" s="43"/>
      <c r="AN121" s="43"/>
      <c r="AO121" s="43"/>
      <c r="AP121" s="46" t="s">
        <v>2053</v>
      </c>
      <c r="AQ121" s="46" t="s">
        <v>2054</v>
      </c>
      <c r="AR121" s="46" t="s">
        <v>2055</v>
      </c>
      <c r="AS121" s="43"/>
      <c r="AT121" s="43"/>
      <c r="AU121" s="43"/>
      <c r="AV121" s="43"/>
      <c r="AW121" s="22" t="s">
        <v>361</v>
      </c>
      <c r="AX121" s="22" t="s">
        <v>2052</v>
      </c>
      <c r="AY121" s="22" t="s">
        <v>372</v>
      </c>
      <c r="AZ121" s="43"/>
      <c r="BA121" s="43"/>
      <c r="BB121" s="43"/>
      <c r="BC121" s="43"/>
      <c r="BD121" s="43" t="s">
        <v>243</v>
      </c>
      <c r="BE121" s="43" t="s">
        <v>243</v>
      </c>
      <c r="BF121" s="22" t="s">
        <v>131</v>
      </c>
      <c r="BG121" s="22" t="s">
        <v>132</v>
      </c>
      <c r="BH121" s="22" t="s">
        <v>132</v>
      </c>
      <c r="BI121" s="22" t="s">
        <v>132</v>
      </c>
      <c r="BJ121" s="43"/>
      <c r="BK121" s="43"/>
      <c r="BL121" s="22" t="s">
        <v>2056</v>
      </c>
      <c r="BM121" s="22">
        <v>2.106909808E9</v>
      </c>
      <c r="BN121" s="22"/>
      <c r="BO121" s="22"/>
      <c r="BP121" s="22" t="s">
        <v>303</v>
      </c>
      <c r="BQ121" s="43"/>
      <c r="BR121" s="43"/>
      <c r="BS121" s="22" t="s">
        <v>2057</v>
      </c>
      <c r="BT121" s="43"/>
      <c r="BU121" s="22"/>
      <c r="BV121" s="43"/>
      <c r="BW121" s="22"/>
      <c r="BX121" s="22">
        <v>150.0</v>
      </c>
      <c r="BY121" s="22" t="s">
        <v>621</v>
      </c>
      <c r="BZ121" s="22"/>
      <c r="CA121" s="22"/>
      <c r="CB121" s="22"/>
      <c r="CC121" s="45"/>
      <c r="CD121" s="43"/>
      <c r="CE121" s="43"/>
      <c r="CF121" s="45"/>
      <c r="CG121" s="43"/>
      <c r="CH121" s="43"/>
      <c r="CI121" s="43"/>
      <c r="CJ121" s="43"/>
      <c r="CK121" s="43"/>
      <c r="CL121" s="43"/>
      <c r="CM121" s="49">
        <f>IFERROR(VLOOKUP(B121,CC!A:D,4,0)," ")</f>
        <v>948.2</v>
      </c>
      <c r="CN121" s="22"/>
      <c r="CO121" s="22"/>
      <c r="CP121" s="43"/>
      <c r="CQ121" s="22">
        <v>90.0</v>
      </c>
      <c r="CR121" s="43"/>
      <c r="CS121" s="43"/>
      <c r="CT121" s="22" t="s">
        <v>145</v>
      </c>
      <c r="CU121" s="43"/>
      <c r="CV121" s="43"/>
      <c r="CW121" s="43"/>
      <c r="CX121" s="43"/>
      <c r="CY121" s="43" t="b">
        <v>0</v>
      </c>
      <c r="CZ121" s="43" t="b">
        <v>0</v>
      </c>
      <c r="DA121" s="43" t="b">
        <v>0</v>
      </c>
      <c r="DB121" s="43" t="b">
        <v>0</v>
      </c>
      <c r="DC121" s="43"/>
      <c r="DD121" s="43"/>
      <c r="DE121" s="43"/>
      <c r="DF121" s="43"/>
      <c r="DG121" s="43"/>
      <c r="DH121" s="43"/>
      <c r="DI121" s="43"/>
      <c r="DJ121" s="22">
        <f>IFERROR(VLOOKUP($B121,'Лист4'!$D:$AI,27,0)," ")</f>
        <v>19</v>
      </c>
      <c r="DK121" s="22">
        <f>IFERROR(VLOOKUP($B121,'Лист4'!$D:$AI,28,0)," ")</f>
        <v>11</v>
      </c>
      <c r="DL121" s="22">
        <f>IFERROR(VLOOKUP($B121,'Лист4'!$D:$AI,29,0)," ")</f>
        <v>19</v>
      </c>
      <c r="DM121" s="22">
        <f t="shared" si="1"/>
        <v>3971</v>
      </c>
      <c r="DN121" s="22">
        <f>IFERROR(VLOOKUP($B121,'Лист4'!$D:$AI,32,0)," ")</f>
        <v>0.25</v>
      </c>
      <c r="DO121" s="22"/>
      <c r="DP121" s="22"/>
      <c r="DQ121" s="22"/>
      <c r="DR121" s="22"/>
      <c r="DS121" s="22"/>
      <c r="DT121" s="22"/>
      <c r="DU121" s="22"/>
      <c r="DV121" s="22"/>
      <c r="DW121" s="22"/>
      <c r="DX121" s="22"/>
      <c r="DY121" s="22"/>
      <c r="DZ121" s="22"/>
      <c r="EA121" s="22"/>
      <c r="EB121" s="22"/>
      <c r="EC121" s="22"/>
      <c r="ED121" s="22"/>
      <c r="EE121" s="22"/>
      <c r="EF121" s="22"/>
      <c r="EG121" s="22"/>
      <c r="EH121" s="22"/>
      <c r="EI121" s="22"/>
      <c r="EJ121" s="22"/>
      <c r="EK121" s="22"/>
      <c r="EL121" s="22"/>
      <c r="EM121" s="22"/>
      <c r="EN121" s="22"/>
      <c r="EO121" s="22"/>
      <c r="EP121" s="22"/>
      <c r="EQ121" s="22"/>
      <c r="ER121" s="22"/>
      <c r="ES121" s="43"/>
      <c r="ET121" s="43"/>
      <c r="EU121" s="43"/>
      <c r="EV121" s="43"/>
      <c r="EW121" s="43"/>
      <c r="EX121" s="43"/>
      <c r="EY121" s="43"/>
      <c r="EZ121" s="43"/>
      <c r="FA121" s="43"/>
      <c r="FB121" s="43"/>
      <c r="FC121" s="43"/>
      <c r="FD121" s="43"/>
      <c r="FE121" s="43"/>
      <c r="FF121" s="43"/>
      <c r="FG121" s="43"/>
      <c r="FH121" s="43"/>
      <c r="FI121" s="43"/>
    </row>
    <row r="122" ht="18.0" customHeight="1">
      <c r="A122" s="22" t="s">
        <v>116</v>
      </c>
      <c r="B122" s="43" t="s">
        <v>2058</v>
      </c>
      <c r="C122" s="22" t="s">
        <v>283</v>
      </c>
      <c r="D122" s="22" t="s">
        <v>187</v>
      </c>
      <c r="E122" s="43" t="s">
        <v>521</v>
      </c>
      <c r="F122" s="22" t="s">
        <v>2059</v>
      </c>
      <c r="G122" s="22"/>
      <c r="H122" s="22"/>
      <c r="I122" s="43"/>
      <c r="J122" s="43"/>
      <c r="K122" s="22" t="b">
        <v>1</v>
      </c>
      <c r="L122" s="22" t="b">
        <v>1</v>
      </c>
      <c r="M122" s="22" t="b">
        <v>1</v>
      </c>
      <c r="N122" s="22" t="b">
        <v>1</v>
      </c>
      <c r="O122" s="22" t="b">
        <v>0</v>
      </c>
      <c r="P122" s="22" t="b">
        <v>0</v>
      </c>
      <c r="Q122" s="22" t="b">
        <v>0</v>
      </c>
      <c r="R122" s="43"/>
      <c r="S122" s="43" t="s">
        <v>2060</v>
      </c>
      <c r="T122" s="22" t="s">
        <v>2058</v>
      </c>
      <c r="U122" s="22" t="s">
        <v>2058</v>
      </c>
      <c r="V122" s="22" t="s">
        <v>2058</v>
      </c>
      <c r="W122" s="43"/>
      <c r="X122" s="43"/>
      <c r="Y122" s="43"/>
      <c r="Z122" s="43"/>
      <c r="AA122" s="22">
        <v>2.94499845E8</v>
      </c>
      <c r="AB122" s="22">
        <v>1.773357213E9</v>
      </c>
      <c r="AC122" s="22">
        <v>1.03665484859E11</v>
      </c>
      <c r="AD122" s="22"/>
      <c r="AE122" s="22"/>
      <c r="AF122" s="43"/>
      <c r="AG122" s="43"/>
      <c r="AH122" s="43" t="s">
        <v>2059</v>
      </c>
      <c r="AI122" s="22" t="s">
        <v>2061</v>
      </c>
      <c r="AJ122" s="22" t="s">
        <v>2062</v>
      </c>
      <c r="AK122" s="22" t="s">
        <v>2063</v>
      </c>
      <c r="AL122" s="43"/>
      <c r="AM122" s="43"/>
      <c r="AN122" s="43"/>
      <c r="AO122" s="43"/>
      <c r="AP122" s="46" t="s">
        <v>2064</v>
      </c>
      <c r="AQ122" s="46" t="s">
        <v>2065</v>
      </c>
      <c r="AR122" s="46" t="s">
        <v>2066</v>
      </c>
      <c r="AS122" s="43"/>
      <c r="AT122" s="43"/>
      <c r="AU122" s="43"/>
      <c r="AV122" s="43"/>
      <c r="AW122" s="22" t="s">
        <v>361</v>
      </c>
      <c r="AX122" s="22" t="s">
        <v>2062</v>
      </c>
      <c r="AY122" s="22" t="s">
        <v>372</v>
      </c>
      <c r="AZ122" s="43"/>
      <c r="BA122" s="43"/>
      <c r="BB122" s="43"/>
      <c r="BC122" s="43"/>
      <c r="BD122" s="43" t="s">
        <v>243</v>
      </c>
      <c r="BE122" s="43" t="s">
        <v>243</v>
      </c>
      <c r="BF122" s="22" t="s">
        <v>131</v>
      </c>
      <c r="BG122" s="22" t="s">
        <v>132</v>
      </c>
      <c r="BH122" s="22" t="s">
        <v>132</v>
      </c>
      <c r="BI122" s="22" t="s">
        <v>132</v>
      </c>
      <c r="BJ122" s="43"/>
      <c r="BK122" s="43"/>
      <c r="BL122" s="22" t="s">
        <v>2067</v>
      </c>
      <c r="BM122" s="22">
        <v>2.106909808E9</v>
      </c>
      <c r="BN122" s="22"/>
      <c r="BO122" s="22"/>
      <c r="BP122" s="22" t="s">
        <v>303</v>
      </c>
      <c r="BQ122" s="43"/>
      <c r="BR122" s="43"/>
      <c r="BS122" s="22" t="s">
        <v>2068</v>
      </c>
      <c r="BT122" s="43"/>
      <c r="BU122" s="22"/>
      <c r="BV122" s="43"/>
      <c r="BW122" s="22"/>
      <c r="BX122" s="22"/>
      <c r="BY122" s="43"/>
      <c r="BZ122" s="43"/>
      <c r="CA122" s="22"/>
      <c r="CB122" s="22"/>
      <c r="CC122" s="45"/>
      <c r="CD122" s="43"/>
      <c r="CE122" s="43"/>
      <c r="CF122" s="45"/>
      <c r="CG122" s="43"/>
      <c r="CH122" s="43"/>
      <c r="CI122" s="43"/>
      <c r="CJ122" s="43"/>
      <c r="CK122" s="43"/>
      <c r="CL122" s="43"/>
      <c r="CM122" s="49">
        <f>IFERROR(VLOOKUP(B122,CC!A:D,4,0)," ")</f>
        <v>511.4</v>
      </c>
      <c r="CN122" s="22"/>
      <c r="CO122" s="22"/>
      <c r="CP122" s="43"/>
      <c r="CQ122" s="22">
        <v>90.0</v>
      </c>
      <c r="CR122" s="43"/>
      <c r="CS122" s="43"/>
      <c r="CT122" s="22" t="s">
        <v>145</v>
      </c>
      <c r="CU122" s="43"/>
      <c r="CV122" s="43"/>
      <c r="CW122" s="43"/>
      <c r="CX122" s="43"/>
      <c r="CY122" s="43" t="b">
        <v>0</v>
      </c>
      <c r="CZ122" s="43" t="b">
        <v>0</v>
      </c>
      <c r="DA122" s="43" t="b">
        <v>0</v>
      </c>
      <c r="DB122" s="43" t="b">
        <v>0</v>
      </c>
      <c r="DC122" s="43"/>
      <c r="DD122" s="43"/>
      <c r="DE122" s="43"/>
      <c r="DF122" s="43"/>
      <c r="DG122" s="43"/>
      <c r="DH122" s="43"/>
      <c r="DI122" s="43"/>
      <c r="DJ122" s="22">
        <f>IFERROR(VLOOKUP($B122,'Лист4'!$D:$AI,27,0)," ")</f>
        <v>19</v>
      </c>
      <c r="DK122" s="22">
        <f>IFERROR(VLOOKUP($B122,'Лист4'!$D:$AI,28,0)," ")</f>
        <v>13</v>
      </c>
      <c r="DL122" s="22">
        <f>IFERROR(VLOOKUP($B122,'Лист4'!$D:$AI,29,0)," ")</f>
        <v>19</v>
      </c>
      <c r="DM122" s="22">
        <f t="shared" si="1"/>
        <v>4693</v>
      </c>
      <c r="DN122" s="22">
        <f>IFERROR(VLOOKUP($B122,'Лист4'!$D:$AI,32,0)," ")</f>
        <v>0.25</v>
      </c>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22"/>
      <c r="EN122" s="22"/>
      <c r="EO122" s="22"/>
      <c r="EP122" s="22"/>
      <c r="EQ122" s="22"/>
      <c r="ER122" s="22"/>
      <c r="ES122" s="43"/>
      <c r="ET122" s="43"/>
      <c r="EU122" s="43"/>
      <c r="EV122" s="43"/>
      <c r="EW122" s="43"/>
      <c r="EX122" s="43"/>
      <c r="EY122" s="43"/>
      <c r="EZ122" s="43"/>
      <c r="FA122" s="43"/>
      <c r="FB122" s="43"/>
      <c r="FC122" s="43"/>
      <c r="FD122" s="43"/>
      <c r="FE122" s="43"/>
      <c r="FF122" s="43"/>
      <c r="FG122" s="43"/>
      <c r="FH122" s="43"/>
      <c r="FI122" s="43"/>
    </row>
    <row r="123" ht="18.0" customHeight="1">
      <c r="A123" s="22" t="s">
        <v>116</v>
      </c>
      <c r="B123" s="43" t="s">
        <v>2069</v>
      </c>
      <c r="C123" s="22" t="s">
        <v>283</v>
      </c>
      <c r="D123" s="22" t="s">
        <v>187</v>
      </c>
      <c r="E123" s="43" t="s">
        <v>521</v>
      </c>
      <c r="F123" s="22" t="s">
        <v>904</v>
      </c>
      <c r="G123" s="22"/>
      <c r="H123" s="22"/>
      <c r="I123" s="43"/>
      <c r="J123" s="43"/>
      <c r="K123" s="22" t="b">
        <v>1</v>
      </c>
      <c r="L123" s="22" t="b">
        <v>1</v>
      </c>
      <c r="M123" s="22" t="b">
        <v>1</v>
      </c>
      <c r="N123" s="22" t="b">
        <v>0</v>
      </c>
      <c r="O123" s="22" t="b">
        <v>0</v>
      </c>
      <c r="P123" s="22" t="b">
        <v>0</v>
      </c>
      <c r="Q123" s="22" t="b">
        <v>0</v>
      </c>
      <c r="R123" s="43"/>
      <c r="S123" s="43" t="s">
        <v>2070</v>
      </c>
      <c r="T123" s="22" t="s">
        <v>2069</v>
      </c>
      <c r="U123" s="22" t="s">
        <v>2069</v>
      </c>
      <c r="V123" s="22"/>
      <c r="W123" s="43"/>
      <c r="X123" s="43"/>
      <c r="Y123" s="43"/>
      <c r="Z123" s="43"/>
      <c r="AA123" s="22">
        <v>1.33694038E8</v>
      </c>
      <c r="AB123" s="22">
        <v>7.86142411E8</v>
      </c>
      <c r="AC123" s="22"/>
      <c r="AD123" s="22"/>
      <c r="AE123" s="22"/>
      <c r="AF123" s="43"/>
      <c r="AG123" s="43"/>
      <c r="AH123" s="43" t="s">
        <v>904</v>
      </c>
      <c r="AI123" s="22" t="s">
        <v>2071</v>
      </c>
      <c r="AJ123" s="22" t="s">
        <v>2072</v>
      </c>
      <c r="AK123" s="43"/>
      <c r="AL123" s="43"/>
      <c r="AM123" s="43"/>
      <c r="AN123" s="43"/>
      <c r="AO123" s="43"/>
      <c r="AP123" s="46" t="s">
        <v>2073</v>
      </c>
      <c r="AQ123" s="46" t="s">
        <v>2074</v>
      </c>
      <c r="AR123" s="43"/>
      <c r="AS123" s="43"/>
      <c r="AT123" s="43"/>
      <c r="AU123" s="43"/>
      <c r="AV123" s="43"/>
      <c r="AW123" s="22" t="s">
        <v>361</v>
      </c>
      <c r="AX123" s="22" t="s">
        <v>2072</v>
      </c>
      <c r="AY123" s="43"/>
      <c r="AZ123" s="43"/>
      <c r="BA123" s="43"/>
      <c r="BB123" s="43"/>
      <c r="BC123" s="43"/>
      <c r="BD123" s="43" t="s">
        <v>243</v>
      </c>
      <c r="BE123" s="43" t="s">
        <v>243</v>
      </c>
      <c r="BF123" s="22" t="s">
        <v>131</v>
      </c>
      <c r="BG123" s="22" t="s">
        <v>132</v>
      </c>
      <c r="BH123" s="22" t="s">
        <v>132</v>
      </c>
      <c r="BI123" s="22" t="s">
        <v>132</v>
      </c>
      <c r="BJ123" s="43"/>
      <c r="BK123" s="43"/>
      <c r="BL123" s="22" t="s">
        <v>2075</v>
      </c>
      <c r="BM123" s="22">
        <v>2.106909808E9</v>
      </c>
      <c r="BN123" s="22" t="s">
        <v>2076</v>
      </c>
      <c r="BO123" s="22"/>
      <c r="BP123" s="22" t="s">
        <v>245</v>
      </c>
      <c r="BQ123" s="43"/>
      <c r="BR123" s="43"/>
      <c r="BS123" s="22" t="s">
        <v>2077</v>
      </c>
      <c r="BT123" s="43"/>
      <c r="BU123" s="22" t="s">
        <v>2078</v>
      </c>
      <c r="BV123" s="43" t="s">
        <v>2079</v>
      </c>
      <c r="BW123" s="22" t="s">
        <v>2080</v>
      </c>
      <c r="BX123" s="22">
        <v>60.0</v>
      </c>
      <c r="BY123" s="22" t="s">
        <v>492</v>
      </c>
      <c r="BZ123" s="22"/>
      <c r="CA123" s="22" t="s">
        <v>726</v>
      </c>
      <c r="CB123" s="22" t="s">
        <v>727</v>
      </c>
      <c r="CC123" s="45" t="s">
        <v>2081</v>
      </c>
      <c r="CD123" s="43"/>
      <c r="CE123" s="43"/>
      <c r="CF123" s="45" t="s">
        <v>2082</v>
      </c>
      <c r="CG123" s="43"/>
      <c r="CH123" s="43"/>
      <c r="CI123" s="43"/>
      <c r="CJ123" s="43"/>
      <c r="CK123" s="43"/>
      <c r="CL123" s="43"/>
      <c r="CM123" s="49">
        <f>IFERROR(VLOOKUP(B123,CC!A:D,4,0)," ")</f>
        <v>259.9</v>
      </c>
      <c r="CN123" s="22" t="s">
        <v>400</v>
      </c>
      <c r="CO123" s="22"/>
      <c r="CP123" s="22" t="s">
        <v>562</v>
      </c>
      <c r="CQ123" s="22" t="s">
        <v>401</v>
      </c>
      <c r="CR123" s="43"/>
      <c r="CS123" s="22">
        <v>10.0</v>
      </c>
      <c r="CT123" s="22" t="s">
        <v>145</v>
      </c>
      <c r="CU123" s="43"/>
      <c r="CV123" s="43"/>
      <c r="CW123" s="43"/>
      <c r="CX123" s="43"/>
      <c r="CY123" s="43" t="b">
        <v>0</v>
      </c>
      <c r="CZ123" s="43" t="b">
        <v>0</v>
      </c>
      <c r="DA123" s="43" t="b">
        <v>0</v>
      </c>
      <c r="DB123" s="43" t="b">
        <v>0</v>
      </c>
      <c r="DC123" s="43"/>
      <c r="DD123" s="43"/>
      <c r="DE123" s="43"/>
      <c r="DF123" s="43"/>
      <c r="DG123" s="43"/>
      <c r="DH123" s="43"/>
      <c r="DI123" s="43"/>
      <c r="DJ123" s="22">
        <f>IFERROR(VLOOKUP($B123,'Лист4'!$D:$AI,27,0)," ")</f>
        <v>10</v>
      </c>
      <c r="DK123" s="22">
        <f>IFERROR(VLOOKUP($B123,'Лист4'!$D:$AI,28,0)," ")</f>
        <v>6</v>
      </c>
      <c r="DL123" s="22">
        <f>IFERROR(VLOOKUP($B123,'Лист4'!$D:$AI,29,0)," ")</f>
        <v>10</v>
      </c>
      <c r="DM123" s="22">
        <f t="shared" si="1"/>
        <v>600</v>
      </c>
      <c r="DN123" s="22">
        <f>IFERROR(VLOOKUP($B123,'Лист4'!$D:$AI,32,0)," ")</f>
        <v>0.05</v>
      </c>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22"/>
      <c r="EN123" s="22"/>
      <c r="EO123" s="22"/>
      <c r="EP123" s="22"/>
      <c r="EQ123" s="22"/>
      <c r="ER123" s="22"/>
      <c r="ES123" s="43"/>
      <c r="ET123" s="43"/>
      <c r="EU123" s="43"/>
      <c r="EV123" s="43"/>
      <c r="EW123" s="43"/>
      <c r="EX123" s="43"/>
      <c r="EY123" s="43"/>
      <c r="EZ123" s="43"/>
      <c r="FA123" s="43"/>
      <c r="FB123" s="43"/>
      <c r="FC123" s="43"/>
      <c r="FD123" s="43"/>
      <c r="FE123" s="43"/>
      <c r="FF123" s="43"/>
      <c r="FG123" s="43"/>
      <c r="FH123" s="43"/>
      <c r="FI123" s="43"/>
    </row>
    <row r="124" ht="18.0" customHeight="1">
      <c r="A124" s="22" t="s">
        <v>116</v>
      </c>
      <c r="B124" s="43" t="s">
        <v>2083</v>
      </c>
      <c r="C124" s="22" t="s">
        <v>283</v>
      </c>
      <c r="D124" s="22" t="s">
        <v>853</v>
      </c>
      <c r="E124" s="43"/>
      <c r="F124" s="22" t="s">
        <v>2084</v>
      </c>
      <c r="G124" s="22"/>
      <c r="H124" s="22"/>
      <c r="I124" s="43"/>
      <c r="J124" s="43"/>
      <c r="K124" s="22" t="b">
        <v>1</v>
      </c>
      <c r="L124" s="22" t="b">
        <v>1</v>
      </c>
      <c r="M124" s="22" t="b">
        <v>1</v>
      </c>
      <c r="N124" s="22" t="b">
        <v>1</v>
      </c>
      <c r="O124" s="22" t="b">
        <v>0</v>
      </c>
      <c r="P124" s="22" t="b">
        <v>0</v>
      </c>
      <c r="Q124" s="22" t="b">
        <v>0</v>
      </c>
      <c r="R124" s="43"/>
      <c r="S124" s="43" t="s">
        <v>2085</v>
      </c>
      <c r="T124" s="22" t="s">
        <v>2083</v>
      </c>
      <c r="U124" s="22" t="s">
        <v>2083</v>
      </c>
      <c r="V124" s="22" t="s">
        <v>2083</v>
      </c>
      <c r="W124" s="43"/>
      <c r="X124" s="43"/>
      <c r="Y124" s="43"/>
      <c r="Z124" s="43"/>
      <c r="AA124" s="22">
        <v>1.38754901E8</v>
      </c>
      <c r="AB124" s="22">
        <v>8.09190803E8</v>
      </c>
      <c r="AC124" s="22">
        <v>1.01871911275E11</v>
      </c>
      <c r="AD124" s="22"/>
      <c r="AE124" s="22"/>
      <c r="AF124" s="43"/>
      <c r="AG124" s="43"/>
      <c r="AH124" s="43" t="s">
        <v>2084</v>
      </c>
      <c r="AI124" s="22" t="s">
        <v>2086</v>
      </c>
      <c r="AJ124" s="22" t="s">
        <v>2087</v>
      </c>
      <c r="AK124" s="22" t="s">
        <v>2087</v>
      </c>
      <c r="AL124" s="43"/>
      <c r="AM124" s="43"/>
      <c r="AN124" s="43"/>
      <c r="AO124" s="43"/>
      <c r="AP124" s="46" t="s">
        <v>2088</v>
      </c>
      <c r="AQ124" s="46" t="s">
        <v>2089</v>
      </c>
      <c r="AR124" s="43"/>
      <c r="AS124" s="43"/>
      <c r="AT124" s="43"/>
      <c r="AU124" s="43"/>
      <c r="AV124" s="43"/>
      <c r="AW124" s="22" t="s">
        <v>361</v>
      </c>
      <c r="AX124" s="22" t="s">
        <v>2087</v>
      </c>
      <c r="AY124" s="22" t="s">
        <v>372</v>
      </c>
      <c r="AZ124" s="43"/>
      <c r="BA124" s="43"/>
      <c r="BB124" s="43"/>
      <c r="BC124" s="43"/>
      <c r="BD124" s="43" t="s">
        <v>243</v>
      </c>
      <c r="BE124" s="43" t="s">
        <v>243</v>
      </c>
      <c r="BF124" s="22" t="s">
        <v>131</v>
      </c>
      <c r="BG124" s="22" t="s">
        <v>132</v>
      </c>
      <c r="BH124" s="22" t="s">
        <v>132</v>
      </c>
      <c r="BI124" s="22" t="s">
        <v>132</v>
      </c>
      <c r="BJ124" s="43"/>
      <c r="BK124" s="43"/>
      <c r="BL124" s="22">
        <v>4.630040229756E12</v>
      </c>
      <c r="BM124" s="22">
        <v>3.504009E9</v>
      </c>
      <c r="BN124" s="22" t="s">
        <v>2090</v>
      </c>
      <c r="BO124" s="46" t="s">
        <v>2091</v>
      </c>
      <c r="BP124" s="22" t="s">
        <v>245</v>
      </c>
      <c r="BQ124" s="43"/>
      <c r="BR124" s="43"/>
      <c r="BS124" s="22" t="s">
        <v>2092</v>
      </c>
      <c r="BT124" s="43"/>
      <c r="BU124" s="22" t="s">
        <v>2093</v>
      </c>
      <c r="BV124" s="43" t="s">
        <v>557</v>
      </c>
      <c r="BW124" s="22" t="s">
        <v>398</v>
      </c>
      <c r="BX124" s="22">
        <v>60.0</v>
      </c>
      <c r="BY124" s="22" t="s">
        <v>492</v>
      </c>
      <c r="BZ124" s="43"/>
      <c r="CA124" s="22" t="s">
        <v>355</v>
      </c>
      <c r="CB124" s="22" t="s">
        <v>307</v>
      </c>
      <c r="CC124" s="45" t="s">
        <v>2094</v>
      </c>
      <c r="CD124" s="43"/>
      <c r="CE124" s="43"/>
      <c r="CF124" s="45" t="s">
        <v>2095</v>
      </c>
      <c r="CG124" s="43"/>
      <c r="CH124" s="43"/>
      <c r="CI124" s="43"/>
      <c r="CJ124" s="43"/>
      <c r="CK124" s="43"/>
      <c r="CL124" s="43"/>
      <c r="CM124" s="49">
        <f>IFERROR(VLOOKUP(B124,CC!A:D,4,0)," ")</f>
        <v>123.79</v>
      </c>
      <c r="CN124" s="22" t="s">
        <v>400</v>
      </c>
      <c r="CO124" s="22"/>
      <c r="CP124" s="22" t="s">
        <v>562</v>
      </c>
      <c r="CQ124" s="22" t="s">
        <v>401</v>
      </c>
      <c r="CR124" s="43"/>
      <c r="CS124" s="22">
        <v>10.0</v>
      </c>
      <c r="CT124" s="22" t="s">
        <v>145</v>
      </c>
      <c r="CU124" s="43"/>
      <c r="CV124" s="43"/>
      <c r="CW124" s="43"/>
      <c r="CX124" s="43"/>
      <c r="CY124" s="43" t="b">
        <v>0</v>
      </c>
      <c r="CZ124" s="43" t="b">
        <v>0</v>
      </c>
      <c r="DA124" s="43" t="b">
        <v>0</v>
      </c>
      <c r="DB124" s="43" t="b">
        <v>0</v>
      </c>
      <c r="DC124" s="43"/>
      <c r="DD124" s="43"/>
      <c r="DE124" s="43"/>
      <c r="DF124" s="43"/>
      <c r="DG124" s="43"/>
      <c r="DH124" s="43"/>
      <c r="DI124" s="43"/>
      <c r="DJ124" s="22">
        <f>IFERROR(VLOOKUP($B124,'Лист4'!$D:$AI,27,0)," ")</f>
        <v>10</v>
      </c>
      <c r="DK124" s="22">
        <f>IFERROR(VLOOKUP($B124,'Лист4'!$D:$AI,28,0)," ")</f>
        <v>5</v>
      </c>
      <c r="DL124" s="22">
        <f>IFERROR(VLOOKUP($B124,'Лист4'!$D:$AI,29,0)," ")</f>
        <v>10</v>
      </c>
      <c r="DM124" s="22">
        <f t="shared" si="1"/>
        <v>500</v>
      </c>
      <c r="DN124" s="22">
        <f>IFERROR(VLOOKUP($B124,'Лист4'!$D:$AI,32,0)," ")</f>
        <v>0.044</v>
      </c>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22"/>
      <c r="EN124" s="22"/>
      <c r="EO124" s="22"/>
      <c r="EP124" s="22"/>
      <c r="EQ124" s="22"/>
      <c r="ER124" s="22"/>
      <c r="ES124" s="43"/>
      <c r="ET124" s="43"/>
      <c r="EU124" s="43"/>
      <c r="EV124" s="43"/>
      <c r="EW124" s="43"/>
      <c r="EX124" s="43"/>
      <c r="EY124" s="43"/>
      <c r="EZ124" s="43"/>
      <c r="FA124" s="43"/>
      <c r="FB124" s="43"/>
      <c r="FC124" s="43"/>
      <c r="FD124" s="43"/>
      <c r="FE124" s="43"/>
      <c r="FF124" s="43"/>
      <c r="FG124" s="43"/>
      <c r="FH124" s="43"/>
      <c r="FI124" s="43"/>
    </row>
    <row r="125" ht="18.0" customHeight="1">
      <c r="A125" s="22" t="s">
        <v>116</v>
      </c>
      <c r="B125" s="43" t="s">
        <v>2096</v>
      </c>
      <c r="C125" s="22" t="s">
        <v>283</v>
      </c>
      <c r="D125" s="22" t="s">
        <v>187</v>
      </c>
      <c r="E125" s="43" t="s">
        <v>521</v>
      </c>
      <c r="F125" s="22" t="s">
        <v>2097</v>
      </c>
      <c r="G125" s="22"/>
      <c r="H125" s="22"/>
      <c r="I125" s="43"/>
      <c r="J125" s="43"/>
      <c r="K125" s="22" t="b">
        <v>1</v>
      </c>
      <c r="L125" s="22" t="b">
        <v>1</v>
      </c>
      <c r="M125" s="22" t="b">
        <v>1</v>
      </c>
      <c r="N125" s="22" t="b">
        <v>1</v>
      </c>
      <c r="O125" s="22" t="b">
        <v>0</v>
      </c>
      <c r="P125" s="22" t="b">
        <v>0</v>
      </c>
      <c r="Q125" s="22" t="b">
        <v>0</v>
      </c>
      <c r="R125" s="43"/>
      <c r="S125" s="43" t="s">
        <v>2098</v>
      </c>
      <c r="T125" s="22" t="s">
        <v>2096</v>
      </c>
      <c r="U125" s="22" t="s">
        <v>2096</v>
      </c>
      <c r="V125" s="22" t="s">
        <v>2096</v>
      </c>
      <c r="W125" s="43"/>
      <c r="X125" s="43"/>
      <c r="Y125" s="43"/>
      <c r="Z125" s="43"/>
      <c r="AA125" s="22">
        <v>1.76110742E8</v>
      </c>
      <c r="AB125" s="22">
        <v>1.180963859E9</v>
      </c>
      <c r="AC125" s="22">
        <v>1.0262138955E11</v>
      </c>
      <c r="AD125" s="22"/>
      <c r="AE125" s="22"/>
      <c r="AF125" s="43"/>
      <c r="AG125" s="43"/>
      <c r="AH125" s="43" t="s">
        <v>2097</v>
      </c>
      <c r="AI125" s="22" t="s">
        <v>2099</v>
      </c>
      <c r="AJ125" s="22" t="s">
        <v>2100</v>
      </c>
      <c r="AK125" s="22" t="s">
        <v>2100</v>
      </c>
      <c r="AL125" s="43"/>
      <c r="AM125" s="43"/>
      <c r="AN125" s="43"/>
      <c r="AO125" s="43"/>
      <c r="AP125" s="46" t="s">
        <v>2101</v>
      </c>
      <c r="AQ125" s="46" t="s">
        <v>2102</v>
      </c>
      <c r="AR125" s="43"/>
      <c r="AS125" s="43"/>
      <c r="AT125" s="43"/>
      <c r="AU125" s="43"/>
      <c r="AV125" s="43"/>
      <c r="AW125" s="22" t="s">
        <v>361</v>
      </c>
      <c r="AX125" s="22" t="s">
        <v>2100</v>
      </c>
      <c r="AY125" s="22" t="s">
        <v>372</v>
      </c>
      <c r="AZ125" s="43"/>
      <c r="BA125" s="43"/>
      <c r="BB125" s="43"/>
      <c r="BC125" s="43"/>
      <c r="BD125" s="43" t="s">
        <v>243</v>
      </c>
      <c r="BE125" s="43" t="s">
        <v>243</v>
      </c>
      <c r="BF125" s="22" t="s">
        <v>131</v>
      </c>
      <c r="BG125" s="22" t="s">
        <v>132</v>
      </c>
      <c r="BH125" s="22" t="s">
        <v>132</v>
      </c>
      <c r="BI125" s="22" t="s">
        <v>132</v>
      </c>
      <c r="BJ125" s="43"/>
      <c r="BK125" s="43"/>
      <c r="BL125" s="22">
        <v>4.620153903629E12</v>
      </c>
      <c r="BM125" s="22">
        <v>2.106909808E9</v>
      </c>
      <c r="BN125" s="22" t="s">
        <v>2103</v>
      </c>
      <c r="BO125" s="22"/>
      <c r="BP125" s="22" t="s">
        <v>245</v>
      </c>
      <c r="BQ125" s="43"/>
      <c r="BR125" s="43"/>
      <c r="BS125" s="22" t="s">
        <v>2104</v>
      </c>
      <c r="BT125" s="43"/>
      <c r="BU125" s="22" t="s">
        <v>2105</v>
      </c>
      <c r="BV125" s="43" t="s">
        <v>532</v>
      </c>
      <c r="BW125" s="22" t="s">
        <v>2106</v>
      </c>
      <c r="BX125" s="22">
        <v>90.0</v>
      </c>
      <c r="BY125" s="22" t="s">
        <v>492</v>
      </c>
      <c r="BZ125" s="43"/>
      <c r="CA125" s="22" t="s">
        <v>355</v>
      </c>
      <c r="CB125" s="22" t="s">
        <v>307</v>
      </c>
      <c r="CC125" s="45" t="s">
        <v>2107</v>
      </c>
      <c r="CD125" s="43"/>
      <c r="CE125" s="43"/>
      <c r="CF125" s="45" t="s">
        <v>2108</v>
      </c>
      <c r="CG125" s="43"/>
      <c r="CH125" s="43"/>
      <c r="CI125" s="43"/>
      <c r="CJ125" s="43"/>
      <c r="CK125" s="43"/>
      <c r="CL125" s="43"/>
      <c r="CM125" s="49">
        <f>IFERROR(VLOOKUP(B125,CC!A:D,4,0)," ")</f>
        <v>204</v>
      </c>
      <c r="CN125" s="22" t="s">
        <v>400</v>
      </c>
      <c r="CO125" s="22"/>
      <c r="CP125" s="22" t="s">
        <v>562</v>
      </c>
      <c r="CQ125" s="22">
        <v>90.0</v>
      </c>
      <c r="CR125" s="43"/>
      <c r="CS125" s="22">
        <v>10.0</v>
      </c>
      <c r="CT125" s="22" t="s">
        <v>145</v>
      </c>
      <c r="CU125" s="43"/>
      <c r="CV125" s="43"/>
      <c r="CW125" s="43"/>
      <c r="CX125" s="43"/>
      <c r="CY125" s="43" t="b">
        <v>0</v>
      </c>
      <c r="CZ125" s="43" t="b">
        <v>0</v>
      </c>
      <c r="DA125" s="43" t="b">
        <v>0</v>
      </c>
      <c r="DB125" s="43" t="b">
        <v>0</v>
      </c>
      <c r="DC125" s="43"/>
      <c r="DD125" s="43"/>
      <c r="DE125" s="43"/>
      <c r="DF125" s="43"/>
      <c r="DG125" s="43"/>
      <c r="DH125" s="43"/>
      <c r="DI125" s="43"/>
      <c r="DJ125" s="22">
        <f>IFERROR(VLOOKUP($B125,'Лист4'!$D:$AI,27,0)," ")</f>
        <v>5</v>
      </c>
      <c r="DK125" s="22">
        <f>IFERROR(VLOOKUP($B125,'Лист4'!$D:$AI,28,0)," ")</f>
        <v>8</v>
      </c>
      <c r="DL125" s="22">
        <f>IFERROR(VLOOKUP($B125,'Лист4'!$D:$AI,29,0)," ")</f>
        <v>5</v>
      </c>
      <c r="DM125" s="22">
        <f t="shared" si="1"/>
        <v>200</v>
      </c>
      <c r="DN125" s="22">
        <f>IFERROR(VLOOKUP($B125,'Лист4'!$D:$AI,32,0)," ")</f>
        <v>0.08</v>
      </c>
      <c r="DO125" s="22"/>
      <c r="DP125" s="22"/>
      <c r="DQ125" s="22"/>
      <c r="DR125" s="22"/>
      <c r="DS125" s="22"/>
      <c r="DT125" s="22"/>
      <c r="DU125" s="22"/>
      <c r="DV125" s="22"/>
      <c r="DW125" s="22"/>
      <c r="DX125" s="22"/>
      <c r="DY125" s="22"/>
      <c r="DZ125" s="22"/>
      <c r="EA125" s="22"/>
      <c r="EB125" s="22"/>
      <c r="EC125" s="22"/>
      <c r="ED125" s="22"/>
      <c r="EE125" s="22"/>
      <c r="EF125" s="22"/>
      <c r="EG125" s="22"/>
      <c r="EH125" s="22"/>
      <c r="EI125" s="22"/>
      <c r="EJ125" s="22"/>
      <c r="EK125" s="22"/>
      <c r="EL125" s="22"/>
      <c r="EM125" s="22"/>
      <c r="EN125" s="22"/>
      <c r="EO125" s="22"/>
      <c r="EP125" s="22"/>
      <c r="EQ125" s="22"/>
      <c r="ER125" s="22"/>
      <c r="ES125" s="43"/>
      <c r="ET125" s="43"/>
      <c r="EU125" s="43"/>
      <c r="EV125" s="43"/>
      <c r="EW125" s="43"/>
      <c r="EX125" s="43"/>
      <c r="EY125" s="43"/>
      <c r="EZ125" s="43"/>
      <c r="FA125" s="43"/>
      <c r="FB125" s="43"/>
      <c r="FC125" s="43"/>
      <c r="FD125" s="43"/>
      <c r="FE125" s="43"/>
      <c r="FF125" s="43"/>
      <c r="FG125" s="43"/>
      <c r="FH125" s="43"/>
      <c r="FI125" s="43"/>
    </row>
    <row r="126" ht="18.0" customHeight="1">
      <c r="A126" s="22" t="s">
        <v>116</v>
      </c>
      <c r="B126" s="43" t="s">
        <v>2109</v>
      </c>
      <c r="C126" s="22" t="s">
        <v>283</v>
      </c>
      <c r="D126" s="22" t="s">
        <v>187</v>
      </c>
      <c r="E126" s="43" t="s">
        <v>521</v>
      </c>
      <c r="F126" s="22" t="s">
        <v>2110</v>
      </c>
      <c r="G126" s="22"/>
      <c r="H126" s="22"/>
      <c r="I126" s="43"/>
      <c r="J126" s="43"/>
      <c r="K126" s="22" t="b">
        <v>1</v>
      </c>
      <c r="L126" s="22" t="b">
        <v>1</v>
      </c>
      <c r="M126" s="22" t="b">
        <v>1</v>
      </c>
      <c r="N126" s="22" t="b">
        <v>1</v>
      </c>
      <c r="O126" s="22" t="b">
        <v>0</v>
      </c>
      <c r="P126" s="22" t="b">
        <v>0</v>
      </c>
      <c r="Q126" s="22" t="b">
        <v>0</v>
      </c>
      <c r="R126" s="43"/>
      <c r="S126" s="43" t="s">
        <v>2111</v>
      </c>
      <c r="T126" s="22" t="s">
        <v>2109</v>
      </c>
      <c r="U126" s="22" t="s">
        <v>2109</v>
      </c>
      <c r="V126" s="22" t="s">
        <v>2109</v>
      </c>
      <c r="W126" s="43"/>
      <c r="X126" s="43"/>
      <c r="Y126" s="43"/>
      <c r="Z126" s="43"/>
      <c r="AA126" s="22">
        <v>1.86777993E8</v>
      </c>
      <c r="AB126" s="22">
        <v>1.271349661E9</v>
      </c>
      <c r="AC126" s="22">
        <v>1.02626043688E11</v>
      </c>
      <c r="AD126" s="22"/>
      <c r="AE126" s="22"/>
      <c r="AF126" s="43"/>
      <c r="AG126" s="43"/>
      <c r="AH126" s="43" t="s">
        <v>2110</v>
      </c>
      <c r="AI126" s="22" t="s">
        <v>2112</v>
      </c>
      <c r="AJ126" s="22" t="s">
        <v>2113</v>
      </c>
      <c r="AK126" s="22" t="s">
        <v>2113</v>
      </c>
      <c r="AL126" s="43"/>
      <c r="AM126" s="43"/>
      <c r="AN126" s="43"/>
      <c r="AO126" s="43"/>
      <c r="AP126" s="46" t="s">
        <v>2114</v>
      </c>
      <c r="AQ126" s="46" t="s">
        <v>2115</v>
      </c>
      <c r="AR126" s="46" t="s">
        <v>2116</v>
      </c>
      <c r="AS126" s="43"/>
      <c r="AT126" s="43"/>
      <c r="AU126" s="43"/>
      <c r="AV126" s="43"/>
      <c r="AW126" s="22" t="s">
        <v>361</v>
      </c>
      <c r="AX126" s="22" t="s">
        <v>2113</v>
      </c>
      <c r="AY126" s="22" t="s">
        <v>372</v>
      </c>
      <c r="AZ126" s="43"/>
      <c r="BA126" s="43"/>
      <c r="BB126" s="43"/>
      <c r="BC126" s="43"/>
      <c r="BD126" s="43" t="s">
        <v>243</v>
      </c>
      <c r="BE126" s="43" t="s">
        <v>243</v>
      </c>
      <c r="BF126" s="22" t="s">
        <v>131</v>
      </c>
      <c r="BG126" s="22" t="s">
        <v>132</v>
      </c>
      <c r="BH126" s="22" t="s">
        <v>132</v>
      </c>
      <c r="BI126" s="22" t="s">
        <v>132</v>
      </c>
      <c r="BJ126" s="43"/>
      <c r="BK126" s="43"/>
      <c r="BL126" s="22">
        <v>4.620153903599E12</v>
      </c>
      <c r="BM126" s="22">
        <v>2.106909808E9</v>
      </c>
      <c r="BN126" s="22" t="s">
        <v>2117</v>
      </c>
      <c r="BO126" s="22"/>
      <c r="BP126" s="22" t="s">
        <v>245</v>
      </c>
      <c r="BQ126" s="43"/>
      <c r="BR126" s="43"/>
      <c r="BS126" s="22" t="s">
        <v>2118</v>
      </c>
      <c r="BT126" s="43"/>
      <c r="BU126" s="22" t="s">
        <v>2119</v>
      </c>
      <c r="BV126" s="43" t="s">
        <v>557</v>
      </c>
      <c r="BW126" s="22" t="s">
        <v>2120</v>
      </c>
      <c r="BX126" s="22">
        <v>60.0</v>
      </c>
      <c r="BY126" s="22" t="s">
        <v>492</v>
      </c>
      <c r="BZ126" s="43"/>
      <c r="CA126" s="22" t="s">
        <v>355</v>
      </c>
      <c r="CB126" s="22" t="s">
        <v>307</v>
      </c>
      <c r="CC126" s="45" t="s">
        <v>2121</v>
      </c>
      <c r="CD126" s="43"/>
      <c r="CE126" s="43"/>
      <c r="CF126" s="45" t="s">
        <v>2122</v>
      </c>
      <c r="CG126" s="43"/>
      <c r="CH126" s="43"/>
      <c r="CI126" s="43"/>
      <c r="CJ126" s="43"/>
      <c r="CK126" s="43"/>
      <c r="CL126" s="43"/>
      <c r="CM126" s="49">
        <f>IFERROR(VLOOKUP(B126,CC!A:D,4,0)," ")</f>
        <v>158.51</v>
      </c>
      <c r="CN126" s="22" t="s">
        <v>400</v>
      </c>
      <c r="CO126" s="22"/>
      <c r="CP126" s="22" t="s">
        <v>562</v>
      </c>
      <c r="CQ126" s="22">
        <v>90.0</v>
      </c>
      <c r="CR126" s="43"/>
      <c r="CS126" s="22">
        <v>10.0</v>
      </c>
      <c r="CT126" s="22" t="s">
        <v>145</v>
      </c>
      <c r="CU126" s="43"/>
      <c r="CV126" s="43"/>
      <c r="CW126" s="43"/>
      <c r="CX126" s="43"/>
      <c r="CY126" s="43" t="b">
        <v>0</v>
      </c>
      <c r="CZ126" s="43" t="b">
        <v>0</v>
      </c>
      <c r="DA126" s="43" t="b">
        <v>0</v>
      </c>
      <c r="DB126" s="43" t="b">
        <v>0</v>
      </c>
      <c r="DC126" s="43"/>
      <c r="DD126" s="43"/>
      <c r="DE126" s="43"/>
      <c r="DF126" s="43"/>
      <c r="DG126" s="43"/>
      <c r="DH126" s="43"/>
      <c r="DI126" s="43"/>
      <c r="DJ126" s="22">
        <f>IFERROR(VLOOKUP($B126,'Лист4'!$D:$AI,27,0)," ")</f>
        <v>3</v>
      </c>
      <c r="DK126" s="22">
        <f>IFERROR(VLOOKUP($B126,'Лист4'!$D:$AI,28,0)," ")</f>
        <v>8</v>
      </c>
      <c r="DL126" s="22">
        <f>IFERROR(VLOOKUP($B126,'Лист4'!$D:$AI,29,0)," ")</f>
        <v>3</v>
      </c>
      <c r="DM126" s="22">
        <f t="shared" si="1"/>
        <v>72</v>
      </c>
      <c r="DN126" s="22">
        <f>IFERROR(VLOOKUP($B126,'Лист4'!$D:$AI,32,0)," ")</f>
        <v>0.056</v>
      </c>
      <c r="DO126" s="22"/>
      <c r="DP126" s="22"/>
      <c r="DQ126" s="22"/>
      <c r="DR126" s="22"/>
      <c r="DS126" s="22"/>
      <c r="DT126" s="22"/>
      <c r="DU126" s="22"/>
      <c r="DV126" s="22"/>
      <c r="DW126" s="22"/>
      <c r="DX126" s="22"/>
      <c r="DY126" s="22"/>
      <c r="DZ126" s="22"/>
      <c r="EA126" s="22"/>
      <c r="EB126" s="22"/>
      <c r="EC126" s="22"/>
      <c r="ED126" s="22"/>
      <c r="EE126" s="22"/>
      <c r="EF126" s="22"/>
      <c r="EG126" s="22"/>
      <c r="EH126" s="22"/>
      <c r="EI126" s="22"/>
      <c r="EJ126" s="22"/>
      <c r="EK126" s="22"/>
      <c r="EL126" s="22"/>
      <c r="EM126" s="22"/>
      <c r="EN126" s="22"/>
      <c r="EO126" s="22"/>
      <c r="EP126" s="22"/>
      <c r="EQ126" s="22"/>
      <c r="ER126" s="22"/>
      <c r="ES126" s="43"/>
      <c r="ET126" s="43"/>
      <c r="EU126" s="43"/>
      <c r="EV126" s="43"/>
      <c r="EW126" s="43"/>
      <c r="EX126" s="43"/>
      <c r="EY126" s="43"/>
      <c r="EZ126" s="43"/>
      <c r="FA126" s="43"/>
      <c r="FB126" s="43"/>
      <c r="FC126" s="43"/>
      <c r="FD126" s="43"/>
      <c r="FE126" s="43"/>
      <c r="FF126" s="43"/>
      <c r="FG126" s="43"/>
      <c r="FH126" s="43"/>
      <c r="FI126" s="43"/>
    </row>
    <row r="127" ht="18.0" customHeight="1">
      <c r="A127" s="22" t="s">
        <v>116</v>
      </c>
      <c r="B127" s="43" t="s">
        <v>2123</v>
      </c>
      <c r="C127" s="22" t="s">
        <v>283</v>
      </c>
      <c r="D127" s="22" t="s">
        <v>187</v>
      </c>
      <c r="E127" s="43" t="s">
        <v>521</v>
      </c>
      <c r="F127" s="22" t="s">
        <v>2124</v>
      </c>
      <c r="G127" s="22"/>
      <c r="H127" s="22"/>
      <c r="I127" s="43"/>
      <c r="J127" s="43"/>
      <c r="K127" s="22" t="b">
        <v>1</v>
      </c>
      <c r="L127" s="22" t="b">
        <v>1</v>
      </c>
      <c r="M127" s="22" t="b">
        <v>1</v>
      </c>
      <c r="N127" s="22" t="b">
        <v>1</v>
      </c>
      <c r="O127" s="22" t="b">
        <v>0</v>
      </c>
      <c r="P127" s="22" t="b">
        <v>0</v>
      </c>
      <c r="Q127" s="22" t="b">
        <v>0</v>
      </c>
      <c r="R127" s="43"/>
      <c r="S127" s="43" t="s">
        <v>2125</v>
      </c>
      <c r="T127" s="22" t="s">
        <v>2123</v>
      </c>
      <c r="U127" s="22" t="s">
        <v>2123</v>
      </c>
      <c r="V127" s="22" t="s">
        <v>2123</v>
      </c>
      <c r="W127" s="43"/>
      <c r="X127" s="43"/>
      <c r="Y127" s="43"/>
      <c r="Z127" s="43"/>
      <c r="AA127" s="22">
        <v>2.2917784E8</v>
      </c>
      <c r="AB127" s="22">
        <v>1.56674041E9</v>
      </c>
      <c r="AC127" s="22">
        <v>1.03398260185E11</v>
      </c>
      <c r="AD127" s="22"/>
      <c r="AE127" s="22"/>
      <c r="AF127" s="43"/>
      <c r="AG127" s="43"/>
      <c r="AH127" s="43" t="s">
        <v>2124</v>
      </c>
      <c r="AI127" s="22" t="s">
        <v>1143</v>
      </c>
      <c r="AJ127" s="22" t="s">
        <v>2126</v>
      </c>
      <c r="AK127" s="22" t="s">
        <v>2127</v>
      </c>
      <c r="AL127" s="43"/>
      <c r="AM127" s="43"/>
      <c r="AN127" s="43"/>
      <c r="AO127" s="43"/>
      <c r="AP127" s="46" t="s">
        <v>2128</v>
      </c>
      <c r="AQ127" s="46" t="s">
        <v>2129</v>
      </c>
      <c r="AR127" s="46" t="s">
        <v>2130</v>
      </c>
      <c r="AS127" s="43"/>
      <c r="AT127" s="43"/>
      <c r="AU127" s="43"/>
      <c r="AV127" s="43"/>
      <c r="AW127" s="22" t="s">
        <v>361</v>
      </c>
      <c r="AX127" s="22" t="s">
        <v>2126</v>
      </c>
      <c r="AY127" s="22" t="s">
        <v>372</v>
      </c>
      <c r="AZ127" s="43"/>
      <c r="BA127" s="43"/>
      <c r="BB127" s="43"/>
      <c r="BC127" s="43"/>
      <c r="BD127" s="43" t="s">
        <v>243</v>
      </c>
      <c r="BE127" s="43" t="s">
        <v>243</v>
      </c>
      <c r="BF127" s="22" t="s">
        <v>131</v>
      </c>
      <c r="BG127" s="22" t="s">
        <v>132</v>
      </c>
      <c r="BH127" s="22" t="s">
        <v>132</v>
      </c>
      <c r="BI127" s="22" t="s">
        <v>132</v>
      </c>
      <c r="BJ127" s="43"/>
      <c r="BK127" s="43"/>
      <c r="BL127" s="22">
        <v>4.607025204398E12</v>
      </c>
      <c r="BM127" s="22">
        <v>2.106909808E9</v>
      </c>
      <c r="BN127" s="22" t="s">
        <v>1149</v>
      </c>
      <c r="BO127" s="22"/>
      <c r="BP127" s="22" t="s">
        <v>245</v>
      </c>
      <c r="BQ127" s="43"/>
      <c r="BR127" s="43"/>
      <c r="BS127" s="22" t="s">
        <v>2131</v>
      </c>
      <c r="BT127" s="43"/>
      <c r="BU127" s="22" t="s">
        <v>2132</v>
      </c>
      <c r="BV127" s="22" t="s">
        <v>653</v>
      </c>
      <c r="BW127" s="22" t="s">
        <v>2133</v>
      </c>
      <c r="BX127" s="22">
        <v>30.0</v>
      </c>
      <c r="BY127" s="22" t="s">
        <v>210</v>
      </c>
      <c r="BZ127" s="43"/>
      <c r="CA127" s="22" t="s">
        <v>355</v>
      </c>
      <c r="CB127" s="22" t="s">
        <v>307</v>
      </c>
      <c r="CC127" s="45" t="s">
        <v>2134</v>
      </c>
      <c r="CD127" s="43"/>
      <c r="CE127" s="43"/>
      <c r="CF127" s="45"/>
      <c r="CG127" s="43"/>
      <c r="CH127" s="43"/>
      <c r="CI127" s="43"/>
      <c r="CJ127" s="43"/>
      <c r="CK127" s="43"/>
      <c r="CL127" s="43"/>
      <c r="CM127" s="49">
        <f>IFERROR(VLOOKUP(B127,CC!A:D,4,0)," ")</f>
        <v>100.4</v>
      </c>
      <c r="CN127" s="22" t="s">
        <v>901</v>
      </c>
      <c r="CO127" s="22"/>
      <c r="CP127" s="22" t="s">
        <v>902</v>
      </c>
      <c r="CQ127" s="22">
        <v>60.0</v>
      </c>
      <c r="CR127" s="43"/>
      <c r="CS127" s="22">
        <v>1.0</v>
      </c>
      <c r="CT127" s="22" t="s">
        <v>145</v>
      </c>
      <c r="CU127" s="43"/>
      <c r="CV127" s="43"/>
      <c r="CW127" s="43"/>
      <c r="CX127" s="43"/>
      <c r="CY127" s="43" t="b">
        <v>0</v>
      </c>
      <c r="CZ127" s="43" t="b">
        <v>0</v>
      </c>
      <c r="DA127" s="43" t="b">
        <v>0</v>
      </c>
      <c r="DB127" s="43" t="b">
        <v>0</v>
      </c>
      <c r="DC127" s="43"/>
      <c r="DD127" s="43"/>
      <c r="DE127" s="43"/>
      <c r="DF127" s="43"/>
      <c r="DG127" s="43"/>
      <c r="DH127" s="43"/>
      <c r="DI127" s="43"/>
      <c r="DJ127" s="22">
        <f>IFERROR(VLOOKUP($B127,'Лист4'!$D:$AI,27,0)," ")</f>
        <v>6</v>
      </c>
      <c r="DK127" s="22">
        <f>IFERROR(VLOOKUP($B127,'Лист4'!$D:$AI,28,0)," ")</f>
        <v>9</v>
      </c>
      <c r="DL127" s="22">
        <f>IFERROR(VLOOKUP($B127,'Лист4'!$D:$AI,29,0)," ")</f>
        <v>6</v>
      </c>
      <c r="DM127" s="22">
        <f t="shared" si="1"/>
        <v>324</v>
      </c>
      <c r="DN127" s="22">
        <f>IFERROR(VLOOKUP($B127,'Лист4'!$D:$AI,32,0)," ")</f>
        <v>0.036</v>
      </c>
      <c r="DO127" s="22"/>
      <c r="DP127" s="22"/>
      <c r="DQ127" s="22"/>
      <c r="DR127" s="22"/>
      <c r="DS127" s="22"/>
      <c r="DT127" s="22"/>
      <c r="DU127" s="22"/>
      <c r="DV127" s="22"/>
      <c r="DW127" s="22"/>
      <c r="DX127" s="22"/>
      <c r="DY127" s="22"/>
      <c r="DZ127" s="22"/>
      <c r="EA127" s="22"/>
      <c r="EB127" s="22"/>
      <c r="EC127" s="22"/>
      <c r="ED127" s="22"/>
      <c r="EE127" s="22"/>
      <c r="EF127" s="22"/>
      <c r="EG127" s="22"/>
      <c r="EH127" s="22"/>
      <c r="EI127" s="22"/>
      <c r="EJ127" s="22"/>
      <c r="EK127" s="22"/>
      <c r="EL127" s="22"/>
      <c r="EM127" s="22"/>
      <c r="EN127" s="22"/>
      <c r="EO127" s="22"/>
      <c r="EP127" s="22"/>
      <c r="EQ127" s="22"/>
      <c r="ER127" s="22"/>
      <c r="ES127" s="43"/>
      <c r="ET127" s="43"/>
      <c r="EU127" s="43"/>
      <c r="EV127" s="43"/>
      <c r="EW127" s="43"/>
      <c r="EX127" s="43"/>
      <c r="EY127" s="43"/>
      <c r="EZ127" s="43"/>
      <c r="FA127" s="43"/>
      <c r="FB127" s="43"/>
      <c r="FC127" s="43"/>
      <c r="FD127" s="43"/>
      <c r="FE127" s="43"/>
      <c r="FF127" s="43"/>
      <c r="FG127" s="43"/>
      <c r="FH127" s="43"/>
      <c r="FI127" s="43"/>
    </row>
    <row r="128" ht="18.0" customHeight="1">
      <c r="A128" s="22" t="s">
        <v>116</v>
      </c>
      <c r="B128" s="43" t="s">
        <v>2135</v>
      </c>
      <c r="C128" s="22" t="s">
        <v>283</v>
      </c>
      <c r="D128" s="22" t="s">
        <v>187</v>
      </c>
      <c r="E128" s="43" t="s">
        <v>521</v>
      </c>
      <c r="F128" s="22" t="s">
        <v>2136</v>
      </c>
      <c r="G128" s="22"/>
      <c r="H128" s="22"/>
      <c r="I128" s="43"/>
      <c r="J128" s="43"/>
      <c r="K128" s="22" t="b">
        <v>1</v>
      </c>
      <c r="L128" s="22" t="b">
        <v>1</v>
      </c>
      <c r="M128" s="22" t="b">
        <v>1</v>
      </c>
      <c r="N128" s="22" t="b">
        <v>0</v>
      </c>
      <c r="O128" s="22" t="b">
        <v>0</v>
      </c>
      <c r="P128" s="22" t="b">
        <v>0</v>
      </c>
      <c r="Q128" s="22" t="b">
        <v>0</v>
      </c>
      <c r="R128" s="43"/>
      <c r="S128" s="43" t="s">
        <v>2137</v>
      </c>
      <c r="T128" s="22" t="s">
        <v>2135</v>
      </c>
      <c r="U128" s="22" t="s">
        <v>2135</v>
      </c>
      <c r="V128" s="22"/>
      <c r="W128" s="43"/>
      <c r="X128" s="43"/>
      <c r="Y128" s="43"/>
      <c r="Z128" s="43"/>
      <c r="AA128" s="22">
        <v>1.61355809E8</v>
      </c>
      <c r="AB128" s="22">
        <v>9.83821094E8</v>
      </c>
      <c r="AC128" s="22"/>
      <c r="AD128" s="22"/>
      <c r="AE128" s="22"/>
      <c r="AF128" s="43"/>
      <c r="AG128" s="43"/>
      <c r="AH128" s="43" t="s">
        <v>2136</v>
      </c>
      <c r="AI128" s="22" t="s">
        <v>887</v>
      </c>
      <c r="AJ128" s="22" t="s">
        <v>2138</v>
      </c>
      <c r="AK128" s="43"/>
      <c r="AL128" s="43"/>
      <c r="AM128" s="43"/>
      <c r="AN128" s="43"/>
      <c r="AO128" s="43"/>
      <c r="AP128" s="46" t="s">
        <v>2139</v>
      </c>
      <c r="AQ128" s="46" t="s">
        <v>2140</v>
      </c>
      <c r="AR128" s="43"/>
      <c r="AS128" s="43"/>
      <c r="AT128" s="43"/>
      <c r="AU128" s="43"/>
      <c r="AV128" s="43"/>
      <c r="AW128" s="22" t="s">
        <v>361</v>
      </c>
      <c r="AX128" s="22" t="s">
        <v>2138</v>
      </c>
      <c r="AY128" s="43"/>
      <c r="AZ128" s="43"/>
      <c r="BA128" s="43"/>
      <c r="BB128" s="43"/>
      <c r="BC128" s="43"/>
      <c r="BD128" s="43" t="s">
        <v>243</v>
      </c>
      <c r="BE128" s="43" t="s">
        <v>243</v>
      </c>
      <c r="BF128" s="22" t="s">
        <v>131</v>
      </c>
      <c r="BG128" s="22" t="s">
        <v>132</v>
      </c>
      <c r="BH128" s="22" t="s">
        <v>132</v>
      </c>
      <c r="BI128" s="22" t="s">
        <v>132</v>
      </c>
      <c r="BJ128" s="43"/>
      <c r="BK128" s="43"/>
      <c r="BL128" s="22" t="s">
        <v>2141</v>
      </c>
      <c r="BM128" s="22"/>
      <c r="BN128" s="22"/>
      <c r="BO128" s="22"/>
      <c r="BP128" s="22" t="s">
        <v>245</v>
      </c>
      <c r="BQ128" s="43"/>
      <c r="BR128" s="43"/>
      <c r="BS128" s="22"/>
      <c r="BT128" s="43"/>
      <c r="BU128" s="22"/>
      <c r="BV128" s="43"/>
      <c r="BW128" s="22"/>
      <c r="BX128" s="22"/>
      <c r="BY128" s="58" t="s">
        <v>2142</v>
      </c>
      <c r="BZ128" s="58"/>
      <c r="CA128" s="22"/>
      <c r="CB128" s="22"/>
      <c r="CC128" s="45"/>
      <c r="CD128" s="43"/>
      <c r="CE128" s="43"/>
      <c r="CF128" s="45"/>
      <c r="CG128" s="43"/>
      <c r="CH128" s="43"/>
      <c r="CI128" s="43"/>
      <c r="CJ128" s="43"/>
      <c r="CK128" s="43"/>
      <c r="CL128" s="43"/>
      <c r="CM128" s="49">
        <f>IFERROR(VLOOKUP(B128,CC!A:D,4,0)," ")</f>
        <v>389.2</v>
      </c>
      <c r="CN128" s="22"/>
      <c r="CO128" s="22"/>
      <c r="CP128" s="43"/>
      <c r="CQ128" s="22" t="s">
        <v>401</v>
      </c>
      <c r="CR128" s="43"/>
      <c r="CS128" s="43"/>
      <c r="CT128" s="22" t="s">
        <v>145</v>
      </c>
      <c r="CU128" s="43"/>
      <c r="CV128" s="43"/>
      <c r="CW128" s="43"/>
      <c r="CX128" s="43"/>
      <c r="CY128" s="43" t="b">
        <v>0</v>
      </c>
      <c r="CZ128" s="43" t="b">
        <v>0</v>
      </c>
      <c r="DA128" s="43" t="b">
        <v>0</v>
      </c>
      <c r="DB128" s="43" t="b">
        <v>0</v>
      </c>
      <c r="DC128" s="43"/>
      <c r="DD128" s="43"/>
      <c r="DE128" s="43"/>
      <c r="DF128" s="43"/>
      <c r="DG128" s="43"/>
      <c r="DH128" s="43"/>
      <c r="DI128" s="43"/>
      <c r="DJ128" s="22">
        <f>IFERROR(VLOOKUP($B128,'Лист4'!$D:$AI,27,0)," ")</f>
        <v>10</v>
      </c>
      <c r="DK128" s="22">
        <f>IFERROR(VLOOKUP($B128,'Лист4'!$D:$AI,28,0)," ")</f>
        <v>4</v>
      </c>
      <c r="DL128" s="22">
        <f>IFERROR(VLOOKUP($B128,'Лист4'!$D:$AI,29,0)," ")</f>
        <v>10</v>
      </c>
      <c r="DM128" s="22">
        <f t="shared" si="1"/>
        <v>400</v>
      </c>
      <c r="DN128" s="22">
        <f>IFERROR(VLOOKUP($B128,'Лист4'!$D:$AI,32,0)," ")</f>
        <v>0.084</v>
      </c>
      <c r="DO128" s="22"/>
      <c r="DP128" s="22"/>
      <c r="DQ128" s="22"/>
      <c r="DR128" s="22"/>
      <c r="DS128" s="22"/>
      <c r="DT128" s="22"/>
      <c r="DU128" s="22"/>
      <c r="DV128" s="22"/>
      <c r="DW128" s="22"/>
      <c r="DX128" s="22"/>
      <c r="DY128" s="22"/>
      <c r="DZ128" s="22"/>
      <c r="EA128" s="22"/>
      <c r="EB128" s="22"/>
      <c r="EC128" s="22"/>
      <c r="ED128" s="22"/>
      <c r="EE128" s="22"/>
      <c r="EF128" s="22"/>
      <c r="EG128" s="22"/>
      <c r="EH128" s="22"/>
      <c r="EI128" s="22"/>
      <c r="EJ128" s="22"/>
      <c r="EK128" s="22"/>
      <c r="EL128" s="22"/>
      <c r="EM128" s="22"/>
      <c r="EN128" s="22"/>
      <c r="EO128" s="22"/>
      <c r="EP128" s="22"/>
      <c r="EQ128" s="22"/>
      <c r="ER128" s="22"/>
      <c r="ES128" s="43"/>
      <c r="ET128" s="43"/>
      <c r="EU128" s="43"/>
      <c r="EV128" s="43"/>
      <c r="EW128" s="43"/>
      <c r="EX128" s="43"/>
      <c r="EY128" s="43"/>
      <c r="EZ128" s="43"/>
      <c r="FA128" s="43"/>
      <c r="FB128" s="43"/>
      <c r="FC128" s="43"/>
      <c r="FD128" s="43"/>
      <c r="FE128" s="43"/>
      <c r="FF128" s="43"/>
      <c r="FG128" s="43"/>
      <c r="FH128" s="43"/>
      <c r="FI128" s="43"/>
    </row>
    <row r="129" ht="18.0" customHeight="1">
      <c r="A129" s="22" t="s">
        <v>116</v>
      </c>
      <c r="B129" s="43" t="s">
        <v>2143</v>
      </c>
      <c r="C129" s="22" t="s">
        <v>283</v>
      </c>
      <c r="D129" s="22" t="s">
        <v>187</v>
      </c>
      <c r="E129" s="43" t="s">
        <v>521</v>
      </c>
      <c r="F129" s="22" t="s">
        <v>2144</v>
      </c>
      <c r="G129" s="22"/>
      <c r="H129" s="22"/>
      <c r="I129" s="43"/>
      <c r="J129" s="43"/>
      <c r="K129" s="22" t="b">
        <v>1</v>
      </c>
      <c r="L129" s="22" t="b">
        <v>1</v>
      </c>
      <c r="M129" s="22" t="b">
        <v>1</v>
      </c>
      <c r="N129" s="22" t="b">
        <v>0</v>
      </c>
      <c r="O129" s="22" t="b">
        <v>0</v>
      </c>
      <c r="P129" s="22" t="b">
        <v>0</v>
      </c>
      <c r="Q129" s="22" t="b">
        <v>0</v>
      </c>
      <c r="R129" s="43"/>
      <c r="S129" s="43" t="s">
        <v>2145</v>
      </c>
      <c r="T129" s="22" t="s">
        <v>2143</v>
      </c>
      <c r="U129" s="22" t="s">
        <v>2143</v>
      </c>
      <c r="V129" s="22"/>
      <c r="W129" s="43"/>
      <c r="X129" s="43"/>
      <c r="Y129" s="43"/>
      <c r="Z129" s="43"/>
      <c r="AA129" s="22">
        <v>1.33851547E8</v>
      </c>
      <c r="AB129" s="22">
        <v>7.82091641E8</v>
      </c>
      <c r="AC129" s="22"/>
      <c r="AD129" s="22"/>
      <c r="AE129" s="22"/>
      <c r="AF129" s="43"/>
      <c r="AG129" s="43"/>
      <c r="AH129" s="43" t="s">
        <v>2144</v>
      </c>
      <c r="AI129" s="22" t="s">
        <v>2146</v>
      </c>
      <c r="AJ129" s="22" t="s">
        <v>2147</v>
      </c>
      <c r="AK129" s="43"/>
      <c r="AL129" s="43"/>
      <c r="AM129" s="43"/>
      <c r="AN129" s="43"/>
      <c r="AO129" s="43"/>
      <c r="AP129" s="46" t="s">
        <v>2148</v>
      </c>
      <c r="AQ129" s="46" t="s">
        <v>2149</v>
      </c>
      <c r="AR129" s="43"/>
      <c r="AS129" s="43"/>
      <c r="AT129" s="43"/>
      <c r="AU129" s="43"/>
      <c r="AV129" s="43"/>
      <c r="AW129" s="22" t="s">
        <v>361</v>
      </c>
      <c r="AX129" s="22" t="s">
        <v>2147</v>
      </c>
      <c r="AY129" s="43"/>
      <c r="AZ129" s="43"/>
      <c r="BA129" s="43"/>
      <c r="BB129" s="43"/>
      <c r="BC129" s="43"/>
      <c r="BD129" s="43" t="s">
        <v>243</v>
      </c>
      <c r="BE129" s="43" t="s">
        <v>243</v>
      </c>
      <c r="BF129" s="22" t="s">
        <v>131</v>
      </c>
      <c r="BG129" s="22" t="s">
        <v>132</v>
      </c>
      <c r="BH129" s="22" t="s">
        <v>132</v>
      </c>
      <c r="BI129" s="22" t="s">
        <v>132</v>
      </c>
      <c r="BJ129" s="43"/>
      <c r="BK129" s="43"/>
      <c r="BL129" s="22" t="s">
        <v>2150</v>
      </c>
      <c r="BM129" s="22">
        <v>2.106909808E9</v>
      </c>
      <c r="BN129" s="22" t="s">
        <v>2151</v>
      </c>
      <c r="BO129" s="22"/>
      <c r="BP129" s="22" t="s">
        <v>245</v>
      </c>
      <c r="BQ129" s="43"/>
      <c r="BR129" s="43"/>
      <c r="BS129" s="22" t="s">
        <v>2152</v>
      </c>
      <c r="BT129" s="43"/>
      <c r="BU129" s="22" t="s">
        <v>2153</v>
      </c>
      <c r="BV129" s="43" t="s">
        <v>557</v>
      </c>
      <c r="BW129" s="22" t="s">
        <v>2154</v>
      </c>
      <c r="BX129" s="22">
        <v>60.0</v>
      </c>
      <c r="BY129" s="22" t="s">
        <v>492</v>
      </c>
      <c r="BZ129" s="22"/>
      <c r="CA129" s="22" t="s">
        <v>355</v>
      </c>
      <c r="CB129" s="22" t="s">
        <v>307</v>
      </c>
      <c r="CC129" s="45" t="s">
        <v>2155</v>
      </c>
      <c r="CD129" s="43"/>
      <c r="CE129" s="43"/>
      <c r="CF129" s="45" t="s">
        <v>2156</v>
      </c>
      <c r="CG129" s="43"/>
      <c r="CH129" s="43"/>
      <c r="CI129" s="43"/>
      <c r="CJ129" s="43"/>
      <c r="CK129" s="43"/>
      <c r="CL129" s="43"/>
      <c r="CM129" s="49">
        <f>IFERROR(VLOOKUP(B129,CC!A:D,4,0)," ")</f>
        <v>143.3</v>
      </c>
      <c r="CN129" s="22" t="s">
        <v>400</v>
      </c>
      <c r="CO129" s="22"/>
      <c r="CP129" s="22" t="s">
        <v>562</v>
      </c>
      <c r="CQ129" s="22" t="s">
        <v>401</v>
      </c>
      <c r="CR129" s="43"/>
      <c r="CS129" s="22">
        <v>10.0</v>
      </c>
      <c r="CT129" s="22" t="s">
        <v>145</v>
      </c>
      <c r="CU129" s="43"/>
      <c r="CV129" s="43"/>
      <c r="CW129" s="43"/>
      <c r="CX129" s="43"/>
      <c r="CY129" s="43" t="b">
        <v>0</v>
      </c>
      <c r="CZ129" s="43" t="b">
        <v>0</v>
      </c>
      <c r="DA129" s="43" t="b">
        <v>0</v>
      </c>
      <c r="DB129" s="43" t="b">
        <v>0</v>
      </c>
      <c r="DC129" s="43"/>
      <c r="DD129" s="43"/>
      <c r="DE129" s="43"/>
      <c r="DF129" s="43"/>
      <c r="DG129" s="43"/>
      <c r="DH129" s="43"/>
      <c r="DI129" s="43"/>
      <c r="DJ129" s="22">
        <f>IFERROR(VLOOKUP($B129,'Лист4'!$D:$AI,27,0)," ")</f>
        <v>5</v>
      </c>
      <c r="DK129" s="22">
        <f>IFERROR(VLOOKUP($B129,'Лист4'!$D:$AI,28,0)," ")</f>
        <v>9</v>
      </c>
      <c r="DL129" s="22">
        <f>IFERROR(VLOOKUP($B129,'Лист4'!$D:$AI,29,0)," ")</f>
        <v>5</v>
      </c>
      <c r="DM129" s="22">
        <f t="shared" si="1"/>
        <v>225</v>
      </c>
      <c r="DN129" s="22">
        <f>IFERROR(VLOOKUP($B129,'Лист4'!$D:$AI,32,0)," ")</f>
        <v>0.051</v>
      </c>
      <c r="DO129" s="22"/>
      <c r="DP129" s="22"/>
      <c r="DQ129" s="22"/>
      <c r="DR129" s="22"/>
      <c r="DS129" s="22"/>
      <c r="DT129" s="22"/>
      <c r="DU129" s="22"/>
      <c r="DV129" s="22"/>
      <c r="DW129" s="22"/>
      <c r="DX129" s="22"/>
      <c r="DY129" s="22"/>
      <c r="DZ129" s="22"/>
      <c r="EA129" s="22"/>
      <c r="EB129" s="22"/>
      <c r="EC129" s="22"/>
      <c r="ED129" s="22"/>
      <c r="EE129" s="22"/>
      <c r="EF129" s="22"/>
      <c r="EG129" s="22"/>
      <c r="EH129" s="22"/>
      <c r="EI129" s="22"/>
      <c r="EJ129" s="22"/>
      <c r="EK129" s="22"/>
      <c r="EL129" s="22"/>
      <c r="EM129" s="22"/>
      <c r="EN129" s="22"/>
      <c r="EO129" s="22"/>
      <c r="EP129" s="22"/>
      <c r="EQ129" s="22"/>
      <c r="ER129" s="22"/>
      <c r="ES129" s="43"/>
      <c r="ET129" s="43"/>
      <c r="EU129" s="43"/>
      <c r="EV129" s="43"/>
      <c r="EW129" s="43"/>
      <c r="EX129" s="43"/>
      <c r="EY129" s="43"/>
      <c r="EZ129" s="43"/>
      <c r="FA129" s="43"/>
      <c r="FB129" s="43"/>
      <c r="FC129" s="43"/>
      <c r="FD129" s="43"/>
      <c r="FE129" s="43"/>
      <c r="FF129" s="43"/>
      <c r="FG129" s="43"/>
      <c r="FH129" s="43"/>
      <c r="FI129" s="43"/>
    </row>
    <row r="130" ht="18.0" customHeight="1">
      <c r="A130" s="22" t="s">
        <v>116</v>
      </c>
      <c r="B130" s="43" t="s">
        <v>2157</v>
      </c>
      <c r="C130" s="22" t="s">
        <v>283</v>
      </c>
      <c r="D130" s="22" t="s">
        <v>187</v>
      </c>
      <c r="E130" s="43" t="s">
        <v>521</v>
      </c>
      <c r="F130" s="22" t="s">
        <v>2158</v>
      </c>
      <c r="G130" s="22"/>
      <c r="H130" s="22"/>
      <c r="I130" s="43"/>
      <c r="J130" s="43"/>
      <c r="K130" s="22" t="b">
        <v>1</v>
      </c>
      <c r="L130" s="22" t="b">
        <v>1</v>
      </c>
      <c r="M130" s="22" t="b">
        <v>1</v>
      </c>
      <c r="N130" s="22" t="b">
        <v>0</v>
      </c>
      <c r="O130" s="22" t="b">
        <v>0</v>
      </c>
      <c r="P130" s="22" t="b">
        <v>0</v>
      </c>
      <c r="Q130" s="22" t="b">
        <v>0</v>
      </c>
      <c r="R130" s="43"/>
      <c r="S130" s="43" t="s">
        <v>2159</v>
      </c>
      <c r="T130" s="22" t="s">
        <v>2157</v>
      </c>
      <c r="U130" s="22" t="s">
        <v>2157</v>
      </c>
      <c r="V130" s="22"/>
      <c r="W130" s="43"/>
      <c r="X130" s="43"/>
      <c r="Y130" s="43"/>
      <c r="Z130" s="43"/>
      <c r="AA130" s="22">
        <v>1.34150432E8</v>
      </c>
      <c r="AB130" s="22">
        <v>7.84856113E8</v>
      </c>
      <c r="AC130" s="22"/>
      <c r="AD130" s="22"/>
      <c r="AE130" s="22"/>
      <c r="AF130" s="43"/>
      <c r="AG130" s="43"/>
      <c r="AH130" s="43" t="s">
        <v>2158</v>
      </c>
      <c r="AI130" s="22" t="s">
        <v>1175</v>
      </c>
      <c r="AJ130" s="22" t="s">
        <v>2160</v>
      </c>
      <c r="AK130" s="43"/>
      <c r="AL130" s="43"/>
      <c r="AM130" s="43"/>
      <c r="AN130" s="43"/>
      <c r="AO130" s="43"/>
      <c r="AP130" s="46" t="s">
        <v>2161</v>
      </c>
      <c r="AQ130" s="46" t="s">
        <v>2162</v>
      </c>
      <c r="AR130" s="43"/>
      <c r="AS130" s="43"/>
      <c r="AT130" s="43"/>
      <c r="AU130" s="43"/>
      <c r="AV130" s="43"/>
      <c r="AW130" s="22" t="s">
        <v>361</v>
      </c>
      <c r="AX130" s="22" t="s">
        <v>2160</v>
      </c>
      <c r="AY130" s="43"/>
      <c r="AZ130" s="43"/>
      <c r="BA130" s="43"/>
      <c r="BB130" s="43"/>
      <c r="BC130" s="43"/>
      <c r="BD130" s="43" t="s">
        <v>243</v>
      </c>
      <c r="BE130" s="43" t="s">
        <v>243</v>
      </c>
      <c r="BF130" s="22" t="s">
        <v>131</v>
      </c>
      <c r="BG130" s="22" t="s">
        <v>132</v>
      </c>
      <c r="BH130" s="22" t="s">
        <v>132</v>
      </c>
      <c r="BI130" s="22" t="s">
        <v>132</v>
      </c>
      <c r="BJ130" s="43"/>
      <c r="BK130" s="43"/>
      <c r="BL130" s="22" t="s">
        <v>2163</v>
      </c>
      <c r="BM130" s="22">
        <v>2.106909808E9</v>
      </c>
      <c r="BN130" s="22" t="s">
        <v>2164</v>
      </c>
      <c r="BO130" s="22"/>
      <c r="BP130" s="22" t="s">
        <v>245</v>
      </c>
      <c r="BQ130" s="43"/>
      <c r="BR130" s="43"/>
      <c r="BS130" s="22" t="s">
        <v>2165</v>
      </c>
      <c r="BT130" s="43"/>
      <c r="BU130" s="22" t="s">
        <v>2153</v>
      </c>
      <c r="BV130" s="43" t="s">
        <v>557</v>
      </c>
      <c r="BW130" s="22" t="s">
        <v>2166</v>
      </c>
      <c r="BX130" s="22">
        <v>60.0</v>
      </c>
      <c r="BY130" s="22" t="s">
        <v>492</v>
      </c>
      <c r="BZ130" s="22"/>
      <c r="CA130" s="22" t="s">
        <v>355</v>
      </c>
      <c r="CB130" s="22" t="s">
        <v>307</v>
      </c>
      <c r="CC130" s="45" t="s">
        <v>2167</v>
      </c>
      <c r="CD130" s="43"/>
      <c r="CE130" s="43"/>
      <c r="CF130" s="45" t="s">
        <v>2168</v>
      </c>
      <c r="CG130" s="43"/>
      <c r="CH130" s="43"/>
      <c r="CI130" s="43"/>
      <c r="CJ130" s="43"/>
      <c r="CK130" s="43"/>
      <c r="CL130" s="43"/>
      <c r="CM130" s="49">
        <f>IFERROR(VLOOKUP(B130,CC!A:D,4,0)," ")</f>
        <v>217.04</v>
      </c>
      <c r="CN130" s="22" t="s">
        <v>400</v>
      </c>
      <c r="CO130" s="22"/>
      <c r="CP130" s="22" t="s">
        <v>562</v>
      </c>
      <c r="CQ130" s="22" t="s">
        <v>401</v>
      </c>
      <c r="CR130" s="43"/>
      <c r="CS130" s="22">
        <v>10.0</v>
      </c>
      <c r="CT130" s="22" t="s">
        <v>145</v>
      </c>
      <c r="CU130" s="43"/>
      <c r="CV130" s="43"/>
      <c r="CW130" s="43"/>
      <c r="CX130" s="43"/>
      <c r="CY130" s="43" t="b">
        <v>0</v>
      </c>
      <c r="CZ130" s="43" t="b">
        <v>0</v>
      </c>
      <c r="DA130" s="43" t="b">
        <v>0</v>
      </c>
      <c r="DB130" s="43" t="b">
        <v>0</v>
      </c>
      <c r="DC130" s="43"/>
      <c r="DD130" s="43"/>
      <c r="DE130" s="43"/>
      <c r="DF130" s="43"/>
      <c r="DG130" s="43"/>
      <c r="DH130" s="43"/>
      <c r="DI130" s="43"/>
      <c r="DJ130" s="22">
        <f>IFERROR(VLOOKUP($B130,'Лист4'!$D:$AI,27,0)," ")</f>
        <v>10</v>
      </c>
      <c r="DK130" s="22">
        <f>IFERROR(VLOOKUP($B130,'Лист4'!$D:$AI,28,0)," ")</f>
        <v>6</v>
      </c>
      <c r="DL130" s="22">
        <f>IFERROR(VLOOKUP($B130,'Лист4'!$D:$AI,29,0)," ")</f>
        <v>10</v>
      </c>
      <c r="DM130" s="22">
        <f t="shared" si="1"/>
        <v>600</v>
      </c>
      <c r="DN130" s="22">
        <f>IFERROR(VLOOKUP($B130,'Лист4'!$D:$AI,32,0)," ")</f>
        <v>0.05</v>
      </c>
      <c r="DO130" s="22"/>
      <c r="DP130" s="22"/>
      <c r="DQ130" s="22"/>
      <c r="DR130" s="22"/>
      <c r="DS130" s="22"/>
      <c r="DT130" s="22"/>
      <c r="DU130" s="22"/>
      <c r="DV130" s="22"/>
      <c r="DW130" s="22"/>
      <c r="DX130" s="22"/>
      <c r="DY130" s="22"/>
      <c r="DZ130" s="22"/>
      <c r="EA130" s="22"/>
      <c r="EB130" s="22"/>
      <c r="EC130" s="22"/>
      <c r="ED130" s="22"/>
      <c r="EE130" s="22"/>
      <c r="EF130" s="22"/>
      <c r="EG130" s="22"/>
      <c r="EH130" s="22"/>
      <c r="EI130" s="22"/>
      <c r="EJ130" s="22"/>
      <c r="EK130" s="22"/>
      <c r="EL130" s="22"/>
      <c r="EM130" s="22"/>
      <c r="EN130" s="22"/>
      <c r="EO130" s="22"/>
      <c r="EP130" s="22"/>
      <c r="EQ130" s="22"/>
      <c r="ER130" s="22"/>
      <c r="ES130" s="43"/>
      <c r="ET130" s="43"/>
      <c r="EU130" s="43"/>
      <c r="EV130" s="43"/>
      <c r="EW130" s="43"/>
      <c r="EX130" s="43"/>
      <c r="EY130" s="43"/>
      <c r="EZ130" s="43"/>
      <c r="FA130" s="43"/>
      <c r="FB130" s="43"/>
      <c r="FC130" s="43"/>
      <c r="FD130" s="43"/>
      <c r="FE130" s="43"/>
      <c r="FF130" s="43"/>
      <c r="FG130" s="43"/>
      <c r="FH130" s="43"/>
      <c r="FI130" s="43"/>
    </row>
    <row r="131" ht="18.0" customHeight="1">
      <c r="A131" s="22" t="s">
        <v>116</v>
      </c>
      <c r="B131" s="43" t="s">
        <v>2169</v>
      </c>
      <c r="C131" s="22" t="s">
        <v>283</v>
      </c>
      <c r="D131" s="22" t="s">
        <v>187</v>
      </c>
      <c r="E131" s="43" t="s">
        <v>521</v>
      </c>
      <c r="F131" s="22" t="s">
        <v>2170</v>
      </c>
      <c r="G131" s="22"/>
      <c r="H131" s="22"/>
      <c r="I131" s="43"/>
      <c r="J131" s="43"/>
      <c r="K131" s="22" t="b">
        <v>1</v>
      </c>
      <c r="L131" s="22" t="b">
        <v>1</v>
      </c>
      <c r="M131" s="22" t="b">
        <v>1</v>
      </c>
      <c r="N131" s="22" t="b">
        <v>0</v>
      </c>
      <c r="O131" s="22" t="b">
        <v>0</v>
      </c>
      <c r="P131" s="22" t="b">
        <v>0</v>
      </c>
      <c r="Q131" s="22" t="b">
        <v>0</v>
      </c>
      <c r="R131" s="43"/>
      <c r="S131" s="43" t="s">
        <v>2171</v>
      </c>
      <c r="T131" s="22" t="s">
        <v>2169</v>
      </c>
      <c r="U131" s="22" t="s">
        <v>2169</v>
      </c>
      <c r="V131" s="22"/>
      <c r="W131" s="43"/>
      <c r="X131" s="43"/>
      <c r="Y131" s="43"/>
      <c r="Z131" s="43"/>
      <c r="AA131" s="22">
        <v>1.52169206E8</v>
      </c>
      <c r="AB131" s="22">
        <v>9.01402455E8</v>
      </c>
      <c r="AC131" s="22"/>
      <c r="AD131" s="22"/>
      <c r="AE131" s="22"/>
      <c r="AF131" s="43"/>
      <c r="AG131" s="43"/>
      <c r="AH131" s="43" t="s">
        <v>2170</v>
      </c>
      <c r="AI131" s="22" t="s">
        <v>2172</v>
      </c>
      <c r="AJ131" s="22" t="s">
        <v>2173</v>
      </c>
      <c r="AK131" s="43"/>
      <c r="AL131" s="43"/>
      <c r="AM131" s="43"/>
      <c r="AN131" s="43"/>
      <c r="AO131" s="43"/>
      <c r="AP131" s="46" t="s">
        <v>2174</v>
      </c>
      <c r="AQ131" s="46" t="s">
        <v>2175</v>
      </c>
      <c r="AR131" s="43"/>
      <c r="AS131" s="43"/>
      <c r="AT131" s="43"/>
      <c r="AU131" s="43"/>
      <c r="AV131" s="43"/>
      <c r="AW131" s="22" t="s">
        <v>361</v>
      </c>
      <c r="AX131" s="22" t="s">
        <v>2173</v>
      </c>
      <c r="AY131" s="43"/>
      <c r="AZ131" s="43"/>
      <c r="BA131" s="43"/>
      <c r="BB131" s="43"/>
      <c r="BC131" s="43"/>
      <c r="BD131" s="43" t="s">
        <v>243</v>
      </c>
      <c r="BE131" s="43" t="s">
        <v>243</v>
      </c>
      <c r="BF131" s="22" t="s">
        <v>131</v>
      </c>
      <c r="BG131" s="22" t="s">
        <v>132</v>
      </c>
      <c r="BH131" s="22" t="s">
        <v>132</v>
      </c>
      <c r="BI131" s="22" t="s">
        <v>132</v>
      </c>
      <c r="BJ131" s="43"/>
      <c r="BK131" s="43"/>
      <c r="BL131" s="22" t="s">
        <v>2176</v>
      </c>
      <c r="BM131" s="22">
        <v>2.106909808E9</v>
      </c>
      <c r="BN131" s="22" t="s">
        <v>2164</v>
      </c>
      <c r="BO131" s="22"/>
      <c r="BP131" s="22" t="s">
        <v>245</v>
      </c>
      <c r="BQ131" s="43"/>
      <c r="BR131" s="43"/>
      <c r="BS131" s="22" t="s">
        <v>2165</v>
      </c>
      <c r="BT131" s="43"/>
      <c r="BU131" s="22" t="s">
        <v>2153</v>
      </c>
      <c r="BV131" s="43" t="s">
        <v>557</v>
      </c>
      <c r="BW131" s="22" t="s">
        <v>2166</v>
      </c>
      <c r="BX131" s="22"/>
      <c r="BY131" s="58" t="s">
        <v>2177</v>
      </c>
      <c r="BZ131" s="58"/>
      <c r="CA131" s="22" t="s">
        <v>355</v>
      </c>
      <c r="CB131" s="22" t="s">
        <v>307</v>
      </c>
      <c r="CC131" s="45" t="s">
        <v>2167</v>
      </c>
      <c r="CD131" s="43"/>
      <c r="CE131" s="43"/>
      <c r="CF131" s="45"/>
      <c r="CG131" s="43"/>
      <c r="CH131" s="43"/>
      <c r="CI131" s="43"/>
      <c r="CJ131" s="43"/>
      <c r="CK131" s="43"/>
      <c r="CL131" s="43"/>
      <c r="CM131" s="49">
        <f>IFERROR(VLOOKUP(B131,CC!A:D,4,0)," ")</f>
        <v>434.08</v>
      </c>
      <c r="CN131" s="22" t="s">
        <v>400</v>
      </c>
      <c r="CO131" s="22"/>
      <c r="CP131" s="43"/>
      <c r="CQ131" s="22" t="s">
        <v>401</v>
      </c>
      <c r="CR131" s="43"/>
      <c r="CS131" s="22">
        <v>10.0</v>
      </c>
      <c r="CT131" s="22" t="s">
        <v>145</v>
      </c>
      <c r="CU131" s="43"/>
      <c r="CV131" s="43"/>
      <c r="CW131" s="43"/>
      <c r="CX131" s="43"/>
      <c r="CY131" s="43" t="b">
        <v>0</v>
      </c>
      <c r="CZ131" s="43" t="b">
        <v>0</v>
      </c>
      <c r="DA131" s="43" t="b">
        <v>0</v>
      </c>
      <c r="DB131" s="43" t="b">
        <v>0</v>
      </c>
      <c r="DC131" s="43"/>
      <c r="DD131" s="43"/>
      <c r="DE131" s="43"/>
      <c r="DF131" s="43"/>
      <c r="DG131" s="43"/>
      <c r="DH131" s="43"/>
      <c r="DI131" s="43"/>
      <c r="DJ131" s="22">
        <f>IFERROR(VLOOKUP($B131,'Лист4'!$D:$AI,27,0)," ")</f>
        <v>21</v>
      </c>
      <c r="DK131" s="22">
        <f>IFERROR(VLOOKUP($B131,'Лист4'!$D:$AI,28,0)," ")</f>
        <v>4</v>
      </c>
      <c r="DL131" s="22">
        <f>IFERROR(VLOOKUP($B131,'Лист4'!$D:$AI,29,0)," ")</f>
        <v>21</v>
      </c>
      <c r="DM131" s="22">
        <f t="shared" si="1"/>
        <v>1764</v>
      </c>
      <c r="DN131" s="22">
        <f>IFERROR(VLOOKUP($B131,'Лист4'!$D:$AI,32,0)," ")</f>
        <v>0.1</v>
      </c>
      <c r="DO131" s="22"/>
      <c r="DP131" s="22"/>
      <c r="DQ131" s="22"/>
      <c r="DR131" s="22"/>
      <c r="DS131" s="22"/>
      <c r="DT131" s="22"/>
      <c r="DU131" s="22"/>
      <c r="DV131" s="22"/>
      <c r="DW131" s="22"/>
      <c r="DX131" s="22"/>
      <c r="DY131" s="22"/>
      <c r="DZ131" s="22"/>
      <c r="EA131" s="22"/>
      <c r="EB131" s="22"/>
      <c r="EC131" s="22"/>
      <c r="ED131" s="22"/>
      <c r="EE131" s="22"/>
      <c r="EF131" s="22"/>
      <c r="EG131" s="22"/>
      <c r="EH131" s="22"/>
      <c r="EI131" s="22"/>
      <c r="EJ131" s="22"/>
      <c r="EK131" s="22"/>
      <c r="EL131" s="22"/>
      <c r="EM131" s="22"/>
      <c r="EN131" s="22"/>
      <c r="EO131" s="22"/>
      <c r="EP131" s="22"/>
      <c r="EQ131" s="22"/>
      <c r="ER131" s="22"/>
      <c r="ES131" s="43"/>
      <c r="ET131" s="43"/>
      <c r="EU131" s="43"/>
      <c r="EV131" s="43"/>
      <c r="EW131" s="43"/>
      <c r="EX131" s="43"/>
      <c r="EY131" s="43"/>
      <c r="EZ131" s="43"/>
      <c r="FA131" s="43"/>
      <c r="FB131" s="43"/>
      <c r="FC131" s="43"/>
      <c r="FD131" s="43"/>
      <c r="FE131" s="43"/>
      <c r="FF131" s="43"/>
      <c r="FG131" s="43"/>
      <c r="FH131" s="43"/>
      <c r="FI131" s="43"/>
    </row>
    <row r="132" ht="18.0" customHeight="1">
      <c r="A132" s="22" t="s">
        <v>116</v>
      </c>
      <c r="B132" s="43" t="s">
        <v>2178</v>
      </c>
      <c r="C132" s="22" t="s">
        <v>283</v>
      </c>
      <c r="D132" s="22" t="s">
        <v>187</v>
      </c>
      <c r="E132" s="43" t="s">
        <v>521</v>
      </c>
      <c r="F132" s="22" t="s">
        <v>1900</v>
      </c>
      <c r="G132" s="22"/>
      <c r="H132" s="22"/>
      <c r="I132" s="43"/>
      <c r="J132" s="43"/>
      <c r="K132" s="22" t="b">
        <v>1</v>
      </c>
      <c r="L132" s="22" t="b">
        <v>1</v>
      </c>
      <c r="M132" s="22" t="b">
        <v>1</v>
      </c>
      <c r="N132" s="22" t="b">
        <v>0</v>
      </c>
      <c r="O132" s="22" t="b">
        <v>0</v>
      </c>
      <c r="P132" s="22" t="b">
        <v>0</v>
      </c>
      <c r="Q132" s="22" t="b">
        <v>0</v>
      </c>
      <c r="R132" s="43"/>
      <c r="S132" s="43" t="s">
        <v>2179</v>
      </c>
      <c r="T132" s="22" t="s">
        <v>2178</v>
      </c>
      <c r="U132" s="22" t="s">
        <v>2178</v>
      </c>
      <c r="V132" s="22"/>
      <c r="W132" s="43"/>
      <c r="X132" s="43"/>
      <c r="Y132" s="43"/>
      <c r="Z132" s="43"/>
      <c r="AA132" s="22">
        <v>9.196887E7</v>
      </c>
      <c r="AB132" s="22">
        <v>6.37790722E8</v>
      </c>
      <c r="AC132" s="22"/>
      <c r="AD132" s="22"/>
      <c r="AE132" s="22"/>
      <c r="AF132" s="43"/>
      <c r="AG132" s="43"/>
      <c r="AH132" s="43" t="s">
        <v>1900</v>
      </c>
      <c r="AI132" s="22" t="s">
        <v>2180</v>
      </c>
      <c r="AJ132" s="22" t="s">
        <v>1903</v>
      </c>
      <c r="AK132" s="43"/>
      <c r="AL132" s="43"/>
      <c r="AM132" s="43"/>
      <c r="AN132" s="43"/>
      <c r="AO132" s="43"/>
      <c r="AP132" s="46" t="s">
        <v>2181</v>
      </c>
      <c r="AQ132" s="46" t="s">
        <v>2182</v>
      </c>
      <c r="AR132" s="43"/>
      <c r="AS132" s="43"/>
      <c r="AT132" s="43"/>
      <c r="AU132" s="43"/>
      <c r="AV132" s="43"/>
      <c r="AW132" s="22" t="s">
        <v>361</v>
      </c>
      <c r="AX132" s="22" t="s">
        <v>1903</v>
      </c>
      <c r="AY132" s="43"/>
      <c r="AZ132" s="43"/>
      <c r="BA132" s="43"/>
      <c r="BB132" s="43"/>
      <c r="BC132" s="43"/>
      <c r="BD132" s="43" t="s">
        <v>243</v>
      </c>
      <c r="BE132" s="43" t="s">
        <v>243</v>
      </c>
      <c r="BF132" s="22" t="s">
        <v>131</v>
      </c>
      <c r="BG132" s="22" t="s">
        <v>132</v>
      </c>
      <c r="BH132" s="22" t="s">
        <v>132</v>
      </c>
      <c r="BI132" s="22" t="s">
        <v>132</v>
      </c>
      <c r="BJ132" s="43"/>
      <c r="BK132" s="43"/>
      <c r="BL132" s="22" t="s">
        <v>2183</v>
      </c>
      <c r="BM132" s="22">
        <v>2.106909808E9</v>
      </c>
      <c r="BN132" s="22" t="s">
        <v>2184</v>
      </c>
      <c r="BO132" s="22"/>
      <c r="BP132" s="22" t="s">
        <v>245</v>
      </c>
      <c r="BQ132" s="43"/>
      <c r="BR132" s="43"/>
      <c r="BS132" s="22" t="s">
        <v>2185</v>
      </c>
      <c r="BT132" s="43"/>
      <c r="BU132" s="22" t="s">
        <v>2186</v>
      </c>
      <c r="BV132" s="43" t="s">
        <v>2187</v>
      </c>
      <c r="BW132" s="22" t="s">
        <v>2188</v>
      </c>
      <c r="BX132" s="22">
        <v>60.0</v>
      </c>
      <c r="BY132" s="22" t="s">
        <v>421</v>
      </c>
      <c r="BZ132" s="22"/>
      <c r="CA132" s="22" t="s">
        <v>849</v>
      </c>
      <c r="CB132" s="22" t="s">
        <v>307</v>
      </c>
      <c r="CC132" s="45" t="s">
        <v>2189</v>
      </c>
      <c r="CD132" s="43"/>
      <c r="CE132" s="43"/>
      <c r="CF132" s="45" t="s">
        <v>2190</v>
      </c>
      <c r="CG132" s="43"/>
      <c r="CH132" s="43"/>
      <c r="CI132" s="43"/>
      <c r="CJ132" s="43"/>
      <c r="CK132" s="43"/>
      <c r="CL132" s="43"/>
      <c r="CM132" s="49">
        <f>IFERROR(VLOOKUP(B132,CC!A:D,4,0)," ")</f>
        <v>244.04</v>
      </c>
      <c r="CN132" s="22" t="s">
        <v>400</v>
      </c>
      <c r="CO132" s="22"/>
      <c r="CP132" s="22" t="s">
        <v>562</v>
      </c>
      <c r="CQ132" s="22" t="s">
        <v>401</v>
      </c>
      <c r="CR132" s="43"/>
      <c r="CS132" s="22">
        <v>10.0</v>
      </c>
      <c r="CT132" s="22" t="s">
        <v>145</v>
      </c>
      <c r="CU132" s="43"/>
      <c r="CV132" s="43"/>
      <c r="CW132" s="43"/>
      <c r="CX132" s="43"/>
      <c r="CY132" s="43" t="b">
        <v>0</v>
      </c>
      <c r="CZ132" s="43" t="b">
        <v>0</v>
      </c>
      <c r="DA132" s="43" t="b">
        <v>0</v>
      </c>
      <c r="DB132" s="43" t="b">
        <v>0</v>
      </c>
      <c r="DC132" s="43"/>
      <c r="DD132" s="43"/>
      <c r="DE132" s="43"/>
      <c r="DF132" s="43"/>
      <c r="DG132" s="43"/>
      <c r="DH132" s="43"/>
      <c r="DI132" s="43"/>
      <c r="DJ132" s="22">
        <f>IFERROR(VLOOKUP($B132,'Лист4'!$D:$AI,27,0)," ")</f>
        <v>5</v>
      </c>
      <c r="DK132" s="22">
        <f>IFERROR(VLOOKUP($B132,'Лист4'!$D:$AI,28,0)," ")</f>
        <v>9</v>
      </c>
      <c r="DL132" s="22">
        <f>IFERROR(VLOOKUP($B132,'Лист4'!$D:$AI,29,0)," ")</f>
        <v>5</v>
      </c>
      <c r="DM132" s="22">
        <f t="shared" si="1"/>
        <v>225</v>
      </c>
      <c r="DN132" s="22">
        <f>IFERROR(VLOOKUP($B132,'Лист4'!$D:$AI,32,0)," ")</f>
        <v>0.076</v>
      </c>
      <c r="DO132" s="22"/>
      <c r="DP132" s="22"/>
      <c r="DQ132" s="22"/>
      <c r="DR132" s="22"/>
      <c r="DS132" s="22"/>
      <c r="DT132" s="22"/>
      <c r="DU132" s="22"/>
      <c r="DV132" s="22"/>
      <c r="DW132" s="22"/>
      <c r="DX132" s="22"/>
      <c r="DY132" s="22"/>
      <c r="DZ132" s="22"/>
      <c r="EA132" s="22"/>
      <c r="EB132" s="22"/>
      <c r="EC132" s="22"/>
      <c r="ED132" s="22"/>
      <c r="EE132" s="22"/>
      <c r="EF132" s="22"/>
      <c r="EG132" s="22"/>
      <c r="EH132" s="22"/>
      <c r="EI132" s="22"/>
      <c r="EJ132" s="22"/>
      <c r="EK132" s="22"/>
      <c r="EL132" s="22"/>
      <c r="EM132" s="22"/>
      <c r="EN132" s="22"/>
      <c r="EO132" s="22"/>
      <c r="EP132" s="22"/>
      <c r="EQ132" s="22"/>
      <c r="ER132" s="22"/>
      <c r="ES132" s="43"/>
      <c r="ET132" s="43"/>
      <c r="EU132" s="43"/>
      <c r="EV132" s="43"/>
      <c r="EW132" s="43"/>
      <c r="EX132" s="43"/>
      <c r="EY132" s="43"/>
      <c r="EZ132" s="43"/>
      <c r="FA132" s="43"/>
      <c r="FB132" s="43"/>
      <c r="FC132" s="43"/>
      <c r="FD132" s="43"/>
      <c r="FE132" s="43"/>
      <c r="FF132" s="43"/>
      <c r="FG132" s="43"/>
      <c r="FH132" s="43"/>
      <c r="FI132" s="43"/>
    </row>
    <row r="133" ht="18.0" customHeight="1">
      <c r="A133" s="22" t="s">
        <v>116</v>
      </c>
      <c r="B133" s="43" t="s">
        <v>2191</v>
      </c>
      <c r="C133" s="22" t="s">
        <v>283</v>
      </c>
      <c r="D133" s="22" t="s">
        <v>187</v>
      </c>
      <c r="E133" s="43" t="s">
        <v>521</v>
      </c>
      <c r="F133" s="22" t="s">
        <v>2192</v>
      </c>
      <c r="G133" s="22"/>
      <c r="H133" s="22"/>
      <c r="I133" s="43"/>
      <c r="J133" s="43"/>
      <c r="K133" s="22" t="b">
        <v>1</v>
      </c>
      <c r="L133" s="22" t="b">
        <v>1</v>
      </c>
      <c r="M133" s="22" t="b">
        <v>1</v>
      </c>
      <c r="N133" s="22" t="b">
        <v>0</v>
      </c>
      <c r="O133" s="22" t="b">
        <v>0</v>
      </c>
      <c r="P133" s="22" t="b">
        <v>0</v>
      </c>
      <c r="Q133" s="22" t="b">
        <v>0</v>
      </c>
      <c r="R133" s="43"/>
      <c r="S133" s="43" t="s">
        <v>2193</v>
      </c>
      <c r="T133" s="22" t="s">
        <v>2191</v>
      </c>
      <c r="U133" s="22" t="s">
        <v>2191</v>
      </c>
      <c r="V133" s="22"/>
      <c r="W133" s="43"/>
      <c r="X133" s="43"/>
      <c r="Y133" s="43"/>
      <c r="Z133" s="43"/>
      <c r="AA133" s="22">
        <v>1.59980608E8</v>
      </c>
      <c r="AB133" s="22">
        <v>9.67716766E8</v>
      </c>
      <c r="AC133" s="22"/>
      <c r="AD133" s="22"/>
      <c r="AE133" s="22"/>
      <c r="AF133" s="43"/>
      <c r="AG133" s="43"/>
      <c r="AH133" s="43" t="s">
        <v>2192</v>
      </c>
      <c r="AI133" s="22" t="s">
        <v>2194</v>
      </c>
      <c r="AJ133" s="22" t="s">
        <v>2195</v>
      </c>
      <c r="AK133" s="43"/>
      <c r="AL133" s="43"/>
      <c r="AM133" s="43"/>
      <c r="AN133" s="43"/>
      <c r="AO133" s="43"/>
      <c r="AP133" s="46" t="s">
        <v>2196</v>
      </c>
      <c r="AQ133" s="46" t="s">
        <v>2197</v>
      </c>
      <c r="AR133" s="43"/>
      <c r="AS133" s="43"/>
      <c r="AT133" s="43"/>
      <c r="AU133" s="43"/>
      <c r="AV133" s="43"/>
      <c r="AW133" s="22" t="s">
        <v>361</v>
      </c>
      <c r="AX133" s="22" t="s">
        <v>2195</v>
      </c>
      <c r="AY133" s="43"/>
      <c r="AZ133" s="43"/>
      <c r="BA133" s="43"/>
      <c r="BB133" s="43"/>
      <c r="BC133" s="43"/>
      <c r="BD133" s="43" t="s">
        <v>243</v>
      </c>
      <c r="BE133" s="43" t="s">
        <v>243</v>
      </c>
      <c r="BF133" s="22" t="s">
        <v>131</v>
      </c>
      <c r="BG133" s="22" t="s">
        <v>132</v>
      </c>
      <c r="BH133" s="22" t="s">
        <v>132</v>
      </c>
      <c r="BI133" s="22" t="s">
        <v>132</v>
      </c>
      <c r="BJ133" s="43"/>
      <c r="BK133" s="43"/>
      <c r="BL133" s="22" t="s">
        <v>2198</v>
      </c>
      <c r="BM133" s="22">
        <v>2.106909808E9</v>
      </c>
      <c r="BN133" s="22" t="s">
        <v>2199</v>
      </c>
      <c r="BO133" s="22"/>
      <c r="BP133" s="22" t="s">
        <v>245</v>
      </c>
      <c r="BQ133" s="43"/>
      <c r="BR133" s="43"/>
      <c r="BS133" s="22" t="s">
        <v>2200</v>
      </c>
      <c r="BT133" s="43"/>
      <c r="BU133" s="22" t="s">
        <v>2201</v>
      </c>
      <c r="BV133" s="43" t="s">
        <v>2202</v>
      </c>
      <c r="BW133" s="22" t="s">
        <v>1910</v>
      </c>
      <c r="BX133" s="22">
        <v>30.0</v>
      </c>
      <c r="BY133" s="22" t="s">
        <v>2203</v>
      </c>
      <c r="BZ133" s="43"/>
      <c r="CA133" s="22" t="s">
        <v>355</v>
      </c>
      <c r="CB133" s="22" t="s">
        <v>307</v>
      </c>
      <c r="CC133" s="45" t="s">
        <v>2204</v>
      </c>
      <c r="CD133" s="43"/>
      <c r="CE133" s="43"/>
      <c r="CF133" s="45" t="s">
        <v>2190</v>
      </c>
      <c r="CG133" s="43"/>
      <c r="CH133" s="43"/>
      <c r="CI133" s="43"/>
      <c r="CJ133" s="43"/>
      <c r="CK133" s="43"/>
      <c r="CL133" s="43"/>
      <c r="CM133" s="49">
        <f>IFERROR(VLOOKUP(B133,CC!A:D,4,0)," ")</f>
        <v>191</v>
      </c>
      <c r="CN133" s="22" t="s">
        <v>1912</v>
      </c>
      <c r="CO133" s="22"/>
      <c r="CP133" s="22" t="s">
        <v>1913</v>
      </c>
      <c r="CQ133" s="22">
        <v>90.0</v>
      </c>
      <c r="CR133" s="43"/>
      <c r="CS133" s="43"/>
      <c r="CT133" s="22" t="s">
        <v>145</v>
      </c>
      <c r="CU133" s="43"/>
      <c r="CV133" s="43"/>
      <c r="CW133" s="43"/>
      <c r="CX133" s="43"/>
      <c r="CY133" s="43" t="b">
        <v>0</v>
      </c>
      <c r="CZ133" s="43" t="b">
        <v>0</v>
      </c>
      <c r="DA133" s="43" t="b">
        <v>0</v>
      </c>
      <c r="DB133" s="43" t="b">
        <v>0</v>
      </c>
      <c r="DC133" s="43"/>
      <c r="DD133" s="43"/>
      <c r="DE133" s="43"/>
      <c r="DF133" s="43"/>
      <c r="DG133" s="43"/>
      <c r="DH133" s="43"/>
      <c r="DI133" s="43"/>
      <c r="DJ133" s="22">
        <f>IFERROR(VLOOKUP($B133,'Лист4'!$D:$AI,27,0)," ")</f>
        <v>5</v>
      </c>
      <c r="DK133" s="22">
        <f>IFERROR(VLOOKUP($B133,'Лист4'!$D:$AI,28,0)," ")</f>
        <v>11</v>
      </c>
      <c r="DL133" s="22">
        <f>IFERROR(VLOOKUP($B133,'Лист4'!$D:$AI,29,0)," ")</f>
        <v>5</v>
      </c>
      <c r="DM133" s="22">
        <f t="shared" si="1"/>
        <v>275</v>
      </c>
      <c r="DN133" s="22">
        <f>IFERROR(VLOOKUP($B133,'Лист4'!$D:$AI,32,0)," ")</f>
        <v>0.12</v>
      </c>
      <c r="DO133" s="22"/>
      <c r="DP133" s="22"/>
      <c r="DQ133" s="22"/>
      <c r="DR133" s="22"/>
      <c r="DS133" s="22"/>
      <c r="DT133" s="22"/>
      <c r="DU133" s="22"/>
      <c r="DV133" s="22"/>
      <c r="DW133" s="22"/>
      <c r="DX133" s="22"/>
      <c r="DY133" s="22"/>
      <c r="DZ133" s="22"/>
      <c r="EA133" s="22"/>
      <c r="EB133" s="22"/>
      <c r="EC133" s="22"/>
      <c r="ED133" s="22"/>
      <c r="EE133" s="22"/>
      <c r="EF133" s="22"/>
      <c r="EG133" s="22"/>
      <c r="EH133" s="22"/>
      <c r="EI133" s="22"/>
      <c r="EJ133" s="22"/>
      <c r="EK133" s="22"/>
      <c r="EL133" s="22"/>
      <c r="EM133" s="22"/>
      <c r="EN133" s="22"/>
      <c r="EO133" s="22"/>
      <c r="EP133" s="22"/>
      <c r="EQ133" s="22"/>
      <c r="ER133" s="22"/>
      <c r="ES133" s="43"/>
      <c r="ET133" s="43"/>
      <c r="EU133" s="43"/>
      <c r="EV133" s="43"/>
      <c r="EW133" s="43"/>
      <c r="EX133" s="43"/>
      <c r="EY133" s="43"/>
      <c r="EZ133" s="43"/>
      <c r="FA133" s="43"/>
      <c r="FB133" s="43"/>
      <c r="FC133" s="43"/>
      <c r="FD133" s="43"/>
      <c r="FE133" s="43"/>
      <c r="FF133" s="43"/>
      <c r="FG133" s="43"/>
      <c r="FH133" s="43"/>
      <c r="FI133" s="43"/>
    </row>
    <row r="134" ht="18.0" customHeight="1">
      <c r="A134" s="22" t="s">
        <v>116</v>
      </c>
      <c r="B134" s="43" t="s">
        <v>2205</v>
      </c>
      <c r="C134" s="22" t="s">
        <v>283</v>
      </c>
      <c r="D134" s="22" t="s">
        <v>187</v>
      </c>
      <c r="E134" s="43" t="s">
        <v>521</v>
      </c>
      <c r="F134" s="22" t="s">
        <v>2206</v>
      </c>
      <c r="G134" s="22"/>
      <c r="H134" s="22"/>
      <c r="I134" s="43"/>
      <c r="J134" s="43"/>
      <c r="K134" s="22" t="b">
        <v>1</v>
      </c>
      <c r="L134" s="22" t="b">
        <v>1</v>
      </c>
      <c r="M134" s="22" t="b">
        <v>1</v>
      </c>
      <c r="N134" s="22" t="b">
        <v>0</v>
      </c>
      <c r="O134" s="22" t="b">
        <v>0</v>
      </c>
      <c r="P134" s="22" t="b">
        <v>0</v>
      </c>
      <c r="Q134" s="22" t="b">
        <v>0</v>
      </c>
      <c r="R134" s="43"/>
      <c r="S134" s="43" t="s">
        <v>2207</v>
      </c>
      <c r="T134" s="22" t="s">
        <v>2205</v>
      </c>
      <c r="U134" s="22" t="s">
        <v>2205</v>
      </c>
      <c r="V134" s="22"/>
      <c r="W134" s="43"/>
      <c r="X134" s="43"/>
      <c r="Y134" s="43"/>
      <c r="Z134" s="43"/>
      <c r="AA134" s="22">
        <v>9.0382271E7</v>
      </c>
      <c r="AB134" s="22">
        <v>6.17417253E8</v>
      </c>
      <c r="AC134" s="22"/>
      <c r="AD134" s="22"/>
      <c r="AE134" s="22"/>
      <c r="AF134" s="43"/>
      <c r="AG134" s="43"/>
      <c r="AH134" s="43" t="s">
        <v>2206</v>
      </c>
      <c r="AI134" s="22" t="s">
        <v>2208</v>
      </c>
      <c r="AJ134" s="22" t="s">
        <v>2209</v>
      </c>
      <c r="AK134" s="43"/>
      <c r="AL134" s="43"/>
      <c r="AM134" s="43"/>
      <c r="AN134" s="43"/>
      <c r="AO134" s="43"/>
      <c r="AP134" s="46" t="s">
        <v>2210</v>
      </c>
      <c r="AQ134" s="46" t="s">
        <v>2211</v>
      </c>
      <c r="AR134" s="43"/>
      <c r="AS134" s="43"/>
      <c r="AT134" s="43"/>
      <c r="AU134" s="43"/>
      <c r="AV134" s="43"/>
      <c r="AW134" s="22" t="s">
        <v>361</v>
      </c>
      <c r="AX134" s="22" t="s">
        <v>2209</v>
      </c>
      <c r="AY134" s="43"/>
      <c r="AZ134" s="43"/>
      <c r="BA134" s="43"/>
      <c r="BB134" s="43"/>
      <c r="BC134" s="43"/>
      <c r="BD134" s="43" t="s">
        <v>243</v>
      </c>
      <c r="BE134" s="43" t="s">
        <v>243</v>
      </c>
      <c r="BF134" s="22" t="s">
        <v>131</v>
      </c>
      <c r="BG134" s="22" t="s">
        <v>132</v>
      </c>
      <c r="BH134" s="22" t="s">
        <v>132</v>
      </c>
      <c r="BI134" s="22" t="s">
        <v>132</v>
      </c>
      <c r="BJ134" s="43"/>
      <c r="BK134" s="43"/>
      <c r="BL134" s="22" t="s">
        <v>2212</v>
      </c>
      <c r="BM134" s="22">
        <v>2.936290001E9</v>
      </c>
      <c r="BN134" s="22" t="s">
        <v>2213</v>
      </c>
      <c r="BO134" s="22"/>
      <c r="BP134" s="22" t="s">
        <v>245</v>
      </c>
      <c r="BQ134" s="43"/>
      <c r="BR134" s="43"/>
      <c r="BS134" s="22" t="s">
        <v>2214</v>
      </c>
      <c r="BT134" s="43"/>
      <c r="BU134" s="22" t="s">
        <v>2215</v>
      </c>
      <c r="BV134" s="43" t="s">
        <v>557</v>
      </c>
      <c r="BW134" s="22" t="s">
        <v>882</v>
      </c>
      <c r="BX134" s="22">
        <v>30.0</v>
      </c>
      <c r="BY134" s="22" t="s">
        <v>421</v>
      </c>
      <c r="BZ134" s="22"/>
      <c r="CA134" s="22" t="s">
        <v>849</v>
      </c>
      <c r="CB134" s="22" t="s">
        <v>307</v>
      </c>
      <c r="CC134" s="45" t="s">
        <v>2216</v>
      </c>
      <c r="CD134" s="43"/>
      <c r="CE134" s="43"/>
      <c r="CF134" s="45" t="s">
        <v>2216</v>
      </c>
      <c r="CG134" s="43"/>
      <c r="CH134" s="43"/>
      <c r="CI134" s="43"/>
      <c r="CJ134" s="43"/>
      <c r="CK134" s="43"/>
      <c r="CL134" s="43"/>
      <c r="CM134" s="49">
        <f>IFERROR(VLOOKUP(B134,CC!A:D,4,0)," ")</f>
        <v>235.5</v>
      </c>
      <c r="CN134" s="22" t="s">
        <v>400</v>
      </c>
      <c r="CO134" s="22"/>
      <c r="CP134" s="22" t="s">
        <v>562</v>
      </c>
      <c r="CQ134" s="22" t="s">
        <v>401</v>
      </c>
      <c r="CR134" s="43"/>
      <c r="CS134" s="22">
        <v>10.0</v>
      </c>
      <c r="CT134" s="22" t="s">
        <v>145</v>
      </c>
      <c r="CU134" s="43"/>
      <c r="CV134" s="43"/>
      <c r="CW134" s="43"/>
      <c r="CX134" s="43"/>
      <c r="CY134" s="43" t="b">
        <v>0</v>
      </c>
      <c r="CZ134" s="43" t="b">
        <v>0</v>
      </c>
      <c r="DA134" s="43" t="b">
        <v>0</v>
      </c>
      <c r="DB134" s="43" t="b">
        <v>0</v>
      </c>
      <c r="DC134" s="43"/>
      <c r="DD134" s="43"/>
      <c r="DE134" s="43"/>
      <c r="DF134" s="43"/>
      <c r="DG134" s="43"/>
      <c r="DH134" s="43"/>
      <c r="DI134" s="43"/>
      <c r="DJ134" s="22">
        <f>IFERROR(VLOOKUP($B134,'Лист4'!$D:$AI,27,0)," ")</f>
        <v>10</v>
      </c>
      <c r="DK134" s="22">
        <f>IFERROR(VLOOKUP($B134,'Лист4'!$D:$AI,28,0)," ")</f>
        <v>5</v>
      </c>
      <c r="DL134" s="22">
        <f>IFERROR(VLOOKUP($B134,'Лист4'!$D:$AI,29,0)," ")</f>
        <v>10</v>
      </c>
      <c r="DM134" s="22">
        <f t="shared" si="1"/>
        <v>500</v>
      </c>
      <c r="DN134" s="22">
        <f>IFERROR(VLOOKUP($B134,'Лист4'!$D:$AI,32,0)," ")</f>
        <v>0.1</v>
      </c>
      <c r="DO134" s="22"/>
      <c r="DP134" s="22"/>
      <c r="DQ134" s="22"/>
      <c r="DR134" s="22"/>
      <c r="DS134" s="22"/>
      <c r="DT134" s="22"/>
      <c r="DU134" s="22"/>
      <c r="DV134" s="22"/>
      <c r="DW134" s="22"/>
      <c r="DX134" s="22"/>
      <c r="DY134" s="22"/>
      <c r="DZ134" s="22"/>
      <c r="EA134" s="22"/>
      <c r="EB134" s="22"/>
      <c r="EC134" s="22"/>
      <c r="ED134" s="22"/>
      <c r="EE134" s="22"/>
      <c r="EF134" s="22"/>
      <c r="EG134" s="22"/>
      <c r="EH134" s="22"/>
      <c r="EI134" s="22"/>
      <c r="EJ134" s="22"/>
      <c r="EK134" s="22"/>
      <c r="EL134" s="22"/>
      <c r="EM134" s="22"/>
      <c r="EN134" s="22"/>
      <c r="EO134" s="22"/>
      <c r="EP134" s="22"/>
      <c r="EQ134" s="22"/>
      <c r="ER134" s="22"/>
      <c r="ES134" s="43"/>
      <c r="ET134" s="43"/>
      <c r="EU134" s="43"/>
      <c r="EV134" s="43"/>
      <c r="EW134" s="43"/>
      <c r="EX134" s="43"/>
      <c r="EY134" s="43"/>
      <c r="EZ134" s="43"/>
      <c r="FA134" s="43"/>
      <c r="FB134" s="43"/>
      <c r="FC134" s="43"/>
      <c r="FD134" s="43"/>
      <c r="FE134" s="43"/>
      <c r="FF134" s="43"/>
      <c r="FG134" s="43"/>
      <c r="FH134" s="43"/>
      <c r="FI134" s="43"/>
    </row>
    <row r="135" ht="18.0" customHeight="1">
      <c r="A135" s="22" t="s">
        <v>116</v>
      </c>
      <c r="B135" s="43" t="s">
        <v>2217</v>
      </c>
      <c r="C135" s="22" t="s">
        <v>283</v>
      </c>
      <c r="D135" s="22" t="s">
        <v>187</v>
      </c>
      <c r="E135" s="43" t="s">
        <v>521</v>
      </c>
      <c r="F135" s="22" t="s">
        <v>2218</v>
      </c>
      <c r="G135" s="22"/>
      <c r="H135" s="22"/>
      <c r="I135" s="43"/>
      <c r="J135" s="43"/>
      <c r="K135" s="22" t="b">
        <v>1</v>
      </c>
      <c r="L135" s="22" t="b">
        <v>1</v>
      </c>
      <c r="M135" s="22" t="b">
        <v>1</v>
      </c>
      <c r="N135" s="22" t="b">
        <v>0</v>
      </c>
      <c r="O135" s="22" t="b">
        <v>0</v>
      </c>
      <c r="P135" s="22" t="b">
        <v>0</v>
      </c>
      <c r="Q135" s="22" t="b">
        <v>0</v>
      </c>
      <c r="R135" s="43"/>
      <c r="S135" s="43" t="s">
        <v>2219</v>
      </c>
      <c r="T135" s="22" t="s">
        <v>2217</v>
      </c>
      <c r="U135" s="22" t="s">
        <v>2217</v>
      </c>
      <c r="V135" s="22"/>
      <c r="W135" s="43"/>
      <c r="X135" s="43"/>
      <c r="Y135" s="43"/>
      <c r="Z135" s="43"/>
      <c r="AA135" s="22">
        <v>9.0471365E7</v>
      </c>
      <c r="AB135" s="22">
        <v>6.18268309E8</v>
      </c>
      <c r="AC135" s="22"/>
      <c r="AD135" s="22"/>
      <c r="AE135" s="22"/>
      <c r="AF135" s="43"/>
      <c r="AG135" s="43"/>
      <c r="AH135" s="43" t="s">
        <v>2218</v>
      </c>
      <c r="AI135" s="22" t="s">
        <v>2220</v>
      </c>
      <c r="AJ135" s="22" t="s">
        <v>2221</v>
      </c>
      <c r="AK135" s="43"/>
      <c r="AL135" s="43"/>
      <c r="AM135" s="43"/>
      <c r="AN135" s="43"/>
      <c r="AO135" s="43"/>
      <c r="AP135" s="46" t="s">
        <v>2222</v>
      </c>
      <c r="AQ135" s="46" t="s">
        <v>2223</v>
      </c>
      <c r="AR135" s="43"/>
      <c r="AS135" s="43"/>
      <c r="AT135" s="43"/>
      <c r="AU135" s="43"/>
      <c r="AV135" s="43"/>
      <c r="AW135" s="22" t="s">
        <v>361</v>
      </c>
      <c r="AX135" s="22" t="s">
        <v>2221</v>
      </c>
      <c r="AY135" s="43"/>
      <c r="AZ135" s="43"/>
      <c r="BA135" s="43"/>
      <c r="BB135" s="43"/>
      <c r="BC135" s="43"/>
      <c r="BD135" s="43" t="s">
        <v>243</v>
      </c>
      <c r="BE135" s="43" t="s">
        <v>243</v>
      </c>
      <c r="BF135" s="22" t="s">
        <v>131</v>
      </c>
      <c r="BG135" s="22" t="s">
        <v>132</v>
      </c>
      <c r="BH135" s="22" t="s">
        <v>132</v>
      </c>
      <c r="BI135" s="22" t="s">
        <v>132</v>
      </c>
      <c r="BJ135" s="43"/>
      <c r="BK135" s="43"/>
      <c r="BL135" s="22" t="s">
        <v>2224</v>
      </c>
      <c r="BM135" s="22">
        <v>2.106909808E9</v>
      </c>
      <c r="BN135" s="22" t="s">
        <v>2225</v>
      </c>
      <c r="BO135" s="22"/>
      <c r="BP135" s="22" t="s">
        <v>245</v>
      </c>
      <c r="BQ135" s="43"/>
      <c r="BR135" s="43"/>
      <c r="BS135" s="22" t="s">
        <v>2226</v>
      </c>
      <c r="BT135" s="43"/>
      <c r="BU135" s="22" t="s">
        <v>2227</v>
      </c>
      <c r="BV135" s="43" t="s">
        <v>2228</v>
      </c>
      <c r="BW135" s="22" t="s">
        <v>1042</v>
      </c>
      <c r="BX135" s="22">
        <v>60.0</v>
      </c>
      <c r="BY135" s="22" t="s">
        <v>421</v>
      </c>
      <c r="BZ135" s="22"/>
      <c r="CA135" s="22" t="s">
        <v>849</v>
      </c>
      <c r="CB135" s="22" t="s">
        <v>307</v>
      </c>
      <c r="CC135" s="45" t="s">
        <v>2229</v>
      </c>
      <c r="CD135" s="43"/>
      <c r="CE135" s="43"/>
      <c r="CF135" s="45" t="s">
        <v>2229</v>
      </c>
      <c r="CG135" s="43"/>
      <c r="CH135" s="43"/>
      <c r="CI135" s="43"/>
      <c r="CJ135" s="43"/>
      <c r="CK135" s="43"/>
      <c r="CL135" s="43"/>
      <c r="CM135" s="49">
        <f>IFERROR(VLOOKUP(B135,CC!A:D,4,0)," ")</f>
        <v>402</v>
      </c>
      <c r="CN135" s="22" t="s">
        <v>400</v>
      </c>
      <c r="CO135" s="22"/>
      <c r="CP135" s="22" t="s">
        <v>562</v>
      </c>
      <c r="CQ135" s="22" t="s">
        <v>401</v>
      </c>
      <c r="CR135" s="43"/>
      <c r="CS135" s="22">
        <v>10.0</v>
      </c>
      <c r="CT135" s="22" t="s">
        <v>145</v>
      </c>
      <c r="CU135" s="43"/>
      <c r="CV135" s="43"/>
      <c r="CW135" s="43"/>
      <c r="CX135" s="43"/>
      <c r="CY135" s="43" t="b">
        <v>0</v>
      </c>
      <c r="CZ135" s="43" t="b">
        <v>0</v>
      </c>
      <c r="DA135" s="43" t="b">
        <v>0</v>
      </c>
      <c r="DB135" s="43" t="b">
        <v>0</v>
      </c>
      <c r="DC135" s="43"/>
      <c r="DD135" s="43"/>
      <c r="DE135" s="43"/>
      <c r="DF135" s="43"/>
      <c r="DG135" s="43"/>
      <c r="DH135" s="43"/>
      <c r="DI135" s="43"/>
      <c r="DJ135" s="22">
        <f>IFERROR(VLOOKUP($B135,'Лист4'!$D:$AI,27,0)," ")</f>
        <v>5</v>
      </c>
      <c r="DK135" s="22">
        <f>IFERROR(VLOOKUP($B135,'Лист4'!$D:$AI,28,0)," ")</f>
        <v>9</v>
      </c>
      <c r="DL135" s="22">
        <f>IFERROR(VLOOKUP($B135,'Лист4'!$D:$AI,29,0)," ")</f>
        <v>5</v>
      </c>
      <c r="DM135" s="22">
        <f t="shared" si="1"/>
        <v>225</v>
      </c>
      <c r="DN135" s="22">
        <f>IFERROR(VLOOKUP($B135,'Лист4'!$D:$AI,32,0)," ")</f>
        <v>0.129</v>
      </c>
      <c r="DO135" s="22"/>
      <c r="DP135" s="22"/>
      <c r="DQ135" s="22"/>
      <c r="DR135" s="22"/>
      <c r="DS135" s="22"/>
      <c r="DT135" s="22"/>
      <c r="DU135" s="22"/>
      <c r="DV135" s="22"/>
      <c r="DW135" s="22"/>
      <c r="DX135" s="22"/>
      <c r="DY135" s="22"/>
      <c r="DZ135" s="22"/>
      <c r="EA135" s="22"/>
      <c r="EB135" s="22"/>
      <c r="EC135" s="22"/>
      <c r="ED135" s="22"/>
      <c r="EE135" s="22"/>
      <c r="EF135" s="22"/>
      <c r="EG135" s="22"/>
      <c r="EH135" s="22"/>
      <c r="EI135" s="22"/>
      <c r="EJ135" s="22"/>
      <c r="EK135" s="22"/>
      <c r="EL135" s="22"/>
      <c r="EM135" s="22"/>
      <c r="EN135" s="22"/>
      <c r="EO135" s="22"/>
      <c r="EP135" s="22"/>
      <c r="EQ135" s="22"/>
      <c r="ER135" s="22"/>
      <c r="ES135" s="43"/>
      <c r="ET135" s="43"/>
      <c r="EU135" s="43"/>
      <c r="EV135" s="43"/>
      <c r="EW135" s="43"/>
      <c r="EX135" s="43"/>
      <c r="EY135" s="43"/>
      <c r="EZ135" s="43"/>
      <c r="FA135" s="43"/>
      <c r="FB135" s="43"/>
      <c r="FC135" s="43"/>
      <c r="FD135" s="43"/>
      <c r="FE135" s="43"/>
      <c r="FF135" s="43"/>
      <c r="FG135" s="43"/>
      <c r="FH135" s="43"/>
      <c r="FI135" s="43"/>
    </row>
    <row r="136" ht="18.0" customHeight="1">
      <c r="A136" s="22" t="s">
        <v>116</v>
      </c>
      <c r="B136" s="43" t="s">
        <v>2230</v>
      </c>
      <c r="C136" s="22" t="s">
        <v>283</v>
      </c>
      <c r="D136" s="22" t="s">
        <v>187</v>
      </c>
      <c r="E136" s="43" t="s">
        <v>521</v>
      </c>
      <c r="F136" s="22" t="s">
        <v>2231</v>
      </c>
      <c r="G136" s="22"/>
      <c r="H136" s="22"/>
      <c r="I136" s="43"/>
      <c r="J136" s="43"/>
      <c r="K136" s="22" t="b">
        <v>1</v>
      </c>
      <c r="L136" s="22" t="b">
        <v>1</v>
      </c>
      <c r="M136" s="22" t="b">
        <v>1</v>
      </c>
      <c r="N136" s="22" t="b">
        <v>0</v>
      </c>
      <c r="O136" s="22" t="b">
        <v>0</v>
      </c>
      <c r="P136" s="22" t="b">
        <v>0</v>
      </c>
      <c r="Q136" s="22" t="b">
        <v>0</v>
      </c>
      <c r="R136" s="43"/>
      <c r="S136" s="43" t="s">
        <v>2232</v>
      </c>
      <c r="T136" s="22" t="s">
        <v>2230</v>
      </c>
      <c r="U136" s="22" t="s">
        <v>2230</v>
      </c>
      <c r="V136" s="22"/>
      <c r="W136" s="43"/>
      <c r="X136" s="43"/>
      <c r="Y136" s="43"/>
      <c r="Z136" s="43"/>
      <c r="AA136" s="22">
        <v>1.48386453E8</v>
      </c>
      <c r="AB136" s="22">
        <v>8.71809764E8</v>
      </c>
      <c r="AC136" s="22"/>
      <c r="AD136" s="22"/>
      <c r="AE136" s="22"/>
      <c r="AF136" s="43"/>
      <c r="AG136" s="43"/>
      <c r="AH136" s="43" t="s">
        <v>2231</v>
      </c>
      <c r="AI136" s="22" t="s">
        <v>2233</v>
      </c>
      <c r="AJ136" s="22" t="s">
        <v>823</v>
      </c>
      <c r="AK136" s="43"/>
      <c r="AL136" s="43"/>
      <c r="AM136" s="43"/>
      <c r="AN136" s="43"/>
      <c r="AO136" s="43"/>
      <c r="AP136" s="46" t="s">
        <v>2234</v>
      </c>
      <c r="AQ136" s="46" t="s">
        <v>2235</v>
      </c>
      <c r="AR136" s="43"/>
      <c r="AS136" s="43"/>
      <c r="AT136" s="43"/>
      <c r="AU136" s="43"/>
      <c r="AV136" s="43"/>
      <c r="AW136" s="22" t="s">
        <v>361</v>
      </c>
      <c r="AX136" s="22" t="s">
        <v>823</v>
      </c>
      <c r="AY136" s="43"/>
      <c r="AZ136" s="43"/>
      <c r="BA136" s="43"/>
      <c r="BB136" s="43"/>
      <c r="BC136" s="43"/>
      <c r="BD136" s="43" t="s">
        <v>243</v>
      </c>
      <c r="BE136" s="43" t="s">
        <v>243</v>
      </c>
      <c r="BF136" s="22" t="s">
        <v>131</v>
      </c>
      <c r="BG136" s="22" t="s">
        <v>132</v>
      </c>
      <c r="BH136" s="22" t="s">
        <v>132</v>
      </c>
      <c r="BI136" s="22" t="s">
        <v>132</v>
      </c>
      <c r="BJ136" s="43"/>
      <c r="BK136" s="43"/>
      <c r="BL136" s="22" t="s">
        <v>2236</v>
      </c>
      <c r="BM136" s="22"/>
      <c r="BN136" s="22" t="s">
        <v>2213</v>
      </c>
      <c r="BO136" s="22"/>
      <c r="BP136" s="22" t="s">
        <v>245</v>
      </c>
      <c r="BQ136" s="43"/>
      <c r="BR136" s="43"/>
      <c r="BS136" s="22"/>
      <c r="BT136" s="43"/>
      <c r="BU136" s="22"/>
      <c r="BV136" s="43"/>
      <c r="BW136" s="22"/>
      <c r="BX136" s="22"/>
      <c r="BY136" s="58" t="s">
        <v>2237</v>
      </c>
      <c r="BZ136" s="58"/>
      <c r="CA136" s="22"/>
      <c r="CB136" s="22"/>
      <c r="CC136" s="45"/>
      <c r="CD136" s="43"/>
      <c r="CE136" s="43"/>
      <c r="CF136" s="45"/>
      <c r="CG136" s="43"/>
      <c r="CH136" s="43"/>
      <c r="CI136" s="43"/>
      <c r="CJ136" s="43"/>
      <c r="CK136" s="43"/>
      <c r="CL136" s="43"/>
      <c r="CM136" s="49">
        <f>IFERROR(VLOOKUP(B136,CC!A:D,4,0)," ")</f>
        <v>470.99</v>
      </c>
      <c r="CN136" s="22"/>
      <c r="CO136" s="22"/>
      <c r="CP136" s="43"/>
      <c r="CQ136" s="22" t="s">
        <v>401</v>
      </c>
      <c r="CR136" s="43"/>
      <c r="CS136" s="43"/>
      <c r="CT136" s="22" t="s">
        <v>145</v>
      </c>
      <c r="CU136" s="43"/>
      <c r="CV136" s="43"/>
      <c r="CW136" s="43"/>
      <c r="CX136" s="43"/>
      <c r="CY136" s="43" t="b">
        <v>0</v>
      </c>
      <c r="CZ136" s="43" t="b">
        <v>0</v>
      </c>
      <c r="DA136" s="43" t="b">
        <v>0</v>
      </c>
      <c r="DB136" s="43" t="b">
        <v>0</v>
      </c>
      <c r="DC136" s="43"/>
      <c r="DD136" s="43"/>
      <c r="DE136" s="43"/>
      <c r="DF136" s="43"/>
      <c r="DG136" s="43"/>
      <c r="DH136" s="43"/>
      <c r="DI136" s="43"/>
      <c r="DJ136" s="22">
        <f>IFERROR(VLOOKUP($B136,'Лист4'!$D:$AI,27,0)," ")</f>
        <v>21</v>
      </c>
      <c r="DK136" s="22">
        <f>IFERROR(VLOOKUP($B136,'Лист4'!$D:$AI,28,0)," ")</f>
        <v>14</v>
      </c>
      <c r="DL136" s="22">
        <f>IFERROR(VLOOKUP($B136,'Лист4'!$D:$AI,29,0)," ")</f>
        <v>21</v>
      </c>
      <c r="DM136" s="22">
        <f t="shared" si="1"/>
        <v>6174</v>
      </c>
      <c r="DN136" s="22">
        <f>IFERROR(VLOOKUP($B136,'Лист4'!$D:$AI,32,0)," ")</f>
        <v>0.136</v>
      </c>
      <c r="DO136" s="22"/>
      <c r="DP136" s="22"/>
      <c r="DQ136" s="22"/>
      <c r="DR136" s="22"/>
      <c r="DS136" s="22"/>
      <c r="DT136" s="22"/>
      <c r="DU136" s="22"/>
      <c r="DV136" s="22"/>
      <c r="DW136" s="22"/>
      <c r="DX136" s="22"/>
      <c r="DY136" s="22"/>
      <c r="DZ136" s="22"/>
      <c r="EA136" s="22"/>
      <c r="EB136" s="22"/>
      <c r="EC136" s="22"/>
      <c r="ED136" s="22"/>
      <c r="EE136" s="22"/>
      <c r="EF136" s="22"/>
      <c r="EG136" s="22"/>
      <c r="EH136" s="22"/>
      <c r="EI136" s="22"/>
      <c r="EJ136" s="22"/>
      <c r="EK136" s="22"/>
      <c r="EL136" s="22"/>
      <c r="EM136" s="22"/>
      <c r="EN136" s="22"/>
      <c r="EO136" s="22"/>
      <c r="EP136" s="22"/>
      <c r="EQ136" s="22"/>
      <c r="ER136" s="22"/>
      <c r="ES136" s="43"/>
      <c r="ET136" s="43"/>
      <c r="EU136" s="43"/>
      <c r="EV136" s="43"/>
      <c r="EW136" s="43"/>
      <c r="EX136" s="43"/>
      <c r="EY136" s="43"/>
      <c r="EZ136" s="43"/>
      <c r="FA136" s="43"/>
      <c r="FB136" s="43"/>
      <c r="FC136" s="43"/>
      <c r="FD136" s="43"/>
      <c r="FE136" s="43"/>
      <c r="FF136" s="43"/>
      <c r="FG136" s="43"/>
      <c r="FH136" s="43"/>
      <c r="FI136" s="43"/>
    </row>
    <row r="137" ht="18.0" customHeight="1">
      <c r="A137" s="22" t="s">
        <v>116</v>
      </c>
      <c r="B137" s="43" t="s">
        <v>2238</v>
      </c>
      <c r="C137" s="22" t="s">
        <v>283</v>
      </c>
      <c r="D137" s="22" t="s">
        <v>187</v>
      </c>
      <c r="E137" s="43" t="s">
        <v>521</v>
      </c>
      <c r="F137" s="22" t="s">
        <v>2239</v>
      </c>
      <c r="G137" s="22"/>
      <c r="H137" s="22"/>
      <c r="I137" s="43"/>
      <c r="J137" s="43"/>
      <c r="K137" s="22" t="b">
        <v>1</v>
      </c>
      <c r="L137" s="22" t="b">
        <v>1</v>
      </c>
      <c r="M137" s="22" t="b">
        <v>1</v>
      </c>
      <c r="N137" s="22" t="b">
        <v>0</v>
      </c>
      <c r="O137" s="22" t="b">
        <v>0</v>
      </c>
      <c r="P137" s="22" t="b">
        <v>0</v>
      </c>
      <c r="Q137" s="22" t="b">
        <v>0</v>
      </c>
      <c r="R137" s="43"/>
      <c r="S137" s="43" t="s">
        <v>2240</v>
      </c>
      <c r="T137" s="22" t="s">
        <v>2238</v>
      </c>
      <c r="U137" s="22" t="s">
        <v>2238</v>
      </c>
      <c r="V137" s="22"/>
      <c r="W137" s="43"/>
      <c r="X137" s="43"/>
      <c r="Y137" s="43"/>
      <c r="Z137" s="43"/>
      <c r="AA137" s="22">
        <v>1.45755886E8</v>
      </c>
      <c r="AB137" s="22">
        <v>8.72805901E8</v>
      </c>
      <c r="AC137" s="22"/>
      <c r="AD137" s="22"/>
      <c r="AE137" s="22"/>
      <c r="AF137" s="43"/>
      <c r="AG137" s="43"/>
      <c r="AH137" s="43" t="s">
        <v>2239</v>
      </c>
      <c r="AI137" s="22" t="s">
        <v>2241</v>
      </c>
      <c r="AJ137" s="22" t="s">
        <v>2242</v>
      </c>
      <c r="AK137" s="43"/>
      <c r="AL137" s="43"/>
      <c r="AM137" s="43"/>
      <c r="AN137" s="43"/>
      <c r="AO137" s="43"/>
      <c r="AP137" s="46" t="s">
        <v>2243</v>
      </c>
      <c r="AQ137" s="46" t="s">
        <v>2244</v>
      </c>
      <c r="AR137" s="43"/>
      <c r="AS137" s="43"/>
      <c r="AT137" s="43"/>
      <c r="AU137" s="43"/>
      <c r="AV137" s="43"/>
      <c r="AW137" s="22" t="s">
        <v>361</v>
      </c>
      <c r="AX137" s="22" t="s">
        <v>2242</v>
      </c>
      <c r="AY137" s="43"/>
      <c r="AZ137" s="43"/>
      <c r="BA137" s="43"/>
      <c r="BB137" s="43"/>
      <c r="BC137" s="43"/>
      <c r="BD137" s="43" t="s">
        <v>243</v>
      </c>
      <c r="BE137" s="43" t="s">
        <v>243</v>
      </c>
      <c r="BF137" s="22" t="s">
        <v>131</v>
      </c>
      <c r="BG137" s="22" t="s">
        <v>132</v>
      </c>
      <c r="BH137" s="22" t="s">
        <v>132</v>
      </c>
      <c r="BI137" s="22" t="s">
        <v>132</v>
      </c>
      <c r="BJ137" s="43"/>
      <c r="BK137" s="43"/>
      <c r="BL137" s="22" t="s">
        <v>2245</v>
      </c>
      <c r="BM137" s="22"/>
      <c r="BN137" s="22"/>
      <c r="BO137" s="22"/>
      <c r="BP137" s="22" t="s">
        <v>245</v>
      </c>
      <c r="BQ137" s="43"/>
      <c r="BR137" s="43"/>
      <c r="BS137" s="22"/>
      <c r="BT137" s="43"/>
      <c r="BU137" s="22"/>
      <c r="BV137" s="43"/>
      <c r="BW137" s="22"/>
      <c r="BX137" s="22"/>
      <c r="BY137" s="43"/>
      <c r="BZ137" s="43"/>
      <c r="CA137" s="22"/>
      <c r="CB137" s="22"/>
      <c r="CC137" s="45"/>
      <c r="CD137" s="43"/>
      <c r="CE137" s="43"/>
      <c r="CF137" s="45"/>
      <c r="CG137" s="43"/>
      <c r="CH137" s="43"/>
      <c r="CI137" s="43"/>
      <c r="CJ137" s="43"/>
      <c r="CK137" s="43"/>
      <c r="CL137" s="43"/>
      <c r="CM137" s="49">
        <f>IFERROR(VLOOKUP(B137,CC!A:D,4,0)," ")</f>
        <v>291.6</v>
      </c>
      <c r="CN137" s="22" t="s">
        <v>400</v>
      </c>
      <c r="CO137" s="22"/>
      <c r="CP137" s="43"/>
      <c r="CQ137" s="22" t="s">
        <v>401</v>
      </c>
      <c r="CR137" s="43"/>
      <c r="CS137" s="22">
        <v>10.0</v>
      </c>
      <c r="CT137" s="22" t="s">
        <v>145</v>
      </c>
      <c r="CU137" s="43"/>
      <c r="CV137" s="43"/>
      <c r="CW137" s="43"/>
      <c r="CX137" s="43"/>
      <c r="CY137" s="43" t="b">
        <v>0</v>
      </c>
      <c r="CZ137" s="43" t="b">
        <v>0</v>
      </c>
      <c r="DA137" s="43" t="b">
        <v>0</v>
      </c>
      <c r="DB137" s="43" t="b">
        <v>0</v>
      </c>
      <c r="DC137" s="43"/>
      <c r="DD137" s="43"/>
      <c r="DE137" s="43"/>
      <c r="DF137" s="43"/>
      <c r="DG137" s="43"/>
      <c r="DH137" s="43"/>
      <c r="DI137" s="43"/>
      <c r="DJ137" s="22">
        <f>IFERROR(VLOOKUP($B137,'Лист4'!$D:$AI,27,0)," ")</f>
        <v>21</v>
      </c>
      <c r="DK137" s="22">
        <f>IFERROR(VLOOKUP($B137,'Лист4'!$D:$AI,28,0)," ")</f>
        <v>14</v>
      </c>
      <c r="DL137" s="22">
        <f>IFERROR(VLOOKUP($B137,'Лист4'!$D:$AI,29,0)," ")</f>
        <v>21</v>
      </c>
      <c r="DM137" s="22">
        <f t="shared" si="1"/>
        <v>6174</v>
      </c>
      <c r="DN137" s="22">
        <f>IFERROR(VLOOKUP($B137,'Лист4'!$D:$AI,32,0)," ")</f>
        <v>0.74</v>
      </c>
      <c r="DO137" s="22"/>
      <c r="DP137" s="22"/>
      <c r="DQ137" s="22"/>
      <c r="DR137" s="22"/>
      <c r="DS137" s="22"/>
      <c r="DT137" s="22"/>
      <c r="DU137" s="22"/>
      <c r="DV137" s="22"/>
      <c r="DW137" s="22"/>
      <c r="DX137" s="22"/>
      <c r="DY137" s="22"/>
      <c r="DZ137" s="22"/>
      <c r="EA137" s="22"/>
      <c r="EB137" s="22"/>
      <c r="EC137" s="22"/>
      <c r="ED137" s="22"/>
      <c r="EE137" s="22"/>
      <c r="EF137" s="22"/>
      <c r="EG137" s="22"/>
      <c r="EH137" s="22"/>
      <c r="EI137" s="22"/>
      <c r="EJ137" s="22"/>
      <c r="EK137" s="22"/>
      <c r="EL137" s="22"/>
      <c r="EM137" s="22"/>
      <c r="EN137" s="22"/>
      <c r="EO137" s="22"/>
      <c r="EP137" s="22"/>
      <c r="EQ137" s="22"/>
      <c r="ER137" s="22"/>
      <c r="ES137" s="43"/>
      <c r="ET137" s="43"/>
      <c r="EU137" s="43"/>
      <c r="EV137" s="43"/>
      <c r="EW137" s="43"/>
      <c r="EX137" s="43"/>
      <c r="EY137" s="43"/>
      <c r="EZ137" s="43"/>
      <c r="FA137" s="43"/>
      <c r="FB137" s="43"/>
      <c r="FC137" s="43"/>
      <c r="FD137" s="43"/>
      <c r="FE137" s="43"/>
      <c r="FF137" s="43"/>
      <c r="FG137" s="43"/>
      <c r="FH137" s="43"/>
      <c r="FI137" s="43"/>
    </row>
    <row r="138" ht="18.0" customHeight="1">
      <c r="A138" s="22" t="s">
        <v>116</v>
      </c>
      <c r="B138" s="43" t="s">
        <v>2246</v>
      </c>
      <c r="C138" s="22" t="s">
        <v>283</v>
      </c>
      <c r="D138" s="22" t="s">
        <v>187</v>
      </c>
      <c r="E138" s="43" t="s">
        <v>521</v>
      </c>
      <c r="F138" s="22" t="s">
        <v>2247</v>
      </c>
      <c r="G138" s="22"/>
      <c r="H138" s="22"/>
      <c r="I138" s="43"/>
      <c r="J138" s="43"/>
      <c r="K138" s="22" t="b">
        <v>1</v>
      </c>
      <c r="L138" s="22" t="b">
        <v>1</v>
      </c>
      <c r="M138" s="22" t="b">
        <v>1</v>
      </c>
      <c r="N138" s="22" t="b">
        <v>0</v>
      </c>
      <c r="O138" s="22" t="b">
        <v>0</v>
      </c>
      <c r="P138" s="22" t="b">
        <v>0</v>
      </c>
      <c r="Q138" s="22" t="b">
        <v>0</v>
      </c>
      <c r="R138" s="43"/>
      <c r="S138" s="43" t="s">
        <v>2248</v>
      </c>
      <c r="T138" s="22" t="s">
        <v>2246</v>
      </c>
      <c r="U138" s="22" t="s">
        <v>2246</v>
      </c>
      <c r="V138" s="22"/>
      <c r="W138" s="43"/>
      <c r="X138" s="43"/>
      <c r="Y138" s="43"/>
      <c r="Z138" s="43"/>
      <c r="AA138" s="22">
        <v>1.49730224E8</v>
      </c>
      <c r="AB138" s="22">
        <v>8.8044412E8</v>
      </c>
      <c r="AC138" s="22"/>
      <c r="AD138" s="22"/>
      <c r="AE138" s="22"/>
      <c r="AF138" s="43"/>
      <c r="AG138" s="43"/>
      <c r="AH138" s="43" t="s">
        <v>2247</v>
      </c>
      <c r="AI138" s="22" t="s">
        <v>838</v>
      </c>
      <c r="AJ138" s="22" t="s">
        <v>2249</v>
      </c>
      <c r="AK138" s="43"/>
      <c r="AL138" s="43"/>
      <c r="AM138" s="43"/>
      <c r="AN138" s="43"/>
      <c r="AO138" s="43"/>
      <c r="AP138" s="46" t="s">
        <v>2250</v>
      </c>
      <c r="AQ138" s="46" t="s">
        <v>2251</v>
      </c>
      <c r="AR138" s="43"/>
      <c r="AS138" s="43"/>
      <c r="AT138" s="43"/>
      <c r="AU138" s="43"/>
      <c r="AV138" s="43"/>
      <c r="AW138" s="22" t="s">
        <v>361</v>
      </c>
      <c r="AX138" s="22" t="s">
        <v>2249</v>
      </c>
      <c r="AY138" s="43"/>
      <c r="AZ138" s="43"/>
      <c r="BA138" s="43"/>
      <c r="BB138" s="43"/>
      <c r="BC138" s="43"/>
      <c r="BD138" s="43" t="s">
        <v>243</v>
      </c>
      <c r="BE138" s="43" t="s">
        <v>243</v>
      </c>
      <c r="BF138" s="22" t="s">
        <v>131</v>
      </c>
      <c r="BG138" s="22" t="s">
        <v>132</v>
      </c>
      <c r="BH138" s="22" t="s">
        <v>132</v>
      </c>
      <c r="BI138" s="22" t="s">
        <v>132</v>
      </c>
      <c r="BJ138" s="43"/>
      <c r="BK138" s="43"/>
      <c r="BL138" s="22" t="s">
        <v>2252</v>
      </c>
      <c r="BM138" s="22">
        <v>2.106909808E9</v>
      </c>
      <c r="BN138" s="22"/>
      <c r="BO138" s="22"/>
      <c r="BP138" s="22" t="s">
        <v>245</v>
      </c>
      <c r="BQ138" s="43"/>
      <c r="BR138" s="43"/>
      <c r="BS138" s="22"/>
      <c r="BT138" s="43"/>
      <c r="BU138" s="22"/>
      <c r="BV138" s="43"/>
      <c r="BW138" s="22"/>
      <c r="BX138" s="22"/>
      <c r="BY138" s="43"/>
      <c r="BZ138" s="43"/>
      <c r="CA138" s="22"/>
      <c r="CB138" s="22"/>
      <c r="CC138" s="45" t="s">
        <v>2253</v>
      </c>
      <c r="CD138" s="43"/>
      <c r="CE138" s="43"/>
      <c r="CF138" s="45"/>
      <c r="CG138" s="43"/>
      <c r="CH138" s="43"/>
      <c r="CI138" s="43"/>
      <c r="CJ138" s="43"/>
      <c r="CK138" s="43"/>
      <c r="CL138" s="43"/>
      <c r="CM138" s="49">
        <f>IFERROR(VLOOKUP(B138,CC!A:D,4,0)," ")</f>
        <v>289.1</v>
      </c>
      <c r="CN138" s="22"/>
      <c r="CO138" s="22"/>
      <c r="CP138" s="43"/>
      <c r="CQ138" s="22" t="s">
        <v>401</v>
      </c>
      <c r="CR138" s="43"/>
      <c r="CS138" s="43"/>
      <c r="CT138" s="22" t="s">
        <v>145</v>
      </c>
      <c r="CU138" s="43"/>
      <c r="CV138" s="43"/>
      <c r="CW138" s="43"/>
      <c r="CX138" s="43"/>
      <c r="CY138" s="43" t="b">
        <v>0</v>
      </c>
      <c r="CZ138" s="43" t="b">
        <v>0</v>
      </c>
      <c r="DA138" s="43" t="b">
        <v>0</v>
      </c>
      <c r="DB138" s="43" t="b">
        <v>0</v>
      </c>
      <c r="DC138" s="43"/>
      <c r="DD138" s="43"/>
      <c r="DE138" s="43"/>
      <c r="DF138" s="43"/>
      <c r="DG138" s="43"/>
      <c r="DH138" s="43"/>
      <c r="DI138" s="43"/>
      <c r="DJ138" s="22">
        <f>IFERROR(VLOOKUP($B138,'Лист4'!$D:$AI,27,0)," ")</f>
        <v>14</v>
      </c>
      <c r="DK138" s="22">
        <f>IFERROR(VLOOKUP($B138,'Лист4'!$D:$AI,28,0)," ")</f>
        <v>7</v>
      </c>
      <c r="DL138" s="22">
        <f>IFERROR(VLOOKUP($B138,'Лист4'!$D:$AI,29,0)," ")</f>
        <v>14</v>
      </c>
      <c r="DM138" s="22">
        <f t="shared" si="1"/>
        <v>1372</v>
      </c>
      <c r="DN138" s="22">
        <f>IFERROR(VLOOKUP($B138,'Лист4'!$D:$AI,32,0)," ")</f>
        <v>0.1</v>
      </c>
      <c r="DO138" s="22"/>
      <c r="DP138" s="22"/>
      <c r="DQ138" s="22"/>
      <c r="DR138" s="22"/>
      <c r="DS138" s="22"/>
      <c r="DT138" s="22"/>
      <c r="DU138" s="22"/>
      <c r="DV138" s="22"/>
      <c r="DW138" s="22"/>
      <c r="DX138" s="22"/>
      <c r="DY138" s="22"/>
      <c r="DZ138" s="22"/>
      <c r="EA138" s="22"/>
      <c r="EB138" s="22"/>
      <c r="EC138" s="22"/>
      <c r="ED138" s="22"/>
      <c r="EE138" s="22"/>
      <c r="EF138" s="22"/>
      <c r="EG138" s="22"/>
      <c r="EH138" s="22"/>
      <c r="EI138" s="22"/>
      <c r="EJ138" s="22"/>
      <c r="EK138" s="22"/>
      <c r="EL138" s="22"/>
      <c r="EM138" s="22"/>
      <c r="EN138" s="22"/>
      <c r="EO138" s="22"/>
      <c r="EP138" s="22"/>
      <c r="EQ138" s="22"/>
      <c r="ER138" s="22"/>
      <c r="ES138" s="43"/>
      <c r="ET138" s="43"/>
      <c r="EU138" s="43"/>
      <c r="EV138" s="43"/>
      <c r="EW138" s="43"/>
      <c r="EX138" s="43"/>
      <c r="EY138" s="43"/>
      <c r="EZ138" s="43"/>
      <c r="FA138" s="43"/>
      <c r="FB138" s="43"/>
      <c r="FC138" s="43"/>
      <c r="FD138" s="43"/>
      <c r="FE138" s="43"/>
      <c r="FF138" s="43"/>
      <c r="FG138" s="43"/>
      <c r="FH138" s="43"/>
      <c r="FI138" s="43"/>
    </row>
    <row r="139" ht="18.0" customHeight="1">
      <c r="A139" s="22" t="s">
        <v>116</v>
      </c>
      <c r="B139" s="43" t="s">
        <v>2254</v>
      </c>
      <c r="C139" s="22" t="s">
        <v>283</v>
      </c>
      <c r="D139" s="22" t="s">
        <v>187</v>
      </c>
      <c r="E139" s="43" t="s">
        <v>521</v>
      </c>
      <c r="F139" s="22" t="s">
        <v>820</v>
      </c>
      <c r="G139" s="22"/>
      <c r="H139" s="22"/>
      <c r="I139" s="43"/>
      <c r="J139" s="43"/>
      <c r="K139" s="22" t="b">
        <v>1</v>
      </c>
      <c r="L139" s="22" t="b">
        <v>1</v>
      </c>
      <c r="M139" s="22" t="b">
        <v>1</v>
      </c>
      <c r="N139" s="22" t="b">
        <v>0</v>
      </c>
      <c r="O139" s="22" t="b">
        <v>0</v>
      </c>
      <c r="P139" s="22" t="b">
        <v>0</v>
      </c>
      <c r="Q139" s="22" t="b">
        <v>0</v>
      </c>
      <c r="R139" s="43"/>
      <c r="S139" s="43" t="s">
        <v>2255</v>
      </c>
      <c r="T139" s="22" t="s">
        <v>2254</v>
      </c>
      <c r="U139" s="22" t="s">
        <v>2254</v>
      </c>
      <c r="V139" s="22"/>
      <c r="W139" s="43"/>
      <c r="X139" s="43"/>
      <c r="Y139" s="43"/>
      <c r="Z139" s="43"/>
      <c r="AA139" s="22">
        <v>1.70004552E8</v>
      </c>
      <c r="AB139" s="22">
        <v>1.092025113E9</v>
      </c>
      <c r="AC139" s="22"/>
      <c r="AD139" s="22"/>
      <c r="AE139" s="22"/>
      <c r="AF139" s="43"/>
      <c r="AG139" s="43"/>
      <c r="AH139" s="43" t="s">
        <v>820</v>
      </c>
      <c r="AI139" s="22" t="s">
        <v>2256</v>
      </c>
      <c r="AJ139" s="22" t="s">
        <v>823</v>
      </c>
      <c r="AK139" s="43"/>
      <c r="AL139" s="43"/>
      <c r="AM139" s="43"/>
      <c r="AN139" s="43"/>
      <c r="AO139" s="43"/>
      <c r="AP139" s="46" t="s">
        <v>2257</v>
      </c>
      <c r="AQ139" s="46" t="s">
        <v>2258</v>
      </c>
      <c r="AR139" s="43"/>
      <c r="AS139" s="43"/>
      <c r="AT139" s="43"/>
      <c r="AU139" s="43"/>
      <c r="AV139" s="43"/>
      <c r="AW139" s="22" t="s">
        <v>361</v>
      </c>
      <c r="AX139" s="22" t="s">
        <v>823</v>
      </c>
      <c r="AY139" s="43"/>
      <c r="AZ139" s="43"/>
      <c r="BA139" s="43"/>
      <c r="BB139" s="43"/>
      <c r="BC139" s="43"/>
      <c r="BD139" s="43" t="s">
        <v>243</v>
      </c>
      <c r="BE139" s="43" t="s">
        <v>243</v>
      </c>
      <c r="BF139" s="22" t="s">
        <v>131</v>
      </c>
      <c r="BG139" s="22" t="s">
        <v>132</v>
      </c>
      <c r="BH139" s="22" t="s">
        <v>132</v>
      </c>
      <c r="BI139" s="22" t="s">
        <v>132</v>
      </c>
      <c r="BJ139" s="43"/>
      <c r="BK139" s="43"/>
      <c r="BL139" s="22">
        <v>4.620153903698E12</v>
      </c>
      <c r="BM139" s="22">
        <v>2.106909808E9</v>
      </c>
      <c r="BN139" s="22" t="s">
        <v>2213</v>
      </c>
      <c r="BO139" s="22"/>
      <c r="BP139" s="22" t="s">
        <v>245</v>
      </c>
      <c r="BQ139" s="43"/>
      <c r="BR139" s="43"/>
      <c r="BS139" s="22" t="s">
        <v>2259</v>
      </c>
      <c r="BT139" s="43"/>
      <c r="BU139" s="22" t="s">
        <v>2260</v>
      </c>
      <c r="BV139" s="43" t="s">
        <v>2261</v>
      </c>
      <c r="BW139" s="22" t="s">
        <v>2262</v>
      </c>
      <c r="BX139" s="22">
        <v>60.0</v>
      </c>
      <c r="BY139" s="22" t="s">
        <v>492</v>
      </c>
      <c r="BZ139" s="43"/>
      <c r="CA139" s="22" t="s">
        <v>849</v>
      </c>
      <c r="CB139" s="22" t="s">
        <v>307</v>
      </c>
      <c r="CC139" s="45" t="s">
        <v>2216</v>
      </c>
      <c r="CD139" s="43"/>
      <c r="CE139" s="43"/>
      <c r="CF139" s="45"/>
      <c r="CG139" s="43"/>
      <c r="CH139" s="43"/>
      <c r="CI139" s="43"/>
      <c r="CJ139" s="43"/>
      <c r="CK139" s="43"/>
      <c r="CL139" s="43"/>
      <c r="CM139" s="49">
        <f>IFERROR(VLOOKUP(B139,CC!A:D,4,0)," ")</f>
        <v>205</v>
      </c>
      <c r="CN139" s="22" t="s">
        <v>2263</v>
      </c>
      <c r="CO139" s="22"/>
      <c r="CP139" s="22" t="s">
        <v>562</v>
      </c>
      <c r="CQ139" s="22">
        <v>90.0</v>
      </c>
      <c r="CR139" s="43"/>
      <c r="CS139" s="22">
        <v>10.0</v>
      </c>
      <c r="CT139" s="22" t="s">
        <v>145</v>
      </c>
      <c r="CU139" s="43"/>
      <c r="CV139" s="43"/>
      <c r="CW139" s="43"/>
      <c r="CX139" s="43"/>
      <c r="CY139" s="43" t="b">
        <v>0</v>
      </c>
      <c r="CZ139" s="43" t="b">
        <v>0</v>
      </c>
      <c r="DA139" s="43" t="b">
        <v>0</v>
      </c>
      <c r="DB139" s="43" t="b">
        <v>0</v>
      </c>
      <c r="DC139" s="43"/>
      <c r="DD139" s="43"/>
      <c r="DE139" s="43"/>
      <c r="DF139" s="43"/>
      <c r="DG139" s="43"/>
      <c r="DH139" s="43"/>
      <c r="DI139" s="43"/>
      <c r="DJ139" s="22">
        <f>IFERROR(VLOOKUP($B139,'Лист4'!$D:$AI,27,0)," ")</f>
        <v>5</v>
      </c>
      <c r="DK139" s="22">
        <f>IFERROR(VLOOKUP($B139,'Лист4'!$D:$AI,28,0)," ")</f>
        <v>9</v>
      </c>
      <c r="DL139" s="22">
        <f>IFERROR(VLOOKUP($B139,'Лист4'!$D:$AI,29,0)," ")</f>
        <v>5</v>
      </c>
      <c r="DM139" s="22">
        <f t="shared" si="1"/>
        <v>225</v>
      </c>
      <c r="DN139" s="22">
        <f>IFERROR(VLOOKUP($B139,'Лист4'!$D:$AI,32,0)," ")</f>
        <v>0.06</v>
      </c>
      <c r="DO139" s="22"/>
      <c r="DP139" s="22"/>
      <c r="DQ139" s="22"/>
      <c r="DR139" s="22"/>
      <c r="DS139" s="22"/>
      <c r="DT139" s="22"/>
      <c r="DU139" s="22"/>
      <c r="DV139" s="22"/>
      <c r="DW139" s="22"/>
      <c r="DX139" s="22"/>
      <c r="DY139" s="22"/>
      <c r="DZ139" s="22"/>
      <c r="EA139" s="22"/>
      <c r="EB139" s="22"/>
      <c r="EC139" s="22"/>
      <c r="ED139" s="22"/>
      <c r="EE139" s="22"/>
      <c r="EF139" s="22"/>
      <c r="EG139" s="22"/>
      <c r="EH139" s="22"/>
      <c r="EI139" s="22"/>
      <c r="EJ139" s="22"/>
      <c r="EK139" s="22"/>
      <c r="EL139" s="22"/>
      <c r="EM139" s="22"/>
      <c r="EN139" s="22"/>
      <c r="EO139" s="22"/>
      <c r="EP139" s="22"/>
      <c r="EQ139" s="22"/>
      <c r="ER139" s="22"/>
      <c r="ES139" s="43"/>
      <c r="ET139" s="43"/>
      <c r="EU139" s="43"/>
      <c r="EV139" s="43"/>
      <c r="EW139" s="43"/>
      <c r="EX139" s="43"/>
      <c r="EY139" s="43"/>
      <c r="EZ139" s="43"/>
      <c r="FA139" s="43"/>
      <c r="FB139" s="43"/>
      <c r="FC139" s="43"/>
      <c r="FD139" s="43"/>
      <c r="FE139" s="43"/>
      <c r="FF139" s="43"/>
      <c r="FG139" s="43"/>
      <c r="FH139" s="43"/>
      <c r="FI139" s="43"/>
    </row>
    <row r="140" ht="18.0" customHeight="1">
      <c r="A140" s="22" t="s">
        <v>116</v>
      </c>
      <c r="B140" s="43" t="s">
        <v>2264</v>
      </c>
      <c r="C140" s="22" t="s">
        <v>283</v>
      </c>
      <c r="D140" s="22" t="s">
        <v>187</v>
      </c>
      <c r="E140" s="43" t="s">
        <v>521</v>
      </c>
      <c r="F140" s="22" t="s">
        <v>2265</v>
      </c>
      <c r="G140" s="22"/>
      <c r="H140" s="22"/>
      <c r="I140" s="43"/>
      <c r="J140" s="43"/>
      <c r="K140" s="22" t="b">
        <v>1</v>
      </c>
      <c r="L140" s="22" t="b">
        <v>0</v>
      </c>
      <c r="M140" s="22" t="b">
        <v>1</v>
      </c>
      <c r="N140" s="22" t="b">
        <v>0</v>
      </c>
      <c r="O140" s="22" t="b">
        <v>0</v>
      </c>
      <c r="P140" s="22" t="b">
        <v>0</v>
      </c>
      <c r="Q140" s="22" t="b">
        <v>0</v>
      </c>
      <c r="R140" s="43"/>
      <c r="S140" s="43" t="s">
        <v>2266</v>
      </c>
      <c r="T140" s="22"/>
      <c r="U140" s="22" t="s">
        <v>2264</v>
      </c>
      <c r="V140" s="22"/>
      <c r="W140" s="43"/>
      <c r="X140" s="43"/>
      <c r="Y140" s="43"/>
      <c r="Z140" s="43"/>
      <c r="AA140" s="22"/>
      <c r="AB140" s="22"/>
      <c r="AC140" s="22"/>
      <c r="AD140" s="22"/>
      <c r="AE140" s="22"/>
      <c r="AF140" s="43"/>
      <c r="AG140" s="43"/>
      <c r="AH140" s="43" t="s">
        <v>2265</v>
      </c>
      <c r="AI140" s="43"/>
      <c r="AJ140" s="43"/>
      <c r="AK140" s="43"/>
      <c r="AL140" s="43"/>
      <c r="AM140" s="43"/>
      <c r="AN140" s="43"/>
      <c r="AO140" s="43"/>
      <c r="AP140" s="43"/>
      <c r="AQ140" s="43"/>
      <c r="AR140" s="43"/>
      <c r="AS140" s="43"/>
      <c r="AT140" s="43"/>
      <c r="AU140" s="43"/>
      <c r="AV140" s="43"/>
      <c r="AW140" s="22"/>
      <c r="AX140" s="22"/>
      <c r="AY140" s="43"/>
      <c r="AZ140" s="43"/>
      <c r="BA140" s="43"/>
      <c r="BB140" s="43"/>
      <c r="BC140" s="43"/>
      <c r="BD140" s="43" t="s">
        <v>401</v>
      </c>
      <c r="BE140" s="43" t="s">
        <v>243</v>
      </c>
      <c r="BF140" s="22" t="s">
        <v>131</v>
      </c>
      <c r="BG140" s="22" t="s">
        <v>132</v>
      </c>
      <c r="BH140" s="22" t="s">
        <v>132</v>
      </c>
      <c r="BI140" s="22" t="s">
        <v>132</v>
      </c>
      <c r="BJ140" s="43"/>
      <c r="BK140" s="43"/>
      <c r="BL140" s="22" t="s">
        <v>401</v>
      </c>
      <c r="BM140" s="22"/>
      <c r="BN140" s="22" t="s">
        <v>401</v>
      </c>
      <c r="BO140" s="22"/>
      <c r="BP140" s="22" t="s">
        <v>245</v>
      </c>
      <c r="BQ140" s="43"/>
      <c r="BR140" s="43"/>
      <c r="BS140" s="22" t="s">
        <v>401</v>
      </c>
      <c r="BT140" s="43"/>
      <c r="BU140" s="22" t="s">
        <v>401</v>
      </c>
      <c r="BV140" s="43" t="s">
        <v>401</v>
      </c>
      <c r="BW140" s="22" t="s">
        <v>401</v>
      </c>
      <c r="BX140" s="22"/>
      <c r="BY140" s="43"/>
      <c r="BZ140" s="43"/>
      <c r="CA140" s="22" t="s">
        <v>401</v>
      </c>
      <c r="CB140" s="22" t="s">
        <v>401</v>
      </c>
      <c r="CC140" s="45" t="s">
        <v>401</v>
      </c>
      <c r="CD140" s="43"/>
      <c r="CE140" s="43"/>
      <c r="CF140" s="45" t="s">
        <v>401</v>
      </c>
      <c r="CG140" s="43"/>
      <c r="CH140" s="43"/>
      <c r="CI140" s="43"/>
      <c r="CJ140" s="43"/>
      <c r="CK140" s="43"/>
      <c r="CL140" s="43"/>
      <c r="CM140" s="49">
        <f>IFERROR(VLOOKUP(B140,CC!A:D,4,0)," ")</f>
        <v>312</v>
      </c>
      <c r="CN140" s="22" t="s">
        <v>2267</v>
      </c>
      <c r="CO140" s="22"/>
      <c r="CP140" s="43"/>
      <c r="CQ140" s="22">
        <v>60.0</v>
      </c>
      <c r="CR140" s="43"/>
      <c r="CS140" s="22">
        <v>3.0</v>
      </c>
      <c r="CT140" s="22" t="s">
        <v>145</v>
      </c>
      <c r="CU140" s="43"/>
      <c r="CV140" s="43"/>
      <c r="CW140" s="43"/>
      <c r="CX140" s="43"/>
      <c r="CY140" s="43" t="b">
        <v>0</v>
      </c>
      <c r="CZ140" s="43" t="b">
        <v>0</v>
      </c>
      <c r="DA140" s="43" t="b">
        <v>0</v>
      </c>
      <c r="DB140" s="43" t="b">
        <v>0</v>
      </c>
      <c r="DC140" s="43"/>
      <c r="DD140" s="43"/>
      <c r="DE140" s="43"/>
      <c r="DF140" s="43"/>
      <c r="DG140" s="43"/>
      <c r="DH140" s="43"/>
      <c r="DI140" s="43"/>
      <c r="DJ140" s="22">
        <f>IFERROR(VLOOKUP($B140,'Лист4'!$D:$AI,27,0)," ")</f>
        <v>1</v>
      </c>
      <c r="DK140" s="22">
        <f>IFERROR(VLOOKUP($B140,'Лист4'!$D:$AI,28,0)," ")</f>
        <v>1</v>
      </c>
      <c r="DL140" s="22">
        <f>IFERROR(VLOOKUP($B140,'Лист4'!$D:$AI,29,0)," ")</f>
        <v>1</v>
      </c>
      <c r="DM140" s="22">
        <f t="shared" si="1"/>
        <v>1</v>
      </c>
      <c r="DN140" s="22">
        <f>IFERROR(VLOOKUP($B140,'Лист4'!$D:$AI,32,0)," ")</f>
        <v>1</v>
      </c>
      <c r="DO140" s="22"/>
      <c r="DP140" s="22"/>
      <c r="DQ140" s="22"/>
      <c r="DR140" s="22"/>
      <c r="DS140" s="22"/>
      <c r="DT140" s="22"/>
      <c r="DU140" s="22"/>
      <c r="DV140" s="22"/>
      <c r="DW140" s="22"/>
      <c r="DX140" s="22"/>
      <c r="DY140" s="22"/>
      <c r="DZ140" s="22"/>
      <c r="EA140" s="22"/>
      <c r="EB140" s="22"/>
      <c r="EC140" s="22"/>
      <c r="ED140" s="22"/>
      <c r="EE140" s="22"/>
      <c r="EF140" s="22"/>
      <c r="EG140" s="22"/>
      <c r="EH140" s="22"/>
      <c r="EI140" s="22"/>
      <c r="EJ140" s="22"/>
      <c r="EK140" s="22"/>
      <c r="EL140" s="22"/>
      <c r="EM140" s="22"/>
      <c r="EN140" s="22"/>
      <c r="EO140" s="22"/>
      <c r="EP140" s="22"/>
      <c r="EQ140" s="22"/>
      <c r="ER140" s="22"/>
      <c r="ES140" s="43"/>
      <c r="ET140" s="43"/>
      <c r="EU140" s="43"/>
      <c r="EV140" s="43"/>
      <c r="EW140" s="43"/>
      <c r="EX140" s="43"/>
      <c r="EY140" s="43"/>
      <c r="EZ140" s="43"/>
      <c r="FA140" s="43"/>
      <c r="FB140" s="43"/>
      <c r="FC140" s="43"/>
      <c r="FD140" s="43"/>
      <c r="FE140" s="43"/>
      <c r="FF140" s="43"/>
      <c r="FG140" s="43"/>
      <c r="FH140" s="43"/>
      <c r="FI140" s="43"/>
    </row>
    <row r="141" ht="18.0" customHeight="1">
      <c r="A141" s="22" t="s">
        <v>116</v>
      </c>
      <c r="B141" s="43" t="s">
        <v>2268</v>
      </c>
      <c r="C141" s="22" t="s">
        <v>283</v>
      </c>
      <c r="D141" s="22" t="s">
        <v>187</v>
      </c>
      <c r="E141" s="43" t="s">
        <v>521</v>
      </c>
      <c r="F141" s="22" t="s">
        <v>2269</v>
      </c>
      <c r="G141" s="22"/>
      <c r="H141" s="22"/>
      <c r="I141" s="43"/>
      <c r="J141" s="43"/>
      <c r="K141" s="22" t="b">
        <v>1</v>
      </c>
      <c r="L141" s="22" t="b">
        <v>1</v>
      </c>
      <c r="M141" s="22" t="b">
        <v>1</v>
      </c>
      <c r="N141" s="22" t="b">
        <v>0</v>
      </c>
      <c r="O141" s="22" t="b">
        <v>0</v>
      </c>
      <c r="P141" s="22" t="b">
        <v>0</v>
      </c>
      <c r="Q141" s="22" t="b">
        <v>0</v>
      </c>
      <c r="R141" s="43"/>
      <c r="S141" s="43" t="s">
        <v>2270</v>
      </c>
      <c r="T141" s="22" t="s">
        <v>2268</v>
      </c>
      <c r="U141" s="22" t="s">
        <v>2268</v>
      </c>
      <c r="V141" s="22"/>
      <c r="W141" s="43"/>
      <c r="X141" s="43"/>
      <c r="Y141" s="43"/>
      <c r="Z141" s="43"/>
      <c r="AA141" s="22">
        <v>1.6886755E8</v>
      </c>
      <c r="AB141" s="22">
        <v>1.082288574E9</v>
      </c>
      <c r="AC141" s="22"/>
      <c r="AD141" s="22"/>
      <c r="AE141" s="22"/>
      <c r="AF141" s="43"/>
      <c r="AG141" s="43"/>
      <c r="AH141" s="43" t="s">
        <v>2269</v>
      </c>
      <c r="AI141" s="22" t="s">
        <v>2271</v>
      </c>
      <c r="AJ141" s="22" t="s">
        <v>2272</v>
      </c>
      <c r="AK141" s="43"/>
      <c r="AL141" s="43"/>
      <c r="AM141" s="43"/>
      <c r="AN141" s="43"/>
      <c r="AO141" s="43"/>
      <c r="AP141" s="46" t="s">
        <v>2273</v>
      </c>
      <c r="AQ141" s="46" t="s">
        <v>2274</v>
      </c>
      <c r="AR141" s="43"/>
      <c r="AS141" s="43"/>
      <c r="AT141" s="43"/>
      <c r="AU141" s="43"/>
      <c r="AV141" s="43"/>
      <c r="AW141" s="22" t="s">
        <v>361</v>
      </c>
      <c r="AX141" s="22" t="s">
        <v>2272</v>
      </c>
      <c r="AY141" s="43"/>
      <c r="AZ141" s="43"/>
      <c r="BA141" s="43"/>
      <c r="BB141" s="43"/>
      <c r="BC141" s="43"/>
      <c r="BD141" s="43" t="s">
        <v>243</v>
      </c>
      <c r="BE141" s="43" t="s">
        <v>243</v>
      </c>
      <c r="BF141" s="22" t="s">
        <v>131</v>
      </c>
      <c r="BG141" s="22" t="s">
        <v>132</v>
      </c>
      <c r="BH141" s="22" t="s">
        <v>132</v>
      </c>
      <c r="BI141" s="22" t="s">
        <v>132</v>
      </c>
      <c r="BJ141" s="43"/>
      <c r="BK141" s="43"/>
      <c r="BL141" s="22">
        <v>4.620153903636E12</v>
      </c>
      <c r="BM141" s="22">
        <v>2.106909808E9</v>
      </c>
      <c r="BN141" s="22" t="s">
        <v>2275</v>
      </c>
      <c r="BO141" s="22"/>
      <c r="BP141" s="22" t="s">
        <v>245</v>
      </c>
      <c r="BQ141" s="43"/>
      <c r="BR141" s="43"/>
      <c r="BS141" s="22" t="s">
        <v>2276</v>
      </c>
      <c r="BT141" s="43"/>
      <c r="BU141" s="22" t="s">
        <v>2277</v>
      </c>
      <c r="BV141" s="43" t="s">
        <v>557</v>
      </c>
      <c r="BW141" s="22" t="s">
        <v>2278</v>
      </c>
      <c r="BX141" s="22">
        <v>120.0</v>
      </c>
      <c r="BY141" s="22" t="s">
        <v>492</v>
      </c>
      <c r="BZ141" s="43"/>
      <c r="CA141" s="22" t="s">
        <v>165</v>
      </c>
      <c r="CB141" s="22" t="s">
        <v>165</v>
      </c>
      <c r="CC141" s="45" t="s">
        <v>2279</v>
      </c>
      <c r="CD141" s="43"/>
      <c r="CE141" s="43"/>
      <c r="CF141" s="45" t="s">
        <v>2280</v>
      </c>
      <c r="CG141" s="43"/>
      <c r="CH141" s="43"/>
      <c r="CI141" s="43"/>
      <c r="CJ141" s="43"/>
      <c r="CK141" s="43"/>
      <c r="CL141" s="43"/>
      <c r="CM141" s="49">
        <f>IFERROR(VLOOKUP(B141,CC!A:D,4,0)," ")</f>
        <v>272.52</v>
      </c>
      <c r="CN141" s="22" t="s">
        <v>400</v>
      </c>
      <c r="CO141" s="22"/>
      <c r="CP141" s="22" t="s">
        <v>562</v>
      </c>
      <c r="CQ141" s="22">
        <v>90.0</v>
      </c>
      <c r="CR141" s="43"/>
      <c r="CS141" s="22">
        <v>10.0</v>
      </c>
      <c r="CT141" s="22" t="s">
        <v>145</v>
      </c>
      <c r="CU141" s="43"/>
      <c r="CV141" s="43"/>
      <c r="CW141" s="43"/>
      <c r="CX141" s="43"/>
      <c r="CY141" s="43" t="b">
        <v>0</v>
      </c>
      <c r="CZ141" s="43" t="b">
        <v>0</v>
      </c>
      <c r="DA141" s="43" t="b">
        <v>0</v>
      </c>
      <c r="DB141" s="43" t="b">
        <v>0</v>
      </c>
      <c r="DC141" s="43"/>
      <c r="DD141" s="43"/>
      <c r="DE141" s="43"/>
      <c r="DF141" s="43"/>
      <c r="DG141" s="43"/>
      <c r="DH141" s="43"/>
      <c r="DI141" s="43"/>
      <c r="DJ141" s="22">
        <f>IFERROR(VLOOKUP($B141,'Лист4'!$D:$AI,27,0)," ")</f>
        <v>9</v>
      </c>
      <c r="DK141" s="22">
        <f>IFERROR(VLOOKUP($B141,'Лист4'!$D:$AI,28,0)," ")</f>
        <v>5</v>
      </c>
      <c r="DL141" s="22">
        <f>IFERROR(VLOOKUP($B141,'Лист4'!$D:$AI,29,0)," ")</f>
        <v>9</v>
      </c>
      <c r="DM141" s="22">
        <f t="shared" si="1"/>
        <v>405</v>
      </c>
      <c r="DN141" s="22">
        <f>IFERROR(VLOOKUP($B141,'Лист4'!$D:$AI,32,0)," ")</f>
        <v>0.073</v>
      </c>
      <c r="DO141" s="22"/>
      <c r="DP141" s="22"/>
      <c r="DQ141" s="22"/>
      <c r="DR141" s="22"/>
      <c r="DS141" s="22"/>
      <c r="DT141" s="22"/>
      <c r="DU141" s="22"/>
      <c r="DV141" s="22"/>
      <c r="DW141" s="22"/>
      <c r="DX141" s="22"/>
      <c r="DY141" s="22"/>
      <c r="DZ141" s="22"/>
      <c r="EA141" s="22"/>
      <c r="EB141" s="22"/>
      <c r="EC141" s="22"/>
      <c r="ED141" s="22"/>
      <c r="EE141" s="22"/>
      <c r="EF141" s="22"/>
      <c r="EG141" s="22"/>
      <c r="EH141" s="22"/>
      <c r="EI141" s="22"/>
      <c r="EJ141" s="22"/>
      <c r="EK141" s="22"/>
      <c r="EL141" s="22"/>
      <c r="EM141" s="22"/>
      <c r="EN141" s="22"/>
      <c r="EO141" s="22"/>
      <c r="EP141" s="22"/>
      <c r="EQ141" s="22"/>
      <c r="ER141" s="22"/>
      <c r="ES141" s="43"/>
      <c r="ET141" s="43"/>
      <c r="EU141" s="43"/>
      <c r="EV141" s="43"/>
      <c r="EW141" s="43"/>
      <c r="EX141" s="43"/>
      <c r="EY141" s="43"/>
      <c r="EZ141" s="43"/>
      <c r="FA141" s="43"/>
      <c r="FB141" s="43"/>
      <c r="FC141" s="43"/>
      <c r="FD141" s="43"/>
      <c r="FE141" s="43"/>
      <c r="FF141" s="43"/>
      <c r="FG141" s="43"/>
      <c r="FH141" s="43"/>
      <c r="FI141" s="43"/>
    </row>
    <row r="142" ht="18.0" customHeight="1">
      <c r="A142" s="22" t="s">
        <v>116</v>
      </c>
      <c r="B142" s="43" t="s">
        <v>2281</v>
      </c>
      <c r="C142" s="22" t="s">
        <v>283</v>
      </c>
      <c r="D142" s="22" t="s">
        <v>187</v>
      </c>
      <c r="E142" s="43" t="s">
        <v>521</v>
      </c>
      <c r="F142" s="22" t="s">
        <v>885</v>
      </c>
      <c r="G142" s="22"/>
      <c r="H142" s="22"/>
      <c r="I142" s="43"/>
      <c r="J142" s="43"/>
      <c r="K142" s="22" t="b">
        <v>1</v>
      </c>
      <c r="L142" s="22" t="b">
        <v>1</v>
      </c>
      <c r="M142" s="22" t="b">
        <v>1</v>
      </c>
      <c r="N142" s="22" t="b">
        <v>0</v>
      </c>
      <c r="O142" s="22" t="b">
        <v>0</v>
      </c>
      <c r="P142" s="22" t="b">
        <v>0</v>
      </c>
      <c r="Q142" s="22" t="b">
        <v>0</v>
      </c>
      <c r="R142" s="43"/>
      <c r="S142" s="43" t="s">
        <v>2282</v>
      </c>
      <c r="T142" s="22" t="s">
        <v>2281</v>
      </c>
      <c r="U142" s="22" t="s">
        <v>2281</v>
      </c>
      <c r="V142" s="22"/>
      <c r="W142" s="43"/>
      <c r="X142" s="43"/>
      <c r="Y142" s="43"/>
      <c r="Z142" s="43"/>
      <c r="AA142" s="22">
        <v>1.23030751E8</v>
      </c>
      <c r="AB142" s="22">
        <v>7.51282312E8</v>
      </c>
      <c r="AC142" s="22"/>
      <c r="AD142" s="22"/>
      <c r="AE142" s="22"/>
      <c r="AF142" s="43"/>
      <c r="AG142" s="43"/>
      <c r="AH142" s="43" t="s">
        <v>885</v>
      </c>
      <c r="AI142" s="22" t="s">
        <v>887</v>
      </c>
      <c r="AJ142" s="22" t="s">
        <v>2283</v>
      </c>
      <c r="AK142" s="43"/>
      <c r="AL142" s="43"/>
      <c r="AM142" s="43"/>
      <c r="AN142" s="43"/>
      <c r="AO142" s="43"/>
      <c r="AP142" s="46" t="s">
        <v>2284</v>
      </c>
      <c r="AQ142" s="46" t="s">
        <v>2285</v>
      </c>
      <c r="AR142" s="43"/>
      <c r="AS142" s="43"/>
      <c r="AT142" s="43"/>
      <c r="AU142" s="43"/>
      <c r="AV142" s="43"/>
      <c r="AW142" s="22" t="s">
        <v>361</v>
      </c>
      <c r="AX142" s="22" t="s">
        <v>2283</v>
      </c>
      <c r="AY142" s="43"/>
      <c r="AZ142" s="43"/>
      <c r="BA142" s="43"/>
      <c r="BB142" s="43"/>
      <c r="BC142" s="43"/>
      <c r="BD142" s="43" t="s">
        <v>243</v>
      </c>
      <c r="BE142" s="43" t="s">
        <v>243</v>
      </c>
      <c r="BF142" s="22" t="s">
        <v>131</v>
      </c>
      <c r="BG142" s="22" t="s">
        <v>132</v>
      </c>
      <c r="BH142" s="22" t="s">
        <v>132</v>
      </c>
      <c r="BI142" s="22" t="s">
        <v>132</v>
      </c>
      <c r="BJ142" s="43"/>
      <c r="BK142" s="43"/>
      <c r="BL142" s="22" t="s">
        <v>2286</v>
      </c>
      <c r="BM142" s="22">
        <v>2.106909808E9</v>
      </c>
      <c r="BN142" s="22" t="s">
        <v>2287</v>
      </c>
      <c r="BO142" s="22"/>
      <c r="BP142" s="22" t="s">
        <v>245</v>
      </c>
      <c r="BQ142" s="43"/>
      <c r="BR142" s="43"/>
      <c r="BS142" s="22" t="s">
        <v>2288</v>
      </c>
      <c r="BT142" s="43"/>
      <c r="BU142" s="22" t="s">
        <v>2289</v>
      </c>
      <c r="BV142" s="43" t="s">
        <v>557</v>
      </c>
      <c r="BW142" s="22" t="s">
        <v>2290</v>
      </c>
      <c r="BX142" s="22">
        <v>60.0</v>
      </c>
      <c r="BY142" s="22" t="s">
        <v>421</v>
      </c>
      <c r="BZ142" s="22"/>
      <c r="CA142" s="22" t="s">
        <v>355</v>
      </c>
      <c r="CB142" s="22" t="s">
        <v>307</v>
      </c>
      <c r="CC142" s="45" t="s">
        <v>2291</v>
      </c>
      <c r="CD142" s="43"/>
      <c r="CE142" s="43"/>
      <c r="CF142" s="45" t="s">
        <v>2292</v>
      </c>
      <c r="CG142" s="43"/>
      <c r="CH142" s="43"/>
      <c r="CI142" s="43"/>
      <c r="CJ142" s="43"/>
      <c r="CK142" s="43"/>
      <c r="CL142" s="43"/>
      <c r="CM142" s="49">
        <f>IFERROR(VLOOKUP(B142,CC!A:D,4,0)," ")</f>
        <v>194.6</v>
      </c>
      <c r="CN142" s="22" t="s">
        <v>786</v>
      </c>
      <c r="CO142" s="22"/>
      <c r="CP142" s="22" t="s">
        <v>787</v>
      </c>
      <c r="CQ142" s="22" t="s">
        <v>401</v>
      </c>
      <c r="CR142" s="43"/>
      <c r="CS142" s="22">
        <v>7.0</v>
      </c>
      <c r="CT142" s="22" t="s">
        <v>145</v>
      </c>
      <c r="CU142" s="43"/>
      <c r="CV142" s="43"/>
      <c r="CW142" s="43"/>
      <c r="CX142" s="43"/>
      <c r="CY142" s="43" t="b">
        <v>0</v>
      </c>
      <c r="CZ142" s="43" t="b">
        <v>0</v>
      </c>
      <c r="DA142" s="43" t="b">
        <v>0</v>
      </c>
      <c r="DB142" s="43" t="b">
        <v>0</v>
      </c>
      <c r="DC142" s="43"/>
      <c r="DD142" s="43"/>
      <c r="DE142" s="43"/>
      <c r="DF142" s="43"/>
      <c r="DG142" s="43"/>
      <c r="DH142" s="43"/>
      <c r="DI142" s="43"/>
      <c r="DJ142" s="22">
        <f>IFERROR(VLOOKUP($B142,'Лист4'!$D:$AI,27,0)," ")</f>
        <v>10</v>
      </c>
      <c r="DK142" s="22">
        <f>IFERROR(VLOOKUP($B142,'Лист4'!$D:$AI,28,0)," ")</f>
        <v>4</v>
      </c>
      <c r="DL142" s="22">
        <f>IFERROR(VLOOKUP($B142,'Лист4'!$D:$AI,29,0)," ")</f>
        <v>10</v>
      </c>
      <c r="DM142" s="22">
        <f t="shared" si="1"/>
        <v>400</v>
      </c>
      <c r="DN142" s="22">
        <f>IFERROR(VLOOKUP($B142,'Лист4'!$D:$AI,32,0)," ")</f>
        <v>0.045</v>
      </c>
      <c r="DO142" s="22"/>
      <c r="DP142" s="22"/>
      <c r="DQ142" s="22"/>
      <c r="DR142" s="22"/>
      <c r="DS142" s="22"/>
      <c r="DT142" s="22"/>
      <c r="DU142" s="22"/>
      <c r="DV142" s="22"/>
      <c r="DW142" s="22"/>
      <c r="DX142" s="22"/>
      <c r="DY142" s="22"/>
      <c r="DZ142" s="22"/>
      <c r="EA142" s="22"/>
      <c r="EB142" s="22"/>
      <c r="EC142" s="22"/>
      <c r="ED142" s="22"/>
      <c r="EE142" s="22"/>
      <c r="EF142" s="22"/>
      <c r="EG142" s="22"/>
      <c r="EH142" s="22"/>
      <c r="EI142" s="22"/>
      <c r="EJ142" s="22"/>
      <c r="EK142" s="22"/>
      <c r="EL142" s="22"/>
      <c r="EM142" s="22"/>
      <c r="EN142" s="22"/>
      <c r="EO142" s="22"/>
      <c r="EP142" s="22"/>
      <c r="EQ142" s="22"/>
      <c r="ER142" s="22"/>
      <c r="ES142" s="43"/>
      <c r="ET142" s="43"/>
      <c r="EU142" s="43"/>
      <c r="EV142" s="43"/>
      <c r="EW142" s="43"/>
      <c r="EX142" s="43"/>
      <c r="EY142" s="43"/>
      <c r="EZ142" s="43"/>
      <c r="FA142" s="43"/>
      <c r="FB142" s="43"/>
      <c r="FC142" s="43"/>
      <c r="FD142" s="43"/>
      <c r="FE142" s="43"/>
      <c r="FF142" s="43"/>
      <c r="FG142" s="43"/>
      <c r="FH142" s="43"/>
      <c r="FI142" s="43"/>
    </row>
    <row r="143" ht="18.0" customHeight="1">
      <c r="A143" s="22" t="s">
        <v>116</v>
      </c>
      <c r="B143" s="43" t="s">
        <v>2293</v>
      </c>
      <c r="C143" s="22" t="s">
        <v>283</v>
      </c>
      <c r="D143" s="22" t="s">
        <v>187</v>
      </c>
      <c r="E143" s="43" t="s">
        <v>521</v>
      </c>
      <c r="F143" s="22" t="s">
        <v>2294</v>
      </c>
      <c r="G143" s="22"/>
      <c r="H143" s="22"/>
      <c r="I143" s="43"/>
      <c r="J143" s="43"/>
      <c r="K143" s="22" t="b">
        <v>1</v>
      </c>
      <c r="L143" s="22" t="b">
        <v>1</v>
      </c>
      <c r="M143" s="22" t="b">
        <v>1</v>
      </c>
      <c r="N143" s="22" t="b">
        <v>1</v>
      </c>
      <c r="O143" s="22" t="b">
        <v>0</v>
      </c>
      <c r="P143" s="22" t="b">
        <v>0</v>
      </c>
      <c r="Q143" s="22" t="b">
        <v>0</v>
      </c>
      <c r="R143" s="43"/>
      <c r="S143" s="43" t="s">
        <v>2295</v>
      </c>
      <c r="T143" s="22" t="s">
        <v>2293</v>
      </c>
      <c r="U143" s="22" t="s">
        <v>2293</v>
      </c>
      <c r="V143" s="22" t="s">
        <v>2293</v>
      </c>
      <c r="W143" s="43"/>
      <c r="X143" s="43"/>
      <c r="Y143" s="43"/>
      <c r="Z143" s="43"/>
      <c r="AA143" s="22">
        <v>2.93061661E8</v>
      </c>
      <c r="AB143" s="22">
        <v>1.773844375E9</v>
      </c>
      <c r="AC143" s="22">
        <v>1.03665483133E11</v>
      </c>
      <c r="AD143" s="22"/>
      <c r="AE143" s="22"/>
      <c r="AF143" s="43"/>
      <c r="AG143" s="43"/>
      <c r="AH143" s="43" t="s">
        <v>2294</v>
      </c>
      <c r="AI143" s="22" t="s">
        <v>2296</v>
      </c>
      <c r="AJ143" s="22" t="s">
        <v>2297</v>
      </c>
      <c r="AK143" s="22" t="s">
        <v>2298</v>
      </c>
      <c r="AL143" s="43"/>
      <c r="AM143" s="43"/>
      <c r="AN143" s="43"/>
      <c r="AO143" s="43"/>
      <c r="AP143" s="46" t="s">
        <v>2299</v>
      </c>
      <c r="AQ143" s="46" t="s">
        <v>2300</v>
      </c>
      <c r="AR143" s="46" t="s">
        <v>2301</v>
      </c>
      <c r="AS143" s="43"/>
      <c r="AT143" s="43"/>
      <c r="AU143" s="43"/>
      <c r="AV143" s="43"/>
      <c r="AW143" s="22" t="s">
        <v>361</v>
      </c>
      <c r="AX143" s="22" t="s">
        <v>2297</v>
      </c>
      <c r="AY143" s="22" t="s">
        <v>372</v>
      </c>
      <c r="AZ143" s="43"/>
      <c r="BA143" s="43"/>
      <c r="BB143" s="43"/>
      <c r="BC143" s="43"/>
      <c r="BD143" s="43" t="s">
        <v>374</v>
      </c>
      <c r="BE143" s="43" t="s">
        <v>243</v>
      </c>
      <c r="BF143" s="22" t="s">
        <v>131</v>
      </c>
      <c r="BG143" s="22" t="s">
        <v>132</v>
      </c>
      <c r="BH143" s="22" t="s">
        <v>132</v>
      </c>
      <c r="BI143" s="22" t="s">
        <v>132</v>
      </c>
      <c r="BJ143" s="43"/>
      <c r="BK143" s="43"/>
      <c r="BL143" s="22" t="s">
        <v>2302</v>
      </c>
      <c r="BM143" s="22">
        <v>2.106909808E9</v>
      </c>
      <c r="BN143" s="22" t="s">
        <v>2303</v>
      </c>
      <c r="BO143" s="22"/>
      <c r="BP143" s="22" t="s">
        <v>245</v>
      </c>
      <c r="BQ143" s="43"/>
      <c r="BR143" s="43"/>
      <c r="BS143" s="22" t="s">
        <v>2304</v>
      </c>
      <c r="BT143" s="43"/>
      <c r="BU143" s="22" t="s">
        <v>2305</v>
      </c>
      <c r="BV143" s="43"/>
      <c r="BW143" s="22"/>
      <c r="BX143" s="22">
        <v>60.0</v>
      </c>
      <c r="BY143" s="22" t="s">
        <v>421</v>
      </c>
      <c r="BZ143" s="22"/>
      <c r="CA143" s="22" t="s">
        <v>165</v>
      </c>
      <c r="CB143" s="22" t="s">
        <v>165</v>
      </c>
      <c r="CC143" s="45" t="s">
        <v>2306</v>
      </c>
      <c r="CD143" s="43"/>
      <c r="CE143" s="43"/>
      <c r="CF143" s="45"/>
      <c r="CG143" s="43"/>
      <c r="CH143" s="43"/>
      <c r="CI143" s="43"/>
      <c r="CJ143" s="43"/>
      <c r="CK143" s="43"/>
      <c r="CL143" s="43"/>
      <c r="CM143" s="49">
        <f>IFERROR(VLOOKUP(B143,CC!A:D,4,0)," ")</f>
        <v>456</v>
      </c>
      <c r="CN143" s="22" t="s">
        <v>423</v>
      </c>
      <c r="CO143" s="22"/>
      <c r="CP143" s="22" t="s">
        <v>424</v>
      </c>
      <c r="CQ143" s="22">
        <v>60.0</v>
      </c>
      <c r="CR143" s="43"/>
      <c r="CS143" s="22">
        <v>3.0</v>
      </c>
      <c r="CT143" s="22" t="s">
        <v>145</v>
      </c>
      <c r="CU143" s="43"/>
      <c r="CV143" s="43"/>
      <c r="CW143" s="43"/>
      <c r="CX143" s="43"/>
      <c r="CY143" s="43" t="b">
        <v>0</v>
      </c>
      <c r="CZ143" s="43" t="b">
        <v>0</v>
      </c>
      <c r="DA143" s="43" t="b">
        <v>0</v>
      </c>
      <c r="DB143" s="43" t="b">
        <v>0</v>
      </c>
      <c r="DC143" s="43"/>
      <c r="DD143" s="43"/>
      <c r="DE143" s="43"/>
      <c r="DF143" s="43"/>
      <c r="DG143" s="43"/>
      <c r="DH143" s="43"/>
      <c r="DI143" s="43"/>
      <c r="DJ143" s="22">
        <f>IFERROR(VLOOKUP($B143,'Лист4'!$D:$AI,27,0)," ")</f>
        <v>11</v>
      </c>
      <c r="DK143" s="22">
        <f>IFERROR(VLOOKUP($B143,'Лист4'!$D:$AI,28,0)," ")</f>
        <v>6</v>
      </c>
      <c r="DL143" s="22">
        <f>IFERROR(VLOOKUP($B143,'Лист4'!$D:$AI,29,0)," ")</f>
        <v>11</v>
      </c>
      <c r="DM143" s="22">
        <f t="shared" si="1"/>
        <v>726</v>
      </c>
      <c r="DN143" s="22">
        <f>IFERROR(VLOOKUP($B143,'Лист4'!$D:$AI,32,0)," ")</f>
        <v>0.168</v>
      </c>
      <c r="DO143" s="22"/>
      <c r="DP143" s="22"/>
      <c r="DQ143" s="22"/>
      <c r="DR143" s="22"/>
      <c r="DS143" s="22"/>
      <c r="DT143" s="22"/>
      <c r="DU143" s="22"/>
      <c r="DV143" s="22"/>
      <c r="DW143" s="22"/>
      <c r="DX143" s="22"/>
      <c r="DY143" s="22"/>
      <c r="DZ143" s="22"/>
      <c r="EA143" s="22"/>
      <c r="EB143" s="22"/>
      <c r="EC143" s="22"/>
      <c r="ED143" s="22"/>
      <c r="EE143" s="22"/>
      <c r="EF143" s="22"/>
      <c r="EG143" s="22"/>
      <c r="EH143" s="22"/>
      <c r="EI143" s="22"/>
      <c r="EJ143" s="22"/>
      <c r="EK143" s="22"/>
      <c r="EL143" s="22"/>
      <c r="EM143" s="22"/>
      <c r="EN143" s="22"/>
      <c r="EO143" s="22"/>
      <c r="EP143" s="22"/>
      <c r="EQ143" s="22"/>
      <c r="ER143" s="22"/>
      <c r="ES143" s="43"/>
      <c r="ET143" s="43"/>
      <c r="EU143" s="43"/>
      <c r="EV143" s="43"/>
      <c r="EW143" s="43"/>
      <c r="EX143" s="43"/>
      <c r="EY143" s="43"/>
      <c r="EZ143" s="43"/>
      <c r="FA143" s="43"/>
      <c r="FB143" s="43"/>
      <c r="FC143" s="43"/>
      <c r="FD143" s="43"/>
      <c r="FE143" s="43"/>
      <c r="FF143" s="43"/>
      <c r="FG143" s="43"/>
      <c r="FH143" s="43"/>
      <c r="FI143" s="43"/>
    </row>
    <row r="144" ht="18.0" customHeight="1">
      <c r="A144" s="22" t="s">
        <v>116</v>
      </c>
      <c r="B144" s="43" t="s">
        <v>2307</v>
      </c>
      <c r="C144" s="22" t="s">
        <v>283</v>
      </c>
      <c r="D144" s="22" t="s">
        <v>187</v>
      </c>
      <c r="E144" s="43" t="s">
        <v>521</v>
      </c>
      <c r="F144" s="22" t="s">
        <v>2308</v>
      </c>
      <c r="G144" s="22"/>
      <c r="H144" s="22"/>
      <c r="I144" s="43"/>
      <c r="J144" s="43"/>
      <c r="K144" s="22" t="b">
        <v>1</v>
      </c>
      <c r="L144" s="22" t="b">
        <v>1</v>
      </c>
      <c r="M144" s="22" t="b">
        <v>1</v>
      </c>
      <c r="N144" s="22" t="b">
        <v>0</v>
      </c>
      <c r="O144" s="22" t="b">
        <v>0</v>
      </c>
      <c r="P144" s="22" t="b">
        <v>0</v>
      </c>
      <c r="Q144" s="22" t="b">
        <v>0</v>
      </c>
      <c r="R144" s="43"/>
      <c r="S144" s="43" t="s">
        <v>2309</v>
      </c>
      <c r="T144" s="22" t="s">
        <v>2307</v>
      </c>
      <c r="U144" s="22" t="s">
        <v>2307</v>
      </c>
      <c r="V144" s="22"/>
      <c r="W144" s="43"/>
      <c r="X144" s="43"/>
      <c r="Y144" s="43"/>
      <c r="Z144" s="43"/>
      <c r="AA144" s="22">
        <v>1.38313003E8</v>
      </c>
      <c r="AB144" s="22">
        <v>8.14830745E8</v>
      </c>
      <c r="AC144" s="22"/>
      <c r="AD144" s="22"/>
      <c r="AE144" s="22"/>
      <c r="AF144" s="43"/>
      <c r="AG144" s="43"/>
      <c r="AH144" s="43" t="s">
        <v>2308</v>
      </c>
      <c r="AI144" s="22" t="s">
        <v>2310</v>
      </c>
      <c r="AJ144" s="22" t="s">
        <v>2311</v>
      </c>
      <c r="AK144" s="43"/>
      <c r="AL144" s="43"/>
      <c r="AM144" s="43"/>
      <c r="AN144" s="43"/>
      <c r="AO144" s="43"/>
      <c r="AP144" s="46" t="s">
        <v>2312</v>
      </c>
      <c r="AQ144" s="46" t="s">
        <v>2313</v>
      </c>
      <c r="AR144" s="43"/>
      <c r="AS144" s="43"/>
      <c r="AT144" s="43"/>
      <c r="AU144" s="43"/>
      <c r="AV144" s="43"/>
      <c r="AW144" s="22" t="s">
        <v>361</v>
      </c>
      <c r="AX144" s="22" t="s">
        <v>2311</v>
      </c>
      <c r="AY144" s="43"/>
      <c r="AZ144" s="43"/>
      <c r="BA144" s="43"/>
      <c r="BB144" s="43"/>
      <c r="BC144" s="43"/>
      <c r="BD144" s="43" t="s">
        <v>401</v>
      </c>
      <c r="BE144" s="43" t="s">
        <v>243</v>
      </c>
      <c r="BF144" s="22" t="s">
        <v>131</v>
      </c>
      <c r="BG144" s="22" t="s">
        <v>132</v>
      </c>
      <c r="BH144" s="22" t="s">
        <v>132</v>
      </c>
      <c r="BI144" s="22" t="s">
        <v>132</v>
      </c>
      <c r="BJ144" s="43"/>
      <c r="BK144" s="43"/>
      <c r="BL144" s="22" t="s">
        <v>2314</v>
      </c>
      <c r="BM144" s="22">
        <v>2.106909808E9</v>
      </c>
      <c r="BN144" s="22"/>
      <c r="BO144" s="22"/>
      <c r="BP144" s="22" t="s">
        <v>245</v>
      </c>
      <c r="BQ144" s="43"/>
      <c r="BR144" s="43"/>
      <c r="BS144" s="22"/>
      <c r="BT144" s="43"/>
      <c r="BU144" s="22"/>
      <c r="BV144" s="43"/>
      <c r="BW144" s="22"/>
      <c r="BX144" s="22"/>
      <c r="BY144" s="58" t="s">
        <v>2237</v>
      </c>
      <c r="BZ144" s="58"/>
      <c r="CA144" s="22"/>
      <c r="CB144" s="22"/>
      <c r="CC144" s="45"/>
      <c r="CD144" s="43"/>
      <c r="CE144" s="43"/>
      <c r="CF144" s="45"/>
      <c r="CG144" s="43"/>
      <c r="CH144" s="43"/>
      <c r="CI144" s="43"/>
      <c r="CJ144" s="43"/>
      <c r="CK144" s="43"/>
      <c r="CL144" s="43"/>
      <c r="CM144" s="49">
        <f>IFERROR(VLOOKUP(B144,CC!A:D,4,0)," ")</f>
        <v>310.3</v>
      </c>
      <c r="CN144" s="22" t="s">
        <v>400</v>
      </c>
      <c r="CO144" s="22"/>
      <c r="CP144" s="43"/>
      <c r="CQ144" s="22" t="s">
        <v>401</v>
      </c>
      <c r="CR144" s="43"/>
      <c r="CS144" s="22">
        <v>10.0</v>
      </c>
      <c r="CT144" s="22" t="s">
        <v>145</v>
      </c>
      <c r="CU144" s="43"/>
      <c r="CV144" s="43"/>
      <c r="CW144" s="43"/>
      <c r="CX144" s="43"/>
      <c r="CY144" s="43" t="b">
        <v>0</v>
      </c>
      <c r="CZ144" s="43" t="b">
        <v>0</v>
      </c>
      <c r="DA144" s="43" t="b">
        <v>0</v>
      </c>
      <c r="DB144" s="43" t="b">
        <v>0</v>
      </c>
      <c r="DC144" s="43"/>
      <c r="DD144" s="43"/>
      <c r="DE144" s="43"/>
      <c r="DF144" s="43"/>
      <c r="DG144" s="43"/>
      <c r="DH144" s="43"/>
      <c r="DI144" s="43"/>
      <c r="DJ144" s="22">
        <f>IFERROR(VLOOKUP($B144,'Лист4'!$D:$AI,27,0)," ")</f>
        <v>14</v>
      </c>
      <c r="DK144" s="22">
        <f>IFERROR(VLOOKUP($B144,'Лист4'!$D:$AI,28,0)," ")</f>
        <v>21</v>
      </c>
      <c r="DL144" s="22">
        <f>IFERROR(VLOOKUP($B144,'Лист4'!$D:$AI,29,0)," ")</f>
        <v>14</v>
      </c>
      <c r="DM144" s="22">
        <f t="shared" si="1"/>
        <v>4116</v>
      </c>
      <c r="DN144" s="22">
        <f>IFERROR(VLOOKUP($B144,'Лист4'!$D:$AI,32,0)," ")</f>
        <v>0.075</v>
      </c>
      <c r="DO144" s="22"/>
      <c r="DP144" s="22"/>
      <c r="DQ144" s="22"/>
      <c r="DR144" s="22"/>
      <c r="DS144" s="22"/>
      <c r="DT144" s="22"/>
      <c r="DU144" s="22"/>
      <c r="DV144" s="22"/>
      <c r="DW144" s="22"/>
      <c r="DX144" s="22"/>
      <c r="DY144" s="22"/>
      <c r="DZ144" s="22"/>
      <c r="EA144" s="22"/>
      <c r="EB144" s="22"/>
      <c r="EC144" s="22"/>
      <c r="ED144" s="22"/>
      <c r="EE144" s="22"/>
      <c r="EF144" s="22"/>
      <c r="EG144" s="22"/>
      <c r="EH144" s="22"/>
      <c r="EI144" s="22"/>
      <c r="EJ144" s="22"/>
      <c r="EK144" s="22"/>
      <c r="EL144" s="22"/>
      <c r="EM144" s="22"/>
      <c r="EN144" s="22"/>
      <c r="EO144" s="22"/>
      <c r="EP144" s="22"/>
      <c r="EQ144" s="22"/>
      <c r="ER144" s="22"/>
      <c r="ES144" s="43"/>
      <c r="ET144" s="43"/>
      <c r="EU144" s="43"/>
      <c r="EV144" s="43"/>
      <c r="EW144" s="43"/>
      <c r="EX144" s="43"/>
      <c r="EY144" s="43"/>
      <c r="EZ144" s="43"/>
      <c r="FA144" s="43"/>
      <c r="FB144" s="43"/>
      <c r="FC144" s="43"/>
      <c r="FD144" s="43"/>
      <c r="FE144" s="43"/>
      <c r="FF144" s="43"/>
      <c r="FG144" s="43"/>
      <c r="FH144" s="43"/>
      <c r="FI144" s="43"/>
    </row>
    <row r="145" ht="18.0" customHeight="1">
      <c r="A145" s="22" t="s">
        <v>116</v>
      </c>
      <c r="B145" s="43" t="s">
        <v>2315</v>
      </c>
      <c r="C145" s="22" t="s">
        <v>283</v>
      </c>
      <c r="D145" s="22" t="s">
        <v>187</v>
      </c>
      <c r="E145" s="43" t="s">
        <v>521</v>
      </c>
      <c r="F145" s="22" t="s">
        <v>2316</v>
      </c>
      <c r="G145" s="22"/>
      <c r="H145" s="22"/>
      <c r="I145" s="43"/>
      <c r="J145" s="43"/>
      <c r="K145" s="22" t="b">
        <v>1</v>
      </c>
      <c r="L145" s="22" t="b">
        <v>1</v>
      </c>
      <c r="M145" s="22" t="b">
        <v>1</v>
      </c>
      <c r="N145" s="22" t="b">
        <v>0</v>
      </c>
      <c r="O145" s="22" t="b">
        <v>0</v>
      </c>
      <c r="P145" s="22" t="b">
        <v>0</v>
      </c>
      <c r="Q145" s="22" t="b">
        <v>0</v>
      </c>
      <c r="R145" s="43"/>
      <c r="S145" s="43" t="s">
        <v>2317</v>
      </c>
      <c r="T145" s="22" t="s">
        <v>2315</v>
      </c>
      <c r="U145" s="22" t="s">
        <v>2315</v>
      </c>
      <c r="V145" s="22"/>
      <c r="W145" s="43"/>
      <c r="X145" s="43"/>
      <c r="Y145" s="43"/>
      <c r="Z145" s="43"/>
      <c r="AA145" s="22">
        <v>1.48334501E8</v>
      </c>
      <c r="AB145" s="22">
        <v>8.81228424E8</v>
      </c>
      <c r="AC145" s="22"/>
      <c r="AD145" s="22"/>
      <c r="AE145" s="22"/>
      <c r="AF145" s="43"/>
      <c r="AG145" s="43"/>
      <c r="AH145" s="43" t="s">
        <v>2316</v>
      </c>
      <c r="AI145" s="22" t="s">
        <v>2318</v>
      </c>
      <c r="AJ145" s="22" t="s">
        <v>2319</v>
      </c>
      <c r="AK145" s="43"/>
      <c r="AL145" s="43"/>
      <c r="AM145" s="43"/>
      <c r="AN145" s="43"/>
      <c r="AO145" s="43"/>
      <c r="AP145" s="46" t="s">
        <v>2320</v>
      </c>
      <c r="AQ145" s="46" t="s">
        <v>2321</v>
      </c>
      <c r="AR145" s="43"/>
      <c r="AS145" s="43"/>
      <c r="AT145" s="43"/>
      <c r="AU145" s="43"/>
      <c r="AV145" s="43"/>
      <c r="AW145" s="22" t="s">
        <v>361</v>
      </c>
      <c r="AX145" s="22" t="s">
        <v>2319</v>
      </c>
      <c r="AY145" s="43"/>
      <c r="AZ145" s="43"/>
      <c r="BA145" s="43"/>
      <c r="BB145" s="43"/>
      <c r="BC145" s="43"/>
      <c r="BD145" s="43" t="s">
        <v>243</v>
      </c>
      <c r="BE145" s="43" t="s">
        <v>243</v>
      </c>
      <c r="BF145" s="22" t="s">
        <v>131</v>
      </c>
      <c r="BG145" s="22" t="s">
        <v>132</v>
      </c>
      <c r="BH145" s="22" t="s">
        <v>132</v>
      </c>
      <c r="BI145" s="22" t="s">
        <v>132</v>
      </c>
      <c r="BJ145" s="43"/>
      <c r="BK145" s="43"/>
      <c r="BL145" s="22" t="s">
        <v>2322</v>
      </c>
      <c r="BM145" s="22">
        <v>2.106909808E9</v>
      </c>
      <c r="BN145" s="22" t="s">
        <v>2323</v>
      </c>
      <c r="BO145" s="22"/>
      <c r="BP145" s="22" t="s">
        <v>245</v>
      </c>
      <c r="BQ145" s="43"/>
      <c r="BR145" s="43"/>
      <c r="BS145" s="22" t="s">
        <v>2324</v>
      </c>
      <c r="BT145" s="43"/>
      <c r="BU145" s="22" t="s">
        <v>2325</v>
      </c>
      <c r="BV145" s="43" t="s">
        <v>1114</v>
      </c>
      <c r="BW145" s="22"/>
      <c r="BX145" s="22"/>
      <c r="BY145" s="58" t="s">
        <v>2237</v>
      </c>
      <c r="BZ145" s="58"/>
      <c r="CA145" s="22"/>
      <c r="CB145" s="22"/>
      <c r="CC145" s="45" t="s">
        <v>2326</v>
      </c>
      <c r="CD145" s="43"/>
      <c r="CE145" s="43"/>
      <c r="CF145" s="45"/>
      <c r="CG145" s="43"/>
      <c r="CH145" s="43"/>
      <c r="CI145" s="43"/>
      <c r="CJ145" s="43"/>
      <c r="CK145" s="43"/>
      <c r="CL145" s="43"/>
      <c r="CM145" s="49">
        <f>IFERROR(VLOOKUP(B145,CC!A:D,4,0)," ")</f>
        <v>236.02</v>
      </c>
      <c r="CN145" s="22" t="s">
        <v>400</v>
      </c>
      <c r="CO145" s="22"/>
      <c r="CP145" s="43"/>
      <c r="CQ145" s="22" t="s">
        <v>401</v>
      </c>
      <c r="CR145" s="43"/>
      <c r="CS145" s="22">
        <v>10.0</v>
      </c>
      <c r="CT145" s="22" t="s">
        <v>145</v>
      </c>
      <c r="CU145" s="43"/>
      <c r="CV145" s="43"/>
      <c r="CW145" s="43"/>
      <c r="CX145" s="43"/>
      <c r="CY145" s="43" t="b">
        <v>0</v>
      </c>
      <c r="CZ145" s="43" t="b">
        <v>0</v>
      </c>
      <c r="DA145" s="43" t="b">
        <v>0</v>
      </c>
      <c r="DB145" s="43" t="b">
        <v>0</v>
      </c>
      <c r="DC145" s="43"/>
      <c r="DD145" s="43"/>
      <c r="DE145" s="43"/>
      <c r="DF145" s="43"/>
      <c r="DG145" s="43"/>
      <c r="DH145" s="43"/>
      <c r="DI145" s="43"/>
      <c r="DJ145" s="22">
        <f>IFERROR(VLOOKUP($B145,'Лист4'!$D:$AI,27,0)," ")</f>
        <v>14</v>
      </c>
      <c r="DK145" s="22">
        <f>IFERROR(VLOOKUP($B145,'Лист4'!$D:$AI,28,0)," ")</f>
        <v>21</v>
      </c>
      <c r="DL145" s="22">
        <f>IFERROR(VLOOKUP($B145,'Лист4'!$D:$AI,29,0)," ")</f>
        <v>14</v>
      </c>
      <c r="DM145" s="22">
        <f t="shared" si="1"/>
        <v>4116</v>
      </c>
      <c r="DN145" s="22">
        <f>IFERROR(VLOOKUP($B145,'Лист4'!$D:$AI,32,0)," ")</f>
        <v>0.092</v>
      </c>
      <c r="DO145" s="22"/>
      <c r="DP145" s="22"/>
      <c r="DQ145" s="22"/>
      <c r="DR145" s="22"/>
      <c r="DS145" s="22"/>
      <c r="DT145" s="22"/>
      <c r="DU145" s="22"/>
      <c r="DV145" s="22"/>
      <c r="DW145" s="22"/>
      <c r="DX145" s="22"/>
      <c r="DY145" s="22"/>
      <c r="DZ145" s="22"/>
      <c r="EA145" s="22"/>
      <c r="EB145" s="22"/>
      <c r="EC145" s="22"/>
      <c r="ED145" s="22"/>
      <c r="EE145" s="22"/>
      <c r="EF145" s="22"/>
      <c r="EG145" s="22"/>
      <c r="EH145" s="22"/>
      <c r="EI145" s="22"/>
      <c r="EJ145" s="22"/>
      <c r="EK145" s="22"/>
      <c r="EL145" s="22"/>
      <c r="EM145" s="22"/>
      <c r="EN145" s="22"/>
      <c r="EO145" s="22"/>
      <c r="EP145" s="22"/>
      <c r="EQ145" s="22"/>
      <c r="ER145" s="22"/>
      <c r="ES145" s="43"/>
      <c r="ET145" s="43"/>
      <c r="EU145" s="43"/>
      <c r="EV145" s="43"/>
      <c r="EW145" s="43"/>
      <c r="EX145" s="43"/>
      <c r="EY145" s="43"/>
      <c r="EZ145" s="43"/>
      <c r="FA145" s="43"/>
      <c r="FB145" s="43"/>
      <c r="FC145" s="43"/>
      <c r="FD145" s="43"/>
      <c r="FE145" s="43"/>
      <c r="FF145" s="43"/>
      <c r="FG145" s="43"/>
      <c r="FH145" s="43"/>
      <c r="FI145" s="43"/>
    </row>
    <row r="146" ht="18.0" customHeight="1">
      <c r="A146" s="22" t="s">
        <v>116</v>
      </c>
      <c r="B146" s="43" t="s">
        <v>2327</v>
      </c>
      <c r="C146" s="22" t="s">
        <v>283</v>
      </c>
      <c r="D146" s="22" t="s">
        <v>187</v>
      </c>
      <c r="E146" s="43" t="s">
        <v>521</v>
      </c>
      <c r="F146" s="22" t="s">
        <v>2328</v>
      </c>
      <c r="G146" s="22"/>
      <c r="H146" s="22"/>
      <c r="I146" s="43"/>
      <c r="J146" s="43"/>
      <c r="K146" s="22" t="b">
        <v>1</v>
      </c>
      <c r="L146" s="22" t="b">
        <v>1</v>
      </c>
      <c r="M146" s="22" t="b">
        <v>1</v>
      </c>
      <c r="N146" s="22" t="b">
        <v>0</v>
      </c>
      <c r="O146" s="22" t="b">
        <v>0</v>
      </c>
      <c r="P146" s="22" t="b">
        <v>0</v>
      </c>
      <c r="Q146" s="22" t="b">
        <v>0</v>
      </c>
      <c r="R146" s="43"/>
      <c r="S146" s="43" t="s">
        <v>2329</v>
      </c>
      <c r="T146" s="22" t="s">
        <v>2327</v>
      </c>
      <c r="U146" s="22" t="s">
        <v>2327</v>
      </c>
      <c r="V146" s="22"/>
      <c r="W146" s="43"/>
      <c r="X146" s="43"/>
      <c r="Y146" s="43"/>
      <c r="Z146" s="43"/>
      <c r="AA146" s="22">
        <v>1.48312764E8</v>
      </c>
      <c r="AB146" s="22">
        <v>8.8122843E8</v>
      </c>
      <c r="AC146" s="22"/>
      <c r="AD146" s="22"/>
      <c r="AE146" s="22"/>
      <c r="AF146" s="43"/>
      <c r="AG146" s="43"/>
      <c r="AH146" s="43" t="s">
        <v>2328</v>
      </c>
      <c r="AI146" s="22" t="s">
        <v>2318</v>
      </c>
      <c r="AJ146" s="22" t="s">
        <v>2330</v>
      </c>
      <c r="AK146" s="43"/>
      <c r="AL146" s="43"/>
      <c r="AM146" s="43"/>
      <c r="AN146" s="43"/>
      <c r="AO146" s="43"/>
      <c r="AP146" s="46" t="s">
        <v>2331</v>
      </c>
      <c r="AQ146" s="46" t="s">
        <v>2332</v>
      </c>
      <c r="AR146" s="43"/>
      <c r="AS146" s="43"/>
      <c r="AT146" s="43"/>
      <c r="AU146" s="43"/>
      <c r="AV146" s="43"/>
      <c r="AW146" s="22" t="s">
        <v>361</v>
      </c>
      <c r="AX146" s="22" t="s">
        <v>2330</v>
      </c>
      <c r="AY146" s="43"/>
      <c r="AZ146" s="43"/>
      <c r="BA146" s="43"/>
      <c r="BB146" s="43"/>
      <c r="BC146" s="43"/>
      <c r="BD146" s="43" t="s">
        <v>243</v>
      </c>
      <c r="BE146" s="43" t="s">
        <v>243</v>
      </c>
      <c r="BF146" s="22" t="s">
        <v>131</v>
      </c>
      <c r="BG146" s="22" t="s">
        <v>132</v>
      </c>
      <c r="BH146" s="22" t="s">
        <v>132</v>
      </c>
      <c r="BI146" s="22" t="s">
        <v>132</v>
      </c>
      <c r="BJ146" s="43"/>
      <c r="BK146" s="43"/>
      <c r="BL146" s="22">
        <v>4.620153901175E12</v>
      </c>
      <c r="BM146" s="22">
        <v>2.106909808E9</v>
      </c>
      <c r="BN146" s="22" t="s">
        <v>2323</v>
      </c>
      <c r="BO146" s="22"/>
      <c r="BP146" s="22" t="s">
        <v>245</v>
      </c>
      <c r="BQ146" s="43"/>
      <c r="BR146" s="43"/>
      <c r="BS146" s="22" t="s">
        <v>2324</v>
      </c>
      <c r="BT146" s="43"/>
      <c r="BU146" s="22" t="s">
        <v>2325</v>
      </c>
      <c r="BV146" s="43" t="s">
        <v>1114</v>
      </c>
      <c r="BW146" s="22" t="s">
        <v>947</v>
      </c>
      <c r="BX146" s="22">
        <v>30.0</v>
      </c>
      <c r="BY146" s="22" t="s">
        <v>492</v>
      </c>
      <c r="BZ146" s="43"/>
      <c r="CA146" s="22" t="s">
        <v>2333</v>
      </c>
      <c r="CB146" s="22" t="s">
        <v>165</v>
      </c>
      <c r="CC146" s="45" t="s">
        <v>2334</v>
      </c>
      <c r="CD146" s="43"/>
      <c r="CE146" s="43"/>
      <c r="CF146" s="45" t="s">
        <v>2335</v>
      </c>
      <c r="CG146" s="43"/>
      <c r="CH146" s="43"/>
      <c r="CI146" s="43"/>
      <c r="CJ146" s="43"/>
      <c r="CK146" s="43"/>
      <c r="CL146" s="43"/>
      <c r="CM146" s="49">
        <f>IFERROR(VLOOKUP(B146,CC!A:D,4,0)," ")</f>
        <v>118.01</v>
      </c>
      <c r="CN146" s="22" t="s">
        <v>400</v>
      </c>
      <c r="CO146" s="22"/>
      <c r="CP146" s="22" t="s">
        <v>562</v>
      </c>
      <c r="CQ146" s="22" t="s">
        <v>401</v>
      </c>
      <c r="CR146" s="43"/>
      <c r="CS146" s="22">
        <v>10.0</v>
      </c>
      <c r="CT146" s="22" t="s">
        <v>145</v>
      </c>
      <c r="CU146" s="43"/>
      <c r="CV146" s="43"/>
      <c r="CW146" s="43"/>
      <c r="CX146" s="43"/>
      <c r="CY146" s="43" t="b">
        <v>0</v>
      </c>
      <c r="CZ146" s="43" t="b">
        <v>0</v>
      </c>
      <c r="DA146" s="43" t="b">
        <v>0</v>
      </c>
      <c r="DB146" s="43" t="b">
        <v>0</v>
      </c>
      <c r="DC146" s="43"/>
      <c r="DD146" s="43"/>
      <c r="DE146" s="43"/>
      <c r="DF146" s="43"/>
      <c r="DG146" s="43"/>
      <c r="DH146" s="43"/>
      <c r="DI146" s="43"/>
      <c r="DJ146" s="22">
        <f>IFERROR(VLOOKUP($B146,'Лист4'!$D:$AI,27,0)," ")</f>
        <v>9</v>
      </c>
      <c r="DK146" s="22">
        <f>IFERROR(VLOOKUP($B146,'Лист4'!$D:$AI,28,0)," ")</f>
        <v>5</v>
      </c>
      <c r="DL146" s="22">
        <f>IFERROR(VLOOKUP($B146,'Лист4'!$D:$AI,29,0)," ")</f>
        <v>9</v>
      </c>
      <c r="DM146" s="22">
        <f t="shared" si="1"/>
        <v>405</v>
      </c>
      <c r="DN146" s="22">
        <f>IFERROR(VLOOKUP($B146,'Лист4'!$D:$AI,32,0)," ")</f>
        <v>0.046</v>
      </c>
      <c r="DO146" s="22"/>
      <c r="DP146" s="22"/>
      <c r="DQ146" s="22"/>
      <c r="DR146" s="22"/>
      <c r="DS146" s="22"/>
      <c r="DT146" s="22"/>
      <c r="DU146" s="22"/>
      <c r="DV146" s="22"/>
      <c r="DW146" s="22"/>
      <c r="DX146" s="22"/>
      <c r="DY146" s="22"/>
      <c r="DZ146" s="22"/>
      <c r="EA146" s="22"/>
      <c r="EB146" s="22"/>
      <c r="EC146" s="22"/>
      <c r="ED146" s="22"/>
      <c r="EE146" s="22"/>
      <c r="EF146" s="22"/>
      <c r="EG146" s="22"/>
      <c r="EH146" s="22"/>
      <c r="EI146" s="22"/>
      <c r="EJ146" s="22"/>
      <c r="EK146" s="22"/>
      <c r="EL146" s="22"/>
      <c r="EM146" s="22"/>
      <c r="EN146" s="22"/>
      <c r="EO146" s="22"/>
      <c r="EP146" s="22"/>
      <c r="EQ146" s="22"/>
      <c r="ER146" s="22"/>
      <c r="ES146" s="43"/>
      <c r="ET146" s="43"/>
      <c r="EU146" s="43"/>
      <c r="EV146" s="43"/>
      <c r="EW146" s="43"/>
      <c r="EX146" s="43"/>
      <c r="EY146" s="43"/>
      <c r="EZ146" s="43"/>
      <c r="FA146" s="43"/>
      <c r="FB146" s="43"/>
      <c r="FC146" s="43"/>
      <c r="FD146" s="43"/>
      <c r="FE146" s="43"/>
      <c r="FF146" s="43"/>
      <c r="FG146" s="43"/>
      <c r="FH146" s="43"/>
      <c r="FI146" s="43"/>
    </row>
    <row r="147" ht="18.0" customHeight="1">
      <c r="A147" s="22" t="s">
        <v>116</v>
      </c>
      <c r="B147" s="43" t="s">
        <v>2336</v>
      </c>
      <c r="C147" s="22" t="s">
        <v>283</v>
      </c>
      <c r="D147" s="22" t="s">
        <v>187</v>
      </c>
      <c r="E147" s="43" t="s">
        <v>521</v>
      </c>
      <c r="F147" s="22" t="s">
        <v>2337</v>
      </c>
      <c r="G147" s="22"/>
      <c r="H147" s="22"/>
      <c r="I147" s="43"/>
      <c r="J147" s="43"/>
      <c r="K147" s="22" t="b">
        <v>1</v>
      </c>
      <c r="L147" s="22" t="b">
        <v>1</v>
      </c>
      <c r="M147" s="22" t="b">
        <v>1</v>
      </c>
      <c r="N147" s="22" t="b">
        <v>1</v>
      </c>
      <c r="O147" s="22" t="b">
        <v>0</v>
      </c>
      <c r="P147" s="22" t="b">
        <v>0</v>
      </c>
      <c r="Q147" s="22" t="b">
        <v>0</v>
      </c>
      <c r="R147" s="43"/>
      <c r="S147" s="43" t="s">
        <v>2338</v>
      </c>
      <c r="T147" s="22" t="s">
        <v>2336</v>
      </c>
      <c r="U147" s="22" t="s">
        <v>2336</v>
      </c>
      <c r="V147" s="22" t="s">
        <v>2336</v>
      </c>
      <c r="W147" s="43"/>
      <c r="X147" s="43"/>
      <c r="Y147" s="43"/>
      <c r="Z147" s="43"/>
      <c r="AA147" s="22">
        <v>1.59632001E8</v>
      </c>
      <c r="AB147" s="22">
        <v>9.65078619E8</v>
      </c>
      <c r="AC147" s="22"/>
      <c r="AD147" s="22"/>
      <c r="AE147" s="22"/>
      <c r="AF147" s="43"/>
      <c r="AG147" s="43"/>
      <c r="AH147" s="43" t="s">
        <v>2337</v>
      </c>
      <c r="AI147" s="22" t="s">
        <v>2339</v>
      </c>
      <c r="AJ147" s="22" t="s">
        <v>2340</v>
      </c>
      <c r="AK147" s="43"/>
      <c r="AL147" s="43"/>
      <c r="AM147" s="43"/>
      <c r="AN147" s="43"/>
      <c r="AO147" s="43"/>
      <c r="AP147" s="46" t="s">
        <v>2341</v>
      </c>
      <c r="AQ147" s="46" t="s">
        <v>2342</v>
      </c>
      <c r="AR147" s="43"/>
      <c r="AS147" s="43"/>
      <c r="AT147" s="43"/>
      <c r="AU147" s="43"/>
      <c r="AV147" s="43"/>
      <c r="AW147" s="22" t="s">
        <v>361</v>
      </c>
      <c r="AX147" s="22" t="s">
        <v>2340</v>
      </c>
      <c r="AY147" s="43"/>
      <c r="AZ147" s="43"/>
      <c r="BA147" s="43"/>
      <c r="BB147" s="43"/>
      <c r="BC147" s="43"/>
      <c r="BD147" s="43" t="s">
        <v>194</v>
      </c>
      <c r="BE147" s="43" t="s">
        <v>243</v>
      </c>
      <c r="BF147" s="22" t="s">
        <v>131</v>
      </c>
      <c r="BG147" s="22" t="s">
        <v>132</v>
      </c>
      <c r="BH147" s="22" t="s">
        <v>132</v>
      </c>
      <c r="BI147" s="22" t="s">
        <v>132</v>
      </c>
      <c r="BJ147" s="43"/>
      <c r="BK147" s="43"/>
      <c r="BL147" s="22" t="s">
        <v>2343</v>
      </c>
      <c r="BM147" s="22">
        <v>2.106909808E9</v>
      </c>
      <c r="BN147" s="22" t="s">
        <v>2344</v>
      </c>
      <c r="BO147" s="22"/>
      <c r="BP147" s="22" t="s">
        <v>245</v>
      </c>
      <c r="BQ147" s="43"/>
      <c r="BR147" s="43"/>
      <c r="BS147" s="22" t="s">
        <v>2345</v>
      </c>
      <c r="BT147" s="43"/>
      <c r="BU147" s="22" t="s">
        <v>2346</v>
      </c>
      <c r="BV147" s="43" t="s">
        <v>2347</v>
      </c>
      <c r="BW147" s="22" t="s">
        <v>2348</v>
      </c>
      <c r="BX147" s="22">
        <v>30.0</v>
      </c>
      <c r="BY147" s="22" t="s">
        <v>492</v>
      </c>
      <c r="BZ147" s="43"/>
      <c r="CA147" s="22" t="s">
        <v>165</v>
      </c>
      <c r="CB147" s="22" t="s">
        <v>165</v>
      </c>
      <c r="CC147" s="45" t="s">
        <v>2349</v>
      </c>
      <c r="CD147" s="43"/>
      <c r="CE147" s="43"/>
      <c r="CF147" s="45" t="s">
        <v>2350</v>
      </c>
      <c r="CG147" s="43"/>
      <c r="CH147" s="43"/>
      <c r="CI147" s="43"/>
      <c r="CJ147" s="43"/>
      <c r="CK147" s="43"/>
      <c r="CL147" s="43"/>
      <c r="CM147" s="49">
        <f>IFERROR(VLOOKUP(B147,CC!A:D,4,0)," ")</f>
        <v>138.75</v>
      </c>
      <c r="CN147" s="22" t="s">
        <v>400</v>
      </c>
      <c r="CO147" s="22"/>
      <c r="CP147" s="22" t="s">
        <v>562</v>
      </c>
      <c r="CQ147" s="22">
        <v>90.0</v>
      </c>
      <c r="CR147" s="43"/>
      <c r="CS147" s="22">
        <v>10.0</v>
      </c>
      <c r="CT147" s="22" t="s">
        <v>145</v>
      </c>
      <c r="CU147" s="43"/>
      <c r="CV147" s="43"/>
      <c r="CW147" s="43"/>
      <c r="CX147" s="43"/>
      <c r="CY147" s="43" t="b">
        <v>0</v>
      </c>
      <c r="CZ147" s="43" t="b">
        <v>0</v>
      </c>
      <c r="DA147" s="43" t="b">
        <v>0</v>
      </c>
      <c r="DB147" s="43" t="b">
        <v>0</v>
      </c>
      <c r="DC147" s="43"/>
      <c r="DD147" s="43"/>
      <c r="DE147" s="43"/>
      <c r="DF147" s="43"/>
      <c r="DG147" s="43"/>
      <c r="DH147" s="43"/>
      <c r="DI147" s="43"/>
      <c r="DJ147" s="22">
        <f>IFERROR(VLOOKUP($B147,'Лист4'!$D:$AI,27,0)," ")</f>
        <v>2</v>
      </c>
      <c r="DK147" s="22">
        <f>IFERROR(VLOOKUP($B147,'Лист4'!$D:$AI,28,0)," ")</f>
        <v>10</v>
      </c>
      <c r="DL147" s="22">
        <f>IFERROR(VLOOKUP($B147,'Лист4'!$D:$AI,29,0)," ")</f>
        <v>2</v>
      </c>
      <c r="DM147" s="22">
        <f t="shared" si="1"/>
        <v>40</v>
      </c>
      <c r="DN147" s="22">
        <f>IFERROR(VLOOKUP($B147,'Лист4'!$D:$AI,32,0)," ")</f>
        <v>0.01</v>
      </c>
      <c r="DO147" s="22"/>
      <c r="DP147" s="22"/>
      <c r="DQ147" s="22"/>
      <c r="DR147" s="22"/>
      <c r="DS147" s="22"/>
      <c r="DT147" s="22"/>
      <c r="DU147" s="22"/>
      <c r="DV147" s="22"/>
      <c r="DW147" s="22"/>
      <c r="DX147" s="22"/>
      <c r="DY147" s="22"/>
      <c r="DZ147" s="22"/>
      <c r="EA147" s="22"/>
      <c r="EB147" s="22"/>
      <c r="EC147" s="22"/>
      <c r="ED147" s="22"/>
      <c r="EE147" s="22"/>
      <c r="EF147" s="22"/>
      <c r="EG147" s="22"/>
      <c r="EH147" s="22"/>
      <c r="EI147" s="22"/>
      <c r="EJ147" s="22"/>
      <c r="EK147" s="22"/>
      <c r="EL147" s="22"/>
      <c r="EM147" s="22"/>
      <c r="EN147" s="22"/>
      <c r="EO147" s="22"/>
      <c r="EP147" s="22"/>
      <c r="EQ147" s="22"/>
      <c r="ER147" s="22"/>
      <c r="ES147" s="43"/>
      <c r="ET147" s="43"/>
      <c r="EU147" s="43"/>
      <c r="EV147" s="43"/>
      <c r="EW147" s="43"/>
      <c r="EX147" s="43"/>
      <c r="EY147" s="43"/>
      <c r="EZ147" s="43"/>
      <c r="FA147" s="43"/>
      <c r="FB147" s="43"/>
      <c r="FC147" s="43"/>
      <c r="FD147" s="43"/>
      <c r="FE147" s="43"/>
      <c r="FF147" s="43"/>
      <c r="FG147" s="43"/>
      <c r="FH147" s="43"/>
      <c r="FI147" s="43"/>
    </row>
    <row r="148" ht="18.0" customHeight="1">
      <c r="A148" s="22" t="s">
        <v>116</v>
      </c>
      <c r="B148" s="43" t="s">
        <v>2351</v>
      </c>
      <c r="C148" s="22" t="s">
        <v>283</v>
      </c>
      <c r="D148" s="22" t="s">
        <v>187</v>
      </c>
      <c r="E148" s="43" t="s">
        <v>521</v>
      </c>
      <c r="F148" s="22" t="s">
        <v>2352</v>
      </c>
      <c r="G148" s="22"/>
      <c r="H148" s="22"/>
      <c r="I148" s="43"/>
      <c r="J148" s="43"/>
      <c r="K148" s="22" t="b">
        <v>1</v>
      </c>
      <c r="L148" s="22" t="b">
        <v>1</v>
      </c>
      <c r="M148" s="22" t="b">
        <v>1</v>
      </c>
      <c r="N148" s="22" t="b">
        <v>0</v>
      </c>
      <c r="O148" s="22" t="b">
        <v>0</v>
      </c>
      <c r="P148" s="22" t="b">
        <v>0</v>
      </c>
      <c r="Q148" s="22" t="b">
        <v>0</v>
      </c>
      <c r="R148" s="43"/>
      <c r="S148" s="43" t="s">
        <v>2353</v>
      </c>
      <c r="T148" s="22" t="s">
        <v>2351</v>
      </c>
      <c r="U148" s="22" t="s">
        <v>2351</v>
      </c>
      <c r="V148" s="22"/>
      <c r="W148" s="43"/>
      <c r="X148" s="43"/>
      <c r="Y148" s="43"/>
      <c r="Z148" s="43"/>
      <c r="AA148" s="22">
        <v>1.67680176E8</v>
      </c>
      <c r="AB148" s="22">
        <v>1.099704591E9</v>
      </c>
      <c r="AC148" s="22"/>
      <c r="AD148" s="22"/>
      <c r="AE148" s="22"/>
      <c r="AF148" s="43"/>
      <c r="AG148" s="43"/>
      <c r="AH148" s="43" t="s">
        <v>2352</v>
      </c>
      <c r="AI148" s="22" t="s">
        <v>2354</v>
      </c>
      <c r="AJ148" s="22" t="s">
        <v>2319</v>
      </c>
      <c r="AK148" s="43"/>
      <c r="AL148" s="43"/>
      <c r="AM148" s="43"/>
      <c r="AN148" s="43"/>
      <c r="AO148" s="43"/>
      <c r="AP148" s="46" t="s">
        <v>2355</v>
      </c>
      <c r="AQ148" s="46" t="s">
        <v>2356</v>
      </c>
      <c r="AR148" s="43"/>
      <c r="AS148" s="43"/>
      <c r="AT148" s="43"/>
      <c r="AU148" s="43"/>
      <c r="AV148" s="43"/>
      <c r="AW148" s="22" t="s">
        <v>361</v>
      </c>
      <c r="AX148" s="22" t="s">
        <v>2319</v>
      </c>
      <c r="AY148" s="43"/>
      <c r="AZ148" s="43"/>
      <c r="BA148" s="43"/>
      <c r="BB148" s="43"/>
      <c r="BC148" s="43"/>
      <c r="BD148" s="43" t="s">
        <v>243</v>
      </c>
      <c r="BE148" s="43" t="s">
        <v>243</v>
      </c>
      <c r="BF148" s="22" t="s">
        <v>131</v>
      </c>
      <c r="BG148" s="22" t="s">
        <v>132</v>
      </c>
      <c r="BH148" s="22" t="s">
        <v>132</v>
      </c>
      <c r="BI148" s="22" t="s">
        <v>132</v>
      </c>
      <c r="BJ148" s="43"/>
      <c r="BK148" s="43"/>
      <c r="BL148" s="22" t="s">
        <v>2357</v>
      </c>
      <c r="BM148" s="22">
        <v>2.106909808E9</v>
      </c>
      <c r="BN148" s="22" t="s">
        <v>2358</v>
      </c>
      <c r="BO148" s="22"/>
      <c r="BP148" s="22" t="s">
        <v>245</v>
      </c>
      <c r="BQ148" s="43"/>
      <c r="BR148" s="43"/>
      <c r="BS148" s="22" t="s">
        <v>2359</v>
      </c>
      <c r="BT148" s="43"/>
      <c r="BU148" s="22" t="s">
        <v>2360</v>
      </c>
      <c r="BV148" s="43" t="s">
        <v>1041</v>
      </c>
      <c r="BW148" s="22" t="s">
        <v>2188</v>
      </c>
      <c r="BX148" s="22">
        <v>60.0</v>
      </c>
      <c r="BY148" s="22" t="s">
        <v>492</v>
      </c>
      <c r="BZ148" s="43"/>
      <c r="CA148" s="22" t="s">
        <v>2361</v>
      </c>
      <c r="CB148" s="22" t="s">
        <v>165</v>
      </c>
      <c r="CC148" s="45"/>
      <c r="CD148" s="43"/>
      <c r="CE148" s="43"/>
      <c r="CF148" s="45"/>
      <c r="CG148" s="43"/>
      <c r="CH148" s="43"/>
      <c r="CI148" s="43"/>
      <c r="CJ148" s="43"/>
      <c r="CK148" s="43"/>
      <c r="CL148" s="43"/>
      <c r="CM148" s="49">
        <f>IFERROR(VLOOKUP(B148,CC!A:D,4,0)," ")</f>
        <v>220.88</v>
      </c>
      <c r="CN148" s="22" t="s">
        <v>2362</v>
      </c>
      <c r="CO148" s="22"/>
      <c r="CP148" s="43"/>
      <c r="CQ148" s="22">
        <v>90.0</v>
      </c>
      <c r="CR148" s="43"/>
      <c r="CS148" s="22">
        <v>10.0</v>
      </c>
      <c r="CT148" s="22" t="s">
        <v>145</v>
      </c>
      <c r="CU148" s="43"/>
      <c r="CV148" s="43"/>
      <c r="CW148" s="43"/>
      <c r="CX148" s="43"/>
      <c r="CY148" s="43" t="b">
        <v>0</v>
      </c>
      <c r="CZ148" s="43" t="b">
        <v>0</v>
      </c>
      <c r="DA148" s="43" t="b">
        <v>0</v>
      </c>
      <c r="DB148" s="43" t="b">
        <v>0</v>
      </c>
      <c r="DC148" s="43"/>
      <c r="DD148" s="43"/>
      <c r="DE148" s="43"/>
      <c r="DF148" s="43"/>
      <c r="DG148" s="43"/>
      <c r="DH148" s="43"/>
      <c r="DI148" s="43"/>
      <c r="DJ148" s="22">
        <f>IFERROR(VLOOKUP($B148,'Лист4'!$D:$AI,27,0)," ")</f>
        <v>14</v>
      </c>
      <c r="DK148" s="22">
        <f>IFERROR(VLOOKUP($B148,'Лист4'!$D:$AI,28,0)," ")</f>
        <v>21</v>
      </c>
      <c r="DL148" s="22">
        <f>IFERROR(VLOOKUP($B148,'Лист4'!$D:$AI,29,0)," ")</f>
        <v>14</v>
      </c>
      <c r="DM148" s="22">
        <f t="shared" si="1"/>
        <v>4116</v>
      </c>
      <c r="DN148" s="22">
        <f>IFERROR(VLOOKUP($B148,'Лист4'!$D:$AI,32,0)," ")</f>
        <v>0.075</v>
      </c>
      <c r="DO148" s="22"/>
      <c r="DP148" s="22"/>
      <c r="DQ148" s="22"/>
      <c r="DR148" s="22"/>
      <c r="DS148" s="22"/>
      <c r="DT148" s="22"/>
      <c r="DU148" s="22"/>
      <c r="DV148" s="22"/>
      <c r="DW148" s="22"/>
      <c r="DX148" s="22"/>
      <c r="DY148" s="22"/>
      <c r="DZ148" s="22"/>
      <c r="EA148" s="22"/>
      <c r="EB148" s="22"/>
      <c r="EC148" s="22"/>
      <c r="ED148" s="22"/>
      <c r="EE148" s="22"/>
      <c r="EF148" s="22"/>
      <c r="EG148" s="22"/>
      <c r="EH148" s="22"/>
      <c r="EI148" s="22"/>
      <c r="EJ148" s="22"/>
      <c r="EK148" s="22"/>
      <c r="EL148" s="22"/>
      <c r="EM148" s="22"/>
      <c r="EN148" s="22"/>
      <c r="EO148" s="22"/>
      <c r="EP148" s="22"/>
      <c r="EQ148" s="22"/>
      <c r="ER148" s="22"/>
      <c r="ES148" s="43"/>
      <c r="ET148" s="43"/>
      <c r="EU148" s="43"/>
      <c r="EV148" s="43"/>
      <c r="EW148" s="43"/>
      <c r="EX148" s="43"/>
      <c r="EY148" s="43"/>
      <c r="EZ148" s="43"/>
      <c r="FA148" s="43"/>
      <c r="FB148" s="43"/>
      <c r="FC148" s="43"/>
      <c r="FD148" s="43"/>
      <c r="FE148" s="43"/>
      <c r="FF148" s="43"/>
      <c r="FG148" s="43"/>
      <c r="FH148" s="43"/>
      <c r="FI148" s="43"/>
    </row>
    <row r="149" ht="18.0" customHeight="1">
      <c r="A149" s="22" t="s">
        <v>116</v>
      </c>
      <c r="B149" s="43" t="s">
        <v>2363</v>
      </c>
      <c r="C149" s="22" t="s">
        <v>283</v>
      </c>
      <c r="D149" s="22" t="s">
        <v>187</v>
      </c>
      <c r="E149" s="43" t="s">
        <v>521</v>
      </c>
      <c r="F149" s="22" t="s">
        <v>2364</v>
      </c>
      <c r="G149" s="22"/>
      <c r="H149" s="22"/>
      <c r="I149" s="43"/>
      <c r="J149" s="43"/>
      <c r="K149" s="22" t="b">
        <v>1</v>
      </c>
      <c r="L149" s="22" t="b">
        <v>1</v>
      </c>
      <c r="M149" s="22" t="b">
        <v>1</v>
      </c>
      <c r="N149" s="22" t="b">
        <v>0</v>
      </c>
      <c r="O149" s="22" t="b">
        <v>0</v>
      </c>
      <c r="P149" s="22" t="b">
        <v>0</v>
      </c>
      <c r="Q149" s="22" t="b">
        <v>0</v>
      </c>
      <c r="R149" s="43"/>
      <c r="S149" s="43" t="s">
        <v>2365</v>
      </c>
      <c r="T149" s="22" t="s">
        <v>2363</v>
      </c>
      <c r="U149" s="22" t="s">
        <v>2363</v>
      </c>
      <c r="V149" s="22"/>
      <c r="W149" s="43"/>
      <c r="X149" s="43"/>
      <c r="Y149" s="43"/>
      <c r="Z149" s="43"/>
      <c r="AA149" s="22">
        <v>1.88611559E8</v>
      </c>
      <c r="AB149" s="22">
        <v>1.286883075E9</v>
      </c>
      <c r="AC149" s="22"/>
      <c r="AD149" s="22"/>
      <c r="AE149" s="22"/>
      <c r="AF149" s="43"/>
      <c r="AG149" s="43"/>
      <c r="AH149" s="43" t="s">
        <v>2364</v>
      </c>
      <c r="AI149" s="22" t="s">
        <v>2366</v>
      </c>
      <c r="AJ149" s="22" t="s">
        <v>2367</v>
      </c>
      <c r="AK149" s="43"/>
      <c r="AL149" s="43"/>
      <c r="AM149" s="43"/>
      <c r="AN149" s="43"/>
      <c r="AO149" s="43"/>
      <c r="AP149" s="46" t="s">
        <v>2368</v>
      </c>
      <c r="AQ149" s="46" t="s">
        <v>2369</v>
      </c>
      <c r="AR149" s="43"/>
      <c r="AS149" s="43"/>
      <c r="AT149" s="43"/>
      <c r="AU149" s="43"/>
      <c r="AV149" s="43"/>
      <c r="AW149" s="22" t="s">
        <v>361</v>
      </c>
      <c r="AX149" s="22" t="s">
        <v>2367</v>
      </c>
      <c r="AY149" s="43"/>
      <c r="AZ149" s="43"/>
      <c r="BA149" s="43"/>
      <c r="BB149" s="43"/>
      <c r="BC149" s="43"/>
      <c r="BD149" s="43" t="s">
        <v>243</v>
      </c>
      <c r="BE149" s="43" t="s">
        <v>243</v>
      </c>
      <c r="BF149" s="22" t="s">
        <v>131</v>
      </c>
      <c r="BG149" s="22" t="s">
        <v>132</v>
      </c>
      <c r="BH149" s="22" t="s">
        <v>132</v>
      </c>
      <c r="BI149" s="22" t="s">
        <v>132</v>
      </c>
      <c r="BJ149" s="43"/>
      <c r="BK149" s="43"/>
      <c r="BL149" s="22">
        <v>4.620153905654E12</v>
      </c>
      <c r="BM149" s="22">
        <v>2.106909808E9</v>
      </c>
      <c r="BN149" s="22" t="s">
        <v>2370</v>
      </c>
      <c r="BO149" s="46" t="s">
        <v>2371</v>
      </c>
      <c r="BP149" s="22" t="s">
        <v>245</v>
      </c>
      <c r="BQ149" s="43"/>
      <c r="BR149" s="43"/>
      <c r="BS149" s="22" t="s">
        <v>2372</v>
      </c>
      <c r="BT149" s="43"/>
      <c r="BU149" s="22" t="s">
        <v>2373</v>
      </c>
      <c r="BV149" s="43" t="s">
        <v>1041</v>
      </c>
      <c r="BW149" s="22" t="s">
        <v>2374</v>
      </c>
      <c r="BX149" s="22">
        <v>60.0</v>
      </c>
      <c r="BY149" s="22" t="s">
        <v>492</v>
      </c>
      <c r="BZ149" s="43"/>
      <c r="CA149" s="22" t="s">
        <v>2375</v>
      </c>
      <c r="CB149" s="22" t="s">
        <v>165</v>
      </c>
      <c r="CC149" s="45" t="s">
        <v>2376</v>
      </c>
      <c r="CD149" s="43"/>
      <c r="CE149" s="43"/>
      <c r="CF149" s="45" t="s">
        <v>2377</v>
      </c>
      <c r="CG149" s="43"/>
      <c r="CH149" s="43"/>
      <c r="CI149" s="43"/>
      <c r="CJ149" s="43"/>
      <c r="CK149" s="43"/>
      <c r="CL149" s="43"/>
      <c r="CM149" s="49">
        <f>IFERROR(VLOOKUP(B149,CC!A:D,4,0)," ")</f>
        <v>328.35</v>
      </c>
      <c r="CN149" s="22" t="s">
        <v>561</v>
      </c>
      <c r="CO149" s="22"/>
      <c r="CP149" s="22" t="s">
        <v>562</v>
      </c>
      <c r="CQ149" s="22">
        <v>90.0</v>
      </c>
      <c r="CR149" s="43"/>
      <c r="CS149" s="22">
        <v>10.0</v>
      </c>
      <c r="CT149" s="22" t="s">
        <v>145</v>
      </c>
      <c r="CU149" s="43"/>
      <c r="CV149" s="43"/>
      <c r="CW149" s="43"/>
      <c r="CX149" s="43"/>
      <c r="CY149" s="43" t="b">
        <v>0</v>
      </c>
      <c r="CZ149" s="43" t="b">
        <v>0</v>
      </c>
      <c r="DA149" s="43" t="b">
        <v>0</v>
      </c>
      <c r="DB149" s="43" t="b">
        <v>0</v>
      </c>
      <c r="DC149" s="43"/>
      <c r="DD149" s="43"/>
      <c r="DE149" s="43"/>
      <c r="DF149" s="43"/>
      <c r="DG149" s="43"/>
      <c r="DH149" s="43"/>
      <c r="DI149" s="43"/>
      <c r="DJ149" s="22">
        <f>IFERROR(VLOOKUP($B149,'Лист4'!$D:$AI,27,0)," ")</f>
        <v>2</v>
      </c>
      <c r="DK149" s="22">
        <f>IFERROR(VLOOKUP($B149,'Лист4'!$D:$AI,28,0)," ")</f>
        <v>9</v>
      </c>
      <c r="DL149" s="22">
        <f>IFERROR(VLOOKUP($B149,'Лист4'!$D:$AI,29,0)," ")</f>
        <v>2</v>
      </c>
      <c r="DM149" s="22">
        <f t="shared" si="1"/>
        <v>36</v>
      </c>
      <c r="DN149" s="22">
        <f>IFERROR(VLOOKUP($B149,'Лист4'!$D:$AI,32,0)," ")</f>
        <v>0.04</v>
      </c>
      <c r="DO149" s="22"/>
      <c r="DP149" s="22"/>
      <c r="DQ149" s="22"/>
      <c r="DR149" s="22"/>
      <c r="DS149" s="22"/>
      <c r="DT149" s="22"/>
      <c r="DU149" s="22"/>
      <c r="DV149" s="22"/>
      <c r="DW149" s="22"/>
      <c r="DX149" s="22"/>
      <c r="DY149" s="22"/>
      <c r="DZ149" s="22"/>
      <c r="EA149" s="22"/>
      <c r="EB149" s="22"/>
      <c r="EC149" s="22"/>
      <c r="ED149" s="22"/>
      <c r="EE149" s="22"/>
      <c r="EF149" s="22"/>
      <c r="EG149" s="22"/>
      <c r="EH149" s="22"/>
      <c r="EI149" s="22"/>
      <c r="EJ149" s="22"/>
      <c r="EK149" s="22"/>
      <c r="EL149" s="22"/>
      <c r="EM149" s="22"/>
      <c r="EN149" s="22"/>
      <c r="EO149" s="22"/>
      <c r="EP149" s="22"/>
      <c r="EQ149" s="22"/>
      <c r="ER149" s="22"/>
      <c r="ES149" s="43"/>
      <c r="ET149" s="43"/>
      <c r="EU149" s="43"/>
      <c r="EV149" s="43"/>
      <c r="EW149" s="43"/>
      <c r="EX149" s="43"/>
      <c r="EY149" s="43"/>
      <c r="EZ149" s="43"/>
      <c r="FA149" s="43"/>
      <c r="FB149" s="43"/>
      <c r="FC149" s="43"/>
      <c r="FD149" s="43"/>
      <c r="FE149" s="43"/>
      <c r="FF149" s="43"/>
      <c r="FG149" s="43"/>
      <c r="FH149" s="43"/>
      <c r="FI149" s="43"/>
    </row>
    <row r="150" ht="18.0" customHeight="1">
      <c r="A150" s="22" t="s">
        <v>116</v>
      </c>
      <c r="B150" s="43" t="s">
        <v>2378</v>
      </c>
      <c r="C150" s="22" t="s">
        <v>283</v>
      </c>
      <c r="D150" s="22" t="s">
        <v>187</v>
      </c>
      <c r="E150" s="43" t="s">
        <v>521</v>
      </c>
      <c r="F150" s="22" t="s">
        <v>2379</v>
      </c>
      <c r="G150" s="22"/>
      <c r="H150" s="22"/>
      <c r="I150" s="43"/>
      <c r="J150" s="43"/>
      <c r="K150" s="22" t="b">
        <v>1</v>
      </c>
      <c r="L150" s="22" t="b">
        <v>1</v>
      </c>
      <c r="M150" s="22" t="b">
        <v>1</v>
      </c>
      <c r="N150" s="22" t="b">
        <v>0</v>
      </c>
      <c r="O150" s="22" t="b">
        <v>0</v>
      </c>
      <c r="P150" s="22" t="b">
        <v>0</v>
      </c>
      <c r="Q150" s="22" t="b">
        <v>0</v>
      </c>
      <c r="R150" s="43"/>
      <c r="S150" s="43" t="s">
        <v>2380</v>
      </c>
      <c r="T150" s="22" t="s">
        <v>2378</v>
      </c>
      <c r="U150" s="22" t="s">
        <v>2378</v>
      </c>
      <c r="V150" s="22"/>
      <c r="W150" s="43"/>
      <c r="X150" s="43"/>
      <c r="Y150" s="43"/>
      <c r="Z150" s="43"/>
      <c r="AA150" s="22">
        <v>1.59980276E8</v>
      </c>
      <c r="AB150" s="22">
        <v>9.67642951E8</v>
      </c>
      <c r="AC150" s="22"/>
      <c r="AD150" s="22"/>
      <c r="AE150" s="22"/>
      <c r="AF150" s="43"/>
      <c r="AG150" s="43"/>
      <c r="AH150" s="43" t="s">
        <v>2379</v>
      </c>
      <c r="AI150" s="22" t="s">
        <v>2381</v>
      </c>
      <c r="AJ150" s="22" t="s">
        <v>2382</v>
      </c>
      <c r="AK150" s="43"/>
      <c r="AL150" s="43"/>
      <c r="AM150" s="43"/>
      <c r="AN150" s="43"/>
      <c r="AO150" s="43"/>
      <c r="AP150" s="46" t="s">
        <v>2383</v>
      </c>
      <c r="AQ150" s="46" t="s">
        <v>2384</v>
      </c>
      <c r="AR150" s="43"/>
      <c r="AS150" s="43"/>
      <c r="AT150" s="43"/>
      <c r="AU150" s="43"/>
      <c r="AV150" s="43"/>
      <c r="AW150" s="22" t="s">
        <v>361</v>
      </c>
      <c r="AX150" s="22" t="s">
        <v>2382</v>
      </c>
      <c r="AY150" s="43"/>
      <c r="AZ150" s="43"/>
      <c r="BA150" s="43"/>
      <c r="BB150" s="43"/>
      <c r="BC150" s="43"/>
      <c r="BD150" s="43" t="s">
        <v>243</v>
      </c>
      <c r="BE150" s="43" t="s">
        <v>243</v>
      </c>
      <c r="BF150" s="22" t="s">
        <v>131</v>
      </c>
      <c r="BG150" s="22" t="s">
        <v>132</v>
      </c>
      <c r="BH150" s="22" t="s">
        <v>132</v>
      </c>
      <c r="BI150" s="22" t="s">
        <v>132</v>
      </c>
      <c r="BJ150" s="43"/>
      <c r="BK150" s="43"/>
      <c r="BL150" s="22" t="s">
        <v>2385</v>
      </c>
      <c r="BM150" s="22">
        <v>2.106909808E9</v>
      </c>
      <c r="BN150" s="22" t="s">
        <v>2386</v>
      </c>
      <c r="BO150" s="22"/>
      <c r="BP150" s="22" t="s">
        <v>245</v>
      </c>
      <c r="BQ150" s="43"/>
      <c r="BR150" s="43"/>
      <c r="BS150" s="22" t="s">
        <v>2387</v>
      </c>
      <c r="BT150" s="43"/>
      <c r="BU150" s="22" t="s">
        <v>2388</v>
      </c>
      <c r="BV150" s="43" t="s">
        <v>2389</v>
      </c>
      <c r="BW150" s="22" t="s">
        <v>2390</v>
      </c>
      <c r="BX150" s="22">
        <v>60.0</v>
      </c>
      <c r="BY150" s="22" t="s">
        <v>492</v>
      </c>
      <c r="BZ150" s="43"/>
      <c r="CA150" s="22" t="s">
        <v>355</v>
      </c>
      <c r="CB150" s="22" t="s">
        <v>307</v>
      </c>
      <c r="CC150" s="45" t="s">
        <v>767</v>
      </c>
      <c r="CD150" s="43"/>
      <c r="CE150" s="43"/>
      <c r="CF150" s="45" t="s">
        <v>2391</v>
      </c>
      <c r="CG150" s="43"/>
      <c r="CH150" s="43"/>
      <c r="CI150" s="43"/>
      <c r="CJ150" s="43"/>
      <c r="CK150" s="43"/>
      <c r="CL150" s="43"/>
      <c r="CM150" s="49">
        <f>IFERROR(VLOOKUP(B150,CC!A:D,4,0)," ")</f>
        <v>256</v>
      </c>
      <c r="CN150" s="22" t="s">
        <v>1118</v>
      </c>
      <c r="CO150" s="22"/>
      <c r="CP150" s="22" t="s">
        <v>1119</v>
      </c>
      <c r="CQ150" s="22">
        <v>60.0</v>
      </c>
      <c r="CR150" s="43"/>
      <c r="CS150" s="22">
        <v>5.0</v>
      </c>
      <c r="CT150" s="22" t="s">
        <v>145</v>
      </c>
      <c r="CU150" s="43"/>
      <c r="CV150" s="43"/>
      <c r="CW150" s="43"/>
      <c r="CX150" s="43"/>
      <c r="CY150" s="43" t="b">
        <v>0</v>
      </c>
      <c r="CZ150" s="43" t="b">
        <v>0</v>
      </c>
      <c r="DA150" s="43" t="b">
        <v>0</v>
      </c>
      <c r="DB150" s="43" t="b">
        <v>0</v>
      </c>
      <c r="DC150" s="43"/>
      <c r="DD150" s="43"/>
      <c r="DE150" s="43"/>
      <c r="DF150" s="43"/>
      <c r="DG150" s="43"/>
      <c r="DH150" s="43"/>
      <c r="DI150" s="43"/>
      <c r="DJ150" s="22">
        <f>IFERROR(VLOOKUP($B150,'Лист4'!$D:$AI,27,0)," ")</f>
        <v>2</v>
      </c>
      <c r="DK150" s="22">
        <f>IFERROR(VLOOKUP($B150,'Лист4'!$D:$AI,28,0)," ")</f>
        <v>10</v>
      </c>
      <c r="DL150" s="22">
        <f>IFERROR(VLOOKUP($B150,'Лист4'!$D:$AI,29,0)," ")</f>
        <v>2</v>
      </c>
      <c r="DM150" s="22">
        <f t="shared" si="1"/>
        <v>40</v>
      </c>
      <c r="DN150" s="22">
        <f>IFERROR(VLOOKUP($B150,'Лист4'!$D:$AI,32,0)," ")</f>
        <v>0.01</v>
      </c>
      <c r="DO150" s="22"/>
      <c r="DP150" s="22"/>
      <c r="DQ150" s="22"/>
      <c r="DR150" s="22"/>
      <c r="DS150" s="22"/>
      <c r="DT150" s="22"/>
      <c r="DU150" s="22"/>
      <c r="DV150" s="22"/>
      <c r="DW150" s="22"/>
      <c r="DX150" s="22"/>
      <c r="DY150" s="22"/>
      <c r="DZ150" s="22"/>
      <c r="EA150" s="22"/>
      <c r="EB150" s="22"/>
      <c r="EC150" s="22"/>
      <c r="ED150" s="22"/>
      <c r="EE150" s="22"/>
      <c r="EF150" s="22"/>
      <c r="EG150" s="22"/>
      <c r="EH150" s="22"/>
      <c r="EI150" s="22"/>
      <c r="EJ150" s="22"/>
      <c r="EK150" s="22"/>
      <c r="EL150" s="22"/>
      <c r="EM150" s="22"/>
      <c r="EN150" s="22"/>
      <c r="EO150" s="22"/>
      <c r="EP150" s="22"/>
      <c r="EQ150" s="22"/>
      <c r="ER150" s="22"/>
      <c r="ES150" s="43"/>
      <c r="ET150" s="43"/>
      <c r="EU150" s="43"/>
      <c r="EV150" s="43"/>
      <c r="EW150" s="43"/>
      <c r="EX150" s="43"/>
      <c r="EY150" s="43"/>
      <c r="EZ150" s="43"/>
      <c r="FA150" s="43"/>
      <c r="FB150" s="43"/>
      <c r="FC150" s="43"/>
      <c r="FD150" s="43"/>
      <c r="FE150" s="43"/>
      <c r="FF150" s="43"/>
      <c r="FG150" s="43"/>
      <c r="FH150" s="43"/>
      <c r="FI150" s="43"/>
    </row>
    <row r="151" ht="18.0" customHeight="1">
      <c r="A151" s="22" t="s">
        <v>116</v>
      </c>
      <c r="B151" s="43" t="s">
        <v>2392</v>
      </c>
      <c r="C151" s="22" t="s">
        <v>283</v>
      </c>
      <c r="D151" s="22" t="s">
        <v>187</v>
      </c>
      <c r="E151" s="43" t="s">
        <v>521</v>
      </c>
      <c r="F151" s="22" t="s">
        <v>2393</v>
      </c>
      <c r="G151" s="22"/>
      <c r="H151" s="22"/>
      <c r="I151" s="43"/>
      <c r="J151" s="43"/>
      <c r="K151" s="22" t="b">
        <v>1</v>
      </c>
      <c r="L151" s="22" t="b">
        <v>1</v>
      </c>
      <c r="M151" s="22" t="b">
        <v>1</v>
      </c>
      <c r="N151" s="22" t="b">
        <v>0</v>
      </c>
      <c r="O151" s="22" t="b">
        <v>0</v>
      </c>
      <c r="P151" s="22" t="b">
        <v>0</v>
      </c>
      <c r="Q151" s="22" t="b">
        <v>0</v>
      </c>
      <c r="R151" s="43"/>
      <c r="S151" s="43" t="s">
        <v>2394</v>
      </c>
      <c r="T151" s="22" t="s">
        <v>2392</v>
      </c>
      <c r="U151" s="22" t="s">
        <v>2392</v>
      </c>
      <c r="V151" s="22"/>
      <c r="W151" s="43"/>
      <c r="X151" s="43"/>
      <c r="Y151" s="43"/>
      <c r="Z151" s="43"/>
      <c r="AA151" s="22">
        <v>1.57970824E8</v>
      </c>
      <c r="AB151" s="22">
        <v>9.48290832E8</v>
      </c>
      <c r="AC151" s="22"/>
      <c r="AD151" s="22"/>
      <c r="AE151" s="22"/>
      <c r="AF151" s="43"/>
      <c r="AG151" s="43"/>
      <c r="AH151" s="43" t="s">
        <v>2393</v>
      </c>
      <c r="AI151" s="22" t="s">
        <v>2395</v>
      </c>
      <c r="AJ151" s="22" t="s">
        <v>2396</v>
      </c>
      <c r="AK151" s="43"/>
      <c r="AL151" s="43"/>
      <c r="AM151" s="43"/>
      <c r="AN151" s="43"/>
      <c r="AO151" s="43"/>
      <c r="AP151" s="46" t="s">
        <v>2397</v>
      </c>
      <c r="AQ151" s="46" t="s">
        <v>2398</v>
      </c>
      <c r="AR151" s="43"/>
      <c r="AS151" s="43"/>
      <c r="AT151" s="43"/>
      <c r="AU151" s="43"/>
      <c r="AV151" s="43"/>
      <c r="AW151" s="22" t="s">
        <v>361</v>
      </c>
      <c r="AX151" s="22" t="s">
        <v>2396</v>
      </c>
      <c r="AY151" s="43"/>
      <c r="AZ151" s="43"/>
      <c r="BA151" s="43"/>
      <c r="BB151" s="43"/>
      <c r="BC151" s="43"/>
      <c r="BD151" s="43" t="s">
        <v>243</v>
      </c>
      <c r="BE151" s="43" t="s">
        <v>243</v>
      </c>
      <c r="BF151" s="22" t="s">
        <v>131</v>
      </c>
      <c r="BG151" s="22" t="s">
        <v>132</v>
      </c>
      <c r="BH151" s="22" t="s">
        <v>132</v>
      </c>
      <c r="BI151" s="22" t="s">
        <v>132</v>
      </c>
      <c r="BJ151" s="43"/>
      <c r="BK151" s="43"/>
      <c r="BL151" s="22">
        <v>4.670110185179E12</v>
      </c>
      <c r="BM151" s="22">
        <v>2.106909808E9</v>
      </c>
      <c r="BN151" s="22" t="s">
        <v>2399</v>
      </c>
      <c r="BO151" s="22"/>
      <c r="BP151" s="22" t="s">
        <v>245</v>
      </c>
      <c r="BQ151" s="43"/>
      <c r="BR151" s="43"/>
      <c r="BS151" s="22" t="s">
        <v>2400</v>
      </c>
      <c r="BT151" s="43"/>
      <c r="BU151" s="22" t="s">
        <v>2401</v>
      </c>
      <c r="BV151" s="43" t="s">
        <v>2402</v>
      </c>
      <c r="BW151" s="22" t="s">
        <v>2403</v>
      </c>
      <c r="BX151" s="22">
        <v>180.0</v>
      </c>
      <c r="BY151" s="22" t="s">
        <v>621</v>
      </c>
      <c r="BZ151" s="22"/>
      <c r="CA151" s="22" t="s">
        <v>355</v>
      </c>
      <c r="CB151" s="22" t="s">
        <v>307</v>
      </c>
      <c r="CC151" s="45" t="s">
        <v>2404</v>
      </c>
      <c r="CD151" s="43"/>
      <c r="CE151" s="43"/>
      <c r="CF151" s="45" t="s">
        <v>2405</v>
      </c>
      <c r="CG151" s="43"/>
      <c r="CH151" s="43"/>
      <c r="CI151" s="43"/>
      <c r="CJ151" s="43"/>
      <c r="CK151" s="43"/>
      <c r="CL151" s="43"/>
      <c r="CM151" s="49">
        <f>IFERROR(VLOOKUP(B151,CC!A:D,4,0)," ")</f>
        <v>421</v>
      </c>
      <c r="CN151" s="22" t="s">
        <v>1118</v>
      </c>
      <c r="CO151" s="22"/>
      <c r="CP151" s="22" t="s">
        <v>1119</v>
      </c>
      <c r="CQ151" s="22">
        <v>60.0</v>
      </c>
      <c r="CR151" s="43"/>
      <c r="CS151" s="22">
        <v>5.0</v>
      </c>
      <c r="CT151" s="22" t="s">
        <v>145</v>
      </c>
      <c r="CU151" s="43"/>
      <c r="CV151" s="43"/>
      <c r="CW151" s="43"/>
      <c r="CX151" s="43"/>
      <c r="CY151" s="43" t="b">
        <v>0</v>
      </c>
      <c r="CZ151" s="43" t="b">
        <v>0</v>
      </c>
      <c r="DA151" s="43" t="b">
        <v>0</v>
      </c>
      <c r="DB151" s="43" t="b">
        <v>0</v>
      </c>
      <c r="DC151" s="43"/>
      <c r="DD151" s="43"/>
      <c r="DE151" s="43"/>
      <c r="DF151" s="43"/>
      <c r="DG151" s="43"/>
      <c r="DH151" s="43"/>
      <c r="DI151" s="43"/>
      <c r="DJ151" s="22">
        <f>IFERROR(VLOOKUP($B151,'Лист4'!$D:$AI,27,0)," ")</f>
        <v>7</v>
      </c>
      <c r="DK151" s="22">
        <f>IFERROR(VLOOKUP($B151,'Лист4'!$D:$AI,28,0)," ")</f>
        <v>12</v>
      </c>
      <c r="DL151" s="22">
        <f>IFERROR(VLOOKUP($B151,'Лист4'!$D:$AI,29,0)," ")</f>
        <v>7</v>
      </c>
      <c r="DM151" s="22">
        <f t="shared" si="1"/>
        <v>588</v>
      </c>
      <c r="DN151" s="22">
        <f>IFERROR(VLOOKUP($B151,'Лист4'!$D:$AI,32,0)," ")</f>
        <v>0.01</v>
      </c>
      <c r="DO151" s="22"/>
      <c r="DP151" s="22"/>
      <c r="DQ151" s="22"/>
      <c r="DR151" s="22"/>
      <c r="DS151" s="22"/>
      <c r="DT151" s="22"/>
      <c r="DU151" s="22"/>
      <c r="DV151" s="22"/>
      <c r="DW151" s="22"/>
      <c r="DX151" s="22"/>
      <c r="DY151" s="22"/>
      <c r="DZ151" s="22"/>
      <c r="EA151" s="22"/>
      <c r="EB151" s="22"/>
      <c r="EC151" s="22"/>
      <c r="ED151" s="22"/>
      <c r="EE151" s="22"/>
      <c r="EF151" s="22"/>
      <c r="EG151" s="22"/>
      <c r="EH151" s="22"/>
      <c r="EI151" s="22"/>
      <c r="EJ151" s="22"/>
      <c r="EK151" s="22"/>
      <c r="EL151" s="22"/>
      <c r="EM151" s="22"/>
      <c r="EN151" s="22"/>
      <c r="EO151" s="22"/>
      <c r="EP151" s="22"/>
      <c r="EQ151" s="22"/>
      <c r="ER151" s="22"/>
      <c r="ES151" s="43"/>
      <c r="ET151" s="43"/>
      <c r="EU151" s="43"/>
      <c r="EV151" s="43"/>
      <c r="EW151" s="43"/>
      <c r="EX151" s="43"/>
      <c r="EY151" s="43"/>
      <c r="EZ151" s="43"/>
      <c r="FA151" s="43"/>
      <c r="FB151" s="43"/>
      <c r="FC151" s="43"/>
      <c r="FD151" s="43"/>
      <c r="FE151" s="43"/>
      <c r="FF151" s="43"/>
      <c r="FG151" s="43"/>
      <c r="FH151" s="43"/>
      <c r="FI151" s="43"/>
    </row>
    <row r="152" ht="18.0" customHeight="1">
      <c r="A152" s="22" t="s">
        <v>116</v>
      </c>
      <c r="B152" s="43" t="s">
        <v>2406</v>
      </c>
      <c r="C152" s="22" t="s">
        <v>283</v>
      </c>
      <c r="D152" s="22" t="s">
        <v>187</v>
      </c>
      <c r="E152" s="43" t="s">
        <v>521</v>
      </c>
      <c r="F152" s="22" t="s">
        <v>2407</v>
      </c>
      <c r="G152" s="22"/>
      <c r="H152" s="22"/>
      <c r="I152" s="43"/>
      <c r="J152" s="43"/>
      <c r="K152" s="22" t="b">
        <v>1</v>
      </c>
      <c r="L152" s="22" t="b">
        <v>1</v>
      </c>
      <c r="M152" s="22" t="b">
        <v>1</v>
      </c>
      <c r="N152" s="22" t="b">
        <v>0</v>
      </c>
      <c r="O152" s="22" t="b">
        <v>0</v>
      </c>
      <c r="P152" s="22" t="b">
        <v>0</v>
      </c>
      <c r="Q152" s="22" t="b">
        <v>0</v>
      </c>
      <c r="R152" s="43"/>
      <c r="S152" s="43" t="s">
        <v>2408</v>
      </c>
      <c r="T152" s="22" t="s">
        <v>2406</v>
      </c>
      <c r="U152" s="22" t="s">
        <v>2406</v>
      </c>
      <c r="V152" s="22"/>
      <c r="W152" s="43"/>
      <c r="X152" s="43"/>
      <c r="Y152" s="43"/>
      <c r="Z152" s="43"/>
      <c r="AA152" s="22">
        <v>1.58306407E8</v>
      </c>
      <c r="AB152" s="22">
        <v>9.50391195E8</v>
      </c>
      <c r="AC152" s="22"/>
      <c r="AD152" s="22"/>
      <c r="AE152" s="22"/>
      <c r="AF152" s="43"/>
      <c r="AG152" s="43"/>
      <c r="AH152" s="43" t="s">
        <v>2407</v>
      </c>
      <c r="AI152" s="22" t="s">
        <v>2409</v>
      </c>
      <c r="AJ152" s="22" t="s">
        <v>2410</v>
      </c>
      <c r="AK152" s="43"/>
      <c r="AL152" s="43"/>
      <c r="AM152" s="43"/>
      <c r="AN152" s="43"/>
      <c r="AO152" s="43"/>
      <c r="AP152" s="46" t="s">
        <v>2411</v>
      </c>
      <c r="AQ152" s="46" t="s">
        <v>2412</v>
      </c>
      <c r="AR152" s="43"/>
      <c r="AS152" s="43"/>
      <c r="AT152" s="43"/>
      <c r="AU152" s="43"/>
      <c r="AV152" s="43"/>
      <c r="AW152" s="22" t="s">
        <v>361</v>
      </c>
      <c r="AX152" s="22" t="s">
        <v>2410</v>
      </c>
      <c r="AY152" s="43"/>
      <c r="AZ152" s="43"/>
      <c r="BA152" s="43"/>
      <c r="BB152" s="43"/>
      <c r="BC152" s="43"/>
      <c r="BD152" s="43" t="s">
        <v>243</v>
      </c>
      <c r="BE152" s="43" t="s">
        <v>243</v>
      </c>
      <c r="BF152" s="22" t="s">
        <v>131</v>
      </c>
      <c r="BG152" s="22" t="s">
        <v>132</v>
      </c>
      <c r="BH152" s="22" t="s">
        <v>132</v>
      </c>
      <c r="BI152" s="22" t="s">
        <v>132</v>
      </c>
      <c r="BJ152" s="43"/>
      <c r="BK152" s="43"/>
      <c r="BL152" s="22">
        <v>4.603335716019E12</v>
      </c>
      <c r="BM152" s="22">
        <v>2.106909808E9</v>
      </c>
      <c r="BN152" s="22" t="s">
        <v>2413</v>
      </c>
      <c r="BO152" s="22"/>
      <c r="BP152" s="22" t="s">
        <v>245</v>
      </c>
      <c r="BQ152" s="43"/>
      <c r="BR152" s="43"/>
      <c r="BS152" s="22" t="s">
        <v>2414</v>
      </c>
      <c r="BT152" s="43"/>
      <c r="BU152" s="22" t="s">
        <v>512</v>
      </c>
      <c r="BV152" s="43" t="s">
        <v>2415</v>
      </c>
      <c r="BW152" s="22" t="s">
        <v>514</v>
      </c>
      <c r="BX152" s="22">
        <v>90.0</v>
      </c>
      <c r="BY152" s="22" t="s">
        <v>492</v>
      </c>
      <c r="BZ152" s="43"/>
      <c r="CA152" s="22" t="s">
        <v>355</v>
      </c>
      <c r="CB152" s="22" t="s">
        <v>307</v>
      </c>
      <c r="CC152" s="45" t="s">
        <v>2416</v>
      </c>
      <c r="CD152" s="43"/>
      <c r="CE152" s="43"/>
      <c r="CF152" s="45" t="s">
        <v>2417</v>
      </c>
      <c r="CG152" s="43"/>
      <c r="CH152" s="43"/>
      <c r="CI152" s="43"/>
      <c r="CJ152" s="43"/>
      <c r="CK152" s="43"/>
      <c r="CL152" s="43"/>
      <c r="CM152" s="49">
        <f>IFERROR(VLOOKUP(B152,CC!A:D,4,0)," ")</f>
        <v>226</v>
      </c>
      <c r="CN152" s="22" t="s">
        <v>518</v>
      </c>
      <c r="CO152" s="22"/>
      <c r="CP152" s="22" t="s">
        <v>519</v>
      </c>
      <c r="CQ152" s="22">
        <v>60.0</v>
      </c>
      <c r="CR152" s="43"/>
      <c r="CS152" s="22">
        <v>1.0</v>
      </c>
      <c r="CT152" s="22" t="s">
        <v>145</v>
      </c>
      <c r="CU152" s="43"/>
      <c r="CV152" s="43"/>
      <c r="CW152" s="43"/>
      <c r="CX152" s="43"/>
      <c r="CY152" s="43" t="b">
        <v>0</v>
      </c>
      <c r="CZ152" s="43" t="b">
        <v>0</v>
      </c>
      <c r="DA152" s="43" t="b">
        <v>0</v>
      </c>
      <c r="DB152" s="43" t="b">
        <v>0</v>
      </c>
      <c r="DC152" s="43"/>
      <c r="DD152" s="43"/>
      <c r="DE152" s="43"/>
      <c r="DF152" s="43"/>
      <c r="DG152" s="43"/>
      <c r="DH152" s="43"/>
      <c r="DI152" s="43"/>
      <c r="DJ152" s="22">
        <f>IFERROR(VLOOKUP($B152,'Лист4'!$D:$AI,27,0)," ")</f>
        <v>9</v>
      </c>
      <c r="DK152" s="22">
        <f>IFERROR(VLOOKUP($B152,'Лист4'!$D:$AI,28,0)," ")</f>
        <v>5</v>
      </c>
      <c r="DL152" s="22">
        <f>IFERROR(VLOOKUP($B152,'Лист4'!$D:$AI,29,0)," ")</f>
        <v>9</v>
      </c>
      <c r="DM152" s="22">
        <f t="shared" si="1"/>
        <v>405</v>
      </c>
      <c r="DN152" s="22">
        <f>IFERROR(VLOOKUP($B152,'Лист4'!$D:$AI,32,0)," ")</f>
        <v>0.01</v>
      </c>
      <c r="DO152" s="22"/>
      <c r="DP152" s="22"/>
      <c r="DQ152" s="22"/>
      <c r="DR152" s="22"/>
      <c r="DS152" s="22"/>
      <c r="DT152" s="22"/>
      <c r="DU152" s="22"/>
      <c r="DV152" s="22"/>
      <c r="DW152" s="22"/>
      <c r="DX152" s="22"/>
      <c r="DY152" s="22"/>
      <c r="DZ152" s="22"/>
      <c r="EA152" s="22"/>
      <c r="EB152" s="22"/>
      <c r="EC152" s="22"/>
      <c r="ED152" s="22"/>
      <c r="EE152" s="22"/>
      <c r="EF152" s="22"/>
      <c r="EG152" s="22"/>
      <c r="EH152" s="22"/>
      <c r="EI152" s="22"/>
      <c r="EJ152" s="22"/>
      <c r="EK152" s="22"/>
      <c r="EL152" s="22"/>
      <c r="EM152" s="22"/>
      <c r="EN152" s="22"/>
      <c r="EO152" s="22"/>
      <c r="EP152" s="22"/>
      <c r="EQ152" s="22"/>
      <c r="ER152" s="22"/>
      <c r="ES152" s="43"/>
      <c r="ET152" s="43"/>
      <c r="EU152" s="43"/>
      <c r="EV152" s="43"/>
      <c r="EW152" s="43"/>
      <c r="EX152" s="43"/>
      <c r="EY152" s="43"/>
      <c r="EZ152" s="43"/>
      <c r="FA152" s="43"/>
      <c r="FB152" s="43"/>
      <c r="FC152" s="43"/>
      <c r="FD152" s="43"/>
      <c r="FE152" s="43"/>
      <c r="FF152" s="43"/>
      <c r="FG152" s="43"/>
      <c r="FH152" s="43"/>
      <c r="FI152" s="43"/>
    </row>
    <row r="153" ht="18.0" customHeight="1">
      <c r="A153" s="22" t="s">
        <v>116</v>
      </c>
      <c r="B153" s="43" t="s">
        <v>2418</v>
      </c>
      <c r="C153" s="22" t="s">
        <v>283</v>
      </c>
      <c r="D153" s="22" t="s">
        <v>187</v>
      </c>
      <c r="E153" s="43" t="s">
        <v>521</v>
      </c>
      <c r="F153" s="22" t="s">
        <v>2419</v>
      </c>
      <c r="G153" s="22"/>
      <c r="H153" s="22"/>
      <c r="I153" s="43"/>
      <c r="J153" s="43"/>
      <c r="K153" s="22" t="b">
        <v>1</v>
      </c>
      <c r="L153" s="22" t="b">
        <v>1</v>
      </c>
      <c r="M153" s="22" t="b">
        <v>1</v>
      </c>
      <c r="N153" s="22" t="b">
        <v>0</v>
      </c>
      <c r="O153" s="22" t="b">
        <v>0</v>
      </c>
      <c r="P153" s="22" t="b">
        <v>0</v>
      </c>
      <c r="Q153" s="22" t="b">
        <v>0</v>
      </c>
      <c r="R153" s="43"/>
      <c r="S153" s="43" t="s">
        <v>2420</v>
      </c>
      <c r="T153" s="22" t="s">
        <v>2418</v>
      </c>
      <c r="U153" s="22" t="s">
        <v>2418</v>
      </c>
      <c r="V153" s="22"/>
      <c r="W153" s="43"/>
      <c r="X153" s="43"/>
      <c r="Y153" s="43"/>
      <c r="Z153" s="43"/>
      <c r="AA153" s="22">
        <v>1.63758027E8</v>
      </c>
      <c r="AB153" s="22">
        <v>1.020776527E9</v>
      </c>
      <c r="AC153" s="22"/>
      <c r="AD153" s="22"/>
      <c r="AE153" s="22"/>
      <c r="AF153" s="43"/>
      <c r="AG153" s="43"/>
      <c r="AH153" s="43" t="s">
        <v>2419</v>
      </c>
      <c r="AI153" s="22" t="s">
        <v>2421</v>
      </c>
      <c r="AJ153" s="22" t="s">
        <v>2422</v>
      </c>
      <c r="AK153" s="43"/>
      <c r="AL153" s="43"/>
      <c r="AM153" s="43"/>
      <c r="AN153" s="43"/>
      <c r="AO153" s="43"/>
      <c r="AP153" s="46" t="s">
        <v>2423</v>
      </c>
      <c r="AQ153" s="46" t="s">
        <v>2424</v>
      </c>
      <c r="AR153" s="43"/>
      <c r="AS153" s="43"/>
      <c r="AT153" s="43"/>
      <c r="AU153" s="43"/>
      <c r="AV153" s="43"/>
      <c r="AW153" s="22" t="s">
        <v>361</v>
      </c>
      <c r="AX153" s="22" t="s">
        <v>2422</v>
      </c>
      <c r="AY153" s="43"/>
      <c r="AZ153" s="43"/>
      <c r="BA153" s="43"/>
      <c r="BB153" s="43"/>
      <c r="BC153" s="43"/>
      <c r="BD153" s="43" t="s">
        <v>243</v>
      </c>
      <c r="BE153" s="43" t="s">
        <v>243</v>
      </c>
      <c r="BF153" s="22" t="s">
        <v>131</v>
      </c>
      <c r="BG153" s="22" t="s">
        <v>132</v>
      </c>
      <c r="BH153" s="22" t="s">
        <v>132</v>
      </c>
      <c r="BI153" s="22" t="s">
        <v>132</v>
      </c>
      <c r="BJ153" s="43"/>
      <c r="BK153" s="43"/>
      <c r="BL153" s="22" t="s">
        <v>2425</v>
      </c>
      <c r="BM153" s="22">
        <v>2.106909808E9</v>
      </c>
      <c r="BN153" s="22" t="s">
        <v>2426</v>
      </c>
      <c r="BO153" s="22"/>
      <c r="BP153" s="22" t="s">
        <v>245</v>
      </c>
      <c r="BQ153" s="43"/>
      <c r="BR153" s="43"/>
      <c r="BS153" s="22" t="s">
        <v>2427</v>
      </c>
      <c r="BT153" s="43"/>
      <c r="BU153" s="22" t="s">
        <v>2428</v>
      </c>
      <c r="BV153" s="43" t="s">
        <v>557</v>
      </c>
      <c r="BW153" s="22" t="s">
        <v>2348</v>
      </c>
      <c r="BX153" s="22">
        <v>60.0</v>
      </c>
      <c r="BY153" s="22" t="s">
        <v>492</v>
      </c>
      <c r="BZ153" s="43"/>
      <c r="CA153" s="22" t="s">
        <v>355</v>
      </c>
      <c r="CB153" s="22" t="s">
        <v>307</v>
      </c>
      <c r="CC153" s="45" t="s">
        <v>2429</v>
      </c>
      <c r="CD153" s="43"/>
      <c r="CE153" s="43"/>
      <c r="CF153" s="45" t="s">
        <v>2430</v>
      </c>
      <c r="CG153" s="43"/>
      <c r="CH153" s="43"/>
      <c r="CI153" s="43"/>
      <c r="CJ153" s="43"/>
      <c r="CK153" s="43"/>
      <c r="CL153" s="43"/>
      <c r="CM153" s="49">
        <f>IFERROR(VLOOKUP(B153,CC!A:D,4,0)," ")</f>
        <v>343.7</v>
      </c>
      <c r="CN153" s="22" t="s">
        <v>400</v>
      </c>
      <c r="CO153" s="22"/>
      <c r="CP153" s="22" t="s">
        <v>562</v>
      </c>
      <c r="CQ153" s="22">
        <v>90.0</v>
      </c>
      <c r="CR153" s="43"/>
      <c r="CS153" s="22">
        <v>10.0</v>
      </c>
      <c r="CT153" s="22" t="s">
        <v>145</v>
      </c>
      <c r="CU153" s="43"/>
      <c r="CV153" s="43"/>
      <c r="CW153" s="43"/>
      <c r="CX153" s="43"/>
      <c r="CY153" s="43" t="b">
        <v>0</v>
      </c>
      <c r="CZ153" s="43" t="b">
        <v>0</v>
      </c>
      <c r="DA153" s="43" t="b">
        <v>0</v>
      </c>
      <c r="DB153" s="43" t="b">
        <v>0</v>
      </c>
      <c r="DC153" s="43"/>
      <c r="DD153" s="43"/>
      <c r="DE153" s="43"/>
      <c r="DF153" s="43"/>
      <c r="DG153" s="43"/>
      <c r="DH153" s="43"/>
      <c r="DI153" s="43"/>
      <c r="DJ153" s="22">
        <f>IFERROR(VLOOKUP($B153,'Лист4'!$D:$AI,27,0)," ")</f>
        <v>9</v>
      </c>
      <c r="DK153" s="22">
        <f>IFERROR(VLOOKUP($B153,'Лист4'!$D:$AI,28,0)," ")</f>
        <v>4</v>
      </c>
      <c r="DL153" s="22">
        <f>IFERROR(VLOOKUP($B153,'Лист4'!$D:$AI,29,0)," ")</f>
        <v>9</v>
      </c>
      <c r="DM153" s="22">
        <f t="shared" si="1"/>
        <v>324</v>
      </c>
      <c r="DN153" s="22">
        <f>IFERROR(VLOOKUP($B153,'Лист4'!$D:$AI,32,0)," ")</f>
        <v>0.062</v>
      </c>
      <c r="DO153" s="22"/>
      <c r="DP153" s="22"/>
      <c r="DQ153" s="22"/>
      <c r="DR153" s="22"/>
      <c r="DS153" s="22"/>
      <c r="DT153" s="22"/>
      <c r="DU153" s="22"/>
      <c r="DV153" s="22"/>
      <c r="DW153" s="22"/>
      <c r="DX153" s="22"/>
      <c r="DY153" s="22"/>
      <c r="DZ153" s="22"/>
      <c r="EA153" s="22"/>
      <c r="EB153" s="22"/>
      <c r="EC153" s="22"/>
      <c r="ED153" s="22"/>
      <c r="EE153" s="22"/>
      <c r="EF153" s="22"/>
      <c r="EG153" s="22"/>
      <c r="EH153" s="22"/>
      <c r="EI153" s="22"/>
      <c r="EJ153" s="22"/>
      <c r="EK153" s="22"/>
      <c r="EL153" s="22"/>
      <c r="EM153" s="22"/>
      <c r="EN153" s="22"/>
      <c r="EO153" s="22"/>
      <c r="EP153" s="22"/>
      <c r="EQ153" s="22"/>
      <c r="ER153" s="22"/>
      <c r="ES153" s="43"/>
      <c r="ET153" s="43"/>
      <c r="EU153" s="43"/>
      <c r="EV153" s="43"/>
      <c r="EW153" s="43"/>
      <c r="EX153" s="43"/>
      <c r="EY153" s="43"/>
      <c r="EZ153" s="43"/>
      <c r="FA153" s="43"/>
      <c r="FB153" s="43"/>
      <c r="FC153" s="43"/>
      <c r="FD153" s="43"/>
      <c r="FE153" s="43"/>
      <c r="FF153" s="43"/>
      <c r="FG153" s="43"/>
      <c r="FH153" s="43"/>
      <c r="FI153" s="43"/>
    </row>
    <row r="154" ht="18.0" customHeight="1">
      <c r="A154" s="22" t="s">
        <v>116</v>
      </c>
      <c r="B154" s="43" t="s">
        <v>2431</v>
      </c>
      <c r="C154" s="22" t="s">
        <v>283</v>
      </c>
      <c r="D154" s="22" t="s">
        <v>187</v>
      </c>
      <c r="E154" s="43" t="s">
        <v>521</v>
      </c>
      <c r="F154" s="22" t="s">
        <v>2432</v>
      </c>
      <c r="G154" s="22"/>
      <c r="H154" s="22"/>
      <c r="I154" s="43"/>
      <c r="J154" s="43"/>
      <c r="K154" s="22" t="b">
        <v>1</v>
      </c>
      <c r="L154" s="22" t="b">
        <v>1</v>
      </c>
      <c r="M154" s="22" t="b">
        <v>1</v>
      </c>
      <c r="N154" s="22" t="b">
        <v>0</v>
      </c>
      <c r="O154" s="22" t="b">
        <v>0</v>
      </c>
      <c r="P154" s="22" t="b">
        <v>0</v>
      </c>
      <c r="Q154" s="22" t="b">
        <v>0</v>
      </c>
      <c r="R154" s="43"/>
      <c r="S154" s="43" t="s">
        <v>2433</v>
      </c>
      <c r="T154" s="22" t="s">
        <v>2431</v>
      </c>
      <c r="U154" s="22" t="s">
        <v>2431</v>
      </c>
      <c r="V154" s="22"/>
      <c r="W154" s="43"/>
      <c r="X154" s="43"/>
      <c r="Y154" s="43"/>
      <c r="Z154" s="43"/>
      <c r="AA154" s="22">
        <v>1.59661866E8</v>
      </c>
      <c r="AB154" s="22">
        <v>9.66794115E8</v>
      </c>
      <c r="AC154" s="22"/>
      <c r="AD154" s="22"/>
      <c r="AE154" s="22"/>
      <c r="AF154" s="43"/>
      <c r="AG154" s="43"/>
      <c r="AH154" s="43" t="s">
        <v>2432</v>
      </c>
      <c r="AI154" s="22" t="s">
        <v>2434</v>
      </c>
      <c r="AJ154" s="22" t="s">
        <v>2435</v>
      </c>
      <c r="AK154" s="43"/>
      <c r="AL154" s="43"/>
      <c r="AM154" s="43"/>
      <c r="AN154" s="43"/>
      <c r="AO154" s="43"/>
      <c r="AP154" s="46" t="s">
        <v>2436</v>
      </c>
      <c r="AQ154" s="46" t="s">
        <v>2437</v>
      </c>
      <c r="AR154" s="43"/>
      <c r="AS154" s="43"/>
      <c r="AT154" s="43"/>
      <c r="AU154" s="43"/>
      <c r="AV154" s="43"/>
      <c r="AW154" s="22" t="s">
        <v>2438</v>
      </c>
      <c r="AX154" s="22" t="s">
        <v>2435</v>
      </c>
      <c r="AY154" s="43"/>
      <c r="AZ154" s="43"/>
      <c r="BA154" s="43"/>
      <c r="BB154" s="43"/>
      <c r="BC154" s="43"/>
      <c r="BD154" s="43" t="s">
        <v>243</v>
      </c>
      <c r="BE154" s="43" t="s">
        <v>243</v>
      </c>
      <c r="BF154" s="22" t="s">
        <v>131</v>
      </c>
      <c r="BG154" s="22" t="s">
        <v>132</v>
      </c>
      <c r="BH154" s="22" t="s">
        <v>132</v>
      </c>
      <c r="BI154" s="22" t="s">
        <v>132</v>
      </c>
      <c r="BJ154" s="43"/>
      <c r="BK154" s="43"/>
      <c r="BL154" s="22">
        <v>4.620153902448E12</v>
      </c>
      <c r="BM154" s="22">
        <v>2.106909808E9</v>
      </c>
      <c r="BN154" s="22" t="s">
        <v>2439</v>
      </c>
      <c r="BO154" s="22"/>
      <c r="BP154" s="22" t="s">
        <v>245</v>
      </c>
      <c r="BQ154" s="43"/>
      <c r="BR154" s="43"/>
      <c r="BS154" s="22" t="s">
        <v>2440</v>
      </c>
      <c r="BT154" s="43"/>
      <c r="BU154" s="22" t="s">
        <v>2441</v>
      </c>
      <c r="BV154" s="43" t="s">
        <v>557</v>
      </c>
      <c r="BW154" s="22" t="s">
        <v>848</v>
      </c>
      <c r="BX154" s="22">
        <v>60.0</v>
      </c>
      <c r="BY154" s="22" t="s">
        <v>492</v>
      </c>
      <c r="BZ154" s="43"/>
      <c r="CA154" s="22" t="s">
        <v>355</v>
      </c>
      <c r="CB154" s="22" t="s">
        <v>307</v>
      </c>
      <c r="CC154" s="45" t="s">
        <v>2442</v>
      </c>
      <c r="CD154" s="43"/>
      <c r="CE154" s="43"/>
      <c r="CF154" s="45" t="s">
        <v>2443</v>
      </c>
      <c r="CG154" s="43"/>
      <c r="CH154" s="43"/>
      <c r="CI154" s="43"/>
      <c r="CJ154" s="43"/>
      <c r="CK154" s="43"/>
      <c r="CL154" s="43"/>
      <c r="CM154" s="49">
        <f>IFERROR(VLOOKUP(B154,CC!A:D,4,0)," ")</f>
        <v>229.06</v>
      </c>
      <c r="CN154" s="22" t="s">
        <v>400</v>
      </c>
      <c r="CO154" s="22"/>
      <c r="CP154" s="22" t="s">
        <v>562</v>
      </c>
      <c r="CQ154" s="22">
        <v>90.0</v>
      </c>
      <c r="CR154" s="43"/>
      <c r="CS154" s="22">
        <v>10.0</v>
      </c>
      <c r="CT154" s="22" t="s">
        <v>145</v>
      </c>
      <c r="CU154" s="43"/>
      <c r="CV154" s="43"/>
      <c r="CW154" s="43"/>
      <c r="CX154" s="43"/>
      <c r="CY154" s="43" t="b">
        <v>0</v>
      </c>
      <c r="CZ154" s="43" t="b">
        <v>0</v>
      </c>
      <c r="DA154" s="43" t="b">
        <v>0</v>
      </c>
      <c r="DB154" s="43" t="b">
        <v>0</v>
      </c>
      <c r="DC154" s="43"/>
      <c r="DD154" s="43"/>
      <c r="DE154" s="43"/>
      <c r="DF154" s="43"/>
      <c r="DG154" s="43"/>
      <c r="DH154" s="43"/>
      <c r="DI154" s="43"/>
      <c r="DJ154" s="22">
        <f>IFERROR(VLOOKUP($B154,'Лист4'!$D:$AI,27,0)," ")</f>
        <v>2</v>
      </c>
      <c r="DK154" s="22">
        <f>IFERROR(VLOOKUP($B154,'Лист4'!$D:$AI,28,0)," ")</f>
        <v>10</v>
      </c>
      <c r="DL154" s="22">
        <f>IFERROR(VLOOKUP($B154,'Лист4'!$D:$AI,29,0)," ")</f>
        <v>2</v>
      </c>
      <c r="DM154" s="22">
        <f t="shared" si="1"/>
        <v>40</v>
      </c>
      <c r="DN154" s="22">
        <f>IFERROR(VLOOKUP($B154,'Лист4'!$D:$AI,32,0)," ")</f>
        <v>0.007</v>
      </c>
      <c r="DO154" s="22"/>
      <c r="DP154" s="22"/>
      <c r="DQ154" s="22"/>
      <c r="DR154" s="22"/>
      <c r="DS154" s="22"/>
      <c r="DT154" s="22"/>
      <c r="DU154" s="22"/>
      <c r="DV154" s="22"/>
      <c r="DW154" s="22"/>
      <c r="DX154" s="22"/>
      <c r="DY154" s="22"/>
      <c r="DZ154" s="22"/>
      <c r="EA154" s="22"/>
      <c r="EB154" s="22"/>
      <c r="EC154" s="22"/>
      <c r="ED154" s="22"/>
      <c r="EE154" s="22"/>
      <c r="EF154" s="22"/>
      <c r="EG154" s="22"/>
      <c r="EH154" s="22"/>
      <c r="EI154" s="22"/>
      <c r="EJ154" s="22"/>
      <c r="EK154" s="22"/>
      <c r="EL154" s="22"/>
      <c r="EM154" s="22"/>
      <c r="EN154" s="22"/>
      <c r="EO154" s="22"/>
      <c r="EP154" s="22"/>
      <c r="EQ154" s="22"/>
      <c r="ER154" s="22"/>
      <c r="ES154" s="43"/>
      <c r="ET154" s="43"/>
      <c r="EU154" s="43"/>
      <c r="EV154" s="43"/>
      <c r="EW154" s="43"/>
      <c r="EX154" s="43"/>
      <c r="EY154" s="43"/>
      <c r="EZ154" s="43"/>
      <c r="FA154" s="43"/>
      <c r="FB154" s="43"/>
      <c r="FC154" s="43"/>
      <c r="FD154" s="43"/>
      <c r="FE154" s="43"/>
      <c r="FF154" s="43"/>
      <c r="FG154" s="43"/>
      <c r="FH154" s="43"/>
      <c r="FI154" s="43"/>
    </row>
    <row r="155" ht="18.0" customHeight="1">
      <c r="A155" s="22" t="s">
        <v>116</v>
      </c>
      <c r="B155" s="43" t="s">
        <v>2444</v>
      </c>
      <c r="C155" s="22" t="s">
        <v>283</v>
      </c>
      <c r="D155" s="22" t="s">
        <v>853</v>
      </c>
      <c r="E155" s="43"/>
      <c r="F155" s="22" t="s">
        <v>2445</v>
      </c>
      <c r="G155" s="22"/>
      <c r="H155" s="22"/>
      <c r="I155" s="43"/>
      <c r="J155" s="43"/>
      <c r="K155" s="22" t="b">
        <v>1</v>
      </c>
      <c r="L155" s="22" t="b">
        <v>1</v>
      </c>
      <c r="M155" s="22" t="b">
        <v>1</v>
      </c>
      <c r="N155" s="22" t="b">
        <v>1</v>
      </c>
      <c r="O155" s="22" t="b">
        <v>0</v>
      </c>
      <c r="P155" s="22" t="b">
        <v>0</v>
      </c>
      <c r="Q155" s="22" t="b">
        <v>0</v>
      </c>
      <c r="R155" s="43"/>
      <c r="S155" s="43" t="s">
        <v>2446</v>
      </c>
      <c r="T155" s="22" t="s">
        <v>2444</v>
      </c>
      <c r="U155" s="22" t="s">
        <v>2444</v>
      </c>
      <c r="V155" s="22" t="s">
        <v>2444</v>
      </c>
      <c r="W155" s="43"/>
      <c r="X155" s="43"/>
      <c r="Y155" s="43"/>
      <c r="Z155" s="43"/>
      <c r="AA155" s="22">
        <v>9.038069E7</v>
      </c>
      <c r="AB155" s="22">
        <v>6.17343284E8</v>
      </c>
      <c r="AC155" s="22">
        <v>1.01797607977E11</v>
      </c>
      <c r="AD155" s="22"/>
      <c r="AE155" s="22"/>
      <c r="AF155" s="43"/>
      <c r="AG155" s="43"/>
      <c r="AH155" s="43" t="s">
        <v>2445</v>
      </c>
      <c r="AI155" s="22" t="s">
        <v>2447</v>
      </c>
      <c r="AJ155" s="22" t="s">
        <v>2448</v>
      </c>
      <c r="AK155" s="22" t="s">
        <v>2448</v>
      </c>
      <c r="AL155" s="43"/>
      <c r="AM155" s="43"/>
      <c r="AN155" s="43"/>
      <c r="AO155" s="43"/>
      <c r="AP155" s="46" t="s">
        <v>2449</v>
      </c>
      <c r="AQ155" s="46" t="s">
        <v>2450</v>
      </c>
      <c r="AR155" s="46" t="s">
        <v>2451</v>
      </c>
      <c r="AS155" s="43"/>
      <c r="AT155" s="43"/>
      <c r="AU155" s="43"/>
      <c r="AV155" s="43"/>
      <c r="AW155" s="22" t="s">
        <v>2452</v>
      </c>
      <c r="AX155" s="22" t="s">
        <v>2448</v>
      </c>
      <c r="AY155" s="22" t="s">
        <v>372</v>
      </c>
      <c r="AZ155" s="43"/>
      <c r="BA155" s="43"/>
      <c r="BB155" s="43"/>
      <c r="BC155" s="43"/>
      <c r="BD155" s="43" t="s">
        <v>194</v>
      </c>
      <c r="BE155" s="43" t="s">
        <v>243</v>
      </c>
      <c r="BF155" s="22" t="s">
        <v>131</v>
      </c>
      <c r="BG155" s="22" t="s">
        <v>132</v>
      </c>
      <c r="BH155" s="22" t="s">
        <v>132</v>
      </c>
      <c r="BI155" s="22" t="s">
        <v>132</v>
      </c>
      <c r="BJ155" s="43"/>
      <c r="BK155" s="43"/>
      <c r="BL155" s="22" t="s">
        <v>2453</v>
      </c>
      <c r="BM155" s="22">
        <v>2.106909803E9</v>
      </c>
      <c r="BN155" s="22" t="s">
        <v>2454</v>
      </c>
      <c r="BO155" s="46" t="s">
        <v>2455</v>
      </c>
      <c r="BP155" s="22" t="s">
        <v>245</v>
      </c>
      <c r="BQ155" s="43"/>
      <c r="BR155" s="43"/>
      <c r="BS155" s="22" t="s">
        <v>2456</v>
      </c>
      <c r="BT155" s="43"/>
      <c r="BU155" s="22" t="s">
        <v>1303</v>
      </c>
      <c r="BV155" s="43" t="s">
        <v>557</v>
      </c>
      <c r="BW155" s="22" t="s">
        <v>2457</v>
      </c>
      <c r="BX155" s="22">
        <v>60.0</v>
      </c>
      <c r="BY155" s="22" t="s">
        <v>421</v>
      </c>
      <c r="BZ155" s="22"/>
      <c r="CA155" s="22" t="s">
        <v>849</v>
      </c>
      <c r="CB155" s="22" t="s">
        <v>307</v>
      </c>
      <c r="CC155" s="45" t="s">
        <v>2458</v>
      </c>
      <c r="CD155" s="43"/>
      <c r="CE155" s="43"/>
      <c r="CF155" s="45" t="s">
        <v>2458</v>
      </c>
      <c r="CG155" s="43"/>
      <c r="CH155" s="43"/>
      <c r="CI155" s="43"/>
      <c r="CJ155" s="43"/>
      <c r="CK155" s="43"/>
      <c r="CL155" s="43"/>
      <c r="CM155" s="49">
        <f>IFERROR(VLOOKUP(B155,CC!A:D,4,0)," ")</f>
        <v>272.47</v>
      </c>
      <c r="CN155" s="22" t="s">
        <v>400</v>
      </c>
      <c r="CO155" s="22"/>
      <c r="CP155" s="22" t="s">
        <v>562</v>
      </c>
      <c r="CQ155" s="22" t="s">
        <v>401</v>
      </c>
      <c r="CR155" s="43"/>
      <c r="CS155" s="22">
        <v>10.0</v>
      </c>
      <c r="CT155" s="22" t="s">
        <v>145</v>
      </c>
      <c r="CU155" s="43"/>
      <c r="CV155" s="43"/>
      <c r="CW155" s="43"/>
      <c r="CX155" s="43"/>
      <c r="CY155" s="43" t="b">
        <v>0</v>
      </c>
      <c r="CZ155" s="43" t="b">
        <v>0</v>
      </c>
      <c r="DA155" s="43" t="b">
        <v>0</v>
      </c>
      <c r="DB155" s="43" t="b">
        <v>0</v>
      </c>
      <c r="DC155" s="43"/>
      <c r="DD155" s="43"/>
      <c r="DE155" s="43"/>
      <c r="DF155" s="43"/>
      <c r="DG155" s="43"/>
      <c r="DH155" s="43"/>
      <c r="DI155" s="43"/>
      <c r="DJ155" s="22">
        <f>IFERROR(VLOOKUP($B155,'Лист4'!$D:$AI,27,0)," ")</f>
        <v>10</v>
      </c>
      <c r="DK155" s="22">
        <f>IFERROR(VLOOKUP($B155,'Лист4'!$D:$AI,28,0)," ")</f>
        <v>5</v>
      </c>
      <c r="DL155" s="22">
        <f>IFERROR(VLOOKUP($B155,'Лист4'!$D:$AI,29,0)," ")</f>
        <v>10</v>
      </c>
      <c r="DM155" s="22">
        <f t="shared" si="1"/>
        <v>500</v>
      </c>
      <c r="DN155" s="22">
        <f>IFERROR(VLOOKUP($B155,'Лист4'!$D:$AI,32,0)," ")</f>
        <v>0.129</v>
      </c>
      <c r="DO155" s="22"/>
      <c r="DP155" s="22"/>
      <c r="DQ155" s="22"/>
      <c r="DR155" s="22"/>
      <c r="DS155" s="22"/>
      <c r="DT155" s="22"/>
      <c r="DU155" s="22"/>
      <c r="DV155" s="22"/>
      <c r="DW155" s="22"/>
      <c r="DX155" s="22"/>
      <c r="DY155" s="22"/>
      <c r="DZ155" s="22"/>
      <c r="EA155" s="22"/>
      <c r="EB155" s="22"/>
      <c r="EC155" s="22"/>
      <c r="ED155" s="22"/>
      <c r="EE155" s="22"/>
      <c r="EF155" s="22"/>
      <c r="EG155" s="22"/>
      <c r="EH155" s="22"/>
      <c r="EI155" s="22"/>
      <c r="EJ155" s="22"/>
      <c r="EK155" s="22"/>
      <c r="EL155" s="22"/>
      <c r="EM155" s="22"/>
      <c r="EN155" s="22"/>
      <c r="EO155" s="22"/>
      <c r="EP155" s="22"/>
      <c r="EQ155" s="22"/>
      <c r="ER155" s="22"/>
      <c r="ES155" s="43"/>
      <c r="ET155" s="43"/>
      <c r="EU155" s="43"/>
      <c r="EV155" s="43"/>
      <c r="EW155" s="43"/>
      <c r="EX155" s="43"/>
      <c r="EY155" s="43"/>
      <c r="EZ155" s="43"/>
      <c r="FA155" s="43"/>
      <c r="FB155" s="43"/>
      <c r="FC155" s="43"/>
      <c r="FD155" s="43"/>
      <c r="FE155" s="43"/>
      <c r="FF155" s="43"/>
      <c r="FG155" s="43"/>
      <c r="FH155" s="43"/>
      <c r="FI155" s="43"/>
    </row>
    <row r="156" ht="18.0" customHeight="1">
      <c r="A156" s="22" t="s">
        <v>116</v>
      </c>
      <c r="B156" s="43" t="s">
        <v>2459</v>
      </c>
      <c r="C156" s="22" t="s">
        <v>283</v>
      </c>
      <c r="D156" s="22" t="s">
        <v>187</v>
      </c>
      <c r="E156" s="43" t="s">
        <v>521</v>
      </c>
      <c r="F156" s="22" t="s">
        <v>2460</v>
      </c>
      <c r="G156" s="22"/>
      <c r="H156" s="22"/>
      <c r="I156" s="43"/>
      <c r="J156" s="43"/>
      <c r="K156" s="22" t="b">
        <v>1</v>
      </c>
      <c r="L156" s="22" t="b">
        <v>1</v>
      </c>
      <c r="M156" s="22" t="b">
        <v>1</v>
      </c>
      <c r="N156" s="22" t="b">
        <v>0</v>
      </c>
      <c r="O156" s="22" t="b">
        <v>0</v>
      </c>
      <c r="P156" s="22" t="b">
        <v>0</v>
      </c>
      <c r="Q156" s="22" t="b">
        <v>0</v>
      </c>
      <c r="R156" s="43"/>
      <c r="S156" s="43" t="s">
        <v>2461</v>
      </c>
      <c r="T156" s="22" t="s">
        <v>2459</v>
      </c>
      <c r="U156" s="22" t="s">
        <v>2459</v>
      </c>
      <c r="V156" s="22"/>
      <c r="W156" s="43"/>
      <c r="X156" s="43"/>
      <c r="Y156" s="43"/>
      <c r="Z156" s="43"/>
      <c r="AA156" s="22">
        <v>1.48387857E8</v>
      </c>
      <c r="AB156" s="22">
        <v>8.71802851E8</v>
      </c>
      <c r="AC156" s="22"/>
      <c r="AD156" s="22"/>
      <c r="AE156" s="22"/>
      <c r="AF156" s="43"/>
      <c r="AG156" s="43"/>
      <c r="AH156" s="43" t="s">
        <v>2460</v>
      </c>
      <c r="AI156" s="22" t="s">
        <v>2462</v>
      </c>
      <c r="AJ156" s="22" t="s">
        <v>2463</v>
      </c>
      <c r="AK156" s="43"/>
      <c r="AL156" s="43"/>
      <c r="AM156" s="43"/>
      <c r="AN156" s="43"/>
      <c r="AO156" s="43"/>
      <c r="AP156" s="46" t="s">
        <v>2464</v>
      </c>
      <c r="AQ156" s="46" t="s">
        <v>2465</v>
      </c>
      <c r="AR156" s="43"/>
      <c r="AS156" s="43"/>
      <c r="AT156" s="43"/>
      <c r="AU156" s="43"/>
      <c r="AV156" s="43"/>
      <c r="AW156" s="22" t="s">
        <v>2452</v>
      </c>
      <c r="AX156" s="22" t="s">
        <v>2463</v>
      </c>
      <c r="AY156" s="43"/>
      <c r="AZ156" s="43"/>
      <c r="BA156" s="43"/>
      <c r="BB156" s="43"/>
      <c r="BC156" s="43"/>
      <c r="BD156" s="43" t="s">
        <v>243</v>
      </c>
      <c r="BE156" s="43" t="s">
        <v>243</v>
      </c>
      <c r="BF156" s="22" t="s">
        <v>131</v>
      </c>
      <c r="BG156" s="22" t="s">
        <v>132</v>
      </c>
      <c r="BH156" s="22" t="s">
        <v>132</v>
      </c>
      <c r="BI156" s="22" t="s">
        <v>132</v>
      </c>
      <c r="BJ156" s="43"/>
      <c r="BK156" s="43"/>
      <c r="BL156" s="22" t="s">
        <v>2466</v>
      </c>
      <c r="BM156" s="22">
        <v>2.106909803E9</v>
      </c>
      <c r="BN156" s="22"/>
      <c r="BO156" s="22"/>
      <c r="BP156" s="22" t="s">
        <v>245</v>
      </c>
      <c r="BQ156" s="43"/>
      <c r="BR156" s="43"/>
      <c r="BS156" s="22"/>
      <c r="BT156" s="43"/>
      <c r="BU156" s="22"/>
      <c r="BV156" s="43"/>
      <c r="BW156" s="22"/>
      <c r="BX156" s="22"/>
      <c r="BY156" s="43"/>
      <c r="BZ156" s="43"/>
      <c r="CA156" s="22"/>
      <c r="CB156" s="22"/>
      <c r="CC156" s="45"/>
      <c r="CD156" s="43"/>
      <c r="CE156" s="43"/>
      <c r="CF156" s="45"/>
      <c r="CG156" s="43"/>
      <c r="CH156" s="43"/>
      <c r="CI156" s="43"/>
      <c r="CJ156" s="43"/>
      <c r="CK156" s="43"/>
      <c r="CL156" s="43"/>
      <c r="CM156" s="49">
        <f>IFERROR(VLOOKUP(B156,CC!A:D,4,0)," ")</f>
        <v>544.94</v>
      </c>
      <c r="CN156" s="22"/>
      <c r="CO156" s="22"/>
      <c r="CP156" s="43"/>
      <c r="CQ156" s="22" t="s">
        <v>401</v>
      </c>
      <c r="CR156" s="43"/>
      <c r="CS156" s="43"/>
      <c r="CT156" s="22" t="s">
        <v>145</v>
      </c>
      <c r="CU156" s="43"/>
      <c r="CV156" s="43"/>
      <c r="CW156" s="43"/>
      <c r="CX156" s="43"/>
      <c r="CY156" s="43" t="b">
        <v>0</v>
      </c>
      <c r="CZ156" s="43" t="b">
        <v>0</v>
      </c>
      <c r="DA156" s="43" t="b">
        <v>0</v>
      </c>
      <c r="DB156" s="43" t="b">
        <v>0</v>
      </c>
      <c r="DC156" s="43"/>
      <c r="DD156" s="43"/>
      <c r="DE156" s="43"/>
      <c r="DF156" s="43"/>
      <c r="DG156" s="43"/>
      <c r="DH156" s="43"/>
      <c r="DI156" s="43"/>
      <c r="DJ156" s="22">
        <f>IFERROR(VLOOKUP($B156,'Лист4'!$D:$AI,27,0)," ")</f>
        <v>14</v>
      </c>
      <c r="DK156" s="22">
        <f>IFERROR(VLOOKUP($B156,'Лист4'!$D:$AI,28,0)," ")</f>
        <v>21</v>
      </c>
      <c r="DL156" s="22">
        <f>IFERROR(VLOOKUP($B156,'Лист4'!$D:$AI,29,0)," ")</f>
        <v>14</v>
      </c>
      <c r="DM156" s="22">
        <f t="shared" si="1"/>
        <v>4116</v>
      </c>
      <c r="DN156" s="22">
        <f>IFERROR(VLOOKUP($B156,'Лист4'!$D:$AI,32,0)," ")</f>
        <v>0.075</v>
      </c>
      <c r="DO156" s="22"/>
      <c r="DP156" s="22"/>
      <c r="DQ156" s="22"/>
      <c r="DR156" s="22"/>
      <c r="DS156" s="22"/>
      <c r="DT156" s="22"/>
      <c r="DU156" s="22"/>
      <c r="DV156" s="22"/>
      <c r="DW156" s="22"/>
      <c r="DX156" s="22"/>
      <c r="DY156" s="22"/>
      <c r="DZ156" s="22"/>
      <c r="EA156" s="22"/>
      <c r="EB156" s="22"/>
      <c r="EC156" s="22"/>
      <c r="ED156" s="22"/>
      <c r="EE156" s="22"/>
      <c r="EF156" s="22"/>
      <c r="EG156" s="22"/>
      <c r="EH156" s="22"/>
      <c r="EI156" s="22"/>
      <c r="EJ156" s="22"/>
      <c r="EK156" s="22"/>
      <c r="EL156" s="22"/>
      <c r="EM156" s="22"/>
      <c r="EN156" s="22"/>
      <c r="EO156" s="22"/>
      <c r="EP156" s="22"/>
      <c r="EQ156" s="22"/>
      <c r="ER156" s="22"/>
      <c r="ES156" s="43"/>
      <c r="ET156" s="43"/>
      <c r="EU156" s="43"/>
      <c r="EV156" s="43"/>
      <c r="EW156" s="43"/>
      <c r="EX156" s="43"/>
      <c r="EY156" s="43"/>
      <c r="EZ156" s="43"/>
      <c r="FA156" s="43"/>
      <c r="FB156" s="43"/>
      <c r="FC156" s="43"/>
      <c r="FD156" s="43"/>
      <c r="FE156" s="43"/>
      <c r="FF156" s="43"/>
      <c r="FG156" s="43"/>
      <c r="FH156" s="43"/>
      <c r="FI156" s="43"/>
    </row>
    <row r="157" ht="18.0" customHeight="1">
      <c r="A157" s="22" t="s">
        <v>116</v>
      </c>
      <c r="B157" s="43" t="s">
        <v>2467</v>
      </c>
      <c r="C157" s="22" t="s">
        <v>283</v>
      </c>
      <c r="D157" s="22" t="s">
        <v>187</v>
      </c>
      <c r="E157" s="43" t="s">
        <v>521</v>
      </c>
      <c r="F157" s="22" t="s">
        <v>2468</v>
      </c>
      <c r="G157" s="22"/>
      <c r="H157" s="22"/>
      <c r="I157" s="43"/>
      <c r="J157" s="43"/>
      <c r="K157" s="22" t="b">
        <v>1</v>
      </c>
      <c r="L157" s="22" t="b">
        <v>1</v>
      </c>
      <c r="M157" s="22" t="b">
        <v>1</v>
      </c>
      <c r="N157" s="22" t="b">
        <v>0</v>
      </c>
      <c r="O157" s="22" t="b">
        <v>0</v>
      </c>
      <c r="P157" s="22" t="b">
        <v>0</v>
      </c>
      <c r="Q157" s="22" t="b">
        <v>0</v>
      </c>
      <c r="R157" s="43"/>
      <c r="S157" s="43" t="s">
        <v>2469</v>
      </c>
      <c r="T157" s="22" t="s">
        <v>2467</v>
      </c>
      <c r="U157" s="22" t="s">
        <v>2467</v>
      </c>
      <c r="V157" s="22"/>
      <c r="W157" s="43"/>
      <c r="X157" s="43"/>
      <c r="Y157" s="43"/>
      <c r="Z157" s="43"/>
      <c r="AA157" s="22">
        <v>1.65259041E8</v>
      </c>
      <c r="AB157" s="22">
        <v>1.032702789E9</v>
      </c>
      <c r="AC157" s="22"/>
      <c r="AD157" s="22"/>
      <c r="AE157" s="22"/>
      <c r="AF157" s="43"/>
      <c r="AG157" s="43"/>
      <c r="AH157" s="43" t="s">
        <v>2468</v>
      </c>
      <c r="AI157" s="22" t="s">
        <v>2462</v>
      </c>
      <c r="AJ157" s="22" t="s">
        <v>2470</v>
      </c>
      <c r="AK157" s="43"/>
      <c r="AL157" s="43"/>
      <c r="AM157" s="43"/>
      <c r="AN157" s="43"/>
      <c r="AO157" s="43"/>
      <c r="AP157" s="46" t="s">
        <v>2471</v>
      </c>
      <c r="AQ157" s="46" t="s">
        <v>2472</v>
      </c>
      <c r="AR157" s="43"/>
      <c r="AS157" s="43"/>
      <c r="AT157" s="43"/>
      <c r="AU157" s="43"/>
      <c r="AV157" s="43"/>
      <c r="AW157" s="22" t="s">
        <v>2452</v>
      </c>
      <c r="AX157" s="22" t="s">
        <v>2470</v>
      </c>
      <c r="AY157" s="43"/>
      <c r="AZ157" s="43"/>
      <c r="BA157" s="43"/>
      <c r="BB157" s="43"/>
      <c r="BC157" s="43"/>
      <c r="BD157" s="43" t="s">
        <v>243</v>
      </c>
      <c r="BE157" s="43" t="s">
        <v>243</v>
      </c>
      <c r="BF157" s="22" t="s">
        <v>131</v>
      </c>
      <c r="BG157" s="22" t="s">
        <v>132</v>
      </c>
      <c r="BH157" s="22" t="s">
        <v>132</v>
      </c>
      <c r="BI157" s="22" t="s">
        <v>132</v>
      </c>
      <c r="BJ157" s="43"/>
      <c r="BK157" s="43"/>
      <c r="BL157" s="22">
        <v>4.630205143651E12</v>
      </c>
      <c r="BM157" s="22">
        <v>2.106909808E9</v>
      </c>
      <c r="BN157" s="22" t="s">
        <v>2473</v>
      </c>
      <c r="BO157" s="22"/>
      <c r="BP157" s="22" t="s">
        <v>245</v>
      </c>
      <c r="BQ157" s="43"/>
      <c r="BR157" s="43"/>
      <c r="BS157" s="22" t="s">
        <v>2474</v>
      </c>
      <c r="BT157" s="43"/>
      <c r="BU157" s="22" t="s">
        <v>2475</v>
      </c>
      <c r="BV157" s="43" t="s">
        <v>965</v>
      </c>
      <c r="BW157" s="22" t="s">
        <v>1167</v>
      </c>
      <c r="BX157" s="22">
        <v>90.0</v>
      </c>
      <c r="BY157" s="22" t="s">
        <v>492</v>
      </c>
      <c r="BZ157" s="43"/>
      <c r="CA157" s="22" t="s">
        <v>355</v>
      </c>
      <c r="CB157" s="22" t="s">
        <v>307</v>
      </c>
      <c r="CC157" s="45" t="s">
        <v>2476</v>
      </c>
      <c r="CD157" s="43"/>
      <c r="CE157" s="43"/>
      <c r="CF157" s="45" t="s">
        <v>2477</v>
      </c>
      <c r="CG157" s="43"/>
      <c r="CH157" s="43"/>
      <c r="CI157" s="43"/>
      <c r="CJ157" s="43"/>
      <c r="CK157" s="43"/>
      <c r="CL157" s="43"/>
      <c r="CM157" s="49">
        <f>IFERROR(VLOOKUP(B157,CC!A:D,4,0)," ")</f>
        <v>232.3</v>
      </c>
      <c r="CN157" s="22" t="s">
        <v>494</v>
      </c>
      <c r="CO157" s="22"/>
      <c r="CP157" s="43"/>
      <c r="CQ157" s="22">
        <v>60.0</v>
      </c>
      <c r="CR157" s="43"/>
      <c r="CS157" s="22">
        <v>5.0</v>
      </c>
      <c r="CT157" s="22" t="s">
        <v>496</v>
      </c>
      <c r="CU157" s="43"/>
      <c r="CV157" s="43"/>
      <c r="CW157" s="43"/>
      <c r="CX157" s="43"/>
      <c r="CY157" s="43" t="b">
        <v>0</v>
      </c>
      <c r="CZ157" s="43" t="b">
        <v>0</v>
      </c>
      <c r="DA157" s="43" t="b">
        <v>0</v>
      </c>
      <c r="DB157" s="43" t="b">
        <v>0</v>
      </c>
      <c r="DC157" s="43"/>
      <c r="DD157" s="43"/>
      <c r="DE157" s="43"/>
      <c r="DF157" s="43"/>
      <c r="DG157" s="43"/>
      <c r="DH157" s="43"/>
      <c r="DI157" s="43"/>
      <c r="DJ157" s="22">
        <f>IFERROR(VLOOKUP($B157,'Лист4'!$D:$AI,27,0)," ")</f>
        <v>11</v>
      </c>
      <c r="DK157" s="22">
        <f>IFERROR(VLOOKUP($B157,'Лист4'!$D:$AI,28,0)," ")</f>
        <v>6</v>
      </c>
      <c r="DL157" s="22">
        <f>IFERROR(VLOOKUP($B157,'Лист4'!$D:$AI,29,0)," ")</f>
        <v>11</v>
      </c>
      <c r="DM157" s="22">
        <f t="shared" si="1"/>
        <v>726</v>
      </c>
      <c r="DN157" s="22">
        <f>IFERROR(VLOOKUP($B157,'Лист4'!$D:$AI,32,0)," ")</f>
        <v>0.098</v>
      </c>
      <c r="DO157" s="22"/>
      <c r="DP157" s="22"/>
      <c r="DQ157" s="22"/>
      <c r="DR157" s="22"/>
      <c r="DS157" s="22"/>
      <c r="DT157" s="22"/>
      <c r="DU157" s="22"/>
      <c r="DV157" s="22"/>
      <c r="DW157" s="22"/>
      <c r="DX157" s="22"/>
      <c r="DY157" s="22"/>
      <c r="DZ157" s="22"/>
      <c r="EA157" s="22"/>
      <c r="EB157" s="22"/>
      <c r="EC157" s="22"/>
      <c r="ED157" s="22"/>
      <c r="EE157" s="22"/>
      <c r="EF157" s="22"/>
      <c r="EG157" s="22"/>
      <c r="EH157" s="22"/>
      <c r="EI157" s="22"/>
      <c r="EJ157" s="22"/>
      <c r="EK157" s="22"/>
      <c r="EL157" s="22"/>
      <c r="EM157" s="22"/>
      <c r="EN157" s="22"/>
      <c r="EO157" s="22"/>
      <c r="EP157" s="22"/>
      <c r="EQ157" s="22"/>
      <c r="ER157" s="22"/>
      <c r="ES157" s="43"/>
      <c r="ET157" s="43"/>
      <c r="EU157" s="43"/>
      <c r="EV157" s="43"/>
      <c r="EW157" s="43"/>
      <c r="EX157" s="43"/>
      <c r="EY157" s="43"/>
      <c r="EZ157" s="43"/>
      <c r="FA157" s="43"/>
      <c r="FB157" s="43"/>
      <c r="FC157" s="43"/>
      <c r="FD157" s="43"/>
      <c r="FE157" s="43"/>
      <c r="FF157" s="43"/>
      <c r="FG157" s="43"/>
      <c r="FH157" s="43"/>
      <c r="FI157" s="43"/>
    </row>
    <row r="158" ht="18.0" customHeight="1">
      <c r="A158" s="22" t="s">
        <v>116</v>
      </c>
      <c r="B158" s="43" t="s">
        <v>2478</v>
      </c>
      <c r="C158" s="22" t="s">
        <v>283</v>
      </c>
      <c r="D158" s="22" t="s">
        <v>187</v>
      </c>
      <c r="E158" s="43" t="s">
        <v>521</v>
      </c>
      <c r="F158" s="22" t="s">
        <v>2479</v>
      </c>
      <c r="G158" s="22"/>
      <c r="H158" s="22"/>
      <c r="I158" s="43"/>
      <c r="J158" s="43"/>
      <c r="K158" s="22" t="b">
        <v>1</v>
      </c>
      <c r="L158" s="22" t="b">
        <v>1</v>
      </c>
      <c r="M158" s="22" t="b">
        <v>1</v>
      </c>
      <c r="N158" s="22" t="b">
        <v>0</v>
      </c>
      <c r="O158" s="22" t="b">
        <v>0</v>
      </c>
      <c r="P158" s="22" t="b">
        <v>0</v>
      </c>
      <c r="Q158" s="22" t="b">
        <v>0</v>
      </c>
      <c r="R158" s="43"/>
      <c r="S158" s="43" t="s">
        <v>2480</v>
      </c>
      <c r="T158" s="22" t="s">
        <v>2478</v>
      </c>
      <c r="U158" s="22" t="s">
        <v>2478</v>
      </c>
      <c r="V158" s="22"/>
      <c r="W158" s="43"/>
      <c r="X158" s="43"/>
      <c r="Y158" s="43"/>
      <c r="Z158" s="43"/>
      <c r="AA158" s="22">
        <v>1.67680829E8</v>
      </c>
      <c r="AB158" s="22">
        <v>1.09972736E9</v>
      </c>
      <c r="AC158" s="22"/>
      <c r="AD158" s="22"/>
      <c r="AE158" s="22"/>
      <c r="AF158" s="43"/>
      <c r="AG158" s="43"/>
      <c r="AH158" s="43" t="s">
        <v>2479</v>
      </c>
      <c r="AI158" s="22" t="s">
        <v>2481</v>
      </c>
      <c r="AJ158" s="22" t="s">
        <v>2482</v>
      </c>
      <c r="AK158" s="43"/>
      <c r="AL158" s="43"/>
      <c r="AM158" s="43"/>
      <c r="AN158" s="43"/>
      <c r="AO158" s="43"/>
      <c r="AP158" s="46" t="s">
        <v>2483</v>
      </c>
      <c r="AQ158" s="46" t="s">
        <v>2484</v>
      </c>
      <c r="AR158" s="43"/>
      <c r="AS158" s="43"/>
      <c r="AT158" s="43"/>
      <c r="AU158" s="43"/>
      <c r="AV158" s="43"/>
      <c r="AW158" s="22" t="s">
        <v>2452</v>
      </c>
      <c r="AX158" s="22" t="s">
        <v>2482</v>
      </c>
      <c r="AY158" s="43"/>
      <c r="AZ158" s="43"/>
      <c r="BA158" s="43"/>
      <c r="BB158" s="43"/>
      <c r="BC158" s="43"/>
      <c r="BD158" s="43" t="s">
        <v>243</v>
      </c>
      <c r="BE158" s="43" t="s">
        <v>243</v>
      </c>
      <c r="BF158" s="22" t="s">
        <v>131</v>
      </c>
      <c r="BG158" s="22" t="s">
        <v>132</v>
      </c>
      <c r="BH158" s="22" t="s">
        <v>132</v>
      </c>
      <c r="BI158" s="22" t="s">
        <v>132</v>
      </c>
      <c r="BJ158" s="43"/>
      <c r="BK158" s="43"/>
      <c r="BL158" s="22" t="s">
        <v>2485</v>
      </c>
      <c r="BM158" s="22">
        <v>2.106909808E9</v>
      </c>
      <c r="BN158" s="22"/>
      <c r="BO158" s="22"/>
      <c r="BP158" s="22" t="s">
        <v>245</v>
      </c>
      <c r="BQ158" s="43"/>
      <c r="BR158" s="43"/>
      <c r="BS158" s="22"/>
      <c r="BT158" s="43"/>
      <c r="BU158" s="22"/>
      <c r="BV158" s="43"/>
      <c r="BW158" s="22"/>
      <c r="BX158" s="22"/>
      <c r="BY158" s="43"/>
      <c r="BZ158" s="43"/>
      <c r="CA158" s="22"/>
      <c r="CB158" s="22"/>
      <c r="CC158" s="45"/>
      <c r="CD158" s="43"/>
      <c r="CE158" s="43"/>
      <c r="CF158" s="45"/>
      <c r="CG158" s="43"/>
      <c r="CH158" s="43"/>
      <c r="CI158" s="43"/>
      <c r="CJ158" s="43"/>
      <c r="CK158" s="43"/>
      <c r="CL158" s="43"/>
      <c r="CM158" s="49">
        <f>IFERROR(VLOOKUP(B158,CC!A:D,4,0)," ")</f>
        <v>444.06</v>
      </c>
      <c r="CN158" s="22"/>
      <c r="CO158" s="22"/>
      <c r="CP158" s="43"/>
      <c r="CQ158" s="22">
        <v>90.0</v>
      </c>
      <c r="CR158" s="43"/>
      <c r="CS158" s="43"/>
      <c r="CT158" s="22" t="s">
        <v>145</v>
      </c>
      <c r="CU158" s="43"/>
      <c r="CV158" s="43"/>
      <c r="CW158" s="43"/>
      <c r="CX158" s="43"/>
      <c r="CY158" s="43" t="b">
        <v>0</v>
      </c>
      <c r="CZ158" s="43" t="b">
        <v>0</v>
      </c>
      <c r="DA158" s="43" t="b">
        <v>0</v>
      </c>
      <c r="DB158" s="43" t="b">
        <v>0</v>
      </c>
      <c r="DC158" s="43"/>
      <c r="DD158" s="43"/>
      <c r="DE158" s="43"/>
      <c r="DF158" s="43"/>
      <c r="DG158" s="43"/>
      <c r="DH158" s="43"/>
      <c r="DI158" s="43"/>
      <c r="DJ158" s="22">
        <f>IFERROR(VLOOKUP($B158,'Лист4'!$D:$AI,27,0)," ")</f>
        <v>14</v>
      </c>
      <c r="DK158" s="22">
        <f>IFERROR(VLOOKUP($B158,'Лист4'!$D:$AI,28,0)," ")</f>
        <v>21</v>
      </c>
      <c r="DL158" s="22">
        <f>IFERROR(VLOOKUP($B158,'Лист4'!$D:$AI,29,0)," ")</f>
        <v>14</v>
      </c>
      <c r="DM158" s="22">
        <f t="shared" si="1"/>
        <v>4116</v>
      </c>
      <c r="DN158" s="22">
        <f>IFERROR(VLOOKUP($B158,'Лист4'!$D:$AI,32,0)," ")</f>
        <v>0.075</v>
      </c>
      <c r="DO158" s="22"/>
      <c r="DP158" s="22"/>
      <c r="DQ158" s="22"/>
      <c r="DR158" s="22"/>
      <c r="DS158" s="22"/>
      <c r="DT158" s="22"/>
      <c r="DU158" s="22"/>
      <c r="DV158" s="22"/>
      <c r="DW158" s="22"/>
      <c r="DX158" s="22"/>
      <c r="DY158" s="22"/>
      <c r="DZ158" s="22"/>
      <c r="EA158" s="22"/>
      <c r="EB158" s="22"/>
      <c r="EC158" s="22"/>
      <c r="ED158" s="22"/>
      <c r="EE158" s="22"/>
      <c r="EF158" s="22"/>
      <c r="EG158" s="22"/>
      <c r="EH158" s="22"/>
      <c r="EI158" s="22"/>
      <c r="EJ158" s="22"/>
      <c r="EK158" s="22"/>
      <c r="EL158" s="22"/>
      <c r="EM158" s="22"/>
      <c r="EN158" s="22"/>
      <c r="EO158" s="22"/>
      <c r="EP158" s="22"/>
      <c r="EQ158" s="22"/>
      <c r="ER158" s="22"/>
      <c r="ES158" s="43"/>
      <c r="ET158" s="43"/>
      <c r="EU158" s="43"/>
      <c r="EV158" s="43"/>
      <c r="EW158" s="43"/>
      <c r="EX158" s="43"/>
      <c r="EY158" s="43"/>
      <c r="EZ158" s="43"/>
      <c r="FA158" s="43"/>
      <c r="FB158" s="43"/>
      <c r="FC158" s="43"/>
      <c r="FD158" s="43"/>
      <c r="FE158" s="43"/>
      <c r="FF158" s="43"/>
      <c r="FG158" s="43"/>
      <c r="FH158" s="43"/>
      <c r="FI158" s="43"/>
    </row>
    <row r="159" ht="18.0" customHeight="1">
      <c r="A159" s="22" t="s">
        <v>116</v>
      </c>
      <c r="B159" s="43" t="s">
        <v>2486</v>
      </c>
      <c r="C159" s="22" t="s">
        <v>283</v>
      </c>
      <c r="D159" s="22" t="s">
        <v>187</v>
      </c>
      <c r="E159" s="43" t="s">
        <v>521</v>
      </c>
      <c r="F159" s="22" t="s">
        <v>2487</v>
      </c>
      <c r="G159" s="22"/>
      <c r="H159" s="22"/>
      <c r="I159" s="43"/>
      <c r="J159" s="43"/>
      <c r="K159" s="22" t="b">
        <v>1</v>
      </c>
      <c r="L159" s="22" t="b">
        <v>1</v>
      </c>
      <c r="M159" s="22" t="b">
        <v>1</v>
      </c>
      <c r="N159" s="22" t="b">
        <v>0</v>
      </c>
      <c r="O159" s="22" t="b">
        <v>0</v>
      </c>
      <c r="P159" s="22" t="b">
        <v>0</v>
      </c>
      <c r="Q159" s="22" t="b">
        <v>0</v>
      </c>
      <c r="R159" s="43"/>
      <c r="S159" s="43" t="s">
        <v>2488</v>
      </c>
      <c r="T159" s="22" t="s">
        <v>2486</v>
      </c>
      <c r="U159" s="22" t="s">
        <v>2486</v>
      </c>
      <c r="V159" s="22"/>
      <c r="W159" s="43"/>
      <c r="X159" s="43"/>
      <c r="Y159" s="43"/>
      <c r="Z159" s="43"/>
      <c r="AA159" s="22">
        <v>1.67680831E8</v>
      </c>
      <c r="AB159" s="22">
        <v>1.099740649E9</v>
      </c>
      <c r="AC159" s="22"/>
      <c r="AD159" s="22"/>
      <c r="AE159" s="22"/>
      <c r="AF159" s="43"/>
      <c r="AG159" s="43"/>
      <c r="AH159" s="43" t="s">
        <v>2487</v>
      </c>
      <c r="AI159" s="22" t="s">
        <v>2489</v>
      </c>
      <c r="AJ159" s="22" t="s">
        <v>2490</v>
      </c>
      <c r="AK159" s="43"/>
      <c r="AL159" s="43"/>
      <c r="AM159" s="43"/>
      <c r="AN159" s="43"/>
      <c r="AO159" s="43"/>
      <c r="AP159" s="46" t="s">
        <v>2491</v>
      </c>
      <c r="AQ159" s="46" t="s">
        <v>2492</v>
      </c>
      <c r="AR159" s="43"/>
      <c r="AS159" s="43"/>
      <c r="AT159" s="43"/>
      <c r="AU159" s="43"/>
      <c r="AV159" s="43"/>
      <c r="AW159" s="22" t="s">
        <v>2452</v>
      </c>
      <c r="AX159" s="22" t="s">
        <v>2490</v>
      </c>
      <c r="AY159" s="43"/>
      <c r="AZ159" s="43"/>
      <c r="BA159" s="43"/>
      <c r="BB159" s="43"/>
      <c r="BC159" s="43"/>
      <c r="BD159" s="43" t="s">
        <v>243</v>
      </c>
      <c r="BE159" s="43" t="s">
        <v>243</v>
      </c>
      <c r="BF159" s="22" t="s">
        <v>131</v>
      </c>
      <c r="BG159" s="22" t="s">
        <v>132</v>
      </c>
      <c r="BH159" s="22" t="s">
        <v>132</v>
      </c>
      <c r="BI159" s="22" t="s">
        <v>132</v>
      </c>
      <c r="BJ159" s="43"/>
      <c r="BK159" s="43"/>
      <c r="BL159" s="22" t="s">
        <v>2493</v>
      </c>
      <c r="BM159" s="22">
        <v>2.106909808E9</v>
      </c>
      <c r="BN159" s="22"/>
      <c r="BO159" s="22"/>
      <c r="BP159" s="22" t="s">
        <v>245</v>
      </c>
      <c r="BQ159" s="43"/>
      <c r="BR159" s="43"/>
      <c r="BS159" s="22"/>
      <c r="BT159" s="43"/>
      <c r="BU159" s="22"/>
      <c r="BV159" s="43"/>
      <c r="BW159" s="22"/>
      <c r="BX159" s="22"/>
      <c r="BY159" s="43"/>
      <c r="BZ159" s="43"/>
      <c r="CA159" s="22"/>
      <c r="CB159" s="22"/>
      <c r="CC159" s="45"/>
      <c r="CD159" s="43"/>
      <c r="CE159" s="43"/>
      <c r="CF159" s="45"/>
      <c r="CG159" s="43"/>
      <c r="CH159" s="43"/>
      <c r="CI159" s="43"/>
      <c r="CJ159" s="43"/>
      <c r="CK159" s="43"/>
      <c r="CL159" s="43"/>
      <c r="CM159" s="49">
        <f>IFERROR(VLOOKUP(B159,CC!A:D,4,0)," ")</f>
        <v>452</v>
      </c>
      <c r="CN159" s="22"/>
      <c r="CO159" s="22"/>
      <c r="CP159" s="43"/>
      <c r="CQ159" s="22">
        <v>90.0</v>
      </c>
      <c r="CR159" s="43"/>
      <c r="CS159" s="43"/>
      <c r="CT159" s="22" t="s">
        <v>145</v>
      </c>
      <c r="CU159" s="43"/>
      <c r="CV159" s="43"/>
      <c r="CW159" s="43"/>
      <c r="CX159" s="43"/>
      <c r="CY159" s="43" t="b">
        <v>0</v>
      </c>
      <c r="CZ159" s="43" t="b">
        <v>0</v>
      </c>
      <c r="DA159" s="43" t="b">
        <v>0</v>
      </c>
      <c r="DB159" s="43" t="b">
        <v>0</v>
      </c>
      <c r="DC159" s="43"/>
      <c r="DD159" s="43"/>
      <c r="DE159" s="43"/>
      <c r="DF159" s="43"/>
      <c r="DG159" s="43"/>
      <c r="DH159" s="43"/>
      <c r="DI159" s="43"/>
      <c r="DJ159" s="22">
        <f>IFERROR(VLOOKUP($B159,'Лист4'!$D:$AI,27,0)," ")</f>
        <v>14</v>
      </c>
      <c r="DK159" s="22">
        <f>IFERROR(VLOOKUP($B159,'Лист4'!$D:$AI,28,0)," ")</f>
        <v>21</v>
      </c>
      <c r="DL159" s="22">
        <f>IFERROR(VLOOKUP($B159,'Лист4'!$D:$AI,29,0)," ")</f>
        <v>14</v>
      </c>
      <c r="DM159" s="22">
        <f t="shared" si="1"/>
        <v>4116</v>
      </c>
      <c r="DN159" s="22">
        <f>IFERROR(VLOOKUP($B159,'Лист4'!$D:$AI,32,0)," ")</f>
        <v>0.075</v>
      </c>
      <c r="DO159" s="22"/>
      <c r="DP159" s="22"/>
      <c r="DQ159" s="22"/>
      <c r="DR159" s="22"/>
      <c r="DS159" s="22"/>
      <c r="DT159" s="22"/>
      <c r="DU159" s="22"/>
      <c r="DV159" s="22"/>
      <c r="DW159" s="22"/>
      <c r="DX159" s="22"/>
      <c r="DY159" s="22"/>
      <c r="DZ159" s="22"/>
      <c r="EA159" s="22"/>
      <c r="EB159" s="22"/>
      <c r="EC159" s="22"/>
      <c r="ED159" s="22"/>
      <c r="EE159" s="22"/>
      <c r="EF159" s="22"/>
      <c r="EG159" s="22"/>
      <c r="EH159" s="22"/>
      <c r="EI159" s="22"/>
      <c r="EJ159" s="22"/>
      <c r="EK159" s="22"/>
      <c r="EL159" s="22"/>
      <c r="EM159" s="22"/>
      <c r="EN159" s="22"/>
      <c r="EO159" s="22"/>
      <c r="EP159" s="22"/>
      <c r="EQ159" s="22"/>
      <c r="ER159" s="22"/>
      <c r="ES159" s="43"/>
      <c r="ET159" s="43"/>
      <c r="EU159" s="43"/>
      <c r="EV159" s="43"/>
      <c r="EW159" s="43"/>
      <c r="EX159" s="43"/>
      <c r="EY159" s="43"/>
      <c r="EZ159" s="43"/>
      <c r="FA159" s="43"/>
      <c r="FB159" s="43"/>
      <c r="FC159" s="43"/>
      <c r="FD159" s="43"/>
      <c r="FE159" s="43"/>
      <c r="FF159" s="43"/>
      <c r="FG159" s="43"/>
      <c r="FH159" s="43"/>
      <c r="FI159" s="43"/>
    </row>
    <row r="160" ht="18.0" customHeight="1">
      <c r="A160" s="22" t="s">
        <v>116</v>
      </c>
      <c r="B160" s="43" t="s">
        <v>2494</v>
      </c>
      <c r="C160" s="22" t="s">
        <v>283</v>
      </c>
      <c r="D160" s="22" t="s">
        <v>187</v>
      </c>
      <c r="E160" s="43" t="s">
        <v>521</v>
      </c>
      <c r="F160" s="22" t="s">
        <v>2495</v>
      </c>
      <c r="G160" s="22"/>
      <c r="H160" s="22"/>
      <c r="I160" s="43"/>
      <c r="J160" s="43"/>
      <c r="K160" s="22" t="b">
        <v>1</v>
      </c>
      <c r="L160" s="22" t="b">
        <v>1</v>
      </c>
      <c r="M160" s="22" t="b">
        <v>1</v>
      </c>
      <c r="N160" s="22" t="b">
        <v>0</v>
      </c>
      <c r="O160" s="22" t="b">
        <v>0</v>
      </c>
      <c r="P160" s="22" t="b">
        <v>0</v>
      </c>
      <c r="Q160" s="22" t="b">
        <v>0</v>
      </c>
      <c r="R160" s="43"/>
      <c r="S160" s="43" t="s">
        <v>2496</v>
      </c>
      <c r="T160" s="22" t="s">
        <v>2494</v>
      </c>
      <c r="U160" s="22" t="s">
        <v>2494</v>
      </c>
      <c r="V160" s="22"/>
      <c r="W160" s="43"/>
      <c r="X160" s="43"/>
      <c r="Y160" s="43"/>
      <c r="Z160" s="43"/>
      <c r="AA160" s="22">
        <v>1.67680833E8</v>
      </c>
      <c r="AB160" s="22">
        <v>1.099757439E9</v>
      </c>
      <c r="AC160" s="22"/>
      <c r="AD160" s="22"/>
      <c r="AE160" s="22"/>
      <c r="AF160" s="43"/>
      <c r="AG160" s="43"/>
      <c r="AH160" s="43" t="s">
        <v>2495</v>
      </c>
      <c r="AI160" s="22" t="s">
        <v>2497</v>
      </c>
      <c r="AJ160" s="22" t="s">
        <v>2498</v>
      </c>
      <c r="AK160" s="43"/>
      <c r="AL160" s="43"/>
      <c r="AM160" s="43"/>
      <c r="AN160" s="43"/>
      <c r="AO160" s="43"/>
      <c r="AP160" s="46" t="s">
        <v>2499</v>
      </c>
      <c r="AQ160" s="46" t="s">
        <v>2500</v>
      </c>
      <c r="AR160" s="43"/>
      <c r="AS160" s="43"/>
      <c r="AT160" s="43"/>
      <c r="AU160" s="43"/>
      <c r="AV160" s="43"/>
      <c r="AW160" s="22" t="s">
        <v>2452</v>
      </c>
      <c r="AX160" s="22" t="s">
        <v>2498</v>
      </c>
      <c r="AY160" s="43"/>
      <c r="AZ160" s="43"/>
      <c r="BA160" s="43"/>
      <c r="BB160" s="43"/>
      <c r="BC160" s="43"/>
      <c r="BD160" s="43" t="s">
        <v>243</v>
      </c>
      <c r="BE160" s="43" t="s">
        <v>243</v>
      </c>
      <c r="BF160" s="22" t="s">
        <v>131</v>
      </c>
      <c r="BG160" s="22" t="s">
        <v>132</v>
      </c>
      <c r="BH160" s="22" t="s">
        <v>132</v>
      </c>
      <c r="BI160" s="22" t="s">
        <v>132</v>
      </c>
      <c r="BJ160" s="43"/>
      <c r="BK160" s="43"/>
      <c r="BL160" s="22" t="s">
        <v>2501</v>
      </c>
      <c r="BM160" s="22">
        <v>2.106909808E9</v>
      </c>
      <c r="BN160" s="22"/>
      <c r="BO160" s="22"/>
      <c r="BP160" s="22" t="s">
        <v>245</v>
      </c>
      <c r="BQ160" s="43"/>
      <c r="BR160" s="43"/>
      <c r="BS160" s="22"/>
      <c r="BT160" s="43"/>
      <c r="BU160" s="22"/>
      <c r="BV160" s="43"/>
      <c r="BW160" s="22"/>
      <c r="BX160" s="22"/>
      <c r="BY160" s="43"/>
      <c r="BZ160" s="43"/>
      <c r="CA160" s="22"/>
      <c r="CB160" s="22"/>
      <c r="CC160" s="45"/>
      <c r="CD160" s="43"/>
      <c r="CE160" s="43"/>
      <c r="CF160" s="45"/>
      <c r="CG160" s="43"/>
      <c r="CH160" s="43"/>
      <c r="CI160" s="43"/>
      <c r="CJ160" s="43"/>
      <c r="CK160" s="43"/>
      <c r="CL160" s="43"/>
      <c r="CM160" s="49">
        <f>IFERROR(VLOOKUP(B160,CC!A:D,4,0)," ")</f>
        <v>389.13</v>
      </c>
      <c r="CN160" s="22"/>
      <c r="CO160" s="22"/>
      <c r="CP160" s="43"/>
      <c r="CQ160" s="22">
        <v>90.0</v>
      </c>
      <c r="CR160" s="43"/>
      <c r="CS160" s="43"/>
      <c r="CT160" s="22" t="s">
        <v>145</v>
      </c>
      <c r="CU160" s="43"/>
      <c r="CV160" s="43"/>
      <c r="CW160" s="43"/>
      <c r="CX160" s="43"/>
      <c r="CY160" s="43" t="b">
        <v>0</v>
      </c>
      <c r="CZ160" s="43" t="b">
        <v>0</v>
      </c>
      <c r="DA160" s="43" t="b">
        <v>0</v>
      </c>
      <c r="DB160" s="43" t="b">
        <v>0</v>
      </c>
      <c r="DC160" s="43"/>
      <c r="DD160" s="43"/>
      <c r="DE160" s="43"/>
      <c r="DF160" s="43"/>
      <c r="DG160" s="43"/>
      <c r="DH160" s="43"/>
      <c r="DI160" s="43"/>
      <c r="DJ160" s="22">
        <f>IFERROR(VLOOKUP($B160,'Лист4'!$D:$AI,27,0)," ")</f>
        <v>14</v>
      </c>
      <c r="DK160" s="22">
        <f>IFERROR(VLOOKUP($B160,'Лист4'!$D:$AI,28,0)," ")</f>
        <v>21</v>
      </c>
      <c r="DL160" s="22">
        <f>IFERROR(VLOOKUP($B160,'Лист4'!$D:$AI,29,0)," ")</f>
        <v>14</v>
      </c>
      <c r="DM160" s="22">
        <f t="shared" si="1"/>
        <v>4116</v>
      </c>
      <c r="DN160" s="22">
        <f>IFERROR(VLOOKUP($B160,'Лист4'!$D:$AI,32,0)," ")</f>
        <v>0.075</v>
      </c>
      <c r="DO160" s="22"/>
      <c r="DP160" s="22"/>
      <c r="DQ160" s="22"/>
      <c r="DR160" s="22"/>
      <c r="DS160" s="22"/>
      <c r="DT160" s="22"/>
      <c r="DU160" s="22"/>
      <c r="DV160" s="22"/>
      <c r="DW160" s="22"/>
      <c r="DX160" s="22"/>
      <c r="DY160" s="22"/>
      <c r="DZ160" s="22"/>
      <c r="EA160" s="22"/>
      <c r="EB160" s="22"/>
      <c r="EC160" s="22"/>
      <c r="ED160" s="22"/>
      <c r="EE160" s="22"/>
      <c r="EF160" s="22"/>
      <c r="EG160" s="22"/>
      <c r="EH160" s="22"/>
      <c r="EI160" s="22"/>
      <c r="EJ160" s="22"/>
      <c r="EK160" s="22"/>
      <c r="EL160" s="22"/>
      <c r="EM160" s="22"/>
      <c r="EN160" s="22"/>
      <c r="EO160" s="22"/>
      <c r="EP160" s="22"/>
      <c r="EQ160" s="22"/>
      <c r="ER160" s="22"/>
      <c r="ES160" s="43"/>
      <c r="ET160" s="43"/>
      <c r="EU160" s="43"/>
      <c r="EV160" s="43"/>
      <c r="EW160" s="43"/>
      <c r="EX160" s="43"/>
      <c r="EY160" s="43"/>
      <c r="EZ160" s="43"/>
      <c r="FA160" s="43"/>
      <c r="FB160" s="43"/>
      <c r="FC160" s="43"/>
      <c r="FD160" s="43"/>
      <c r="FE160" s="43"/>
      <c r="FF160" s="43"/>
      <c r="FG160" s="43"/>
      <c r="FH160" s="43"/>
      <c r="FI160" s="43"/>
    </row>
    <row r="161" ht="18.0" customHeight="1">
      <c r="A161" s="22" t="s">
        <v>116</v>
      </c>
      <c r="B161" s="43" t="s">
        <v>2502</v>
      </c>
      <c r="C161" s="22" t="s">
        <v>283</v>
      </c>
      <c r="D161" s="22" t="s">
        <v>187</v>
      </c>
      <c r="E161" s="43" t="s">
        <v>521</v>
      </c>
      <c r="F161" s="22" t="s">
        <v>2503</v>
      </c>
      <c r="G161" s="22"/>
      <c r="H161" s="22"/>
      <c r="I161" s="43"/>
      <c r="J161" s="43"/>
      <c r="K161" s="22" t="b">
        <v>1</v>
      </c>
      <c r="L161" s="22" t="b">
        <v>1</v>
      </c>
      <c r="M161" s="22" t="b">
        <v>1</v>
      </c>
      <c r="N161" s="22" t="b">
        <v>0</v>
      </c>
      <c r="O161" s="22" t="b">
        <v>0</v>
      </c>
      <c r="P161" s="22" t="b">
        <v>0</v>
      </c>
      <c r="Q161" s="22" t="b">
        <v>0</v>
      </c>
      <c r="R161" s="43"/>
      <c r="S161" s="43" t="s">
        <v>2504</v>
      </c>
      <c r="T161" s="22" t="s">
        <v>2502</v>
      </c>
      <c r="U161" s="22" t="s">
        <v>2502</v>
      </c>
      <c r="V161" s="22"/>
      <c r="W161" s="43"/>
      <c r="X161" s="43"/>
      <c r="Y161" s="43"/>
      <c r="Z161" s="43"/>
      <c r="AA161" s="22">
        <v>1.55928221E8</v>
      </c>
      <c r="AB161" s="22"/>
      <c r="AC161" s="22"/>
      <c r="AD161" s="22"/>
      <c r="AE161" s="22"/>
      <c r="AF161" s="43"/>
      <c r="AG161" s="43"/>
      <c r="AH161" s="43" t="s">
        <v>2503</v>
      </c>
      <c r="AI161" s="22" t="s">
        <v>2505</v>
      </c>
      <c r="AJ161" s="43"/>
      <c r="AK161" s="43"/>
      <c r="AL161" s="43"/>
      <c r="AM161" s="43"/>
      <c r="AN161" s="43"/>
      <c r="AO161" s="43"/>
      <c r="AP161" s="46" t="s">
        <v>2506</v>
      </c>
      <c r="AQ161" s="43"/>
      <c r="AR161" s="43"/>
      <c r="AS161" s="43"/>
      <c r="AT161" s="43"/>
      <c r="AU161" s="43"/>
      <c r="AV161" s="43"/>
      <c r="AW161" s="22" t="s">
        <v>2452</v>
      </c>
      <c r="AX161" s="22"/>
      <c r="AY161" s="43"/>
      <c r="AZ161" s="43"/>
      <c r="BA161" s="43"/>
      <c r="BB161" s="43"/>
      <c r="BC161" s="43"/>
      <c r="BD161" s="43" t="s">
        <v>243</v>
      </c>
      <c r="BE161" s="43" t="s">
        <v>243</v>
      </c>
      <c r="BF161" s="22" t="s">
        <v>131</v>
      </c>
      <c r="BG161" s="22" t="s">
        <v>132</v>
      </c>
      <c r="BH161" s="22" t="s">
        <v>132</v>
      </c>
      <c r="BI161" s="22" t="s">
        <v>132</v>
      </c>
      <c r="BJ161" s="43"/>
      <c r="BK161" s="43"/>
      <c r="BL161" s="22" t="s">
        <v>2507</v>
      </c>
      <c r="BM161" s="22">
        <v>2.106909803E9</v>
      </c>
      <c r="BN161" s="22"/>
      <c r="BO161" s="22"/>
      <c r="BP161" s="22" t="s">
        <v>245</v>
      </c>
      <c r="BQ161" s="43"/>
      <c r="BR161" s="43"/>
      <c r="BS161" s="22"/>
      <c r="BT161" s="43"/>
      <c r="BU161" s="22"/>
      <c r="BV161" s="43"/>
      <c r="BW161" s="22"/>
      <c r="BX161" s="22"/>
      <c r="BY161" s="43"/>
      <c r="BZ161" s="43"/>
      <c r="CA161" s="22"/>
      <c r="CB161" s="22"/>
      <c r="CC161" s="45"/>
      <c r="CD161" s="43"/>
      <c r="CE161" s="43"/>
      <c r="CF161" s="45"/>
      <c r="CG161" s="43"/>
      <c r="CH161" s="43"/>
      <c r="CI161" s="43"/>
      <c r="CJ161" s="43"/>
      <c r="CK161" s="43"/>
      <c r="CL161" s="43"/>
      <c r="CM161" s="49">
        <f>IFERROR(VLOOKUP(B161,CC!A:D,4,0)," ")</f>
        <v>330</v>
      </c>
      <c r="CN161" s="22"/>
      <c r="CO161" s="22"/>
      <c r="CP161" s="43"/>
      <c r="CQ161" s="22" t="s">
        <v>401</v>
      </c>
      <c r="CR161" s="43"/>
      <c r="CS161" s="43"/>
      <c r="CT161" s="22" t="s">
        <v>145</v>
      </c>
      <c r="CU161" s="43"/>
      <c r="CV161" s="43"/>
      <c r="CW161" s="43"/>
      <c r="CX161" s="43"/>
      <c r="CY161" s="43" t="b">
        <v>0</v>
      </c>
      <c r="CZ161" s="43" t="b">
        <v>0</v>
      </c>
      <c r="DA161" s="43" t="b">
        <v>0</v>
      </c>
      <c r="DB161" s="43" t="b">
        <v>0</v>
      </c>
      <c r="DC161" s="43"/>
      <c r="DD161" s="43"/>
      <c r="DE161" s="43"/>
      <c r="DF161" s="43"/>
      <c r="DG161" s="43"/>
      <c r="DH161" s="43"/>
      <c r="DI161" s="43"/>
      <c r="DJ161" s="22">
        <f>IFERROR(VLOOKUP($B161,'Лист4'!$D:$AI,27,0)," ")</f>
        <v>14</v>
      </c>
      <c r="DK161" s="22">
        <f>IFERROR(VLOOKUP($B161,'Лист4'!$D:$AI,28,0)," ")</f>
        <v>21</v>
      </c>
      <c r="DL161" s="22">
        <f>IFERROR(VLOOKUP($B161,'Лист4'!$D:$AI,29,0)," ")</f>
        <v>14</v>
      </c>
      <c r="DM161" s="22">
        <f t="shared" si="1"/>
        <v>4116</v>
      </c>
      <c r="DN161" s="22">
        <f>IFERROR(VLOOKUP($B161,'Лист4'!$D:$AI,32,0)," ")</f>
        <v>0.075</v>
      </c>
      <c r="DO161" s="22"/>
      <c r="DP161" s="22"/>
      <c r="DQ161" s="22"/>
      <c r="DR161" s="22"/>
      <c r="DS161" s="22"/>
      <c r="DT161" s="22"/>
      <c r="DU161" s="22"/>
      <c r="DV161" s="22"/>
      <c r="DW161" s="22"/>
      <c r="DX161" s="22"/>
      <c r="DY161" s="22"/>
      <c r="DZ161" s="22"/>
      <c r="EA161" s="22"/>
      <c r="EB161" s="22"/>
      <c r="EC161" s="22"/>
      <c r="ED161" s="22"/>
      <c r="EE161" s="22"/>
      <c r="EF161" s="22"/>
      <c r="EG161" s="22"/>
      <c r="EH161" s="22"/>
      <c r="EI161" s="22"/>
      <c r="EJ161" s="22"/>
      <c r="EK161" s="22"/>
      <c r="EL161" s="22"/>
      <c r="EM161" s="22"/>
      <c r="EN161" s="22"/>
      <c r="EO161" s="22"/>
      <c r="EP161" s="22"/>
      <c r="EQ161" s="22"/>
      <c r="ER161" s="22"/>
      <c r="ES161" s="43"/>
      <c r="ET161" s="43"/>
      <c r="EU161" s="43"/>
      <c r="EV161" s="43"/>
      <c r="EW161" s="43"/>
      <c r="EX161" s="43"/>
      <c r="EY161" s="43"/>
      <c r="EZ161" s="43"/>
      <c r="FA161" s="43"/>
      <c r="FB161" s="43"/>
      <c r="FC161" s="43"/>
      <c r="FD161" s="43"/>
      <c r="FE161" s="43"/>
      <c r="FF161" s="43"/>
      <c r="FG161" s="43"/>
      <c r="FH161" s="43"/>
      <c r="FI161" s="43"/>
    </row>
    <row r="162" ht="18.0" customHeight="1">
      <c r="A162" s="22" t="s">
        <v>116</v>
      </c>
      <c r="B162" s="43" t="s">
        <v>2508</v>
      </c>
      <c r="C162" s="22" t="s">
        <v>283</v>
      </c>
      <c r="D162" s="22" t="s">
        <v>187</v>
      </c>
      <c r="E162" s="43" t="s">
        <v>521</v>
      </c>
      <c r="F162" s="22" t="s">
        <v>2509</v>
      </c>
      <c r="G162" s="22"/>
      <c r="H162" s="22"/>
      <c r="I162" s="43"/>
      <c r="J162" s="43"/>
      <c r="K162" s="22" t="b">
        <v>1</v>
      </c>
      <c r="L162" s="22" t="b">
        <v>0</v>
      </c>
      <c r="M162" s="22" t="b">
        <v>1</v>
      </c>
      <c r="N162" s="22" t="b">
        <v>0</v>
      </c>
      <c r="O162" s="22" t="b">
        <v>0</v>
      </c>
      <c r="P162" s="22" t="b">
        <v>0</v>
      </c>
      <c r="Q162" s="22" t="b">
        <v>0</v>
      </c>
      <c r="R162" s="43"/>
      <c r="S162" s="43" t="s">
        <v>2510</v>
      </c>
      <c r="T162" s="22"/>
      <c r="U162" s="22" t="s">
        <v>2508</v>
      </c>
      <c r="V162" s="22"/>
      <c r="W162" s="43"/>
      <c r="X162" s="43"/>
      <c r="Y162" s="43"/>
      <c r="Z162" s="43"/>
      <c r="AA162" s="22"/>
      <c r="AB162" s="22">
        <v>1.044887692E9</v>
      </c>
      <c r="AC162" s="22"/>
      <c r="AD162" s="22"/>
      <c r="AE162" s="22"/>
      <c r="AF162" s="43"/>
      <c r="AG162" s="43"/>
      <c r="AH162" s="43" t="s">
        <v>2509</v>
      </c>
      <c r="AI162" s="43"/>
      <c r="AJ162" s="22" t="s">
        <v>701</v>
      </c>
      <c r="AK162" s="43"/>
      <c r="AL162" s="43"/>
      <c r="AM162" s="43"/>
      <c r="AN162" s="43"/>
      <c r="AO162" s="43"/>
      <c r="AP162" s="43"/>
      <c r="AQ162" s="46" t="s">
        <v>2511</v>
      </c>
      <c r="AR162" s="43"/>
      <c r="AS162" s="43"/>
      <c r="AT162" s="43"/>
      <c r="AU162" s="43"/>
      <c r="AV162" s="43"/>
      <c r="AW162" s="22"/>
      <c r="AX162" s="22" t="s">
        <v>701</v>
      </c>
      <c r="AY162" s="43"/>
      <c r="AZ162" s="43"/>
      <c r="BA162" s="43"/>
      <c r="BB162" s="43"/>
      <c r="BC162" s="43"/>
      <c r="BD162" s="43" t="s">
        <v>401</v>
      </c>
      <c r="BE162" s="43" t="s">
        <v>243</v>
      </c>
      <c r="BF162" s="22" t="s">
        <v>131</v>
      </c>
      <c r="BG162" s="22" t="s">
        <v>132</v>
      </c>
      <c r="BH162" s="22" t="s">
        <v>132</v>
      </c>
      <c r="BI162" s="22" t="s">
        <v>132</v>
      </c>
      <c r="BJ162" s="43"/>
      <c r="BK162" s="43"/>
      <c r="BL162" s="22" t="s">
        <v>401</v>
      </c>
      <c r="BM162" s="22"/>
      <c r="BN162" s="22" t="s">
        <v>401</v>
      </c>
      <c r="BO162" s="22"/>
      <c r="BP162" s="22" t="s">
        <v>401</v>
      </c>
      <c r="BQ162" s="43"/>
      <c r="BR162" s="43"/>
      <c r="BS162" s="22" t="s">
        <v>401</v>
      </c>
      <c r="BT162" s="43"/>
      <c r="BU162" s="22" t="s">
        <v>401</v>
      </c>
      <c r="BV162" s="43" t="s">
        <v>401</v>
      </c>
      <c r="BW162" s="22" t="s">
        <v>401</v>
      </c>
      <c r="BX162" s="22"/>
      <c r="BY162" s="43"/>
      <c r="BZ162" s="43"/>
      <c r="CA162" s="22" t="s">
        <v>401</v>
      </c>
      <c r="CB162" s="22" t="s">
        <v>401</v>
      </c>
      <c r="CC162" s="44" t="s">
        <v>712</v>
      </c>
      <c r="CD162" s="43"/>
      <c r="CE162" s="43"/>
      <c r="CF162" s="45" t="s">
        <v>401</v>
      </c>
      <c r="CG162" s="43"/>
      <c r="CH162" s="43"/>
      <c r="CI162" s="43"/>
      <c r="CJ162" s="43"/>
      <c r="CK162" s="43"/>
      <c r="CL162" s="43"/>
      <c r="CM162" s="49">
        <f>IFERROR(VLOOKUP(B162,CC!A:D,4,0)," ")</f>
        <v>423</v>
      </c>
      <c r="CN162" s="22" t="s">
        <v>401</v>
      </c>
      <c r="CO162" s="22"/>
      <c r="CP162" s="43"/>
      <c r="CQ162" s="22">
        <v>60.0</v>
      </c>
      <c r="CR162" s="43"/>
      <c r="CS162" s="43"/>
      <c r="CT162" s="22" t="s">
        <v>145</v>
      </c>
      <c r="CU162" s="43"/>
      <c r="CV162" s="43"/>
      <c r="CW162" s="43"/>
      <c r="CX162" s="43"/>
      <c r="CY162" s="43" t="b">
        <v>0</v>
      </c>
      <c r="CZ162" s="43" t="b">
        <v>0</v>
      </c>
      <c r="DA162" s="43" t="b">
        <v>0</v>
      </c>
      <c r="DB162" s="43" t="b">
        <v>0</v>
      </c>
      <c r="DC162" s="43"/>
      <c r="DD162" s="43"/>
      <c r="DE162" s="43"/>
      <c r="DF162" s="43"/>
      <c r="DG162" s="43"/>
      <c r="DH162" s="43"/>
      <c r="DI162" s="43"/>
      <c r="DJ162" s="22">
        <f>IFERROR(VLOOKUP($B162,'Лист4'!$D:$AI,27,0)," ")</f>
        <v>6</v>
      </c>
      <c r="DK162" s="22">
        <f>IFERROR(VLOOKUP($B162,'Лист4'!$D:$AI,28,0)," ")</f>
        <v>21</v>
      </c>
      <c r="DL162" s="22">
        <f>IFERROR(VLOOKUP($B162,'Лист4'!$D:$AI,29,0)," ")</f>
        <v>6</v>
      </c>
      <c r="DM162" s="22">
        <f t="shared" si="1"/>
        <v>756</v>
      </c>
      <c r="DN162" s="22">
        <f>IFERROR(VLOOKUP($B162,'Лист4'!$D:$AI,32,0)," ")</f>
        <v>0.576</v>
      </c>
      <c r="DO162" s="22"/>
      <c r="DP162" s="22"/>
      <c r="DQ162" s="22"/>
      <c r="DR162" s="22"/>
      <c r="DS162" s="22"/>
      <c r="DT162" s="22"/>
      <c r="DU162" s="22"/>
      <c r="DV162" s="22"/>
      <c r="DW162" s="22"/>
      <c r="DX162" s="22"/>
      <c r="DY162" s="22"/>
      <c r="DZ162" s="22"/>
      <c r="EA162" s="22"/>
      <c r="EB162" s="22"/>
      <c r="EC162" s="22"/>
      <c r="ED162" s="22"/>
      <c r="EE162" s="22"/>
      <c r="EF162" s="22"/>
      <c r="EG162" s="22"/>
      <c r="EH162" s="22"/>
      <c r="EI162" s="22"/>
      <c r="EJ162" s="22"/>
      <c r="EK162" s="22"/>
      <c r="EL162" s="22"/>
      <c r="EM162" s="22"/>
      <c r="EN162" s="22"/>
      <c r="EO162" s="22"/>
      <c r="EP162" s="22"/>
      <c r="EQ162" s="22"/>
      <c r="ER162" s="22"/>
      <c r="ES162" s="43"/>
      <c r="ET162" s="43"/>
      <c r="EU162" s="43"/>
      <c r="EV162" s="43"/>
      <c r="EW162" s="43"/>
      <c r="EX162" s="43"/>
      <c r="EY162" s="43"/>
      <c r="EZ162" s="43"/>
      <c r="FA162" s="43"/>
      <c r="FB162" s="43"/>
      <c r="FC162" s="43"/>
      <c r="FD162" s="43"/>
      <c r="FE162" s="43"/>
      <c r="FF162" s="43"/>
      <c r="FG162" s="43"/>
      <c r="FH162" s="43"/>
      <c r="FI162" s="43"/>
    </row>
    <row r="163" ht="18.0" customHeight="1">
      <c r="A163" s="22" t="s">
        <v>116</v>
      </c>
      <c r="B163" s="43" t="s">
        <v>2512</v>
      </c>
      <c r="C163" s="22" t="s">
        <v>283</v>
      </c>
      <c r="D163" s="22" t="s">
        <v>187</v>
      </c>
      <c r="E163" s="43" t="s">
        <v>521</v>
      </c>
      <c r="F163" s="22" t="s">
        <v>2513</v>
      </c>
      <c r="G163" s="22"/>
      <c r="H163" s="22"/>
      <c r="I163" s="43"/>
      <c r="J163" s="43"/>
      <c r="K163" s="22" t="b">
        <v>1</v>
      </c>
      <c r="L163" s="22" t="b">
        <v>1</v>
      </c>
      <c r="M163" s="22" t="b">
        <v>1</v>
      </c>
      <c r="N163" s="22" t="b">
        <v>0</v>
      </c>
      <c r="O163" s="22" t="b">
        <v>0</v>
      </c>
      <c r="P163" s="22" t="b">
        <v>0</v>
      </c>
      <c r="Q163" s="22" t="b">
        <v>0</v>
      </c>
      <c r="R163" s="43"/>
      <c r="S163" s="43" t="s">
        <v>2514</v>
      </c>
      <c r="T163" s="22" t="s">
        <v>2512</v>
      </c>
      <c r="U163" s="22" t="s">
        <v>2512</v>
      </c>
      <c r="V163" s="22"/>
      <c r="W163" s="43"/>
      <c r="X163" s="43"/>
      <c r="Y163" s="43"/>
      <c r="Z163" s="43"/>
      <c r="AA163" s="22">
        <v>9.1969281E7</v>
      </c>
      <c r="AB163" s="22">
        <v>6.5063206E8</v>
      </c>
      <c r="AC163" s="22"/>
      <c r="AD163" s="22"/>
      <c r="AE163" s="22"/>
      <c r="AF163" s="43"/>
      <c r="AG163" s="43"/>
      <c r="AH163" s="43" t="s">
        <v>2513</v>
      </c>
      <c r="AI163" s="22" t="s">
        <v>1067</v>
      </c>
      <c r="AJ163" s="22" t="s">
        <v>2515</v>
      </c>
      <c r="AK163" s="43"/>
      <c r="AL163" s="43"/>
      <c r="AM163" s="43"/>
      <c r="AN163" s="43"/>
      <c r="AO163" s="43"/>
      <c r="AP163" s="46" t="s">
        <v>2516</v>
      </c>
      <c r="AQ163" s="46" t="s">
        <v>2517</v>
      </c>
      <c r="AR163" s="43"/>
      <c r="AS163" s="43"/>
      <c r="AT163" s="43"/>
      <c r="AU163" s="43"/>
      <c r="AV163" s="43"/>
      <c r="AW163" s="22" t="s">
        <v>361</v>
      </c>
      <c r="AX163" s="22" t="s">
        <v>2515</v>
      </c>
      <c r="AY163" s="43"/>
      <c r="AZ163" s="43"/>
      <c r="BA163" s="43"/>
      <c r="BB163" s="43"/>
      <c r="BC163" s="43"/>
      <c r="BD163" s="43" t="s">
        <v>243</v>
      </c>
      <c r="BE163" s="43" t="s">
        <v>243</v>
      </c>
      <c r="BF163" s="22" t="s">
        <v>131</v>
      </c>
      <c r="BG163" s="22" t="s">
        <v>132</v>
      </c>
      <c r="BH163" s="22" t="s">
        <v>132</v>
      </c>
      <c r="BI163" s="22" t="s">
        <v>132</v>
      </c>
      <c r="BJ163" s="43"/>
      <c r="BK163" s="43"/>
      <c r="BL163" s="22" t="s">
        <v>2518</v>
      </c>
      <c r="BM163" s="22">
        <v>2.106909808E9</v>
      </c>
      <c r="BN163" s="22" t="s">
        <v>1037</v>
      </c>
      <c r="BO163" s="22"/>
      <c r="BP163" s="22" t="s">
        <v>245</v>
      </c>
      <c r="BQ163" s="43"/>
      <c r="BR163" s="43"/>
      <c r="BS163" s="22" t="s">
        <v>1039</v>
      </c>
      <c r="BT163" s="43"/>
      <c r="BU163" s="22" t="s">
        <v>1040</v>
      </c>
      <c r="BV163" s="43" t="s">
        <v>557</v>
      </c>
      <c r="BW163" s="22" t="s">
        <v>1042</v>
      </c>
      <c r="BX163" s="22">
        <v>30.0</v>
      </c>
      <c r="BY163" s="22" t="s">
        <v>421</v>
      </c>
      <c r="BZ163" s="22"/>
      <c r="CA163" s="22" t="s">
        <v>849</v>
      </c>
      <c r="CB163" s="22" t="s">
        <v>307</v>
      </c>
      <c r="CC163" s="45" t="s">
        <v>1044</v>
      </c>
      <c r="CD163" s="43"/>
      <c r="CE163" s="43"/>
      <c r="CF163" s="45" t="s">
        <v>1044</v>
      </c>
      <c r="CG163" s="43"/>
      <c r="CH163" s="43"/>
      <c r="CI163" s="43"/>
      <c r="CJ163" s="43"/>
      <c r="CK163" s="43"/>
      <c r="CL163" s="43"/>
      <c r="CM163" s="49">
        <f>IFERROR(VLOOKUP(B163,CC!A:D,4,0)," ")</f>
        <v>189.61</v>
      </c>
      <c r="CN163" s="22" t="s">
        <v>400</v>
      </c>
      <c r="CO163" s="22"/>
      <c r="CP163" s="22" t="s">
        <v>562</v>
      </c>
      <c r="CQ163" s="22" t="s">
        <v>401</v>
      </c>
      <c r="CR163" s="43"/>
      <c r="CS163" s="22">
        <v>10.0</v>
      </c>
      <c r="CT163" s="22" t="s">
        <v>145</v>
      </c>
      <c r="CU163" s="43"/>
      <c r="CV163" s="43"/>
      <c r="CW163" s="43"/>
      <c r="CX163" s="43"/>
      <c r="CY163" s="43" t="b">
        <v>0</v>
      </c>
      <c r="CZ163" s="43" t="b">
        <v>0</v>
      </c>
      <c r="DA163" s="43" t="b">
        <v>0</v>
      </c>
      <c r="DB163" s="43" t="b">
        <v>0</v>
      </c>
      <c r="DC163" s="43"/>
      <c r="DD163" s="43"/>
      <c r="DE163" s="43"/>
      <c r="DF163" s="43"/>
      <c r="DG163" s="43"/>
      <c r="DH163" s="43"/>
      <c r="DI163" s="43"/>
      <c r="DJ163" s="22">
        <f>IFERROR(VLOOKUP($B163,'Лист4'!$D:$AI,27,0)," ")</f>
        <v>10</v>
      </c>
      <c r="DK163" s="22">
        <f>IFERROR(VLOOKUP($B163,'Лист4'!$D:$AI,28,0)," ")</f>
        <v>5</v>
      </c>
      <c r="DL163" s="22">
        <f>IFERROR(VLOOKUP($B163,'Лист4'!$D:$AI,29,0)," ")</f>
        <v>10</v>
      </c>
      <c r="DM163" s="22">
        <f t="shared" si="1"/>
        <v>500</v>
      </c>
      <c r="DN163" s="22">
        <f>IFERROR(VLOOKUP($B163,'Лист4'!$D:$AI,32,0)," ")</f>
        <v>0.072</v>
      </c>
      <c r="DO163" s="22"/>
      <c r="DP163" s="22"/>
      <c r="DQ163" s="22"/>
      <c r="DR163" s="22"/>
      <c r="DS163" s="22"/>
      <c r="DT163" s="22"/>
      <c r="DU163" s="22"/>
      <c r="DV163" s="22"/>
      <c r="DW163" s="22"/>
      <c r="DX163" s="22"/>
      <c r="DY163" s="22"/>
      <c r="DZ163" s="22"/>
      <c r="EA163" s="22"/>
      <c r="EB163" s="22"/>
      <c r="EC163" s="22"/>
      <c r="ED163" s="22"/>
      <c r="EE163" s="22"/>
      <c r="EF163" s="22"/>
      <c r="EG163" s="22"/>
      <c r="EH163" s="22"/>
      <c r="EI163" s="22"/>
      <c r="EJ163" s="22"/>
      <c r="EK163" s="22"/>
      <c r="EL163" s="22"/>
      <c r="EM163" s="22"/>
      <c r="EN163" s="22"/>
      <c r="EO163" s="22"/>
      <c r="EP163" s="22"/>
      <c r="EQ163" s="22"/>
      <c r="ER163" s="22"/>
      <c r="ES163" s="43"/>
      <c r="ET163" s="43"/>
      <c r="EU163" s="43"/>
      <c r="EV163" s="43"/>
      <c r="EW163" s="43"/>
      <c r="EX163" s="43"/>
      <c r="EY163" s="43"/>
      <c r="EZ163" s="43"/>
      <c r="FA163" s="43"/>
      <c r="FB163" s="43"/>
      <c r="FC163" s="43"/>
      <c r="FD163" s="43"/>
      <c r="FE163" s="43"/>
      <c r="FF163" s="43"/>
      <c r="FG163" s="43"/>
      <c r="FH163" s="43"/>
      <c r="FI163" s="43"/>
    </row>
    <row r="164" ht="18.0" customHeight="1">
      <c r="A164" s="22" t="s">
        <v>116</v>
      </c>
      <c r="B164" s="43" t="s">
        <v>2519</v>
      </c>
      <c r="C164" s="22" t="s">
        <v>283</v>
      </c>
      <c r="D164" s="22" t="s">
        <v>187</v>
      </c>
      <c r="E164" s="43" t="s">
        <v>521</v>
      </c>
      <c r="F164" s="22" t="s">
        <v>2520</v>
      </c>
      <c r="G164" s="22"/>
      <c r="H164" s="22"/>
      <c r="I164" s="43"/>
      <c r="J164" s="43"/>
      <c r="K164" s="22" t="b">
        <v>1</v>
      </c>
      <c r="L164" s="22" t="b">
        <v>1</v>
      </c>
      <c r="M164" s="22" t="b">
        <v>1</v>
      </c>
      <c r="N164" s="22" t="b">
        <v>0</v>
      </c>
      <c r="O164" s="22" t="b">
        <v>0</v>
      </c>
      <c r="P164" s="22" t="b">
        <v>0</v>
      </c>
      <c r="Q164" s="22" t="b">
        <v>0</v>
      </c>
      <c r="R164" s="43"/>
      <c r="S164" s="43" t="s">
        <v>2521</v>
      </c>
      <c r="T164" s="22" t="s">
        <v>2519</v>
      </c>
      <c r="U164" s="22" t="s">
        <v>2519</v>
      </c>
      <c r="V164" s="22"/>
      <c r="W164" s="43"/>
      <c r="X164" s="43"/>
      <c r="Y164" s="43"/>
      <c r="Z164" s="43"/>
      <c r="AA164" s="22">
        <v>1.45755982E8</v>
      </c>
      <c r="AB164" s="22">
        <v>8.71788218E8</v>
      </c>
      <c r="AC164" s="22"/>
      <c r="AD164" s="22"/>
      <c r="AE164" s="22"/>
      <c r="AF164" s="43"/>
      <c r="AG164" s="43"/>
      <c r="AH164" s="43" t="s">
        <v>2520</v>
      </c>
      <c r="AI164" s="22" t="s">
        <v>2522</v>
      </c>
      <c r="AJ164" s="22" t="s">
        <v>2523</v>
      </c>
      <c r="AK164" s="43"/>
      <c r="AL164" s="43"/>
      <c r="AM164" s="43"/>
      <c r="AN164" s="43"/>
      <c r="AO164" s="43"/>
      <c r="AP164" s="46" t="s">
        <v>2524</v>
      </c>
      <c r="AQ164" s="46" t="s">
        <v>2525</v>
      </c>
      <c r="AR164" s="43"/>
      <c r="AS164" s="43"/>
      <c r="AT164" s="43"/>
      <c r="AU164" s="43"/>
      <c r="AV164" s="43"/>
      <c r="AW164" s="22" t="s">
        <v>361</v>
      </c>
      <c r="AX164" s="22" t="s">
        <v>2523</v>
      </c>
      <c r="AY164" s="43"/>
      <c r="AZ164" s="43"/>
      <c r="BA164" s="43"/>
      <c r="BB164" s="43"/>
      <c r="BC164" s="43"/>
      <c r="BD164" s="43" t="s">
        <v>243</v>
      </c>
      <c r="BE164" s="43" t="s">
        <v>243</v>
      </c>
      <c r="BF164" s="22" t="s">
        <v>131</v>
      </c>
      <c r="BG164" s="22" t="s">
        <v>132</v>
      </c>
      <c r="BH164" s="22" t="s">
        <v>132</v>
      </c>
      <c r="BI164" s="22" t="s">
        <v>132</v>
      </c>
      <c r="BJ164" s="43"/>
      <c r="BK164" s="43"/>
      <c r="BL164" s="22" t="s">
        <v>2526</v>
      </c>
      <c r="BM164" s="22">
        <v>2.106909808E9</v>
      </c>
      <c r="BN164" s="22" t="s">
        <v>1037</v>
      </c>
      <c r="BO164" s="22"/>
      <c r="BP164" s="22" t="s">
        <v>245</v>
      </c>
      <c r="BQ164" s="43"/>
      <c r="BR164" s="43"/>
      <c r="BS164" s="22"/>
      <c r="BT164" s="43"/>
      <c r="BU164" s="22"/>
      <c r="BV164" s="43"/>
      <c r="BW164" s="22"/>
      <c r="BX164" s="22"/>
      <c r="BY164" s="58" t="s">
        <v>2237</v>
      </c>
      <c r="BZ164" s="58"/>
      <c r="CA164" s="22"/>
      <c r="CB164" s="22"/>
      <c r="CC164" s="45"/>
      <c r="CD164" s="43"/>
      <c r="CE164" s="43"/>
      <c r="CF164" s="45"/>
      <c r="CG164" s="43"/>
      <c r="CH164" s="43"/>
      <c r="CI164" s="43"/>
      <c r="CJ164" s="43"/>
      <c r="CK164" s="43"/>
      <c r="CL164" s="43"/>
      <c r="CM164" s="49">
        <f>IFERROR(VLOOKUP(B164,CC!A:D,4,0)," ")</f>
        <v>379.22</v>
      </c>
      <c r="CN164" s="22" t="s">
        <v>400</v>
      </c>
      <c r="CO164" s="22"/>
      <c r="CP164" s="43"/>
      <c r="CQ164" s="22" t="s">
        <v>401</v>
      </c>
      <c r="CR164" s="43"/>
      <c r="CS164" s="22">
        <v>10.0</v>
      </c>
      <c r="CT164" s="22" t="s">
        <v>145</v>
      </c>
      <c r="CU164" s="43"/>
      <c r="CV164" s="43"/>
      <c r="CW164" s="43"/>
      <c r="CX164" s="43"/>
      <c r="CY164" s="43" t="b">
        <v>0</v>
      </c>
      <c r="CZ164" s="43" t="b">
        <v>0</v>
      </c>
      <c r="DA164" s="43" t="b">
        <v>0</v>
      </c>
      <c r="DB164" s="43" t="b">
        <v>0</v>
      </c>
      <c r="DC164" s="43"/>
      <c r="DD164" s="43"/>
      <c r="DE164" s="43"/>
      <c r="DF164" s="43"/>
      <c r="DG164" s="43"/>
      <c r="DH164" s="43"/>
      <c r="DI164" s="43"/>
      <c r="DJ164" s="22">
        <f>IFERROR(VLOOKUP($B164,'Лист4'!$D:$AI,27,0)," ")</f>
        <v>14</v>
      </c>
      <c r="DK164" s="22">
        <f>IFERROR(VLOOKUP($B164,'Лист4'!$D:$AI,28,0)," ")</f>
        <v>6</v>
      </c>
      <c r="DL164" s="22">
        <f>IFERROR(VLOOKUP($B164,'Лист4'!$D:$AI,29,0)," ")</f>
        <v>14</v>
      </c>
      <c r="DM164" s="22">
        <f t="shared" si="1"/>
        <v>1176</v>
      </c>
      <c r="DN164" s="22">
        <f>IFERROR(VLOOKUP($B164,'Лист4'!$D:$AI,32,0)," ")</f>
        <v>0.1</v>
      </c>
      <c r="DO164" s="22"/>
      <c r="DP164" s="22"/>
      <c r="DQ164" s="22"/>
      <c r="DR164" s="22"/>
      <c r="DS164" s="22"/>
      <c r="DT164" s="22"/>
      <c r="DU164" s="22"/>
      <c r="DV164" s="22"/>
      <c r="DW164" s="22"/>
      <c r="DX164" s="22"/>
      <c r="DY164" s="22"/>
      <c r="DZ164" s="22"/>
      <c r="EA164" s="22"/>
      <c r="EB164" s="22"/>
      <c r="EC164" s="22"/>
      <c r="ED164" s="22"/>
      <c r="EE164" s="22"/>
      <c r="EF164" s="22"/>
      <c r="EG164" s="22"/>
      <c r="EH164" s="22"/>
      <c r="EI164" s="22"/>
      <c r="EJ164" s="22"/>
      <c r="EK164" s="22"/>
      <c r="EL164" s="22"/>
      <c r="EM164" s="22"/>
      <c r="EN164" s="22"/>
      <c r="EO164" s="22"/>
      <c r="EP164" s="22"/>
      <c r="EQ164" s="22"/>
      <c r="ER164" s="22"/>
      <c r="ES164" s="43"/>
      <c r="ET164" s="43"/>
      <c r="EU164" s="43"/>
      <c r="EV164" s="43"/>
      <c r="EW164" s="43"/>
      <c r="EX164" s="43"/>
      <c r="EY164" s="43"/>
      <c r="EZ164" s="43"/>
      <c r="FA164" s="43"/>
      <c r="FB164" s="43"/>
      <c r="FC164" s="43"/>
      <c r="FD164" s="43"/>
      <c r="FE164" s="43"/>
      <c r="FF164" s="43"/>
      <c r="FG164" s="43"/>
      <c r="FH164" s="43"/>
      <c r="FI164" s="43"/>
    </row>
    <row r="165" ht="18.0" customHeight="1">
      <c r="A165" s="22" t="s">
        <v>116</v>
      </c>
      <c r="B165" s="43" t="s">
        <v>2527</v>
      </c>
      <c r="C165" s="22" t="s">
        <v>283</v>
      </c>
      <c r="D165" s="22" t="s">
        <v>187</v>
      </c>
      <c r="E165" s="43" t="s">
        <v>521</v>
      </c>
      <c r="F165" s="22" t="s">
        <v>2528</v>
      </c>
      <c r="G165" s="22"/>
      <c r="H165" s="22"/>
      <c r="I165" s="43"/>
      <c r="J165" s="43"/>
      <c r="K165" s="22" t="b">
        <v>1</v>
      </c>
      <c r="L165" s="22" t="b">
        <v>1</v>
      </c>
      <c r="M165" s="22" t="b">
        <v>1</v>
      </c>
      <c r="N165" s="22" t="b">
        <v>1</v>
      </c>
      <c r="O165" s="22" t="b">
        <v>0</v>
      </c>
      <c r="P165" s="22" t="b">
        <v>0</v>
      </c>
      <c r="Q165" s="22" t="b">
        <v>0</v>
      </c>
      <c r="R165" s="43"/>
      <c r="S165" s="43" t="s">
        <v>2529</v>
      </c>
      <c r="T165" s="22" t="s">
        <v>2527</v>
      </c>
      <c r="U165" s="22" t="s">
        <v>2527</v>
      </c>
      <c r="V165" s="22" t="s">
        <v>2527</v>
      </c>
      <c r="W165" s="43"/>
      <c r="X165" s="43"/>
      <c r="Y165" s="43"/>
      <c r="Z165" s="43"/>
      <c r="AA165" s="22">
        <v>1.59631114E8</v>
      </c>
      <c r="AB165" s="22">
        <v>9.65075765E8</v>
      </c>
      <c r="AC165" s="22">
        <v>1.02024619078E11</v>
      </c>
      <c r="AD165" s="22"/>
      <c r="AE165" s="22"/>
      <c r="AF165" s="43"/>
      <c r="AG165" s="43"/>
      <c r="AH165" s="43" t="s">
        <v>2528</v>
      </c>
      <c r="AI165" s="22" t="s">
        <v>2530</v>
      </c>
      <c r="AJ165" s="22" t="s">
        <v>2531</v>
      </c>
      <c r="AK165" s="22" t="s">
        <v>2531</v>
      </c>
      <c r="AL165" s="43"/>
      <c r="AM165" s="43"/>
      <c r="AN165" s="43"/>
      <c r="AO165" s="43"/>
      <c r="AP165" s="46" t="s">
        <v>2532</v>
      </c>
      <c r="AQ165" s="46" t="s">
        <v>2533</v>
      </c>
      <c r="AR165" s="43"/>
      <c r="AS165" s="43"/>
      <c r="AT165" s="43"/>
      <c r="AU165" s="43"/>
      <c r="AV165" s="43"/>
      <c r="AW165" s="22" t="s">
        <v>528</v>
      </c>
      <c r="AX165" s="22" t="s">
        <v>2531</v>
      </c>
      <c r="AY165" s="22" t="s">
        <v>2534</v>
      </c>
      <c r="AZ165" s="43"/>
      <c r="BA165" s="43"/>
      <c r="BB165" s="43"/>
      <c r="BC165" s="43"/>
      <c r="BD165" s="43" t="s">
        <v>243</v>
      </c>
      <c r="BE165" s="43" t="s">
        <v>243</v>
      </c>
      <c r="BF165" s="22" t="s">
        <v>131</v>
      </c>
      <c r="BG165" s="22" t="s">
        <v>132</v>
      </c>
      <c r="BH165" s="22" t="s">
        <v>132</v>
      </c>
      <c r="BI165" s="22" t="s">
        <v>132</v>
      </c>
      <c r="BJ165" s="43"/>
      <c r="BK165" s="43"/>
      <c r="BL165" s="22">
        <v>4.63020514276E12</v>
      </c>
      <c r="BM165" s="22">
        <v>2.106909808E9</v>
      </c>
      <c r="BN165" s="22" t="s">
        <v>2535</v>
      </c>
      <c r="BO165" s="22"/>
      <c r="BP165" s="22" t="s">
        <v>245</v>
      </c>
      <c r="BQ165" s="43"/>
      <c r="BR165" s="43"/>
      <c r="BS165" s="22" t="s">
        <v>2536</v>
      </c>
      <c r="BT165" s="43"/>
      <c r="BU165" s="22" t="s">
        <v>2537</v>
      </c>
      <c r="BV165" s="43" t="s">
        <v>2402</v>
      </c>
      <c r="BW165" s="22" t="s">
        <v>2403</v>
      </c>
      <c r="BX165" s="22">
        <v>60.0</v>
      </c>
      <c r="BY165" s="22" t="s">
        <v>492</v>
      </c>
      <c r="BZ165" s="43"/>
      <c r="CA165" s="22" t="s">
        <v>355</v>
      </c>
      <c r="CB165" s="22" t="s">
        <v>307</v>
      </c>
      <c r="CC165" s="45" t="s">
        <v>2538</v>
      </c>
      <c r="CD165" s="43"/>
      <c r="CE165" s="43"/>
      <c r="CF165" s="45" t="s">
        <v>2539</v>
      </c>
      <c r="CG165" s="43"/>
      <c r="CH165" s="43"/>
      <c r="CI165" s="43"/>
      <c r="CJ165" s="43"/>
      <c r="CK165" s="43"/>
      <c r="CL165" s="43"/>
      <c r="CM165" s="49">
        <f>IFERROR(VLOOKUP(B165,CC!A:D,4,0)," ")</f>
        <v>370</v>
      </c>
      <c r="CN165" s="22" t="s">
        <v>494</v>
      </c>
      <c r="CO165" s="22"/>
      <c r="CP165" s="22" t="s">
        <v>495</v>
      </c>
      <c r="CQ165" s="22">
        <v>60.0</v>
      </c>
      <c r="CR165" s="43"/>
      <c r="CS165" s="22">
        <v>5.0</v>
      </c>
      <c r="CT165" s="22" t="s">
        <v>496</v>
      </c>
      <c r="CU165" s="43"/>
      <c r="CV165" s="43"/>
      <c r="CW165" s="43"/>
      <c r="CX165" s="43"/>
      <c r="CY165" s="43" t="b">
        <v>0</v>
      </c>
      <c r="CZ165" s="43" t="b">
        <v>0</v>
      </c>
      <c r="DA165" s="43" t="b">
        <v>0</v>
      </c>
      <c r="DB165" s="43" t="b">
        <v>0</v>
      </c>
      <c r="DC165" s="43"/>
      <c r="DD165" s="43"/>
      <c r="DE165" s="43"/>
      <c r="DF165" s="43"/>
      <c r="DG165" s="43"/>
      <c r="DH165" s="43"/>
      <c r="DI165" s="43"/>
      <c r="DJ165" s="22">
        <f>IFERROR(VLOOKUP($B165,'Лист4'!$D:$AI,27,0)," ")</f>
        <v>6</v>
      </c>
      <c r="DK165" s="22">
        <f>IFERROR(VLOOKUP($B165,'Лист4'!$D:$AI,28,0)," ")</f>
        <v>6</v>
      </c>
      <c r="DL165" s="22">
        <f>IFERROR(VLOOKUP($B165,'Лист4'!$D:$AI,29,0)," ")</f>
        <v>6</v>
      </c>
      <c r="DM165" s="22">
        <f t="shared" si="1"/>
        <v>216</v>
      </c>
      <c r="DN165" s="22">
        <f>IFERROR(VLOOKUP($B165,'Лист4'!$D:$AI,32,0)," ")</f>
        <v>0.094</v>
      </c>
      <c r="DO165" s="22"/>
      <c r="DP165" s="22"/>
      <c r="DQ165" s="22"/>
      <c r="DR165" s="22"/>
      <c r="DS165" s="22"/>
      <c r="DT165" s="22"/>
      <c r="DU165" s="22"/>
      <c r="DV165" s="22"/>
      <c r="DW165" s="22"/>
      <c r="DX165" s="22"/>
      <c r="DY165" s="22"/>
      <c r="DZ165" s="22"/>
      <c r="EA165" s="22"/>
      <c r="EB165" s="22"/>
      <c r="EC165" s="22"/>
      <c r="ED165" s="22"/>
      <c r="EE165" s="22"/>
      <c r="EF165" s="22"/>
      <c r="EG165" s="22"/>
      <c r="EH165" s="22"/>
      <c r="EI165" s="22"/>
      <c r="EJ165" s="22"/>
      <c r="EK165" s="22"/>
      <c r="EL165" s="22"/>
      <c r="EM165" s="22"/>
      <c r="EN165" s="22"/>
      <c r="EO165" s="22"/>
      <c r="EP165" s="22"/>
      <c r="EQ165" s="22"/>
      <c r="ER165" s="22"/>
      <c r="ES165" s="43"/>
      <c r="ET165" s="43"/>
      <c r="EU165" s="43"/>
      <c r="EV165" s="43"/>
      <c r="EW165" s="43"/>
      <c r="EX165" s="43"/>
      <c r="EY165" s="43"/>
      <c r="EZ165" s="43"/>
      <c r="FA165" s="43"/>
      <c r="FB165" s="43"/>
      <c r="FC165" s="43"/>
      <c r="FD165" s="43"/>
      <c r="FE165" s="43"/>
      <c r="FF165" s="43"/>
      <c r="FG165" s="43"/>
      <c r="FH165" s="43"/>
      <c r="FI165" s="43"/>
    </row>
    <row r="166" ht="18.0" customHeight="1">
      <c r="A166" s="22" t="s">
        <v>116</v>
      </c>
      <c r="B166" s="43" t="s">
        <v>2540</v>
      </c>
      <c r="C166" s="22" t="s">
        <v>283</v>
      </c>
      <c r="D166" s="22" t="s">
        <v>187</v>
      </c>
      <c r="E166" s="43" t="s">
        <v>521</v>
      </c>
      <c r="F166" s="22" t="s">
        <v>2541</v>
      </c>
      <c r="G166" s="22"/>
      <c r="H166" s="22"/>
      <c r="I166" s="43"/>
      <c r="J166" s="43"/>
      <c r="K166" s="22" t="b">
        <v>1</v>
      </c>
      <c r="L166" s="22" t="b">
        <v>1</v>
      </c>
      <c r="M166" s="22" t="b">
        <v>1</v>
      </c>
      <c r="N166" s="22" t="b">
        <v>0</v>
      </c>
      <c r="O166" s="22" t="b">
        <v>0</v>
      </c>
      <c r="P166" s="22" t="b">
        <v>0</v>
      </c>
      <c r="Q166" s="22" t="b">
        <v>0</v>
      </c>
      <c r="R166" s="43"/>
      <c r="S166" s="43" t="s">
        <v>2542</v>
      </c>
      <c r="T166" s="22" t="s">
        <v>2540</v>
      </c>
      <c r="U166" s="22" t="s">
        <v>2540</v>
      </c>
      <c r="V166" s="22"/>
      <c r="W166" s="43"/>
      <c r="X166" s="43"/>
      <c r="Y166" s="43"/>
      <c r="Z166" s="43"/>
      <c r="AA166" s="22">
        <v>1.74420257E8</v>
      </c>
      <c r="AB166" s="22">
        <v>1.15456231E9</v>
      </c>
      <c r="AC166" s="22"/>
      <c r="AD166" s="22"/>
      <c r="AE166" s="22"/>
      <c r="AF166" s="43"/>
      <c r="AG166" s="43"/>
      <c r="AH166" s="43" t="s">
        <v>2541</v>
      </c>
      <c r="AI166" s="22" t="s">
        <v>2543</v>
      </c>
      <c r="AJ166" s="22" t="s">
        <v>2531</v>
      </c>
      <c r="AK166" s="43"/>
      <c r="AL166" s="43"/>
      <c r="AM166" s="43"/>
      <c r="AN166" s="43"/>
      <c r="AO166" s="43"/>
      <c r="AP166" s="46" t="s">
        <v>2544</v>
      </c>
      <c r="AQ166" s="46" t="s">
        <v>2545</v>
      </c>
      <c r="AR166" s="43"/>
      <c r="AS166" s="43"/>
      <c r="AT166" s="43"/>
      <c r="AU166" s="43"/>
      <c r="AV166" s="43"/>
      <c r="AW166" s="22" t="s">
        <v>528</v>
      </c>
      <c r="AX166" s="22" t="s">
        <v>2531</v>
      </c>
      <c r="AY166" s="43"/>
      <c r="AZ166" s="43"/>
      <c r="BA166" s="43"/>
      <c r="BB166" s="43"/>
      <c r="BC166" s="43"/>
      <c r="BD166" s="43" t="s">
        <v>243</v>
      </c>
      <c r="BE166" s="43" t="s">
        <v>243</v>
      </c>
      <c r="BF166" s="22" t="s">
        <v>131</v>
      </c>
      <c r="BG166" s="22" t="s">
        <v>132</v>
      </c>
      <c r="BH166" s="22" t="s">
        <v>132</v>
      </c>
      <c r="BI166" s="22" t="s">
        <v>132</v>
      </c>
      <c r="BJ166" s="43"/>
      <c r="BK166" s="43"/>
      <c r="BL166" s="22">
        <v>4.673748455225E12</v>
      </c>
      <c r="BM166" s="22">
        <v>2.106909808E9</v>
      </c>
      <c r="BN166" s="22" t="s">
        <v>2546</v>
      </c>
      <c r="BO166" s="22"/>
      <c r="BP166" s="22" t="s">
        <v>245</v>
      </c>
      <c r="BQ166" s="43"/>
      <c r="BR166" s="43"/>
      <c r="BS166" s="22" t="s">
        <v>2547</v>
      </c>
      <c r="BT166" s="43"/>
      <c r="BU166" s="22" t="s">
        <v>1095</v>
      </c>
      <c r="BV166" s="43" t="s">
        <v>2548</v>
      </c>
      <c r="BW166" s="22" t="s">
        <v>2549</v>
      </c>
      <c r="BX166" s="22">
        <v>60.0</v>
      </c>
      <c r="BY166" s="22" t="s">
        <v>492</v>
      </c>
      <c r="BZ166" s="43"/>
      <c r="CA166" s="22" t="s">
        <v>355</v>
      </c>
      <c r="CB166" s="22" t="s">
        <v>307</v>
      </c>
      <c r="CC166" s="45" t="s">
        <v>2550</v>
      </c>
      <c r="CD166" s="43"/>
      <c r="CE166" s="43"/>
      <c r="CF166" s="45" t="s">
        <v>2551</v>
      </c>
      <c r="CG166" s="43"/>
      <c r="CH166" s="43"/>
      <c r="CI166" s="43"/>
      <c r="CJ166" s="43"/>
      <c r="CK166" s="43"/>
      <c r="CL166" s="43"/>
      <c r="CM166" s="49">
        <f>IFERROR(VLOOKUP(B166,CC!A:D,4,0)," ")</f>
        <v>187</v>
      </c>
      <c r="CN166" s="22" t="s">
        <v>2552</v>
      </c>
      <c r="CO166" s="22"/>
      <c r="CP166" s="22" t="s">
        <v>2553</v>
      </c>
      <c r="CQ166" s="22">
        <v>60.0</v>
      </c>
      <c r="CR166" s="43"/>
      <c r="CS166" s="22">
        <v>2.0</v>
      </c>
      <c r="CT166" s="22" t="s">
        <v>145</v>
      </c>
      <c r="CU166" s="43"/>
      <c r="CV166" s="43"/>
      <c r="CW166" s="43"/>
      <c r="CX166" s="43"/>
      <c r="CY166" s="43" t="b">
        <v>0</v>
      </c>
      <c r="CZ166" s="43" t="b">
        <v>0</v>
      </c>
      <c r="DA166" s="43" t="b">
        <v>0</v>
      </c>
      <c r="DB166" s="43" t="b">
        <v>0</v>
      </c>
      <c r="DC166" s="43"/>
      <c r="DD166" s="43"/>
      <c r="DE166" s="43"/>
      <c r="DF166" s="43"/>
      <c r="DG166" s="43"/>
      <c r="DH166" s="43"/>
      <c r="DI166" s="43"/>
      <c r="DJ166" s="22">
        <f>IFERROR(VLOOKUP($B166,'Лист4'!$D:$AI,27,0)," ")</f>
        <v>6</v>
      </c>
      <c r="DK166" s="22">
        <f>IFERROR(VLOOKUP($B166,'Лист4'!$D:$AI,28,0)," ")</f>
        <v>6</v>
      </c>
      <c r="DL166" s="22">
        <f>IFERROR(VLOOKUP($B166,'Лист4'!$D:$AI,29,0)," ")</f>
        <v>6</v>
      </c>
      <c r="DM166" s="22">
        <f t="shared" si="1"/>
        <v>216</v>
      </c>
      <c r="DN166" s="22">
        <f>IFERROR(VLOOKUP($B166,'Лист4'!$D:$AI,32,0)," ")</f>
        <v>0.094</v>
      </c>
      <c r="DO166" s="22"/>
      <c r="DP166" s="22"/>
      <c r="DQ166" s="22"/>
      <c r="DR166" s="22"/>
      <c r="DS166" s="22"/>
      <c r="DT166" s="22"/>
      <c r="DU166" s="22"/>
      <c r="DV166" s="22"/>
      <c r="DW166" s="22"/>
      <c r="DX166" s="22"/>
      <c r="DY166" s="22"/>
      <c r="DZ166" s="22"/>
      <c r="EA166" s="22"/>
      <c r="EB166" s="22"/>
      <c r="EC166" s="22"/>
      <c r="ED166" s="22"/>
      <c r="EE166" s="22"/>
      <c r="EF166" s="22"/>
      <c r="EG166" s="22"/>
      <c r="EH166" s="22"/>
      <c r="EI166" s="22"/>
      <c r="EJ166" s="22"/>
      <c r="EK166" s="22"/>
      <c r="EL166" s="22"/>
      <c r="EM166" s="22"/>
      <c r="EN166" s="22"/>
      <c r="EO166" s="22"/>
      <c r="EP166" s="22"/>
      <c r="EQ166" s="22"/>
      <c r="ER166" s="22"/>
      <c r="ES166" s="43"/>
      <c r="ET166" s="43"/>
      <c r="EU166" s="43"/>
      <c r="EV166" s="43"/>
      <c r="EW166" s="43"/>
      <c r="EX166" s="43"/>
      <c r="EY166" s="43"/>
      <c r="EZ166" s="43"/>
      <c r="FA166" s="43"/>
      <c r="FB166" s="43"/>
      <c r="FC166" s="43"/>
      <c r="FD166" s="43"/>
      <c r="FE166" s="43"/>
      <c r="FF166" s="43"/>
      <c r="FG166" s="43"/>
      <c r="FH166" s="43"/>
      <c r="FI166" s="43"/>
    </row>
    <row r="167" ht="18.0" customHeight="1">
      <c r="A167" s="22" t="s">
        <v>116</v>
      </c>
      <c r="B167" s="43" t="s">
        <v>2554</v>
      </c>
      <c r="C167" s="22" t="s">
        <v>283</v>
      </c>
      <c r="D167" s="22" t="s">
        <v>187</v>
      </c>
      <c r="E167" s="43" t="s">
        <v>521</v>
      </c>
      <c r="F167" s="22" t="s">
        <v>2555</v>
      </c>
      <c r="G167" s="22"/>
      <c r="H167" s="22"/>
      <c r="I167" s="43"/>
      <c r="J167" s="43"/>
      <c r="K167" s="22" t="b">
        <v>1</v>
      </c>
      <c r="L167" s="22" t="b">
        <v>1</v>
      </c>
      <c r="M167" s="22" t="b">
        <v>1</v>
      </c>
      <c r="N167" s="22" t="b">
        <v>0</v>
      </c>
      <c r="O167" s="22" t="b">
        <v>0</v>
      </c>
      <c r="P167" s="22" t="b">
        <v>0</v>
      </c>
      <c r="Q167" s="22" t="b">
        <v>0</v>
      </c>
      <c r="R167" s="43"/>
      <c r="S167" s="43" t="s">
        <v>2556</v>
      </c>
      <c r="T167" s="22" t="s">
        <v>2554</v>
      </c>
      <c r="U167" s="22" t="s">
        <v>2554</v>
      </c>
      <c r="V167" s="22"/>
      <c r="W167" s="43"/>
      <c r="X167" s="43"/>
      <c r="Y167" s="43"/>
      <c r="Z167" s="43"/>
      <c r="AA167" s="22">
        <v>1.4094636E8</v>
      </c>
      <c r="AB167" s="22">
        <v>8.26800291E8</v>
      </c>
      <c r="AC167" s="22"/>
      <c r="AD167" s="22"/>
      <c r="AE167" s="22"/>
      <c r="AF167" s="43"/>
      <c r="AG167" s="43"/>
      <c r="AH167" s="43" t="s">
        <v>2555</v>
      </c>
      <c r="AI167" s="22" t="s">
        <v>2557</v>
      </c>
      <c r="AJ167" s="22" t="s">
        <v>2558</v>
      </c>
      <c r="AK167" s="43"/>
      <c r="AL167" s="43"/>
      <c r="AM167" s="43"/>
      <c r="AN167" s="43"/>
      <c r="AO167" s="43"/>
      <c r="AP167" s="46" t="s">
        <v>2559</v>
      </c>
      <c r="AQ167" s="46" t="s">
        <v>2560</v>
      </c>
      <c r="AR167" s="43"/>
      <c r="AS167" s="43"/>
      <c r="AT167" s="43"/>
      <c r="AU167" s="43"/>
      <c r="AV167" s="43"/>
      <c r="AW167" s="22" t="s">
        <v>2561</v>
      </c>
      <c r="AX167" s="22" t="s">
        <v>2558</v>
      </c>
      <c r="AY167" s="43"/>
      <c r="AZ167" s="43"/>
      <c r="BA167" s="43"/>
      <c r="BB167" s="43"/>
      <c r="BC167" s="43"/>
      <c r="BD167" s="43" t="s">
        <v>243</v>
      </c>
      <c r="BE167" s="43" t="s">
        <v>243</v>
      </c>
      <c r="BF167" s="22" t="s">
        <v>131</v>
      </c>
      <c r="BG167" s="22" t="s">
        <v>132</v>
      </c>
      <c r="BH167" s="22" t="s">
        <v>132</v>
      </c>
      <c r="BI167" s="22" t="s">
        <v>132</v>
      </c>
      <c r="BJ167" s="43"/>
      <c r="BK167" s="43"/>
      <c r="BL167" s="22">
        <v>4.603745411412E12</v>
      </c>
      <c r="BM167" s="22">
        <v>3.504009E9</v>
      </c>
      <c r="BN167" s="22" t="s">
        <v>2562</v>
      </c>
      <c r="BO167" s="22"/>
      <c r="BP167" s="22" t="s">
        <v>245</v>
      </c>
      <c r="BQ167" s="43"/>
      <c r="BR167" s="43"/>
      <c r="BS167" s="22" t="s">
        <v>2563</v>
      </c>
      <c r="BT167" s="43"/>
      <c r="BU167" s="22" t="s">
        <v>2564</v>
      </c>
      <c r="BV167" s="43" t="s">
        <v>1114</v>
      </c>
      <c r="BW167" s="22" t="s">
        <v>2565</v>
      </c>
      <c r="BX167" s="22">
        <v>90.0</v>
      </c>
      <c r="BY167" s="22" t="s">
        <v>492</v>
      </c>
      <c r="BZ167" s="43"/>
      <c r="CA167" s="22" t="s">
        <v>355</v>
      </c>
      <c r="CB167" s="22" t="s">
        <v>307</v>
      </c>
      <c r="CC167" s="45" t="s">
        <v>2566</v>
      </c>
      <c r="CD167" s="43"/>
      <c r="CE167" s="43"/>
      <c r="CF167" s="45" t="s">
        <v>2567</v>
      </c>
      <c r="CG167" s="43"/>
      <c r="CH167" s="43"/>
      <c r="CI167" s="43"/>
      <c r="CJ167" s="43"/>
      <c r="CK167" s="43"/>
      <c r="CL167" s="43"/>
      <c r="CM167" s="49">
        <f>IFERROR(VLOOKUP(B167,CC!A:D,4,0)," ")</f>
        <v>356.16</v>
      </c>
      <c r="CN167" s="22" t="s">
        <v>2568</v>
      </c>
      <c r="CO167" s="22"/>
      <c r="CP167" s="22" t="s">
        <v>2569</v>
      </c>
      <c r="CQ167" s="22" t="s">
        <v>401</v>
      </c>
      <c r="CR167" s="43"/>
      <c r="CS167" s="43"/>
      <c r="CT167" s="22" t="s">
        <v>145</v>
      </c>
      <c r="CU167" s="43"/>
      <c r="CV167" s="43"/>
      <c r="CW167" s="43"/>
      <c r="CX167" s="43"/>
      <c r="CY167" s="43" t="b">
        <v>0</v>
      </c>
      <c r="CZ167" s="43" t="b">
        <v>0</v>
      </c>
      <c r="DA167" s="43" t="b">
        <v>0</v>
      </c>
      <c r="DB167" s="43" t="b">
        <v>0</v>
      </c>
      <c r="DC167" s="43"/>
      <c r="DD167" s="43"/>
      <c r="DE167" s="43"/>
      <c r="DF167" s="43"/>
      <c r="DG167" s="43"/>
      <c r="DH167" s="43"/>
      <c r="DI167" s="43"/>
      <c r="DJ167" s="22">
        <f>IFERROR(VLOOKUP($B167,'Лист4'!$D:$AI,27,0)," ")</f>
        <v>12</v>
      </c>
      <c r="DK167" s="22">
        <f>IFERROR(VLOOKUP($B167,'Лист4'!$D:$AI,28,0)," ")</f>
        <v>6</v>
      </c>
      <c r="DL167" s="22">
        <f>IFERROR(VLOOKUP($B167,'Лист4'!$D:$AI,29,0)," ")</f>
        <v>12</v>
      </c>
      <c r="DM167" s="22">
        <f t="shared" si="1"/>
        <v>864</v>
      </c>
      <c r="DN167" s="22">
        <f>IFERROR(VLOOKUP($B167,'Лист4'!$D:$AI,32,0)," ")</f>
        <v>0.11</v>
      </c>
      <c r="DO167" s="22"/>
      <c r="DP167" s="22"/>
      <c r="DQ167" s="22"/>
      <c r="DR167" s="22"/>
      <c r="DS167" s="22"/>
      <c r="DT167" s="22"/>
      <c r="DU167" s="22"/>
      <c r="DV167" s="22"/>
      <c r="DW167" s="22"/>
      <c r="DX167" s="22"/>
      <c r="DY167" s="22"/>
      <c r="DZ167" s="22"/>
      <c r="EA167" s="22"/>
      <c r="EB167" s="22"/>
      <c r="EC167" s="22"/>
      <c r="ED167" s="22"/>
      <c r="EE167" s="22"/>
      <c r="EF167" s="22"/>
      <c r="EG167" s="22"/>
      <c r="EH167" s="22"/>
      <c r="EI167" s="22"/>
      <c r="EJ167" s="22"/>
      <c r="EK167" s="22"/>
      <c r="EL167" s="22"/>
      <c r="EM167" s="22"/>
      <c r="EN167" s="22"/>
      <c r="EO167" s="22"/>
      <c r="EP167" s="22"/>
      <c r="EQ167" s="22"/>
      <c r="ER167" s="22"/>
      <c r="ES167" s="43"/>
      <c r="ET167" s="43"/>
      <c r="EU167" s="43"/>
      <c r="EV167" s="43"/>
      <c r="EW167" s="43"/>
      <c r="EX167" s="43"/>
      <c r="EY167" s="43"/>
      <c r="EZ167" s="43"/>
      <c r="FA167" s="43"/>
      <c r="FB167" s="43"/>
      <c r="FC167" s="43"/>
      <c r="FD167" s="43"/>
      <c r="FE167" s="43"/>
      <c r="FF167" s="43"/>
      <c r="FG167" s="43"/>
      <c r="FH167" s="43"/>
      <c r="FI167" s="43"/>
    </row>
    <row r="168" ht="18.0" customHeight="1">
      <c r="A168" s="22" t="s">
        <v>116</v>
      </c>
      <c r="B168" s="43" t="s">
        <v>2570</v>
      </c>
      <c r="C168" s="22" t="s">
        <v>283</v>
      </c>
      <c r="D168" s="22" t="s">
        <v>187</v>
      </c>
      <c r="E168" s="43" t="s">
        <v>521</v>
      </c>
      <c r="F168" s="22" t="s">
        <v>2571</v>
      </c>
      <c r="G168" s="22"/>
      <c r="H168" s="22"/>
      <c r="I168" s="43"/>
      <c r="J168" s="43"/>
      <c r="K168" s="22" t="b">
        <v>1</v>
      </c>
      <c r="L168" s="22" t="b">
        <v>1</v>
      </c>
      <c r="M168" s="22" t="b">
        <v>1</v>
      </c>
      <c r="N168" s="22" t="b">
        <v>0</v>
      </c>
      <c r="O168" s="22" t="b">
        <v>0</v>
      </c>
      <c r="P168" s="22" t="b">
        <v>0</v>
      </c>
      <c r="Q168" s="22" t="b">
        <v>0</v>
      </c>
      <c r="R168" s="43"/>
      <c r="S168" s="43" t="s">
        <v>2572</v>
      </c>
      <c r="T168" s="22" t="s">
        <v>2570</v>
      </c>
      <c r="U168" s="22" t="s">
        <v>2570</v>
      </c>
      <c r="V168" s="22"/>
      <c r="W168" s="43"/>
      <c r="X168" s="43"/>
      <c r="Y168" s="43"/>
      <c r="Z168" s="43"/>
      <c r="AA168" s="22">
        <v>1.48386282E8</v>
      </c>
      <c r="AB168" s="22">
        <v>8.7180646E8</v>
      </c>
      <c r="AC168" s="22"/>
      <c r="AD168" s="22"/>
      <c r="AE168" s="22"/>
      <c r="AF168" s="43"/>
      <c r="AG168" s="43"/>
      <c r="AH168" s="43" t="s">
        <v>2571</v>
      </c>
      <c r="AI168" s="22" t="s">
        <v>2573</v>
      </c>
      <c r="AJ168" s="22" t="s">
        <v>2574</v>
      </c>
      <c r="AK168" s="43"/>
      <c r="AL168" s="43"/>
      <c r="AM168" s="43"/>
      <c r="AN168" s="43"/>
      <c r="AO168" s="43"/>
      <c r="AP168" s="46" t="s">
        <v>2575</v>
      </c>
      <c r="AQ168" s="46" t="s">
        <v>2576</v>
      </c>
      <c r="AR168" s="43"/>
      <c r="AS168" s="43"/>
      <c r="AT168" s="43"/>
      <c r="AU168" s="43"/>
      <c r="AV168" s="43"/>
      <c r="AW168" s="22" t="s">
        <v>361</v>
      </c>
      <c r="AX168" s="22" t="s">
        <v>2574</v>
      </c>
      <c r="AY168" s="43"/>
      <c r="AZ168" s="43"/>
      <c r="BA168" s="43"/>
      <c r="BB168" s="43"/>
      <c r="BC168" s="43"/>
      <c r="BD168" s="43" t="s">
        <v>243</v>
      </c>
      <c r="BE168" s="43" t="s">
        <v>243</v>
      </c>
      <c r="BF168" s="22" t="s">
        <v>131</v>
      </c>
      <c r="BG168" s="22" t="s">
        <v>132</v>
      </c>
      <c r="BH168" s="22" t="s">
        <v>132</v>
      </c>
      <c r="BI168" s="22" t="s">
        <v>132</v>
      </c>
      <c r="BJ168" s="43"/>
      <c r="BK168" s="43"/>
      <c r="BL168" s="22" t="s">
        <v>2577</v>
      </c>
      <c r="BM168" s="22">
        <v>2.106909808E9</v>
      </c>
      <c r="BN168" s="22"/>
      <c r="BO168" s="22"/>
      <c r="BP168" s="22" t="s">
        <v>245</v>
      </c>
      <c r="BQ168" s="43"/>
      <c r="BR168" s="43"/>
      <c r="BS168" s="22"/>
      <c r="BT168" s="43"/>
      <c r="BU168" s="22"/>
      <c r="BV168" s="43"/>
      <c r="BW168" s="22"/>
      <c r="BX168" s="22">
        <v>120.0</v>
      </c>
      <c r="BY168" s="22" t="s">
        <v>492</v>
      </c>
      <c r="BZ168" s="43"/>
      <c r="CA168" s="22"/>
      <c r="CB168" s="22"/>
      <c r="CC168" s="45"/>
      <c r="CD168" s="43"/>
      <c r="CE168" s="43"/>
      <c r="CF168" s="45"/>
      <c r="CG168" s="43"/>
      <c r="CH168" s="43"/>
      <c r="CI168" s="43"/>
      <c r="CJ168" s="43"/>
      <c r="CK168" s="43"/>
      <c r="CL168" s="43"/>
      <c r="CM168" s="49">
        <f>IFERROR(VLOOKUP(B168,CC!A:D,4,0)," ")</f>
        <v>451.08</v>
      </c>
      <c r="CN168" s="22"/>
      <c r="CO168" s="22"/>
      <c r="CP168" s="43"/>
      <c r="CQ168" s="22" t="s">
        <v>401</v>
      </c>
      <c r="CR168" s="43"/>
      <c r="CS168" s="43"/>
      <c r="CT168" s="22" t="s">
        <v>145</v>
      </c>
      <c r="CU168" s="43"/>
      <c r="CV168" s="43"/>
      <c r="CW168" s="43"/>
      <c r="CX168" s="43"/>
      <c r="CY168" s="43" t="b">
        <v>0</v>
      </c>
      <c r="CZ168" s="43" t="b">
        <v>0</v>
      </c>
      <c r="DA168" s="43" t="b">
        <v>0</v>
      </c>
      <c r="DB168" s="43" t="b">
        <v>0</v>
      </c>
      <c r="DC168" s="43"/>
      <c r="DD168" s="43"/>
      <c r="DE168" s="43"/>
      <c r="DF168" s="43"/>
      <c r="DG168" s="43"/>
      <c r="DH168" s="43"/>
      <c r="DI168" s="43"/>
      <c r="DJ168" s="22">
        <f>IFERROR(VLOOKUP($B168,'Лист4'!$D:$AI,27,0)," ")</f>
        <v>5</v>
      </c>
      <c r="DK168" s="22">
        <f>IFERROR(VLOOKUP($B168,'Лист4'!$D:$AI,28,0)," ")</f>
        <v>10</v>
      </c>
      <c r="DL168" s="22">
        <f>IFERROR(VLOOKUP($B168,'Лист4'!$D:$AI,29,0)," ")</f>
        <v>5</v>
      </c>
      <c r="DM168" s="22">
        <f t="shared" si="1"/>
        <v>250</v>
      </c>
      <c r="DN168" s="22">
        <f>IFERROR(VLOOKUP($B168,'Лист4'!$D:$AI,32,0)," ")</f>
        <v>0.108</v>
      </c>
      <c r="DO168" s="22"/>
      <c r="DP168" s="22"/>
      <c r="DQ168" s="22"/>
      <c r="DR168" s="22"/>
      <c r="DS168" s="22"/>
      <c r="DT168" s="22"/>
      <c r="DU168" s="22"/>
      <c r="DV168" s="22"/>
      <c r="DW168" s="22"/>
      <c r="DX168" s="22"/>
      <c r="DY168" s="22"/>
      <c r="DZ168" s="22"/>
      <c r="EA168" s="22"/>
      <c r="EB168" s="22"/>
      <c r="EC168" s="22"/>
      <c r="ED168" s="22"/>
      <c r="EE168" s="22"/>
      <c r="EF168" s="22"/>
      <c r="EG168" s="22"/>
      <c r="EH168" s="22"/>
      <c r="EI168" s="22"/>
      <c r="EJ168" s="22"/>
      <c r="EK168" s="22"/>
      <c r="EL168" s="22"/>
      <c r="EM168" s="22"/>
      <c r="EN168" s="22"/>
      <c r="EO168" s="22"/>
      <c r="EP168" s="22"/>
      <c r="EQ168" s="22"/>
      <c r="ER168" s="22"/>
      <c r="ES168" s="43"/>
      <c r="ET168" s="43"/>
      <c r="EU168" s="43"/>
      <c r="EV168" s="43"/>
      <c r="EW168" s="43"/>
      <c r="EX168" s="43"/>
      <c r="EY168" s="43"/>
      <c r="EZ168" s="43"/>
      <c r="FA168" s="43"/>
      <c r="FB168" s="43"/>
      <c r="FC168" s="43"/>
      <c r="FD168" s="43"/>
      <c r="FE168" s="43"/>
      <c r="FF168" s="43"/>
      <c r="FG168" s="43"/>
      <c r="FH168" s="43"/>
      <c r="FI168" s="43"/>
    </row>
    <row r="169" ht="18.0" customHeight="1">
      <c r="A169" s="22" t="s">
        <v>116</v>
      </c>
      <c r="B169" s="43" t="s">
        <v>2578</v>
      </c>
      <c r="C169" s="22" t="s">
        <v>283</v>
      </c>
      <c r="D169" s="22" t="s">
        <v>187</v>
      </c>
      <c r="E169" s="43" t="s">
        <v>521</v>
      </c>
      <c r="F169" s="22" t="s">
        <v>2579</v>
      </c>
      <c r="G169" s="22"/>
      <c r="H169" s="22"/>
      <c r="I169" s="43"/>
      <c r="J169" s="43"/>
      <c r="K169" s="22" t="b">
        <v>1</v>
      </c>
      <c r="L169" s="22" t="b">
        <v>1</v>
      </c>
      <c r="M169" s="22" t="b">
        <v>1</v>
      </c>
      <c r="N169" s="22" t="b">
        <v>0</v>
      </c>
      <c r="O169" s="22" t="b">
        <v>0</v>
      </c>
      <c r="P169" s="22" t="b">
        <v>0</v>
      </c>
      <c r="Q169" s="22" t="b">
        <v>0</v>
      </c>
      <c r="R169" s="43"/>
      <c r="S169" s="43" t="s">
        <v>2580</v>
      </c>
      <c r="T169" s="22" t="s">
        <v>2578</v>
      </c>
      <c r="U169" s="22" t="s">
        <v>2578</v>
      </c>
      <c r="V169" s="22"/>
      <c r="W169" s="43"/>
      <c r="X169" s="43"/>
      <c r="Y169" s="43"/>
      <c r="Z169" s="43"/>
      <c r="AA169" s="22">
        <v>1.50847785E8</v>
      </c>
      <c r="AB169" s="22">
        <v>8.89954527E8</v>
      </c>
      <c r="AC169" s="22"/>
      <c r="AD169" s="22"/>
      <c r="AE169" s="22"/>
      <c r="AF169" s="43"/>
      <c r="AG169" s="43"/>
      <c r="AH169" s="43" t="s">
        <v>2579</v>
      </c>
      <c r="AI169" s="22" t="s">
        <v>2581</v>
      </c>
      <c r="AJ169" s="22" t="s">
        <v>2582</v>
      </c>
      <c r="AK169" s="43"/>
      <c r="AL169" s="43"/>
      <c r="AM169" s="43"/>
      <c r="AN169" s="43"/>
      <c r="AO169" s="43"/>
      <c r="AP169" s="46" t="s">
        <v>2583</v>
      </c>
      <c r="AQ169" s="46" t="s">
        <v>2584</v>
      </c>
      <c r="AR169" s="43"/>
      <c r="AS169" s="43"/>
      <c r="AT169" s="43"/>
      <c r="AU169" s="43"/>
      <c r="AV169" s="43"/>
      <c r="AW169" s="22" t="s">
        <v>361</v>
      </c>
      <c r="AX169" s="22" t="s">
        <v>2582</v>
      </c>
      <c r="AY169" s="43"/>
      <c r="AZ169" s="43"/>
      <c r="BA169" s="43"/>
      <c r="BB169" s="43"/>
      <c r="BC169" s="43"/>
      <c r="BD169" s="43" t="s">
        <v>243</v>
      </c>
      <c r="BE169" s="43" t="s">
        <v>243</v>
      </c>
      <c r="BF169" s="22" t="s">
        <v>131</v>
      </c>
      <c r="BG169" s="22" t="s">
        <v>132</v>
      </c>
      <c r="BH169" s="22" t="s">
        <v>132</v>
      </c>
      <c r="BI169" s="22" t="s">
        <v>132</v>
      </c>
      <c r="BJ169" s="43"/>
      <c r="BK169" s="43"/>
      <c r="BL169" s="22">
        <v>4.670167250868E12</v>
      </c>
      <c r="BM169" s="22">
        <v>2.106909808E9</v>
      </c>
      <c r="BN169" s="22" t="s">
        <v>2585</v>
      </c>
      <c r="BO169" s="22"/>
      <c r="BP169" s="22" t="s">
        <v>245</v>
      </c>
      <c r="BQ169" s="43"/>
      <c r="BR169" s="43"/>
      <c r="BS169" s="22" t="s">
        <v>2586</v>
      </c>
      <c r="BT169" s="43"/>
      <c r="BU169" s="22" t="s">
        <v>2587</v>
      </c>
      <c r="BV169" s="43" t="s">
        <v>2588</v>
      </c>
      <c r="BW169" s="22" t="s">
        <v>2589</v>
      </c>
      <c r="BX169" s="22">
        <v>60.0</v>
      </c>
      <c r="BY169" s="22" t="s">
        <v>492</v>
      </c>
      <c r="BZ169" s="43"/>
      <c r="CA169" s="22" t="s">
        <v>355</v>
      </c>
      <c r="CB169" s="22" t="s">
        <v>307</v>
      </c>
      <c r="CC169" s="45" t="s">
        <v>2590</v>
      </c>
      <c r="CD169" s="43"/>
      <c r="CE169" s="43"/>
      <c r="CF169" s="45"/>
      <c r="CG169" s="43"/>
      <c r="CH169" s="43"/>
      <c r="CI169" s="43"/>
      <c r="CJ169" s="43"/>
      <c r="CK169" s="43"/>
      <c r="CL169" s="43"/>
      <c r="CM169" s="49">
        <f>IFERROR(VLOOKUP(B169,CC!A:D,4,0)," ")</f>
        <v>303.15</v>
      </c>
      <c r="CN169" s="22" t="s">
        <v>2568</v>
      </c>
      <c r="CO169" s="22"/>
      <c r="CP169" s="22" t="s">
        <v>2569</v>
      </c>
      <c r="CQ169" s="22">
        <v>60.0</v>
      </c>
      <c r="CR169" s="43"/>
      <c r="CS169" s="43"/>
      <c r="CT169" s="22" t="s">
        <v>145</v>
      </c>
      <c r="CU169" s="43"/>
      <c r="CV169" s="43"/>
      <c r="CW169" s="43"/>
      <c r="CX169" s="43"/>
      <c r="CY169" s="43" t="b">
        <v>0</v>
      </c>
      <c r="CZ169" s="43" t="b">
        <v>0</v>
      </c>
      <c r="DA169" s="43" t="b">
        <v>0</v>
      </c>
      <c r="DB169" s="43" t="b">
        <v>0</v>
      </c>
      <c r="DC169" s="43"/>
      <c r="DD169" s="43"/>
      <c r="DE169" s="43"/>
      <c r="DF169" s="43"/>
      <c r="DG169" s="43"/>
      <c r="DH169" s="43"/>
      <c r="DI169" s="43"/>
      <c r="DJ169" s="22">
        <f>IFERROR(VLOOKUP($B169,'Лист4'!$D:$AI,27,0)," ")</f>
        <v>6</v>
      </c>
      <c r="DK169" s="22">
        <f>IFERROR(VLOOKUP($B169,'Лист4'!$D:$AI,28,0)," ")</f>
        <v>6</v>
      </c>
      <c r="DL169" s="22">
        <f>IFERROR(VLOOKUP($B169,'Лист4'!$D:$AI,29,0)," ")</f>
        <v>6</v>
      </c>
      <c r="DM169" s="22">
        <f t="shared" si="1"/>
        <v>216</v>
      </c>
      <c r="DN169" s="22">
        <f>IFERROR(VLOOKUP($B169,'Лист4'!$D:$AI,32,0)," ")</f>
        <v>0.07</v>
      </c>
      <c r="DO169" s="22"/>
      <c r="DP169" s="22"/>
      <c r="DQ169" s="22"/>
      <c r="DR169" s="22"/>
      <c r="DS169" s="22"/>
      <c r="DT169" s="22"/>
      <c r="DU169" s="22"/>
      <c r="DV169" s="22"/>
      <c r="DW169" s="22"/>
      <c r="DX169" s="22"/>
      <c r="DY169" s="22"/>
      <c r="DZ169" s="22"/>
      <c r="EA169" s="22"/>
      <c r="EB169" s="22"/>
      <c r="EC169" s="22"/>
      <c r="ED169" s="22"/>
      <c r="EE169" s="22"/>
      <c r="EF169" s="22"/>
      <c r="EG169" s="22"/>
      <c r="EH169" s="22"/>
      <c r="EI169" s="22"/>
      <c r="EJ169" s="22"/>
      <c r="EK169" s="22"/>
      <c r="EL169" s="22"/>
      <c r="EM169" s="22"/>
      <c r="EN169" s="22"/>
      <c r="EO169" s="22"/>
      <c r="EP169" s="22"/>
      <c r="EQ169" s="22"/>
      <c r="ER169" s="22"/>
      <c r="ES169" s="43"/>
      <c r="ET169" s="43"/>
      <c r="EU169" s="43"/>
      <c r="EV169" s="43"/>
      <c r="EW169" s="43"/>
      <c r="EX169" s="43"/>
      <c r="EY169" s="43"/>
      <c r="EZ169" s="43"/>
      <c r="FA169" s="43"/>
      <c r="FB169" s="43"/>
      <c r="FC169" s="43"/>
      <c r="FD169" s="43"/>
      <c r="FE169" s="43"/>
      <c r="FF169" s="43"/>
      <c r="FG169" s="43"/>
      <c r="FH169" s="43"/>
      <c r="FI169" s="43"/>
    </row>
    <row r="170" ht="18.0" customHeight="1">
      <c r="A170" s="22" t="s">
        <v>116</v>
      </c>
      <c r="B170" s="43" t="s">
        <v>2591</v>
      </c>
      <c r="C170" s="22" t="s">
        <v>283</v>
      </c>
      <c r="D170" s="22" t="s">
        <v>187</v>
      </c>
      <c r="E170" s="43" t="s">
        <v>521</v>
      </c>
      <c r="F170" s="22" t="s">
        <v>2592</v>
      </c>
      <c r="G170" s="22"/>
      <c r="H170" s="22"/>
      <c r="I170" s="43"/>
      <c r="J170" s="43"/>
      <c r="K170" s="22" t="b">
        <v>1</v>
      </c>
      <c r="L170" s="22" t="b">
        <v>1</v>
      </c>
      <c r="M170" s="22" t="b">
        <v>1</v>
      </c>
      <c r="N170" s="22" t="b">
        <v>0</v>
      </c>
      <c r="O170" s="22" t="b">
        <v>0</v>
      </c>
      <c r="P170" s="22" t="b">
        <v>0</v>
      </c>
      <c r="Q170" s="22" t="b">
        <v>0</v>
      </c>
      <c r="R170" s="43"/>
      <c r="S170" s="43" t="s">
        <v>2593</v>
      </c>
      <c r="T170" s="22" t="s">
        <v>2591</v>
      </c>
      <c r="U170" s="22" t="s">
        <v>2591</v>
      </c>
      <c r="V170" s="22"/>
      <c r="W170" s="43"/>
      <c r="X170" s="43"/>
      <c r="Y170" s="43"/>
      <c r="Z170" s="43"/>
      <c r="AA170" s="22">
        <v>1.91073458E8</v>
      </c>
      <c r="AB170" s="22">
        <v>1.315703641E9</v>
      </c>
      <c r="AC170" s="22"/>
      <c r="AD170" s="22"/>
      <c r="AE170" s="22"/>
      <c r="AF170" s="43"/>
      <c r="AG170" s="43"/>
      <c r="AH170" s="43" t="s">
        <v>2592</v>
      </c>
      <c r="AI170" s="22" t="s">
        <v>2594</v>
      </c>
      <c r="AJ170" s="22" t="s">
        <v>2595</v>
      </c>
      <c r="AK170" s="43"/>
      <c r="AL170" s="43"/>
      <c r="AM170" s="43"/>
      <c r="AN170" s="43"/>
      <c r="AO170" s="43"/>
      <c r="AP170" s="46" t="s">
        <v>2596</v>
      </c>
      <c r="AQ170" s="46" t="s">
        <v>2597</v>
      </c>
      <c r="AR170" s="43"/>
      <c r="AS170" s="43"/>
      <c r="AT170" s="43"/>
      <c r="AU170" s="43"/>
      <c r="AV170" s="43"/>
      <c r="AW170" s="22" t="s">
        <v>361</v>
      </c>
      <c r="AX170" s="22" t="s">
        <v>2595</v>
      </c>
      <c r="AY170" s="43"/>
      <c r="AZ170" s="43"/>
      <c r="BA170" s="43"/>
      <c r="BB170" s="43"/>
      <c r="BC170" s="43"/>
      <c r="BD170" s="43" t="s">
        <v>243</v>
      </c>
      <c r="BE170" s="43" t="s">
        <v>243</v>
      </c>
      <c r="BF170" s="22" t="s">
        <v>131</v>
      </c>
      <c r="BG170" s="22" t="s">
        <v>132</v>
      </c>
      <c r="BH170" s="22" t="s">
        <v>132</v>
      </c>
      <c r="BI170" s="22" t="s">
        <v>132</v>
      </c>
      <c r="BJ170" s="43"/>
      <c r="BK170" s="43"/>
      <c r="BL170" s="22">
        <v>4.627144543116E12</v>
      </c>
      <c r="BM170" s="22">
        <v>2.106909808E9</v>
      </c>
      <c r="BN170" s="22" t="s">
        <v>2598</v>
      </c>
      <c r="BO170" s="22"/>
      <c r="BP170" s="22" t="s">
        <v>245</v>
      </c>
      <c r="BQ170" s="43"/>
      <c r="BR170" s="43"/>
      <c r="BS170" s="22" t="s">
        <v>2599</v>
      </c>
      <c r="BT170" s="43"/>
      <c r="BU170" s="22" t="s">
        <v>2600</v>
      </c>
      <c r="BV170" s="43" t="s">
        <v>2601</v>
      </c>
      <c r="BW170" s="22" t="s">
        <v>2602</v>
      </c>
      <c r="BX170" s="22">
        <v>90.0</v>
      </c>
      <c r="BY170" s="22" t="s">
        <v>492</v>
      </c>
      <c r="BZ170" s="43"/>
      <c r="CA170" s="22" t="s">
        <v>355</v>
      </c>
      <c r="CB170" s="22" t="s">
        <v>307</v>
      </c>
      <c r="CC170" s="45" t="s">
        <v>2603</v>
      </c>
      <c r="CD170" s="43"/>
      <c r="CE170" s="43"/>
      <c r="CF170" s="45" t="s">
        <v>2604</v>
      </c>
      <c r="CG170" s="43"/>
      <c r="CH170" s="43"/>
      <c r="CI170" s="43"/>
      <c r="CJ170" s="43"/>
      <c r="CK170" s="43"/>
      <c r="CL170" s="43"/>
      <c r="CM170" s="49">
        <f>IFERROR(VLOOKUP(B170,CC!A:D,4,0)," ")</f>
        <v>314.4</v>
      </c>
      <c r="CN170" s="22" t="s">
        <v>2605</v>
      </c>
      <c r="CO170" s="22"/>
      <c r="CP170" s="22" t="s">
        <v>2606</v>
      </c>
      <c r="CQ170" s="22">
        <v>90.0</v>
      </c>
      <c r="CR170" s="43"/>
      <c r="CS170" s="43"/>
      <c r="CT170" s="22" t="s">
        <v>145</v>
      </c>
      <c r="CU170" s="43"/>
      <c r="CV170" s="43"/>
      <c r="CW170" s="43"/>
      <c r="CX170" s="43"/>
      <c r="CY170" s="43" t="b">
        <v>0</v>
      </c>
      <c r="CZ170" s="43" t="b">
        <v>0</v>
      </c>
      <c r="DA170" s="43" t="b">
        <v>0</v>
      </c>
      <c r="DB170" s="43" t="b">
        <v>0</v>
      </c>
      <c r="DC170" s="43"/>
      <c r="DD170" s="43"/>
      <c r="DE170" s="43"/>
      <c r="DF170" s="43"/>
      <c r="DG170" s="43"/>
      <c r="DH170" s="43"/>
      <c r="DI170" s="43"/>
      <c r="DJ170" s="22">
        <f>IFERROR(VLOOKUP($B170,'Лист4'!$D:$AI,27,0)," ")</f>
        <v>6</v>
      </c>
      <c r="DK170" s="22">
        <f>IFERROR(VLOOKUP($B170,'Лист4'!$D:$AI,28,0)," ")</f>
        <v>11</v>
      </c>
      <c r="DL170" s="22">
        <f>IFERROR(VLOOKUP($B170,'Лист4'!$D:$AI,29,0)," ")</f>
        <v>6</v>
      </c>
      <c r="DM170" s="22">
        <f t="shared" si="1"/>
        <v>396</v>
      </c>
      <c r="DN170" s="22">
        <f>IFERROR(VLOOKUP($B170,'Лист4'!$D:$AI,32,0)," ")</f>
        <v>0.12</v>
      </c>
      <c r="DO170" s="22"/>
      <c r="DP170" s="22"/>
      <c r="DQ170" s="22"/>
      <c r="DR170" s="22"/>
      <c r="DS170" s="22"/>
      <c r="DT170" s="22"/>
      <c r="DU170" s="22"/>
      <c r="DV170" s="22"/>
      <c r="DW170" s="22"/>
      <c r="DX170" s="22"/>
      <c r="DY170" s="22"/>
      <c r="DZ170" s="22"/>
      <c r="EA170" s="22"/>
      <c r="EB170" s="22"/>
      <c r="EC170" s="22"/>
      <c r="ED170" s="22"/>
      <c r="EE170" s="22"/>
      <c r="EF170" s="22"/>
      <c r="EG170" s="22"/>
      <c r="EH170" s="22"/>
      <c r="EI170" s="22"/>
      <c r="EJ170" s="22"/>
      <c r="EK170" s="22"/>
      <c r="EL170" s="22"/>
      <c r="EM170" s="22"/>
      <c r="EN170" s="22"/>
      <c r="EO170" s="22"/>
      <c r="EP170" s="22"/>
      <c r="EQ170" s="22"/>
      <c r="ER170" s="22"/>
      <c r="ES170" s="43"/>
      <c r="ET170" s="43"/>
      <c r="EU170" s="43"/>
      <c r="EV170" s="43"/>
      <c r="EW170" s="43"/>
      <c r="EX170" s="43"/>
      <c r="EY170" s="43"/>
      <c r="EZ170" s="43"/>
      <c r="FA170" s="43"/>
      <c r="FB170" s="43"/>
      <c r="FC170" s="43"/>
      <c r="FD170" s="43"/>
      <c r="FE170" s="43"/>
      <c r="FF170" s="43"/>
      <c r="FG170" s="43"/>
      <c r="FH170" s="43"/>
      <c r="FI170" s="43"/>
    </row>
    <row r="171" ht="18.0" customHeight="1">
      <c r="A171" s="22" t="s">
        <v>116</v>
      </c>
      <c r="B171" s="43" t="s">
        <v>2607</v>
      </c>
      <c r="C171" s="22" t="s">
        <v>283</v>
      </c>
      <c r="D171" s="22" t="s">
        <v>187</v>
      </c>
      <c r="E171" s="43" t="s">
        <v>521</v>
      </c>
      <c r="F171" s="22" t="s">
        <v>2608</v>
      </c>
      <c r="G171" s="22"/>
      <c r="H171" s="22"/>
      <c r="I171" s="43"/>
      <c r="J171" s="43"/>
      <c r="K171" s="22" t="b">
        <v>1</v>
      </c>
      <c r="L171" s="22" t="b">
        <v>1</v>
      </c>
      <c r="M171" s="22" t="b">
        <v>1</v>
      </c>
      <c r="N171" s="22" t="b">
        <v>0</v>
      </c>
      <c r="O171" s="22" t="b">
        <v>0</v>
      </c>
      <c r="P171" s="22" t="b">
        <v>0</v>
      </c>
      <c r="Q171" s="22" t="b">
        <v>0</v>
      </c>
      <c r="R171" s="43"/>
      <c r="S171" s="43" t="s">
        <v>2609</v>
      </c>
      <c r="T171" s="22" t="s">
        <v>2607</v>
      </c>
      <c r="U171" s="22" t="s">
        <v>2607</v>
      </c>
      <c r="V171" s="22"/>
      <c r="W171" s="43"/>
      <c r="X171" s="43"/>
      <c r="Y171" s="43"/>
      <c r="Z171" s="43"/>
      <c r="AA171" s="22">
        <v>1.40944929E8</v>
      </c>
      <c r="AB171" s="22">
        <v>8.25733116E8</v>
      </c>
      <c r="AC171" s="22"/>
      <c r="AD171" s="22"/>
      <c r="AE171" s="22"/>
      <c r="AF171" s="43"/>
      <c r="AG171" s="43"/>
      <c r="AH171" s="43" t="s">
        <v>2608</v>
      </c>
      <c r="AI171" s="22" t="s">
        <v>2610</v>
      </c>
      <c r="AJ171" s="22" t="s">
        <v>2611</v>
      </c>
      <c r="AK171" s="43"/>
      <c r="AL171" s="43"/>
      <c r="AM171" s="43"/>
      <c r="AN171" s="43"/>
      <c r="AO171" s="43"/>
      <c r="AP171" s="46" t="s">
        <v>2612</v>
      </c>
      <c r="AQ171" s="46" t="s">
        <v>2613</v>
      </c>
      <c r="AR171" s="43"/>
      <c r="AS171" s="43"/>
      <c r="AT171" s="43"/>
      <c r="AU171" s="43"/>
      <c r="AV171" s="43"/>
      <c r="AW171" s="22" t="s">
        <v>1725</v>
      </c>
      <c r="AX171" s="22" t="s">
        <v>2611</v>
      </c>
      <c r="AY171" s="43"/>
      <c r="AZ171" s="43"/>
      <c r="BA171" s="43"/>
      <c r="BB171" s="43"/>
      <c r="BC171" s="43"/>
      <c r="BD171" s="43" t="s">
        <v>243</v>
      </c>
      <c r="BE171" s="43" t="s">
        <v>243</v>
      </c>
      <c r="BF171" s="22" t="s">
        <v>131</v>
      </c>
      <c r="BG171" s="22" t="s">
        <v>132</v>
      </c>
      <c r="BH171" s="22" t="s">
        <v>132</v>
      </c>
      <c r="BI171" s="22" t="s">
        <v>132</v>
      </c>
      <c r="BJ171" s="43"/>
      <c r="BK171" s="43"/>
      <c r="BL171" s="22">
        <v>4.603745411405E12</v>
      </c>
      <c r="BM171" s="22">
        <v>3.504009E9</v>
      </c>
      <c r="BN171" s="22" t="s">
        <v>2614</v>
      </c>
      <c r="BO171" s="22"/>
      <c r="BP171" s="22" t="s">
        <v>245</v>
      </c>
      <c r="BQ171" s="43"/>
      <c r="BR171" s="43"/>
      <c r="BS171" s="22" t="s">
        <v>2615</v>
      </c>
      <c r="BT171" s="43"/>
      <c r="BU171" s="22" t="s">
        <v>2616</v>
      </c>
      <c r="BV171" s="43" t="s">
        <v>2617</v>
      </c>
      <c r="BW171" s="22" t="s">
        <v>2618</v>
      </c>
      <c r="BX171" s="22">
        <v>120.0</v>
      </c>
      <c r="BY171" s="22" t="s">
        <v>492</v>
      </c>
      <c r="BZ171" s="43"/>
      <c r="CA171" s="22" t="s">
        <v>355</v>
      </c>
      <c r="CB171" s="22" t="s">
        <v>307</v>
      </c>
      <c r="CC171" s="45" t="s">
        <v>2619</v>
      </c>
      <c r="CD171" s="43"/>
      <c r="CE171" s="43"/>
      <c r="CF171" s="45" t="s">
        <v>2620</v>
      </c>
      <c r="CG171" s="43"/>
      <c r="CH171" s="43"/>
      <c r="CI171" s="43"/>
      <c r="CJ171" s="43"/>
      <c r="CK171" s="43"/>
      <c r="CL171" s="43"/>
      <c r="CM171" s="49">
        <f>IFERROR(VLOOKUP(B171,CC!A:D,4,0)," ")</f>
        <v>313.59</v>
      </c>
      <c r="CN171" s="22" t="s">
        <v>2568</v>
      </c>
      <c r="CO171" s="22"/>
      <c r="CP171" s="22" t="s">
        <v>2569</v>
      </c>
      <c r="CQ171" s="22" t="s">
        <v>401</v>
      </c>
      <c r="CR171" s="43"/>
      <c r="CS171" s="43"/>
      <c r="CT171" s="22" t="s">
        <v>145</v>
      </c>
      <c r="CU171" s="43"/>
      <c r="CV171" s="43"/>
      <c r="CW171" s="43"/>
      <c r="CX171" s="43"/>
      <c r="CY171" s="43" t="b">
        <v>0</v>
      </c>
      <c r="CZ171" s="43" t="b">
        <v>0</v>
      </c>
      <c r="DA171" s="43" t="b">
        <v>0</v>
      </c>
      <c r="DB171" s="43" t="b">
        <v>0</v>
      </c>
      <c r="DC171" s="43"/>
      <c r="DD171" s="43"/>
      <c r="DE171" s="43"/>
      <c r="DF171" s="43"/>
      <c r="DG171" s="43"/>
      <c r="DH171" s="43"/>
      <c r="DI171" s="43"/>
      <c r="DJ171" s="22">
        <f>IFERROR(VLOOKUP($B171,'Лист4'!$D:$AI,27,0)," ")</f>
        <v>12</v>
      </c>
      <c r="DK171" s="22">
        <f>IFERROR(VLOOKUP($B171,'Лист4'!$D:$AI,28,0)," ")</f>
        <v>6</v>
      </c>
      <c r="DL171" s="22">
        <f>IFERROR(VLOOKUP($B171,'Лист4'!$D:$AI,29,0)," ")</f>
        <v>12</v>
      </c>
      <c r="DM171" s="22">
        <f t="shared" si="1"/>
        <v>864</v>
      </c>
      <c r="DN171" s="22">
        <f>IFERROR(VLOOKUP($B171,'Лист4'!$D:$AI,32,0)," ")</f>
        <v>0.1</v>
      </c>
      <c r="DO171" s="22"/>
      <c r="DP171" s="22"/>
      <c r="DQ171" s="22"/>
      <c r="DR171" s="22"/>
      <c r="DS171" s="22"/>
      <c r="DT171" s="22"/>
      <c r="DU171" s="22"/>
      <c r="DV171" s="22"/>
      <c r="DW171" s="22"/>
      <c r="DX171" s="22"/>
      <c r="DY171" s="22"/>
      <c r="DZ171" s="22"/>
      <c r="EA171" s="22"/>
      <c r="EB171" s="22"/>
      <c r="EC171" s="22"/>
      <c r="ED171" s="22"/>
      <c r="EE171" s="22"/>
      <c r="EF171" s="22"/>
      <c r="EG171" s="22"/>
      <c r="EH171" s="22"/>
      <c r="EI171" s="22"/>
      <c r="EJ171" s="22"/>
      <c r="EK171" s="22"/>
      <c r="EL171" s="22"/>
      <c r="EM171" s="22"/>
      <c r="EN171" s="22"/>
      <c r="EO171" s="22"/>
      <c r="EP171" s="22"/>
      <c r="EQ171" s="22"/>
      <c r="ER171" s="22"/>
      <c r="ES171" s="43"/>
      <c r="ET171" s="43"/>
      <c r="EU171" s="43"/>
      <c r="EV171" s="43"/>
      <c r="EW171" s="43"/>
      <c r="EX171" s="43"/>
      <c r="EY171" s="43"/>
      <c r="EZ171" s="43"/>
      <c r="FA171" s="43"/>
      <c r="FB171" s="43"/>
      <c r="FC171" s="43"/>
      <c r="FD171" s="43"/>
      <c r="FE171" s="43"/>
      <c r="FF171" s="43"/>
      <c r="FG171" s="43"/>
      <c r="FH171" s="43"/>
      <c r="FI171" s="43"/>
    </row>
    <row r="172" ht="18.0" customHeight="1">
      <c r="A172" s="22" t="s">
        <v>116</v>
      </c>
      <c r="B172" s="43" t="s">
        <v>2621</v>
      </c>
      <c r="C172" s="22" t="s">
        <v>283</v>
      </c>
      <c r="D172" s="22" t="s">
        <v>187</v>
      </c>
      <c r="E172" s="43" t="s">
        <v>521</v>
      </c>
      <c r="F172" s="22" t="s">
        <v>2622</v>
      </c>
      <c r="G172" s="22"/>
      <c r="H172" s="22"/>
      <c r="I172" s="43"/>
      <c r="J172" s="43"/>
      <c r="K172" s="22" t="b">
        <v>1</v>
      </c>
      <c r="L172" s="22" t="b">
        <v>1</v>
      </c>
      <c r="M172" s="22" t="b">
        <v>1</v>
      </c>
      <c r="N172" s="22" t="b">
        <v>0</v>
      </c>
      <c r="O172" s="22" t="b">
        <v>0</v>
      </c>
      <c r="P172" s="22" t="b">
        <v>0</v>
      </c>
      <c r="Q172" s="22" t="b">
        <v>0</v>
      </c>
      <c r="R172" s="43"/>
      <c r="S172" s="43" t="s">
        <v>2623</v>
      </c>
      <c r="T172" s="22" t="s">
        <v>2621</v>
      </c>
      <c r="U172" s="22" t="s">
        <v>2621</v>
      </c>
      <c r="V172" s="22"/>
      <c r="W172" s="43"/>
      <c r="X172" s="43"/>
      <c r="Y172" s="43"/>
      <c r="Z172" s="43"/>
      <c r="AA172" s="22">
        <v>1.67679765E8</v>
      </c>
      <c r="AB172" s="22">
        <v>1.099581672E9</v>
      </c>
      <c r="AC172" s="22"/>
      <c r="AD172" s="22"/>
      <c r="AE172" s="22"/>
      <c r="AF172" s="43"/>
      <c r="AG172" s="43"/>
      <c r="AH172" s="43" t="s">
        <v>2622</v>
      </c>
      <c r="AI172" s="22" t="s">
        <v>2624</v>
      </c>
      <c r="AJ172" s="22" t="s">
        <v>2625</v>
      </c>
      <c r="AK172" s="43"/>
      <c r="AL172" s="43"/>
      <c r="AM172" s="43"/>
      <c r="AN172" s="43"/>
      <c r="AO172" s="43"/>
      <c r="AP172" s="46" t="s">
        <v>2626</v>
      </c>
      <c r="AQ172" s="46" t="s">
        <v>2627</v>
      </c>
      <c r="AR172" s="43"/>
      <c r="AS172" s="43"/>
      <c r="AT172" s="43"/>
      <c r="AU172" s="43"/>
      <c r="AV172" s="43"/>
      <c r="AW172" s="22" t="s">
        <v>1725</v>
      </c>
      <c r="AX172" s="22" t="s">
        <v>2625</v>
      </c>
      <c r="AY172" s="43"/>
      <c r="AZ172" s="43"/>
      <c r="BA172" s="43"/>
      <c r="BB172" s="43"/>
      <c r="BC172" s="43"/>
      <c r="BD172" s="43" t="s">
        <v>243</v>
      </c>
      <c r="BE172" s="43" t="s">
        <v>243</v>
      </c>
      <c r="BF172" s="22" t="s">
        <v>131</v>
      </c>
      <c r="BG172" s="22" t="s">
        <v>132</v>
      </c>
      <c r="BH172" s="22" t="s">
        <v>132</v>
      </c>
      <c r="BI172" s="22" t="s">
        <v>132</v>
      </c>
      <c r="BJ172" s="43"/>
      <c r="BK172" s="43"/>
      <c r="BL172" s="22" t="s">
        <v>2628</v>
      </c>
      <c r="BM172" s="22">
        <v>2.106909808E9</v>
      </c>
      <c r="BN172" s="22"/>
      <c r="BO172" s="22"/>
      <c r="BP172" s="22" t="s">
        <v>245</v>
      </c>
      <c r="BQ172" s="43"/>
      <c r="BR172" s="43"/>
      <c r="BS172" s="22"/>
      <c r="BT172" s="43"/>
      <c r="BU172" s="22"/>
      <c r="BV172" s="43"/>
      <c r="BW172" s="22"/>
      <c r="BX172" s="22"/>
      <c r="BY172" s="58" t="s">
        <v>2629</v>
      </c>
      <c r="BZ172" s="58"/>
      <c r="CA172" s="22"/>
      <c r="CB172" s="22"/>
      <c r="CC172" s="45"/>
      <c r="CD172" s="43"/>
      <c r="CE172" s="43"/>
      <c r="CF172" s="45"/>
      <c r="CG172" s="43"/>
      <c r="CH172" s="43"/>
      <c r="CI172" s="43"/>
      <c r="CJ172" s="43"/>
      <c r="CK172" s="43"/>
      <c r="CL172" s="43"/>
      <c r="CM172" s="49">
        <f>IFERROR(VLOOKUP(B172,CC!A:D,4,0)," ")</f>
        <v>669.75</v>
      </c>
      <c r="CN172" s="22"/>
      <c r="CO172" s="22"/>
      <c r="CP172" s="43"/>
      <c r="CQ172" s="22">
        <v>90.0</v>
      </c>
      <c r="CR172" s="43"/>
      <c r="CS172" s="43"/>
      <c r="CT172" s="22" t="s">
        <v>145</v>
      </c>
      <c r="CU172" s="43"/>
      <c r="CV172" s="43"/>
      <c r="CW172" s="43"/>
      <c r="CX172" s="43"/>
      <c r="CY172" s="43" t="b">
        <v>0</v>
      </c>
      <c r="CZ172" s="43" t="b">
        <v>0</v>
      </c>
      <c r="DA172" s="43" t="b">
        <v>0</v>
      </c>
      <c r="DB172" s="43" t="b">
        <v>0</v>
      </c>
      <c r="DC172" s="43"/>
      <c r="DD172" s="43"/>
      <c r="DE172" s="43"/>
      <c r="DF172" s="43"/>
      <c r="DG172" s="43"/>
      <c r="DH172" s="43"/>
      <c r="DI172" s="43"/>
      <c r="DJ172" s="22">
        <f>IFERROR(VLOOKUP($B172,'Лист4'!$D:$AI,27,0)," ")</f>
        <v>12</v>
      </c>
      <c r="DK172" s="22">
        <f>IFERROR(VLOOKUP($B172,'Лист4'!$D:$AI,28,0)," ")</f>
        <v>6</v>
      </c>
      <c r="DL172" s="22">
        <f>IFERROR(VLOOKUP($B172,'Лист4'!$D:$AI,29,0)," ")</f>
        <v>12</v>
      </c>
      <c r="DM172" s="22">
        <f t="shared" si="1"/>
        <v>864</v>
      </c>
      <c r="DN172" s="22">
        <f>IFERROR(VLOOKUP($B172,'Лист4'!$D:$AI,32,0)," ")</f>
        <v>0.11</v>
      </c>
      <c r="DO172" s="22"/>
      <c r="DP172" s="22"/>
      <c r="DQ172" s="22"/>
      <c r="DR172" s="22"/>
      <c r="DS172" s="22"/>
      <c r="DT172" s="22"/>
      <c r="DU172" s="22"/>
      <c r="DV172" s="22"/>
      <c r="DW172" s="22"/>
      <c r="DX172" s="22"/>
      <c r="DY172" s="22"/>
      <c r="DZ172" s="22"/>
      <c r="EA172" s="22"/>
      <c r="EB172" s="22"/>
      <c r="EC172" s="22"/>
      <c r="ED172" s="22"/>
      <c r="EE172" s="22"/>
      <c r="EF172" s="22"/>
      <c r="EG172" s="22"/>
      <c r="EH172" s="22"/>
      <c r="EI172" s="22"/>
      <c r="EJ172" s="22"/>
      <c r="EK172" s="22"/>
      <c r="EL172" s="22"/>
      <c r="EM172" s="22"/>
      <c r="EN172" s="22"/>
      <c r="EO172" s="22"/>
      <c r="EP172" s="22"/>
      <c r="EQ172" s="22"/>
      <c r="ER172" s="22"/>
      <c r="ES172" s="43"/>
      <c r="ET172" s="43"/>
      <c r="EU172" s="43"/>
      <c r="EV172" s="43"/>
      <c r="EW172" s="43"/>
      <c r="EX172" s="43"/>
      <c r="EY172" s="43"/>
      <c r="EZ172" s="43"/>
      <c r="FA172" s="43"/>
      <c r="FB172" s="43"/>
      <c r="FC172" s="43"/>
      <c r="FD172" s="43"/>
      <c r="FE172" s="43"/>
      <c r="FF172" s="43"/>
      <c r="FG172" s="43"/>
      <c r="FH172" s="43"/>
      <c r="FI172" s="43"/>
    </row>
    <row r="173" ht="18.0" customHeight="1">
      <c r="A173" s="22" t="s">
        <v>116</v>
      </c>
      <c r="B173" s="43" t="s">
        <v>2630</v>
      </c>
      <c r="C173" s="22" t="s">
        <v>283</v>
      </c>
      <c r="D173" s="22" t="s">
        <v>187</v>
      </c>
      <c r="E173" s="43" t="s">
        <v>521</v>
      </c>
      <c r="F173" s="22" t="s">
        <v>2631</v>
      </c>
      <c r="G173" s="22"/>
      <c r="H173" s="22"/>
      <c r="I173" s="43"/>
      <c r="J173" s="43"/>
      <c r="K173" s="22" t="b">
        <v>1</v>
      </c>
      <c r="L173" s="22" t="b">
        <v>1</v>
      </c>
      <c r="M173" s="22" t="b">
        <v>1</v>
      </c>
      <c r="N173" s="22" t="b">
        <v>0</v>
      </c>
      <c r="O173" s="22" t="b">
        <v>0</v>
      </c>
      <c r="P173" s="22" t="b">
        <v>0</v>
      </c>
      <c r="Q173" s="22" t="b">
        <v>0</v>
      </c>
      <c r="R173" s="43"/>
      <c r="S173" s="43" t="s">
        <v>2632</v>
      </c>
      <c r="T173" s="22" t="s">
        <v>2630</v>
      </c>
      <c r="U173" s="22" t="s">
        <v>2630</v>
      </c>
      <c r="V173" s="22"/>
      <c r="W173" s="43"/>
      <c r="X173" s="43"/>
      <c r="Y173" s="43"/>
      <c r="Z173" s="43"/>
      <c r="AA173" s="22">
        <v>1.57011739E8</v>
      </c>
      <c r="AB173" s="22">
        <v>9.4693155E8</v>
      </c>
      <c r="AC173" s="22"/>
      <c r="AD173" s="22"/>
      <c r="AE173" s="22"/>
      <c r="AF173" s="43"/>
      <c r="AG173" s="43"/>
      <c r="AH173" s="43" t="s">
        <v>2631</v>
      </c>
      <c r="AI173" s="22" t="s">
        <v>2633</v>
      </c>
      <c r="AJ173" s="22" t="s">
        <v>2634</v>
      </c>
      <c r="AK173" s="43"/>
      <c r="AL173" s="43"/>
      <c r="AM173" s="43"/>
      <c r="AN173" s="43"/>
      <c r="AO173" s="43"/>
      <c r="AP173" s="46" t="s">
        <v>2635</v>
      </c>
      <c r="AQ173" s="46" t="s">
        <v>2636</v>
      </c>
      <c r="AR173" s="43"/>
      <c r="AS173" s="43"/>
      <c r="AT173" s="43"/>
      <c r="AU173" s="43"/>
      <c r="AV173" s="43"/>
      <c r="AW173" s="22" t="s">
        <v>361</v>
      </c>
      <c r="AX173" s="22" t="s">
        <v>2634</v>
      </c>
      <c r="AY173" s="43"/>
      <c r="AZ173" s="43"/>
      <c r="BA173" s="43"/>
      <c r="BB173" s="43"/>
      <c r="BC173" s="43"/>
      <c r="BD173" s="43" t="s">
        <v>243</v>
      </c>
      <c r="BE173" s="43" t="s">
        <v>243</v>
      </c>
      <c r="BF173" s="22" t="s">
        <v>131</v>
      </c>
      <c r="BG173" s="22" t="s">
        <v>132</v>
      </c>
      <c r="BH173" s="22" t="s">
        <v>132</v>
      </c>
      <c r="BI173" s="22" t="s">
        <v>132</v>
      </c>
      <c r="BJ173" s="43"/>
      <c r="BK173" s="43"/>
      <c r="BL173" s="22">
        <v>4.670110185162E12</v>
      </c>
      <c r="BM173" s="22">
        <v>2.106909808E9</v>
      </c>
      <c r="BN173" s="22" t="s">
        <v>2637</v>
      </c>
      <c r="BO173" s="22"/>
      <c r="BP173" s="22" t="s">
        <v>245</v>
      </c>
      <c r="BQ173" s="43"/>
      <c r="BR173" s="43"/>
      <c r="BS173" s="22" t="s">
        <v>2638</v>
      </c>
      <c r="BT173" s="43"/>
      <c r="BU173" s="22" t="s">
        <v>2639</v>
      </c>
      <c r="BV173" s="43" t="s">
        <v>2640</v>
      </c>
      <c r="BW173" s="22" t="s">
        <v>2641</v>
      </c>
      <c r="BX173" s="22">
        <v>60.0</v>
      </c>
      <c r="BY173" s="22" t="s">
        <v>621</v>
      </c>
      <c r="BZ173" s="22"/>
      <c r="CA173" s="22" t="s">
        <v>355</v>
      </c>
      <c r="CB173" s="22" t="s">
        <v>307</v>
      </c>
      <c r="CC173" s="45" t="s">
        <v>2642</v>
      </c>
      <c r="CD173" s="43"/>
      <c r="CE173" s="43"/>
      <c r="CF173" s="45" t="s">
        <v>2643</v>
      </c>
      <c r="CG173" s="43"/>
      <c r="CH173" s="43"/>
      <c r="CI173" s="43"/>
      <c r="CJ173" s="43"/>
      <c r="CK173" s="43"/>
      <c r="CL173" s="43"/>
      <c r="CM173" s="49">
        <f>IFERROR(VLOOKUP(B173,CC!A:D,4,0)," ")</f>
        <v>275</v>
      </c>
      <c r="CN173" s="22" t="s">
        <v>1118</v>
      </c>
      <c r="CO173" s="22"/>
      <c r="CP173" s="22" t="s">
        <v>1119</v>
      </c>
      <c r="CQ173" s="22">
        <v>60.0</v>
      </c>
      <c r="CR173" s="43"/>
      <c r="CS173" s="22">
        <v>5.0</v>
      </c>
      <c r="CT173" s="22" t="s">
        <v>145</v>
      </c>
      <c r="CU173" s="43"/>
      <c r="CV173" s="43"/>
      <c r="CW173" s="43"/>
      <c r="CX173" s="43"/>
      <c r="CY173" s="43" t="b">
        <v>0</v>
      </c>
      <c r="CZ173" s="43" t="b">
        <v>0</v>
      </c>
      <c r="DA173" s="43" t="b">
        <v>0</v>
      </c>
      <c r="DB173" s="43" t="b">
        <v>0</v>
      </c>
      <c r="DC173" s="43"/>
      <c r="DD173" s="43"/>
      <c r="DE173" s="43"/>
      <c r="DF173" s="43"/>
      <c r="DG173" s="43"/>
      <c r="DH173" s="43"/>
      <c r="DI173" s="43"/>
      <c r="DJ173" s="22">
        <f>IFERROR(VLOOKUP($B173,'Лист4'!$D:$AI,27,0)," ")</f>
        <v>5</v>
      </c>
      <c r="DK173" s="22">
        <f>IFERROR(VLOOKUP($B173,'Лист4'!$D:$AI,28,0)," ")</f>
        <v>9</v>
      </c>
      <c r="DL173" s="22">
        <f>IFERROR(VLOOKUP($B173,'Лист4'!$D:$AI,29,0)," ")</f>
        <v>5</v>
      </c>
      <c r="DM173" s="22">
        <f t="shared" si="1"/>
        <v>225</v>
      </c>
      <c r="DN173" s="22">
        <f>IFERROR(VLOOKUP($B173,'Лист4'!$D:$AI,32,0)," ")</f>
        <v>0.08</v>
      </c>
      <c r="DO173" s="22"/>
      <c r="DP173" s="22"/>
      <c r="DQ173" s="22"/>
      <c r="DR173" s="22"/>
      <c r="DS173" s="22"/>
      <c r="DT173" s="22"/>
      <c r="DU173" s="22"/>
      <c r="DV173" s="22"/>
      <c r="DW173" s="22"/>
      <c r="DX173" s="22"/>
      <c r="DY173" s="22"/>
      <c r="DZ173" s="22"/>
      <c r="EA173" s="22"/>
      <c r="EB173" s="22"/>
      <c r="EC173" s="22"/>
      <c r="ED173" s="22"/>
      <c r="EE173" s="22"/>
      <c r="EF173" s="22"/>
      <c r="EG173" s="22"/>
      <c r="EH173" s="22"/>
      <c r="EI173" s="22"/>
      <c r="EJ173" s="22"/>
      <c r="EK173" s="22"/>
      <c r="EL173" s="22"/>
      <c r="EM173" s="22"/>
      <c r="EN173" s="22"/>
      <c r="EO173" s="22"/>
      <c r="EP173" s="22"/>
      <c r="EQ173" s="22"/>
      <c r="ER173" s="22"/>
      <c r="ES173" s="43"/>
      <c r="ET173" s="43"/>
      <c r="EU173" s="43"/>
      <c r="EV173" s="43"/>
      <c r="EW173" s="43"/>
      <c r="EX173" s="43"/>
      <c r="EY173" s="43"/>
      <c r="EZ173" s="43"/>
      <c r="FA173" s="43"/>
      <c r="FB173" s="43"/>
      <c r="FC173" s="43"/>
      <c r="FD173" s="43"/>
      <c r="FE173" s="43"/>
      <c r="FF173" s="43"/>
      <c r="FG173" s="43"/>
      <c r="FH173" s="43"/>
      <c r="FI173" s="43"/>
    </row>
    <row r="174" ht="18.0" customHeight="1">
      <c r="A174" s="22" t="s">
        <v>116</v>
      </c>
      <c r="B174" s="43" t="s">
        <v>2644</v>
      </c>
      <c r="C174" s="22" t="s">
        <v>283</v>
      </c>
      <c r="D174" s="22" t="s">
        <v>187</v>
      </c>
      <c r="E174" s="43" t="s">
        <v>521</v>
      </c>
      <c r="F174" s="22" t="s">
        <v>2645</v>
      </c>
      <c r="G174" s="22"/>
      <c r="H174" s="22"/>
      <c r="I174" s="43"/>
      <c r="J174" s="43"/>
      <c r="K174" s="22" t="b">
        <v>1</v>
      </c>
      <c r="L174" s="22" t="b">
        <v>1</v>
      </c>
      <c r="M174" s="22" t="b">
        <v>1</v>
      </c>
      <c r="N174" s="22" t="b">
        <v>0</v>
      </c>
      <c r="O174" s="22" t="b">
        <v>0</v>
      </c>
      <c r="P174" s="22" t="b">
        <v>0</v>
      </c>
      <c r="Q174" s="22" t="b">
        <v>0</v>
      </c>
      <c r="R174" s="43"/>
      <c r="S174" s="43" t="s">
        <v>2646</v>
      </c>
      <c r="T174" s="22" t="s">
        <v>2644</v>
      </c>
      <c r="U174" s="22" t="s">
        <v>2644</v>
      </c>
      <c r="V174" s="22"/>
      <c r="W174" s="43"/>
      <c r="X174" s="43"/>
      <c r="Y174" s="43"/>
      <c r="Z174" s="43"/>
      <c r="AA174" s="22">
        <v>1.5998048E8</v>
      </c>
      <c r="AB174" s="22">
        <v>9.67670448E8</v>
      </c>
      <c r="AC174" s="22"/>
      <c r="AD174" s="22"/>
      <c r="AE174" s="22"/>
      <c r="AF174" s="43"/>
      <c r="AG174" s="43"/>
      <c r="AH174" s="43" t="s">
        <v>2645</v>
      </c>
      <c r="AI174" s="22" t="s">
        <v>2647</v>
      </c>
      <c r="AJ174" s="22" t="s">
        <v>2648</v>
      </c>
      <c r="AK174" s="43"/>
      <c r="AL174" s="43"/>
      <c r="AM174" s="43"/>
      <c r="AN174" s="43"/>
      <c r="AO174" s="43"/>
      <c r="AP174" s="46" t="s">
        <v>2649</v>
      </c>
      <c r="AQ174" s="46" t="s">
        <v>2650</v>
      </c>
      <c r="AR174" s="43"/>
      <c r="AS174" s="43"/>
      <c r="AT174" s="43"/>
      <c r="AU174" s="43"/>
      <c r="AV174" s="43"/>
      <c r="AW174" s="22" t="s">
        <v>361</v>
      </c>
      <c r="AX174" s="22" t="s">
        <v>2648</v>
      </c>
      <c r="AY174" s="43"/>
      <c r="AZ174" s="43"/>
      <c r="BA174" s="43"/>
      <c r="BB174" s="43"/>
      <c r="BC174" s="43"/>
      <c r="BD174" s="43" t="s">
        <v>243</v>
      </c>
      <c r="BE174" s="43" t="s">
        <v>243</v>
      </c>
      <c r="BF174" s="22" t="s">
        <v>131</v>
      </c>
      <c r="BG174" s="22" t="s">
        <v>132</v>
      </c>
      <c r="BH174" s="22" t="s">
        <v>132</v>
      </c>
      <c r="BI174" s="22" t="s">
        <v>132</v>
      </c>
      <c r="BJ174" s="43"/>
      <c r="BK174" s="43"/>
      <c r="BL174" s="22" t="s">
        <v>2651</v>
      </c>
      <c r="BM174" s="22">
        <v>2.106909808E9</v>
      </c>
      <c r="BN174" s="22" t="s">
        <v>2652</v>
      </c>
      <c r="BO174" s="22"/>
      <c r="BP174" s="22" t="s">
        <v>245</v>
      </c>
      <c r="BQ174" s="43"/>
      <c r="BR174" s="43"/>
      <c r="BS174" s="22" t="s">
        <v>2653</v>
      </c>
      <c r="BT174" s="43"/>
      <c r="BU174" s="22" t="s">
        <v>2654</v>
      </c>
      <c r="BV174" s="43" t="s">
        <v>2655</v>
      </c>
      <c r="BW174" s="22" t="s">
        <v>2656</v>
      </c>
      <c r="BX174" s="22">
        <v>90.0</v>
      </c>
      <c r="BY174" s="22" t="s">
        <v>492</v>
      </c>
      <c r="BZ174" s="43"/>
      <c r="CA174" s="22" t="s">
        <v>355</v>
      </c>
      <c r="CB174" s="22" t="s">
        <v>307</v>
      </c>
      <c r="CC174" s="45" t="s">
        <v>2657</v>
      </c>
      <c r="CD174" s="43"/>
      <c r="CE174" s="43"/>
      <c r="CF174" s="45" t="s">
        <v>2658</v>
      </c>
      <c r="CG174" s="43"/>
      <c r="CH174" s="43"/>
      <c r="CI174" s="43"/>
      <c r="CJ174" s="43"/>
      <c r="CK174" s="43"/>
      <c r="CL174" s="43"/>
      <c r="CM174" s="49">
        <f>IFERROR(VLOOKUP(B174,CC!A:D,4,0)," ")</f>
        <v>348.81</v>
      </c>
      <c r="CN174" s="22" t="s">
        <v>1118</v>
      </c>
      <c r="CO174" s="22"/>
      <c r="CP174" s="22" t="s">
        <v>1119</v>
      </c>
      <c r="CQ174" s="22">
        <v>60.0</v>
      </c>
      <c r="CR174" s="43"/>
      <c r="CS174" s="22">
        <v>5.0</v>
      </c>
      <c r="CT174" s="22" t="s">
        <v>145</v>
      </c>
      <c r="CU174" s="43"/>
      <c r="CV174" s="43"/>
      <c r="CW174" s="43"/>
      <c r="CX174" s="43"/>
      <c r="CY174" s="43" t="b">
        <v>0</v>
      </c>
      <c r="CZ174" s="43" t="b">
        <v>0</v>
      </c>
      <c r="DA174" s="43" t="b">
        <v>0</v>
      </c>
      <c r="DB174" s="43" t="b">
        <v>0</v>
      </c>
      <c r="DC174" s="43"/>
      <c r="DD174" s="43"/>
      <c r="DE174" s="43"/>
      <c r="DF174" s="43"/>
      <c r="DG174" s="43"/>
      <c r="DH174" s="43"/>
      <c r="DI174" s="43"/>
      <c r="DJ174" s="22">
        <f>IFERROR(VLOOKUP($B174,'Лист4'!$D:$AI,27,0)," ")</f>
        <v>5</v>
      </c>
      <c r="DK174" s="22">
        <f>IFERROR(VLOOKUP($B174,'Лист4'!$D:$AI,28,0)," ")</f>
        <v>12</v>
      </c>
      <c r="DL174" s="22">
        <f>IFERROR(VLOOKUP($B174,'Лист4'!$D:$AI,29,0)," ")</f>
        <v>5</v>
      </c>
      <c r="DM174" s="22">
        <f t="shared" si="1"/>
        <v>300</v>
      </c>
      <c r="DN174" s="22">
        <f>IFERROR(VLOOKUP($B174,'Лист4'!$D:$AI,32,0)," ")</f>
        <v>0.1</v>
      </c>
      <c r="DO174" s="22"/>
      <c r="DP174" s="22"/>
      <c r="DQ174" s="22"/>
      <c r="DR174" s="22"/>
      <c r="DS174" s="22"/>
      <c r="DT174" s="22"/>
      <c r="DU174" s="22"/>
      <c r="DV174" s="22"/>
      <c r="DW174" s="22"/>
      <c r="DX174" s="22"/>
      <c r="DY174" s="22"/>
      <c r="DZ174" s="22"/>
      <c r="EA174" s="22"/>
      <c r="EB174" s="22"/>
      <c r="EC174" s="22"/>
      <c r="ED174" s="22"/>
      <c r="EE174" s="22"/>
      <c r="EF174" s="22"/>
      <c r="EG174" s="22"/>
      <c r="EH174" s="22"/>
      <c r="EI174" s="22"/>
      <c r="EJ174" s="22"/>
      <c r="EK174" s="22"/>
      <c r="EL174" s="22"/>
      <c r="EM174" s="22"/>
      <c r="EN174" s="22"/>
      <c r="EO174" s="22"/>
      <c r="EP174" s="22"/>
      <c r="EQ174" s="22"/>
      <c r="ER174" s="22"/>
      <c r="ES174" s="43"/>
      <c r="ET174" s="43"/>
      <c r="EU174" s="43"/>
      <c r="EV174" s="43"/>
      <c r="EW174" s="43"/>
      <c r="EX174" s="43"/>
      <c r="EY174" s="43"/>
      <c r="EZ174" s="43"/>
      <c r="FA174" s="43"/>
      <c r="FB174" s="43"/>
      <c r="FC174" s="43"/>
      <c r="FD174" s="43"/>
      <c r="FE174" s="43"/>
      <c r="FF174" s="43"/>
      <c r="FG174" s="43"/>
      <c r="FH174" s="43"/>
      <c r="FI174" s="43"/>
    </row>
    <row r="175" ht="18.0" customHeight="1">
      <c r="A175" s="22" t="s">
        <v>2659</v>
      </c>
      <c r="B175" s="43" t="s">
        <v>2660</v>
      </c>
      <c r="C175" s="22" t="s">
        <v>2661</v>
      </c>
      <c r="D175" s="22" t="s">
        <v>119</v>
      </c>
      <c r="E175" s="43"/>
      <c r="F175" s="22" t="s">
        <v>2662</v>
      </c>
      <c r="G175" s="22" t="s">
        <v>2663</v>
      </c>
      <c r="H175" s="22" t="s">
        <v>2664</v>
      </c>
      <c r="I175" s="43"/>
      <c r="J175" s="43"/>
      <c r="K175" s="22" t="b">
        <v>1</v>
      </c>
      <c r="L175" s="22" t="b">
        <v>1</v>
      </c>
      <c r="M175" s="22" t="b">
        <v>1</v>
      </c>
      <c r="N175" s="22" t="b">
        <v>1</v>
      </c>
      <c r="O175" s="22" t="b">
        <v>0</v>
      </c>
      <c r="P175" s="22" t="b">
        <v>0</v>
      </c>
      <c r="Q175" s="22" t="b">
        <v>0</v>
      </c>
      <c r="R175" s="43"/>
      <c r="S175" s="43" t="s">
        <v>2665</v>
      </c>
      <c r="T175" s="22" t="s">
        <v>2660</v>
      </c>
      <c r="U175" s="22" t="s">
        <v>2660</v>
      </c>
      <c r="V175" s="22" t="s">
        <v>2660</v>
      </c>
      <c r="W175" s="43"/>
      <c r="X175" s="43"/>
      <c r="Y175" s="43"/>
      <c r="Z175" s="43"/>
      <c r="AA175" s="22">
        <v>2.22209699E8</v>
      </c>
      <c r="AB175" s="22">
        <v>1.527086051E9</v>
      </c>
      <c r="AC175" s="22">
        <v>1.03701608E11</v>
      </c>
      <c r="AD175" s="22"/>
      <c r="AE175" s="22"/>
      <c r="AF175" s="43"/>
      <c r="AG175" s="43"/>
      <c r="AH175" s="43" t="s">
        <v>2662</v>
      </c>
      <c r="AI175" s="22" t="s">
        <v>2666</v>
      </c>
      <c r="AJ175" s="22" t="s">
        <v>2667</v>
      </c>
      <c r="AK175" s="22" t="s">
        <v>2668</v>
      </c>
      <c r="AL175" s="43"/>
      <c r="AM175" s="43"/>
      <c r="AN175" s="43"/>
      <c r="AO175" s="43"/>
      <c r="AP175" s="46" t="s">
        <v>2669</v>
      </c>
      <c r="AQ175" s="46" t="s">
        <v>2670</v>
      </c>
      <c r="AR175" s="46" t="s">
        <v>2671</v>
      </c>
      <c r="AS175" s="43"/>
      <c r="AT175" s="43"/>
      <c r="AU175" s="43"/>
      <c r="AV175" s="43"/>
      <c r="AW175" s="22" t="s">
        <v>594</v>
      </c>
      <c r="AX175" s="22" t="s">
        <v>2667</v>
      </c>
      <c r="AY175" s="22" t="s">
        <v>2672</v>
      </c>
      <c r="AZ175" s="43"/>
      <c r="BA175" s="43"/>
      <c r="BB175" s="43"/>
      <c r="BC175" s="43"/>
      <c r="BD175" s="43" t="s">
        <v>2673</v>
      </c>
      <c r="BE175" s="59" t="s">
        <v>2674</v>
      </c>
      <c r="BF175" s="22" t="s">
        <v>131</v>
      </c>
      <c r="BG175" s="22" t="s">
        <v>132</v>
      </c>
      <c r="BH175" s="22" t="s">
        <v>132</v>
      </c>
      <c r="BI175" s="22" t="s">
        <v>132</v>
      </c>
      <c r="BJ175" s="43"/>
      <c r="BK175" s="43"/>
      <c r="BL175" s="43">
        <v>4.685518825374E12</v>
      </c>
      <c r="BM175" s="22">
        <v>3.30499E9</v>
      </c>
      <c r="BN175" s="22" t="s">
        <v>2675</v>
      </c>
      <c r="BO175" s="22"/>
      <c r="BP175" s="22" t="s">
        <v>2676</v>
      </c>
      <c r="BQ175" s="43"/>
      <c r="BR175" s="43"/>
      <c r="BS175" s="22" t="s">
        <v>2677</v>
      </c>
      <c r="BT175" s="43"/>
      <c r="BU175" s="22" t="s">
        <v>2678</v>
      </c>
      <c r="BV175" s="22" t="s">
        <v>2679</v>
      </c>
      <c r="BW175" s="22" t="s">
        <v>2680</v>
      </c>
      <c r="BX175" s="22">
        <v>30.0</v>
      </c>
      <c r="BY175" s="22" t="s">
        <v>139</v>
      </c>
      <c r="BZ175" s="43"/>
      <c r="CA175" s="22" t="s">
        <v>355</v>
      </c>
      <c r="CB175" s="22" t="s">
        <v>401</v>
      </c>
      <c r="CC175" s="45" t="s">
        <v>401</v>
      </c>
      <c r="CD175" s="43"/>
      <c r="CE175" s="43"/>
      <c r="CF175" s="45" t="s">
        <v>401</v>
      </c>
      <c r="CG175" s="43"/>
      <c r="CH175" s="43"/>
      <c r="CI175" s="43"/>
      <c r="CJ175" s="43"/>
      <c r="CK175" s="43"/>
      <c r="CL175" s="43"/>
      <c r="CM175" s="49">
        <f>IFERROR(VLOOKUP(B175,CC!A:D,4,0)," ")</f>
        <v>120.5</v>
      </c>
      <c r="CN175" s="22" t="s">
        <v>2681</v>
      </c>
      <c r="CO175" s="22"/>
      <c r="CP175" s="43"/>
      <c r="CQ175" s="22">
        <v>45.0</v>
      </c>
      <c r="CR175" s="43"/>
      <c r="CS175" s="22">
        <v>1.0</v>
      </c>
      <c r="CT175" s="22" t="s">
        <v>145</v>
      </c>
      <c r="CU175" s="43"/>
      <c r="CV175" s="43"/>
      <c r="CW175" s="43"/>
      <c r="CX175" s="43"/>
      <c r="CY175" s="43" t="b">
        <v>0</v>
      </c>
      <c r="CZ175" s="43" t="b">
        <v>0</v>
      </c>
      <c r="DA175" s="43" t="b">
        <v>0</v>
      </c>
      <c r="DB175" s="43" t="b">
        <v>0</v>
      </c>
      <c r="DC175" s="43"/>
      <c r="DD175" s="43"/>
      <c r="DE175" s="43"/>
      <c r="DF175" s="43"/>
      <c r="DG175" s="43"/>
      <c r="DH175" s="43"/>
      <c r="DI175" s="43"/>
      <c r="DJ175" s="22">
        <f>IFERROR(VLOOKUP($B175,'Лист4'!$D:$AI,27,0)," ")</f>
        <v>12</v>
      </c>
      <c r="DK175" s="22">
        <f>IFERROR(VLOOKUP($B175,'Лист4'!$D:$AI,28,0)," ")</f>
        <v>4</v>
      </c>
      <c r="DL175" s="22">
        <f>IFERROR(VLOOKUP($B175,'Лист4'!$D:$AI,29,0)," ")</f>
        <v>12</v>
      </c>
      <c r="DM175" s="22">
        <f t="shared" si="1"/>
        <v>576</v>
      </c>
      <c r="DN175" s="22">
        <f>IFERROR(VLOOKUP($B175,'Лист4'!$D:$AI,32,0)," ")</f>
        <v>0.05</v>
      </c>
      <c r="DO175" s="22"/>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22"/>
      <c r="EN175" s="22"/>
      <c r="EO175" s="22"/>
      <c r="EP175" s="22"/>
      <c r="EQ175" s="22"/>
      <c r="ER175" s="22"/>
      <c r="ES175" s="43"/>
      <c r="ET175" s="43"/>
      <c r="EU175" s="43"/>
      <c r="EV175" s="43"/>
      <c r="EW175" s="43"/>
      <c r="EX175" s="43"/>
      <c r="EY175" s="43"/>
      <c r="EZ175" s="43"/>
      <c r="FA175" s="43"/>
      <c r="FB175" s="43"/>
      <c r="FC175" s="43"/>
      <c r="FD175" s="43"/>
      <c r="FE175" s="43"/>
      <c r="FF175" s="43"/>
      <c r="FG175" s="43"/>
      <c r="FH175" s="43"/>
      <c r="FI175" s="43"/>
    </row>
    <row r="176" ht="18.0" customHeight="1">
      <c r="A176" s="22" t="s">
        <v>2659</v>
      </c>
      <c r="B176" s="43" t="s">
        <v>2682</v>
      </c>
      <c r="C176" s="22" t="s">
        <v>2661</v>
      </c>
      <c r="D176" s="22" t="s">
        <v>119</v>
      </c>
      <c r="E176" s="43"/>
      <c r="F176" s="22" t="s">
        <v>2683</v>
      </c>
      <c r="G176" s="22" t="s">
        <v>2663</v>
      </c>
      <c r="H176" s="22" t="s">
        <v>2684</v>
      </c>
      <c r="I176" s="43"/>
      <c r="J176" s="43"/>
      <c r="K176" s="22" t="b">
        <v>1</v>
      </c>
      <c r="L176" s="22" t="b">
        <v>1</v>
      </c>
      <c r="M176" s="22" t="b">
        <v>1</v>
      </c>
      <c r="N176" s="22" t="b">
        <v>1</v>
      </c>
      <c r="O176" s="22" t="b">
        <v>0</v>
      </c>
      <c r="P176" s="22" t="b">
        <v>0</v>
      </c>
      <c r="Q176" s="22" t="b">
        <v>0</v>
      </c>
      <c r="R176" s="43"/>
      <c r="S176" s="43" t="s">
        <v>2685</v>
      </c>
      <c r="T176" s="22" t="s">
        <v>2682</v>
      </c>
      <c r="U176" s="22" t="s">
        <v>2682</v>
      </c>
      <c r="V176" s="22" t="s">
        <v>2682</v>
      </c>
      <c r="W176" s="43"/>
      <c r="X176" s="43"/>
      <c r="Y176" s="43"/>
      <c r="Z176" s="43"/>
      <c r="AA176" s="22">
        <v>2.34145577E8</v>
      </c>
      <c r="AB176" s="22">
        <v>1.589191436E9</v>
      </c>
      <c r="AC176" s="22">
        <v>1.03515431798E11</v>
      </c>
      <c r="AD176" s="22"/>
      <c r="AE176" s="22"/>
      <c r="AF176" s="43"/>
      <c r="AG176" s="43"/>
      <c r="AH176" s="43" t="s">
        <v>2683</v>
      </c>
      <c r="AI176" s="22" t="s">
        <v>2686</v>
      </c>
      <c r="AJ176" s="22" t="s">
        <v>2687</v>
      </c>
      <c r="AK176" s="22" t="s">
        <v>2688</v>
      </c>
      <c r="AL176" s="43"/>
      <c r="AM176" s="43"/>
      <c r="AN176" s="43"/>
      <c r="AO176" s="43"/>
      <c r="AP176" s="46" t="s">
        <v>2689</v>
      </c>
      <c r="AQ176" s="46" t="s">
        <v>2690</v>
      </c>
      <c r="AR176" s="46" t="s">
        <v>2691</v>
      </c>
      <c r="AS176" s="43"/>
      <c r="AT176" s="43"/>
      <c r="AU176" s="43"/>
      <c r="AV176" s="43"/>
      <c r="AW176" s="22" t="s">
        <v>649</v>
      </c>
      <c r="AX176" s="22" t="s">
        <v>2687</v>
      </c>
      <c r="AY176" s="22" t="s">
        <v>2692</v>
      </c>
      <c r="AZ176" s="43"/>
      <c r="BA176" s="43"/>
      <c r="BB176" s="43"/>
      <c r="BC176" s="43"/>
      <c r="BD176" s="43" t="s">
        <v>1449</v>
      </c>
      <c r="BE176" s="59" t="s">
        <v>2674</v>
      </c>
      <c r="BF176" s="22" t="s">
        <v>131</v>
      </c>
      <c r="BG176" s="22" t="s">
        <v>132</v>
      </c>
      <c r="BH176" s="22" t="s">
        <v>132</v>
      </c>
      <c r="BI176" s="22" t="s">
        <v>132</v>
      </c>
      <c r="BJ176" s="43"/>
      <c r="BK176" s="43"/>
      <c r="BL176" s="22" t="s">
        <v>2693</v>
      </c>
      <c r="BM176" s="22">
        <v>2.106909809E9</v>
      </c>
      <c r="BN176" s="22" t="s">
        <v>2694</v>
      </c>
      <c r="BO176" s="22"/>
      <c r="BP176" s="22" t="s">
        <v>145</v>
      </c>
      <c r="BQ176" s="43"/>
      <c r="BR176" s="43"/>
      <c r="BS176" s="22" t="s">
        <v>2695</v>
      </c>
      <c r="BT176" s="43"/>
      <c r="BU176" s="22" t="s">
        <v>2696</v>
      </c>
      <c r="BV176" s="22" t="s">
        <v>2697</v>
      </c>
      <c r="BW176" s="22" t="s">
        <v>2698</v>
      </c>
      <c r="BX176" s="22">
        <v>20.0</v>
      </c>
      <c r="BY176" s="22" t="s">
        <v>492</v>
      </c>
      <c r="BZ176" s="22"/>
      <c r="CA176" s="22" t="s">
        <v>355</v>
      </c>
      <c r="CB176" s="22" t="s">
        <v>307</v>
      </c>
      <c r="CC176" s="45" t="s">
        <v>2699</v>
      </c>
      <c r="CD176" s="43"/>
      <c r="CE176" s="43"/>
      <c r="CF176" s="45"/>
      <c r="CG176" s="43"/>
      <c r="CH176" s="43"/>
      <c r="CI176" s="43"/>
      <c r="CJ176" s="43"/>
      <c r="CK176" s="43"/>
      <c r="CL176" s="43"/>
      <c r="CM176" s="49">
        <f>IFERROR(VLOOKUP(B176,CC!A:D,4,0)," ")</f>
        <v>105</v>
      </c>
      <c r="CN176" s="22" t="s">
        <v>2700</v>
      </c>
      <c r="CO176" s="22"/>
      <c r="CP176" s="43"/>
      <c r="CQ176" s="22">
        <v>45.0</v>
      </c>
      <c r="CR176" s="43"/>
      <c r="CS176" s="43"/>
      <c r="CT176" s="22" t="s">
        <v>145</v>
      </c>
      <c r="CU176" s="43"/>
      <c r="CV176" s="43"/>
      <c r="CW176" s="43"/>
      <c r="CX176" s="43"/>
      <c r="CY176" s="43" t="b">
        <v>0</v>
      </c>
      <c r="CZ176" s="43" t="b">
        <v>0</v>
      </c>
      <c r="DA176" s="43" t="b">
        <v>0</v>
      </c>
      <c r="DB176" s="43" t="b">
        <v>0</v>
      </c>
      <c r="DC176" s="43"/>
      <c r="DD176" s="43"/>
      <c r="DE176" s="43"/>
      <c r="DF176" s="43"/>
      <c r="DG176" s="43"/>
      <c r="DH176" s="43"/>
      <c r="DI176" s="43"/>
      <c r="DJ176" s="22">
        <f>IFERROR(VLOOKUP($B176,'Лист4'!$D:$AI,27,0)," ")</f>
        <v>8</v>
      </c>
      <c r="DK176" s="22">
        <f>IFERROR(VLOOKUP($B176,'Лист4'!$D:$AI,28,0)," ")</f>
        <v>3</v>
      </c>
      <c r="DL176" s="22">
        <f>IFERROR(VLOOKUP($B176,'Лист4'!$D:$AI,29,0)," ")</f>
        <v>8</v>
      </c>
      <c r="DM176" s="22">
        <f t="shared" si="1"/>
        <v>192</v>
      </c>
      <c r="DN176" s="22">
        <f>IFERROR(VLOOKUP($B176,'Лист4'!$D:$AI,32,0)," ")</f>
        <v>0.046</v>
      </c>
      <c r="DO176" s="22"/>
      <c r="DP176" s="22"/>
      <c r="DQ176" s="22"/>
      <c r="DR176" s="22"/>
      <c r="DS176" s="22"/>
      <c r="DT176" s="22"/>
      <c r="DU176" s="22"/>
      <c r="DV176" s="22"/>
      <c r="DW176" s="22"/>
      <c r="DX176" s="22"/>
      <c r="DY176" s="22"/>
      <c r="DZ176" s="22"/>
      <c r="EA176" s="22"/>
      <c r="EB176" s="22"/>
      <c r="EC176" s="22"/>
      <c r="ED176" s="22"/>
      <c r="EE176" s="22"/>
      <c r="EF176" s="22"/>
      <c r="EG176" s="22"/>
      <c r="EH176" s="22"/>
      <c r="EI176" s="22"/>
      <c r="EJ176" s="22"/>
      <c r="EK176" s="22"/>
      <c r="EL176" s="22"/>
      <c r="EM176" s="22"/>
      <c r="EN176" s="22"/>
      <c r="EO176" s="22"/>
      <c r="EP176" s="22"/>
      <c r="EQ176" s="22"/>
      <c r="ER176" s="22"/>
      <c r="ES176" s="43"/>
      <c r="ET176" s="43"/>
      <c r="EU176" s="43"/>
      <c r="EV176" s="43"/>
      <c r="EW176" s="43"/>
      <c r="EX176" s="43"/>
      <c r="EY176" s="43"/>
      <c r="EZ176" s="43"/>
      <c r="FA176" s="43"/>
      <c r="FB176" s="43"/>
      <c r="FC176" s="43"/>
      <c r="FD176" s="43"/>
      <c r="FE176" s="43"/>
      <c r="FF176" s="43"/>
      <c r="FG176" s="43"/>
      <c r="FH176" s="43"/>
      <c r="FI176" s="43"/>
    </row>
    <row r="177" ht="18.0" customHeight="1">
      <c r="A177" s="22" t="s">
        <v>2659</v>
      </c>
      <c r="B177" s="43" t="s">
        <v>2701</v>
      </c>
      <c r="C177" s="22" t="s">
        <v>2661</v>
      </c>
      <c r="D177" s="22" t="s">
        <v>119</v>
      </c>
      <c r="E177" s="43"/>
      <c r="F177" s="22" t="s">
        <v>2702</v>
      </c>
      <c r="G177" s="22" t="s">
        <v>2663</v>
      </c>
      <c r="H177" s="22" t="s">
        <v>2703</v>
      </c>
      <c r="I177" s="43"/>
      <c r="J177" s="43"/>
      <c r="K177" s="22" t="b">
        <v>1</v>
      </c>
      <c r="L177" s="22" t="b">
        <v>1</v>
      </c>
      <c r="M177" s="22" t="b">
        <v>1</v>
      </c>
      <c r="N177" s="22" t="b">
        <v>1</v>
      </c>
      <c r="O177" s="22" t="b">
        <v>0</v>
      </c>
      <c r="P177" s="22" t="b">
        <v>0</v>
      </c>
      <c r="Q177" s="22" t="b">
        <v>0</v>
      </c>
      <c r="R177" s="43"/>
      <c r="S177" s="43" t="s">
        <v>2704</v>
      </c>
      <c r="T177" s="22" t="s">
        <v>2701</v>
      </c>
      <c r="U177" s="22" t="s">
        <v>2701</v>
      </c>
      <c r="V177" s="22" t="s">
        <v>2701</v>
      </c>
      <c r="W177" s="43"/>
      <c r="X177" s="43"/>
      <c r="Y177" s="43"/>
      <c r="Z177" s="43"/>
      <c r="AA177" s="22">
        <v>2.22225755E8</v>
      </c>
      <c r="AB177" s="22">
        <v>1.528107368E9</v>
      </c>
      <c r="AC177" s="22">
        <v>4.663296756E9</v>
      </c>
      <c r="AD177" s="22"/>
      <c r="AE177" s="22"/>
      <c r="AF177" s="43"/>
      <c r="AG177" s="43"/>
      <c r="AH177" s="43" t="s">
        <v>2702</v>
      </c>
      <c r="AI177" s="22" t="s">
        <v>2705</v>
      </c>
      <c r="AJ177" s="22" t="s">
        <v>2706</v>
      </c>
      <c r="AK177" s="22" t="s">
        <v>2706</v>
      </c>
      <c r="AL177" s="43"/>
      <c r="AM177" s="43"/>
      <c r="AN177" s="43"/>
      <c r="AO177" s="43"/>
      <c r="AP177" s="46" t="s">
        <v>2707</v>
      </c>
      <c r="AQ177" s="46" t="s">
        <v>2708</v>
      </c>
      <c r="AR177" s="46" t="s">
        <v>2709</v>
      </c>
      <c r="AS177" s="43"/>
      <c r="AT177" s="43"/>
      <c r="AU177" s="43"/>
      <c r="AV177" s="43"/>
      <c r="AW177" s="22" t="s">
        <v>649</v>
      </c>
      <c r="AX177" s="22" t="s">
        <v>2706</v>
      </c>
      <c r="AY177" s="22" t="s">
        <v>372</v>
      </c>
      <c r="AZ177" s="43"/>
      <c r="BA177" s="43"/>
      <c r="BB177" s="43"/>
      <c r="BC177" s="43"/>
      <c r="BD177" s="43" t="s">
        <v>1449</v>
      </c>
      <c r="BE177" s="59" t="s">
        <v>2674</v>
      </c>
      <c r="BF177" s="22" t="s">
        <v>131</v>
      </c>
      <c r="BG177" s="22" t="s">
        <v>132</v>
      </c>
      <c r="BH177" s="22" t="s">
        <v>132</v>
      </c>
      <c r="BI177" s="22" t="s">
        <v>132</v>
      </c>
      <c r="BJ177" s="43"/>
      <c r="BK177" s="43"/>
      <c r="BL177" s="22">
        <v>4.610030631431E12</v>
      </c>
      <c r="BM177" s="22">
        <v>2.106909808E9</v>
      </c>
      <c r="BN177" s="22" t="s">
        <v>2710</v>
      </c>
      <c r="BO177" s="22"/>
      <c r="BP177" s="22" t="s">
        <v>145</v>
      </c>
      <c r="BQ177" s="43"/>
      <c r="BR177" s="43"/>
      <c r="BS177" s="22" t="s">
        <v>2711</v>
      </c>
      <c r="BT177" s="43"/>
      <c r="BU177" s="22" t="s">
        <v>2712</v>
      </c>
      <c r="BV177" s="22" t="s">
        <v>2713</v>
      </c>
      <c r="BW177" s="22" t="s">
        <v>2133</v>
      </c>
      <c r="BX177" s="22">
        <v>10.0</v>
      </c>
      <c r="BY177" s="22" t="s">
        <v>139</v>
      </c>
      <c r="BZ177" s="22"/>
      <c r="CA177" s="22"/>
      <c r="CB177" s="22"/>
      <c r="CC177" s="45" t="s">
        <v>2714</v>
      </c>
      <c r="CD177" s="43"/>
      <c r="CE177" s="43"/>
      <c r="CF177" s="45"/>
      <c r="CG177" s="43"/>
      <c r="CH177" s="43"/>
      <c r="CI177" s="43"/>
      <c r="CJ177" s="43"/>
      <c r="CK177" s="43"/>
      <c r="CL177" s="43"/>
      <c r="CM177" s="49">
        <f>IFERROR(VLOOKUP(B177,CC!A:D,4,0)," ")</f>
        <v>85.09</v>
      </c>
      <c r="CN177" s="22" t="s">
        <v>2715</v>
      </c>
      <c r="CO177" s="22"/>
      <c r="CP177" s="43"/>
      <c r="CQ177" s="22">
        <v>45.0</v>
      </c>
      <c r="CR177" s="43"/>
      <c r="CS177" s="22">
        <v>1.0</v>
      </c>
      <c r="CT177" s="22" t="s">
        <v>145</v>
      </c>
      <c r="CU177" s="43"/>
      <c r="CV177" s="43"/>
      <c r="CW177" s="43"/>
      <c r="CX177" s="43"/>
      <c r="CY177" s="43" t="b">
        <v>0</v>
      </c>
      <c r="CZ177" s="43" t="b">
        <v>0</v>
      </c>
      <c r="DA177" s="43" t="b">
        <v>0</v>
      </c>
      <c r="DB177" s="43" t="b">
        <v>0</v>
      </c>
      <c r="DC177" s="43"/>
      <c r="DD177" s="43"/>
      <c r="DE177" s="43"/>
      <c r="DF177" s="43"/>
      <c r="DG177" s="43"/>
      <c r="DH177" s="43"/>
      <c r="DI177" s="43"/>
      <c r="DJ177" s="22">
        <f>IFERROR(VLOOKUP($B177,'Лист4'!$D:$AI,27,0)," ")</f>
        <v>8</v>
      </c>
      <c r="DK177" s="22">
        <f>IFERROR(VLOOKUP($B177,'Лист4'!$D:$AI,28,0)," ")</f>
        <v>3</v>
      </c>
      <c r="DL177" s="22">
        <f>IFERROR(VLOOKUP($B177,'Лист4'!$D:$AI,29,0)," ")</f>
        <v>8</v>
      </c>
      <c r="DM177" s="22">
        <f t="shared" si="1"/>
        <v>192</v>
      </c>
      <c r="DN177" s="22">
        <f>IFERROR(VLOOKUP($B177,'Лист4'!$D:$AI,32,0)," ")</f>
        <v>0.05</v>
      </c>
      <c r="DO177" s="22"/>
      <c r="DP177" s="22"/>
      <c r="DQ177" s="22"/>
      <c r="DR177" s="22"/>
      <c r="DS177" s="22"/>
      <c r="DT177" s="22"/>
      <c r="DU177" s="22"/>
      <c r="DV177" s="22"/>
      <c r="DW177" s="22"/>
      <c r="DX177" s="22"/>
      <c r="DY177" s="22"/>
      <c r="DZ177" s="22"/>
      <c r="EA177" s="22"/>
      <c r="EB177" s="22"/>
      <c r="EC177" s="22"/>
      <c r="ED177" s="22"/>
      <c r="EE177" s="22"/>
      <c r="EF177" s="22"/>
      <c r="EG177" s="22"/>
      <c r="EH177" s="22"/>
      <c r="EI177" s="22"/>
      <c r="EJ177" s="22"/>
      <c r="EK177" s="22"/>
      <c r="EL177" s="22"/>
      <c r="EM177" s="22"/>
      <c r="EN177" s="22"/>
      <c r="EO177" s="22"/>
      <c r="EP177" s="22"/>
      <c r="EQ177" s="22"/>
      <c r="ER177" s="22"/>
      <c r="ES177" s="43"/>
      <c r="ET177" s="43"/>
      <c r="EU177" s="43"/>
      <c r="EV177" s="43"/>
      <c r="EW177" s="43"/>
      <c r="EX177" s="43"/>
      <c r="EY177" s="43"/>
      <c r="EZ177" s="43"/>
      <c r="FA177" s="43"/>
      <c r="FB177" s="43"/>
      <c r="FC177" s="43"/>
      <c r="FD177" s="43"/>
      <c r="FE177" s="43"/>
      <c r="FF177" s="43"/>
      <c r="FG177" s="43"/>
      <c r="FH177" s="43"/>
      <c r="FI177" s="43"/>
    </row>
    <row r="178" ht="18.0" customHeight="1">
      <c r="A178" s="22" t="s">
        <v>2659</v>
      </c>
      <c r="B178" s="43" t="s">
        <v>2716</v>
      </c>
      <c r="C178" s="22" t="s">
        <v>2661</v>
      </c>
      <c r="D178" s="22" t="s">
        <v>119</v>
      </c>
      <c r="E178" s="43"/>
      <c r="F178" s="22" t="s">
        <v>2717</v>
      </c>
      <c r="G178" s="22" t="s">
        <v>2663</v>
      </c>
      <c r="H178" s="22" t="s">
        <v>2718</v>
      </c>
      <c r="I178" s="43"/>
      <c r="J178" s="43"/>
      <c r="K178" s="22" t="b">
        <v>1</v>
      </c>
      <c r="L178" s="22" t="b">
        <v>1</v>
      </c>
      <c r="M178" s="22" t="b">
        <v>1</v>
      </c>
      <c r="N178" s="22" t="b">
        <v>1</v>
      </c>
      <c r="O178" s="22" t="b">
        <v>0</v>
      </c>
      <c r="P178" s="22" t="b">
        <v>0</v>
      </c>
      <c r="Q178" s="22" t="b">
        <v>0</v>
      </c>
      <c r="R178" s="43"/>
      <c r="S178" s="43" t="s">
        <v>2719</v>
      </c>
      <c r="T178" s="22" t="s">
        <v>2716</v>
      </c>
      <c r="U178" s="22" t="s">
        <v>2716</v>
      </c>
      <c r="V178" s="22" t="s">
        <v>2716</v>
      </c>
      <c r="W178" s="43"/>
      <c r="X178" s="43"/>
      <c r="Y178" s="43"/>
      <c r="Z178" s="43"/>
      <c r="AA178" s="22">
        <v>2.22223765E8</v>
      </c>
      <c r="AB178" s="22">
        <v>1.528074808E9</v>
      </c>
      <c r="AC178" s="22">
        <v>1.03529337206E11</v>
      </c>
      <c r="AD178" s="22"/>
      <c r="AE178" s="22"/>
      <c r="AF178" s="43"/>
      <c r="AG178" s="43"/>
      <c r="AH178" s="43" t="s">
        <v>2717</v>
      </c>
      <c r="AI178" s="22" t="s">
        <v>2720</v>
      </c>
      <c r="AJ178" s="22" t="s">
        <v>2721</v>
      </c>
      <c r="AK178" s="22" t="s">
        <v>2722</v>
      </c>
      <c r="AL178" s="43"/>
      <c r="AM178" s="43"/>
      <c r="AN178" s="43"/>
      <c r="AO178" s="43"/>
      <c r="AP178" s="46" t="s">
        <v>2723</v>
      </c>
      <c r="AQ178" s="46" t="s">
        <v>2724</v>
      </c>
      <c r="AR178" s="46" t="s">
        <v>2725</v>
      </c>
      <c r="AS178" s="43"/>
      <c r="AT178" s="43"/>
      <c r="AU178" s="43"/>
      <c r="AV178" s="43"/>
      <c r="AW178" s="22" t="s">
        <v>649</v>
      </c>
      <c r="AX178" s="22" t="s">
        <v>2721</v>
      </c>
      <c r="AY178" s="22" t="s">
        <v>2692</v>
      </c>
      <c r="AZ178" s="43"/>
      <c r="BA178" s="43"/>
      <c r="BB178" s="43"/>
      <c r="BC178" s="43"/>
      <c r="BD178" s="43" t="s">
        <v>1449</v>
      </c>
      <c r="BE178" s="59" t="s">
        <v>2674</v>
      </c>
      <c r="BF178" s="22" t="s">
        <v>131</v>
      </c>
      <c r="BG178" s="22" t="s">
        <v>132</v>
      </c>
      <c r="BH178" s="22" t="s">
        <v>132</v>
      </c>
      <c r="BI178" s="22" t="s">
        <v>132</v>
      </c>
      <c r="BJ178" s="43"/>
      <c r="BK178" s="43"/>
      <c r="BL178" s="22" t="s">
        <v>2726</v>
      </c>
      <c r="BM178" s="22">
        <v>2.106909809E9</v>
      </c>
      <c r="BN178" s="22" t="s">
        <v>2727</v>
      </c>
      <c r="BO178" s="22"/>
      <c r="BP178" s="22" t="s">
        <v>145</v>
      </c>
      <c r="BQ178" s="43"/>
      <c r="BR178" s="43"/>
      <c r="BS178" s="22" t="s">
        <v>2728</v>
      </c>
      <c r="BT178" s="43"/>
      <c r="BU178" s="22" t="s">
        <v>2729</v>
      </c>
      <c r="BV178" s="22" t="s">
        <v>2697</v>
      </c>
      <c r="BW178" s="22" t="s">
        <v>2730</v>
      </c>
      <c r="BX178" s="22">
        <v>20.0</v>
      </c>
      <c r="BY178" s="22" t="s">
        <v>492</v>
      </c>
      <c r="BZ178" s="22"/>
      <c r="CA178" s="22"/>
      <c r="CB178" s="22"/>
      <c r="CC178" s="45" t="s">
        <v>2731</v>
      </c>
      <c r="CD178" s="43"/>
      <c r="CE178" s="43"/>
      <c r="CF178" s="45"/>
      <c r="CG178" s="43"/>
      <c r="CH178" s="43"/>
      <c r="CI178" s="43"/>
      <c r="CJ178" s="43"/>
      <c r="CK178" s="43"/>
      <c r="CL178" s="43"/>
      <c r="CM178" s="49">
        <f>IFERROR(VLOOKUP(B178,CC!A:D,4,0)," ")</f>
        <v>120.23</v>
      </c>
      <c r="CN178" s="22" t="s">
        <v>2715</v>
      </c>
      <c r="CO178" s="22"/>
      <c r="CP178" s="43"/>
      <c r="CQ178" s="22">
        <v>45.0</v>
      </c>
      <c r="CR178" s="43"/>
      <c r="CS178" s="22">
        <v>1.0</v>
      </c>
      <c r="CT178" s="22" t="s">
        <v>145</v>
      </c>
      <c r="CU178" s="43"/>
      <c r="CV178" s="43"/>
      <c r="CW178" s="43"/>
      <c r="CX178" s="43"/>
      <c r="CY178" s="43" t="b">
        <v>0</v>
      </c>
      <c r="CZ178" s="43" t="b">
        <v>0</v>
      </c>
      <c r="DA178" s="43" t="b">
        <v>0</v>
      </c>
      <c r="DB178" s="43" t="b">
        <v>0</v>
      </c>
      <c r="DC178" s="43"/>
      <c r="DD178" s="43"/>
      <c r="DE178" s="43"/>
      <c r="DF178" s="43"/>
      <c r="DG178" s="43"/>
      <c r="DH178" s="43"/>
      <c r="DI178" s="43"/>
      <c r="DJ178" s="22">
        <f>IFERROR(VLOOKUP($B178,'Лист4'!$D:$AI,27,0)," ")</f>
        <v>8</v>
      </c>
      <c r="DK178" s="22">
        <f>IFERROR(VLOOKUP($B178,'Лист4'!$D:$AI,28,0)," ")</f>
        <v>8</v>
      </c>
      <c r="DL178" s="22">
        <f>IFERROR(VLOOKUP($B178,'Лист4'!$D:$AI,29,0)," ")</f>
        <v>8</v>
      </c>
      <c r="DM178" s="22">
        <f t="shared" si="1"/>
        <v>512</v>
      </c>
      <c r="DN178" s="22">
        <f>IFERROR(VLOOKUP($B178,'Лист4'!$D:$AI,32,0)," ")</f>
        <v>0.015</v>
      </c>
      <c r="DO178" s="22"/>
      <c r="DP178" s="22"/>
      <c r="DQ178" s="22"/>
      <c r="DR178" s="22"/>
      <c r="DS178" s="22"/>
      <c r="DT178" s="22"/>
      <c r="DU178" s="22"/>
      <c r="DV178" s="22"/>
      <c r="DW178" s="22"/>
      <c r="DX178" s="22"/>
      <c r="DY178" s="22"/>
      <c r="DZ178" s="22"/>
      <c r="EA178" s="22"/>
      <c r="EB178" s="22"/>
      <c r="EC178" s="22"/>
      <c r="ED178" s="22"/>
      <c r="EE178" s="22"/>
      <c r="EF178" s="22"/>
      <c r="EG178" s="22"/>
      <c r="EH178" s="22"/>
      <c r="EI178" s="22"/>
      <c r="EJ178" s="22"/>
      <c r="EK178" s="22"/>
      <c r="EL178" s="22"/>
      <c r="EM178" s="22"/>
      <c r="EN178" s="22"/>
      <c r="EO178" s="22"/>
      <c r="EP178" s="22"/>
      <c r="EQ178" s="22"/>
      <c r="ER178" s="22"/>
      <c r="ES178" s="43"/>
      <c r="ET178" s="43"/>
      <c r="EU178" s="43"/>
      <c r="EV178" s="43"/>
      <c r="EW178" s="43"/>
      <c r="EX178" s="43"/>
      <c r="EY178" s="43"/>
      <c r="EZ178" s="43"/>
      <c r="FA178" s="43"/>
      <c r="FB178" s="43"/>
      <c r="FC178" s="43"/>
      <c r="FD178" s="43"/>
      <c r="FE178" s="43"/>
      <c r="FF178" s="43"/>
      <c r="FG178" s="43"/>
      <c r="FH178" s="43"/>
      <c r="FI178" s="43"/>
    </row>
    <row r="179" ht="18.0" customHeight="1">
      <c r="A179" s="22" t="s">
        <v>2659</v>
      </c>
      <c r="B179" s="43" t="s">
        <v>2732</v>
      </c>
      <c r="C179" s="22" t="s">
        <v>2661</v>
      </c>
      <c r="D179" s="22" t="s">
        <v>119</v>
      </c>
      <c r="E179" s="43"/>
      <c r="F179" s="22" t="s">
        <v>2733</v>
      </c>
      <c r="G179" s="22" t="s">
        <v>2663</v>
      </c>
      <c r="H179" s="22" t="s">
        <v>2703</v>
      </c>
      <c r="I179" s="43"/>
      <c r="J179" s="43"/>
      <c r="K179" s="22" t="b">
        <v>1</v>
      </c>
      <c r="L179" s="22" t="b">
        <v>1</v>
      </c>
      <c r="M179" s="22" t="b">
        <v>1</v>
      </c>
      <c r="N179" s="22" t="b">
        <v>1</v>
      </c>
      <c r="O179" s="22" t="b">
        <v>0</v>
      </c>
      <c r="P179" s="22" t="b">
        <v>0</v>
      </c>
      <c r="Q179" s="22" t="b">
        <v>0</v>
      </c>
      <c r="R179" s="43"/>
      <c r="S179" s="43" t="s">
        <v>2734</v>
      </c>
      <c r="T179" s="22" t="s">
        <v>2732</v>
      </c>
      <c r="U179" s="22" t="s">
        <v>2732</v>
      </c>
      <c r="V179" s="22" t="s">
        <v>2732</v>
      </c>
      <c r="W179" s="43"/>
      <c r="X179" s="43"/>
      <c r="Y179" s="43"/>
      <c r="Z179" s="43"/>
      <c r="AA179" s="22">
        <v>5.25494446E8</v>
      </c>
      <c r="AB179" s="22">
        <v>2.82507871E9</v>
      </c>
      <c r="AC179" s="22">
        <v>4.640700956E9</v>
      </c>
      <c r="AD179" s="22"/>
      <c r="AE179" s="22"/>
      <c r="AF179" s="43"/>
      <c r="AG179" s="43"/>
      <c r="AH179" s="43" t="s">
        <v>2733</v>
      </c>
      <c r="AI179" s="22" t="s">
        <v>2705</v>
      </c>
      <c r="AJ179" s="22" t="s">
        <v>2735</v>
      </c>
      <c r="AK179" s="22" t="s">
        <v>2735</v>
      </c>
      <c r="AL179" s="43"/>
      <c r="AM179" s="43"/>
      <c r="AN179" s="43"/>
      <c r="AO179" s="43"/>
      <c r="AP179" s="46" t="s">
        <v>2736</v>
      </c>
      <c r="AQ179" s="46" t="s">
        <v>2737</v>
      </c>
      <c r="AR179" s="46" t="s">
        <v>2738</v>
      </c>
      <c r="AS179" s="43"/>
      <c r="AT179" s="43"/>
      <c r="AU179" s="43"/>
      <c r="AV179" s="43"/>
      <c r="AW179" s="22" t="s">
        <v>649</v>
      </c>
      <c r="AX179" s="22" t="s">
        <v>2735</v>
      </c>
      <c r="AY179" s="22" t="s">
        <v>372</v>
      </c>
      <c r="AZ179" s="43"/>
      <c r="BA179" s="43"/>
      <c r="BB179" s="43"/>
      <c r="BC179" s="43"/>
      <c r="BD179" s="43" t="s">
        <v>1449</v>
      </c>
      <c r="BE179" s="59" t="s">
        <v>2674</v>
      </c>
      <c r="BF179" s="22" t="s">
        <v>131</v>
      </c>
      <c r="BG179" s="22" t="s">
        <v>132</v>
      </c>
      <c r="BH179" s="22" t="s">
        <v>132</v>
      </c>
      <c r="BI179" s="22" t="s">
        <v>132</v>
      </c>
      <c r="BJ179" s="43"/>
      <c r="BK179" s="43"/>
      <c r="BL179" s="22">
        <v>4.627649874784E12</v>
      </c>
      <c r="BM179" s="22">
        <v>2.106909808E9</v>
      </c>
      <c r="BN179" s="22" t="s">
        <v>2710</v>
      </c>
      <c r="BO179" s="22"/>
      <c r="BP179" s="22" t="s">
        <v>145</v>
      </c>
      <c r="BQ179" s="43"/>
      <c r="BR179" s="43"/>
      <c r="BS179" s="22" t="s">
        <v>2711</v>
      </c>
      <c r="BT179" s="43"/>
      <c r="BU179" s="22" t="s">
        <v>2712</v>
      </c>
      <c r="BV179" s="22" t="s">
        <v>2713</v>
      </c>
      <c r="BW179" s="22" t="s">
        <v>2133</v>
      </c>
      <c r="BX179" s="22">
        <v>10.0</v>
      </c>
      <c r="BY179" s="60" t="s">
        <v>2739</v>
      </c>
      <c r="BZ179" s="60"/>
      <c r="CA179" s="22"/>
      <c r="CB179" s="22"/>
      <c r="CC179" s="45" t="s">
        <v>2714</v>
      </c>
      <c r="CD179" s="43"/>
      <c r="CE179" s="43"/>
      <c r="CF179" s="45"/>
      <c r="CG179" s="43"/>
      <c r="CH179" s="43"/>
      <c r="CI179" s="43"/>
      <c r="CJ179" s="43"/>
      <c r="CK179" s="43"/>
      <c r="CL179" s="43"/>
      <c r="CM179" s="49">
        <f>IFERROR(VLOOKUP(B179,CC!A:D,4,0)," ")</f>
        <v>255.27</v>
      </c>
      <c r="CN179" s="22" t="s">
        <v>2715</v>
      </c>
      <c r="CO179" s="22"/>
      <c r="CP179" s="22"/>
      <c r="CQ179" s="22">
        <v>45.0</v>
      </c>
      <c r="CR179" s="43"/>
      <c r="CS179" s="22">
        <v>1.0</v>
      </c>
      <c r="CT179" s="22" t="s">
        <v>145</v>
      </c>
      <c r="CU179" s="43"/>
      <c r="CV179" s="43"/>
      <c r="CW179" s="43"/>
      <c r="CX179" s="43"/>
      <c r="CY179" s="43" t="b">
        <v>0</v>
      </c>
      <c r="CZ179" s="43" t="b">
        <v>0</v>
      </c>
      <c r="DA179" s="43" t="b">
        <v>0</v>
      </c>
      <c r="DB179" s="43" t="b">
        <v>0</v>
      </c>
      <c r="DC179" s="43"/>
      <c r="DD179" s="43"/>
      <c r="DE179" s="43"/>
      <c r="DF179" s="43"/>
      <c r="DG179" s="43"/>
      <c r="DH179" s="43"/>
      <c r="DI179" s="43"/>
      <c r="DJ179" s="22">
        <f>IFERROR(VLOOKUP($B179,'Лист4'!$D:$AI,27,0)," ")</f>
        <v>9</v>
      </c>
      <c r="DK179" s="22">
        <f>IFERROR(VLOOKUP($B179,'Лист4'!$D:$AI,28,0)," ")</f>
        <v>13</v>
      </c>
      <c r="DL179" s="22">
        <f>IFERROR(VLOOKUP($B179,'Лист4'!$D:$AI,29,0)," ")</f>
        <v>9</v>
      </c>
      <c r="DM179" s="22">
        <f t="shared" si="1"/>
        <v>1053</v>
      </c>
      <c r="DN179" s="22">
        <f>IFERROR(VLOOKUP($B179,'Лист4'!$D:$AI,32,0)," ")</f>
        <v>0.14</v>
      </c>
      <c r="DO179" s="22"/>
      <c r="DP179" s="22"/>
      <c r="DQ179" s="22"/>
      <c r="DR179" s="22"/>
      <c r="DS179" s="22"/>
      <c r="DT179" s="22"/>
      <c r="DU179" s="22"/>
      <c r="DV179" s="22"/>
      <c r="DW179" s="22"/>
      <c r="DX179" s="22"/>
      <c r="DY179" s="22"/>
      <c r="DZ179" s="22"/>
      <c r="EA179" s="22"/>
      <c r="EB179" s="22"/>
      <c r="EC179" s="22"/>
      <c r="ED179" s="22"/>
      <c r="EE179" s="22"/>
      <c r="EF179" s="22"/>
      <c r="EG179" s="22"/>
      <c r="EH179" s="22"/>
      <c r="EI179" s="22"/>
      <c r="EJ179" s="22"/>
      <c r="EK179" s="22"/>
      <c r="EL179" s="22"/>
      <c r="EM179" s="22"/>
      <c r="EN179" s="22"/>
      <c r="EO179" s="22"/>
      <c r="EP179" s="22"/>
      <c r="EQ179" s="22"/>
      <c r="ER179" s="22"/>
      <c r="ES179" s="43"/>
      <c r="ET179" s="43"/>
      <c r="EU179" s="43"/>
      <c r="EV179" s="43"/>
      <c r="EW179" s="43"/>
      <c r="EX179" s="43"/>
      <c r="EY179" s="43"/>
      <c r="EZ179" s="43"/>
      <c r="FA179" s="43"/>
      <c r="FB179" s="43"/>
      <c r="FC179" s="43"/>
      <c r="FD179" s="43"/>
      <c r="FE179" s="43"/>
      <c r="FF179" s="43"/>
      <c r="FG179" s="43"/>
      <c r="FH179" s="43"/>
      <c r="FI179" s="43"/>
    </row>
    <row r="180" ht="18.0" customHeight="1">
      <c r="A180" s="22" t="s">
        <v>2659</v>
      </c>
      <c r="B180" s="43" t="s">
        <v>2740</v>
      </c>
      <c r="C180" s="22" t="s">
        <v>2741</v>
      </c>
      <c r="D180" s="22" t="s">
        <v>119</v>
      </c>
      <c r="E180" s="43"/>
      <c r="F180" s="22" t="s">
        <v>2742</v>
      </c>
      <c r="G180" s="22" t="s">
        <v>2743</v>
      </c>
      <c r="H180" s="22" t="s">
        <v>2744</v>
      </c>
      <c r="I180" s="43"/>
      <c r="J180" s="43"/>
      <c r="K180" s="22" t="b">
        <v>1</v>
      </c>
      <c r="L180" s="22" t="b">
        <v>1</v>
      </c>
      <c r="M180" s="22" t="b">
        <v>1</v>
      </c>
      <c r="N180" s="22" t="b">
        <v>1</v>
      </c>
      <c r="O180" s="22" t="b">
        <v>1</v>
      </c>
      <c r="P180" s="22" t="b">
        <v>1</v>
      </c>
      <c r="Q180" s="22" t="b">
        <v>0</v>
      </c>
      <c r="R180" s="43"/>
      <c r="S180" s="43" t="s">
        <v>2745</v>
      </c>
      <c r="T180" s="22" t="s">
        <v>2740</v>
      </c>
      <c r="U180" s="22" t="s">
        <v>2740</v>
      </c>
      <c r="V180" s="22" t="s">
        <v>2740</v>
      </c>
      <c r="W180" s="43" t="s">
        <v>2740</v>
      </c>
      <c r="X180" s="43" t="s">
        <v>2740</v>
      </c>
      <c r="Y180" s="43"/>
      <c r="Z180" s="43"/>
      <c r="AA180" s="22">
        <v>5.26299109E8</v>
      </c>
      <c r="AB180" s="22">
        <v>2.829866449E9</v>
      </c>
      <c r="AC180" s="22">
        <v>4.644501567E9</v>
      </c>
      <c r="AD180" s="22">
        <v>9.9000124421E10</v>
      </c>
      <c r="AE180" s="22" t="s">
        <v>2746</v>
      </c>
      <c r="AF180" s="43"/>
      <c r="AG180" s="43"/>
      <c r="AH180" s="43" t="s">
        <v>2742</v>
      </c>
      <c r="AI180" s="22" t="s">
        <v>2747</v>
      </c>
      <c r="AJ180" s="22" t="s">
        <v>2747</v>
      </c>
      <c r="AK180" s="22" t="s">
        <v>2748</v>
      </c>
      <c r="AL180" s="22" t="s">
        <v>2749</v>
      </c>
      <c r="AM180" s="22" t="s">
        <v>2747</v>
      </c>
      <c r="AN180" s="43"/>
      <c r="AO180" s="43"/>
      <c r="AP180" s="46" t="s">
        <v>2750</v>
      </c>
      <c r="AQ180" s="46" t="s">
        <v>2751</v>
      </c>
      <c r="AR180" s="46" t="s">
        <v>2752</v>
      </c>
      <c r="AS180" s="46" t="s">
        <v>2753</v>
      </c>
      <c r="AT180" s="46" t="s">
        <v>2754</v>
      </c>
      <c r="AU180" s="43"/>
      <c r="AV180" s="43"/>
      <c r="AW180" s="22" t="s">
        <v>594</v>
      </c>
      <c r="AX180" s="22" t="s">
        <v>2747</v>
      </c>
      <c r="AY180" s="22" t="s">
        <v>595</v>
      </c>
      <c r="AZ180" s="22" t="s">
        <v>1447</v>
      </c>
      <c r="BA180" s="22" t="s">
        <v>596</v>
      </c>
      <c r="BB180" s="43"/>
      <c r="BC180" s="43"/>
      <c r="BD180" s="43" t="s">
        <v>2673</v>
      </c>
      <c r="BE180" s="59" t="s">
        <v>2755</v>
      </c>
      <c r="BF180" s="22" t="s">
        <v>131</v>
      </c>
      <c r="BG180" s="22" t="s">
        <v>132</v>
      </c>
      <c r="BH180" s="22" t="s">
        <v>132</v>
      </c>
      <c r="BI180" s="22" t="s">
        <v>132</v>
      </c>
      <c r="BJ180" s="43"/>
      <c r="BK180" s="43"/>
      <c r="BL180" s="22">
        <v>4.660417421605E12</v>
      </c>
      <c r="BM180" s="22">
        <v>3.30499E9</v>
      </c>
      <c r="BN180" s="22" t="s">
        <v>2756</v>
      </c>
      <c r="BO180" s="22"/>
      <c r="BP180" s="22" t="s">
        <v>145</v>
      </c>
      <c r="BQ180" s="43"/>
      <c r="BR180" s="43"/>
      <c r="BS180" s="22" t="s">
        <v>2757</v>
      </c>
      <c r="BT180" s="43"/>
      <c r="BU180" s="22" t="s">
        <v>2758</v>
      </c>
      <c r="BV180" s="43" t="s">
        <v>2759</v>
      </c>
      <c r="BW180" s="22" t="s">
        <v>2760</v>
      </c>
      <c r="BX180" s="22">
        <v>50.0</v>
      </c>
      <c r="BY180" s="22" t="s">
        <v>139</v>
      </c>
      <c r="BZ180" s="22"/>
      <c r="CA180" s="22" t="s">
        <v>726</v>
      </c>
      <c r="CB180" s="22" t="s">
        <v>727</v>
      </c>
      <c r="CC180" s="45" t="s">
        <v>2761</v>
      </c>
      <c r="CD180" s="43"/>
      <c r="CE180" s="43"/>
      <c r="CF180" s="45"/>
      <c r="CG180" s="54">
        <v>46072.0</v>
      </c>
      <c r="CH180" s="46" t="s">
        <v>2762</v>
      </c>
      <c r="CI180" s="43"/>
      <c r="CJ180" s="43"/>
      <c r="CK180" s="43"/>
      <c r="CL180" s="43"/>
      <c r="CM180" s="49">
        <f>IFERROR(VLOOKUP(B180,CC!A:D,4,0)," ")</f>
        <v>99.4</v>
      </c>
      <c r="CN180" s="22" t="s">
        <v>2681</v>
      </c>
      <c r="CO180" s="22"/>
      <c r="CP180" s="22" t="s">
        <v>2763</v>
      </c>
      <c r="CQ180" s="22">
        <v>45.0</v>
      </c>
      <c r="CR180" s="43"/>
      <c r="CS180" s="22">
        <v>1.0</v>
      </c>
      <c r="CT180" s="22" t="s">
        <v>145</v>
      </c>
      <c r="CU180" s="43"/>
      <c r="CV180" s="43"/>
      <c r="CW180" s="43"/>
      <c r="CX180" s="43"/>
      <c r="CY180" s="43" t="b">
        <v>0</v>
      </c>
      <c r="CZ180" s="43" t="b">
        <v>0</v>
      </c>
      <c r="DA180" s="43" t="b">
        <v>0</v>
      </c>
      <c r="DB180" s="43" t="b">
        <v>0</v>
      </c>
      <c r="DC180" s="43"/>
      <c r="DD180" s="43"/>
      <c r="DE180" s="43"/>
      <c r="DF180" s="43"/>
      <c r="DG180" s="43"/>
      <c r="DH180" s="43"/>
      <c r="DI180" s="43"/>
      <c r="DJ180" s="22">
        <f>IFERROR(VLOOKUP($B180,'Лист4'!$D:$AI,27,0)," ")</f>
        <v>13</v>
      </c>
      <c r="DK180" s="22">
        <f>IFERROR(VLOOKUP($B180,'Лист4'!$D:$AI,28,0)," ")</f>
        <v>4</v>
      </c>
      <c r="DL180" s="22">
        <f>IFERROR(VLOOKUP($B180,'Лист4'!$D:$AI,29,0)," ")</f>
        <v>13</v>
      </c>
      <c r="DM180" s="22">
        <f t="shared" si="1"/>
        <v>676</v>
      </c>
      <c r="DN180" s="22">
        <f>IFERROR(VLOOKUP($B180,'Лист4'!$D:$AI,32,0)," ")</f>
        <v>0.088</v>
      </c>
      <c r="DO180" s="22"/>
      <c r="DP180" s="22"/>
      <c r="DQ180" s="22"/>
      <c r="DR180" s="22"/>
      <c r="DS180" s="22"/>
      <c r="DT180" s="22"/>
      <c r="DU180" s="22"/>
      <c r="DV180" s="22"/>
      <c r="DW180" s="22"/>
      <c r="DX180" s="22"/>
      <c r="DY180" s="22"/>
      <c r="DZ180" s="22"/>
      <c r="EA180" s="22"/>
      <c r="EB180" s="22"/>
      <c r="EC180" s="22"/>
      <c r="ED180" s="22"/>
      <c r="EE180" s="22"/>
      <c r="EF180" s="22"/>
      <c r="EG180" s="22"/>
      <c r="EH180" s="22"/>
      <c r="EI180" s="22"/>
      <c r="EJ180" s="22"/>
      <c r="EK180" s="22"/>
      <c r="EL180" s="22"/>
      <c r="EM180" s="22"/>
      <c r="EN180" s="22"/>
      <c r="EO180" s="22"/>
      <c r="EP180" s="22"/>
      <c r="EQ180" s="22"/>
      <c r="ER180" s="22"/>
      <c r="ES180" s="43"/>
      <c r="ET180" s="43"/>
      <c r="EU180" s="43"/>
      <c r="EV180" s="43"/>
      <c r="EW180" s="43"/>
      <c r="EX180" s="43"/>
      <c r="EY180" s="43"/>
      <c r="EZ180" s="43"/>
      <c r="FA180" s="43"/>
      <c r="FB180" s="43"/>
      <c r="FC180" s="43"/>
      <c r="FD180" s="43"/>
      <c r="FE180" s="43"/>
      <c r="FF180" s="43"/>
      <c r="FG180" s="43"/>
      <c r="FH180" s="43"/>
      <c r="FI180" s="43"/>
    </row>
    <row r="181" ht="18.0" customHeight="1">
      <c r="A181" s="22" t="s">
        <v>2659</v>
      </c>
      <c r="B181" s="43" t="s">
        <v>2764</v>
      </c>
      <c r="C181" s="22" t="s">
        <v>2661</v>
      </c>
      <c r="D181" s="22" t="s">
        <v>119</v>
      </c>
      <c r="E181" s="43"/>
      <c r="F181" s="22" t="s">
        <v>2765</v>
      </c>
      <c r="G181" s="22" t="s">
        <v>2663</v>
      </c>
      <c r="H181" s="22" t="s">
        <v>2766</v>
      </c>
      <c r="I181" s="43"/>
      <c r="J181" s="43"/>
      <c r="K181" s="22" t="b">
        <v>1</v>
      </c>
      <c r="L181" s="22" t="b">
        <v>1</v>
      </c>
      <c r="M181" s="22" t="b">
        <v>1</v>
      </c>
      <c r="N181" s="22" t="b">
        <v>1</v>
      </c>
      <c r="O181" s="22" t="b">
        <v>0</v>
      </c>
      <c r="P181" s="22" t="b">
        <v>0</v>
      </c>
      <c r="Q181" s="22" t="b">
        <v>0</v>
      </c>
      <c r="R181" s="43"/>
      <c r="S181" s="43" t="s">
        <v>2767</v>
      </c>
      <c r="T181" s="22" t="s">
        <v>2764</v>
      </c>
      <c r="U181" s="22" t="s">
        <v>2764</v>
      </c>
      <c r="V181" s="22" t="s">
        <v>2764</v>
      </c>
      <c r="W181" s="43"/>
      <c r="X181" s="43"/>
      <c r="Y181" s="43"/>
      <c r="Z181" s="43"/>
      <c r="AA181" s="22">
        <v>1.22988457E8</v>
      </c>
      <c r="AB181" s="22">
        <v>7.51246155E8</v>
      </c>
      <c r="AC181" s="22">
        <v>1.03340898158E11</v>
      </c>
      <c r="AD181" s="22"/>
      <c r="AE181" s="22"/>
      <c r="AF181" s="43"/>
      <c r="AG181" s="43"/>
      <c r="AH181" s="43" t="s">
        <v>2765</v>
      </c>
      <c r="AI181" s="22" t="s">
        <v>2768</v>
      </c>
      <c r="AJ181" s="22" t="s">
        <v>2769</v>
      </c>
      <c r="AK181" s="22" t="s">
        <v>2770</v>
      </c>
      <c r="AL181" s="43"/>
      <c r="AM181" s="43"/>
      <c r="AN181" s="43"/>
      <c r="AO181" s="43"/>
      <c r="AP181" s="46" t="s">
        <v>2771</v>
      </c>
      <c r="AQ181" s="46" t="s">
        <v>2772</v>
      </c>
      <c r="AR181" s="46" t="s">
        <v>2773</v>
      </c>
      <c r="AS181" s="43"/>
      <c r="AT181" s="43"/>
      <c r="AU181" s="43"/>
      <c r="AV181" s="43"/>
      <c r="AW181" s="22" t="s">
        <v>649</v>
      </c>
      <c r="AX181" s="22" t="s">
        <v>2769</v>
      </c>
      <c r="AY181" s="22" t="s">
        <v>372</v>
      </c>
      <c r="AZ181" s="43"/>
      <c r="BA181" s="43"/>
      <c r="BB181" s="43"/>
      <c r="BC181" s="43"/>
      <c r="BD181" s="43" t="s">
        <v>1449</v>
      </c>
      <c r="BE181" s="59" t="s">
        <v>2755</v>
      </c>
      <c r="BF181" s="22" t="s">
        <v>131</v>
      </c>
      <c r="BG181" s="22" t="s">
        <v>132</v>
      </c>
      <c r="BH181" s="22" t="s">
        <v>132</v>
      </c>
      <c r="BI181" s="22" t="s">
        <v>132</v>
      </c>
      <c r="BJ181" s="43"/>
      <c r="BK181" s="43"/>
      <c r="BL181" s="22" t="s">
        <v>2774</v>
      </c>
      <c r="BM181" s="22">
        <v>2.103909009E9</v>
      </c>
      <c r="BN181" s="22" t="s">
        <v>2775</v>
      </c>
      <c r="BO181" s="22"/>
      <c r="BP181" s="22" t="s">
        <v>145</v>
      </c>
      <c r="BQ181" s="43"/>
      <c r="BR181" s="43"/>
      <c r="BS181" s="22" t="s">
        <v>2776</v>
      </c>
      <c r="BT181" s="43"/>
      <c r="BU181" s="22" t="s">
        <v>2712</v>
      </c>
      <c r="BV181" s="22" t="s">
        <v>2777</v>
      </c>
      <c r="BW181" s="22" t="s">
        <v>2778</v>
      </c>
      <c r="BX181" s="22">
        <v>49.0</v>
      </c>
      <c r="BY181" s="22" t="s">
        <v>580</v>
      </c>
      <c r="BZ181" s="22"/>
      <c r="CA181" s="22"/>
      <c r="CB181" s="22"/>
      <c r="CC181" s="45" t="s">
        <v>2779</v>
      </c>
      <c r="CD181" s="43"/>
      <c r="CE181" s="43"/>
      <c r="CF181" s="45"/>
      <c r="CG181" s="43"/>
      <c r="CH181" s="43"/>
      <c r="CI181" s="43"/>
      <c r="CJ181" s="43"/>
      <c r="CK181" s="43"/>
      <c r="CL181" s="43"/>
      <c r="CM181" s="49">
        <f>IFERROR(VLOOKUP(B181,CC!A:D,4,0)," ")</f>
        <v>143.37</v>
      </c>
      <c r="CN181" s="22" t="s">
        <v>2780</v>
      </c>
      <c r="CO181" s="22"/>
      <c r="CP181" s="43"/>
      <c r="CQ181" s="22">
        <v>45.0</v>
      </c>
      <c r="CR181" s="43"/>
      <c r="CS181" s="22">
        <v>1.0</v>
      </c>
      <c r="CT181" s="22" t="s">
        <v>145</v>
      </c>
      <c r="CU181" s="43"/>
      <c r="CV181" s="43"/>
      <c r="CW181" s="43"/>
      <c r="CX181" s="43"/>
      <c r="CY181" s="43" t="b">
        <v>0</v>
      </c>
      <c r="CZ181" s="43" t="b">
        <v>0</v>
      </c>
      <c r="DA181" s="43" t="b">
        <v>0</v>
      </c>
      <c r="DB181" s="43" t="b">
        <v>0</v>
      </c>
      <c r="DC181" s="43"/>
      <c r="DD181" s="43"/>
      <c r="DE181" s="43"/>
      <c r="DF181" s="43"/>
      <c r="DG181" s="43"/>
      <c r="DH181" s="43"/>
      <c r="DI181" s="43"/>
      <c r="DJ181" s="22">
        <f>IFERROR(VLOOKUP($B181,'Лист4'!$D:$AI,27,0)," ")</f>
        <v>10</v>
      </c>
      <c r="DK181" s="22">
        <f>IFERROR(VLOOKUP($B181,'Лист4'!$D:$AI,28,0)," ")</f>
        <v>7</v>
      </c>
      <c r="DL181" s="22">
        <f>IFERROR(VLOOKUP($B181,'Лист4'!$D:$AI,29,0)," ")</f>
        <v>10</v>
      </c>
      <c r="DM181" s="22">
        <f t="shared" si="1"/>
        <v>700</v>
      </c>
      <c r="DN181" s="22">
        <f>IFERROR(VLOOKUP($B181,'Лист4'!$D:$AI,32,0)," ")</f>
        <v>0.08</v>
      </c>
      <c r="DO181" s="22"/>
      <c r="DP181" s="22"/>
      <c r="DQ181" s="22"/>
      <c r="DR181" s="22"/>
      <c r="DS181" s="22"/>
      <c r="DT181" s="22"/>
      <c r="DU181" s="22"/>
      <c r="DV181" s="22"/>
      <c r="DW181" s="22"/>
      <c r="DX181" s="22"/>
      <c r="DY181" s="22"/>
      <c r="DZ181" s="22"/>
      <c r="EA181" s="22"/>
      <c r="EB181" s="22"/>
      <c r="EC181" s="22"/>
      <c r="ED181" s="22"/>
      <c r="EE181" s="22"/>
      <c r="EF181" s="22"/>
      <c r="EG181" s="22"/>
      <c r="EH181" s="22"/>
      <c r="EI181" s="22"/>
      <c r="EJ181" s="22"/>
      <c r="EK181" s="22"/>
      <c r="EL181" s="22"/>
      <c r="EM181" s="22"/>
      <c r="EN181" s="22"/>
      <c r="EO181" s="22"/>
      <c r="EP181" s="22"/>
      <c r="EQ181" s="22"/>
      <c r="ER181" s="22"/>
      <c r="ES181" s="43"/>
      <c r="ET181" s="43"/>
      <c r="EU181" s="43"/>
      <c r="EV181" s="43"/>
      <c r="EW181" s="43"/>
      <c r="EX181" s="43"/>
      <c r="EY181" s="43"/>
      <c r="EZ181" s="43"/>
      <c r="FA181" s="43"/>
      <c r="FB181" s="43"/>
      <c r="FC181" s="43"/>
      <c r="FD181" s="43"/>
      <c r="FE181" s="43"/>
      <c r="FF181" s="43"/>
      <c r="FG181" s="43"/>
      <c r="FH181" s="43"/>
      <c r="FI181" s="43"/>
    </row>
    <row r="182" ht="18.0" customHeight="1">
      <c r="A182" s="22" t="s">
        <v>2659</v>
      </c>
      <c r="B182" s="43" t="s">
        <v>2781</v>
      </c>
      <c r="C182" s="22" t="s">
        <v>2741</v>
      </c>
      <c r="D182" s="22" t="s">
        <v>119</v>
      </c>
      <c r="E182" s="43"/>
      <c r="F182" s="22" t="s">
        <v>2782</v>
      </c>
      <c r="G182" s="22" t="s">
        <v>2743</v>
      </c>
      <c r="H182" s="22" t="s">
        <v>2783</v>
      </c>
      <c r="I182" s="43"/>
      <c r="J182" s="43"/>
      <c r="K182" s="22" t="b">
        <v>1</v>
      </c>
      <c r="L182" s="22" t="b">
        <v>1</v>
      </c>
      <c r="M182" s="22" t="b">
        <v>1</v>
      </c>
      <c r="N182" s="22" t="b">
        <v>1</v>
      </c>
      <c r="O182" s="22" t="b">
        <v>1</v>
      </c>
      <c r="P182" s="22" t="b">
        <v>1</v>
      </c>
      <c r="Q182" s="22" t="b">
        <v>1</v>
      </c>
      <c r="R182" s="43"/>
      <c r="S182" s="43" t="s">
        <v>2784</v>
      </c>
      <c r="T182" s="22" t="s">
        <v>2781</v>
      </c>
      <c r="U182" s="22" t="s">
        <v>2781</v>
      </c>
      <c r="V182" s="22" t="s">
        <v>2781</v>
      </c>
      <c r="W182" s="43" t="s">
        <v>2781</v>
      </c>
      <c r="X182" s="43" t="s">
        <v>2781</v>
      </c>
      <c r="Y182" s="22" t="s">
        <v>2781</v>
      </c>
      <c r="Z182" s="43"/>
      <c r="AA182" s="22">
        <v>2.51796954E8</v>
      </c>
      <c r="AB182" s="22">
        <v>1.657229241E9</v>
      </c>
      <c r="AC182" s="22">
        <v>1.0370155589E11</v>
      </c>
      <c r="AD182" s="22"/>
      <c r="AE182" s="22" t="s">
        <v>2785</v>
      </c>
      <c r="AF182" s="22" t="s">
        <v>2786</v>
      </c>
      <c r="AG182" s="43"/>
      <c r="AH182" s="43" t="s">
        <v>2782</v>
      </c>
      <c r="AI182" s="22" t="s">
        <v>2787</v>
      </c>
      <c r="AJ182" s="22" t="s">
        <v>2788</v>
      </c>
      <c r="AK182" s="22" t="s">
        <v>2789</v>
      </c>
      <c r="AL182" s="43"/>
      <c r="AM182" s="22" t="s">
        <v>2790</v>
      </c>
      <c r="AN182" s="22" t="s">
        <v>2791</v>
      </c>
      <c r="AO182" s="43"/>
      <c r="AP182" s="46" t="s">
        <v>2792</v>
      </c>
      <c r="AQ182" s="46" t="s">
        <v>2793</v>
      </c>
      <c r="AR182" s="46" t="s">
        <v>2794</v>
      </c>
      <c r="AS182" s="43"/>
      <c r="AT182" s="46" t="s">
        <v>2795</v>
      </c>
      <c r="AU182" s="46" t="s">
        <v>2796</v>
      </c>
      <c r="AV182" s="43"/>
      <c r="AW182" s="22" t="s">
        <v>2797</v>
      </c>
      <c r="AX182" s="22" t="s">
        <v>2788</v>
      </c>
      <c r="AY182" s="22" t="s">
        <v>2798</v>
      </c>
      <c r="AZ182" s="22"/>
      <c r="BA182" s="22" t="s">
        <v>2799</v>
      </c>
      <c r="BB182" s="22" t="s">
        <v>2800</v>
      </c>
      <c r="BC182" s="22"/>
      <c r="BD182" s="43" t="s">
        <v>301</v>
      </c>
      <c r="BE182" s="59" t="s">
        <v>2755</v>
      </c>
      <c r="BF182" s="22" t="s">
        <v>131</v>
      </c>
      <c r="BG182" s="22" t="s">
        <v>132</v>
      </c>
      <c r="BH182" s="22" t="s">
        <v>132</v>
      </c>
      <c r="BI182" s="22" t="s">
        <v>132</v>
      </c>
      <c r="BJ182" s="43"/>
      <c r="BK182" s="43"/>
      <c r="BL182" s="61" t="s">
        <v>1943</v>
      </c>
      <c r="BM182" s="22">
        <v>3.30499E9</v>
      </c>
      <c r="BN182" s="22" t="s">
        <v>2801</v>
      </c>
      <c r="BO182" s="22"/>
      <c r="BP182" s="22" t="s">
        <v>2802</v>
      </c>
      <c r="BQ182" s="43"/>
      <c r="BR182" s="43"/>
      <c r="BS182" s="22" t="s">
        <v>2803</v>
      </c>
      <c r="BT182" s="43"/>
      <c r="BU182" s="22" t="s">
        <v>2804</v>
      </c>
      <c r="BV182" s="22" t="s">
        <v>2805</v>
      </c>
      <c r="BW182" s="22" t="s">
        <v>2806</v>
      </c>
      <c r="BX182" s="22">
        <v>15.0</v>
      </c>
      <c r="BY182" s="22" t="s">
        <v>580</v>
      </c>
      <c r="BZ182" s="43"/>
      <c r="CA182" s="22" t="s">
        <v>355</v>
      </c>
      <c r="CB182" s="22" t="s">
        <v>307</v>
      </c>
      <c r="CC182" s="44" t="s">
        <v>2807</v>
      </c>
      <c r="CD182" s="43"/>
      <c r="CE182" s="43"/>
      <c r="CF182" s="45" t="s">
        <v>401</v>
      </c>
      <c r="CG182" s="54">
        <v>46052.0</v>
      </c>
      <c r="CH182" s="46" t="s">
        <v>2808</v>
      </c>
      <c r="CI182" s="43"/>
      <c r="CJ182" s="43"/>
      <c r="CK182" s="43"/>
      <c r="CL182" s="43"/>
      <c r="CM182" s="49">
        <f>IFERROR(VLOOKUP(B182,CC!A:D,4,0)," ")</f>
        <v>99.63</v>
      </c>
      <c r="CN182" s="22" t="s">
        <v>2809</v>
      </c>
      <c r="CO182" s="22"/>
      <c r="CP182" s="43"/>
      <c r="CQ182" s="22">
        <v>60.0</v>
      </c>
      <c r="CR182" s="43"/>
      <c r="CS182" s="22">
        <v>5.0</v>
      </c>
      <c r="CT182" s="22" t="s">
        <v>145</v>
      </c>
      <c r="CU182" s="43"/>
      <c r="CV182" s="43"/>
      <c r="CW182" s="43"/>
      <c r="CX182" s="43"/>
      <c r="CY182" s="43" t="b">
        <v>0</v>
      </c>
      <c r="CZ182" s="43" t="b">
        <v>0</v>
      </c>
      <c r="DA182" s="43" t="b">
        <v>0</v>
      </c>
      <c r="DB182" s="43" t="b">
        <v>0</v>
      </c>
      <c r="DC182" s="43"/>
      <c r="DD182" s="43"/>
      <c r="DE182" s="43"/>
      <c r="DF182" s="43"/>
      <c r="DG182" s="43"/>
      <c r="DH182" s="43"/>
      <c r="DI182" s="43"/>
      <c r="DJ182" s="22">
        <f>IFERROR(VLOOKUP($B182,'Лист4'!$D:$AI,27,0)," ")</f>
        <v>15</v>
      </c>
      <c r="DK182" s="22">
        <f>IFERROR(VLOOKUP($B182,'Лист4'!$D:$AI,28,0)," ")</f>
        <v>6</v>
      </c>
      <c r="DL182" s="22">
        <f>IFERROR(VLOOKUP($B182,'Лист4'!$D:$AI,29,0)," ")</f>
        <v>15</v>
      </c>
      <c r="DM182" s="22">
        <f t="shared" si="1"/>
        <v>1350</v>
      </c>
      <c r="DN182" s="22">
        <f>IFERROR(VLOOKUP($B182,'Лист4'!$D:$AI,32,0)," ")</f>
        <v>0.062</v>
      </c>
      <c r="DO182" s="22"/>
      <c r="DP182" s="22"/>
      <c r="DQ182" s="22"/>
      <c r="DR182" s="22"/>
      <c r="DS182" s="22"/>
      <c r="DT182" s="22"/>
      <c r="DU182" s="22"/>
      <c r="DV182" s="22"/>
      <c r="DW182" s="22"/>
      <c r="DX182" s="22"/>
      <c r="DY182" s="22"/>
      <c r="DZ182" s="22"/>
      <c r="EA182" s="22"/>
      <c r="EB182" s="22"/>
      <c r="EC182" s="22"/>
      <c r="ED182" s="22"/>
      <c r="EE182" s="22"/>
      <c r="EF182" s="22"/>
      <c r="EG182" s="22"/>
      <c r="EH182" s="22"/>
      <c r="EI182" s="22"/>
      <c r="EJ182" s="22"/>
      <c r="EK182" s="22"/>
      <c r="EL182" s="22"/>
      <c r="EM182" s="22"/>
      <c r="EN182" s="22"/>
      <c r="EO182" s="22"/>
      <c r="EP182" s="22"/>
      <c r="EQ182" s="22"/>
      <c r="ER182" s="22"/>
      <c r="ES182" s="43"/>
      <c r="ET182" s="43"/>
      <c r="EU182" s="43"/>
      <c r="EV182" s="43"/>
      <c r="EW182" s="43"/>
      <c r="EX182" s="43"/>
      <c r="EY182" s="43"/>
      <c r="EZ182" s="43"/>
      <c r="FA182" s="43"/>
      <c r="FB182" s="43"/>
      <c r="FC182" s="43"/>
      <c r="FD182" s="43"/>
      <c r="FE182" s="43"/>
      <c r="FF182" s="43"/>
      <c r="FG182" s="43"/>
      <c r="FH182" s="43"/>
      <c r="FI182" s="43"/>
    </row>
    <row r="183" ht="18.0" customHeight="1">
      <c r="A183" s="22" t="s">
        <v>2659</v>
      </c>
      <c r="B183" s="43" t="s">
        <v>2810</v>
      </c>
      <c r="C183" s="22" t="s">
        <v>2741</v>
      </c>
      <c r="D183" s="22" t="s">
        <v>119</v>
      </c>
      <c r="E183" s="43"/>
      <c r="F183" s="22" t="s">
        <v>2811</v>
      </c>
      <c r="G183" s="22" t="s">
        <v>2743</v>
      </c>
      <c r="H183" s="22" t="s">
        <v>287</v>
      </c>
      <c r="I183" s="43"/>
      <c r="J183" s="43"/>
      <c r="K183" s="22" t="b">
        <v>1</v>
      </c>
      <c r="L183" s="22" t="b">
        <v>1</v>
      </c>
      <c r="M183" s="22" t="b">
        <v>1</v>
      </c>
      <c r="N183" s="22" t="b">
        <v>1</v>
      </c>
      <c r="O183" s="22" t="b">
        <v>1</v>
      </c>
      <c r="P183" s="22" t="b">
        <v>1</v>
      </c>
      <c r="Q183" s="22" t="b">
        <v>0</v>
      </c>
      <c r="R183" s="43"/>
      <c r="S183" s="43" t="s">
        <v>2812</v>
      </c>
      <c r="T183" s="22" t="s">
        <v>2810</v>
      </c>
      <c r="U183" s="22" t="s">
        <v>2810</v>
      </c>
      <c r="V183" s="22" t="s">
        <v>2810</v>
      </c>
      <c r="W183" s="43" t="s">
        <v>2810</v>
      </c>
      <c r="X183" s="43" t="s">
        <v>2810</v>
      </c>
      <c r="Y183" s="43"/>
      <c r="Z183" s="43"/>
      <c r="AA183" s="22">
        <v>2.14976664E8</v>
      </c>
      <c r="AB183" s="22">
        <v>1.500240551E9</v>
      </c>
      <c r="AC183" s="22">
        <v>1.03515586487E11</v>
      </c>
      <c r="AD183" s="22">
        <v>9.9000076213E10</v>
      </c>
      <c r="AE183" s="22" t="s">
        <v>2813</v>
      </c>
      <c r="AF183" s="43"/>
      <c r="AG183" s="43"/>
      <c r="AH183" s="43" t="s">
        <v>2811</v>
      </c>
      <c r="AI183" s="22" t="s">
        <v>2814</v>
      </c>
      <c r="AJ183" s="22" t="s">
        <v>2815</v>
      </c>
      <c r="AK183" s="22" t="s">
        <v>2816</v>
      </c>
      <c r="AL183" s="22" t="s">
        <v>2817</v>
      </c>
      <c r="AM183" s="22" t="s">
        <v>2818</v>
      </c>
      <c r="AN183" s="43"/>
      <c r="AO183" s="43"/>
      <c r="AP183" s="46" t="s">
        <v>2819</v>
      </c>
      <c r="AQ183" s="46" t="s">
        <v>2820</v>
      </c>
      <c r="AR183" s="46" t="s">
        <v>2821</v>
      </c>
      <c r="AS183" s="46" t="s">
        <v>2822</v>
      </c>
      <c r="AT183" s="46" t="s">
        <v>2823</v>
      </c>
      <c r="AU183" s="43"/>
      <c r="AV183" s="43"/>
      <c r="AW183" s="22" t="s">
        <v>2824</v>
      </c>
      <c r="AX183" s="22" t="s">
        <v>2815</v>
      </c>
      <c r="AY183" s="22" t="s">
        <v>2825</v>
      </c>
      <c r="AZ183" s="22" t="s">
        <v>2826</v>
      </c>
      <c r="BA183" s="22" t="s">
        <v>2827</v>
      </c>
      <c r="BB183" s="43"/>
      <c r="BC183" s="43"/>
      <c r="BD183" s="43" t="s">
        <v>2673</v>
      </c>
      <c r="BE183" s="59" t="s">
        <v>2674</v>
      </c>
      <c r="BF183" s="22" t="s">
        <v>131</v>
      </c>
      <c r="BG183" s="22" t="s">
        <v>132</v>
      </c>
      <c r="BH183" s="22" t="s">
        <v>132</v>
      </c>
      <c r="BI183" s="22" t="s">
        <v>132</v>
      </c>
      <c r="BJ183" s="43"/>
      <c r="BK183" s="43"/>
      <c r="BL183" s="22">
        <v>4.670020496747E12</v>
      </c>
      <c r="BM183" s="22">
        <v>3.3051E9</v>
      </c>
      <c r="BN183" s="22" t="s">
        <v>2828</v>
      </c>
      <c r="BO183" s="22"/>
      <c r="BP183" s="22" t="s">
        <v>145</v>
      </c>
      <c r="BQ183" s="43"/>
      <c r="BR183" s="43"/>
      <c r="BS183" s="22" t="s">
        <v>2829</v>
      </c>
      <c r="BT183" s="43"/>
      <c r="BU183" s="22" t="s">
        <v>2830</v>
      </c>
      <c r="BV183" s="43" t="s">
        <v>2831</v>
      </c>
      <c r="BW183" s="22" t="s">
        <v>2832</v>
      </c>
      <c r="BX183" s="22">
        <v>250.0</v>
      </c>
      <c r="BY183" s="22" t="s">
        <v>139</v>
      </c>
      <c r="BZ183" s="22"/>
      <c r="CA183" s="22" t="s">
        <v>355</v>
      </c>
      <c r="CB183" s="22" t="s">
        <v>307</v>
      </c>
      <c r="CC183" s="45" t="s">
        <v>2833</v>
      </c>
      <c r="CD183" s="43"/>
      <c r="CE183" s="43"/>
      <c r="CF183" s="45"/>
      <c r="CG183" s="43"/>
      <c r="CH183" s="43"/>
      <c r="CI183" s="43"/>
      <c r="CJ183" s="43"/>
      <c r="CK183" s="43"/>
      <c r="CL183" s="43"/>
      <c r="CM183" s="49">
        <f>IFERROR(VLOOKUP(B183,CC!A:D,4,0)," ")</f>
        <v>114.94</v>
      </c>
      <c r="CN183" s="22" t="s">
        <v>2834</v>
      </c>
      <c r="CO183" s="22"/>
      <c r="CP183" s="22" t="s">
        <v>2835</v>
      </c>
      <c r="CQ183" s="22">
        <v>90.0</v>
      </c>
      <c r="CR183" s="43"/>
      <c r="CS183" s="22">
        <v>5.0</v>
      </c>
      <c r="CT183" s="22" t="s">
        <v>145</v>
      </c>
      <c r="CU183" s="43"/>
      <c r="CV183" s="43"/>
      <c r="CW183" s="43"/>
      <c r="CX183" s="43"/>
      <c r="CY183" s="43" t="b">
        <v>0</v>
      </c>
      <c r="CZ183" s="43" t="b">
        <v>0</v>
      </c>
      <c r="DA183" s="43" t="b">
        <v>0</v>
      </c>
      <c r="DB183" s="43" t="b">
        <v>0</v>
      </c>
      <c r="DC183" s="43"/>
      <c r="DD183" s="43"/>
      <c r="DE183" s="43"/>
      <c r="DF183" s="43"/>
      <c r="DG183" s="43"/>
      <c r="DH183" s="43"/>
      <c r="DI183" s="43"/>
      <c r="DJ183" s="22">
        <f>IFERROR(VLOOKUP($B183,'Лист4'!$D:$AI,27,0)," ")</f>
        <v>5</v>
      </c>
      <c r="DK183" s="22">
        <f>IFERROR(VLOOKUP($B183,'Лист4'!$D:$AI,28,0)," ")</f>
        <v>5</v>
      </c>
      <c r="DL183" s="22">
        <f>IFERROR(VLOOKUP($B183,'Лист4'!$D:$AI,29,0)," ")</f>
        <v>5</v>
      </c>
      <c r="DM183" s="22">
        <f t="shared" si="1"/>
        <v>125</v>
      </c>
      <c r="DN183" s="22">
        <f>IFERROR(VLOOKUP($B183,'Лист4'!$D:$AI,32,0)," ")</f>
        <v>0.295</v>
      </c>
      <c r="DO183" s="22"/>
      <c r="DP183" s="22"/>
      <c r="DQ183" s="22"/>
      <c r="DR183" s="22"/>
      <c r="DS183" s="22"/>
      <c r="DT183" s="22"/>
      <c r="DU183" s="22"/>
      <c r="DV183" s="22"/>
      <c r="DW183" s="22"/>
      <c r="DX183" s="22"/>
      <c r="DY183" s="22"/>
      <c r="DZ183" s="22"/>
      <c r="EA183" s="22"/>
      <c r="EB183" s="22"/>
      <c r="EC183" s="22"/>
      <c r="ED183" s="22"/>
      <c r="EE183" s="22"/>
      <c r="EF183" s="22"/>
      <c r="EG183" s="22"/>
      <c r="EH183" s="22"/>
      <c r="EI183" s="22"/>
      <c r="EJ183" s="22"/>
      <c r="EK183" s="22"/>
      <c r="EL183" s="22"/>
      <c r="EM183" s="22"/>
      <c r="EN183" s="22"/>
      <c r="EO183" s="22"/>
      <c r="EP183" s="22"/>
      <c r="EQ183" s="22"/>
      <c r="ER183" s="22"/>
      <c r="ES183" s="43"/>
      <c r="ET183" s="43"/>
      <c r="EU183" s="43"/>
      <c r="EV183" s="43"/>
      <c r="EW183" s="43"/>
      <c r="EX183" s="43"/>
      <c r="EY183" s="43"/>
      <c r="EZ183" s="43"/>
      <c r="FA183" s="43"/>
      <c r="FB183" s="43"/>
      <c r="FC183" s="43"/>
      <c r="FD183" s="43"/>
      <c r="FE183" s="43"/>
      <c r="FF183" s="43"/>
      <c r="FG183" s="43"/>
      <c r="FH183" s="43"/>
      <c r="FI183" s="43"/>
    </row>
    <row r="184" ht="18.0" customHeight="1">
      <c r="A184" s="22" t="s">
        <v>2659</v>
      </c>
      <c r="B184" s="43" t="s">
        <v>2836</v>
      </c>
      <c r="C184" s="22" t="s">
        <v>2741</v>
      </c>
      <c r="D184" s="22" t="s">
        <v>119</v>
      </c>
      <c r="E184" s="62" t="str">
        <f>IFERROR(VLOOKUP(D184,'Остатки и спрос'!F:G,2,0),D184)</f>
        <v>Актуальный</v>
      </c>
      <c r="F184" s="22" t="s">
        <v>2837</v>
      </c>
      <c r="G184" s="22" t="s">
        <v>2743</v>
      </c>
      <c r="H184" s="22" t="s">
        <v>565</v>
      </c>
      <c r="I184" s="43"/>
      <c r="J184" s="43"/>
      <c r="K184" s="22" t="b">
        <v>1</v>
      </c>
      <c r="L184" s="22" t="b">
        <v>1</v>
      </c>
      <c r="M184" s="22" t="b">
        <v>1</v>
      </c>
      <c r="N184" s="22" t="b">
        <v>1</v>
      </c>
      <c r="O184" s="22" t="b">
        <v>1</v>
      </c>
      <c r="P184" s="22" t="b">
        <v>1</v>
      </c>
      <c r="Q184" s="22" t="b">
        <v>0</v>
      </c>
      <c r="R184" s="43"/>
      <c r="S184" s="43" t="s">
        <v>2838</v>
      </c>
      <c r="T184" s="22" t="s">
        <v>2836</v>
      </c>
      <c r="U184" s="22" t="s">
        <v>2836</v>
      </c>
      <c r="V184" s="22" t="s">
        <v>2836</v>
      </c>
      <c r="W184" s="43" t="s">
        <v>2836</v>
      </c>
      <c r="X184" s="43" t="s">
        <v>2836</v>
      </c>
      <c r="Y184" s="43"/>
      <c r="Z184" s="43"/>
      <c r="AA184" s="22">
        <v>2.39888358E8</v>
      </c>
      <c r="AB184" s="22">
        <v>1.613771317E9</v>
      </c>
      <c r="AC184" s="22">
        <v>1.03821874314E11</v>
      </c>
      <c r="AD184" s="22">
        <v>9.9000076203E10</v>
      </c>
      <c r="AE184" s="22" t="s">
        <v>2839</v>
      </c>
      <c r="AF184" s="43"/>
      <c r="AG184" s="43"/>
      <c r="AH184" s="43" t="s">
        <v>2837</v>
      </c>
      <c r="AI184" s="22" t="s">
        <v>2840</v>
      </c>
      <c r="AJ184" s="22" t="s">
        <v>2841</v>
      </c>
      <c r="AK184" s="22" t="s">
        <v>2842</v>
      </c>
      <c r="AL184" s="22" t="s">
        <v>2843</v>
      </c>
      <c r="AM184" s="22" t="s">
        <v>2844</v>
      </c>
      <c r="AN184" s="43"/>
      <c r="AO184" s="43"/>
      <c r="AP184" s="46" t="s">
        <v>2845</v>
      </c>
      <c r="AQ184" s="46" t="s">
        <v>2846</v>
      </c>
      <c r="AR184" s="43"/>
      <c r="AS184" s="46" t="s">
        <v>2847</v>
      </c>
      <c r="AT184" s="46" t="s">
        <v>2848</v>
      </c>
      <c r="AU184" s="43"/>
      <c r="AV184" s="43"/>
      <c r="AW184" s="22" t="s">
        <v>325</v>
      </c>
      <c r="AX184" s="22" t="s">
        <v>2841</v>
      </c>
      <c r="AY184" s="22" t="s">
        <v>2849</v>
      </c>
      <c r="AZ184" s="22" t="s">
        <v>1447</v>
      </c>
      <c r="BA184" s="22" t="s">
        <v>2850</v>
      </c>
      <c r="BB184" s="43"/>
      <c r="BC184" s="43"/>
      <c r="BD184" s="43" t="s">
        <v>2673</v>
      </c>
      <c r="BE184" s="59" t="s">
        <v>2755</v>
      </c>
      <c r="BF184" s="22" t="s">
        <v>131</v>
      </c>
      <c r="BG184" s="22" t="s">
        <v>132</v>
      </c>
      <c r="BH184" s="22" t="s">
        <v>132</v>
      </c>
      <c r="BI184" s="22" t="s">
        <v>132</v>
      </c>
      <c r="BJ184" s="43"/>
      <c r="BK184" s="43"/>
      <c r="BL184" s="22">
        <v>4.670020497034E12</v>
      </c>
      <c r="BM184" s="63" t="s">
        <v>145</v>
      </c>
      <c r="BN184" s="22" t="s">
        <v>2851</v>
      </c>
      <c r="BO184" s="22"/>
      <c r="BP184" s="22" t="s">
        <v>145</v>
      </c>
      <c r="BQ184" s="43"/>
      <c r="BR184" s="43"/>
      <c r="BS184" s="22" t="s">
        <v>2852</v>
      </c>
      <c r="BT184" s="43"/>
      <c r="BU184" s="22" t="s">
        <v>2853</v>
      </c>
      <c r="BV184" s="43" t="s">
        <v>145</v>
      </c>
      <c r="BW184" s="22" t="s">
        <v>2854</v>
      </c>
      <c r="BX184" s="22">
        <v>30.0</v>
      </c>
      <c r="BY184" s="22" t="s">
        <v>139</v>
      </c>
      <c r="BZ184" s="22"/>
      <c r="CA184" s="22" t="s">
        <v>355</v>
      </c>
      <c r="CB184" s="22" t="s">
        <v>307</v>
      </c>
      <c r="CC184" s="45" t="s">
        <v>2855</v>
      </c>
      <c r="CD184" s="43"/>
      <c r="CE184" s="43"/>
      <c r="CF184" s="45"/>
      <c r="CG184" s="54">
        <v>46063.0</v>
      </c>
      <c r="CH184" s="46" t="s">
        <v>2856</v>
      </c>
      <c r="CI184" s="43"/>
      <c r="CJ184" s="43"/>
      <c r="CK184" s="43"/>
      <c r="CL184" s="43"/>
      <c r="CM184" s="49">
        <f>IFERROR(VLOOKUP(B184,CC!A:D,4,0)," ")</f>
        <v>153.4</v>
      </c>
      <c r="CN184" s="22" t="s">
        <v>2834</v>
      </c>
      <c r="CO184" s="22" t="s">
        <v>2857</v>
      </c>
      <c r="CP184" s="43"/>
      <c r="CQ184" s="22">
        <v>90.0</v>
      </c>
      <c r="CR184" s="43"/>
      <c r="CS184" s="22">
        <v>5.0</v>
      </c>
      <c r="CT184" s="22" t="s">
        <v>145</v>
      </c>
      <c r="CU184" s="43"/>
      <c r="CV184" s="43"/>
      <c r="CW184" s="43"/>
      <c r="CX184" s="43"/>
      <c r="CY184" s="43" t="b">
        <v>0</v>
      </c>
      <c r="CZ184" s="43" t="b">
        <v>0</v>
      </c>
      <c r="DA184" s="43" t="b">
        <v>0</v>
      </c>
      <c r="DB184" s="43" t="b">
        <v>0</v>
      </c>
      <c r="DC184" s="43"/>
      <c r="DD184" s="43"/>
      <c r="DE184" s="43"/>
      <c r="DF184" s="43"/>
      <c r="DG184" s="43"/>
      <c r="DH184" s="43"/>
      <c r="DI184" s="43"/>
      <c r="DJ184" s="22">
        <f>IFERROR(VLOOKUP($B184,'Лист4'!$D:$AI,27,0)," ")</f>
        <v>7</v>
      </c>
      <c r="DK184" s="22">
        <f>IFERROR(VLOOKUP($B184,'Лист4'!$D:$AI,28,0)," ")</f>
        <v>4</v>
      </c>
      <c r="DL184" s="22">
        <f>IFERROR(VLOOKUP($B184,'Лист4'!$D:$AI,29,0)," ")</f>
        <v>7</v>
      </c>
      <c r="DM184" s="22">
        <f t="shared" si="1"/>
        <v>196</v>
      </c>
      <c r="DN184" s="22">
        <f>IFERROR(VLOOKUP($B184,'Лист4'!$D:$AI,32,0)," ")</f>
        <v>0.048</v>
      </c>
      <c r="DO184" s="22"/>
      <c r="DP184" s="22"/>
      <c r="DQ184" s="22"/>
      <c r="DR184" s="22"/>
      <c r="DS184" s="22"/>
      <c r="DT184" s="22"/>
      <c r="DU184" s="22"/>
      <c r="DV184" s="22"/>
      <c r="DW184" s="22"/>
      <c r="DX184" s="22"/>
      <c r="DY184" s="22"/>
      <c r="DZ184" s="22"/>
      <c r="EA184" s="22"/>
      <c r="EB184" s="22"/>
      <c r="EC184" s="22"/>
      <c r="ED184" s="22"/>
      <c r="EE184" s="22"/>
      <c r="EF184" s="22"/>
      <c r="EG184" s="22"/>
      <c r="EH184" s="22"/>
      <c r="EI184" s="22"/>
      <c r="EJ184" s="22"/>
      <c r="EK184" s="22"/>
      <c r="EL184" s="22"/>
      <c r="EM184" s="22"/>
      <c r="EN184" s="22"/>
      <c r="EO184" s="22"/>
      <c r="EP184" s="22"/>
      <c r="EQ184" s="22"/>
      <c r="ER184" s="22"/>
      <c r="ES184" s="43"/>
      <c r="ET184" s="43"/>
      <c r="EU184" s="43"/>
      <c r="EV184" s="43"/>
      <c r="EW184" s="43"/>
      <c r="EX184" s="43"/>
      <c r="EY184" s="43"/>
      <c r="EZ184" s="43"/>
      <c r="FA184" s="43"/>
      <c r="FB184" s="43"/>
      <c r="FC184" s="43"/>
      <c r="FD184" s="43"/>
      <c r="FE184" s="43"/>
      <c r="FF184" s="43"/>
      <c r="FG184" s="43"/>
      <c r="FH184" s="43"/>
      <c r="FI184" s="43"/>
    </row>
    <row r="185" ht="18.0" customHeight="1">
      <c r="A185" s="22" t="s">
        <v>2659</v>
      </c>
      <c r="B185" s="43" t="s">
        <v>2858</v>
      </c>
      <c r="C185" s="22" t="s">
        <v>2661</v>
      </c>
      <c r="D185" s="22" t="s">
        <v>119</v>
      </c>
      <c r="E185" s="43"/>
      <c r="F185" s="22" t="s">
        <v>2859</v>
      </c>
      <c r="G185" s="22" t="s">
        <v>2663</v>
      </c>
      <c r="H185" s="22" t="s">
        <v>2860</v>
      </c>
      <c r="I185" s="43"/>
      <c r="J185" s="43"/>
      <c r="K185" s="22" t="b">
        <v>1</v>
      </c>
      <c r="L185" s="22" t="b">
        <v>1</v>
      </c>
      <c r="M185" s="22" t="b">
        <v>1</v>
      </c>
      <c r="N185" s="22" t="b">
        <v>1</v>
      </c>
      <c r="O185" s="22" t="b">
        <v>0</v>
      </c>
      <c r="P185" s="22" t="b">
        <v>0</v>
      </c>
      <c r="Q185" s="22" t="b">
        <v>0</v>
      </c>
      <c r="R185" s="43"/>
      <c r="S185" s="43" t="s">
        <v>2861</v>
      </c>
      <c r="T185" s="22" t="s">
        <v>2858</v>
      </c>
      <c r="U185" s="22" t="s">
        <v>2858</v>
      </c>
      <c r="V185" s="22" t="s">
        <v>2858</v>
      </c>
      <c r="W185" s="43"/>
      <c r="X185" s="43"/>
      <c r="Y185" s="43"/>
      <c r="Z185" s="43"/>
      <c r="AA185" s="22">
        <v>2.60515862E8</v>
      </c>
      <c r="AB185" s="22">
        <v>1.691245886E9</v>
      </c>
      <c r="AC185" s="22">
        <v>1.03515410999E11</v>
      </c>
      <c r="AD185" s="22"/>
      <c r="AE185" s="22"/>
      <c r="AF185" s="43"/>
      <c r="AG185" s="43"/>
      <c r="AH185" s="43" t="s">
        <v>2859</v>
      </c>
      <c r="AI185" s="22" t="s">
        <v>2862</v>
      </c>
      <c r="AJ185" s="22" t="s">
        <v>2863</v>
      </c>
      <c r="AK185" s="22" t="s">
        <v>2864</v>
      </c>
      <c r="AL185" s="43"/>
      <c r="AM185" s="43"/>
      <c r="AN185" s="43"/>
      <c r="AO185" s="43"/>
      <c r="AP185" s="46" t="s">
        <v>2865</v>
      </c>
      <c r="AQ185" s="46" t="s">
        <v>2866</v>
      </c>
      <c r="AR185" s="46" t="s">
        <v>2867</v>
      </c>
      <c r="AS185" s="43"/>
      <c r="AT185" s="43"/>
      <c r="AU185" s="43"/>
      <c r="AV185" s="43"/>
      <c r="AW185" s="22" t="s">
        <v>594</v>
      </c>
      <c r="AX185" s="22" t="s">
        <v>2863</v>
      </c>
      <c r="AY185" s="22" t="s">
        <v>2672</v>
      </c>
      <c r="AZ185" s="43"/>
      <c r="BA185" s="43"/>
      <c r="BB185" s="43"/>
      <c r="BC185" s="43"/>
      <c r="BD185" s="43" t="s">
        <v>2673</v>
      </c>
      <c r="BE185" s="59" t="s">
        <v>2755</v>
      </c>
      <c r="BF185" s="22" t="s">
        <v>131</v>
      </c>
      <c r="BG185" s="22" t="s">
        <v>132</v>
      </c>
      <c r="BH185" s="22" t="s">
        <v>132</v>
      </c>
      <c r="BI185" s="22" t="s">
        <v>132</v>
      </c>
      <c r="BJ185" s="43"/>
      <c r="BK185" s="43"/>
      <c r="BL185" s="22">
        <v>4.610030633572E12</v>
      </c>
      <c r="BM185" s="22">
        <v>3.30499E9</v>
      </c>
      <c r="BN185" s="22" t="s">
        <v>2868</v>
      </c>
      <c r="BO185" s="22"/>
      <c r="BP185" s="22" t="s">
        <v>496</v>
      </c>
      <c r="BQ185" s="43"/>
      <c r="BR185" s="43"/>
      <c r="BS185" s="22" t="s">
        <v>2869</v>
      </c>
      <c r="BT185" s="43"/>
      <c r="BU185" s="22" t="s">
        <v>2870</v>
      </c>
      <c r="BV185" s="22" t="s">
        <v>2697</v>
      </c>
      <c r="BW185" s="22" t="s">
        <v>2871</v>
      </c>
      <c r="BX185" s="22">
        <v>15.0</v>
      </c>
      <c r="BY185" s="22" t="s">
        <v>139</v>
      </c>
      <c r="BZ185" s="22"/>
      <c r="CA185" s="22"/>
      <c r="CB185" s="22"/>
      <c r="CC185" s="45" t="s">
        <v>2872</v>
      </c>
      <c r="CD185" s="43"/>
      <c r="CE185" s="43"/>
      <c r="CF185" s="45"/>
      <c r="CG185" s="43"/>
      <c r="CH185" s="43"/>
      <c r="CI185" s="43"/>
      <c r="CJ185" s="43"/>
      <c r="CK185" s="43"/>
      <c r="CL185" s="43"/>
      <c r="CM185" s="49">
        <f>IFERROR(VLOOKUP(B185,CC!A:D,4,0)," ")</f>
        <v>113.89</v>
      </c>
      <c r="CN185" s="22" t="s">
        <v>2873</v>
      </c>
      <c r="CO185" s="22"/>
      <c r="CP185" s="43"/>
      <c r="CQ185" s="22">
        <v>45.0</v>
      </c>
      <c r="CR185" s="43"/>
      <c r="CS185" s="22">
        <v>1.0</v>
      </c>
      <c r="CT185" s="22" t="s">
        <v>145</v>
      </c>
      <c r="CU185" s="43"/>
      <c r="CV185" s="43"/>
      <c r="CW185" s="43"/>
      <c r="CX185" s="43"/>
      <c r="CY185" s="43" t="b">
        <v>0</v>
      </c>
      <c r="CZ185" s="43" t="b">
        <v>0</v>
      </c>
      <c r="DA185" s="43" t="b">
        <v>0</v>
      </c>
      <c r="DB185" s="43" t="b">
        <v>0</v>
      </c>
      <c r="DC185" s="43"/>
      <c r="DD185" s="43"/>
      <c r="DE185" s="43"/>
      <c r="DF185" s="43"/>
      <c r="DG185" s="43"/>
      <c r="DH185" s="43"/>
      <c r="DI185" s="43"/>
      <c r="DJ185" s="22">
        <f>IFERROR(VLOOKUP($B185,'Лист4'!$D:$AI,27,0)," ")</f>
        <v>11</v>
      </c>
      <c r="DK185" s="22">
        <f>IFERROR(VLOOKUP($B185,'Лист4'!$D:$AI,28,0)," ")</f>
        <v>3</v>
      </c>
      <c r="DL185" s="22">
        <f>IFERROR(VLOOKUP($B185,'Лист4'!$D:$AI,29,0)," ")</f>
        <v>11</v>
      </c>
      <c r="DM185" s="22">
        <f t="shared" si="1"/>
        <v>363</v>
      </c>
      <c r="DN185" s="22">
        <f>IFERROR(VLOOKUP($B185,'Лист4'!$D:$AI,32,0)," ")</f>
        <v>0.026</v>
      </c>
      <c r="DO185" s="22"/>
      <c r="DP185" s="22"/>
      <c r="DQ185" s="22"/>
      <c r="DR185" s="22"/>
      <c r="DS185" s="22"/>
      <c r="DT185" s="22"/>
      <c r="DU185" s="22"/>
      <c r="DV185" s="22"/>
      <c r="DW185" s="22"/>
      <c r="DX185" s="22"/>
      <c r="DY185" s="22"/>
      <c r="DZ185" s="22"/>
      <c r="EA185" s="22"/>
      <c r="EB185" s="22"/>
      <c r="EC185" s="22"/>
      <c r="ED185" s="22"/>
      <c r="EE185" s="22"/>
      <c r="EF185" s="22"/>
      <c r="EG185" s="22"/>
      <c r="EH185" s="22"/>
      <c r="EI185" s="22"/>
      <c r="EJ185" s="22"/>
      <c r="EK185" s="22"/>
      <c r="EL185" s="22"/>
      <c r="EM185" s="22"/>
      <c r="EN185" s="22"/>
      <c r="EO185" s="22"/>
      <c r="EP185" s="22"/>
      <c r="EQ185" s="22"/>
      <c r="ER185" s="22"/>
      <c r="ES185" s="43"/>
      <c r="ET185" s="43"/>
      <c r="EU185" s="43"/>
      <c r="EV185" s="43"/>
      <c r="EW185" s="43"/>
      <c r="EX185" s="43"/>
      <c r="EY185" s="43"/>
      <c r="EZ185" s="43"/>
      <c r="FA185" s="43"/>
      <c r="FB185" s="43"/>
      <c r="FC185" s="43"/>
      <c r="FD185" s="43"/>
      <c r="FE185" s="43"/>
      <c r="FF185" s="43"/>
      <c r="FG185" s="43"/>
      <c r="FH185" s="43"/>
      <c r="FI185" s="43"/>
    </row>
    <row r="186" ht="18.0" customHeight="1">
      <c r="A186" s="22" t="s">
        <v>2659</v>
      </c>
      <c r="B186" s="43" t="s">
        <v>2874</v>
      </c>
      <c r="C186" s="22" t="s">
        <v>2661</v>
      </c>
      <c r="D186" s="22" t="s">
        <v>119</v>
      </c>
      <c r="E186" s="43"/>
      <c r="F186" s="22" t="s">
        <v>2875</v>
      </c>
      <c r="G186" s="22" t="s">
        <v>2663</v>
      </c>
      <c r="H186" s="22" t="s">
        <v>2876</v>
      </c>
      <c r="I186" s="43"/>
      <c r="J186" s="43"/>
      <c r="K186" s="22" t="b">
        <v>1</v>
      </c>
      <c r="L186" s="22" t="b">
        <v>1</v>
      </c>
      <c r="M186" s="22" t="b">
        <v>1</v>
      </c>
      <c r="N186" s="22" t="b">
        <v>1</v>
      </c>
      <c r="O186" s="22" t="b">
        <v>0</v>
      </c>
      <c r="P186" s="22" t="b">
        <v>0</v>
      </c>
      <c r="Q186" s="22" t="b">
        <v>0</v>
      </c>
      <c r="R186" s="43"/>
      <c r="S186" s="43" t="s">
        <v>2877</v>
      </c>
      <c r="T186" s="22" t="s">
        <v>2874</v>
      </c>
      <c r="U186" s="22" t="s">
        <v>2874</v>
      </c>
      <c r="V186" s="22" t="s">
        <v>2874</v>
      </c>
      <c r="W186" s="43"/>
      <c r="X186" s="43"/>
      <c r="Y186" s="43"/>
      <c r="Z186" s="43"/>
      <c r="AA186" s="22">
        <v>2.63802739E8</v>
      </c>
      <c r="AB186" s="22">
        <v>1.703614178E9</v>
      </c>
      <c r="AC186" s="22">
        <v>4.663236233E9</v>
      </c>
      <c r="AD186" s="22"/>
      <c r="AE186" s="22"/>
      <c r="AF186" s="43"/>
      <c r="AG186" s="43"/>
      <c r="AH186" s="43" t="s">
        <v>2875</v>
      </c>
      <c r="AI186" s="22" t="s">
        <v>2878</v>
      </c>
      <c r="AJ186" s="22" t="s">
        <v>2879</v>
      </c>
      <c r="AK186" s="22" t="s">
        <v>2880</v>
      </c>
      <c r="AL186" s="43"/>
      <c r="AM186" s="43"/>
      <c r="AN186" s="43"/>
      <c r="AO186" s="43"/>
      <c r="AP186" s="46" t="s">
        <v>2881</v>
      </c>
      <c r="AQ186" s="46" t="s">
        <v>2882</v>
      </c>
      <c r="AR186" s="46" t="s">
        <v>2883</v>
      </c>
      <c r="AS186" s="43"/>
      <c r="AT186" s="43"/>
      <c r="AU186" s="43"/>
      <c r="AV186" s="43"/>
      <c r="AW186" s="22" t="s">
        <v>649</v>
      </c>
      <c r="AX186" s="22" t="s">
        <v>2879</v>
      </c>
      <c r="AY186" s="22" t="s">
        <v>2692</v>
      </c>
      <c r="AZ186" s="43"/>
      <c r="BA186" s="43"/>
      <c r="BB186" s="43"/>
      <c r="BC186" s="43"/>
      <c r="BD186" s="43" t="s">
        <v>1449</v>
      </c>
      <c r="BE186" s="59" t="s">
        <v>2674</v>
      </c>
      <c r="BF186" s="22" t="s">
        <v>131</v>
      </c>
      <c r="BG186" s="22" t="s">
        <v>132</v>
      </c>
      <c r="BH186" s="22" t="s">
        <v>132</v>
      </c>
      <c r="BI186" s="22" t="s">
        <v>132</v>
      </c>
      <c r="BJ186" s="43"/>
      <c r="BK186" s="43"/>
      <c r="BL186" s="22">
        <v>4.610030633701E12</v>
      </c>
      <c r="BM186" s="22">
        <v>2106.0</v>
      </c>
      <c r="BN186" s="22" t="s">
        <v>2884</v>
      </c>
      <c r="BO186" s="22"/>
      <c r="BP186" s="22" t="s">
        <v>145</v>
      </c>
      <c r="BQ186" s="43"/>
      <c r="BR186" s="43"/>
      <c r="BS186" s="22" t="s">
        <v>2885</v>
      </c>
      <c r="BT186" s="43"/>
      <c r="BU186" s="22" t="s">
        <v>2886</v>
      </c>
      <c r="BV186" s="22" t="s">
        <v>2887</v>
      </c>
      <c r="BW186" s="22" t="s">
        <v>2698</v>
      </c>
      <c r="BX186" s="22">
        <v>10.0</v>
      </c>
      <c r="BY186" s="22" t="s">
        <v>210</v>
      </c>
      <c r="BZ186" s="22"/>
      <c r="CA186" s="22"/>
      <c r="CB186" s="22"/>
      <c r="CC186" s="45" t="s">
        <v>2888</v>
      </c>
      <c r="CD186" s="43"/>
      <c r="CE186" s="43"/>
      <c r="CF186" s="45"/>
      <c r="CG186" s="43"/>
      <c r="CH186" s="43"/>
      <c r="CI186" s="43"/>
      <c r="CJ186" s="43"/>
      <c r="CK186" s="43"/>
      <c r="CL186" s="43"/>
      <c r="CM186" s="49">
        <f>IFERROR(VLOOKUP(B186,CC!A:D,4,0)," ")</f>
        <v>138.32</v>
      </c>
      <c r="CN186" s="22" t="s">
        <v>2889</v>
      </c>
      <c r="CO186" s="22"/>
      <c r="CP186" s="43"/>
      <c r="CQ186" s="22">
        <v>45.0</v>
      </c>
      <c r="CR186" s="43"/>
      <c r="CS186" s="22">
        <v>1.0</v>
      </c>
      <c r="CT186" s="22" t="s">
        <v>145</v>
      </c>
      <c r="CU186" s="43"/>
      <c r="CV186" s="43"/>
      <c r="CW186" s="43"/>
      <c r="CX186" s="43"/>
      <c r="CY186" s="43" t="b">
        <v>0</v>
      </c>
      <c r="CZ186" s="43" t="b">
        <v>0</v>
      </c>
      <c r="DA186" s="43" t="b">
        <v>0</v>
      </c>
      <c r="DB186" s="43" t="b">
        <v>0</v>
      </c>
      <c r="DC186" s="43"/>
      <c r="DD186" s="43"/>
      <c r="DE186" s="43"/>
      <c r="DF186" s="43"/>
      <c r="DG186" s="43"/>
      <c r="DH186" s="43"/>
      <c r="DI186" s="43"/>
      <c r="DJ186" s="22">
        <f>IFERROR(VLOOKUP($B186,'Лист4'!$D:$AI,27,0)," ")</f>
        <v>10</v>
      </c>
      <c r="DK186" s="22">
        <f>IFERROR(VLOOKUP($B186,'Лист4'!$D:$AI,28,0)," ")</f>
        <v>3</v>
      </c>
      <c r="DL186" s="22">
        <f>IFERROR(VLOOKUP($B186,'Лист4'!$D:$AI,29,0)," ")</f>
        <v>10</v>
      </c>
      <c r="DM186" s="22">
        <f t="shared" si="1"/>
        <v>300</v>
      </c>
      <c r="DN186" s="22">
        <f>IFERROR(VLOOKUP($B186,'Лист4'!$D:$AI,32,0)," ")</f>
        <v>0.043</v>
      </c>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22"/>
      <c r="EN186" s="22"/>
      <c r="EO186" s="22"/>
      <c r="EP186" s="22"/>
      <c r="EQ186" s="22"/>
      <c r="ER186" s="22"/>
      <c r="ES186" s="43"/>
      <c r="ET186" s="43"/>
      <c r="EU186" s="43"/>
      <c r="EV186" s="43"/>
      <c r="EW186" s="43"/>
      <c r="EX186" s="43"/>
      <c r="EY186" s="43"/>
      <c r="EZ186" s="43"/>
      <c r="FA186" s="43"/>
      <c r="FB186" s="43"/>
      <c r="FC186" s="43"/>
      <c r="FD186" s="43"/>
      <c r="FE186" s="43"/>
      <c r="FF186" s="43"/>
      <c r="FG186" s="43"/>
      <c r="FH186" s="43"/>
      <c r="FI186" s="43"/>
    </row>
    <row r="187" ht="18.0" customHeight="1">
      <c r="A187" s="22" t="s">
        <v>2659</v>
      </c>
      <c r="B187" s="43" t="s">
        <v>2890</v>
      </c>
      <c r="C187" s="22" t="s">
        <v>2661</v>
      </c>
      <c r="D187" s="22" t="s">
        <v>119</v>
      </c>
      <c r="E187" s="43"/>
      <c r="F187" s="22" t="s">
        <v>2891</v>
      </c>
      <c r="G187" s="22" t="s">
        <v>2663</v>
      </c>
      <c r="H187" s="22" t="s">
        <v>2892</v>
      </c>
      <c r="I187" s="43"/>
      <c r="J187" s="43"/>
      <c r="K187" s="22" t="b">
        <v>1</v>
      </c>
      <c r="L187" s="22" t="b">
        <v>1</v>
      </c>
      <c r="M187" s="22" t="b">
        <v>1</v>
      </c>
      <c r="N187" s="22" t="b">
        <v>1</v>
      </c>
      <c r="O187" s="22" t="b">
        <v>0</v>
      </c>
      <c r="P187" s="22" t="b">
        <v>0</v>
      </c>
      <c r="Q187" s="22" t="b">
        <v>0</v>
      </c>
      <c r="R187" s="43"/>
      <c r="S187" s="43" t="s">
        <v>2893</v>
      </c>
      <c r="T187" s="22" t="s">
        <v>2890</v>
      </c>
      <c r="U187" s="22" t="s">
        <v>2890</v>
      </c>
      <c r="V187" s="22" t="s">
        <v>2890</v>
      </c>
      <c r="W187" s="43"/>
      <c r="X187" s="43"/>
      <c r="Y187" s="43"/>
      <c r="Z187" s="43"/>
      <c r="AA187" s="22">
        <v>2.34207568E8</v>
      </c>
      <c r="AB187" s="22">
        <v>1.590087137E9</v>
      </c>
      <c r="AC187" s="22">
        <v>4.3892471E9</v>
      </c>
      <c r="AD187" s="22"/>
      <c r="AE187" s="22"/>
      <c r="AF187" s="43"/>
      <c r="AG187" s="43"/>
      <c r="AH187" s="43" t="s">
        <v>2891</v>
      </c>
      <c r="AI187" s="22" t="s">
        <v>2894</v>
      </c>
      <c r="AJ187" s="22" t="s">
        <v>2895</v>
      </c>
      <c r="AK187" s="22" t="s">
        <v>2896</v>
      </c>
      <c r="AL187" s="43"/>
      <c r="AM187" s="43"/>
      <c r="AN187" s="43"/>
      <c r="AO187" s="43"/>
      <c r="AP187" s="46" t="s">
        <v>2897</v>
      </c>
      <c r="AQ187" s="46" t="s">
        <v>2898</v>
      </c>
      <c r="AR187" s="46" t="s">
        <v>2899</v>
      </c>
      <c r="AS187" s="43"/>
      <c r="AT187" s="43"/>
      <c r="AU187" s="43"/>
      <c r="AV187" s="43"/>
      <c r="AW187" s="22" t="s">
        <v>649</v>
      </c>
      <c r="AX187" s="22" t="s">
        <v>2895</v>
      </c>
      <c r="AY187" s="22" t="s">
        <v>2692</v>
      </c>
      <c r="AZ187" s="43"/>
      <c r="BA187" s="43"/>
      <c r="BB187" s="43"/>
      <c r="BC187" s="43"/>
      <c r="BD187" s="43" t="s">
        <v>1449</v>
      </c>
      <c r="BE187" s="59" t="s">
        <v>2674</v>
      </c>
      <c r="BF187" s="22" t="s">
        <v>131</v>
      </c>
      <c r="BG187" s="22" t="s">
        <v>132</v>
      </c>
      <c r="BH187" s="22" t="s">
        <v>132</v>
      </c>
      <c r="BI187" s="22" t="s">
        <v>132</v>
      </c>
      <c r="BJ187" s="43"/>
      <c r="BK187" s="43"/>
      <c r="BL187" s="22" t="s">
        <v>2900</v>
      </c>
      <c r="BM187" s="22">
        <v>2.106909809E9</v>
      </c>
      <c r="BN187" s="22" t="s">
        <v>2901</v>
      </c>
      <c r="BO187" s="22"/>
      <c r="BP187" s="22" t="s">
        <v>145</v>
      </c>
      <c r="BQ187" s="43"/>
      <c r="BR187" s="43"/>
      <c r="BS187" s="22" t="s">
        <v>2902</v>
      </c>
      <c r="BT187" s="43"/>
      <c r="BU187" s="22" t="s">
        <v>2903</v>
      </c>
      <c r="BV187" s="22" t="s">
        <v>2904</v>
      </c>
      <c r="BW187" s="22" t="s">
        <v>2905</v>
      </c>
      <c r="BX187" s="22">
        <v>20.0</v>
      </c>
      <c r="BY187" s="22" t="s">
        <v>492</v>
      </c>
      <c r="BZ187" s="22"/>
      <c r="CA187" s="22"/>
      <c r="CB187" s="22"/>
      <c r="CC187" s="45" t="s">
        <v>2906</v>
      </c>
      <c r="CD187" s="43"/>
      <c r="CE187" s="43"/>
      <c r="CF187" s="45"/>
      <c r="CG187" s="43"/>
      <c r="CH187" s="43"/>
      <c r="CI187" s="43"/>
      <c r="CJ187" s="43"/>
      <c r="CK187" s="43"/>
      <c r="CL187" s="43"/>
      <c r="CM187" s="49">
        <f>IFERROR(VLOOKUP(B187,CC!A:D,4,0)," ")</f>
        <v>114.12</v>
      </c>
      <c r="CN187" s="22" t="s">
        <v>2873</v>
      </c>
      <c r="CO187" s="22"/>
      <c r="CP187" s="43"/>
      <c r="CQ187" s="22">
        <v>45.0</v>
      </c>
      <c r="CR187" s="43"/>
      <c r="CS187" s="22">
        <v>1.0</v>
      </c>
      <c r="CT187" s="22" t="s">
        <v>145</v>
      </c>
      <c r="CU187" s="43"/>
      <c r="CV187" s="43"/>
      <c r="CW187" s="43"/>
      <c r="CX187" s="43"/>
      <c r="CY187" s="43" t="b">
        <v>0</v>
      </c>
      <c r="CZ187" s="43" t="b">
        <v>0</v>
      </c>
      <c r="DA187" s="43" t="b">
        <v>0</v>
      </c>
      <c r="DB187" s="43" t="b">
        <v>0</v>
      </c>
      <c r="DC187" s="43"/>
      <c r="DD187" s="43"/>
      <c r="DE187" s="43"/>
      <c r="DF187" s="43"/>
      <c r="DG187" s="43"/>
      <c r="DH187" s="43"/>
      <c r="DI187" s="43"/>
      <c r="DJ187" s="22">
        <f>IFERROR(VLOOKUP($B187,'Лист4'!$D:$AI,27,0)," ")</f>
        <v>8</v>
      </c>
      <c r="DK187" s="22">
        <f>IFERROR(VLOOKUP($B187,'Лист4'!$D:$AI,28,0)," ")</f>
        <v>2</v>
      </c>
      <c r="DL187" s="22">
        <f>IFERROR(VLOOKUP($B187,'Лист4'!$D:$AI,29,0)," ")</f>
        <v>8</v>
      </c>
      <c r="DM187" s="22">
        <f t="shared" si="1"/>
        <v>128</v>
      </c>
      <c r="DN187" s="22">
        <f>IFERROR(VLOOKUP($B187,'Лист4'!$D:$AI,32,0)," ")</f>
        <v>0.046</v>
      </c>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22"/>
      <c r="EN187" s="22"/>
      <c r="EO187" s="22"/>
      <c r="EP187" s="22"/>
      <c r="EQ187" s="22"/>
      <c r="ER187" s="22"/>
      <c r="ES187" s="43"/>
      <c r="ET187" s="43"/>
      <c r="EU187" s="43"/>
      <c r="EV187" s="43"/>
      <c r="EW187" s="43"/>
      <c r="EX187" s="43"/>
      <c r="EY187" s="43"/>
      <c r="EZ187" s="43"/>
      <c r="FA187" s="43"/>
      <c r="FB187" s="43"/>
      <c r="FC187" s="43"/>
      <c r="FD187" s="43"/>
      <c r="FE187" s="43"/>
      <c r="FF187" s="43"/>
      <c r="FG187" s="43"/>
      <c r="FH187" s="43"/>
      <c r="FI187" s="43"/>
    </row>
    <row r="188" ht="18.0" customHeight="1">
      <c r="A188" s="22" t="s">
        <v>2659</v>
      </c>
      <c r="B188" s="43" t="s">
        <v>2907</v>
      </c>
      <c r="C188" s="22" t="s">
        <v>2661</v>
      </c>
      <c r="D188" s="22" t="s">
        <v>119</v>
      </c>
      <c r="E188" s="43"/>
      <c r="F188" s="22" t="s">
        <v>2908</v>
      </c>
      <c r="G188" s="22" t="s">
        <v>2663</v>
      </c>
      <c r="H188" s="22" t="s">
        <v>1027</v>
      </c>
      <c r="I188" s="43"/>
      <c r="J188" s="43"/>
      <c r="K188" s="22" t="b">
        <v>1</v>
      </c>
      <c r="L188" s="22" t="b">
        <v>1</v>
      </c>
      <c r="M188" s="22" t="b">
        <v>1</v>
      </c>
      <c r="N188" s="22" t="b">
        <v>1</v>
      </c>
      <c r="O188" s="22" t="b">
        <v>0</v>
      </c>
      <c r="P188" s="22" t="b">
        <v>0</v>
      </c>
      <c r="Q188" s="22" t="b">
        <v>0</v>
      </c>
      <c r="R188" s="43"/>
      <c r="S188" s="43" t="s">
        <v>2909</v>
      </c>
      <c r="T188" s="22" t="s">
        <v>2907</v>
      </c>
      <c r="U188" s="22" t="s">
        <v>2907</v>
      </c>
      <c r="V188" s="22" t="s">
        <v>2907</v>
      </c>
      <c r="W188" s="43"/>
      <c r="X188" s="43"/>
      <c r="Y188" s="43"/>
      <c r="Z188" s="43"/>
      <c r="AA188" s="22">
        <v>1.7905602E7</v>
      </c>
      <c r="AB188" s="22">
        <v>2.91845947E8</v>
      </c>
      <c r="AC188" s="22">
        <v>1.03515398245E11</v>
      </c>
      <c r="AD188" s="22"/>
      <c r="AE188" s="22"/>
      <c r="AF188" s="43"/>
      <c r="AG188" s="43"/>
      <c r="AH188" s="43" t="s">
        <v>2908</v>
      </c>
      <c r="AI188" s="22" t="s">
        <v>2910</v>
      </c>
      <c r="AJ188" s="22" t="s">
        <v>2911</v>
      </c>
      <c r="AK188" s="22" t="s">
        <v>2911</v>
      </c>
      <c r="AL188" s="43"/>
      <c r="AM188" s="43"/>
      <c r="AN188" s="43"/>
      <c r="AO188" s="43"/>
      <c r="AP188" s="46" t="s">
        <v>2912</v>
      </c>
      <c r="AQ188" s="46" t="s">
        <v>2913</v>
      </c>
      <c r="AR188" s="46" t="s">
        <v>2914</v>
      </c>
      <c r="AS188" s="43"/>
      <c r="AT188" s="43"/>
      <c r="AU188" s="43"/>
      <c r="AV188" s="43"/>
      <c r="AW188" s="22" t="s">
        <v>649</v>
      </c>
      <c r="AX188" s="22" t="s">
        <v>2911</v>
      </c>
      <c r="AY188" s="22" t="s">
        <v>372</v>
      </c>
      <c r="AZ188" s="43"/>
      <c r="BA188" s="43"/>
      <c r="BB188" s="43"/>
      <c r="BC188" s="43"/>
      <c r="BD188" s="43" t="s">
        <v>1449</v>
      </c>
      <c r="BE188" s="59" t="s">
        <v>2755</v>
      </c>
      <c r="BF188" s="22" t="s">
        <v>131</v>
      </c>
      <c r="BG188" s="22" t="s">
        <v>132</v>
      </c>
      <c r="BH188" s="22" t="s">
        <v>132</v>
      </c>
      <c r="BI188" s="22" t="s">
        <v>132</v>
      </c>
      <c r="BJ188" s="43"/>
      <c r="BK188" s="43"/>
      <c r="BL188" s="22">
        <v>4.660417421902E12</v>
      </c>
      <c r="BM188" s="22">
        <v>2.103909009E9</v>
      </c>
      <c r="BN188" s="22" t="s">
        <v>2915</v>
      </c>
      <c r="BO188" s="22"/>
      <c r="BP188" s="22" t="s">
        <v>145</v>
      </c>
      <c r="BQ188" s="43"/>
      <c r="BR188" s="43"/>
      <c r="BS188" s="22" t="s">
        <v>2916</v>
      </c>
      <c r="BT188" s="43"/>
      <c r="BU188" s="22" t="s">
        <v>2917</v>
      </c>
      <c r="BV188" s="22" t="s">
        <v>2777</v>
      </c>
      <c r="BW188" s="22" t="s">
        <v>2778</v>
      </c>
      <c r="BX188" s="22">
        <v>10.0</v>
      </c>
      <c r="BY188" s="22" t="s">
        <v>2918</v>
      </c>
      <c r="BZ188" s="22"/>
      <c r="CA188" s="22" t="s">
        <v>307</v>
      </c>
      <c r="CB188" s="22" t="s">
        <v>307</v>
      </c>
      <c r="CC188" s="45" t="s">
        <v>401</v>
      </c>
      <c r="CD188" s="43"/>
      <c r="CE188" s="43"/>
      <c r="CF188" s="45" t="s">
        <v>401</v>
      </c>
      <c r="CG188" s="43"/>
      <c r="CH188" s="43"/>
      <c r="CI188" s="43"/>
      <c r="CJ188" s="43"/>
      <c r="CK188" s="43"/>
      <c r="CL188" s="43"/>
      <c r="CM188" s="49">
        <f>IFERROR(VLOOKUP(B188,CC!A:D,4,0)," ")</f>
        <v>116.28</v>
      </c>
      <c r="CN188" s="22" t="s">
        <v>2681</v>
      </c>
      <c r="CO188" s="22"/>
      <c r="CP188" s="43"/>
      <c r="CQ188" s="22" t="s">
        <v>401</v>
      </c>
      <c r="CR188" s="43"/>
      <c r="CS188" s="22">
        <v>1.0</v>
      </c>
      <c r="CT188" s="22" t="s">
        <v>145</v>
      </c>
      <c r="CU188" s="43"/>
      <c r="CV188" s="43"/>
      <c r="CW188" s="43"/>
      <c r="CX188" s="43"/>
      <c r="CY188" s="43" t="b">
        <v>0</v>
      </c>
      <c r="CZ188" s="43" t="b">
        <v>0</v>
      </c>
      <c r="DA188" s="43" t="b">
        <v>0</v>
      </c>
      <c r="DB188" s="43" t="b">
        <v>0</v>
      </c>
      <c r="DC188" s="43"/>
      <c r="DD188" s="43"/>
      <c r="DE188" s="43"/>
      <c r="DF188" s="43"/>
      <c r="DG188" s="43"/>
      <c r="DH188" s="43"/>
      <c r="DI188" s="43"/>
      <c r="DJ188" s="22">
        <f>IFERROR(VLOOKUP($B188,'Лист4'!$D:$AI,27,0)," ")</f>
        <v>7</v>
      </c>
      <c r="DK188" s="22">
        <f>IFERROR(VLOOKUP($B188,'Лист4'!$D:$AI,28,0)," ")</f>
        <v>6</v>
      </c>
      <c r="DL188" s="22">
        <f>IFERROR(VLOOKUP($B188,'Лист4'!$D:$AI,29,0)," ")</f>
        <v>7</v>
      </c>
      <c r="DM188" s="22">
        <f t="shared" si="1"/>
        <v>294</v>
      </c>
      <c r="DN188" s="22">
        <f>IFERROR(VLOOKUP($B188,'Лист4'!$D:$AI,32,0)," ")</f>
        <v>0.038</v>
      </c>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22"/>
      <c r="EN188" s="22"/>
      <c r="EO188" s="22"/>
      <c r="EP188" s="22"/>
      <c r="EQ188" s="22"/>
      <c r="ER188" s="22"/>
      <c r="ES188" s="43"/>
      <c r="ET188" s="43"/>
      <c r="EU188" s="43"/>
      <c r="EV188" s="43"/>
      <c r="EW188" s="43"/>
      <c r="EX188" s="43"/>
      <c r="EY188" s="43"/>
      <c r="EZ188" s="43"/>
      <c r="FA188" s="43"/>
      <c r="FB188" s="43"/>
      <c r="FC188" s="43"/>
      <c r="FD188" s="43"/>
      <c r="FE188" s="43"/>
      <c r="FF188" s="43"/>
      <c r="FG188" s="43"/>
      <c r="FH188" s="43"/>
      <c r="FI188" s="43"/>
    </row>
    <row r="189" ht="18.0" customHeight="1">
      <c r="A189" s="22" t="s">
        <v>2659</v>
      </c>
      <c r="B189" s="43" t="s">
        <v>2919</v>
      </c>
      <c r="C189" s="22" t="s">
        <v>2741</v>
      </c>
      <c r="D189" s="22" t="s">
        <v>119</v>
      </c>
      <c r="E189" s="43"/>
      <c r="F189" s="22" t="s">
        <v>2920</v>
      </c>
      <c r="G189" s="22" t="s">
        <v>2743</v>
      </c>
      <c r="H189" s="22" t="s">
        <v>287</v>
      </c>
      <c r="I189" s="43"/>
      <c r="J189" s="43"/>
      <c r="K189" s="22" t="b">
        <v>1</v>
      </c>
      <c r="L189" s="22" t="b">
        <v>1</v>
      </c>
      <c r="M189" s="22" t="b">
        <v>1</v>
      </c>
      <c r="N189" s="22" t="b">
        <v>1</v>
      </c>
      <c r="O189" s="22" t="b">
        <v>1</v>
      </c>
      <c r="P189" s="22" t="b">
        <v>1</v>
      </c>
      <c r="Q189" s="22" t="b">
        <v>1</v>
      </c>
      <c r="R189" s="43"/>
      <c r="S189" s="43" t="s">
        <v>2921</v>
      </c>
      <c r="T189" s="22" t="s">
        <v>2919</v>
      </c>
      <c r="U189" s="22" t="s">
        <v>2919</v>
      </c>
      <c r="V189" s="22" t="s">
        <v>2919</v>
      </c>
      <c r="W189" s="43" t="s">
        <v>2919</v>
      </c>
      <c r="X189" s="43" t="s">
        <v>2919</v>
      </c>
      <c r="Y189" s="22" t="s">
        <v>2919</v>
      </c>
      <c r="Z189" s="43"/>
      <c r="AA189" s="22">
        <v>4.18228094E8</v>
      </c>
      <c r="AB189" s="22">
        <v>2.138241943E9</v>
      </c>
      <c r="AC189" s="22">
        <v>4.476422826E9</v>
      </c>
      <c r="AD189" s="22">
        <v>9.9000114724E10</v>
      </c>
      <c r="AE189" s="22" t="s">
        <v>2922</v>
      </c>
      <c r="AF189" s="22" t="s">
        <v>2923</v>
      </c>
      <c r="AG189" s="43"/>
      <c r="AH189" s="43" t="s">
        <v>2920</v>
      </c>
      <c r="AI189" s="22" t="s">
        <v>315</v>
      </c>
      <c r="AJ189" s="22" t="s">
        <v>2924</v>
      </c>
      <c r="AK189" s="22" t="s">
        <v>2925</v>
      </c>
      <c r="AL189" s="22" t="s">
        <v>2926</v>
      </c>
      <c r="AM189" s="22" t="s">
        <v>2927</v>
      </c>
      <c r="AN189" s="22" t="s">
        <v>2928</v>
      </c>
      <c r="AO189" s="43"/>
      <c r="AP189" s="46" t="s">
        <v>2929</v>
      </c>
      <c r="AQ189" s="46" t="s">
        <v>2930</v>
      </c>
      <c r="AR189" s="46" t="s">
        <v>2931</v>
      </c>
      <c r="AS189" s="46" t="s">
        <v>2932</v>
      </c>
      <c r="AT189" s="46" t="s">
        <v>2933</v>
      </c>
      <c r="AU189" s="46" t="s">
        <v>2934</v>
      </c>
      <c r="AV189" s="43"/>
      <c r="AW189" s="22" t="s">
        <v>298</v>
      </c>
      <c r="AX189" s="22" t="s">
        <v>2924</v>
      </c>
      <c r="AY189" s="22" t="s">
        <v>326</v>
      </c>
      <c r="AZ189" s="22" t="s">
        <v>300</v>
      </c>
      <c r="BA189" s="22" t="s">
        <v>351</v>
      </c>
      <c r="BB189" s="22" t="s">
        <v>2935</v>
      </c>
      <c r="BC189" s="22"/>
      <c r="BD189" s="43" t="s">
        <v>301</v>
      </c>
      <c r="BE189" s="59" t="s">
        <v>2755</v>
      </c>
      <c r="BF189" s="22" t="s">
        <v>131</v>
      </c>
      <c r="BG189" s="22" t="s">
        <v>132</v>
      </c>
      <c r="BH189" s="22" t="s">
        <v>132</v>
      </c>
      <c r="BI189" s="22" t="s">
        <v>132</v>
      </c>
      <c r="BJ189" s="43"/>
      <c r="BK189" s="43"/>
      <c r="BL189" s="22">
        <v>4.603320465359E12</v>
      </c>
      <c r="BM189" s="22">
        <v>3.305900009E9</v>
      </c>
      <c r="BN189" s="22" t="s">
        <v>2936</v>
      </c>
      <c r="BO189" s="22"/>
      <c r="BP189" s="22" t="s">
        <v>2937</v>
      </c>
      <c r="BQ189" s="43"/>
      <c r="BR189" s="43"/>
      <c r="BS189" s="22" t="s">
        <v>330</v>
      </c>
      <c r="BT189" s="43"/>
      <c r="BU189" s="22" t="s">
        <v>331</v>
      </c>
      <c r="BV189" s="43" t="s">
        <v>2938</v>
      </c>
      <c r="BW189" s="22" t="s">
        <v>2939</v>
      </c>
      <c r="BX189" s="22">
        <v>100.0</v>
      </c>
      <c r="BY189" s="22" t="s">
        <v>139</v>
      </c>
      <c r="BZ189" s="22"/>
      <c r="CA189" s="22" t="s">
        <v>726</v>
      </c>
      <c r="CB189" s="22" t="s">
        <v>727</v>
      </c>
      <c r="CC189" s="45" t="s">
        <v>2940</v>
      </c>
      <c r="CD189" s="43"/>
      <c r="CE189" s="43"/>
      <c r="CF189" s="45"/>
      <c r="CG189" s="54">
        <v>46084.0</v>
      </c>
      <c r="CH189" s="46" t="s">
        <v>2941</v>
      </c>
      <c r="CI189" s="43"/>
      <c r="CJ189" s="43"/>
      <c r="CK189" s="43"/>
      <c r="CL189" s="43"/>
      <c r="CM189" s="49">
        <f>IFERROR(VLOOKUP(B189,CC!A:D,4,0)," ")</f>
        <v>133.65</v>
      </c>
      <c r="CN189" s="22" t="s">
        <v>2942</v>
      </c>
      <c r="CO189" s="22" t="s">
        <v>2943</v>
      </c>
      <c r="CP189" s="22" t="s">
        <v>2944</v>
      </c>
      <c r="CQ189" s="22">
        <v>60.0</v>
      </c>
      <c r="CR189" s="43"/>
      <c r="CS189" s="43"/>
      <c r="CT189" s="22" t="s">
        <v>145</v>
      </c>
      <c r="CU189" s="43"/>
      <c r="CV189" s="43"/>
      <c r="CW189" s="43"/>
      <c r="CX189" s="43"/>
      <c r="CY189" s="43" t="b">
        <v>0</v>
      </c>
      <c r="CZ189" s="43" t="b">
        <v>0</v>
      </c>
      <c r="DA189" s="43" t="b">
        <v>0</v>
      </c>
      <c r="DB189" s="43" t="b">
        <v>0</v>
      </c>
      <c r="DC189" s="43"/>
      <c r="DD189" s="43"/>
      <c r="DE189" s="43"/>
      <c r="DF189" s="43"/>
      <c r="DG189" s="43"/>
      <c r="DH189" s="43"/>
      <c r="DI189" s="43"/>
      <c r="DJ189" s="22">
        <f>IFERROR(VLOOKUP($B189,'Лист4'!$D:$AI,27,0)," ")</f>
        <v>9</v>
      </c>
      <c r="DK189" s="22">
        <f>IFERROR(VLOOKUP($B189,'Лист4'!$D:$AI,28,0)," ")</f>
        <v>13</v>
      </c>
      <c r="DL189" s="22">
        <f>IFERROR(VLOOKUP($B189,'Лист4'!$D:$AI,29,0)," ")</f>
        <v>9</v>
      </c>
      <c r="DM189" s="22">
        <f t="shared" si="1"/>
        <v>1053</v>
      </c>
      <c r="DN189" s="22">
        <f>IFERROR(VLOOKUP($B189,'Лист4'!$D:$AI,32,0)," ")</f>
        <v>1.47</v>
      </c>
      <c r="DO189" s="22"/>
      <c r="DP189" s="22"/>
      <c r="DQ189" s="22"/>
      <c r="DR189" s="22"/>
      <c r="DS189" s="22"/>
      <c r="DT189" s="22"/>
      <c r="DU189" s="22"/>
      <c r="DV189" s="22"/>
      <c r="DW189" s="22"/>
      <c r="DX189" s="22"/>
      <c r="DY189" s="22"/>
      <c r="DZ189" s="22"/>
      <c r="EA189" s="22"/>
      <c r="EB189" s="22"/>
      <c r="EC189" s="22"/>
      <c r="ED189" s="22"/>
      <c r="EE189" s="22"/>
      <c r="EF189" s="22"/>
      <c r="EG189" s="22"/>
      <c r="EH189" s="22"/>
      <c r="EI189" s="22"/>
      <c r="EJ189" s="22"/>
      <c r="EK189" s="22"/>
      <c r="EL189" s="22"/>
      <c r="EM189" s="22"/>
      <c r="EN189" s="22"/>
      <c r="EO189" s="22"/>
      <c r="EP189" s="22"/>
      <c r="EQ189" s="22"/>
      <c r="ER189" s="22"/>
      <c r="ES189" s="43"/>
      <c r="ET189" s="43"/>
      <c r="EU189" s="43"/>
      <c r="EV189" s="43"/>
      <c r="EW189" s="43"/>
      <c r="EX189" s="43"/>
      <c r="EY189" s="43"/>
      <c r="EZ189" s="43"/>
      <c r="FA189" s="43"/>
      <c r="FB189" s="43"/>
      <c r="FC189" s="43"/>
      <c r="FD189" s="43"/>
      <c r="FE189" s="43"/>
      <c r="FF189" s="43"/>
      <c r="FG189" s="43"/>
      <c r="FH189" s="43"/>
      <c r="FI189" s="43"/>
    </row>
    <row r="190" ht="18.0" customHeight="1">
      <c r="A190" s="22" t="s">
        <v>2659</v>
      </c>
      <c r="B190" s="43" t="s">
        <v>2945</v>
      </c>
      <c r="C190" s="22" t="s">
        <v>2661</v>
      </c>
      <c r="D190" s="22" t="s">
        <v>119</v>
      </c>
      <c r="E190" s="43"/>
      <c r="F190" s="22" t="s">
        <v>2946</v>
      </c>
      <c r="G190" s="22" t="s">
        <v>2663</v>
      </c>
      <c r="H190" s="22" t="s">
        <v>2664</v>
      </c>
      <c r="I190" s="43"/>
      <c r="J190" s="43"/>
      <c r="K190" s="22" t="b">
        <v>1</v>
      </c>
      <c r="L190" s="22" t="b">
        <v>1</v>
      </c>
      <c r="M190" s="22" t="b">
        <v>1</v>
      </c>
      <c r="N190" s="22" t="b">
        <v>1</v>
      </c>
      <c r="O190" s="22" t="b">
        <v>0</v>
      </c>
      <c r="P190" s="22" t="b">
        <v>0</v>
      </c>
      <c r="Q190" s="22" t="b">
        <v>0</v>
      </c>
      <c r="R190" s="43"/>
      <c r="S190" s="43" t="s">
        <v>2947</v>
      </c>
      <c r="T190" s="22" t="s">
        <v>2945</v>
      </c>
      <c r="U190" s="22" t="s">
        <v>2945</v>
      </c>
      <c r="V190" s="22" t="s">
        <v>2945</v>
      </c>
      <c r="W190" s="43"/>
      <c r="X190" s="43"/>
      <c r="Y190" s="43"/>
      <c r="Z190" s="43"/>
      <c r="AA190" s="22">
        <v>3.04495569E8</v>
      </c>
      <c r="AB190" s="22">
        <v>1.792793774E9</v>
      </c>
      <c r="AC190" s="22">
        <v>1.03701539078E11</v>
      </c>
      <c r="AD190" s="22"/>
      <c r="AE190" s="22"/>
      <c r="AF190" s="43"/>
      <c r="AG190" s="43"/>
      <c r="AH190" s="43" t="s">
        <v>2946</v>
      </c>
      <c r="AI190" s="22" t="s">
        <v>2666</v>
      </c>
      <c r="AJ190" s="22" t="s">
        <v>2948</v>
      </c>
      <c r="AK190" s="22" t="s">
        <v>2949</v>
      </c>
      <c r="AL190" s="43"/>
      <c r="AM190" s="43"/>
      <c r="AN190" s="43"/>
      <c r="AO190" s="43"/>
      <c r="AP190" s="46" t="s">
        <v>2950</v>
      </c>
      <c r="AQ190" s="46" t="s">
        <v>2951</v>
      </c>
      <c r="AR190" s="46" t="s">
        <v>2952</v>
      </c>
      <c r="AS190" s="43"/>
      <c r="AT190" s="43"/>
      <c r="AU190" s="43"/>
      <c r="AV190" s="43"/>
      <c r="AW190" s="22" t="s">
        <v>594</v>
      </c>
      <c r="AX190" s="22" t="s">
        <v>2948</v>
      </c>
      <c r="AY190" s="22" t="s">
        <v>2672</v>
      </c>
      <c r="AZ190" s="43"/>
      <c r="BA190" s="43"/>
      <c r="BB190" s="43"/>
      <c r="BC190" s="43"/>
      <c r="BD190" s="43" t="s">
        <v>2673</v>
      </c>
      <c r="BE190" s="59" t="s">
        <v>2755</v>
      </c>
      <c r="BF190" s="22" t="s">
        <v>131</v>
      </c>
      <c r="BG190" s="22" t="s">
        <v>132</v>
      </c>
      <c r="BH190" s="22" t="s">
        <v>132</v>
      </c>
      <c r="BI190" s="22" t="s">
        <v>132</v>
      </c>
      <c r="BJ190" s="43"/>
      <c r="BK190" s="43"/>
      <c r="BL190" s="22">
        <v>2.042302907722E12</v>
      </c>
      <c r="BM190" s="22">
        <v>3.30499E9</v>
      </c>
      <c r="BN190" s="22" t="s">
        <v>2953</v>
      </c>
      <c r="BO190" s="22"/>
      <c r="BP190" s="22" t="s">
        <v>145</v>
      </c>
      <c r="BQ190" s="43"/>
      <c r="BR190" s="43"/>
      <c r="BS190" s="22" t="s">
        <v>2677</v>
      </c>
      <c r="BT190" s="43"/>
      <c r="BU190" s="22" t="s">
        <v>2678</v>
      </c>
      <c r="BV190" s="22" t="s">
        <v>2679</v>
      </c>
      <c r="BW190" s="22" t="s">
        <v>2680</v>
      </c>
      <c r="BX190" s="22">
        <v>80.0</v>
      </c>
      <c r="BY190" s="22" t="s">
        <v>139</v>
      </c>
      <c r="BZ190" s="22"/>
      <c r="CA190" s="22"/>
      <c r="CB190" s="22"/>
      <c r="CC190" s="45"/>
      <c r="CD190" s="43"/>
      <c r="CE190" s="43"/>
      <c r="CF190" s="45"/>
      <c r="CG190" s="43"/>
      <c r="CH190" s="43"/>
      <c r="CI190" s="43"/>
      <c r="CJ190" s="43"/>
      <c r="CK190" s="43"/>
      <c r="CL190" s="43"/>
      <c r="CM190" s="49">
        <f>IFERROR(VLOOKUP(B190,CC!A:D,4,0)," ")</f>
        <v>241</v>
      </c>
      <c r="CN190" s="22" t="s">
        <v>2681</v>
      </c>
      <c r="CO190" s="22"/>
      <c r="CP190" s="22"/>
      <c r="CQ190" s="22">
        <v>45.0</v>
      </c>
      <c r="CR190" s="43"/>
      <c r="CS190" s="22">
        <v>1.0</v>
      </c>
      <c r="CT190" s="22" t="s">
        <v>145</v>
      </c>
      <c r="CU190" s="43"/>
      <c r="CV190" s="43"/>
      <c r="CW190" s="43"/>
      <c r="CX190" s="43"/>
      <c r="CY190" s="43" t="b">
        <v>0</v>
      </c>
      <c r="CZ190" s="43" t="b">
        <v>0</v>
      </c>
      <c r="DA190" s="43" t="b">
        <v>0</v>
      </c>
      <c r="DB190" s="43" t="b">
        <v>0</v>
      </c>
      <c r="DC190" s="43"/>
      <c r="DD190" s="43"/>
      <c r="DE190" s="43"/>
      <c r="DF190" s="43"/>
      <c r="DG190" s="43"/>
      <c r="DH190" s="43"/>
      <c r="DI190" s="43"/>
      <c r="DJ190" s="22">
        <f>IFERROR(VLOOKUP($B190,'Лист4'!$D:$AI,27,0)," ")</f>
        <v>7</v>
      </c>
      <c r="DK190" s="22">
        <f>IFERROR(VLOOKUP($B190,'Лист4'!$D:$AI,28,0)," ")</f>
        <v>18</v>
      </c>
      <c r="DL190" s="22">
        <f>IFERROR(VLOOKUP($B190,'Лист4'!$D:$AI,29,0)," ")</f>
        <v>7</v>
      </c>
      <c r="DM190" s="22">
        <f t="shared" si="1"/>
        <v>882</v>
      </c>
      <c r="DN190" s="22">
        <f>IFERROR(VLOOKUP($B190,'Лист4'!$D:$AI,32,0)," ")</f>
        <v>0.09</v>
      </c>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22"/>
      <c r="EN190" s="22"/>
      <c r="EO190" s="22"/>
      <c r="EP190" s="22"/>
      <c r="EQ190" s="22"/>
      <c r="ER190" s="22"/>
      <c r="ES190" s="43"/>
      <c r="ET190" s="43"/>
      <c r="EU190" s="43"/>
      <c r="EV190" s="43"/>
      <c r="EW190" s="43"/>
      <c r="EX190" s="43"/>
      <c r="EY190" s="43"/>
      <c r="EZ190" s="43"/>
      <c r="FA190" s="43"/>
      <c r="FB190" s="43"/>
      <c r="FC190" s="43"/>
      <c r="FD190" s="43"/>
      <c r="FE190" s="43"/>
      <c r="FF190" s="43"/>
      <c r="FG190" s="43"/>
      <c r="FH190" s="43"/>
      <c r="FI190" s="43"/>
    </row>
    <row r="191" ht="18.0" customHeight="1">
      <c r="A191" s="22" t="s">
        <v>2659</v>
      </c>
      <c r="B191" s="43" t="s">
        <v>2954</v>
      </c>
      <c r="C191" s="22" t="s">
        <v>2741</v>
      </c>
      <c r="D191" s="22" t="s">
        <v>119</v>
      </c>
      <c r="E191" s="43"/>
      <c r="F191" s="22" t="s">
        <v>2955</v>
      </c>
      <c r="G191" s="22" t="s">
        <v>2743</v>
      </c>
      <c r="H191" s="22" t="s">
        <v>2744</v>
      </c>
      <c r="I191" s="43"/>
      <c r="J191" s="43"/>
      <c r="K191" s="22" t="b">
        <v>1</v>
      </c>
      <c r="L191" s="22" t="b">
        <v>1</v>
      </c>
      <c r="M191" s="22" t="b">
        <v>1</v>
      </c>
      <c r="N191" s="22" t="b">
        <v>1</v>
      </c>
      <c r="O191" s="22" t="b">
        <v>1</v>
      </c>
      <c r="P191" s="22" t="b">
        <v>1</v>
      </c>
      <c r="Q191" s="22" t="b">
        <v>1</v>
      </c>
      <c r="R191" s="43"/>
      <c r="S191" s="43" t="s">
        <v>2956</v>
      </c>
      <c r="T191" s="22" t="s">
        <v>2954</v>
      </c>
      <c r="U191" s="22" t="s">
        <v>2954</v>
      </c>
      <c r="V191" s="22" t="s">
        <v>2954</v>
      </c>
      <c r="W191" s="43" t="s">
        <v>2954</v>
      </c>
      <c r="X191" s="43" t="s">
        <v>2954</v>
      </c>
      <c r="Y191" s="22" t="s">
        <v>2954</v>
      </c>
      <c r="Z191" s="43"/>
      <c r="AA191" s="22">
        <v>5.26620725E8</v>
      </c>
      <c r="AB191" s="22">
        <v>2.830096367E9</v>
      </c>
      <c r="AC191" s="22">
        <v>4.644510464E9</v>
      </c>
      <c r="AD191" s="22">
        <v>9.9000124418E10</v>
      </c>
      <c r="AE191" s="22" t="s">
        <v>2957</v>
      </c>
      <c r="AF191" s="22" t="s">
        <v>2958</v>
      </c>
      <c r="AG191" s="43"/>
      <c r="AH191" s="43" t="s">
        <v>2955</v>
      </c>
      <c r="AI191" s="22" t="s">
        <v>2959</v>
      </c>
      <c r="AJ191" s="22" t="s">
        <v>2959</v>
      </c>
      <c r="AK191" s="22" t="s">
        <v>2960</v>
      </c>
      <c r="AL191" s="22" t="s">
        <v>2749</v>
      </c>
      <c r="AM191" s="22" t="s">
        <v>2959</v>
      </c>
      <c r="AN191" s="22" t="s">
        <v>2961</v>
      </c>
      <c r="AO191" s="43"/>
      <c r="AP191" s="46" t="s">
        <v>2962</v>
      </c>
      <c r="AQ191" s="46" t="s">
        <v>2963</v>
      </c>
      <c r="AR191" s="46" t="s">
        <v>2964</v>
      </c>
      <c r="AS191" s="46" t="s">
        <v>2965</v>
      </c>
      <c r="AT191" s="46" t="s">
        <v>2966</v>
      </c>
      <c r="AU191" s="46" t="s">
        <v>2967</v>
      </c>
      <c r="AV191" s="43"/>
      <c r="AW191" s="22" t="s">
        <v>594</v>
      </c>
      <c r="AX191" s="22" t="s">
        <v>2959</v>
      </c>
      <c r="AY191" s="22" t="s">
        <v>595</v>
      </c>
      <c r="AZ191" s="22" t="s">
        <v>1447</v>
      </c>
      <c r="BA191" s="22" t="s">
        <v>596</v>
      </c>
      <c r="BB191" s="22" t="s">
        <v>597</v>
      </c>
      <c r="BC191" s="22"/>
      <c r="BD191" s="43" t="s">
        <v>2673</v>
      </c>
      <c r="BE191" s="59" t="s">
        <v>2755</v>
      </c>
      <c r="BF191" s="22" t="s">
        <v>131</v>
      </c>
      <c r="BG191" s="22" t="s">
        <v>132</v>
      </c>
      <c r="BH191" s="22" t="s">
        <v>132</v>
      </c>
      <c r="BI191" s="22" t="s">
        <v>132</v>
      </c>
      <c r="BJ191" s="43"/>
      <c r="BK191" s="43"/>
      <c r="BL191" s="22">
        <v>4.660417421599E12</v>
      </c>
      <c r="BM191" s="22">
        <v>3.30499E9</v>
      </c>
      <c r="BN191" s="22" t="s">
        <v>2756</v>
      </c>
      <c r="BO191" s="22"/>
      <c r="BP191" s="22" t="s">
        <v>145</v>
      </c>
      <c r="BQ191" s="43"/>
      <c r="BR191" s="43"/>
      <c r="BS191" s="22" t="s">
        <v>2757</v>
      </c>
      <c r="BT191" s="43"/>
      <c r="BU191" s="22" t="s">
        <v>2758</v>
      </c>
      <c r="BV191" s="43" t="s">
        <v>2759</v>
      </c>
      <c r="BW191" s="22" t="s">
        <v>2760</v>
      </c>
      <c r="BX191" s="22">
        <v>50.0</v>
      </c>
      <c r="BY191" s="22" t="s">
        <v>139</v>
      </c>
      <c r="BZ191" s="22"/>
      <c r="CA191" s="22" t="s">
        <v>726</v>
      </c>
      <c r="CB191" s="22" t="s">
        <v>727</v>
      </c>
      <c r="CC191" s="45" t="s">
        <v>2968</v>
      </c>
      <c r="CD191" s="43"/>
      <c r="CE191" s="43"/>
      <c r="CF191" s="45"/>
      <c r="CG191" s="54">
        <v>46072.0</v>
      </c>
      <c r="CH191" s="46" t="s">
        <v>2969</v>
      </c>
      <c r="CI191" s="43"/>
      <c r="CJ191" s="43"/>
      <c r="CK191" s="43"/>
      <c r="CL191" s="43"/>
      <c r="CM191" s="49">
        <f>IFERROR(VLOOKUP(B191,CC!A:D,4,0)," ")</f>
        <v>87.5</v>
      </c>
      <c r="CN191" s="22" t="s">
        <v>2681</v>
      </c>
      <c r="CO191" s="22"/>
      <c r="CP191" s="22" t="s">
        <v>2763</v>
      </c>
      <c r="CQ191" s="22">
        <v>45.0</v>
      </c>
      <c r="CR191" s="43"/>
      <c r="CS191" s="22">
        <v>1.0</v>
      </c>
      <c r="CT191" s="22" t="s">
        <v>145</v>
      </c>
      <c r="CU191" s="43"/>
      <c r="CV191" s="43"/>
      <c r="CW191" s="43"/>
      <c r="CX191" s="43"/>
      <c r="CY191" s="43" t="b">
        <v>0</v>
      </c>
      <c r="CZ191" s="43" t="b">
        <v>0</v>
      </c>
      <c r="DA191" s="43" t="b">
        <v>0</v>
      </c>
      <c r="DB191" s="43" t="b">
        <v>0</v>
      </c>
      <c r="DC191" s="43"/>
      <c r="DD191" s="43"/>
      <c r="DE191" s="43"/>
      <c r="DF191" s="43"/>
      <c r="DG191" s="43"/>
      <c r="DH191" s="43"/>
      <c r="DI191" s="43"/>
      <c r="DJ191" s="22">
        <f>IFERROR(VLOOKUP($B191,'Лист4'!$D:$AI,27,0)," ")</f>
        <v>13</v>
      </c>
      <c r="DK191" s="22">
        <f>IFERROR(VLOOKUP($B191,'Лист4'!$D:$AI,28,0)," ")</f>
        <v>4</v>
      </c>
      <c r="DL191" s="22">
        <f>IFERROR(VLOOKUP($B191,'Лист4'!$D:$AI,29,0)," ")</f>
        <v>13</v>
      </c>
      <c r="DM191" s="22">
        <f t="shared" si="1"/>
        <v>676</v>
      </c>
      <c r="DN191" s="22">
        <f>IFERROR(VLOOKUP($B191,'Лист4'!$D:$AI,32,0)," ")</f>
        <v>0.088</v>
      </c>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22"/>
      <c r="EN191" s="22"/>
      <c r="EO191" s="22"/>
      <c r="EP191" s="22"/>
      <c r="EQ191" s="22"/>
      <c r="ER191" s="22"/>
      <c r="ES191" s="43"/>
      <c r="ET191" s="43"/>
      <c r="EU191" s="43"/>
      <c r="EV191" s="43"/>
      <c r="EW191" s="43"/>
      <c r="EX191" s="43"/>
      <c r="EY191" s="43"/>
      <c r="EZ191" s="43"/>
      <c r="FA191" s="43"/>
      <c r="FB191" s="43"/>
      <c r="FC191" s="43"/>
      <c r="FD191" s="43"/>
      <c r="FE191" s="43"/>
      <c r="FF191" s="43"/>
      <c r="FG191" s="43"/>
      <c r="FH191" s="43"/>
      <c r="FI191" s="43"/>
    </row>
    <row r="192" ht="18.0" customHeight="1">
      <c r="A192" s="22" t="s">
        <v>2659</v>
      </c>
      <c r="B192" s="43" t="s">
        <v>2970</v>
      </c>
      <c r="C192" s="22" t="s">
        <v>2741</v>
      </c>
      <c r="D192" s="22" t="s">
        <v>119</v>
      </c>
      <c r="E192" s="43"/>
      <c r="F192" s="22" t="s">
        <v>2971</v>
      </c>
      <c r="G192" s="22" t="s">
        <v>2743</v>
      </c>
      <c r="H192" s="22" t="s">
        <v>2744</v>
      </c>
      <c r="I192" s="43"/>
      <c r="J192" s="43"/>
      <c r="K192" s="22" t="b">
        <v>1</v>
      </c>
      <c r="L192" s="22" t="b">
        <v>1</v>
      </c>
      <c r="M192" s="22" t="b">
        <v>1</v>
      </c>
      <c r="N192" s="22" t="b">
        <v>1</v>
      </c>
      <c r="O192" s="22" t="b">
        <v>1</v>
      </c>
      <c r="P192" s="22" t="b">
        <v>0</v>
      </c>
      <c r="Q192" s="22" t="b">
        <v>0</v>
      </c>
      <c r="R192" s="43"/>
      <c r="S192" s="43" t="s">
        <v>2972</v>
      </c>
      <c r="T192" s="22" t="s">
        <v>2970</v>
      </c>
      <c r="U192" s="22" t="s">
        <v>2970</v>
      </c>
      <c r="V192" s="22" t="s">
        <v>2970</v>
      </c>
      <c r="W192" s="55" t="s">
        <v>2970</v>
      </c>
      <c r="X192" s="43"/>
      <c r="Y192" s="43"/>
      <c r="Z192" s="43"/>
      <c r="AA192" s="22">
        <v>5.55457305E8</v>
      </c>
      <c r="AB192" s="22">
        <v>2.937061626E9</v>
      </c>
      <c r="AC192" s="22">
        <v>4.737525756E9</v>
      </c>
      <c r="AD192" s="22">
        <v>9.9000131675E10</v>
      </c>
      <c r="AE192" s="22"/>
      <c r="AF192" s="43"/>
      <c r="AG192" s="43"/>
      <c r="AH192" s="43" t="s">
        <v>2971</v>
      </c>
      <c r="AI192" s="22" t="s">
        <v>2973</v>
      </c>
      <c r="AJ192" s="22" t="s">
        <v>2973</v>
      </c>
      <c r="AK192" s="22" t="s">
        <v>2974</v>
      </c>
      <c r="AL192" s="22" t="s">
        <v>2975</v>
      </c>
      <c r="AM192" s="43"/>
      <c r="AN192" s="43"/>
      <c r="AO192" s="43"/>
      <c r="AP192" s="46" t="s">
        <v>2976</v>
      </c>
      <c r="AQ192" s="46" t="s">
        <v>2977</v>
      </c>
      <c r="AR192" s="46" t="s">
        <v>2978</v>
      </c>
      <c r="AS192" s="43"/>
      <c r="AT192" s="43"/>
      <c r="AU192" s="43"/>
      <c r="AV192" s="43"/>
      <c r="AW192" s="22" t="s">
        <v>594</v>
      </c>
      <c r="AX192" s="22" t="s">
        <v>2973</v>
      </c>
      <c r="AY192" s="22" t="s">
        <v>595</v>
      </c>
      <c r="AZ192" s="22" t="s">
        <v>1447</v>
      </c>
      <c r="BA192" s="43"/>
      <c r="BB192" s="43"/>
      <c r="BC192" s="43"/>
      <c r="BD192" s="43" t="s">
        <v>2673</v>
      </c>
      <c r="BE192" s="59" t="s">
        <v>2755</v>
      </c>
      <c r="BF192" s="22" t="s">
        <v>131</v>
      </c>
      <c r="BG192" s="22" t="s">
        <v>132</v>
      </c>
      <c r="BH192" s="22" t="s">
        <v>132</v>
      </c>
      <c r="BI192" s="22" t="s">
        <v>132</v>
      </c>
      <c r="BJ192" s="43"/>
      <c r="BK192" s="43"/>
      <c r="BL192" s="22" t="s">
        <v>2979</v>
      </c>
      <c r="BM192" s="22">
        <v>3.30499E9</v>
      </c>
      <c r="BN192" s="22" t="s">
        <v>2756</v>
      </c>
      <c r="BO192" s="22"/>
      <c r="BP192" s="22" t="s">
        <v>145</v>
      </c>
      <c r="BQ192" s="43"/>
      <c r="BR192" s="43"/>
      <c r="BS192" s="22" t="s">
        <v>2757</v>
      </c>
      <c r="BT192" s="43"/>
      <c r="BU192" s="22" t="s">
        <v>2758</v>
      </c>
      <c r="BV192" s="43" t="s">
        <v>2759</v>
      </c>
      <c r="BW192" s="22" t="s">
        <v>2760</v>
      </c>
      <c r="BX192" s="22">
        <v>50.0</v>
      </c>
      <c r="BY192" s="22" t="s">
        <v>139</v>
      </c>
      <c r="BZ192" s="22"/>
      <c r="CA192" s="22" t="s">
        <v>726</v>
      </c>
      <c r="CB192" s="22" t="s">
        <v>727</v>
      </c>
      <c r="CC192" s="45" t="s">
        <v>2980</v>
      </c>
      <c r="CD192" s="43"/>
      <c r="CE192" s="43"/>
      <c r="CF192" s="45"/>
      <c r="CG192" s="54">
        <v>46072.0</v>
      </c>
      <c r="CH192" s="46" t="s">
        <v>2981</v>
      </c>
      <c r="CI192" s="43"/>
      <c r="CJ192" s="43"/>
      <c r="CK192" s="43"/>
      <c r="CL192" s="43"/>
      <c r="CM192" s="49">
        <f>IFERROR(VLOOKUP(B192,CC!A:D,4,0)," ")</f>
        <v>108.83</v>
      </c>
      <c r="CN192" s="22" t="s">
        <v>2681</v>
      </c>
      <c r="CO192" s="22"/>
      <c r="CP192" s="22"/>
      <c r="CQ192" s="22">
        <v>45.0</v>
      </c>
      <c r="CR192" s="43"/>
      <c r="CS192" s="22">
        <v>1.0</v>
      </c>
      <c r="CT192" s="22" t="s">
        <v>145</v>
      </c>
      <c r="CU192" s="43"/>
      <c r="CV192" s="43"/>
      <c r="CW192" s="43"/>
      <c r="CX192" s="43"/>
      <c r="CY192" s="43" t="b">
        <v>0</v>
      </c>
      <c r="CZ192" s="43" t="b">
        <v>0</v>
      </c>
      <c r="DA192" s="43" t="b">
        <v>0</v>
      </c>
      <c r="DB192" s="43" t="b">
        <v>0</v>
      </c>
      <c r="DC192" s="43"/>
      <c r="DD192" s="43"/>
      <c r="DE192" s="43"/>
      <c r="DF192" s="43"/>
      <c r="DG192" s="43"/>
      <c r="DH192" s="43"/>
      <c r="DI192" s="43"/>
      <c r="DJ192" s="22">
        <f>IFERROR(VLOOKUP($B192,'Лист4'!$D:$AI,27,0)," ")</f>
        <v>13</v>
      </c>
      <c r="DK192" s="22">
        <f>IFERROR(VLOOKUP($B192,'Лист4'!$D:$AI,28,0)," ")</f>
        <v>4</v>
      </c>
      <c r="DL192" s="22">
        <f>IFERROR(VLOOKUP($B192,'Лист4'!$D:$AI,29,0)," ")</f>
        <v>13</v>
      </c>
      <c r="DM192" s="22">
        <f t="shared" si="1"/>
        <v>676</v>
      </c>
      <c r="DN192" s="22">
        <f>IFERROR(VLOOKUP($B192,'Лист4'!$D:$AI,32,0)," ")</f>
        <v>0.088</v>
      </c>
      <c r="DO192" s="22"/>
      <c r="DP192" s="22"/>
      <c r="DQ192" s="22"/>
      <c r="DR192" s="22"/>
      <c r="DS192" s="22"/>
      <c r="DT192" s="22"/>
      <c r="DU192" s="22"/>
      <c r="DV192" s="22"/>
      <c r="DW192" s="22"/>
      <c r="DX192" s="22"/>
      <c r="DY192" s="22"/>
      <c r="DZ192" s="22"/>
      <c r="EA192" s="22"/>
      <c r="EB192" s="22"/>
      <c r="EC192" s="22"/>
      <c r="ED192" s="22"/>
      <c r="EE192" s="22"/>
      <c r="EF192" s="22"/>
      <c r="EG192" s="22"/>
      <c r="EH192" s="22"/>
      <c r="EI192" s="22"/>
      <c r="EJ192" s="22"/>
      <c r="EK192" s="22"/>
      <c r="EL192" s="22"/>
      <c r="EM192" s="22"/>
      <c r="EN192" s="22"/>
      <c r="EO192" s="22"/>
      <c r="EP192" s="22"/>
      <c r="EQ192" s="22"/>
      <c r="ER192" s="22"/>
      <c r="ES192" s="43"/>
      <c r="ET192" s="43"/>
      <c r="EU192" s="43"/>
      <c r="EV192" s="43"/>
      <c r="EW192" s="43"/>
      <c r="EX192" s="43"/>
      <c r="EY192" s="43"/>
      <c r="EZ192" s="43"/>
      <c r="FA192" s="43"/>
      <c r="FB192" s="43"/>
      <c r="FC192" s="43"/>
      <c r="FD192" s="43"/>
      <c r="FE192" s="43"/>
      <c r="FF192" s="43"/>
      <c r="FG192" s="43"/>
      <c r="FH192" s="43"/>
      <c r="FI192" s="43"/>
    </row>
    <row r="193" ht="18.0" customHeight="1">
      <c r="A193" s="22" t="s">
        <v>2659</v>
      </c>
      <c r="B193" s="43" t="s">
        <v>2982</v>
      </c>
      <c r="C193" s="22" t="s">
        <v>2741</v>
      </c>
      <c r="D193" s="22" t="s">
        <v>119</v>
      </c>
      <c r="E193" s="43"/>
      <c r="F193" s="22" t="s">
        <v>2983</v>
      </c>
      <c r="G193" s="22" t="s">
        <v>361</v>
      </c>
      <c r="H193" s="22" t="s">
        <v>2984</v>
      </c>
      <c r="I193" s="43"/>
      <c r="J193" s="43"/>
      <c r="K193" s="22" t="b">
        <v>1</v>
      </c>
      <c r="L193" s="22" t="b">
        <v>1</v>
      </c>
      <c r="M193" s="22" t="b">
        <v>1</v>
      </c>
      <c r="N193" s="22" t="b">
        <v>1</v>
      </c>
      <c r="O193" s="22" t="b">
        <v>0</v>
      </c>
      <c r="P193" s="22" t="b">
        <v>0</v>
      </c>
      <c r="Q193" s="22" t="b">
        <v>0</v>
      </c>
      <c r="R193" s="43"/>
      <c r="S193" s="43" t="s">
        <v>2985</v>
      </c>
      <c r="T193" s="22" t="s">
        <v>2982</v>
      </c>
      <c r="U193" s="22" t="s">
        <v>2982</v>
      </c>
      <c r="V193" s="22" t="s">
        <v>2982</v>
      </c>
      <c r="W193" s="43"/>
      <c r="X193" s="43"/>
      <c r="Y193" s="43"/>
      <c r="Z193" s="43"/>
      <c r="AA193" s="22">
        <v>4.71341724E8</v>
      </c>
      <c r="AB193" s="22">
        <v>2.498032276E9</v>
      </c>
      <c r="AC193" s="22">
        <v>4.537860153E9</v>
      </c>
      <c r="AD193" s="22"/>
      <c r="AE193" s="22"/>
      <c r="AF193" s="43"/>
      <c r="AG193" s="43"/>
      <c r="AH193" s="43" t="s">
        <v>2983</v>
      </c>
      <c r="AI193" s="22" t="s">
        <v>2986</v>
      </c>
      <c r="AJ193" s="22" t="s">
        <v>2987</v>
      </c>
      <c r="AK193" s="22" t="s">
        <v>2988</v>
      </c>
      <c r="AL193" s="43"/>
      <c r="AM193" s="43"/>
      <c r="AN193" s="43"/>
      <c r="AO193" s="43"/>
      <c r="AP193" s="46" t="s">
        <v>2989</v>
      </c>
      <c r="AQ193" s="46" t="s">
        <v>2990</v>
      </c>
      <c r="AR193" s="46" t="s">
        <v>2991</v>
      </c>
      <c r="AS193" s="43"/>
      <c r="AT193" s="43"/>
      <c r="AU193" s="43"/>
      <c r="AV193" s="43"/>
      <c r="AW193" s="22" t="s">
        <v>2992</v>
      </c>
      <c r="AX193" s="22" t="s">
        <v>2987</v>
      </c>
      <c r="AY193" s="22" t="s">
        <v>372</v>
      </c>
      <c r="AZ193" s="43"/>
      <c r="BA193" s="43"/>
      <c r="BB193" s="43"/>
      <c r="BC193" s="43"/>
      <c r="BD193" s="43" t="s">
        <v>2993</v>
      </c>
      <c r="BE193" s="59" t="s">
        <v>2755</v>
      </c>
      <c r="BF193" s="22" t="s">
        <v>131</v>
      </c>
      <c r="BG193" s="22" t="s">
        <v>132</v>
      </c>
      <c r="BH193" s="22" t="s">
        <v>132</v>
      </c>
      <c r="BI193" s="22" t="s">
        <v>132</v>
      </c>
      <c r="BJ193" s="43"/>
      <c r="BK193" s="43"/>
      <c r="BL193" s="22">
        <v>4.673748455362E12</v>
      </c>
      <c r="BM193" s="22">
        <v>2.106909808E9</v>
      </c>
      <c r="BN193" s="22" t="s">
        <v>2994</v>
      </c>
      <c r="BO193" s="22"/>
      <c r="BP193" s="22" t="s">
        <v>145</v>
      </c>
      <c r="BQ193" s="43"/>
      <c r="BR193" s="43"/>
      <c r="BS193" s="22" t="s">
        <v>2995</v>
      </c>
      <c r="BT193" s="43"/>
      <c r="BU193" s="22" t="s">
        <v>2996</v>
      </c>
      <c r="BV193" s="43" t="s">
        <v>653</v>
      </c>
      <c r="BW193" s="22" t="s">
        <v>2997</v>
      </c>
      <c r="BX193" s="22">
        <v>60.0</v>
      </c>
      <c r="BY193" s="22" t="s">
        <v>492</v>
      </c>
      <c r="BZ193" s="22"/>
      <c r="CA193" s="22" t="s">
        <v>355</v>
      </c>
      <c r="CB193" s="22" t="s">
        <v>307</v>
      </c>
      <c r="CC193" s="45" t="s">
        <v>2998</v>
      </c>
      <c r="CD193" s="43"/>
      <c r="CE193" s="43"/>
      <c r="CF193" s="45"/>
      <c r="CG193" s="43"/>
      <c r="CH193" s="43"/>
      <c r="CI193" s="43"/>
      <c r="CJ193" s="43"/>
      <c r="CK193" s="43"/>
      <c r="CL193" s="43"/>
      <c r="CM193" s="49">
        <f>IFERROR(VLOOKUP(B193,CC!A:D,4,0)," ")</f>
        <v>596.28</v>
      </c>
      <c r="CN193" s="22" t="s">
        <v>2999</v>
      </c>
      <c r="CO193" s="22"/>
      <c r="CP193" s="22" t="s">
        <v>1702</v>
      </c>
      <c r="CQ193" s="22">
        <v>60.0</v>
      </c>
      <c r="CR193" s="43"/>
      <c r="CS193" s="43"/>
      <c r="CT193" s="22" t="s">
        <v>145</v>
      </c>
      <c r="CU193" s="43"/>
      <c r="CV193" s="43"/>
      <c r="CW193" s="43"/>
      <c r="CX193" s="43"/>
      <c r="CY193" s="43" t="b">
        <v>0</v>
      </c>
      <c r="CZ193" s="43" t="b">
        <v>0</v>
      </c>
      <c r="DA193" s="43" t="b">
        <v>0</v>
      </c>
      <c r="DB193" s="43" t="b">
        <v>0</v>
      </c>
      <c r="DC193" s="43"/>
      <c r="DD193" s="43"/>
      <c r="DE193" s="43"/>
      <c r="DF193" s="43"/>
      <c r="DG193" s="43"/>
      <c r="DH193" s="43"/>
      <c r="DI193" s="43"/>
      <c r="DJ193" s="22">
        <f>IFERROR(VLOOKUP($B193,'Лист4'!$D:$AI,27,0)," ")</f>
        <v>5</v>
      </c>
      <c r="DK193" s="22">
        <f>IFERROR(VLOOKUP($B193,'Лист4'!$D:$AI,28,0)," ")</f>
        <v>6</v>
      </c>
      <c r="DL193" s="22">
        <f>IFERROR(VLOOKUP($B193,'Лист4'!$D:$AI,29,0)," ")</f>
        <v>5</v>
      </c>
      <c r="DM193" s="22">
        <f t="shared" si="1"/>
        <v>150</v>
      </c>
      <c r="DN193" s="22">
        <f>IFERROR(VLOOKUP($B193,'Лист4'!$D:$AI,32,0)," ")</f>
        <v>0.06</v>
      </c>
      <c r="DO193" s="22"/>
      <c r="DP193" s="22"/>
      <c r="DQ193" s="22"/>
      <c r="DR193" s="22"/>
      <c r="DS193" s="22"/>
      <c r="DT193" s="22"/>
      <c r="DU193" s="22"/>
      <c r="DV193" s="22"/>
      <c r="DW193" s="22"/>
      <c r="DX193" s="22"/>
      <c r="DY193" s="22"/>
      <c r="DZ193" s="22"/>
      <c r="EA193" s="22"/>
      <c r="EB193" s="22"/>
      <c r="EC193" s="22"/>
      <c r="ED193" s="22"/>
      <c r="EE193" s="22"/>
      <c r="EF193" s="22"/>
      <c r="EG193" s="22"/>
      <c r="EH193" s="22"/>
      <c r="EI193" s="22"/>
      <c r="EJ193" s="22"/>
      <c r="EK193" s="22"/>
      <c r="EL193" s="22"/>
      <c r="EM193" s="22"/>
      <c r="EN193" s="22"/>
      <c r="EO193" s="22"/>
      <c r="EP193" s="22"/>
      <c r="EQ193" s="22"/>
      <c r="ER193" s="22"/>
      <c r="ES193" s="43"/>
      <c r="ET193" s="43"/>
      <c r="EU193" s="43"/>
      <c r="EV193" s="43"/>
      <c r="EW193" s="43"/>
      <c r="EX193" s="43"/>
      <c r="EY193" s="43"/>
      <c r="EZ193" s="43"/>
      <c r="FA193" s="43"/>
      <c r="FB193" s="43"/>
      <c r="FC193" s="43"/>
      <c r="FD193" s="43"/>
      <c r="FE193" s="43"/>
      <c r="FF193" s="43"/>
      <c r="FG193" s="43"/>
      <c r="FH193" s="43"/>
      <c r="FI193" s="43"/>
    </row>
    <row r="194" ht="18.0" customHeight="1">
      <c r="A194" s="22" t="s">
        <v>2659</v>
      </c>
      <c r="B194" s="43" t="s">
        <v>3000</v>
      </c>
      <c r="C194" s="22" t="s">
        <v>2741</v>
      </c>
      <c r="D194" s="22" t="s">
        <v>119</v>
      </c>
      <c r="E194" s="43"/>
      <c r="F194" s="22" t="s">
        <v>3001</v>
      </c>
      <c r="G194" s="22" t="s">
        <v>2743</v>
      </c>
      <c r="H194" s="22" t="s">
        <v>2744</v>
      </c>
      <c r="I194" s="43"/>
      <c r="J194" s="43"/>
      <c r="K194" s="22" t="b">
        <v>1</v>
      </c>
      <c r="L194" s="22" t="b">
        <v>1</v>
      </c>
      <c r="M194" s="22" t="b">
        <v>1</v>
      </c>
      <c r="N194" s="22" t="b">
        <v>1</v>
      </c>
      <c r="O194" s="22" t="b">
        <v>1</v>
      </c>
      <c r="P194" s="22" t="b">
        <v>1</v>
      </c>
      <c r="Q194" s="22" t="b">
        <v>1</v>
      </c>
      <c r="R194" s="43"/>
      <c r="S194" s="43" t="s">
        <v>3002</v>
      </c>
      <c r="T194" s="22" t="s">
        <v>3000</v>
      </c>
      <c r="U194" s="22" t="s">
        <v>3000</v>
      </c>
      <c r="V194" s="22" t="s">
        <v>3000</v>
      </c>
      <c r="W194" s="43" t="s">
        <v>3000</v>
      </c>
      <c r="X194" s="43" t="s">
        <v>3000</v>
      </c>
      <c r="Y194" s="22" t="s">
        <v>3000</v>
      </c>
      <c r="Z194" s="43"/>
      <c r="AA194" s="22">
        <v>2.23764453E8</v>
      </c>
      <c r="AB194" s="22">
        <v>1.548072003E9</v>
      </c>
      <c r="AC194" s="22">
        <v>1.03821891411E11</v>
      </c>
      <c r="AD194" s="22">
        <v>9.9000076216E10</v>
      </c>
      <c r="AE194" s="22" t="s">
        <v>3003</v>
      </c>
      <c r="AF194" s="22" t="s">
        <v>3004</v>
      </c>
      <c r="AG194" s="43"/>
      <c r="AH194" s="43" t="s">
        <v>3001</v>
      </c>
      <c r="AI194" s="22" t="s">
        <v>3005</v>
      </c>
      <c r="AJ194" s="22" t="s">
        <v>3006</v>
      </c>
      <c r="AK194" s="22" t="s">
        <v>3007</v>
      </c>
      <c r="AL194" s="22" t="s">
        <v>3008</v>
      </c>
      <c r="AM194" s="22" t="s">
        <v>3009</v>
      </c>
      <c r="AN194" s="22" t="s">
        <v>3010</v>
      </c>
      <c r="AO194" s="43"/>
      <c r="AP194" s="46" t="s">
        <v>3011</v>
      </c>
      <c r="AQ194" s="46" t="s">
        <v>3012</v>
      </c>
      <c r="AR194" s="46" t="s">
        <v>3013</v>
      </c>
      <c r="AS194" s="46" t="s">
        <v>3014</v>
      </c>
      <c r="AT194" s="46" t="s">
        <v>3015</v>
      </c>
      <c r="AU194" s="46" t="s">
        <v>3016</v>
      </c>
      <c r="AV194" s="43"/>
      <c r="AW194" s="22" t="s">
        <v>594</v>
      </c>
      <c r="AX194" s="22" t="s">
        <v>3006</v>
      </c>
      <c r="AY194" s="22" t="s">
        <v>595</v>
      </c>
      <c r="AZ194" s="22" t="s">
        <v>1447</v>
      </c>
      <c r="BA194" s="22" t="s">
        <v>596</v>
      </c>
      <c r="BB194" s="22" t="s">
        <v>597</v>
      </c>
      <c r="BC194" s="22"/>
      <c r="BD194" s="43" t="s">
        <v>2673</v>
      </c>
      <c r="BE194" s="59" t="s">
        <v>2755</v>
      </c>
      <c r="BF194" s="22" t="s">
        <v>131</v>
      </c>
      <c r="BG194" s="22" t="s">
        <v>132</v>
      </c>
      <c r="BH194" s="22" t="s">
        <v>132</v>
      </c>
      <c r="BI194" s="22" t="s">
        <v>132</v>
      </c>
      <c r="BJ194" s="43"/>
      <c r="BK194" s="43"/>
      <c r="BL194" s="22" t="s">
        <v>3017</v>
      </c>
      <c r="BM194" s="22">
        <v>3.30499E9</v>
      </c>
      <c r="BN194" s="22" t="s">
        <v>3018</v>
      </c>
      <c r="BO194" s="22"/>
      <c r="BP194" s="22" t="s">
        <v>145</v>
      </c>
      <c r="BQ194" s="43"/>
      <c r="BR194" s="43"/>
      <c r="BS194" s="22" t="s">
        <v>2757</v>
      </c>
      <c r="BT194" s="43"/>
      <c r="BU194" s="22" t="s">
        <v>2758</v>
      </c>
      <c r="BV194" s="43" t="s">
        <v>2759</v>
      </c>
      <c r="BW194" s="22" t="s">
        <v>2760</v>
      </c>
      <c r="BX194" s="22">
        <v>50.0</v>
      </c>
      <c r="BY194" s="22" t="s">
        <v>139</v>
      </c>
      <c r="BZ194" s="22"/>
      <c r="CA194" s="22" t="s">
        <v>726</v>
      </c>
      <c r="CB194" s="22" t="s">
        <v>727</v>
      </c>
      <c r="CC194" s="45" t="s">
        <v>2980</v>
      </c>
      <c r="CD194" s="43"/>
      <c r="CE194" s="43"/>
      <c r="CF194" s="45"/>
      <c r="CG194" s="54">
        <v>46073.0</v>
      </c>
      <c r="CH194" s="46" t="s">
        <v>3019</v>
      </c>
      <c r="CI194" s="43"/>
      <c r="CJ194" s="43"/>
      <c r="CK194" s="43"/>
      <c r="CL194" s="43"/>
      <c r="CM194" s="49">
        <f>IFERROR(VLOOKUP(B194,CC!A:D,4,0)," ")</f>
        <v>94.3</v>
      </c>
      <c r="CN194" s="22" t="s">
        <v>1553</v>
      </c>
      <c r="CO194" s="22" t="s">
        <v>3020</v>
      </c>
      <c r="CP194" s="43"/>
      <c r="CQ194" s="22">
        <v>90.0</v>
      </c>
      <c r="CR194" s="43"/>
      <c r="CS194" s="22">
        <v>1.0</v>
      </c>
      <c r="CT194" s="22" t="s">
        <v>145</v>
      </c>
      <c r="CU194" s="43"/>
      <c r="CV194" s="43"/>
      <c r="CW194" s="43"/>
      <c r="CX194" s="43"/>
      <c r="CY194" s="43" t="b">
        <v>0</v>
      </c>
      <c r="CZ194" s="43" t="b">
        <v>0</v>
      </c>
      <c r="DA194" s="43" t="b">
        <v>0</v>
      </c>
      <c r="DB194" s="43" t="b">
        <v>0</v>
      </c>
      <c r="DC194" s="43"/>
      <c r="DD194" s="43"/>
      <c r="DE194" s="43"/>
      <c r="DF194" s="43"/>
      <c r="DG194" s="43"/>
      <c r="DH194" s="43"/>
      <c r="DI194" s="43"/>
      <c r="DJ194" s="22">
        <f>IFERROR(VLOOKUP($B194,'Лист4'!$D:$AI,27,0)," ")</f>
        <v>13</v>
      </c>
      <c r="DK194" s="22">
        <f>IFERROR(VLOOKUP($B194,'Лист4'!$D:$AI,28,0)," ")</f>
        <v>4</v>
      </c>
      <c r="DL194" s="22">
        <f>IFERROR(VLOOKUP($B194,'Лист4'!$D:$AI,29,0)," ")</f>
        <v>13</v>
      </c>
      <c r="DM194" s="22">
        <f t="shared" si="1"/>
        <v>676</v>
      </c>
      <c r="DN194" s="22">
        <f>IFERROR(VLOOKUP($B194,'Лист4'!$D:$AI,32,0)," ")</f>
        <v>0.064</v>
      </c>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22"/>
      <c r="EN194" s="22"/>
      <c r="EO194" s="22"/>
      <c r="EP194" s="22"/>
      <c r="EQ194" s="22"/>
      <c r="ER194" s="22"/>
      <c r="ES194" s="43"/>
      <c r="ET194" s="43"/>
      <c r="EU194" s="43"/>
      <c r="EV194" s="43"/>
      <c r="EW194" s="43"/>
      <c r="EX194" s="43"/>
      <c r="EY194" s="43"/>
      <c r="EZ194" s="43"/>
      <c r="FA194" s="43"/>
      <c r="FB194" s="43"/>
      <c r="FC194" s="43"/>
      <c r="FD194" s="43"/>
      <c r="FE194" s="43"/>
      <c r="FF194" s="43"/>
      <c r="FG194" s="43"/>
      <c r="FH194" s="43"/>
      <c r="FI194" s="43"/>
    </row>
    <row r="195" ht="18.0" customHeight="1">
      <c r="A195" s="22" t="s">
        <v>2659</v>
      </c>
      <c r="B195" s="43" t="s">
        <v>3021</v>
      </c>
      <c r="C195" s="22" t="s">
        <v>2741</v>
      </c>
      <c r="D195" s="22" t="s">
        <v>119</v>
      </c>
      <c r="E195" s="43"/>
      <c r="F195" s="22" t="s">
        <v>3022</v>
      </c>
      <c r="G195" s="22" t="s">
        <v>2743</v>
      </c>
      <c r="H195" s="22" t="s">
        <v>565</v>
      </c>
      <c r="I195" s="43"/>
      <c r="J195" s="43"/>
      <c r="K195" s="22" t="b">
        <v>1</v>
      </c>
      <c r="L195" s="22" t="b">
        <v>1</v>
      </c>
      <c r="M195" s="22" t="b">
        <v>1</v>
      </c>
      <c r="N195" s="22" t="b">
        <v>1</v>
      </c>
      <c r="O195" s="22" t="b">
        <v>1</v>
      </c>
      <c r="P195" s="22" t="b">
        <v>1</v>
      </c>
      <c r="Q195" s="22" t="b">
        <v>0</v>
      </c>
      <c r="R195" s="43"/>
      <c r="S195" s="43" t="s">
        <v>3023</v>
      </c>
      <c r="T195" s="22" t="s">
        <v>3021</v>
      </c>
      <c r="U195" s="22" t="s">
        <v>3021</v>
      </c>
      <c r="V195" s="22" t="s">
        <v>3021</v>
      </c>
      <c r="W195" s="43" t="s">
        <v>3021</v>
      </c>
      <c r="X195" s="43" t="s">
        <v>3021</v>
      </c>
      <c r="Y195" s="43"/>
      <c r="Z195" s="43"/>
      <c r="AA195" s="22">
        <v>3.73703287E8</v>
      </c>
      <c r="AB195" s="22">
        <v>2.015306117E9</v>
      </c>
      <c r="AC195" s="22">
        <v>4.334343067E9</v>
      </c>
      <c r="AD195" s="22">
        <v>9.9000114727E10</v>
      </c>
      <c r="AE195" s="22" t="s">
        <v>3024</v>
      </c>
      <c r="AF195" s="43"/>
      <c r="AG195" s="43"/>
      <c r="AH195" s="43" t="s">
        <v>3022</v>
      </c>
      <c r="AI195" s="22" t="s">
        <v>3025</v>
      </c>
      <c r="AJ195" s="22" t="s">
        <v>3026</v>
      </c>
      <c r="AK195" s="22" t="s">
        <v>3027</v>
      </c>
      <c r="AL195" s="22" t="s">
        <v>3028</v>
      </c>
      <c r="AM195" s="22" t="s">
        <v>3029</v>
      </c>
      <c r="AN195" s="43"/>
      <c r="AO195" s="43"/>
      <c r="AP195" s="46" t="s">
        <v>3030</v>
      </c>
      <c r="AQ195" s="46" t="s">
        <v>3031</v>
      </c>
      <c r="AR195" s="46" t="s">
        <v>3032</v>
      </c>
      <c r="AS195" s="46" t="s">
        <v>3033</v>
      </c>
      <c r="AT195" s="46" t="s">
        <v>3034</v>
      </c>
      <c r="AU195" s="43"/>
      <c r="AV195" s="43"/>
      <c r="AW195" s="22" t="s">
        <v>3035</v>
      </c>
      <c r="AX195" s="22" t="s">
        <v>3026</v>
      </c>
      <c r="AY195" s="22" t="s">
        <v>3036</v>
      </c>
      <c r="AZ195" s="22" t="s">
        <v>1447</v>
      </c>
      <c r="BA195" s="22" t="s">
        <v>3037</v>
      </c>
      <c r="BB195" s="43"/>
      <c r="BC195" s="43"/>
      <c r="BD195" s="43" t="s">
        <v>2673</v>
      </c>
      <c r="BE195" s="59" t="s">
        <v>2755</v>
      </c>
      <c r="BF195" s="22" t="s">
        <v>131</v>
      </c>
      <c r="BG195" s="22" t="s">
        <v>132</v>
      </c>
      <c r="BH195" s="22" t="s">
        <v>132</v>
      </c>
      <c r="BI195" s="22" t="s">
        <v>132</v>
      </c>
      <c r="BJ195" s="43"/>
      <c r="BK195" s="43"/>
      <c r="BL195" s="22">
        <v>4.670020498741E12</v>
      </c>
      <c r="BM195" s="22">
        <v>3.30499E9</v>
      </c>
      <c r="BN195" s="22" t="s">
        <v>3038</v>
      </c>
      <c r="BO195" s="22"/>
      <c r="BP195" s="22" t="s">
        <v>145</v>
      </c>
      <c r="BQ195" s="43"/>
      <c r="BR195" s="43"/>
      <c r="BS195" s="22" t="s">
        <v>3039</v>
      </c>
      <c r="BT195" s="43"/>
      <c r="BU195" s="22" t="s">
        <v>3040</v>
      </c>
      <c r="BV195" s="43" t="s">
        <v>3041</v>
      </c>
      <c r="BW195" s="22" t="s">
        <v>3042</v>
      </c>
      <c r="BX195" s="22">
        <v>100.0</v>
      </c>
      <c r="BY195" s="22" t="s">
        <v>139</v>
      </c>
      <c r="BZ195" s="22"/>
      <c r="CA195" s="22" t="s">
        <v>355</v>
      </c>
      <c r="CB195" s="22" t="s">
        <v>307</v>
      </c>
      <c r="CC195" s="45" t="s">
        <v>3043</v>
      </c>
      <c r="CD195" s="43"/>
      <c r="CE195" s="43"/>
      <c r="CF195" s="45"/>
      <c r="CG195" s="54">
        <v>46063.0</v>
      </c>
      <c r="CH195" s="46" t="s">
        <v>3044</v>
      </c>
      <c r="CI195" s="43"/>
      <c r="CJ195" s="43"/>
      <c r="CK195" s="43"/>
      <c r="CL195" s="43"/>
      <c r="CM195" s="49">
        <f>IFERROR(VLOOKUP(B195,CC!A:D,4,0)," ")</f>
        <v>100.1</v>
      </c>
      <c r="CN195" s="22" t="s">
        <v>2834</v>
      </c>
      <c r="CO195" s="22"/>
      <c r="CP195" s="22" t="s">
        <v>2835</v>
      </c>
      <c r="CQ195" s="22">
        <v>90.0</v>
      </c>
      <c r="CR195" s="43"/>
      <c r="CS195" s="22">
        <v>5.0</v>
      </c>
      <c r="CT195" s="22" t="s">
        <v>145</v>
      </c>
      <c r="CU195" s="43"/>
      <c r="CV195" s="43"/>
      <c r="CW195" s="43"/>
      <c r="CX195" s="43"/>
      <c r="CY195" s="43" t="b">
        <v>0</v>
      </c>
      <c r="CZ195" s="43" t="b">
        <v>0</v>
      </c>
      <c r="DA195" s="43" t="b">
        <v>0</v>
      </c>
      <c r="DB195" s="43" t="b">
        <v>0</v>
      </c>
      <c r="DC195" s="43"/>
      <c r="DD195" s="43"/>
      <c r="DE195" s="43"/>
      <c r="DF195" s="43"/>
      <c r="DG195" s="43"/>
      <c r="DH195" s="43"/>
      <c r="DI195" s="43"/>
      <c r="DJ195" s="22">
        <f>IFERROR(VLOOKUP($B195,'Лист4'!$D:$AI,27,0)," ")</f>
        <v>6</v>
      </c>
      <c r="DK195" s="22">
        <f>IFERROR(VLOOKUP($B195,'Лист4'!$D:$AI,28,0)," ")</f>
        <v>5</v>
      </c>
      <c r="DL195" s="22">
        <f>IFERROR(VLOOKUP($B195,'Лист4'!$D:$AI,29,0)," ")</f>
        <v>6</v>
      </c>
      <c r="DM195" s="22">
        <f t="shared" si="1"/>
        <v>180</v>
      </c>
      <c r="DN195" s="22">
        <f>IFERROR(VLOOKUP($B195,'Лист4'!$D:$AI,32,0)," ")</f>
        <v>0.132</v>
      </c>
      <c r="DO195" s="22"/>
      <c r="DP195" s="22"/>
      <c r="DQ195" s="22"/>
      <c r="DR195" s="22"/>
      <c r="DS195" s="22"/>
      <c r="DT195" s="22"/>
      <c r="DU195" s="22"/>
      <c r="DV195" s="22"/>
      <c r="DW195" s="22"/>
      <c r="DX195" s="22"/>
      <c r="DY195" s="22"/>
      <c r="DZ195" s="22"/>
      <c r="EA195" s="22"/>
      <c r="EB195" s="22"/>
      <c r="EC195" s="22"/>
      <c r="ED195" s="22"/>
      <c r="EE195" s="22"/>
      <c r="EF195" s="22"/>
      <c r="EG195" s="22"/>
      <c r="EH195" s="22"/>
      <c r="EI195" s="22"/>
      <c r="EJ195" s="22"/>
      <c r="EK195" s="22"/>
      <c r="EL195" s="22"/>
      <c r="EM195" s="22"/>
      <c r="EN195" s="22"/>
      <c r="EO195" s="22"/>
      <c r="EP195" s="22"/>
      <c r="EQ195" s="22"/>
      <c r="ER195" s="22"/>
      <c r="ES195" s="43"/>
      <c r="ET195" s="43"/>
      <c r="EU195" s="43"/>
      <c r="EV195" s="43"/>
      <c r="EW195" s="43"/>
      <c r="EX195" s="43"/>
      <c r="EY195" s="43"/>
      <c r="EZ195" s="43"/>
      <c r="FA195" s="43"/>
      <c r="FB195" s="43"/>
      <c r="FC195" s="43"/>
      <c r="FD195" s="43"/>
      <c r="FE195" s="43"/>
      <c r="FF195" s="43"/>
      <c r="FG195" s="43"/>
      <c r="FH195" s="43"/>
      <c r="FI195" s="43"/>
    </row>
    <row r="196" ht="18.0" customHeight="1">
      <c r="A196" s="22" t="s">
        <v>2659</v>
      </c>
      <c r="B196" s="43" t="s">
        <v>3045</v>
      </c>
      <c r="C196" s="22" t="s">
        <v>2741</v>
      </c>
      <c r="D196" s="22" t="s">
        <v>119</v>
      </c>
      <c r="E196" s="43"/>
      <c r="F196" s="22" t="s">
        <v>3046</v>
      </c>
      <c r="G196" s="22" t="s">
        <v>2743</v>
      </c>
      <c r="H196" s="22" t="s">
        <v>2744</v>
      </c>
      <c r="I196" s="43"/>
      <c r="J196" s="43"/>
      <c r="K196" s="22" t="b">
        <v>1</v>
      </c>
      <c r="L196" s="22" t="b">
        <v>1</v>
      </c>
      <c r="M196" s="22" t="b">
        <v>1</v>
      </c>
      <c r="N196" s="22" t="b">
        <v>1</v>
      </c>
      <c r="O196" s="22" t="b">
        <v>1</v>
      </c>
      <c r="P196" s="22" t="b">
        <v>1</v>
      </c>
      <c r="Q196" s="22" t="b">
        <v>0</v>
      </c>
      <c r="R196" s="43"/>
      <c r="S196" s="43" t="s">
        <v>3047</v>
      </c>
      <c r="T196" s="22" t="s">
        <v>3045</v>
      </c>
      <c r="U196" s="22" t="s">
        <v>3045</v>
      </c>
      <c r="V196" s="22" t="s">
        <v>3045</v>
      </c>
      <c r="W196" s="43" t="s">
        <v>3045</v>
      </c>
      <c r="X196" s="43" t="s">
        <v>3045</v>
      </c>
      <c r="Y196" s="43"/>
      <c r="Z196" s="43"/>
      <c r="AA196" s="22">
        <v>4.84600035E8</v>
      </c>
      <c r="AB196" s="22">
        <v>2.583177512E9</v>
      </c>
      <c r="AC196" s="22">
        <v>4.60066623E9</v>
      </c>
      <c r="AD196" s="22">
        <v>9.9000125142E10</v>
      </c>
      <c r="AE196" s="22" t="s">
        <v>3048</v>
      </c>
      <c r="AF196" s="43"/>
      <c r="AG196" s="43"/>
      <c r="AH196" s="43" t="s">
        <v>3046</v>
      </c>
      <c r="AI196" s="22" t="s">
        <v>3049</v>
      </c>
      <c r="AJ196" s="22" t="s">
        <v>3050</v>
      </c>
      <c r="AK196" s="22" t="s">
        <v>3051</v>
      </c>
      <c r="AL196" s="22" t="s">
        <v>3052</v>
      </c>
      <c r="AM196" s="22" t="s">
        <v>3053</v>
      </c>
      <c r="AN196" s="43"/>
      <c r="AO196" s="43"/>
      <c r="AP196" s="46" t="s">
        <v>3054</v>
      </c>
      <c r="AQ196" s="46" t="s">
        <v>3055</v>
      </c>
      <c r="AR196" s="46" t="s">
        <v>3056</v>
      </c>
      <c r="AS196" s="43"/>
      <c r="AT196" s="46" t="s">
        <v>3057</v>
      </c>
      <c r="AU196" s="43"/>
      <c r="AV196" s="43"/>
      <c r="AW196" s="22" t="s">
        <v>325</v>
      </c>
      <c r="AX196" s="22" t="s">
        <v>3050</v>
      </c>
      <c r="AY196" s="22" t="s">
        <v>595</v>
      </c>
      <c r="AZ196" s="22" t="s">
        <v>1447</v>
      </c>
      <c r="BA196" s="22" t="s">
        <v>2850</v>
      </c>
      <c r="BB196" s="43"/>
      <c r="BC196" s="43"/>
      <c r="BD196" s="43" t="s">
        <v>2673</v>
      </c>
      <c r="BE196" s="59" t="s">
        <v>2755</v>
      </c>
      <c r="BF196" s="22" t="s">
        <v>131</v>
      </c>
      <c r="BG196" s="22" t="s">
        <v>132</v>
      </c>
      <c r="BH196" s="22" t="s">
        <v>132</v>
      </c>
      <c r="BI196" s="22" t="s">
        <v>132</v>
      </c>
      <c r="BJ196" s="43"/>
      <c r="BK196" s="43"/>
      <c r="BL196" s="22">
        <v>4.603320465403E12</v>
      </c>
      <c r="BM196" s="22">
        <v>3.30499E9</v>
      </c>
      <c r="BN196" s="22" t="s">
        <v>3058</v>
      </c>
      <c r="BO196" s="22"/>
      <c r="BP196" s="22" t="s">
        <v>2676</v>
      </c>
      <c r="BQ196" s="43"/>
      <c r="BR196" s="43"/>
      <c r="BS196" s="22" t="s">
        <v>3059</v>
      </c>
      <c r="BT196" s="43"/>
      <c r="BU196" s="22" t="s">
        <v>3060</v>
      </c>
      <c r="BV196" s="22" t="s">
        <v>3061</v>
      </c>
      <c r="BW196" s="22" t="s">
        <v>3062</v>
      </c>
      <c r="BX196" s="22">
        <v>30.0</v>
      </c>
      <c r="BY196" s="22" t="s">
        <v>139</v>
      </c>
      <c r="BZ196" s="43"/>
      <c r="CA196" s="22" t="s">
        <v>726</v>
      </c>
      <c r="CB196" s="22" t="s">
        <v>3063</v>
      </c>
      <c r="CC196" s="44" t="s">
        <v>3064</v>
      </c>
      <c r="CD196" s="43"/>
      <c r="CE196" s="43"/>
      <c r="CF196" s="45" t="s">
        <v>401</v>
      </c>
      <c r="CG196" s="54">
        <v>46077.0</v>
      </c>
      <c r="CH196" s="46" t="s">
        <v>3065</v>
      </c>
      <c r="CI196" s="43"/>
      <c r="CJ196" s="43"/>
      <c r="CK196" s="43"/>
      <c r="CL196" s="43"/>
      <c r="CM196" s="49">
        <f>IFERROR(VLOOKUP(B196,CC!A:D,4,0)," ")</f>
        <v>143.82</v>
      </c>
      <c r="CN196" s="22" t="s">
        <v>2942</v>
      </c>
      <c r="CO196" s="22"/>
      <c r="CP196" s="43"/>
      <c r="CQ196" s="22">
        <v>60.0</v>
      </c>
      <c r="CR196" s="43"/>
      <c r="CS196" s="43"/>
      <c r="CT196" s="22" t="s">
        <v>145</v>
      </c>
      <c r="CU196" s="43"/>
      <c r="CV196" s="43"/>
      <c r="CW196" s="43"/>
      <c r="CX196" s="43"/>
      <c r="CY196" s="43" t="b">
        <v>0</v>
      </c>
      <c r="CZ196" s="43" t="b">
        <v>0</v>
      </c>
      <c r="DA196" s="43" t="b">
        <v>0</v>
      </c>
      <c r="DB196" s="43" t="b">
        <v>0</v>
      </c>
      <c r="DC196" s="43"/>
      <c r="DD196" s="43"/>
      <c r="DE196" s="43"/>
      <c r="DF196" s="43"/>
      <c r="DG196" s="43"/>
      <c r="DH196" s="43"/>
      <c r="DI196" s="43"/>
      <c r="DJ196" s="22">
        <f>IFERROR(VLOOKUP($B196,'Лист4'!$D:$AI,27,0)," ")</f>
        <v>11</v>
      </c>
      <c r="DK196" s="22">
        <f>IFERROR(VLOOKUP($B196,'Лист4'!$D:$AI,28,0)," ")</f>
        <v>4</v>
      </c>
      <c r="DL196" s="22">
        <f>IFERROR(VLOOKUP($B196,'Лист4'!$D:$AI,29,0)," ")</f>
        <v>11</v>
      </c>
      <c r="DM196" s="22">
        <f t="shared" si="1"/>
        <v>484</v>
      </c>
      <c r="DN196" s="22">
        <f>IFERROR(VLOOKUP($B196,'Лист4'!$D:$AI,32,0)," ")</f>
        <v>0.09</v>
      </c>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22"/>
      <c r="EN196" s="22"/>
      <c r="EO196" s="22"/>
      <c r="EP196" s="22"/>
      <c r="EQ196" s="22"/>
      <c r="ER196" s="22"/>
      <c r="ES196" s="43"/>
      <c r="ET196" s="43"/>
      <c r="EU196" s="43"/>
      <c r="EV196" s="43"/>
      <c r="EW196" s="43"/>
      <c r="EX196" s="43"/>
      <c r="EY196" s="43"/>
      <c r="EZ196" s="43"/>
      <c r="FA196" s="43"/>
      <c r="FB196" s="43"/>
      <c r="FC196" s="43"/>
      <c r="FD196" s="43"/>
      <c r="FE196" s="43"/>
      <c r="FF196" s="43"/>
      <c r="FG196" s="43"/>
      <c r="FH196" s="43"/>
      <c r="FI196" s="43"/>
    </row>
    <row r="197" ht="18.0" customHeight="1">
      <c r="A197" s="22" t="s">
        <v>2659</v>
      </c>
      <c r="B197" s="43" t="s">
        <v>3066</v>
      </c>
      <c r="C197" s="22" t="s">
        <v>2741</v>
      </c>
      <c r="D197" s="22" t="s">
        <v>119</v>
      </c>
      <c r="E197" s="43"/>
      <c r="F197" s="22" t="s">
        <v>3067</v>
      </c>
      <c r="G197" s="22" t="s">
        <v>2743</v>
      </c>
      <c r="H197" s="22" t="s">
        <v>1821</v>
      </c>
      <c r="I197" s="43"/>
      <c r="J197" s="43"/>
      <c r="K197" s="22" t="b">
        <v>1</v>
      </c>
      <c r="L197" s="22" t="b">
        <v>1</v>
      </c>
      <c r="M197" s="22" t="b">
        <v>1</v>
      </c>
      <c r="N197" s="22" t="b">
        <v>1</v>
      </c>
      <c r="O197" s="22" t="b">
        <v>1</v>
      </c>
      <c r="P197" s="22" t="b">
        <v>1</v>
      </c>
      <c r="Q197" s="22" t="b">
        <v>1</v>
      </c>
      <c r="R197" s="43"/>
      <c r="S197" s="43" t="s">
        <v>3068</v>
      </c>
      <c r="T197" s="22" t="s">
        <v>3066</v>
      </c>
      <c r="U197" s="22" t="s">
        <v>3066</v>
      </c>
      <c r="V197" s="22" t="s">
        <v>3066</v>
      </c>
      <c r="W197" s="43" t="s">
        <v>3066</v>
      </c>
      <c r="X197" s="43" t="s">
        <v>3066</v>
      </c>
      <c r="Y197" s="22" t="s">
        <v>3066</v>
      </c>
      <c r="Z197" s="43"/>
      <c r="AA197" s="22">
        <v>4.18262202E8</v>
      </c>
      <c r="AB197" s="22">
        <v>2.138376665E9</v>
      </c>
      <c r="AC197" s="22">
        <v>4.476306934E9</v>
      </c>
      <c r="AD197" s="22">
        <v>9.9000125268E10</v>
      </c>
      <c r="AE197" s="22" t="s">
        <v>3069</v>
      </c>
      <c r="AF197" s="22" t="s">
        <v>3070</v>
      </c>
      <c r="AG197" s="43"/>
      <c r="AH197" s="43" t="s">
        <v>3067</v>
      </c>
      <c r="AI197" s="22" t="s">
        <v>3071</v>
      </c>
      <c r="AJ197" s="22" t="s">
        <v>3072</v>
      </c>
      <c r="AK197" s="22" t="s">
        <v>3073</v>
      </c>
      <c r="AL197" s="22" t="s">
        <v>3074</v>
      </c>
      <c r="AM197" s="22" t="s">
        <v>3075</v>
      </c>
      <c r="AN197" s="22" t="s">
        <v>3076</v>
      </c>
      <c r="AO197" s="43"/>
      <c r="AP197" s="46" t="s">
        <v>3077</v>
      </c>
      <c r="AQ197" s="46" t="s">
        <v>3078</v>
      </c>
      <c r="AR197" s="46" t="s">
        <v>3079</v>
      </c>
      <c r="AS197" s="43"/>
      <c r="AT197" s="46" t="s">
        <v>3080</v>
      </c>
      <c r="AU197" s="46" t="s">
        <v>3081</v>
      </c>
      <c r="AV197" s="43"/>
      <c r="AW197" s="22" t="s">
        <v>594</v>
      </c>
      <c r="AX197" s="22" t="s">
        <v>3072</v>
      </c>
      <c r="AY197" s="22" t="s">
        <v>3082</v>
      </c>
      <c r="AZ197" s="22" t="s">
        <v>1834</v>
      </c>
      <c r="BA197" s="22" t="s">
        <v>3083</v>
      </c>
      <c r="BB197" s="22" t="s">
        <v>3084</v>
      </c>
      <c r="BC197" s="22"/>
      <c r="BD197" s="43" t="s">
        <v>2673</v>
      </c>
      <c r="BE197" s="59" t="s">
        <v>2755</v>
      </c>
      <c r="BF197" s="22" t="s">
        <v>131</v>
      </c>
      <c r="BG197" s="22" t="s">
        <v>132</v>
      </c>
      <c r="BH197" s="22" t="s">
        <v>132</v>
      </c>
      <c r="BI197" s="22" t="s">
        <v>132</v>
      </c>
      <c r="BJ197" s="43"/>
      <c r="BK197" s="43"/>
      <c r="BL197" s="22">
        <v>4.603320465427E12</v>
      </c>
      <c r="BM197" s="22">
        <v>3.30499E9</v>
      </c>
      <c r="BN197" s="22" t="s">
        <v>3085</v>
      </c>
      <c r="BO197" s="22"/>
      <c r="BP197" s="22" t="s">
        <v>496</v>
      </c>
      <c r="BQ197" s="43"/>
      <c r="BR197" s="43"/>
      <c r="BS197" s="22" t="s">
        <v>3086</v>
      </c>
      <c r="BT197" s="43"/>
      <c r="BU197" s="22" t="s">
        <v>3087</v>
      </c>
      <c r="BV197" s="43" t="s">
        <v>1840</v>
      </c>
      <c r="BW197" s="22" t="s">
        <v>3088</v>
      </c>
      <c r="BX197" s="22">
        <v>250.0</v>
      </c>
      <c r="BY197" s="22" t="s">
        <v>139</v>
      </c>
      <c r="BZ197" s="22"/>
      <c r="CA197" s="22" t="s">
        <v>726</v>
      </c>
      <c r="CB197" s="22" t="s">
        <v>727</v>
      </c>
      <c r="CC197" s="45" t="s">
        <v>3089</v>
      </c>
      <c r="CD197" s="43"/>
      <c r="CE197" s="43"/>
      <c r="CF197" s="45"/>
      <c r="CG197" s="54">
        <v>46086.0</v>
      </c>
      <c r="CH197" s="46" t="s">
        <v>3090</v>
      </c>
      <c r="CI197" s="43"/>
      <c r="CJ197" s="43"/>
      <c r="CK197" s="43"/>
      <c r="CL197" s="43"/>
      <c r="CM197" s="49">
        <f>IFERROR(VLOOKUP(B197,CC!A:D,4,0)," ")</f>
        <v>127.95</v>
      </c>
      <c r="CN197" s="22" t="s">
        <v>2942</v>
      </c>
      <c r="CO197" s="22" t="s">
        <v>3091</v>
      </c>
      <c r="CP197" s="22" t="s">
        <v>2944</v>
      </c>
      <c r="CQ197" s="22">
        <v>60.0</v>
      </c>
      <c r="CR197" s="43"/>
      <c r="CS197" s="43"/>
      <c r="CT197" s="22" t="s">
        <v>145</v>
      </c>
      <c r="CU197" s="43"/>
      <c r="CV197" s="43"/>
      <c r="CW197" s="43"/>
      <c r="CX197" s="43"/>
      <c r="CY197" s="43" t="b">
        <v>0</v>
      </c>
      <c r="CZ197" s="43" t="b">
        <v>0</v>
      </c>
      <c r="DA197" s="43" t="b">
        <v>0</v>
      </c>
      <c r="DB197" s="43" t="b">
        <v>0</v>
      </c>
      <c r="DC197" s="43"/>
      <c r="DD197" s="43"/>
      <c r="DE197" s="43"/>
      <c r="DF197" s="43"/>
      <c r="DG197" s="43"/>
      <c r="DH197" s="43"/>
      <c r="DI197" s="43"/>
      <c r="DJ197" s="22">
        <f>IFERROR(VLOOKUP($B197,'Лист4'!$D:$AI,27,0)," ")</f>
        <v>6</v>
      </c>
      <c r="DK197" s="22">
        <f>IFERROR(VLOOKUP($B197,'Лист4'!$D:$AI,28,0)," ")</f>
        <v>7</v>
      </c>
      <c r="DL197" s="22">
        <f>IFERROR(VLOOKUP($B197,'Лист4'!$D:$AI,29,0)," ")</f>
        <v>6</v>
      </c>
      <c r="DM197" s="22">
        <f t="shared" si="1"/>
        <v>252</v>
      </c>
      <c r="DN197" s="22">
        <f>IFERROR(VLOOKUP($B197,'Лист4'!$D:$AI,32,0)," ")</f>
        <v>0.283</v>
      </c>
      <c r="DO197" s="22"/>
      <c r="DP197" s="22"/>
      <c r="DQ197" s="22"/>
      <c r="DR197" s="22"/>
      <c r="DS197" s="22"/>
      <c r="DT197" s="22"/>
      <c r="DU197" s="22"/>
      <c r="DV197" s="22"/>
      <c r="DW197" s="22"/>
      <c r="DX197" s="22"/>
      <c r="DY197" s="22"/>
      <c r="DZ197" s="22"/>
      <c r="EA197" s="22"/>
      <c r="EB197" s="22"/>
      <c r="EC197" s="22"/>
      <c r="ED197" s="22"/>
      <c r="EE197" s="22"/>
      <c r="EF197" s="22"/>
      <c r="EG197" s="22"/>
      <c r="EH197" s="22"/>
      <c r="EI197" s="22"/>
      <c r="EJ197" s="22"/>
      <c r="EK197" s="22"/>
      <c r="EL197" s="22"/>
      <c r="EM197" s="22"/>
      <c r="EN197" s="22"/>
      <c r="EO197" s="22"/>
      <c r="EP197" s="22"/>
      <c r="EQ197" s="22"/>
      <c r="ER197" s="22"/>
      <c r="ES197" s="43"/>
      <c r="ET197" s="43"/>
      <c r="EU197" s="43"/>
      <c r="EV197" s="43"/>
      <c r="EW197" s="43"/>
      <c r="EX197" s="43"/>
      <c r="EY197" s="43"/>
      <c r="EZ197" s="43"/>
      <c r="FA197" s="43"/>
      <c r="FB197" s="43"/>
      <c r="FC197" s="43"/>
      <c r="FD197" s="43"/>
      <c r="FE197" s="43"/>
      <c r="FF197" s="43"/>
      <c r="FG197" s="43"/>
      <c r="FH197" s="43"/>
      <c r="FI197" s="43"/>
    </row>
    <row r="198" ht="18.0" customHeight="1">
      <c r="A198" s="22" t="s">
        <v>2659</v>
      </c>
      <c r="B198" s="43" t="s">
        <v>3092</v>
      </c>
      <c r="C198" s="22" t="s">
        <v>2741</v>
      </c>
      <c r="D198" s="22" t="s">
        <v>119</v>
      </c>
      <c r="E198" s="43"/>
      <c r="F198" s="22" t="s">
        <v>3093</v>
      </c>
      <c r="G198" s="22" t="s">
        <v>2743</v>
      </c>
      <c r="H198" s="22" t="s">
        <v>565</v>
      </c>
      <c r="I198" s="43"/>
      <c r="J198" s="43"/>
      <c r="K198" s="22" t="b">
        <v>1</v>
      </c>
      <c r="L198" s="22" t="b">
        <v>1</v>
      </c>
      <c r="M198" s="22" t="b">
        <v>1</v>
      </c>
      <c r="N198" s="22" t="b">
        <v>1</v>
      </c>
      <c r="O198" s="22" t="b">
        <v>1</v>
      </c>
      <c r="P198" s="22" t="b">
        <v>1</v>
      </c>
      <c r="Q198" s="22" t="b">
        <v>1</v>
      </c>
      <c r="R198" s="43"/>
      <c r="S198" s="43" t="s">
        <v>3094</v>
      </c>
      <c r="T198" s="22" t="s">
        <v>3092</v>
      </c>
      <c r="U198" s="22" t="s">
        <v>3092</v>
      </c>
      <c r="V198" s="22" t="s">
        <v>3092</v>
      </c>
      <c r="W198" s="43" t="s">
        <v>3092</v>
      </c>
      <c r="X198" s="43" t="s">
        <v>3092</v>
      </c>
      <c r="Y198" s="22" t="s">
        <v>3092</v>
      </c>
      <c r="Z198" s="43"/>
      <c r="AA198" s="22">
        <v>4.88959127E8</v>
      </c>
      <c r="AB198" s="22">
        <v>2.616859755E9</v>
      </c>
      <c r="AC198" s="22">
        <v>4.600273902E9</v>
      </c>
      <c r="AD198" s="22">
        <v>9.900011473E10</v>
      </c>
      <c r="AE198" s="22" t="s">
        <v>3095</v>
      </c>
      <c r="AF198" s="22" t="s">
        <v>3096</v>
      </c>
      <c r="AG198" s="43"/>
      <c r="AH198" s="43" t="s">
        <v>3093</v>
      </c>
      <c r="AI198" s="22" t="s">
        <v>3097</v>
      </c>
      <c r="AJ198" s="22" t="s">
        <v>3098</v>
      </c>
      <c r="AK198" s="22" t="s">
        <v>3099</v>
      </c>
      <c r="AL198" s="22" t="s">
        <v>3100</v>
      </c>
      <c r="AM198" s="22" t="s">
        <v>3101</v>
      </c>
      <c r="AN198" s="22" t="s">
        <v>3102</v>
      </c>
      <c r="AO198" s="43"/>
      <c r="AP198" s="46" t="s">
        <v>3103</v>
      </c>
      <c r="AQ198" s="46" t="s">
        <v>3104</v>
      </c>
      <c r="AR198" s="46" t="s">
        <v>3105</v>
      </c>
      <c r="AS198" s="46" t="s">
        <v>3106</v>
      </c>
      <c r="AT198" s="46" t="s">
        <v>3107</v>
      </c>
      <c r="AU198" s="46" t="s">
        <v>3108</v>
      </c>
      <c r="AV198" s="43"/>
      <c r="AW198" s="22" t="s">
        <v>1832</v>
      </c>
      <c r="AX198" s="22" t="s">
        <v>3098</v>
      </c>
      <c r="AY198" s="22" t="s">
        <v>595</v>
      </c>
      <c r="AZ198" s="22" t="s">
        <v>1447</v>
      </c>
      <c r="BA198" s="22" t="s">
        <v>596</v>
      </c>
      <c r="BB198" s="22" t="s">
        <v>594</v>
      </c>
      <c r="BC198" s="22"/>
      <c r="BD198" s="43" t="s">
        <v>1449</v>
      </c>
      <c r="BE198" s="59" t="s">
        <v>2755</v>
      </c>
      <c r="BF198" s="22" t="s">
        <v>131</v>
      </c>
      <c r="BG198" s="22" t="s">
        <v>132</v>
      </c>
      <c r="BH198" s="22" t="s">
        <v>132</v>
      </c>
      <c r="BI198" s="22" t="s">
        <v>132</v>
      </c>
      <c r="BJ198" s="43"/>
      <c r="BK198" s="43"/>
      <c r="BL198" s="22">
        <v>4.66041742011E12</v>
      </c>
      <c r="BM198" s="22">
        <v>3.30499E9</v>
      </c>
      <c r="BN198" s="22" t="s">
        <v>3109</v>
      </c>
      <c r="BO198" s="22"/>
      <c r="BP198" s="22" t="s">
        <v>496</v>
      </c>
      <c r="BQ198" s="43"/>
      <c r="BR198" s="43"/>
      <c r="BS198" s="22" t="s">
        <v>1469</v>
      </c>
      <c r="BT198" s="43"/>
      <c r="BU198" s="22" t="s">
        <v>1470</v>
      </c>
      <c r="BV198" s="43" t="s">
        <v>3110</v>
      </c>
      <c r="BW198" s="22" t="s">
        <v>3111</v>
      </c>
      <c r="BX198" s="22">
        <v>20.0</v>
      </c>
      <c r="BY198" s="22" t="s">
        <v>139</v>
      </c>
      <c r="BZ198" s="22"/>
      <c r="CA198" s="22" t="s">
        <v>355</v>
      </c>
      <c r="CB198" s="22" t="s">
        <v>307</v>
      </c>
      <c r="CC198" s="45" t="s">
        <v>3112</v>
      </c>
      <c r="CD198" s="43"/>
      <c r="CE198" s="43"/>
      <c r="CF198" s="45"/>
      <c r="CG198" s="54">
        <v>46070.0</v>
      </c>
      <c r="CH198" s="46" t="s">
        <v>3113</v>
      </c>
      <c r="CI198" s="43"/>
      <c r="CJ198" s="43"/>
      <c r="CK198" s="43"/>
      <c r="CL198" s="43"/>
      <c r="CM198" s="49">
        <f>IFERROR(VLOOKUP(B198,CC!A:D,4,0)," ")</f>
        <v>77.27</v>
      </c>
      <c r="CN198" s="22" t="s">
        <v>3020</v>
      </c>
      <c r="CO198" s="22" t="s">
        <v>3020</v>
      </c>
      <c r="CP198" s="22" t="s">
        <v>2763</v>
      </c>
      <c r="CQ198" s="22">
        <v>45.0</v>
      </c>
      <c r="CR198" s="43"/>
      <c r="CS198" s="43"/>
      <c r="CT198" s="22" t="s">
        <v>145</v>
      </c>
      <c r="CU198" s="43"/>
      <c r="CV198" s="43"/>
      <c r="CW198" s="43"/>
      <c r="CX198" s="43"/>
      <c r="CY198" s="43" t="b">
        <v>0</v>
      </c>
      <c r="CZ198" s="43" t="b">
        <v>0</v>
      </c>
      <c r="DA198" s="43" t="b">
        <v>0</v>
      </c>
      <c r="DB198" s="43" t="b">
        <v>0</v>
      </c>
      <c r="DC198" s="43"/>
      <c r="DD198" s="43"/>
      <c r="DE198" s="43"/>
      <c r="DF198" s="43"/>
      <c r="DG198" s="43"/>
      <c r="DH198" s="43"/>
      <c r="DI198" s="43"/>
      <c r="DJ198" s="22">
        <f>IFERROR(VLOOKUP($B198,'Лист4'!$D:$AI,27,0)," ")</f>
        <v>5</v>
      </c>
      <c r="DK198" s="22">
        <f>IFERROR(VLOOKUP($B198,'Лист4'!$D:$AI,28,0)," ")</f>
        <v>5</v>
      </c>
      <c r="DL198" s="22">
        <f>IFERROR(VLOOKUP($B198,'Лист4'!$D:$AI,29,0)," ")</f>
        <v>5</v>
      </c>
      <c r="DM198" s="22">
        <f t="shared" si="1"/>
        <v>125</v>
      </c>
      <c r="DN198" s="22">
        <f>IFERROR(VLOOKUP($B198,'Лист4'!$D:$AI,32,0)," ")</f>
        <v>0.031</v>
      </c>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22"/>
      <c r="EN198" s="22"/>
      <c r="EO198" s="22"/>
      <c r="EP198" s="22"/>
      <c r="EQ198" s="22"/>
      <c r="ER198" s="22"/>
      <c r="ES198" s="43"/>
      <c r="ET198" s="43"/>
      <c r="EU198" s="43"/>
      <c r="EV198" s="43"/>
      <c r="EW198" s="43"/>
      <c r="EX198" s="43"/>
      <c r="EY198" s="43"/>
      <c r="EZ198" s="43"/>
      <c r="FA198" s="43"/>
      <c r="FB198" s="43"/>
      <c r="FC198" s="43"/>
      <c r="FD198" s="43"/>
      <c r="FE198" s="43"/>
      <c r="FF198" s="43"/>
      <c r="FG198" s="43"/>
      <c r="FH198" s="43"/>
      <c r="FI198" s="43"/>
    </row>
    <row r="199" ht="18.0" customHeight="1">
      <c r="A199" s="22" t="s">
        <v>2659</v>
      </c>
      <c r="B199" s="43" t="s">
        <v>3114</v>
      </c>
      <c r="C199" s="22" t="s">
        <v>2661</v>
      </c>
      <c r="D199" s="22" t="s">
        <v>119</v>
      </c>
      <c r="E199" s="43"/>
      <c r="F199" s="22" t="s">
        <v>3115</v>
      </c>
      <c r="G199" s="22" t="s">
        <v>2663</v>
      </c>
      <c r="H199" s="22" t="s">
        <v>2664</v>
      </c>
      <c r="I199" s="43"/>
      <c r="J199" s="43"/>
      <c r="K199" s="22" t="b">
        <v>1</v>
      </c>
      <c r="L199" s="22" t="b">
        <v>1</v>
      </c>
      <c r="M199" s="22" t="b">
        <v>1</v>
      </c>
      <c r="N199" s="22" t="b">
        <v>1</v>
      </c>
      <c r="O199" s="22" t="b">
        <v>0</v>
      </c>
      <c r="P199" s="22" t="b">
        <v>0</v>
      </c>
      <c r="Q199" s="22" t="b">
        <v>0</v>
      </c>
      <c r="R199" s="43"/>
      <c r="S199" s="43" t="s">
        <v>3116</v>
      </c>
      <c r="T199" s="22" t="s">
        <v>3114</v>
      </c>
      <c r="U199" s="22" t="s">
        <v>3114</v>
      </c>
      <c r="V199" s="22" t="s">
        <v>3114</v>
      </c>
      <c r="W199" s="43"/>
      <c r="X199" s="43"/>
      <c r="Y199" s="43"/>
      <c r="Z199" s="43"/>
      <c r="AA199" s="22">
        <v>1.9780449E8</v>
      </c>
      <c r="AB199" s="22">
        <v>1.354226463E9</v>
      </c>
      <c r="AC199" s="22">
        <v>1.03614742298E11</v>
      </c>
      <c r="AD199" s="22"/>
      <c r="AE199" s="22"/>
      <c r="AF199" s="43"/>
      <c r="AG199" s="43"/>
      <c r="AH199" s="43" t="s">
        <v>3115</v>
      </c>
      <c r="AI199" s="22" t="s">
        <v>3117</v>
      </c>
      <c r="AJ199" s="22" t="s">
        <v>3118</v>
      </c>
      <c r="AK199" s="22" t="s">
        <v>3119</v>
      </c>
      <c r="AL199" s="43"/>
      <c r="AM199" s="43"/>
      <c r="AN199" s="43"/>
      <c r="AO199" s="43"/>
      <c r="AP199" s="46" t="s">
        <v>3120</v>
      </c>
      <c r="AQ199" s="46" t="s">
        <v>3121</v>
      </c>
      <c r="AR199" s="46" t="s">
        <v>3122</v>
      </c>
      <c r="AS199" s="43"/>
      <c r="AT199" s="43"/>
      <c r="AU199" s="43"/>
      <c r="AV199" s="43"/>
      <c r="AW199" s="22" t="s">
        <v>594</v>
      </c>
      <c r="AX199" s="22" t="s">
        <v>3118</v>
      </c>
      <c r="AY199" s="22" t="s">
        <v>3123</v>
      </c>
      <c r="AZ199" s="43"/>
      <c r="BA199" s="43"/>
      <c r="BB199" s="43"/>
      <c r="BC199" s="43"/>
      <c r="BD199" s="43" t="s">
        <v>2673</v>
      </c>
      <c r="BE199" s="59" t="s">
        <v>2674</v>
      </c>
      <c r="BF199" s="22" t="s">
        <v>131</v>
      </c>
      <c r="BG199" s="22" t="s">
        <v>132</v>
      </c>
      <c r="BH199" s="22" t="s">
        <v>132</v>
      </c>
      <c r="BI199" s="22" t="s">
        <v>132</v>
      </c>
      <c r="BJ199" s="43"/>
      <c r="BK199" s="43"/>
      <c r="BL199" s="22">
        <v>4.670142965251E12</v>
      </c>
      <c r="BM199" s="22">
        <v>3.30499E9</v>
      </c>
      <c r="BN199" s="22" t="s">
        <v>3124</v>
      </c>
      <c r="BO199" s="22"/>
      <c r="BP199" s="22" t="s">
        <v>496</v>
      </c>
      <c r="BQ199" s="43"/>
      <c r="BR199" s="43"/>
      <c r="BS199" s="22" t="s">
        <v>3125</v>
      </c>
      <c r="BT199" s="43"/>
      <c r="BU199" s="22" t="s">
        <v>3126</v>
      </c>
      <c r="BV199" s="22" t="s">
        <v>2831</v>
      </c>
      <c r="BW199" s="22" t="s">
        <v>3127</v>
      </c>
      <c r="BX199" s="22">
        <v>75.0</v>
      </c>
      <c r="BY199" s="22" t="s">
        <v>139</v>
      </c>
      <c r="BZ199" s="22"/>
      <c r="CA199" s="22" t="s">
        <v>355</v>
      </c>
      <c r="CB199" s="22" t="s">
        <v>307</v>
      </c>
      <c r="CC199" s="45" t="s">
        <v>3128</v>
      </c>
      <c r="CD199" s="43"/>
      <c r="CE199" s="43"/>
      <c r="CF199" s="45"/>
      <c r="CG199" s="43"/>
      <c r="CH199" s="43"/>
      <c r="CI199" s="43"/>
      <c r="CJ199" s="43"/>
      <c r="CK199" s="43"/>
      <c r="CL199" s="43"/>
      <c r="CM199" s="49">
        <f>IFERROR(VLOOKUP(B199,CC!A:D,4,0)," ")</f>
        <v>158.5</v>
      </c>
      <c r="CN199" s="22" t="s">
        <v>3129</v>
      </c>
      <c r="CO199" s="22"/>
      <c r="CP199" s="22" t="s">
        <v>3130</v>
      </c>
      <c r="CQ199" s="22">
        <v>60.0</v>
      </c>
      <c r="CR199" s="43"/>
      <c r="CS199" s="22">
        <v>1.0</v>
      </c>
      <c r="CT199" s="22" t="s">
        <v>145</v>
      </c>
      <c r="CU199" s="43"/>
      <c r="CV199" s="43"/>
      <c r="CW199" s="43"/>
      <c r="CX199" s="43"/>
      <c r="CY199" s="43" t="b">
        <v>0</v>
      </c>
      <c r="CZ199" s="43" t="b">
        <v>0</v>
      </c>
      <c r="DA199" s="43" t="b">
        <v>0</v>
      </c>
      <c r="DB199" s="43" t="b">
        <v>0</v>
      </c>
      <c r="DC199" s="43"/>
      <c r="DD199" s="43"/>
      <c r="DE199" s="43"/>
      <c r="DF199" s="43"/>
      <c r="DG199" s="43"/>
      <c r="DH199" s="43"/>
      <c r="DI199" s="43"/>
      <c r="DJ199" s="22">
        <f>IFERROR(VLOOKUP($B199,'Лист4'!$D:$AI,27,0)," ")</f>
        <v>5</v>
      </c>
      <c r="DK199" s="22">
        <f>IFERROR(VLOOKUP($B199,'Лист4'!$D:$AI,28,0)," ")</f>
        <v>4</v>
      </c>
      <c r="DL199" s="22">
        <f>IFERROR(VLOOKUP($B199,'Лист4'!$D:$AI,29,0)," ")</f>
        <v>5</v>
      </c>
      <c r="DM199" s="22">
        <f t="shared" si="1"/>
        <v>100</v>
      </c>
      <c r="DN199" s="22">
        <f>IFERROR(VLOOKUP($B199,'Лист4'!$D:$AI,32,0)," ")</f>
        <v>0.09</v>
      </c>
      <c r="DO199" s="22"/>
      <c r="DP199" s="22"/>
      <c r="DQ199" s="22"/>
      <c r="DR199" s="22"/>
      <c r="DS199" s="22"/>
      <c r="DT199" s="22"/>
      <c r="DU199" s="22"/>
      <c r="DV199" s="22"/>
      <c r="DW199" s="22"/>
      <c r="DX199" s="22"/>
      <c r="DY199" s="22"/>
      <c r="DZ199" s="22"/>
      <c r="EA199" s="22"/>
      <c r="EB199" s="22"/>
      <c r="EC199" s="22"/>
      <c r="ED199" s="22"/>
      <c r="EE199" s="22"/>
      <c r="EF199" s="22"/>
      <c r="EG199" s="22"/>
      <c r="EH199" s="22"/>
      <c r="EI199" s="22"/>
      <c r="EJ199" s="22"/>
      <c r="EK199" s="22"/>
      <c r="EL199" s="22"/>
      <c r="EM199" s="22"/>
      <c r="EN199" s="22"/>
      <c r="EO199" s="22"/>
      <c r="EP199" s="22"/>
      <c r="EQ199" s="22"/>
      <c r="ER199" s="22"/>
      <c r="ES199" s="43"/>
      <c r="ET199" s="43"/>
      <c r="EU199" s="43"/>
      <c r="EV199" s="43"/>
      <c r="EW199" s="43"/>
      <c r="EX199" s="43"/>
      <c r="EY199" s="43"/>
      <c r="EZ199" s="43"/>
      <c r="FA199" s="43"/>
      <c r="FB199" s="43"/>
      <c r="FC199" s="43"/>
      <c r="FD199" s="43"/>
      <c r="FE199" s="43"/>
      <c r="FF199" s="43"/>
      <c r="FG199" s="43"/>
      <c r="FH199" s="43"/>
      <c r="FI199" s="43"/>
    </row>
    <row r="200" ht="18.0" customHeight="1">
      <c r="A200" s="22" t="s">
        <v>2659</v>
      </c>
      <c r="B200" s="43" t="s">
        <v>3131</v>
      </c>
      <c r="C200" s="22" t="s">
        <v>2661</v>
      </c>
      <c r="D200" s="22" t="s">
        <v>119</v>
      </c>
      <c r="E200" s="43"/>
      <c r="F200" s="22" t="s">
        <v>3132</v>
      </c>
      <c r="G200" s="22" t="s">
        <v>2663</v>
      </c>
      <c r="H200" s="22" t="s">
        <v>2703</v>
      </c>
      <c r="I200" s="43"/>
      <c r="J200" s="43"/>
      <c r="K200" s="22" t="b">
        <v>1</v>
      </c>
      <c r="L200" s="22" t="b">
        <v>1</v>
      </c>
      <c r="M200" s="22" t="b">
        <v>1</v>
      </c>
      <c r="N200" s="22" t="b">
        <v>1</v>
      </c>
      <c r="O200" s="22" t="b">
        <v>1</v>
      </c>
      <c r="P200" s="22" t="b">
        <v>1</v>
      </c>
      <c r="Q200" s="22" t="b">
        <v>0</v>
      </c>
      <c r="R200" s="43"/>
      <c r="S200" s="43" t="s">
        <v>3133</v>
      </c>
      <c r="T200" s="22" t="s">
        <v>3131</v>
      </c>
      <c r="U200" s="22" t="s">
        <v>3131</v>
      </c>
      <c r="V200" s="22" t="s">
        <v>3131</v>
      </c>
      <c r="W200" s="43" t="s">
        <v>401</v>
      </c>
      <c r="X200" s="43" t="s">
        <v>401</v>
      </c>
      <c r="Y200" s="43"/>
      <c r="Z200" s="43"/>
      <c r="AA200" s="22">
        <v>1.76157837E8</v>
      </c>
      <c r="AB200" s="22">
        <v>1.12930106E9</v>
      </c>
      <c r="AC200" s="22">
        <v>1.03515442073E11</v>
      </c>
      <c r="AD200" s="22"/>
      <c r="AE200" s="22"/>
      <c r="AF200" s="43"/>
      <c r="AG200" s="43"/>
      <c r="AH200" s="43" t="s">
        <v>3132</v>
      </c>
      <c r="AI200" s="22" t="s">
        <v>3134</v>
      </c>
      <c r="AJ200" s="22" t="s">
        <v>3135</v>
      </c>
      <c r="AK200" s="22" t="s">
        <v>3135</v>
      </c>
      <c r="AL200" s="43"/>
      <c r="AM200" s="43"/>
      <c r="AN200" s="43"/>
      <c r="AO200" s="43"/>
      <c r="AP200" s="46" t="s">
        <v>3136</v>
      </c>
      <c r="AQ200" s="46" t="s">
        <v>3137</v>
      </c>
      <c r="AR200" s="46" t="s">
        <v>3138</v>
      </c>
      <c r="AS200" s="43"/>
      <c r="AT200" s="43"/>
      <c r="AU200" s="43"/>
      <c r="AV200" s="43"/>
      <c r="AW200" s="22" t="s">
        <v>649</v>
      </c>
      <c r="AX200" s="22" t="s">
        <v>3135</v>
      </c>
      <c r="AY200" s="22" t="s">
        <v>3139</v>
      </c>
      <c r="AZ200" s="43"/>
      <c r="BA200" s="43"/>
      <c r="BB200" s="43"/>
      <c r="BC200" s="43"/>
      <c r="BD200" s="43" t="s">
        <v>1449</v>
      </c>
      <c r="BE200" s="59" t="s">
        <v>2755</v>
      </c>
      <c r="BF200" s="22" t="s">
        <v>131</v>
      </c>
      <c r="BG200" s="22" t="s">
        <v>132</v>
      </c>
      <c r="BH200" s="22" t="s">
        <v>132</v>
      </c>
      <c r="BI200" s="22" t="s">
        <v>132</v>
      </c>
      <c r="BJ200" s="43"/>
      <c r="BK200" s="43"/>
      <c r="BL200" s="22">
        <v>2.038301524237E12</v>
      </c>
      <c r="BM200" s="22">
        <v>2.103909009E9</v>
      </c>
      <c r="BN200" s="22" t="s">
        <v>3140</v>
      </c>
      <c r="BO200" s="22"/>
      <c r="BP200" s="22" t="s">
        <v>145</v>
      </c>
      <c r="BQ200" s="43"/>
      <c r="BR200" s="43"/>
      <c r="BS200" s="22" t="s">
        <v>3141</v>
      </c>
      <c r="BT200" s="43"/>
      <c r="BU200" s="22" t="s">
        <v>3142</v>
      </c>
      <c r="BV200" s="22" t="s">
        <v>3143</v>
      </c>
      <c r="BW200" s="22" t="s">
        <v>3144</v>
      </c>
      <c r="BX200" s="22">
        <v>10.0</v>
      </c>
      <c r="BY200" s="22" t="s">
        <v>492</v>
      </c>
      <c r="BZ200" s="43"/>
      <c r="CA200" s="22"/>
      <c r="CB200" s="22"/>
      <c r="CC200" s="45"/>
      <c r="CD200" s="43"/>
      <c r="CE200" s="43"/>
      <c r="CF200" s="45"/>
      <c r="CG200" s="43"/>
      <c r="CH200" s="43"/>
      <c r="CI200" s="43"/>
      <c r="CJ200" s="43"/>
      <c r="CK200" s="43"/>
      <c r="CL200" s="43"/>
      <c r="CM200" s="49">
        <f>IFERROR(VLOOKUP(B200,CC!A:D,4,0)," ")</f>
        <v>310.41</v>
      </c>
      <c r="CN200" s="22" t="s">
        <v>2681</v>
      </c>
      <c r="CO200" s="22"/>
      <c r="CP200" s="43"/>
      <c r="CQ200" s="22">
        <v>45.0</v>
      </c>
      <c r="CR200" s="43"/>
      <c r="CS200" s="22">
        <v>1.0</v>
      </c>
      <c r="CT200" s="22" t="s">
        <v>145</v>
      </c>
      <c r="CU200" s="43"/>
      <c r="CV200" s="43"/>
      <c r="CW200" s="43"/>
      <c r="CX200" s="43"/>
      <c r="CY200" s="43" t="b">
        <v>0</v>
      </c>
      <c r="CZ200" s="43" t="b">
        <v>0</v>
      </c>
      <c r="DA200" s="43" t="b">
        <v>0</v>
      </c>
      <c r="DB200" s="43" t="b">
        <v>0</v>
      </c>
      <c r="DC200" s="43"/>
      <c r="DD200" s="43"/>
      <c r="DE200" s="43"/>
      <c r="DF200" s="43"/>
      <c r="DG200" s="43"/>
      <c r="DH200" s="43"/>
      <c r="DI200" s="43"/>
      <c r="DJ200" s="22">
        <f>IFERROR(VLOOKUP($B200,'Лист4'!$D:$AI,27,0)," ")</f>
        <v>15</v>
      </c>
      <c r="DK200" s="22">
        <f>IFERROR(VLOOKUP($B200,'Лист4'!$D:$AI,28,0)," ")</f>
        <v>6</v>
      </c>
      <c r="DL200" s="22">
        <f>IFERROR(VLOOKUP($B200,'Лист4'!$D:$AI,29,0)," ")</f>
        <v>15</v>
      </c>
      <c r="DM200" s="22">
        <f t="shared" si="1"/>
        <v>1350</v>
      </c>
      <c r="DN200" s="22">
        <f>IFERROR(VLOOKUP($B200,'Лист4'!$D:$AI,32,0)," ")</f>
        <v>0.048</v>
      </c>
      <c r="DO200" s="22"/>
      <c r="DP200" s="22"/>
      <c r="DQ200" s="22"/>
      <c r="DR200" s="22"/>
      <c r="DS200" s="22"/>
      <c r="DT200" s="22"/>
      <c r="DU200" s="22"/>
      <c r="DV200" s="22"/>
      <c r="DW200" s="22"/>
      <c r="DX200" s="22"/>
      <c r="DY200" s="22"/>
      <c r="DZ200" s="22"/>
      <c r="EA200" s="22"/>
      <c r="EB200" s="22"/>
      <c r="EC200" s="22"/>
      <c r="ED200" s="22"/>
      <c r="EE200" s="22"/>
      <c r="EF200" s="22"/>
      <c r="EG200" s="22"/>
      <c r="EH200" s="22"/>
      <c r="EI200" s="22"/>
      <c r="EJ200" s="22"/>
      <c r="EK200" s="22"/>
      <c r="EL200" s="22"/>
      <c r="EM200" s="22"/>
      <c r="EN200" s="22"/>
      <c r="EO200" s="22"/>
      <c r="EP200" s="22"/>
      <c r="EQ200" s="22"/>
      <c r="ER200" s="22"/>
      <c r="ES200" s="43"/>
      <c r="ET200" s="43"/>
      <c r="EU200" s="43"/>
      <c r="EV200" s="43"/>
      <c r="EW200" s="43"/>
      <c r="EX200" s="43"/>
      <c r="EY200" s="43"/>
      <c r="EZ200" s="43"/>
      <c r="FA200" s="43"/>
      <c r="FB200" s="43"/>
      <c r="FC200" s="43"/>
      <c r="FD200" s="43"/>
      <c r="FE200" s="43"/>
      <c r="FF200" s="43"/>
      <c r="FG200" s="43"/>
      <c r="FH200" s="43"/>
      <c r="FI200" s="43"/>
    </row>
    <row r="201" ht="18.0" customHeight="1">
      <c r="A201" s="22" t="s">
        <v>2659</v>
      </c>
      <c r="B201" s="43" t="s">
        <v>3145</v>
      </c>
      <c r="C201" s="22" t="s">
        <v>2661</v>
      </c>
      <c r="D201" s="22" t="s">
        <v>119</v>
      </c>
      <c r="E201" s="43"/>
      <c r="F201" s="22" t="s">
        <v>3146</v>
      </c>
      <c r="G201" s="22" t="s">
        <v>2663</v>
      </c>
      <c r="H201" s="22" t="s">
        <v>2664</v>
      </c>
      <c r="I201" s="43"/>
      <c r="J201" s="43"/>
      <c r="K201" s="22" t="b">
        <v>1</v>
      </c>
      <c r="L201" s="22" t="b">
        <v>1</v>
      </c>
      <c r="M201" s="22" t="b">
        <v>1</v>
      </c>
      <c r="N201" s="22" t="b">
        <v>1</v>
      </c>
      <c r="O201" s="22" t="b">
        <v>0</v>
      </c>
      <c r="P201" s="22" t="b">
        <v>0</v>
      </c>
      <c r="Q201" s="22" t="b">
        <v>0</v>
      </c>
      <c r="R201" s="43"/>
      <c r="S201" s="43" t="s">
        <v>3147</v>
      </c>
      <c r="T201" s="22" t="s">
        <v>3145</v>
      </c>
      <c r="U201" s="22" t="s">
        <v>3145</v>
      </c>
      <c r="V201" s="22" t="s">
        <v>3145</v>
      </c>
      <c r="W201" s="43"/>
      <c r="X201" s="43"/>
      <c r="Y201" s="43"/>
      <c r="Z201" s="43"/>
      <c r="AA201" s="22">
        <v>2.23763365E8</v>
      </c>
      <c r="AB201" s="22">
        <v>1.548037857E9</v>
      </c>
      <c r="AC201" s="22">
        <v>1.03515421547E11</v>
      </c>
      <c r="AD201" s="22"/>
      <c r="AE201" s="22"/>
      <c r="AF201" s="43"/>
      <c r="AG201" s="43"/>
      <c r="AH201" s="43" t="s">
        <v>3146</v>
      </c>
      <c r="AI201" s="22" t="s">
        <v>3148</v>
      </c>
      <c r="AJ201" s="22" t="s">
        <v>3149</v>
      </c>
      <c r="AK201" s="22" t="s">
        <v>3150</v>
      </c>
      <c r="AL201" s="43"/>
      <c r="AM201" s="43"/>
      <c r="AN201" s="43"/>
      <c r="AO201" s="43"/>
      <c r="AP201" s="46" t="s">
        <v>3151</v>
      </c>
      <c r="AQ201" s="46" t="s">
        <v>3152</v>
      </c>
      <c r="AR201" s="46" t="s">
        <v>3153</v>
      </c>
      <c r="AS201" s="43"/>
      <c r="AT201" s="43"/>
      <c r="AU201" s="43"/>
      <c r="AV201" s="43"/>
      <c r="AW201" s="22" t="s">
        <v>594</v>
      </c>
      <c r="AX201" s="22" t="s">
        <v>3149</v>
      </c>
      <c r="AY201" s="22" t="s">
        <v>2672</v>
      </c>
      <c r="AZ201" s="43"/>
      <c r="BA201" s="43"/>
      <c r="BB201" s="43"/>
      <c r="BC201" s="43"/>
      <c r="BD201" s="43" t="s">
        <v>2673</v>
      </c>
      <c r="BE201" s="59" t="s">
        <v>2755</v>
      </c>
      <c r="BF201" s="22" t="s">
        <v>131</v>
      </c>
      <c r="BG201" s="22" t="s">
        <v>132</v>
      </c>
      <c r="BH201" s="22" t="s">
        <v>132</v>
      </c>
      <c r="BI201" s="22" t="s">
        <v>132</v>
      </c>
      <c r="BJ201" s="43"/>
      <c r="BK201" s="43"/>
      <c r="BL201" s="22" t="s">
        <v>3154</v>
      </c>
      <c r="BM201" s="22">
        <v>3.30499E9</v>
      </c>
      <c r="BN201" s="22" t="s">
        <v>2953</v>
      </c>
      <c r="BO201" s="22"/>
      <c r="BP201" s="22" t="s">
        <v>496</v>
      </c>
      <c r="BQ201" s="43"/>
      <c r="BR201" s="43"/>
      <c r="BS201" s="22" t="s">
        <v>2677</v>
      </c>
      <c r="BT201" s="43"/>
      <c r="BU201" s="22" t="s">
        <v>2678</v>
      </c>
      <c r="BV201" s="22" t="s">
        <v>2679</v>
      </c>
      <c r="BW201" s="22" t="s">
        <v>2680</v>
      </c>
      <c r="BX201" s="22">
        <v>60.0</v>
      </c>
      <c r="BY201" s="22" t="s">
        <v>139</v>
      </c>
      <c r="BZ201" s="22"/>
      <c r="CA201" s="22" t="s">
        <v>355</v>
      </c>
      <c r="CB201" s="22" t="s">
        <v>307</v>
      </c>
      <c r="CC201" s="45"/>
      <c r="CD201" s="43"/>
      <c r="CE201" s="43"/>
      <c r="CF201" s="45"/>
      <c r="CG201" s="43"/>
      <c r="CH201" s="43"/>
      <c r="CI201" s="43"/>
      <c r="CJ201" s="43"/>
      <c r="CK201" s="43"/>
      <c r="CL201" s="43"/>
      <c r="CM201" s="49">
        <f>IFERROR(VLOOKUP(B201,CC!A:D,4,0)," ")</f>
        <v>133.9</v>
      </c>
      <c r="CN201" s="22" t="s">
        <v>3155</v>
      </c>
      <c r="CO201" s="22"/>
      <c r="CP201" s="43"/>
      <c r="CQ201" s="22">
        <v>45.0</v>
      </c>
      <c r="CR201" s="43"/>
      <c r="CS201" s="22">
        <v>1.0</v>
      </c>
      <c r="CT201" s="22" t="s">
        <v>145</v>
      </c>
      <c r="CU201" s="43"/>
      <c r="CV201" s="43"/>
      <c r="CW201" s="43"/>
      <c r="CX201" s="43"/>
      <c r="CY201" s="43" t="b">
        <v>0</v>
      </c>
      <c r="CZ201" s="43" t="b">
        <v>0</v>
      </c>
      <c r="DA201" s="43" t="b">
        <v>0</v>
      </c>
      <c r="DB201" s="43" t="b">
        <v>0</v>
      </c>
      <c r="DC201" s="43"/>
      <c r="DD201" s="43"/>
      <c r="DE201" s="43"/>
      <c r="DF201" s="43"/>
      <c r="DG201" s="43"/>
      <c r="DH201" s="43"/>
      <c r="DI201" s="43"/>
      <c r="DJ201" s="22">
        <f>IFERROR(VLOOKUP($B201,'Лист4'!$D:$AI,27,0)," ")</f>
        <v>5</v>
      </c>
      <c r="DK201" s="22">
        <f>IFERROR(VLOOKUP($B201,'Лист4'!$D:$AI,28,0)," ")</f>
        <v>5</v>
      </c>
      <c r="DL201" s="22">
        <f>IFERROR(VLOOKUP($B201,'Лист4'!$D:$AI,29,0)," ")</f>
        <v>5</v>
      </c>
      <c r="DM201" s="22">
        <f t="shared" si="1"/>
        <v>125</v>
      </c>
      <c r="DN201" s="22">
        <f>IFERROR(VLOOKUP($B201,'Лист4'!$D:$AI,32,0)," ")</f>
        <v>0.07</v>
      </c>
      <c r="DO201" s="22"/>
      <c r="DP201" s="22"/>
      <c r="DQ201" s="22"/>
      <c r="DR201" s="22"/>
      <c r="DS201" s="22"/>
      <c r="DT201" s="22"/>
      <c r="DU201" s="22"/>
      <c r="DV201" s="22"/>
      <c r="DW201" s="22"/>
      <c r="DX201" s="22"/>
      <c r="DY201" s="22"/>
      <c r="DZ201" s="22"/>
      <c r="EA201" s="22"/>
      <c r="EB201" s="22"/>
      <c r="EC201" s="22"/>
      <c r="ED201" s="22"/>
      <c r="EE201" s="22"/>
      <c r="EF201" s="22"/>
      <c r="EG201" s="22"/>
      <c r="EH201" s="22"/>
      <c r="EI201" s="22"/>
      <c r="EJ201" s="22"/>
      <c r="EK201" s="22"/>
      <c r="EL201" s="22"/>
      <c r="EM201" s="22"/>
      <c r="EN201" s="22"/>
      <c r="EO201" s="22"/>
      <c r="EP201" s="22"/>
      <c r="EQ201" s="22"/>
      <c r="ER201" s="22"/>
      <c r="ES201" s="43"/>
      <c r="ET201" s="43"/>
      <c r="EU201" s="43"/>
      <c r="EV201" s="43"/>
      <c r="EW201" s="43"/>
      <c r="EX201" s="43"/>
      <c r="EY201" s="43"/>
      <c r="EZ201" s="43"/>
      <c r="FA201" s="43"/>
      <c r="FB201" s="43"/>
      <c r="FC201" s="43"/>
      <c r="FD201" s="43"/>
      <c r="FE201" s="43"/>
      <c r="FF201" s="43"/>
      <c r="FG201" s="43"/>
      <c r="FH201" s="43"/>
      <c r="FI201" s="43"/>
    </row>
    <row r="202" ht="18.0" customHeight="1">
      <c r="A202" s="22" t="s">
        <v>2659</v>
      </c>
      <c r="B202" s="43" t="s">
        <v>3156</v>
      </c>
      <c r="C202" s="22" t="s">
        <v>2741</v>
      </c>
      <c r="D202" s="22" t="s">
        <v>119</v>
      </c>
      <c r="E202" s="43"/>
      <c r="F202" s="22" t="s">
        <v>3157</v>
      </c>
      <c r="G202" s="22" t="s">
        <v>2743</v>
      </c>
      <c r="H202" s="22" t="s">
        <v>3158</v>
      </c>
      <c r="I202" s="43"/>
      <c r="J202" s="43"/>
      <c r="K202" s="22" t="b">
        <v>1</v>
      </c>
      <c r="L202" s="22" t="b">
        <v>1</v>
      </c>
      <c r="M202" s="22" t="b">
        <v>1</v>
      </c>
      <c r="N202" s="22" t="b">
        <v>1</v>
      </c>
      <c r="O202" s="22" t="b">
        <v>1</v>
      </c>
      <c r="P202" s="22" t="b">
        <v>1</v>
      </c>
      <c r="Q202" s="22" t="b">
        <v>0</v>
      </c>
      <c r="R202" s="43"/>
      <c r="S202" s="43" t="s">
        <v>3159</v>
      </c>
      <c r="T202" s="22" t="s">
        <v>3156</v>
      </c>
      <c r="U202" s="22" t="s">
        <v>3156</v>
      </c>
      <c r="V202" s="22" t="s">
        <v>3156</v>
      </c>
      <c r="W202" s="43" t="s">
        <v>3156</v>
      </c>
      <c r="X202" s="43" t="s">
        <v>3156</v>
      </c>
      <c r="Y202" s="43"/>
      <c r="Z202" s="43"/>
      <c r="AA202" s="22">
        <v>2.39879972E8</v>
      </c>
      <c r="AB202" s="22">
        <v>1.613737006E9</v>
      </c>
      <c r="AC202" s="22">
        <v>1.03821881427E11</v>
      </c>
      <c r="AD202" s="22">
        <v>9.9000076215E10</v>
      </c>
      <c r="AE202" s="22" t="s">
        <v>3160</v>
      </c>
      <c r="AF202" s="43"/>
      <c r="AG202" s="43"/>
      <c r="AH202" s="43" t="s">
        <v>3157</v>
      </c>
      <c r="AI202" s="22" t="s">
        <v>3161</v>
      </c>
      <c r="AJ202" s="22" t="s">
        <v>3162</v>
      </c>
      <c r="AK202" s="22" t="s">
        <v>3163</v>
      </c>
      <c r="AL202" s="22" t="s">
        <v>3164</v>
      </c>
      <c r="AM202" s="22" t="s">
        <v>3165</v>
      </c>
      <c r="AN202" s="43"/>
      <c r="AO202" s="43"/>
      <c r="AP202" s="46" t="s">
        <v>3166</v>
      </c>
      <c r="AQ202" s="46" t="s">
        <v>3167</v>
      </c>
      <c r="AR202" s="46" t="s">
        <v>3168</v>
      </c>
      <c r="AS202" s="46" t="s">
        <v>3169</v>
      </c>
      <c r="AT202" s="46" t="s">
        <v>3170</v>
      </c>
      <c r="AU202" s="43"/>
      <c r="AV202" s="43"/>
      <c r="AW202" s="22" t="s">
        <v>2438</v>
      </c>
      <c r="AX202" s="22" t="s">
        <v>3162</v>
      </c>
      <c r="AY202" s="22" t="s">
        <v>3171</v>
      </c>
      <c r="AZ202" s="22" t="s">
        <v>1447</v>
      </c>
      <c r="BA202" s="22" t="s">
        <v>3172</v>
      </c>
      <c r="BB202" s="43"/>
      <c r="BC202" s="43"/>
      <c r="BD202" s="43" t="s">
        <v>301</v>
      </c>
      <c r="BE202" s="59" t="s">
        <v>2674</v>
      </c>
      <c r="BF202" s="22" t="s">
        <v>131</v>
      </c>
      <c r="BG202" s="22" t="s">
        <v>132</v>
      </c>
      <c r="BH202" s="22" t="s">
        <v>132</v>
      </c>
      <c r="BI202" s="22" t="s">
        <v>132</v>
      </c>
      <c r="BJ202" s="43"/>
      <c r="BK202" s="43"/>
      <c r="BL202" s="22">
        <v>4.610172186882E12</v>
      </c>
      <c r="BM202" s="22">
        <v>3.305900009E9</v>
      </c>
      <c r="BN202" s="22" t="s">
        <v>3173</v>
      </c>
      <c r="BO202" s="22"/>
      <c r="BP202" s="22" t="s">
        <v>145</v>
      </c>
      <c r="BQ202" s="43"/>
      <c r="BR202" s="43"/>
      <c r="BS202" s="22" t="s">
        <v>3174</v>
      </c>
      <c r="BT202" s="43"/>
      <c r="BU202" s="22" t="s">
        <v>3175</v>
      </c>
      <c r="BV202" s="43" t="s">
        <v>3176</v>
      </c>
      <c r="BW202" s="22" t="s">
        <v>2760</v>
      </c>
      <c r="BX202" s="22">
        <v>50.0</v>
      </c>
      <c r="BY202" s="22" t="s">
        <v>139</v>
      </c>
      <c r="BZ202" s="22"/>
      <c r="CA202" s="22" t="s">
        <v>355</v>
      </c>
      <c r="CB202" s="22" t="s">
        <v>307</v>
      </c>
      <c r="CC202" s="45" t="s">
        <v>3177</v>
      </c>
      <c r="CD202" s="43"/>
      <c r="CE202" s="43"/>
      <c r="CF202" s="45"/>
      <c r="CG202" s="43"/>
      <c r="CH202" s="43"/>
      <c r="CI202" s="43"/>
      <c r="CJ202" s="43"/>
      <c r="CK202" s="43"/>
      <c r="CL202" s="43"/>
      <c r="CM202" s="49">
        <f>IFERROR(VLOOKUP(B202,CC!A:D,4,0)," ")</f>
        <v>111.2</v>
      </c>
      <c r="CN202" s="22" t="s">
        <v>1553</v>
      </c>
      <c r="CO202" s="22" t="s">
        <v>3020</v>
      </c>
      <c r="CP202" s="22" t="s">
        <v>3178</v>
      </c>
      <c r="CQ202" s="22">
        <v>90.0</v>
      </c>
      <c r="CR202" s="43"/>
      <c r="CS202" s="22">
        <v>1.0</v>
      </c>
      <c r="CT202" s="22" t="s">
        <v>145</v>
      </c>
      <c r="CU202" s="43"/>
      <c r="CV202" s="43"/>
      <c r="CW202" s="43"/>
      <c r="CX202" s="43"/>
      <c r="CY202" s="43" t="b">
        <v>0</v>
      </c>
      <c r="CZ202" s="43" t="b">
        <v>0</v>
      </c>
      <c r="DA202" s="43" t="b">
        <v>0</v>
      </c>
      <c r="DB202" s="43" t="b">
        <v>0</v>
      </c>
      <c r="DC202" s="43"/>
      <c r="DD202" s="43"/>
      <c r="DE202" s="43"/>
      <c r="DF202" s="43"/>
      <c r="DG202" s="43"/>
      <c r="DH202" s="43"/>
      <c r="DI202" s="43"/>
      <c r="DJ202" s="22">
        <f>IFERROR(VLOOKUP($B202,'Лист4'!$D:$AI,27,0)," ")</f>
        <v>5</v>
      </c>
      <c r="DK202" s="22">
        <f>IFERROR(VLOOKUP($B202,'Лист4'!$D:$AI,28,0)," ")</f>
        <v>10</v>
      </c>
      <c r="DL202" s="22">
        <f>IFERROR(VLOOKUP($B202,'Лист4'!$D:$AI,29,0)," ")</f>
        <v>5</v>
      </c>
      <c r="DM202" s="22">
        <f t="shared" si="1"/>
        <v>250</v>
      </c>
      <c r="DN202" s="22">
        <f>IFERROR(VLOOKUP($B202,'Лист4'!$D:$AI,32,0)," ")</f>
        <v>0.11</v>
      </c>
      <c r="DO202" s="22"/>
      <c r="DP202" s="22"/>
      <c r="DQ202" s="22"/>
      <c r="DR202" s="22"/>
      <c r="DS202" s="22"/>
      <c r="DT202" s="22"/>
      <c r="DU202" s="22"/>
      <c r="DV202" s="22"/>
      <c r="DW202" s="22"/>
      <c r="DX202" s="22"/>
      <c r="DY202" s="22"/>
      <c r="DZ202" s="22"/>
      <c r="EA202" s="22"/>
      <c r="EB202" s="22"/>
      <c r="EC202" s="22"/>
      <c r="ED202" s="22"/>
      <c r="EE202" s="22"/>
      <c r="EF202" s="22"/>
      <c r="EG202" s="22"/>
      <c r="EH202" s="22"/>
      <c r="EI202" s="22"/>
      <c r="EJ202" s="22"/>
      <c r="EK202" s="22"/>
      <c r="EL202" s="22"/>
      <c r="EM202" s="22"/>
      <c r="EN202" s="22"/>
      <c r="EO202" s="22"/>
      <c r="EP202" s="22"/>
      <c r="EQ202" s="22"/>
      <c r="ER202" s="22"/>
      <c r="ES202" s="43"/>
      <c r="ET202" s="43"/>
      <c r="EU202" s="43"/>
      <c r="EV202" s="43"/>
      <c r="EW202" s="43"/>
      <c r="EX202" s="43"/>
      <c r="EY202" s="43"/>
      <c r="EZ202" s="43"/>
      <c r="FA202" s="43"/>
      <c r="FB202" s="43"/>
      <c r="FC202" s="43"/>
      <c r="FD202" s="43"/>
      <c r="FE202" s="43"/>
      <c r="FF202" s="43"/>
      <c r="FG202" s="43"/>
      <c r="FH202" s="43"/>
      <c r="FI202" s="43"/>
    </row>
    <row r="203">
      <c r="CM203" s="49" t="str">
        <f>IFERROR(VLOOKUP(B203,CC!A:D,4,0)," ")</f>
        <v> </v>
      </c>
    </row>
    <row r="204" ht="18.0" customHeight="1">
      <c r="A204" s="22" t="s">
        <v>2659</v>
      </c>
      <c r="B204" s="43" t="s">
        <v>3179</v>
      </c>
      <c r="C204" s="22" t="s">
        <v>2661</v>
      </c>
      <c r="D204" s="22" t="s">
        <v>119</v>
      </c>
      <c r="E204" s="43"/>
      <c r="F204" s="22" t="s">
        <v>3180</v>
      </c>
      <c r="G204" s="22" t="s">
        <v>2663</v>
      </c>
      <c r="H204" s="22" t="s">
        <v>2718</v>
      </c>
      <c r="I204" s="43"/>
      <c r="J204" s="43"/>
      <c r="K204" s="22" t="b">
        <v>1</v>
      </c>
      <c r="L204" s="22" t="b">
        <v>1</v>
      </c>
      <c r="M204" s="22" t="b">
        <v>1</v>
      </c>
      <c r="N204" s="22" t="b">
        <v>1</v>
      </c>
      <c r="O204" s="22" t="b">
        <v>0</v>
      </c>
      <c r="P204" s="22" t="b">
        <v>0</v>
      </c>
      <c r="Q204" s="22" t="b">
        <v>0</v>
      </c>
      <c r="R204" s="43"/>
      <c r="S204" s="43" t="s">
        <v>3181</v>
      </c>
      <c r="T204" s="22" t="s">
        <v>3179</v>
      </c>
      <c r="U204" s="22" t="s">
        <v>3179</v>
      </c>
      <c r="V204" s="22" t="s">
        <v>3179</v>
      </c>
      <c r="W204" s="43"/>
      <c r="X204" s="43"/>
      <c r="Y204" s="43"/>
      <c r="Z204" s="43"/>
      <c r="AA204" s="22">
        <v>3.18413341E8</v>
      </c>
      <c r="AB204" s="22">
        <v>1.851900175E9</v>
      </c>
      <c r="AC204" s="22">
        <v>1.03751021012E11</v>
      </c>
      <c r="AD204" s="22"/>
      <c r="AE204" s="22"/>
      <c r="AF204" s="43"/>
      <c r="AG204" s="43"/>
      <c r="AH204" s="43" t="s">
        <v>3180</v>
      </c>
      <c r="AI204" s="22" t="s">
        <v>2720</v>
      </c>
      <c r="AJ204" s="22" t="s">
        <v>3182</v>
      </c>
      <c r="AK204" s="22" t="s">
        <v>3183</v>
      </c>
      <c r="AL204" s="43"/>
      <c r="AM204" s="43"/>
      <c r="AN204" s="43"/>
      <c r="AO204" s="43"/>
      <c r="AP204" s="46" t="s">
        <v>3184</v>
      </c>
      <c r="AQ204" s="46" t="s">
        <v>3185</v>
      </c>
      <c r="AR204" s="46" t="s">
        <v>3186</v>
      </c>
      <c r="AS204" s="43"/>
      <c r="AT204" s="43"/>
      <c r="AU204" s="43"/>
      <c r="AV204" s="43"/>
      <c r="AW204" s="22" t="s">
        <v>649</v>
      </c>
      <c r="AX204" s="22" t="s">
        <v>3182</v>
      </c>
      <c r="AY204" s="22" t="s">
        <v>372</v>
      </c>
      <c r="AZ204" s="43"/>
      <c r="BA204" s="43"/>
      <c r="BB204" s="43"/>
      <c r="BC204" s="43"/>
      <c r="BD204" s="43" t="s">
        <v>1449</v>
      </c>
      <c r="BE204" s="59" t="s">
        <v>2674</v>
      </c>
      <c r="BF204" s="22" t="s">
        <v>131</v>
      </c>
      <c r="BG204" s="22" t="s">
        <v>132</v>
      </c>
      <c r="BH204" s="22" t="s">
        <v>132</v>
      </c>
      <c r="BI204" s="22" t="s">
        <v>132</v>
      </c>
      <c r="BJ204" s="43"/>
      <c r="BK204" s="43"/>
      <c r="BL204" s="22">
        <v>2.042608266288E12</v>
      </c>
      <c r="BM204" s="22">
        <v>2.106909809E9</v>
      </c>
      <c r="BN204" s="22" t="s">
        <v>2727</v>
      </c>
      <c r="BO204" s="22"/>
      <c r="BP204" s="22" t="s">
        <v>145</v>
      </c>
      <c r="BQ204" s="43"/>
      <c r="BR204" s="43"/>
      <c r="BS204" s="22" t="s">
        <v>2728</v>
      </c>
      <c r="BT204" s="22"/>
      <c r="BU204" s="22" t="s">
        <v>2729</v>
      </c>
      <c r="BV204" s="22" t="s">
        <v>2697</v>
      </c>
      <c r="BW204" s="22" t="s">
        <v>2730</v>
      </c>
      <c r="BX204" s="22">
        <v>10.0</v>
      </c>
      <c r="BY204" s="22" t="s">
        <v>492</v>
      </c>
      <c r="BZ204" s="43"/>
      <c r="CA204" s="22"/>
      <c r="CB204" s="22"/>
      <c r="CC204" s="45"/>
      <c r="CD204" s="43"/>
      <c r="CE204" s="43"/>
      <c r="CF204" s="45"/>
      <c r="CG204" s="43"/>
      <c r="CH204" s="43"/>
      <c r="CI204" s="43"/>
      <c r="CJ204" s="43"/>
      <c r="CK204" s="43"/>
      <c r="CL204" s="43"/>
      <c r="CM204" s="49">
        <f>IFERROR(VLOOKUP(B204,CC!A:D,4,0)," ")</f>
        <v>240.46</v>
      </c>
      <c r="CN204" s="22" t="s">
        <v>2873</v>
      </c>
      <c r="CO204" s="22"/>
      <c r="CP204" s="43"/>
      <c r="CQ204" s="22">
        <v>45.0</v>
      </c>
      <c r="CR204" s="43"/>
      <c r="CS204" s="22">
        <v>1.0</v>
      </c>
      <c r="CT204" s="22" t="s">
        <v>145</v>
      </c>
      <c r="CU204" s="43"/>
      <c r="CV204" s="43"/>
      <c r="CW204" s="43"/>
      <c r="CX204" s="43"/>
      <c r="CY204" s="43" t="b">
        <v>0</v>
      </c>
      <c r="CZ204" s="43" t="b">
        <v>0</v>
      </c>
      <c r="DA204" s="43" t="b">
        <v>0</v>
      </c>
      <c r="DB204" s="43" t="b">
        <v>0</v>
      </c>
      <c r="DC204" s="43"/>
      <c r="DD204" s="43"/>
      <c r="DE204" s="43"/>
      <c r="DF204" s="43"/>
      <c r="DG204" s="43"/>
      <c r="DH204" s="43"/>
      <c r="DI204" s="43"/>
      <c r="DJ204" s="22">
        <f>IFERROR(VLOOKUP($B204,'Лист4'!$D:$AI,27,0)," ")</f>
        <v>9</v>
      </c>
      <c r="DK204" s="22">
        <f>IFERROR(VLOOKUP($B204,'Лист4'!$D:$AI,28,0)," ")</f>
        <v>15</v>
      </c>
      <c r="DL204" s="22">
        <f>IFERROR(VLOOKUP($B204,'Лист4'!$D:$AI,29,0)," ")</f>
        <v>9</v>
      </c>
      <c r="DM204" s="22">
        <f t="shared" ref="DM204:DM237" si="2">IFERROR(DJ204*DK204*DL204," ")</f>
        <v>1215</v>
      </c>
      <c r="DN204" s="22">
        <f>IFERROR(VLOOKUP($B204,'Лист4'!$D:$AI,32,0)," ")</f>
        <v>0.069</v>
      </c>
      <c r="DO204" s="22"/>
      <c r="DP204" s="22"/>
      <c r="DQ204" s="22"/>
      <c r="DR204" s="22"/>
      <c r="DS204" s="22"/>
      <c r="DT204" s="22"/>
      <c r="DU204" s="22"/>
      <c r="DV204" s="22"/>
      <c r="DW204" s="22"/>
      <c r="DX204" s="22"/>
      <c r="DY204" s="22"/>
      <c r="DZ204" s="22"/>
      <c r="EA204" s="22"/>
      <c r="EB204" s="22"/>
      <c r="EC204" s="22"/>
      <c r="ED204" s="22"/>
      <c r="EE204" s="22"/>
      <c r="EF204" s="22"/>
      <c r="EG204" s="22"/>
      <c r="EH204" s="22"/>
      <c r="EI204" s="22"/>
      <c r="EJ204" s="22"/>
      <c r="EK204" s="22"/>
      <c r="EL204" s="22"/>
      <c r="EM204" s="22"/>
      <c r="EN204" s="22"/>
      <c r="EO204" s="22"/>
      <c r="EP204" s="22"/>
      <c r="EQ204" s="22"/>
      <c r="ER204" s="22"/>
      <c r="ES204" s="43"/>
      <c r="ET204" s="43"/>
      <c r="EU204" s="43"/>
      <c r="EV204" s="43"/>
      <c r="EW204" s="43"/>
      <c r="EX204" s="43"/>
      <c r="EY204" s="43"/>
      <c r="EZ204" s="43"/>
      <c r="FA204" s="43"/>
      <c r="FB204" s="43"/>
      <c r="FC204" s="43"/>
      <c r="FD204" s="43"/>
      <c r="FE204" s="43"/>
      <c r="FF204" s="43"/>
      <c r="FG204" s="43"/>
      <c r="FH204" s="43"/>
      <c r="FI204" s="43"/>
    </row>
    <row r="205" ht="18.0" customHeight="1">
      <c r="A205" s="22" t="s">
        <v>2659</v>
      </c>
      <c r="B205" s="43" t="s">
        <v>3187</v>
      </c>
      <c r="C205" s="22" t="s">
        <v>2661</v>
      </c>
      <c r="D205" s="22" t="s">
        <v>119</v>
      </c>
      <c r="E205" s="43"/>
      <c r="F205" s="22" t="s">
        <v>3188</v>
      </c>
      <c r="G205" s="22" t="s">
        <v>2663</v>
      </c>
      <c r="H205" s="22" t="s">
        <v>2703</v>
      </c>
      <c r="I205" s="43"/>
      <c r="J205" s="43"/>
      <c r="K205" s="22" t="b">
        <v>1</v>
      </c>
      <c r="L205" s="22" t="b">
        <v>1</v>
      </c>
      <c r="M205" s="22" t="b">
        <v>1</v>
      </c>
      <c r="N205" s="22" t="b">
        <v>1</v>
      </c>
      <c r="O205" s="22" t="b">
        <v>0</v>
      </c>
      <c r="P205" s="22" t="b">
        <v>0</v>
      </c>
      <c r="Q205" s="22" t="b">
        <v>0</v>
      </c>
      <c r="R205" s="43"/>
      <c r="S205" s="43" t="s">
        <v>3189</v>
      </c>
      <c r="T205" s="22" t="s">
        <v>3187</v>
      </c>
      <c r="U205" s="22" t="s">
        <v>3187</v>
      </c>
      <c r="V205" s="22" t="s">
        <v>3187</v>
      </c>
      <c r="W205" s="43"/>
      <c r="X205" s="43"/>
      <c r="Y205" s="43"/>
      <c r="Z205" s="43"/>
      <c r="AA205" s="22">
        <v>1.72162757E8</v>
      </c>
      <c r="AB205" s="22">
        <v>1.129297876E9</v>
      </c>
      <c r="AC205" s="22">
        <v>1.03596648372E11</v>
      </c>
      <c r="AD205" s="22"/>
      <c r="AE205" s="22"/>
      <c r="AF205" s="43"/>
      <c r="AG205" s="43"/>
      <c r="AH205" s="43" t="s">
        <v>3188</v>
      </c>
      <c r="AI205" s="22" t="s">
        <v>3190</v>
      </c>
      <c r="AJ205" s="22" t="s">
        <v>3191</v>
      </c>
      <c r="AK205" s="22" t="s">
        <v>3192</v>
      </c>
      <c r="AL205" s="43"/>
      <c r="AM205" s="43"/>
      <c r="AN205" s="43"/>
      <c r="AO205" s="43"/>
      <c r="AP205" s="46" t="s">
        <v>3193</v>
      </c>
      <c r="AQ205" s="46" t="s">
        <v>3194</v>
      </c>
      <c r="AR205" s="46" t="s">
        <v>3195</v>
      </c>
      <c r="AS205" s="43"/>
      <c r="AT205" s="43"/>
      <c r="AU205" s="43"/>
      <c r="AV205" s="43"/>
      <c r="AW205" s="22" t="s">
        <v>361</v>
      </c>
      <c r="AX205" s="22" t="s">
        <v>3191</v>
      </c>
      <c r="AY205" s="22" t="s">
        <v>2692</v>
      </c>
      <c r="AZ205" s="43"/>
      <c r="BA205" s="43"/>
      <c r="BB205" s="43"/>
      <c r="BC205" s="43"/>
      <c r="BD205" s="43" t="s">
        <v>2993</v>
      </c>
      <c r="BE205" s="59" t="s">
        <v>2674</v>
      </c>
      <c r="BF205" s="22" t="s">
        <v>131</v>
      </c>
      <c r="BG205" s="22" t="s">
        <v>132</v>
      </c>
      <c r="BH205" s="22" t="s">
        <v>132</v>
      </c>
      <c r="BI205" s="22" t="s">
        <v>132</v>
      </c>
      <c r="BJ205" s="43"/>
      <c r="BK205" s="43"/>
      <c r="BL205" s="22">
        <v>2.038301462911E12</v>
      </c>
      <c r="BM205" s="22">
        <v>2.106909809E9</v>
      </c>
      <c r="BN205" s="22" t="s">
        <v>3196</v>
      </c>
      <c r="BO205" s="22"/>
      <c r="BP205" s="22" t="s">
        <v>145</v>
      </c>
      <c r="BQ205" s="43"/>
      <c r="BR205" s="43"/>
      <c r="BS205" s="22" t="s">
        <v>3197</v>
      </c>
      <c r="BT205" s="22"/>
      <c r="BU205" s="22" t="s">
        <v>3198</v>
      </c>
      <c r="BV205" s="22" t="s">
        <v>3199</v>
      </c>
      <c r="BW205" s="22" t="s">
        <v>3200</v>
      </c>
      <c r="BX205" s="22">
        <v>10.0</v>
      </c>
      <c r="BY205" s="22" t="s">
        <v>492</v>
      </c>
      <c r="BZ205" s="43"/>
      <c r="CA205" s="22"/>
      <c r="CB205" s="22"/>
      <c r="CC205" s="45"/>
      <c r="CD205" s="43"/>
      <c r="CE205" s="43"/>
      <c r="CF205" s="45"/>
      <c r="CG205" s="43"/>
      <c r="CH205" s="43"/>
      <c r="CI205" s="43"/>
      <c r="CJ205" s="43"/>
      <c r="CK205" s="43"/>
      <c r="CL205" s="43"/>
      <c r="CM205" s="49">
        <f>IFERROR(VLOOKUP(B205,CC!A:D,4,0)," ")</f>
        <v>310.44</v>
      </c>
      <c r="CN205" s="22" t="s">
        <v>2681</v>
      </c>
      <c r="CO205" s="22"/>
      <c r="CP205" s="43"/>
      <c r="CQ205" s="22">
        <v>45.0</v>
      </c>
      <c r="CR205" s="43"/>
      <c r="CS205" s="22">
        <v>1.0</v>
      </c>
      <c r="CT205" s="22" t="s">
        <v>145</v>
      </c>
      <c r="CU205" s="43"/>
      <c r="CV205" s="43"/>
      <c r="CW205" s="43"/>
      <c r="CX205" s="43"/>
      <c r="CY205" s="43" t="b">
        <v>0</v>
      </c>
      <c r="CZ205" s="43" t="b">
        <v>0</v>
      </c>
      <c r="DA205" s="43" t="b">
        <v>0</v>
      </c>
      <c r="DB205" s="43" t="b">
        <v>0</v>
      </c>
      <c r="DC205" s="43"/>
      <c r="DD205" s="43"/>
      <c r="DE205" s="43"/>
      <c r="DF205" s="43"/>
      <c r="DG205" s="43"/>
      <c r="DH205" s="43"/>
      <c r="DI205" s="43"/>
      <c r="DJ205" s="22">
        <f>IFERROR(VLOOKUP($B205,'Лист4'!$D:$AI,27,0)," ")</f>
        <v>15</v>
      </c>
      <c r="DK205" s="22">
        <f>IFERROR(VLOOKUP($B205,'Лист4'!$D:$AI,28,0)," ")</f>
        <v>6</v>
      </c>
      <c r="DL205" s="22">
        <f>IFERROR(VLOOKUP($B205,'Лист4'!$D:$AI,29,0)," ")</f>
        <v>15</v>
      </c>
      <c r="DM205" s="22">
        <f t="shared" si="2"/>
        <v>1350</v>
      </c>
      <c r="DN205" s="22">
        <f>IFERROR(VLOOKUP($B205,'Лист4'!$D:$AI,32,0)," ")</f>
        <v>0.048</v>
      </c>
      <c r="DO205" s="22"/>
      <c r="DP205" s="22"/>
      <c r="DQ205" s="22"/>
      <c r="DR205" s="22"/>
      <c r="DS205" s="22"/>
      <c r="DT205" s="22"/>
      <c r="DU205" s="22"/>
      <c r="DV205" s="22"/>
      <c r="DW205" s="22"/>
      <c r="DX205" s="22"/>
      <c r="DY205" s="22"/>
      <c r="DZ205" s="22"/>
      <c r="EA205" s="22"/>
      <c r="EB205" s="22"/>
      <c r="EC205" s="22"/>
      <c r="ED205" s="22"/>
      <c r="EE205" s="22"/>
      <c r="EF205" s="22"/>
      <c r="EG205" s="22"/>
      <c r="EH205" s="22"/>
      <c r="EI205" s="22"/>
      <c r="EJ205" s="22"/>
      <c r="EK205" s="22"/>
      <c r="EL205" s="22"/>
      <c r="EM205" s="22"/>
      <c r="EN205" s="22"/>
      <c r="EO205" s="22"/>
      <c r="EP205" s="22"/>
      <c r="EQ205" s="22"/>
      <c r="ER205" s="22"/>
      <c r="ES205" s="43"/>
      <c r="ET205" s="43"/>
      <c r="EU205" s="43"/>
      <c r="EV205" s="43"/>
      <c r="EW205" s="43"/>
      <c r="EX205" s="43"/>
      <c r="EY205" s="43"/>
      <c r="EZ205" s="43"/>
      <c r="FA205" s="43"/>
      <c r="FB205" s="43"/>
      <c r="FC205" s="43"/>
      <c r="FD205" s="43"/>
      <c r="FE205" s="43"/>
      <c r="FF205" s="43"/>
      <c r="FG205" s="43"/>
      <c r="FH205" s="43"/>
      <c r="FI205" s="43"/>
    </row>
    <row r="206" ht="18.0" customHeight="1">
      <c r="A206" s="22" t="s">
        <v>2659</v>
      </c>
      <c r="B206" s="43" t="s">
        <v>3201</v>
      </c>
      <c r="C206" s="22" t="s">
        <v>2741</v>
      </c>
      <c r="D206" s="22" t="s">
        <v>119</v>
      </c>
      <c r="E206" s="43" t="s">
        <v>3202</v>
      </c>
      <c r="F206" s="22" t="s">
        <v>3203</v>
      </c>
      <c r="G206" s="22" t="s">
        <v>2743</v>
      </c>
      <c r="H206" s="22" t="s">
        <v>2783</v>
      </c>
      <c r="I206" s="43"/>
      <c r="J206" s="43"/>
      <c r="K206" s="22" t="b">
        <v>1</v>
      </c>
      <c r="L206" s="22" t="b">
        <v>1</v>
      </c>
      <c r="M206" s="22" t="b">
        <v>1</v>
      </c>
      <c r="N206" s="22" t="b">
        <v>1</v>
      </c>
      <c r="O206" s="22" t="b">
        <v>1</v>
      </c>
      <c r="P206" s="22" t="b">
        <v>1</v>
      </c>
      <c r="Q206" s="22" t="b">
        <v>0</v>
      </c>
      <c r="R206" s="43"/>
      <c r="S206" s="43" t="s">
        <v>3204</v>
      </c>
      <c r="T206" s="22" t="s">
        <v>3201</v>
      </c>
      <c r="U206" s="22" t="s">
        <v>3201</v>
      </c>
      <c r="V206" s="22" t="s">
        <v>3201</v>
      </c>
      <c r="W206" s="43" t="s">
        <v>3201</v>
      </c>
      <c r="X206" s="43" t="s">
        <v>3201</v>
      </c>
      <c r="Y206" s="43"/>
      <c r="Z206" s="43"/>
      <c r="AA206" s="22">
        <v>4.55797764E8</v>
      </c>
      <c r="AB206" s="22">
        <v>2.3969724E9</v>
      </c>
      <c r="AC206" s="22">
        <v>4.600683436E9</v>
      </c>
      <c r="AD206" s="22">
        <v>9.9000132524E10</v>
      </c>
      <c r="AE206" s="22" t="s">
        <v>3205</v>
      </c>
      <c r="AF206" s="43"/>
      <c r="AG206" s="43"/>
      <c r="AH206" s="43" t="s">
        <v>3203</v>
      </c>
      <c r="AI206" s="22" t="s">
        <v>3206</v>
      </c>
      <c r="AJ206" s="22" t="s">
        <v>3207</v>
      </c>
      <c r="AK206" s="22" t="s">
        <v>3207</v>
      </c>
      <c r="AL206" s="22" t="s">
        <v>3208</v>
      </c>
      <c r="AM206" s="22" t="s">
        <v>3209</v>
      </c>
      <c r="AN206" s="43"/>
      <c r="AO206" s="43"/>
      <c r="AP206" s="46" t="s">
        <v>3210</v>
      </c>
      <c r="AQ206" s="46" t="s">
        <v>3211</v>
      </c>
      <c r="AR206" s="46" t="s">
        <v>3212</v>
      </c>
      <c r="AS206" s="43"/>
      <c r="AT206" s="46" t="s">
        <v>3213</v>
      </c>
      <c r="AU206" s="43"/>
      <c r="AV206" s="43"/>
      <c r="AW206" s="22" t="s">
        <v>3214</v>
      </c>
      <c r="AX206" s="22" t="s">
        <v>3207</v>
      </c>
      <c r="AY206" s="22" t="s">
        <v>3215</v>
      </c>
      <c r="AZ206" s="22" t="s">
        <v>3216</v>
      </c>
      <c r="BA206" s="22" t="s">
        <v>3217</v>
      </c>
      <c r="BB206" s="43"/>
      <c r="BC206" s="43"/>
      <c r="BD206" s="43" t="s">
        <v>1449</v>
      </c>
      <c r="BE206" s="59" t="s">
        <v>2755</v>
      </c>
      <c r="BF206" s="22" t="s">
        <v>131</v>
      </c>
      <c r="BG206" s="22" t="s">
        <v>132</v>
      </c>
      <c r="BH206" s="22" t="s">
        <v>132</v>
      </c>
      <c r="BI206" s="22" t="s">
        <v>132</v>
      </c>
      <c r="BJ206" s="43"/>
      <c r="BK206" s="43"/>
      <c r="BL206" s="22">
        <v>4.656738598843E12</v>
      </c>
      <c r="BM206" s="22">
        <v>3.30499E9</v>
      </c>
      <c r="BN206" s="22" t="s">
        <v>3218</v>
      </c>
      <c r="BO206" s="22"/>
      <c r="BP206" s="22" t="s">
        <v>145</v>
      </c>
      <c r="BQ206" s="43"/>
      <c r="BR206" s="43"/>
      <c r="BS206" s="22" t="s">
        <v>3219</v>
      </c>
      <c r="BT206" s="43"/>
      <c r="BU206" s="22" t="s">
        <v>2853</v>
      </c>
      <c r="BV206" s="43" t="s">
        <v>3220</v>
      </c>
      <c r="BW206" s="22" t="s">
        <v>2806</v>
      </c>
      <c r="BX206" s="22">
        <v>6.0</v>
      </c>
      <c r="BY206" s="22" t="s">
        <v>139</v>
      </c>
      <c r="BZ206" s="22"/>
      <c r="CA206" s="22" t="s">
        <v>355</v>
      </c>
      <c r="CB206" s="22" t="s">
        <v>307</v>
      </c>
      <c r="CC206" s="45" t="s">
        <v>3221</v>
      </c>
      <c r="CD206" s="43"/>
      <c r="CE206" s="43"/>
      <c r="CF206" s="45"/>
      <c r="CG206" s="43"/>
      <c r="CH206" s="43"/>
      <c r="CI206" s="43"/>
      <c r="CJ206" s="43"/>
      <c r="CK206" s="43"/>
      <c r="CL206" s="43"/>
      <c r="CM206" s="49">
        <f>IFERROR(VLOOKUP(B206,CC!A:D,4,0)," ")</f>
        <v>52.55</v>
      </c>
      <c r="CN206" s="22" t="s">
        <v>3222</v>
      </c>
      <c r="CO206" s="22"/>
      <c r="CP206" s="22" t="s">
        <v>3223</v>
      </c>
      <c r="CQ206" s="22">
        <v>60.0</v>
      </c>
      <c r="CR206" s="43"/>
      <c r="CS206" s="22">
        <v>5.0</v>
      </c>
      <c r="CT206" s="22" t="s">
        <v>145</v>
      </c>
      <c r="CU206" s="43"/>
      <c r="CV206" s="43"/>
      <c r="CW206" s="43"/>
      <c r="CX206" s="43"/>
      <c r="CY206" s="43" t="b">
        <v>0</v>
      </c>
      <c r="CZ206" s="43" t="b">
        <v>0</v>
      </c>
      <c r="DA206" s="43" t="b">
        <v>0</v>
      </c>
      <c r="DB206" s="43" t="b">
        <v>0</v>
      </c>
      <c r="DC206" s="43"/>
      <c r="DD206" s="43"/>
      <c r="DE206" s="43"/>
      <c r="DF206" s="43"/>
      <c r="DG206" s="43"/>
      <c r="DH206" s="43"/>
      <c r="DI206" s="43"/>
      <c r="DJ206" s="22">
        <f>IFERROR(VLOOKUP($B206,'Лист4'!$D:$AI,27,0)," ")</f>
        <v>14</v>
      </c>
      <c r="DK206" s="22">
        <f>IFERROR(VLOOKUP($B206,'Лист4'!$D:$AI,28,0)," ")</f>
        <v>1</v>
      </c>
      <c r="DL206" s="22">
        <f>IFERROR(VLOOKUP($B206,'Лист4'!$D:$AI,29,0)," ")</f>
        <v>14</v>
      </c>
      <c r="DM206" s="22">
        <f t="shared" si="2"/>
        <v>196</v>
      </c>
      <c r="DN206" s="22">
        <f>IFERROR(VLOOKUP($B206,'Лист4'!$D:$AI,32,0)," ")</f>
        <v>0.016</v>
      </c>
      <c r="DO206" s="22"/>
      <c r="DP206" s="22"/>
      <c r="DQ206" s="22"/>
      <c r="DR206" s="22"/>
      <c r="DS206" s="22"/>
      <c r="DT206" s="22"/>
      <c r="DU206" s="22"/>
      <c r="DV206" s="22"/>
      <c r="DW206" s="22"/>
      <c r="DX206" s="22"/>
      <c r="DY206" s="22"/>
      <c r="DZ206" s="22"/>
      <c r="EA206" s="22"/>
      <c r="EB206" s="22"/>
      <c r="EC206" s="22"/>
      <c r="ED206" s="22"/>
      <c r="EE206" s="22"/>
      <c r="EF206" s="22"/>
      <c r="EG206" s="22"/>
      <c r="EH206" s="22"/>
      <c r="EI206" s="22"/>
      <c r="EJ206" s="22"/>
      <c r="EK206" s="22"/>
      <c r="EL206" s="22"/>
      <c r="EM206" s="22"/>
      <c r="EN206" s="22"/>
      <c r="EO206" s="22"/>
      <c r="EP206" s="22"/>
      <c r="EQ206" s="22"/>
      <c r="ER206" s="22"/>
      <c r="ES206" s="43"/>
      <c r="ET206" s="43"/>
      <c r="EU206" s="43"/>
      <c r="EV206" s="43"/>
      <c r="EW206" s="43"/>
      <c r="EX206" s="43"/>
      <c r="EY206" s="43"/>
      <c r="EZ206" s="43"/>
      <c r="FA206" s="43"/>
      <c r="FB206" s="43"/>
      <c r="FC206" s="43"/>
      <c r="FD206" s="43"/>
      <c r="FE206" s="43"/>
      <c r="FF206" s="43"/>
      <c r="FG206" s="43"/>
      <c r="FH206" s="43"/>
      <c r="FI206" s="43"/>
    </row>
    <row r="207" ht="18.0" customHeight="1">
      <c r="A207" s="22" t="s">
        <v>2659</v>
      </c>
      <c r="B207" s="43" t="s">
        <v>3224</v>
      </c>
      <c r="C207" s="22" t="s">
        <v>2741</v>
      </c>
      <c r="D207" s="22" t="s">
        <v>119</v>
      </c>
      <c r="E207" s="43"/>
      <c r="F207" s="22" t="s">
        <v>3225</v>
      </c>
      <c r="G207" s="22" t="s">
        <v>2743</v>
      </c>
      <c r="H207" s="22" t="s">
        <v>287</v>
      </c>
      <c r="I207" s="43"/>
      <c r="J207" s="43"/>
      <c r="K207" s="22" t="b">
        <v>1</v>
      </c>
      <c r="L207" s="22" t="b">
        <v>1</v>
      </c>
      <c r="M207" s="22" t="b">
        <v>1</v>
      </c>
      <c r="N207" s="22" t="b">
        <v>1</v>
      </c>
      <c r="O207" s="22" t="b">
        <v>1</v>
      </c>
      <c r="P207" s="22" t="b">
        <v>1</v>
      </c>
      <c r="Q207" s="22" t="b">
        <v>0</v>
      </c>
      <c r="R207" s="43"/>
      <c r="S207" s="43" t="s">
        <v>3226</v>
      </c>
      <c r="T207" s="22" t="s">
        <v>3224</v>
      </c>
      <c r="U207" s="22" t="s">
        <v>3224</v>
      </c>
      <c r="V207" s="22" t="s">
        <v>3224</v>
      </c>
      <c r="W207" s="43" t="s">
        <v>3224</v>
      </c>
      <c r="X207" s="43" t="s">
        <v>3224</v>
      </c>
      <c r="Y207" s="43"/>
      <c r="Z207" s="43"/>
      <c r="AA207" s="22">
        <v>3.99134789E8</v>
      </c>
      <c r="AB207" s="22">
        <v>2.067943215E9</v>
      </c>
      <c r="AC207" s="22">
        <v>4.476310899E9</v>
      </c>
      <c r="AD207" s="22">
        <v>9.9000114726E10</v>
      </c>
      <c r="AE207" s="22" t="s">
        <v>3227</v>
      </c>
      <c r="AF207" s="43"/>
      <c r="AG207" s="43"/>
      <c r="AH207" s="43" t="s">
        <v>3225</v>
      </c>
      <c r="AI207" s="22" t="s">
        <v>3228</v>
      </c>
      <c r="AJ207" s="22" t="s">
        <v>3229</v>
      </c>
      <c r="AK207" s="22" t="s">
        <v>3230</v>
      </c>
      <c r="AL207" s="22" t="s">
        <v>3231</v>
      </c>
      <c r="AM207" s="22" t="s">
        <v>3228</v>
      </c>
      <c r="AN207" s="43"/>
      <c r="AO207" s="43"/>
      <c r="AP207" s="46" t="s">
        <v>3232</v>
      </c>
      <c r="AQ207" s="46" t="s">
        <v>3233</v>
      </c>
      <c r="AR207" s="46" t="s">
        <v>3234</v>
      </c>
      <c r="AS207" s="43"/>
      <c r="AT207" s="46" t="s">
        <v>3235</v>
      </c>
      <c r="AU207" s="43"/>
      <c r="AV207" s="43"/>
      <c r="AW207" s="22" t="s">
        <v>594</v>
      </c>
      <c r="AX207" s="22" t="s">
        <v>3229</v>
      </c>
      <c r="AY207" s="22" t="s">
        <v>326</v>
      </c>
      <c r="AZ207" s="22" t="s">
        <v>300</v>
      </c>
      <c r="BA207" s="22" t="s">
        <v>3236</v>
      </c>
      <c r="BB207" s="43"/>
      <c r="BC207" s="43"/>
      <c r="BD207" s="43" t="s">
        <v>2673</v>
      </c>
      <c r="BE207" s="59" t="s">
        <v>2755</v>
      </c>
      <c r="BF207" s="22" t="s">
        <v>131</v>
      </c>
      <c r="BG207" s="22" t="s">
        <v>132</v>
      </c>
      <c r="BH207" s="22" t="s">
        <v>132</v>
      </c>
      <c r="BI207" s="22" t="s">
        <v>132</v>
      </c>
      <c r="BJ207" s="43"/>
      <c r="BK207" s="43"/>
      <c r="BL207" s="22">
        <v>4.603320465441E12</v>
      </c>
      <c r="BM207" s="22">
        <v>3.3051E9</v>
      </c>
      <c r="BN207" s="22" t="s">
        <v>3237</v>
      </c>
      <c r="BO207" s="22"/>
      <c r="BP207" s="22" t="s">
        <v>145</v>
      </c>
      <c r="BQ207" s="43"/>
      <c r="BR207" s="43"/>
      <c r="BS207" s="22" t="s">
        <v>3238</v>
      </c>
      <c r="BT207" s="43"/>
      <c r="BU207" s="22" t="s">
        <v>3239</v>
      </c>
      <c r="BV207" s="43" t="s">
        <v>3240</v>
      </c>
      <c r="BW207" s="22" t="s">
        <v>2939</v>
      </c>
      <c r="BX207" s="22">
        <v>300.0</v>
      </c>
      <c r="BY207" s="22" t="s">
        <v>139</v>
      </c>
      <c r="BZ207" s="22"/>
      <c r="CA207" s="22" t="s">
        <v>726</v>
      </c>
      <c r="CB207" s="22" t="s">
        <v>727</v>
      </c>
      <c r="CC207" s="45" t="s">
        <v>3241</v>
      </c>
      <c r="CD207" s="43"/>
      <c r="CE207" s="43"/>
      <c r="CF207" s="45"/>
      <c r="CG207" s="54">
        <v>46077.0</v>
      </c>
      <c r="CH207" s="44" t="s">
        <v>3242</v>
      </c>
      <c r="CI207" s="43"/>
      <c r="CJ207" s="43"/>
      <c r="CK207" s="43"/>
      <c r="CL207" s="43"/>
      <c r="CM207" s="49">
        <f>IFERROR(VLOOKUP(B207,CC!A:D,4,0)," ")</f>
        <v>129.5</v>
      </c>
      <c r="CN207" s="22" t="s">
        <v>2942</v>
      </c>
      <c r="CO207" s="22" t="s">
        <v>2943</v>
      </c>
      <c r="CP207" s="22" t="s">
        <v>2944</v>
      </c>
      <c r="CQ207" s="22">
        <v>60.0</v>
      </c>
      <c r="CR207" s="43"/>
      <c r="CS207" s="43"/>
      <c r="CT207" s="22" t="s">
        <v>145</v>
      </c>
      <c r="CU207" s="43"/>
      <c r="CV207" s="43"/>
      <c r="CW207" s="43"/>
      <c r="CX207" s="43"/>
      <c r="CY207" s="43" t="b">
        <v>0</v>
      </c>
      <c r="CZ207" s="43" t="b">
        <v>0</v>
      </c>
      <c r="DA207" s="43" t="b">
        <v>0</v>
      </c>
      <c r="DB207" s="43" t="b">
        <v>0</v>
      </c>
      <c r="DC207" s="43"/>
      <c r="DD207" s="43"/>
      <c r="DE207" s="43"/>
      <c r="DF207" s="43"/>
      <c r="DG207" s="43"/>
      <c r="DH207" s="43"/>
      <c r="DI207" s="43"/>
      <c r="DJ207" s="22">
        <f>IFERROR(VLOOKUP($B207,'Лист4'!$D:$AI,27,0)," ")</f>
        <v>12</v>
      </c>
      <c r="DK207" s="22">
        <f>IFERROR(VLOOKUP($B207,'Лист4'!$D:$AI,28,0)," ")</f>
        <v>18</v>
      </c>
      <c r="DL207" s="22">
        <f>IFERROR(VLOOKUP($B207,'Лист4'!$D:$AI,29,0)," ")</f>
        <v>12</v>
      </c>
      <c r="DM207" s="22">
        <f t="shared" si="2"/>
        <v>2592</v>
      </c>
      <c r="DN207" s="22">
        <f>IFERROR(VLOOKUP($B207,'Лист4'!$D:$AI,32,0)," ")</f>
        <v>0.345</v>
      </c>
      <c r="DO207" s="22"/>
      <c r="DP207" s="22"/>
      <c r="DQ207" s="22"/>
      <c r="DR207" s="22"/>
      <c r="DS207" s="22"/>
      <c r="DT207" s="22"/>
      <c r="DU207" s="22"/>
      <c r="DV207" s="22"/>
      <c r="DW207" s="22"/>
      <c r="DX207" s="22"/>
      <c r="DY207" s="22"/>
      <c r="DZ207" s="22"/>
      <c r="EA207" s="22"/>
      <c r="EB207" s="22"/>
      <c r="EC207" s="22"/>
      <c r="ED207" s="22"/>
      <c r="EE207" s="22"/>
      <c r="EF207" s="22"/>
      <c r="EG207" s="22"/>
      <c r="EH207" s="22"/>
      <c r="EI207" s="22"/>
      <c r="EJ207" s="22"/>
      <c r="EK207" s="22"/>
      <c r="EL207" s="22"/>
      <c r="EM207" s="22"/>
      <c r="EN207" s="22"/>
      <c r="EO207" s="22"/>
      <c r="EP207" s="22"/>
      <c r="EQ207" s="22"/>
      <c r="ER207" s="22"/>
      <c r="ES207" s="43"/>
      <c r="ET207" s="43"/>
      <c r="EU207" s="43"/>
      <c r="EV207" s="43"/>
      <c r="EW207" s="43"/>
      <c r="EX207" s="43"/>
      <c r="EY207" s="43"/>
      <c r="EZ207" s="43"/>
      <c r="FA207" s="43"/>
      <c r="FB207" s="43"/>
      <c r="FC207" s="43"/>
      <c r="FD207" s="43"/>
      <c r="FE207" s="43"/>
      <c r="FF207" s="43"/>
      <c r="FG207" s="43"/>
      <c r="FH207" s="43"/>
      <c r="FI207" s="43"/>
    </row>
    <row r="208" ht="18.0" customHeight="1">
      <c r="A208" s="22" t="s">
        <v>2659</v>
      </c>
      <c r="B208" s="43" t="s">
        <v>3243</v>
      </c>
      <c r="C208" s="22" t="s">
        <v>2741</v>
      </c>
      <c r="D208" s="22" t="s">
        <v>119</v>
      </c>
      <c r="E208" s="43"/>
      <c r="F208" s="22" t="s">
        <v>3244</v>
      </c>
      <c r="G208" s="22" t="s">
        <v>2743</v>
      </c>
      <c r="H208" s="22" t="s">
        <v>287</v>
      </c>
      <c r="I208" s="43"/>
      <c r="J208" s="43"/>
      <c r="K208" s="22" t="b">
        <v>1</v>
      </c>
      <c r="L208" s="22" t="b">
        <v>1</v>
      </c>
      <c r="M208" s="22" t="b">
        <v>1</v>
      </c>
      <c r="N208" s="22" t="b">
        <v>1</v>
      </c>
      <c r="O208" s="22" t="b">
        <v>1</v>
      </c>
      <c r="P208" s="22" t="b">
        <v>1</v>
      </c>
      <c r="Q208" s="22" t="b">
        <v>0</v>
      </c>
      <c r="R208" s="43"/>
      <c r="S208" s="43" t="s">
        <v>3245</v>
      </c>
      <c r="T208" s="22" t="s">
        <v>3243</v>
      </c>
      <c r="U208" s="22" t="s">
        <v>3243</v>
      </c>
      <c r="V208" s="22" t="s">
        <v>3243</v>
      </c>
      <c r="W208" s="43" t="s">
        <v>3243</v>
      </c>
      <c r="X208" s="43" t="s">
        <v>3243</v>
      </c>
      <c r="Y208" s="43"/>
      <c r="Z208" s="43"/>
      <c r="AA208" s="22">
        <v>3.99763E8</v>
      </c>
      <c r="AB208" s="22">
        <v>2.0679528E9</v>
      </c>
      <c r="AC208" s="22">
        <v>4.476308791E9</v>
      </c>
      <c r="AD208" s="22">
        <v>9.9000125266E10</v>
      </c>
      <c r="AE208" s="22" t="s">
        <v>3246</v>
      </c>
      <c r="AF208" s="43"/>
      <c r="AG208" s="43"/>
      <c r="AH208" s="43" t="s">
        <v>3244</v>
      </c>
      <c r="AI208" s="22" t="s">
        <v>3247</v>
      </c>
      <c r="AJ208" s="22" t="s">
        <v>3248</v>
      </c>
      <c r="AK208" s="22" t="s">
        <v>3249</v>
      </c>
      <c r="AL208" s="22" t="s">
        <v>3250</v>
      </c>
      <c r="AM208" s="22" t="s">
        <v>3251</v>
      </c>
      <c r="AN208" s="43"/>
      <c r="AO208" s="43"/>
      <c r="AP208" s="46" t="s">
        <v>3252</v>
      </c>
      <c r="AQ208" s="46" t="s">
        <v>3253</v>
      </c>
      <c r="AR208" s="46" t="s">
        <v>3254</v>
      </c>
      <c r="AS208" s="46" t="s">
        <v>3255</v>
      </c>
      <c r="AT208" s="46" t="s">
        <v>3256</v>
      </c>
      <c r="AU208" s="43"/>
      <c r="AV208" s="43"/>
      <c r="AW208" s="22" t="s">
        <v>325</v>
      </c>
      <c r="AX208" s="22" t="s">
        <v>3248</v>
      </c>
      <c r="AY208" s="22" t="s">
        <v>1492</v>
      </c>
      <c r="AZ208" s="22" t="s">
        <v>1493</v>
      </c>
      <c r="BA208" s="22" t="s">
        <v>3257</v>
      </c>
      <c r="BB208" s="43"/>
      <c r="BC208" s="43"/>
      <c r="BD208" s="43" t="s">
        <v>2673</v>
      </c>
      <c r="BE208" s="59" t="s">
        <v>2755</v>
      </c>
      <c r="BF208" s="22" t="s">
        <v>131</v>
      </c>
      <c r="BG208" s="22" t="s">
        <v>132</v>
      </c>
      <c r="BH208" s="22" t="s">
        <v>132</v>
      </c>
      <c r="BI208" s="22" t="s">
        <v>132</v>
      </c>
      <c r="BJ208" s="43"/>
      <c r="BK208" s="43"/>
      <c r="BL208" s="22">
        <v>4.670020498611E12</v>
      </c>
      <c r="BM208" s="22">
        <v>3.3051E9</v>
      </c>
      <c r="BN208" s="22" t="s">
        <v>3258</v>
      </c>
      <c r="BO208" s="22"/>
      <c r="BP208" s="22" t="s">
        <v>145</v>
      </c>
      <c r="BQ208" s="43"/>
      <c r="BR208" s="43"/>
      <c r="BS208" s="22" t="s">
        <v>3259</v>
      </c>
      <c r="BT208" s="43"/>
      <c r="BU208" s="22" t="s">
        <v>1499</v>
      </c>
      <c r="BV208" s="43" t="s">
        <v>3260</v>
      </c>
      <c r="BW208" s="22" t="s">
        <v>1500</v>
      </c>
      <c r="BX208" s="22">
        <v>150.0</v>
      </c>
      <c r="BY208" s="22" t="s">
        <v>139</v>
      </c>
      <c r="BZ208" s="22"/>
      <c r="CA208" s="22" t="s">
        <v>355</v>
      </c>
      <c r="CB208" s="22" t="s">
        <v>307</v>
      </c>
      <c r="CC208" s="45" t="s">
        <v>3261</v>
      </c>
      <c r="CD208" s="43"/>
      <c r="CE208" s="43"/>
      <c r="CF208" s="45"/>
      <c r="CG208" s="43"/>
      <c r="CH208" s="43"/>
      <c r="CI208" s="43"/>
      <c r="CJ208" s="43"/>
      <c r="CK208" s="43"/>
      <c r="CL208" s="43"/>
      <c r="CM208" s="49">
        <f>IFERROR(VLOOKUP(B208,CC!A:D,4,0)," ")</f>
        <v>140.9</v>
      </c>
      <c r="CN208" s="22" t="s">
        <v>2834</v>
      </c>
      <c r="CO208" s="22"/>
      <c r="CP208" s="22" t="s">
        <v>2835</v>
      </c>
      <c r="CQ208" s="22">
        <v>90.0</v>
      </c>
      <c r="CR208" s="43"/>
      <c r="CS208" s="22">
        <v>5.0</v>
      </c>
      <c r="CT208" s="22" t="s">
        <v>145</v>
      </c>
      <c r="CU208" s="43"/>
      <c r="CV208" s="43"/>
      <c r="CW208" s="43"/>
      <c r="CX208" s="43"/>
      <c r="CY208" s="43" t="b">
        <v>0</v>
      </c>
      <c r="CZ208" s="43" t="b">
        <v>0</v>
      </c>
      <c r="DA208" s="43" t="b">
        <v>0</v>
      </c>
      <c r="DB208" s="43" t="b">
        <v>0</v>
      </c>
      <c r="DC208" s="43"/>
      <c r="DD208" s="43"/>
      <c r="DE208" s="43"/>
      <c r="DF208" s="43"/>
      <c r="DG208" s="43"/>
      <c r="DH208" s="43"/>
      <c r="DI208" s="43"/>
      <c r="DJ208" s="22">
        <f>IFERROR(VLOOKUP($B208,'Лист4'!$D:$AI,27,0)," ")</f>
        <v>17</v>
      </c>
      <c r="DK208" s="22">
        <f>IFERROR(VLOOKUP($B208,'Лист4'!$D:$AI,28,0)," ")</f>
        <v>4</v>
      </c>
      <c r="DL208" s="22">
        <f>IFERROR(VLOOKUP($B208,'Лист4'!$D:$AI,29,0)," ")</f>
        <v>17</v>
      </c>
      <c r="DM208" s="22">
        <f t="shared" si="2"/>
        <v>1156</v>
      </c>
      <c r="DN208" s="22">
        <f>IFERROR(VLOOKUP($B208,'Лист4'!$D:$AI,32,0)," ")</f>
        <v>0.202</v>
      </c>
      <c r="DO208" s="22"/>
      <c r="DP208" s="22"/>
      <c r="DQ208" s="22"/>
      <c r="DR208" s="22"/>
      <c r="DS208" s="22"/>
      <c r="DT208" s="22"/>
      <c r="DU208" s="22"/>
      <c r="DV208" s="22"/>
      <c r="DW208" s="22"/>
      <c r="DX208" s="22"/>
      <c r="DY208" s="22"/>
      <c r="DZ208" s="22"/>
      <c r="EA208" s="22"/>
      <c r="EB208" s="22"/>
      <c r="EC208" s="22"/>
      <c r="ED208" s="22"/>
      <c r="EE208" s="22"/>
      <c r="EF208" s="22"/>
      <c r="EG208" s="22"/>
      <c r="EH208" s="22"/>
      <c r="EI208" s="22"/>
      <c r="EJ208" s="22"/>
      <c r="EK208" s="22"/>
      <c r="EL208" s="22"/>
      <c r="EM208" s="22"/>
      <c r="EN208" s="22"/>
      <c r="EO208" s="22"/>
      <c r="EP208" s="22"/>
      <c r="EQ208" s="22"/>
      <c r="ER208" s="22"/>
      <c r="ES208" s="43"/>
      <c r="ET208" s="43"/>
      <c r="EU208" s="43"/>
      <c r="EV208" s="43"/>
      <c r="EW208" s="43"/>
      <c r="EX208" s="43"/>
      <c r="EY208" s="43"/>
      <c r="EZ208" s="43"/>
      <c r="FA208" s="43"/>
      <c r="FB208" s="43"/>
      <c r="FC208" s="43"/>
      <c r="FD208" s="43"/>
      <c r="FE208" s="43"/>
      <c r="FF208" s="43"/>
      <c r="FG208" s="43"/>
      <c r="FH208" s="43"/>
      <c r="FI208" s="43"/>
    </row>
    <row r="209" ht="18.0" customHeight="1">
      <c r="A209" s="22" t="s">
        <v>2659</v>
      </c>
      <c r="B209" s="43" t="s">
        <v>3262</v>
      </c>
      <c r="C209" s="22" t="s">
        <v>2741</v>
      </c>
      <c r="D209" s="22" t="s">
        <v>119</v>
      </c>
      <c r="E209" s="43"/>
      <c r="F209" s="22" t="s">
        <v>3263</v>
      </c>
      <c r="G209" s="22" t="s">
        <v>361</v>
      </c>
      <c r="H209" s="22" t="s">
        <v>2766</v>
      </c>
      <c r="I209" s="43"/>
      <c r="J209" s="43"/>
      <c r="K209" s="22" t="b">
        <v>1</v>
      </c>
      <c r="L209" s="22" t="b">
        <v>1</v>
      </c>
      <c r="M209" s="22" t="b">
        <v>1</v>
      </c>
      <c r="N209" s="22" t="b">
        <v>1</v>
      </c>
      <c r="O209" s="22" t="b">
        <v>0</v>
      </c>
      <c r="P209" s="22" t="b">
        <v>0</v>
      </c>
      <c r="Q209" s="22" t="b">
        <v>0</v>
      </c>
      <c r="R209" s="43"/>
      <c r="S209" s="43" t="s">
        <v>3264</v>
      </c>
      <c r="T209" s="22" t="s">
        <v>3262</v>
      </c>
      <c r="U209" s="22" t="s">
        <v>3262</v>
      </c>
      <c r="V209" s="22" t="s">
        <v>3262</v>
      </c>
      <c r="W209" s="43"/>
      <c r="X209" s="43"/>
      <c r="Y209" s="43"/>
      <c r="Z209" s="43"/>
      <c r="AA209" s="22">
        <v>2.29280202E8</v>
      </c>
      <c r="AB209" s="22">
        <v>1.566867106E9</v>
      </c>
      <c r="AC209" s="22">
        <v>1.0351544302E11</v>
      </c>
      <c r="AD209" s="22"/>
      <c r="AE209" s="22"/>
      <c r="AF209" s="43"/>
      <c r="AG209" s="43"/>
      <c r="AH209" s="43" t="s">
        <v>3263</v>
      </c>
      <c r="AI209" s="22" t="s">
        <v>3265</v>
      </c>
      <c r="AJ209" s="22" t="s">
        <v>3266</v>
      </c>
      <c r="AK209" s="22" t="s">
        <v>3266</v>
      </c>
      <c r="AL209" s="43"/>
      <c r="AM209" s="43"/>
      <c r="AN209" s="43"/>
      <c r="AO209" s="43"/>
      <c r="AP209" s="46" t="s">
        <v>3267</v>
      </c>
      <c r="AQ209" s="46" t="s">
        <v>3268</v>
      </c>
      <c r="AR209" s="46" t="s">
        <v>3269</v>
      </c>
      <c r="AS209" s="43"/>
      <c r="AT209" s="43"/>
      <c r="AU209" s="43"/>
      <c r="AV209" s="43"/>
      <c r="AW209" s="22" t="s">
        <v>649</v>
      </c>
      <c r="AX209" s="22" t="s">
        <v>3266</v>
      </c>
      <c r="AY209" s="22" t="s">
        <v>372</v>
      </c>
      <c r="AZ209" s="43"/>
      <c r="BA209" s="43"/>
      <c r="BB209" s="43"/>
      <c r="BC209" s="43"/>
      <c r="BD209" s="43" t="s">
        <v>1449</v>
      </c>
      <c r="BE209" s="59" t="s">
        <v>2674</v>
      </c>
      <c r="BF209" s="22" t="s">
        <v>131</v>
      </c>
      <c r="BG209" s="22" t="s">
        <v>132</v>
      </c>
      <c r="BH209" s="22" t="s">
        <v>132</v>
      </c>
      <c r="BI209" s="22" t="s">
        <v>132</v>
      </c>
      <c r="BJ209" s="43"/>
      <c r="BK209" s="43"/>
      <c r="BL209" s="22">
        <v>4.627193453961E12</v>
      </c>
      <c r="BM209" s="22">
        <v>2.106909803E9</v>
      </c>
      <c r="BN209" s="22" t="s">
        <v>3270</v>
      </c>
      <c r="BO209" s="22"/>
      <c r="BP209" s="22" t="s">
        <v>496</v>
      </c>
      <c r="BQ209" s="43"/>
      <c r="BR209" s="43"/>
      <c r="BS209" s="22" t="s">
        <v>3271</v>
      </c>
      <c r="BT209" s="43"/>
      <c r="BU209" s="22" t="s">
        <v>802</v>
      </c>
      <c r="BV209" s="43" t="s">
        <v>3272</v>
      </c>
      <c r="BW209" s="22" t="s">
        <v>3273</v>
      </c>
      <c r="BX209" s="22">
        <v>60.0</v>
      </c>
      <c r="BY209" s="22" t="s">
        <v>492</v>
      </c>
      <c r="BZ209" s="22"/>
      <c r="CA209" s="22" t="s">
        <v>355</v>
      </c>
      <c r="CB209" s="22" t="s">
        <v>307</v>
      </c>
      <c r="CC209" s="45" t="s">
        <v>3274</v>
      </c>
      <c r="CD209" s="43"/>
      <c r="CE209" s="43"/>
      <c r="CF209" s="45"/>
      <c r="CG209" s="43"/>
      <c r="CH209" s="43"/>
      <c r="CI209" s="43"/>
      <c r="CJ209" s="43"/>
      <c r="CK209" s="43"/>
      <c r="CL209" s="43"/>
      <c r="CM209" s="49">
        <f>IFERROR(VLOOKUP(B209,CC!A:D,4,0)," ")</f>
        <v>164.69</v>
      </c>
      <c r="CN209" s="22" t="s">
        <v>3275</v>
      </c>
      <c r="CO209" s="22"/>
      <c r="CP209" s="22" t="s">
        <v>805</v>
      </c>
      <c r="CQ209" s="22">
        <v>90.0</v>
      </c>
      <c r="CR209" s="43"/>
      <c r="CS209" s="22">
        <v>1.0</v>
      </c>
      <c r="CT209" s="22" t="s">
        <v>145</v>
      </c>
      <c r="CU209" s="43"/>
      <c r="CV209" s="43"/>
      <c r="CW209" s="43"/>
      <c r="CX209" s="43"/>
      <c r="CY209" s="43" t="b">
        <v>0</v>
      </c>
      <c r="CZ209" s="43" t="b">
        <v>0</v>
      </c>
      <c r="DA209" s="43" t="b">
        <v>0</v>
      </c>
      <c r="DB209" s="43" t="b">
        <v>0</v>
      </c>
      <c r="DC209" s="43"/>
      <c r="DD209" s="43"/>
      <c r="DE209" s="43"/>
      <c r="DF209" s="43"/>
      <c r="DG209" s="43"/>
      <c r="DH209" s="43"/>
      <c r="DI209" s="43"/>
      <c r="DJ209" s="22">
        <f>IFERROR(VLOOKUP($B209,'Лист4'!$D:$AI,27,0)," ")</f>
        <v>9</v>
      </c>
      <c r="DK209" s="22">
        <f>IFERROR(VLOOKUP($B209,'Лист4'!$D:$AI,28,0)," ")</f>
        <v>4</v>
      </c>
      <c r="DL209" s="22">
        <f>IFERROR(VLOOKUP($B209,'Лист4'!$D:$AI,29,0)," ")</f>
        <v>9</v>
      </c>
      <c r="DM209" s="22">
        <f t="shared" si="2"/>
        <v>324</v>
      </c>
      <c r="DN209" s="22">
        <f>IFERROR(VLOOKUP($B209,'Лист4'!$D:$AI,32,0)," ")</f>
        <v>0.052</v>
      </c>
      <c r="DO209" s="22"/>
      <c r="DP209" s="22"/>
      <c r="DQ209" s="22"/>
      <c r="DR209" s="22"/>
      <c r="DS209" s="22"/>
      <c r="DT209" s="22"/>
      <c r="DU209" s="22"/>
      <c r="DV209" s="22"/>
      <c r="DW209" s="22"/>
      <c r="DX209" s="22"/>
      <c r="DY209" s="22"/>
      <c r="DZ209" s="22"/>
      <c r="EA209" s="22"/>
      <c r="EB209" s="22"/>
      <c r="EC209" s="22"/>
      <c r="ED209" s="22"/>
      <c r="EE209" s="22"/>
      <c r="EF209" s="22"/>
      <c r="EG209" s="22"/>
      <c r="EH209" s="22"/>
      <c r="EI209" s="22"/>
      <c r="EJ209" s="22"/>
      <c r="EK209" s="22"/>
      <c r="EL209" s="22"/>
      <c r="EM209" s="22"/>
      <c r="EN209" s="22"/>
      <c r="EO209" s="22"/>
      <c r="EP209" s="22"/>
      <c r="EQ209" s="22"/>
      <c r="ER209" s="22"/>
      <c r="ES209" s="43"/>
      <c r="ET209" s="43"/>
      <c r="EU209" s="43"/>
      <c r="EV209" s="43"/>
      <c r="EW209" s="43"/>
      <c r="EX209" s="43"/>
      <c r="EY209" s="43"/>
      <c r="EZ209" s="43"/>
      <c r="FA209" s="43"/>
      <c r="FB209" s="43"/>
      <c r="FC209" s="43"/>
      <c r="FD209" s="43"/>
      <c r="FE209" s="43"/>
      <c r="FF209" s="43"/>
      <c r="FG209" s="43"/>
      <c r="FH209" s="43"/>
      <c r="FI209" s="43"/>
    </row>
    <row r="210" ht="18.0" customHeight="1">
      <c r="A210" s="22" t="s">
        <v>2659</v>
      </c>
      <c r="B210" s="43" t="s">
        <v>3276</v>
      </c>
      <c r="C210" s="22" t="s">
        <v>2741</v>
      </c>
      <c r="D210" s="22" t="s">
        <v>119</v>
      </c>
      <c r="E210" s="43"/>
      <c r="F210" s="22" t="s">
        <v>3277</v>
      </c>
      <c r="G210" s="22" t="s">
        <v>2743</v>
      </c>
      <c r="H210" s="22" t="s">
        <v>565</v>
      </c>
      <c r="I210" s="43"/>
      <c r="J210" s="43"/>
      <c r="K210" s="22" t="b">
        <v>1</v>
      </c>
      <c r="L210" s="22" t="b">
        <v>1</v>
      </c>
      <c r="M210" s="22" t="b">
        <v>1</v>
      </c>
      <c r="N210" s="22" t="b">
        <v>1</v>
      </c>
      <c r="O210" s="22" t="b">
        <v>1</v>
      </c>
      <c r="P210" s="22" t="b">
        <v>1</v>
      </c>
      <c r="Q210" s="22" t="b">
        <v>1</v>
      </c>
      <c r="R210" s="43"/>
      <c r="S210" s="43" t="s">
        <v>3278</v>
      </c>
      <c r="T210" s="22" t="s">
        <v>3276</v>
      </c>
      <c r="U210" s="22" t="s">
        <v>3276</v>
      </c>
      <c r="V210" s="22" t="s">
        <v>3276</v>
      </c>
      <c r="W210" s="43" t="s">
        <v>3276</v>
      </c>
      <c r="X210" s="43" t="s">
        <v>3276</v>
      </c>
      <c r="Y210" s="22" t="s">
        <v>3276</v>
      </c>
      <c r="Z210" s="43"/>
      <c r="AA210" s="22">
        <v>3.07871378E8</v>
      </c>
      <c r="AB210" s="22">
        <v>1.80607945E9</v>
      </c>
      <c r="AC210" s="22">
        <v>1.03710308859E11</v>
      </c>
      <c r="AD210" s="22">
        <v>9.9000076205E10</v>
      </c>
      <c r="AE210" s="22" t="s">
        <v>3279</v>
      </c>
      <c r="AF210" s="22" t="s">
        <v>3280</v>
      </c>
      <c r="AG210" s="43"/>
      <c r="AH210" s="43" t="s">
        <v>3277</v>
      </c>
      <c r="AI210" s="22" t="s">
        <v>1416</v>
      </c>
      <c r="AJ210" s="22" t="s">
        <v>3281</v>
      </c>
      <c r="AK210" s="22" t="s">
        <v>3282</v>
      </c>
      <c r="AL210" s="22" t="s">
        <v>3283</v>
      </c>
      <c r="AM210" s="22" t="s">
        <v>1419</v>
      </c>
      <c r="AN210" s="22" t="s">
        <v>3284</v>
      </c>
      <c r="AO210" s="43"/>
      <c r="AP210" s="46" t="s">
        <v>3285</v>
      </c>
      <c r="AQ210" s="46" t="s">
        <v>3286</v>
      </c>
      <c r="AR210" s="46" t="s">
        <v>3287</v>
      </c>
      <c r="AS210" s="46" t="s">
        <v>3288</v>
      </c>
      <c r="AT210" s="46" t="s">
        <v>3289</v>
      </c>
      <c r="AU210" s="46" t="s">
        <v>3290</v>
      </c>
      <c r="AV210" s="43"/>
      <c r="AW210" s="22" t="s">
        <v>1426</v>
      </c>
      <c r="AX210" s="22" t="s">
        <v>3281</v>
      </c>
      <c r="AY210" s="22" t="s">
        <v>3291</v>
      </c>
      <c r="AZ210" s="22" t="s">
        <v>1447</v>
      </c>
      <c r="BA210" s="22" t="s">
        <v>1427</v>
      </c>
      <c r="BB210" s="22" t="s">
        <v>1428</v>
      </c>
      <c r="BC210" s="22"/>
      <c r="BD210" s="43" t="s">
        <v>2673</v>
      </c>
      <c r="BE210" s="59" t="s">
        <v>2755</v>
      </c>
      <c r="BF210" s="22" t="s">
        <v>131</v>
      </c>
      <c r="BG210" s="22" t="s">
        <v>132</v>
      </c>
      <c r="BH210" s="22" t="s">
        <v>132</v>
      </c>
      <c r="BI210" s="22" t="s">
        <v>132</v>
      </c>
      <c r="BJ210" s="43"/>
      <c r="BK210" s="43"/>
      <c r="BL210" s="22" t="s">
        <v>3292</v>
      </c>
      <c r="BM210" s="63" t="s">
        <v>145</v>
      </c>
      <c r="BN210" s="22" t="s">
        <v>3293</v>
      </c>
      <c r="BO210" s="22"/>
      <c r="BP210" s="22" t="s">
        <v>145</v>
      </c>
      <c r="BQ210" s="43"/>
      <c r="BR210" s="43"/>
      <c r="BS210" s="22" t="s">
        <v>3294</v>
      </c>
      <c r="BT210" s="43"/>
      <c r="BU210" s="22" t="s">
        <v>3295</v>
      </c>
      <c r="BV210" s="43" t="s">
        <v>3296</v>
      </c>
      <c r="BW210" s="22" t="s">
        <v>3297</v>
      </c>
      <c r="BX210" s="22">
        <v>30.0</v>
      </c>
      <c r="BY210" s="22" t="s">
        <v>139</v>
      </c>
      <c r="BZ210" s="22"/>
      <c r="CA210" s="22" t="s">
        <v>355</v>
      </c>
      <c r="CB210" s="22" t="s">
        <v>307</v>
      </c>
      <c r="CC210" s="45" t="s">
        <v>3298</v>
      </c>
      <c r="CD210" s="43"/>
      <c r="CE210" s="43"/>
      <c r="CF210" s="45"/>
      <c r="CG210" s="54">
        <v>46083.0</v>
      </c>
      <c r="CH210" s="46" t="s">
        <v>3299</v>
      </c>
      <c r="CI210" s="43"/>
      <c r="CJ210" s="43"/>
      <c r="CK210" s="43"/>
      <c r="CL210" s="43"/>
      <c r="CM210" s="49">
        <f>IFERROR(VLOOKUP(B210,CC!A:D,4,0)," ")</f>
        <v>110</v>
      </c>
      <c r="CN210" s="22" t="s">
        <v>2834</v>
      </c>
      <c r="CO210" s="22" t="s">
        <v>3300</v>
      </c>
      <c r="CP210" s="43"/>
      <c r="CQ210" s="22">
        <v>90.0</v>
      </c>
      <c r="CR210" s="43"/>
      <c r="CS210" s="22">
        <v>5.0</v>
      </c>
      <c r="CT210" s="22" t="s">
        <v>145</v>
      </c>
      <c r="CU210" s="43"/>
      <c r="CV210" s="43"/>
      <c r="CW210" s="43"/>
      <c r="CX210" s="43"/>
      <c r="CY210" s="43" t="b">
        <v>0</v>
      </c>
      <c r="CZ210" s="43" t="b">
        <v>0</v>
      </c>
      <c r="DA210" s="43" t="b">
        <v>0</v>
      </c>
      <c r="DB210" s="43" t="b">
        <v>0</v>
      </c>
      <c r="DC210" s="43"/>
      <c r="DD210" s="43"/>
      <c r="DE210" s="43"/>
      <c r="DF210" s="43"/>
      <c r="DG210" s="43"/>
      <c r="DH210" s="43"/>
      <c r="DI210" s="43"/>
      <c r="DJ210" s="22">
        <f>IFERROR(VLOOKUP($B210,'Лист4'!$D:$AI,27,0)," ")</f>
        <v>3</v>
      </c>
      <c r="DK210" s="22">
        <f>IFERROR(VLOOKUP($B210,'Лист4'!$D:$AI,28,0)," ")</f>
        <v>11</v>
      </c>
      <c r="DL210" s="22">
        <f>IFERROR(VLOOKUP($B210,'Лист4'!$D:$AI,29,0)," ")</f>
        <v>3</v>
      </c>
      <c r="DM210" s="22">
        <f t="shared" si="2"/>
        <v>99</v>
      </c>
      <c r="DN210" s="22">
        <f>IFERROR(VLOOKUP($B210,'Лист4'!$D:$AI,32,0)," ")</f>
        <v>0.092</v>
      </c>
      <c r="DO210" s="22"/>
      <c r="DP210" s="22"/>
      <c r="DQ210" s="22"/>
      <c r="DR210" s="22"/>
      <c r="DS210" s="22"/>
      <c r="DT210" s="22"/>
      <c r="DU210" s="22"/>
      <c r="DV210" s="22"/>
      <c r="DW210" s="22"/>
      <c r="DX210" s="22"/>
      <c r="DY210" s="22"/>
      <c r="DZ210" s="22"/>
      <c r="EA210" s="22"/>
      <c r="EB210" s="22"/>
      <c r="EC210" s="22"/>
      <c r="ED210" s="22"/>
      <c r="EE210" s="22"/>
      <c r="EF210" s="22"/>
      <c r="EG210" s="22"/>
      <c r="EH210" s="22"/>
      <c r="EI210" s="22"/>
      <c r="EJ210" s="22"/>
      <c r="EK210" s="22"/>
      <c r="EL210" s="22"/>
      <c r="EM210" s="22"/>
      <c r="EN210" s="22"/>
      <c r="EO210" s="22"/>
      <c r="EP210" s="22"/>
      <c r="EQ210" s="22"/>
      <c r="ER210" s="22"/>
      <c r="ES210" s="43"/>
      <c r="ET210" s="43"/>
      <c r="EU210" s="43"/>
      <c r="EV210" s="43"/>
      <c r="EW210" s="43"/>
      <c r="EX210" s="43"/>
      <c r="EY210" s="43"/>
      <c r="EZ210" s="43"/>
      <c r="FA210" s="43"/>
      <c r="FB210" s="43"/>
      <c r="FC210" s="43"/>
      <c r="FD210" s="43"/>
      <c r="FE210" s="43"/>
      <c r="FF210" s="43"/>
      <c r="FG210" s="43"/>
      <c r="FH210" s="43"/>
      <c r="FI210" s="43"/>
    </row>
    <row r="211" ht="18.0" customHeight="1">
      <c r="A211" s="22" t="s">
        <v>2659</v>
      </c>
      <c r="B211" s="43" t="s">
        <v>3301</v>
      </c>
      <c r="C211" s="22" t="s">
        <v>2741</v>
      </c>
      <c r="D211" s="22" t="s">
        <v>119</v>
      </c>
      <c r="E211" s="43" t="s">
        <v>3202</v>
      </c>
      <c r="F211" s="22" t="s">
        <v>3302</v>
      </c>
      <c r="G211" s="22" t="s">
        <v>2743</v>
      </c>
      <c r="H211" s="22" t="s">
        <v>287</v>
      </c>
      <c r="I211" s="43"/>
      <c r="J211" s="43"/>
      <c r="K211" s="22" t="b">
        <v>1</v>
      </c>
      <c r="L211" s="22" t="b">
        <v>1</v>
      </c>
      <c r="M211" s="22" t="b">
        <v>1</v>
      </c>
      <c r="N211" s="22" t="b">
        <v>1</v>
      </c>
      <c r="O211" s="22" t="b">
        <v>1</v>
      </c>
      <c r="P211" s="22" t="b">
        <v>1</v>
      </c>
      <c r="Q211" s="22" t="b">
        <v>0</v>
      </c>
      <c r="R211" s="43"/>
      <c r="S211" s="43" t="s">
        <v>3303</v>
      </c>
      <c r="T211" s="22" t="s">
        <v>3301</v>
      </c>
      <c r="U211" s="22" t="s">
        <v>3301</v>
      </c>
      <c r="V211" s="22" t="s">
        <v>3301</v>
      </c>
      <c r="W211" s="43" t="s">
        <v>3301</v>
      </c>
      <c r="X211" s="43" t="s">
        <v>3301</v>
      </c>
      <c r="Y211" s="43"/>
      <c r="Z211" s="43"/>
      <c r="AA211" s="22">
        <v>4.56967436E8</v>
      </c>
      <c r="AB211" s="22">
        <v>2.445342489E9</v>
      </c>
      <c r="AC211" s="22">
        <v>4.537865832E9</v>
      </c>
      <c r="AD211" s="22">
        <v>9.9000125265E10</v>
      </c>
      <c r="AE211" s="22" t="s">
        <v>3304</v>
      </c>
      <c r="AF211" s="43"/>
      <c r="AG211" s="43"/>
      <c r="AH211" s="43" t="s">
        <v>3302</v>
      </c>
      <c r="AI211" s="22" t="s">
        <v>3305</v>
      </c>
      <c r="AJ211" s="22" t="s">
        <v>3306</v>
      </c>
      <c r="AK211" s="22" t="s">
        <v>3307</v>
      </c>
      <c r="AL211" s="22" t="s">
        <v>3308</v>
      </c>
      <c r="AM211" s="22" t="s">
        <v>3305</v>
      </c>
      <c r="AN211" s="43"/>
      <c r="AO211" s="43"/>
      <c r="AP211" s="46" t="s">
        <v>3309</v>
      </c>
      <c r="AQ211" s="46" t="s">
        <v>3310</v>
      </c>
      <c r="AR211" s="46" t="s">
        <v>3311</v>
      </c>
      <c r="AS211" s="46" t="s">
        <v>3312</v>
      </c>
      <c r="AT211" s="46" t="s">
        <v>3313</v>
      </c>
      <c r="AU211" s="43"/>
      <c r="AV211" s="43"/>
      <c r="AW211" s="22" t="s">
        <v>3314</v>
      </c>
      <c r="AX211" s="22" t="s">
        <v>3306</v>
      </c>
      <c r="AY211" s="22" t="s">
        <v>326</v>
      </c>
      <c r="AZ211" s="22" t="s">
        <v>300</v>
      </c>
      <c r="BA211" s="22" t="s">
        <v>3315</v>
      </c>
      <c r="BB211" s="43"/>
      <c r="BC211" s="43"/>
      <c r="BD211" s="43" t="s">
        <v>1449</v>
      </c>
      <c r="BE211" s="59" t="s">
        <v>2674</v>
      </c>
      <c r="BF211" s="22" t="s">
        <v>131</v>
      </c>
      <c r="BG211" s="22" t="s">
        <v>132</v>
      </c>
      <c r="BH211" s="22" t="s">
        <v>132</v>
      </c>
      <c r="BI211" s="22" t="s">
        <v>132</v>
      </c>
      <c r="BJ211" s="43"/>
      <c r="BK211" s="43"/>
      <c r="BL211" s="22">
        <v>4.660417421476E12</v>
      </c>
      <c r="BM211" s="22">
        <v>3304.0</v>
      </c>
      <c r="BN211" s="22" t="s">
        <v>3316</v>
      </c>
      <c r="BO211" s="22"/>
      <c r="BP211" s="22" t="s">
        <v>496</v>
      </c>
      <c r="BQ211" s="43"/>
      <c r="BR211" s="43"/>
      <c r="BS211" s="22" t="s">
        <v>3317</v>
      </c>
      <c r="BT211" s="43"/>
      <c r="BU211" s="22" t="s">
        <v>3318</v>
      </c>
      <c r="BV211" s="43" t="s">
        <v>3319</v>
      </c>
      <c r="BW211" s="22" t="s">
        <v>3320</v>
      </c>
      <c r="BX211" s="22">
        <v>200.0</v>
      </c>
      <c r="BY211" s="22" t="s">
        <v>139</v>
      </c>
      <c r="BZ211" s="22"/>
      <c r="CA211" s="22" t="s">
        <v>355</v>
      </c>
      <c r="CB211" s="22" t="s">
        <v>307</v>
      </c>
      <c r="CC211" s="45" t="s">
        <v>3321</v>
      </c>
      <c r="CD211" s="43"/>
      <c r="CE211" s="43"/>
      <c r="CF211" s="45"/>
      <c r="CG211" s="43"/>
      <c r="CH211" s="43"/>
      <c r="CI211" s="43"/>
      <c r="CJ211" s="43"/>
      <c r="CK211" s="43"/>
      <c r="CL211" s="43"/>
      <c r="CM211" s="49">
        <f>IFERROR(VLOOKUP(B211,CC!A:D,4,0)," ")</f>
        <v>120</v>
      </c>
      <c r="CN211" s="22" t="s">
        <v>2681</v>
      </c>
      <c r="CO211" s="22"/>
      <c r="CP211" s="22"/>
      <c r="CQ211" s="22">
        <v>45.0</v>
      </c>
      <c r="CR211" s="43"/>
      <c r="CS211" s="22">
        <v>1.0</v>
      </c>
      <c r="CT211" s="22" t="s">
        <v>145</v>
      </c>
      <c r="CU211" s="43"/>
      <c r="CV211" s="43"/>
      <c r="CW211" s="43"/>
      <c r="CX211" s="43"/>
      <c r="CY211" s="43" t="b">
        <v>0</v>
      </c>
      <c r="CZ211" s="43" t="b">
        <v>0</v>
      </c>
      <c r="DA211" s="43" t="b">
        <v>0</v>
      </c>
      <c r="DB211" s="43" t="b">
        <v>0</v>
      </c>
      <c r="DC211" s="43"/>
      <c r="DD211" s="43"/>
      <c r="DE211" s="43"/>
      <c r="DF211" s="43"/>
      <c r="DG211" s="43"/>
      <c r="DH211" s="43"/>
      <c r="DI211" s="43"/>
      <c r="DJ211" s="22">
        <f>IFERROR(VLOOKUP($B211,'Лист4'!$D:$AI,27,0)," ")</f>
        <v>4</v>
      </c>
      <c r="DK211" s="22">
        <f>IFERROR(VLOOKUP($B211,'Лист4'!$D:$AI,28,0)," ")</f>
        <v>18</v>
      </c>
      <c r="DL211" s="22">
        <f>IFERROR(VLOOKUP($B211,'Лист4'!$D:$AI,29,0)," ")</f>
        <v>4</v>
      </c>
      <c r="DM211" s="22">
        <f t="shared" si="2"/>
        <v>288</v>
      </c>
      <c r="DN211" s="22">
        <f>IFERROR(VLOOKUP($B211,'Лист4'!$D:$AI,32,0)," ")</f>
        <v>0.206</v>
      </c>
      <c r="DO211" s="22"/>
      <c r="DP211" s="22"/>
      <c r="DQ211" s="22"/>
      <c r="DR211" s="22"/>
      <c r="DS211" s="22"/>
      <c r="DT211" s="22"/>
      <c r="DU211" s="22"/>
      <c r="DV211" s="22"/>
      <c r="DW211" s="22"/>
      <c r="DX211" s="22"/>
      <c r="DY211" s="22"/>
      <c r="DZ211" s="22"/>
      <c r="EA211" s="22"/>
      <c r="EB211" s="22"/>
      <c r="EC211" s="22"/>
      <c r="ED211" s="22"/>
      <c r="EE211" s="22"/>
      <c r="EF211" s="22"/>
      <c r="EG211" s="22"/>
      <c r="EH211" s="22"/>
      <c r="EI211" s="22"/>
      <c r="EJ211" s="22"/>
      <c r="EK211" s="22"/>
      <c r="EL211" s="22"/>
      <c r="EM211" s="22"/>
      <c r="EN211" s="22"/>
      <c r="EO211" s="22"/>
      <c r="EP211" s="22"/>
      <c r="EQ211" s="22"/>
      <c r="ER211" s="22"/>
      <c r="ES211" s="43"/>
      <c r="ET211" s="43"/>
      <c r="EU211" s="43"/>
      <c r="EV211" s="43"/>
      <c r="EW211" s="43"/>
      <c r="EX211" s="43"/>
      <c r="EY211" s="43"/>
      <c r="EZ211" s="43"/>
      <c r="FA211" s="43"/>
      <c r="FB211" s="43"/>
      <c r="FC211" s="43"/>
      <c r="FD211" s="43"/>
      <c r="FE211" s="43"/>
      <c r="FF211" s="43"/>
      <c r="FG211" s="43"/>
      <c r="FH211" s="43"/>
      <c r="FI211" s="43"/>
    </row>
    <row r="212" ht="18.0" customHeight="1">
      <c r="A212" s="22" t="s">
        <v>2659</v>
      </c>
      <c r="B212" s="43" t="s">
        <v>3322</v>
      </c>
      <c r="C212" s="22" t="s">
        <v>2661</v>
      </c>
      <c r="D212" s="22" t="s">
        <v>119</v>
      </c>
      <c r="E212" s="43"/>
      <c r="F212" s="22" t="s">
        <v>3323</v>
      </c>
      <c r="G212" s="22" t="s">
        <v>2663</v>
      </c>
      <c r="H212" s="22" t="s">
        <v>2703</v>
      </c>
      <c r="I212" s="43"/>
      <c r="J212" s="43"/>
      <c r="K212" s="22" t="b">
        <v>1</v>
      </c>
      <c r="L212" s="22" t="b">
        <v>1</v>
      </c>
      <c r="M212" s="22" t="b">
        <v>1</v>
      </c>
      <c r="N212" s="22" t="b">
        <v>1</v>
      </c>
      <c r="O212" s="22" t="b">
        <v>0</v>
      </c>
      <c r="P212" s="22" t="b">
        <v>0</v>
      </c>
      <c r="Q212" s="22" t="b">
        <v>0</v>
      </c>
      <c r="R212" s="43"/>
      <c r="S212" s="43" t="s">
        <v>3324</v>
      </c>
      <c r="T212" s="22" t="s">
        <v>3322</v>
      </c>
      <c r="U212" s="22" t="s">
        <v>3322</v>
      </c>
      <c r="V212" s="22" t="s">
        <v>3322</v>
      </c>
      <c r="W212" s="43"/>
      <c r="X212" s="43"/>
      <c r="Y212" s="43"/>
      <c r="Z212" s="43"/>
      <c r="AA212" s="22">
        <v>1.00410775E8</v>
      </c>
      <c r="AB212" s="22">
        <v>7.27886779E8</v>
      </c>
      <c r="AC212" s="22">
        <v>1.01821048654E11</v>
      </c>
      <c r="AD212" s="22"/>
      <c r="AE212" s="22"/>
      <c r="AF212" s="43"/>
      <c r="AG212" s="43"/>
      <c r="AH212" s="43" t="s">
        <v>3323</v>
      </c>
      <c r="AI212" s="22" t="s">
        <v>3134</v>
      </c>
      <c r="AJ212" s="22" t="s">
        <v>3325</v>
      </c>
      <c r="AK212" s="22" t="s">
        <v>3325</v>
      </c>
      <c r="AL212" s="43"/>
      <c r="AM212" s="43"/>
      <c r="AN212" s="43"/>
      <c r="AO212" s="43"/>
      <c r="AP212" s="46" t="s">
        <v>3326</v>
      </c>
      <c r="AQ212" s="46" t="s">
        <v>3327</v>
      </c>
      <c r="AR212" s="46" t="s">
        <v>3328</v>
      </c>
      <c r="AS212" s="43"/>
      <c r="AT212" s="43"/>
      <c r="AU212" s="43"/>
      <c r="AV212" s="43"/>
      <c r="AW212" s="22" t="s">
        <v>649</v>
      </c>
      <c r="AX212" s="22" t="s">
        <v>3325</v>
      </c>
      <c r="AY212" s="22" t="s">
        <v>372</v>
      </c>
      <c r="AZ212" s="43"/>
      <c r="BA212" s="43"/>
      <c r="BB212" s="43"/>
      <c r="BC212" s="43"/>
      <c r="BD212" s="43" t="s">
        <v>1449</v>
      </c>
      <c r="BE212" s="59" t="s">
        <v>2755</v>
      </c>
      <c r="BF212" s="22" t="s">
        <v>131</v>
      </c>
      <c r="BG212" s="22" t="s">
        <v>132</v>
      </c>
      <c r="BH212" s="22" t="s">
        <v>132</v>
      </c>
      <c r="BI212" s="22" t="s">
        <v>132</v>
      </c>
      <c r="BJ212" s="43"/>
      <c r="BK212" s="43"/>
      <c r="BL212" s="22">
        <v>4.631144673056E12</v>
      </c>
      <c r="BM212" s="22">
        <v>2.103909009E9</v>
      </c>
      <c r="BN212" s="22" t="s">
        <v>3140</v>
      </c>
      <c r="BO212" s="22"/>
      <c r="BP212" s="22" t="s">
        <v>145</v>
      </c>
      <c r="BQ212" s="43"/>
      <c r="BR212" s="43"/>
      <c r="BS212" s="22" t="s">
        <v>3141</v>
      </c>
      <c r="BT212" s="43"/>
      <c r="BU212" s="22" t="s">
        <v>3142</v>
      </c>
      <c r="BV212" s="22" t="s">
        <v>3143</v>
      </c>
      <c r="BW212" s="22" t="s">
        <v>3144</v>
      </c>
      <c r="BX212" s="22">
        <v>10.0</v>
      </c>
      <c r="BY212" s="22" t="s">
        <v>492</v>
      </c>
      <c r="BZ212" s="22"/>
      <c r="CA212" s="22"/>
      <c r="CB212" s="22"/>
      <c r="CC212" s="45" t="s">
        <v>3329</v>
      </c>
      <c r="CD212" s="43"/>
      <c r="CE212" s="43"/>
      <c r="CF212" s="45"/>
      <c r="CG212" s="43"/>
      <c r="CH212" s="43"/>
      <c r="CI212" s="43"/>
      <c r="CJ212" s="43"/>
      <c r="CK212" s="43"/>
      <c r="CL212" s="43"/>
      <c r="CM212" s="49">
        <f>IFERROR(VLOOKUP(B212,CC!A:D,4,0)," ")</f>
        <v>103.47</v>
      </c>
      <c r="CN212" s="22" t="s">
        <v>3330</v>
      </c>
      <c r="CO212" s="22"/>
      <c r="CP212" s="43"/>
      <c r="CQ212" s="22">
        <v>45.0</v>
      </c>
      <c r="CR212" s="43"/>
      <c r="CS212" s="22">
        <v>1.0</v>
      </c>
      <c r="CT212" s="22" t="s">
        <v>145</v>
      </c>
      <c r="CU212" s="43"/>
      <c r="CV212" s="43"/>
      <c r="CW212" s="43"/>
      <c r="CX212" s="43"/>
      <c r="CY212" s="43" t="b">
        <v>0</v>
      </c>
      <c r="CZ212" s="43" t="b">
        <v>0</v>
      </c>
      <c r="DA212" s="43" t="b">
        <v>0</v>
      </c>
      <c r="DB212" s="43" t="b">
        <v>0</v>
      </c>
      <c r="DC212" s="43"/>
      <c r="DD212" s="43"/>
      <c r="DE212" s="43"/>
      <c r="DF212" s="43"/>
      <c r="DG212" s="43"/>
      <c r="DH212" s="43"/>
      <c r="DI212" s="43"/>
      <c r="DJ212" s="22">
        <f>IFERROR(VLOOKUP($B212,'Лист4'!$D:$AI,27,0)," ")</f>
        <v>10</v>
      </c>
      <c r="DK212" s="22">
        <f>IFERROR(VLOOKUP($B212,'Лист4'!$D:$AI,28,0)," ")</f>
        <v>1</v>
      </c>
      <c r="DL212" s="22">
        <f>IFERROR(VLOOKUP($B212,'Лист4'!$D:$AI,29,0)," ")</f>
        <v>10</v>
      </c>
      <c r="DM212" s="22">
        <f t="shared" si="2"/>
        <v>100</v>
      </c>
      <c r="DN212" s="22">
        <f>IFERROR(VLOOKUP($B212,'Лист4'!$D:$AI,32,0)," ")</f>
        <v>0.015</v>
      </c>
      <c r="DO212" s="22"/>
      <c r="DP212" s="22"/>
      <c r="DQ212" s="22"/>
      <c r="DR212" s="22"/>
      <c r="DS212" s="22"/>
      <c r="DT212" s="22"/>
      <c r="DU212" s="22"/>
      <c r="DV212" s="22"/>
      <c r="DW212" s="22"/>
      <c r="DX212" s="22"/>
      <c r="DY212" s="22"/>
      <c r="DZ212" s="22"/>
      <c r="EA212" s="22"/>
      <c r="EB212" s="22"/>
      <c r="EC212" s="22"/>
      <c r="ED212" s="22"/>
      <c r="EE212" s="22"/>
      <c r="EF212" s="22"/>
      <c r="EG212" s="22"/>
      <c r="EH212" s="22"/>
      <c r="EI212" s="22"/>
      <c r="EJ212" s="22"/>
      <c r="EK212" s="22"/>
      <c r="EL212" s="22"/>
      <c r="EM212" s="22"/>
      <c r="EN212" s="22"/>
      <c r="EO212" s="22"/>
      <c r="EP212" s="22"/>
      <c r="EQ212" s="22"/>
      <c r="ER212" s="22"/>
      <c r="ES212" s="43"/>
      <c r="ET212" s="43"/>
      <c r="EU212" s="43"/>
      <c r="EV212" s="43"/>
      <c r="EW212" s="43"/>
      <c r="EX212" s="43"/>
      <c r="EY212" s="43"/>
      <c r="EZ212" s="43"/>
      <c r="FA212" s="43"/>
      <c r="FB212" s="43"/>
      <c r="FC212" s="43"/>
      <c r="FD212" s="43"/>
      <c r="FE212" s="43"/>
      <c r="FF212" s="43"/>
      <c r="FG212" s="43"/>
      <c r="FH212" s="43"/>
      <c r="FI212" s="43"/>
    </row>
    <row r="213" ht="18.0" customHeight="1">
      <c r="A213" s="22" t="s">
        <v>2659</v>
      </c>
      <c r="B213" s="43" t="s">
        <v>3331</v>
      </c>
      <c r="C213" s="22" t="s">
        <v>2661</v>
      </c>
      <c r="D213" s="22" t="s">
        <v>119</v>
      </c>
      <c r="E213" s="43"/>
      <c r="F213" s="22" t="s">
        <v>3332</v>
      </c>
      <c r="G213" s="22" t="s">
        <v>2663</v>
      </c>
      <c r="H213" s="22" t="s">
        <v>2860</v>
      </c>
      <c r="I213" s="43"/>
      <c r="J213" s="43"/>
      <c r="K213" s="22" t="b">
        <v>1</v>
      </c>
      <c r="L213" s="22" t="b">
        <v>1</v>
      </c>
      <c r="M213" s="22" t="b">
        <v>1</v>
      </c>
      <c r="N213" s="22" t="b">
        <v>1</v>
      </c>
      <c r="O213" s="22" t="b">
        <v>0</v>
      </c>
      <c r="P213" s="22" t="b">
        <v>0</v>
      </c>
      <c r="Q213" s="22" t="b">
        <v>0</v>
      </c>
      <c r="R213" s="43"/>
      <c r="S213" s="43" t="s">
        <v>3333</v>
      </c>
      <c r="T213" s="22" t="s">
        <v>3331</v>
      </c>
      <c r="U213" s="22" t="s">
        <v>3331</v>
      </c>
      <c r="V213" s="22" t="s">
        <v>3331</v>
      </c>
      <c r="W213" s="43"/>
      <c r="X213" s="43"/>
      <c r="Y213" s="43"/>
      <c r="Z213" s="43"/>
      <c r="AA213" s="22">
        <v>2.34150851E8</v>
      </c>
      <c r="AB213" s="22">
        <v>1.590039392E9</v>
      </c>
      <c r="AC213" s="22">
        <v>1.03515408311E11</v>
      </c>
      <c r="AD213" s="22"/>
      <c r="AE213" s="22"/>
      <c r="AF213" s="43"/>
      <c r="AG213" s="43"/>
      <c r="AH213" s="43" t="s">
        <v>3332</v>
      </c>
      <c r="AI213" s="22" t="s">
        <v>3334</v>
      </c>
      <c r="AJ213" s="22" t="s">
        <v>3335</v>
      </c>
      <c r="AK213" s="22" t="s">
        <v>3336</v>
      </c>
      <c r="AL213" s="43"/>
      <c r="AM213" s="43"/>
      <c r="AN213" s="43"/>
      <c r="AO213" s="43"/>
      <c r="AP213" s="46" t="s">
        <v>3337</v>
      </c>
      <c r="AQ213" s="46" t="s">
        <v>3338</v>
      </c>
      <c r="AR213" s="46" t="s">
        <v>3339</v>
      </c>
      <c r="AS213" s="43"/>
      <c r="AT213" s="43"/>
      <c r="AU213" s="43"/>
      <c r="AV213" s="43"/>
      <c r="AW213" s="22" t="s">
        <v>594</v>
      </c>
      <c r="AX213" s="22" t="s">
        <v>3335</v>
      </c>
      <c r="AY213" s="22" t="s">
        <v>2672</v>
      </c>
      <c r="AZ213" s="43"/>
      <c r="BA213" s="43"/>
      <c r="BB213" s="43"/>
      <c r="BC213" s="43"/>
      <c r="BD213" s="43" t="s">
        <v>2673</v>
      </c>
      <c r="BE213" s="59" t="s">
        <v>2755</v>
      </c>
      <c r="BF213" s="22" t="s">
        <v>131</v>
      </c>
      <c r="BG213" s="22" t="s">
        <v>132</v>
      </c>
      <c r="BH213" s="22" t="s">
        <v>132</v>
      </c>
      <c r="BI213" s="22" t="s">
        <v>132</v>
      </c>
      <c r="BJ213" s="43"/>
      <c r="BK213" s="43"/>
      <c r="BL213" s="22">
        <v>4.690766790237E12</v>
      </c>
      <c r="BM213" s="22">
        <v>3.30499E9</v>
      </c>
      <c r="BN213" s="22" t="s">
        <v>3340</v>
      </c>
      <c r="BO213" s="22"/>
      <c r="BP213" s="22" t="s">
        <v>496</v>
      </c>
      <c r="BQ213" s="43"/>
      <c r="BR213" s="43"/>
      <c r="BS213" s="22" t="s">
        <v>3341</v>
      </c>
      <c r="BT213" s="43"/>
      <c r="BU213" s="22" t="s">
        <v>3342</v>
      </c>
      <c r="BV213" s="22" t="s">
        <v>3343</v>
      </c>
      <c r="BW213" s="22" t="s">
        <v>3344</v>
      </c>
      <c r="BX213" s="22">
        <v>30.0</v>
      </c>
      <c r="BY213" s="22" t="s">
        <v>139</v>
      </c>
      <c r="BZ213" s="22"/>
      <c r="CA213" s="22"/>
      <c r="CB213" s="22"/>
      <c r="CC213" s="45" t="s">
        <v>3345</v>
      </c>
      <c r="CD213" s="43"/>
      <c r="CE213" s="43"/>
      <c r="CF213" s="45"/>
      <c r="CG213" s="43"/>
      <c r="CH213" s="43"/>
      <c r="CI213" s="43"/>
      <c r="CJ213" s="43"/>
      <c r="CK213" s="43"/>
      <c r="CL213" s="43"/>
      <c r="CM213" s="49">
        <f>IFERROR(VLOOKUP(B213,CC!A:D,4,0)," ")</f>
        <v>120.41</v>
      </c>
      <c r="CN213" s="22" t="s">
        <v>3346</v>
      </c>
      <c r="CO213" s="22"/>
      <c r="CP213" s="43"/>
      <c r="CQ213" s="22">
        <v>45.0</v>
      </c>
      <c r="CR213" s="43"/>
      <c r="CS213" s="22">
        <v>1.0</v>
      </c>
      <c r="CT213" s="22" t="s">
        <v>145</v>
      </c>
      <c r="CU213" s="43"/>
      <c r="CV213" s="43"/>
      <c r="CW213" s="43"/>
      <c r="CX213" s="43"/>
      <c r="CY213" s="43" t="b">
        <v>0</v>
      </c>
      <c r="CZ213" s="43" t="b">
        <v>0</v>
      </c>
      <c r="DA213" s="43" t="b">
        <v>0</v>
      </c>
      <c r="DB213" s="43" t="b">
        <v>0</v>
      </c>
      <c r="DC213" s="43"/>
      <c r="DD213" s="43"/>
      <c r="DE213" s="43"/>
      <c r="DF213" s="43"/>
      <c r="DG213" s="43"/>
      <c r="DH213" s="43"/>
      <c r="DI213" s="43"/>
      <c r="DJ213" s="22">
        <f>IFERROR(VLOOKUP($B213,'Лист4'!$D:$AI,27,0)," ")</f>
        <v>4</v>
      </c>
      <c r="DK213" s="22">
        <f>IFERROR(VLOOKUP($B213,'Лист4'!$D:$AI,28,0)," ")</f>
        <v>4</v>
      </c>
      <c r="DL213" s="22">
        <f>IFERROR(VLOOKUP($B213,'Лист4'!$D:$AI,29,0)," ")</f>
        <v>4</v>
      </c>
      <c r="DM213" s="22">
        <f t="shared" si="2"/>
        <v>64</v>
      </c>
      <c r="DN213" s="22">
        <f>IFERROR(VLOOKUP($B213,'Лист4'!$D:$AI,32,0)," ")</f>
        <v>0.052</v>
      </c>
      <c r="DO213" s="22"/>
      <c r="DP213" s="22"/>
      <c r="DQ213" s="22"/>
      <c r="DR213" s="22"/>
      <c r="DS213" s="22"/>
      <c r="DT213" s="22"/>
      <c r="DU213" s="22"/>
      <c r="DV213" s="22"/>
      <c r="DW213" s="22"/>
      <c r="DX213" s="22"/>
      <c r="DY213" s="22"/>
      <c r="DZ213" s="22"/>
      <c r="EA213" s="22"/>
      <c r="EB213" s="22"/>
      <c r="EC213" s="22"/>
      <c r="ED213" s="22"/>
      <c r="EE213" s="22"/>
      <c r="EF213" s="22"/>
      <c r="EG213" s="22"/>
      <c r="EH213" s="22"/>
      <c r="EI213" s="22"/>
      <c r="EJ213" s="22"/>
      <c r="EK213" s="22"/>
      <c r="EL213" s="22"/>
      <c r="EM213" s="22"/>
      <c r="EN213" s="22"/>
      <c r="EO213" s="22"/>
      <c r="EP213" s="22"/>
      <c r="EQ213" s="22"/>
      <c r="ER213" s="22"/>
      <c r="ES213" s="43"/>
      <c r="ET213" s="43"/>
      <c r="EU213" s="43"/>
      <c r="EV213" s="43"/>
      <c r="EW213" s="43"/>
      <c r="EX213" s="43"/>
      <c r="EY213" s="43"/>
      <c r="EZ213" s="43"/>
      <c r="FA213" s="43"/>
      <c r="FB213" s="43"/>
      <c r="FC213" s="43"/>
      <c r="FD213" s="43"/>
      <c r="FE213" s="43"/>
      <c r="FF213" s="43"/>
      <c r="FG213" s="43"/>
      <c r="FH213" s="43"/>
      <c r="FI213" s="43"/>
    </row>
    <row r="214" ht="18.0" customHeight="1">
      <c r="A214" s="22" t="s">
        <v>2659</v>
      </c>
      <c r="B214" s="43" t="s">
        <v>3347</v>
      </c>
      <c r="C214" s="22" t="s">
        <v>2741</v>
      </c>
      <c r="D214" s="22" t="s">
        <v>119</v>
      </c>
      <c r="E214" s="43"/>
      <c r="F214" s="22" t="s">
        <v>3348</v>
      </c>
      <c r="G214" s="22" t="s">
        <v>2743</v>
      </c>
      <c r="H214" s="22" t="s">
        <v>1821</v>
      </c>
      <c r="I214" s="43"/>
      <c r="J214" s="43"/>
      <c r="K214" s="22" t="b">
        <v>1</v>
      </c>
      <c r="L214" s="22" t="b">
        <v>1</v>
      </c>
      <c r="M214" s="22" t="b">
        <v>1</v>
      </c>
      <c r="N214" s="22" t="b">
        <v>1</v>
      </c>
      <c r="O214" s="22" t="b">
        <v>1</v>
      </c>
      <c r="P214" s="22" t="b">
        <v>1</v>
      </c>
      <c r="Q214" s="22" t="b">
        <v>0</v>
      </c>
      <c r="R214" s="43"/>
      <c r="S214" s="43" t="s">
        <v>3349</v>
      </c>
      <c r="T214" s="22" t="s">
        <v>3347</v>
      </c>
      <c r="U214" s="22" t="s">
        <v>3347</v>
      </c>
      <c r="V214" s="22" t="s">
        <v>3347</v>
      </c>
      <c r="W214" s="43" t="s">
        <v>3347</v>
      </c>
      <c r="X214" s="43" t="s">
        <v>3347</v>
      </c>
      <c r="Y214" s="43"/>
      <c r="Z214" s="43"/>
      <c r="AA214" s="22">
        <v>2.60388016E8</v>
      </c>
      <c r="AB214" s="22">
        <v>1.691475362E9</v>
      </c>
      <c r="AC214" s="22">
        <v>1.03515391497E11</v>
      </c>
      <c r="AD214" s="22">
        <v>9.9000114731E10</v>
      </c>
      <c r="AE214" s="22" t="s">
        <v>3350</v>
      </c>
      <c r="AF214" s="43"/>
      <c r="AG214" s="43"/>
      <c r="AH214" s="43" t="s">
        <v>3348</v>
      </c>
      <c r="AI214" s="22" t="s">
        <v>3351</v>
      </c>
      <c r="AJ214" s="22" t="s">
        <v>3352</v>
      </c>
      <c r="AK214" s="22" t="s">
        <v>3353</v>
      </c>
      <c r="AL214" s="22" t="s">
        <v>3354</v>
      </c>
      <c r="AM214" s="22" t="s">
        <v>3355</v>
      </c>
      <c r="AN214" s="43"/>
      <c r="AO214" s="43"/>
      <c r="AP214" s="46" t="s">
        <v>3356</v>
      </c>
      <c r="AQ214" s="46" t="s">
        <v>3357</v>
      </c>
      <c r="AR214" s="46" t="s">
        <v>3358</v>
      </c>
      <c r="AS214" s="46" t="s">
        <v>3359</v>
      </c>
      <c r="AT214" s="46" t="s">
        <v>3360</v>
      </c>
      <c r="AU214" s="43"/>
      <c r="AV214" s="43"/>
      <c r="AW214" s="22" t="s">
        <v>594</v>
      </c>
      <c r="AX214" s="22" t="s">
        <v>3352</v>
      </c>
      <c r="AY214" s="22" t="s">
        <v>3361</v>
      </c>
      <c r="AZ214" s="22" t="s">
        <v>1834</v>
      </c>
      <c r="BA214" s="22" t="s">
        <v>3083</v>
      </c>
      <c r="BB214" s="43"/>
      <c r="BC214" s="43"/>
      <c r="BD214" s="43" t="s">
        <v>2673</v>
      </c>
      <c r="BE214" s="59" t="s">
        <v>2755</v>
      </c>
      <c r="BF214" s="22" t="s">
        <v>131</v>
      </c>
      <c r="BG214" s="22" t="s">
        <v>132</v>
      </c>
      <c r="BH214" s="22" t="s">
        <v>132</v>
      </c>
      <c r="BI214" s="22" t="s">
        <v>132</v>
      </c>
      <c r="BJ214" s="43"/>
      <c r="BK214" s="43"/>
      <c r="BL214" s="22" t="s">
        <v>3362</v>
      </c>
      <c r="BM214" s="22">
        <v>3.30499E9</v>
      </c>
      <c r="BN214" s="22" t="s">
        <v>3363</v>
      </c>
      <c r="BO214" s="22"/>
      <c r="BP214" s="22" t="s">
        <v>145</v>
      </c>
      <c r="BQ214" s="43"/>
      <c r="BR214" s="43"/>
      <c r="BS214" s="22" t="s">
        <v>3364</v>
      </c>
      <c r="BT214" s="43"/>
      <c r="BU214" s="22" t="s">
        <v>3365</v>
      </c>
      <c r="BV214" s="43" t="s">
        <v>3366</v>
      </c>
      <c r="BW214" s="22" t="s">
        <v>1433</v>
      </c>
      <c r="BX214" s="22">
        <v>200.0</v>
      </c>
      <c r="BY214" s="22" t="s">
        <v>139</v>
      </c>
      <c r="BZ214" s="22"/>
      <c r="CA214" s="22" t="s">
        <v>355</v>
      </c>
      <c r="CB214" s="22" t="s">
        <v>307</v>
      </c>
      <c r="CC214" s="45" t="s">
        <v>3367</v>
      </c>
      <c r="CD214" s="43"/>
      <c r="CE214" s="43"/>
      <c r="CF214" s="45"/>
      <c r="CG214" s="43"/>
      <c r="CH214" s="43"/>
      <c r="CI214" s="43"/>
      <c r="CJ214" s="43"/>
      <c r="CK214" s="43"/>
      <c r="CL214" s="43"/>
      <c r="CM214" s="49">
        <f>IFERROR(VLOOKUP(B214,CC!A:D,4,0)," ")</f>
        <v>130</v>
      </c>
      <c r="CN214" s="22" t="s">
        <v>3368</v>
      </c>
      <c r="CO214" s="22" t="s">
        <v>3020</v>
      </c>
      <c r="CP214" s="22" t="s">
        <v>2835</v>
      </c>
      <c r="CQ214" s="22">
        <v>90.0</v>
      </c>
      <c r="CR214" s="43"/>
      <c r="CS214" s="43"/>
      <c r="CT214" s="22" t="s">
        <v>145</v>
      </c>
      <c r="CU214" s="43"/>
      <c r="CV214" s="43"/>
      <c r="CW214" s="43"/>
      <c r="CX214" s="43"/>
      <c r="CY214" s="43" t="b">
        <v>0</v>
      </c>
      <c r="CZ214" s="43" t="b">
        <v>0</v>
      </c>
      <c r="DA214" s="43" t="b">
        <v>0</v>
      </c>
      <c r="DB214" s="43" t="b">
        <v>0</v>
      </c>
      <c r="DC214" s="43"/>
      <c r="DD214" s="43"/>
      <c r="DE214" s="43"/>
      <c r="DF214" s="43"/>
      <c r="DG214" s="43"/>
      <c r="DH214" s="43"/>
      <c r="DI214" s="43"/>
      <c r="DJ214" s="22">
        <f>IFERROR(VLOOKUP($B214,'Лист4'!$D:$AI,27,0)," ")</f>
        <v>4</v>
      </c>
      <c r="DK214" s="22">
        <f>IFERROR(VLOOKUP($B214,'Лист4'!$D:$AI,28,0)," ")</f>
        <v>19</v>
      </c>
      <c r="DL214" s="22">
        <f>IFERROR(VLOOKUP($B214,'Лист4'!$D:$AI,29,0)," ")</f>
        <v>4</v>
      </c>
      <c r="DM214" s="22">
        <f t="shared" si="2"/>
        <v>304</v>
      </c>
      <c r="DN214" s="22">
        <f>IFERROR(VLOOKUP($B214,'Лист4'!$D:$AI,32,0)," ")</f>
        <v>0.226</v>
      </c>
      <c r="DO214" s="22"/>
      <c r="DP214" s="22"/>
      <c r="DQ214" s="22"/>
      <c r="DR214" s="22"/>
      <c r="DS214" s="22"/>
      <c r="DT214" s="22"/>
      <c r="DU214" s="22"/>
      <c r="DV214" s="22"/>
      <c r="DW214" s="22"/>
      <c r="DX214" s="22"/>
      <c r="DY214" s="22"/>
      <c r="DZ214" s="22"/>
      <c r="EA214" s="22"/>
      <c r="EB214" s="22"/>
      <c r="EC214" s="22"/>
      <c r="ED214" s="22"/>
      <c r="EE214" s="22"/>
      <c r="EF214" s="22"/>
      <c r="EG214" s="22"/>
      <c r="EH214" s="22"/>
      <c r="EI214" s="22"/>
      <c r="EJ214" s="22"/>
      <c r="EK214" s="22"/>
      <c r="EL214" s="22"/>
      <c r="EM214" s="22"/>
      <c r="EN214" s="22"/>
      <c r="EO214" s="22"/>
      <c r="EP214" s="22"/>
      <c r="EQ214" s="22"/>
      <c r="ER214" s="22"/>
      <c r="ES214" s="43"/>
      <c r="ET214" s="43"/>
      <c r="EU214" s="43"/>
      <c r="EV214" s="43"/>
      <c r="EW214" s="43"/>
      <c r="EX214" s="43"/>
      <c r="EY214" s="43"/>
      <c r="EZ214" s="43"/>
      <c r="FA214" s="43"/>
      <c r="FB214" s="43"/>
      <c r="FC214" s="43"/>
      <c r="FD214" s="43"/>
      <c r="FE214" s="43"/>
      <c r="FF214" s="43"/>
      <c r="FG214" s="43"/>
      <c r="FH214" s="43"/>
      <c r="FI214" s="43"/>
    </row>
    <row r="215" ht="18.0" customHeight="1">
      <c r="A215" s="22" t="s">
        <v>2659</v>
      </c>
      <c r="B215" s="43" t="s">
        <v>3369</v>
      </c>
      <c r="C215" s="22" t="s">
        <v>2741</v>
      </c>
      <c r="D215" s="22" t="s">
        <v>119</v>
      </c>
      <c r="E215" s="43"/>
      <c r="F215" s="22" t="s">
        <v>3370</v>
      </c>
      <c r="G215" s="22" t="s">
        <v>2743</v>
      </c>
      <c r="H215" s="22" t="s">
        <v>287</v>
      </c>
      <c r="I215" s="43"/>
      <c r="J215" s="43"/>
      <c r="K215" s="22" t="b">
        <v>1</v>
      </c>
      <c r="L215" s="22" t="b">
        <v>1</v>
      </c>
      <c r="M215" s="22" t="b">
        <v>1</v>
      </c>
      <c r="N215" s="22" t="b">
        <v>1</v>
      </c>
      <c r="O215" s="22" t="b">
        <v>1</v>
      </c>
      <c r="P215" s="22" t="b">
        <v>1</v>
      </c>
      <c r="Q215" s="22" t="b">
        <v>0</v>
      </c>
      <c r="R215" s="43"/>
      <c r="S215" s="43" t="s">
        <v>3371</v>
      </c>
      <c r="T215" s="22" t="s">
        <v>3369</v>
      </c>
      <c r="U215" s="22" t="s">
        <v>3369</v>
      </c>
      <c r="V215" s="22" t="s">
        <v>3369</v>
      </c>
      <c r="W215" s="43" t="s">
        <v>3369</v>
      </c>
      <c r="X215" s="43" t="s">
        <v>3369</v>
      </c>
      <c r="Y215" s="43"/>
      <c r="Z215" s="43"/>
      <c r="AA215" s="22">
        <v>3.44464243E8</v>
      </c>
      <c r="AB215" s="22">
        <v>1.917245431E9</v>
      </c>
      <c r="AC215" s="22">
        <v>4.498427241E9</v>
      </c>
      <c r="AD215" s="22">
        <v>9.9000076208E10</v>
      </c>
      <c r="AE215" s="22" t="s">
        <v>3372</v>
      </c>
      <c r="AF215" s="43"/>
      <c r="AG215" s="43"/>
      <c r="AH215" s="43" t="s">
        <v>3370</v>
      </c>
      <c r="AI215" s="22" t="s">
        <v>3373</v>
      </c>
      <c r="AJ215" s="22" t="s">
        <v>3374</v>
      </c>
      <c r="AK215" s="22" t="s">
        <v>3375</v>
      </c>
      <c r="AL215" s="22" t="s">
        <v>3376</v>
      </c>
      <c r="AM215" s="22" t="s">
        <v>3377</v>
      </c>
      <c r="AN215" s="43"/>
      <c r="AO215" s="43"/>
      <c r="AP215" s="46" t="s">
        <v>3378</v>
      </c>
      <c r="AQ215" s="46" t="s">
        <v>3379</v>
      </c>
      <c r="AR215" s="46" t="s">
        <v>3380</v>
      </c>
      <c r="AS215" s="43"/>
      <c r="AT215" s="46" t="s">
        <v>3381</v>
      </c>
      <c r="AU215" s="43"/>
      <c r="AV215" s="43"/>
      <c r="AW215" s="22" t="s">
        <v>3035</v>
      </c>
      <c r="AX215" s="22" t="s">
        <v>3374</v>
      </c>
      <c r="AY215" s="22" t="s">
        <v>326</v>
      </c>
      <c r="AZ215" s="22" t="s">
        <v>300</v>
      </c>
      <c r="BA215" s="22" t="s">
        <v>3382</v>
      </c>
      <c r="BB215" s="43"/>
      <c r="BC215" s="43"/>
      <c r="BD215" s="43" t="s">
        <v>2673</v>
      </c>
      <c r="BE215" s="59" t="s">
        <v>2755</v>
      </c>
      <c r="BF215" s="22" t="s">
        <v>131</v>
      </c>
      <c r="BG215" s="22" t="s">
        <v>132</v>
      </c>
      <c r="BH215" s="22" t="s">
        <v>132</v>
      </c>
      <c r="BI215" s="22" t="s">
        <v>132</v>
      </c>
      <c r="BJ215" s="43"/>
      <c r="BK215" s="43"/>
      <c r="BL215" s="22">
        <v>4.603320465366E12</v>
      </c>
      <c r="BM215" s="22">
        <v>3.305900009E9</v>
      </c>
      <c r="BN215" s="22" t="s">
        <v>3383</v>
      </c>
      <c r="BO215" s="22"/>
      <c r="BP215" s="22" t="s">
        <v>496</v>
      </c>
      <c r="BQ215" s="43"/>
      <c r="BR215" s="43"/>
      <c r="BS215" s="22" t="s">
        <v>3384</v>
      </c>
      <c r="BT215" s="43"/>
      <c r="BU215" s="22" t="s">
        <v>3385</v>
      </c>
      <c r="BV215" s="43" t="s">
        <v>3386</v>
      </c>
      <c r="BW215" s="22" t="s">
        <v>3088</v>
      </c>
      <c r="BX215" s="22">
        <v>500.0</v>
      </c>
      <c r="BY215" s="22" t="s">
        <v>139</v>
      </c>
      <c r="BZ215" s="22"/>
      <c r="CA215" s="22" t="s">
        <v>726</v>
      </c>
      <c r="CB215" s="22" t="s">
        <v>727</v>
      </c>
      <c r="CC215" s="45" t="s">
        <v>3387</v>
      </c>
      <c r="CD215" s="43"/>
      <c r="CE215" s="43"/>
      <c r="CF215" s="45"/>
      <c r="CG215" s="54">
        <v>46086.0</v>
      </c>
      <c r="CH215" s="46" t="s">
        <v>3388</v>
      </c>
      <c r="CI215" s="43"/>
      <c r="CJ215" s="43"/>
      <c r="CK215" s="43"/>
      <c r="CL215" s="43"/>
      <c r="CM215" s="49">
        <f>IFERROR(VLOOKUP(B215,CC!A:D,4,0)," ")</f>
        <v>136.15</v>
      </c>
      <c r="CN215" s="22"/>
      <c r="CO215" s="22" t="s">
        <v>2943</v>
      </c>
      <c r="CP215" s="22" t="s">
        <v>2944</v>
      </c>
      <c r="CQ215" s="22">
        <v>60.0</v>
      </c>
      <c r="CR215" s="43"/>
      <c r="CS215" s="43"/>
      <c r="CT215" s="22" t="s">
        <v>145</v>
      </c>
      <c r="CU215" s="43"/>
      <c r="CV215" s="43"/>
      <c r="CW215" s="43"/>
      <c r="CX215" s="43"/>
      <c r="CY215" s="43" t="b">
        <v>0</v>
      </c>
      <c r="CZ215" s="43" t="b">
        <v>0</v>
      </c>
      <c r="DA215" s="43" t="b">
        <v>0</v>
      </c>
      <c r="DB215" s="43" t="b">
        <v>0</v>
      </c>
      <c r="DC215" s="43"/>
      <c r="DD215" s="43"/>
      <c r="DE215" s="43"/>
      <c r="DF215" s="43"/>
      <c r="DG215" s="43"/>
      <c r="DH215" s="43"/>
      <c r="DI215" s="43"/>
      <c r="DJ215" s="22">
        <f>IFERROR(VLOOKUP($B215,'Лист4'!$D:$AI,27,0)," ")</f>
        <v>9</v>
      </c>
      <c r="DK215" s="22">
        <f>IFERROR(VLOOKUP($B215,'Лист4'!$D:$AI,28,0)," ")</f>
        <v>9</v>
      </c>
      <c r="DL215" s="22">
        <f>IFERROR(VLOOKUP($B215,'Лист4'!$D:$AI,29,0)," ")</f>
        <v>9</v>
      </c>
      <c r="DM215" s="22">
        <f t="shared" si="2"/>
        <v>729</v>
      </c>
      <c r="DN215" s="22">
        <f>IFERROR(VLOOKUP($B215,'Лист4'!$D:$AI,32,0)," ")</f>
        <v>0.52</v>
      </c>
      <c r="DO215" s="22"/>
      <c r="DP215" s="22"/>
      <c r="DQ215" s="22"/>
      <c r="DR215" s="22"/>
      <c r="DS215" s="22"/>
      <c r="DT215" s="22"/>
      <c r="DU215" s="22"/>
      <c r="DV215" s="22"/>
      <c r="DW215" s="22"/>
      <c r="DX215" s="22"/>
      <c r="DY215" s="22"/>
      <c r="DZ215" s="22"/>
      <c r="EA215" s="22"/>
      <c r="EB215" s="22"/>
      <c r="EC215" s="22"/>
      <c r="ED215" s="22"/>
      <c r="EE215" s="22"/>
      <c r="EF215" s="22"/>
      <c r="EG215" s="22"/>
      <c r="EH215" s="22"/>
      <c r="EI215" s="22"/>
      <c r="EJ215" s="22"/>
      <c r="EK215" s="22"/>
      <c r="EL215" s="22"/>
      <c r="EM215" s="22"/>
      <c r="EN215" s="22"/>
      <c r="EO215" s="22"/>
      <c r="EP215" s="22"/>
      <c r="EQ215" s="22"/>
      <c r="ER215" s="22"/>
      <c r="ES215" s="43"/>
      <c r="ET215" s="43"/>
      <c r="EU215" s="43"/>
      <c r="EV215" s="43"/>
      <c r="EW215" s="43"/>
      <c r="EX215" s="43"/>
      <c r="EY215" s="43"/>
      <c r="EZ215" s="43"/>
      <c r="FA215" s="43"/>
      <c r="FB215" s="43"/>
      <c r="FC215" s="43"/>
      <c r="FD215" s="43"/>
      <c r="FE215" s="43"/>
      <c r="FF215" s="43"/>
      <c r="FG215" s="43"/>
      <c r="FH215" s="43"/>
      <c r="FI215" s="43"/>
    </row>
    <row r="216" ht="18.0" customHeight="1">
      <c r="A216" s="22" t="s">
        <v>2659</v>
      </c>
      <c r="B216" s="43" t="s">
        <v>3389</v>
      </c>
      <c r="C216" s="22" t="s">
        <v>2661</v>
      </c>
      <c r="D216" s="22" t="s">
        <v>119</v>
      </c>
      <c r="E216" s="43"/>
      <c r="F216" s="22" t="s">
        <v>2875</v>
      </c>
      <c r="G216" s="22" t="s">
        <v>2663</v>
      </c>
      <c r="H216" s="22" t="s">
        <v>2876</v>
      </c>
      <c r="I216" s="43"/>
      <c r="J216" s="43"/>
      <c r="K216" s="22" t="b">
        <v>1</v>
      </c>
      <c r="L216" s="22" t="b">
        <v>1</v>
      </c>
      <c r="M216" s="22" t="b">
        <v>1</v>
      </c>
      <c r="N216" s="22" t="b">
        <v>1</v>
      </c>
      <c r="O216" s="22" t="b">
        <v>0</v>
      </c>
      <c r="P216" s="22" t="b">
        <v>0</v>
      </c>
      <c r="Q216" s="22" t="b">
        <v>0</v>
      </c>
      <c r="R216" s="43"/>
      <c r="S216" s="43" t="s">
        <v>3390</v>
      </c>
      <c r="T216" s="43" t="s">
        <v>3389</v>
      </c>
      <c r="U216" s="43" t="s">
        <v>3389</v>
      </c>
      <c r="V216" s="43" t="s">
        <v>3389</v>
      </c>
      <c r="W216" s="43"/>
      <c r="X216" s="43"/>
      <c r="Y216" s="43"/>
      <c r="Z216" s="43"/>
      <c r="AA216" s="22">
        <v>3.31501221E8</v>
      </c>
      <c r="AB216" s="22">
        <v>1.129300642E9</v>
      </c>
      <c r="AC216" s="22">
        <v>1.03816805317E11</v>
      </c>
      <c r="AD216" s="22"/>
      <c r="AE216" s="22"/>
      <c r="AF216" s="43"/>
      <c r="AG216" s="43"/>
      <c r="AH216" s="43" t="s">
        <v>2875</v>
      </c>
      <c r="AI216" s="22" t="s">
        <v>2878</v>
      </c>
      <c r="AJ216" s="22" t="s">
        <v>3391</v>
      </c>
      <c r="AK216" s="22" t="s">
        <v>3391</v>
      </c>
      <c r="AL216" s="43"/>
      <c r="AM216" s="43"/>
      <c r="AN216" s="43"/>
      <c r="AO216" s="43"/>
      <c r="AP216" s="46" t="s">
        <v>3392</v>
      </c>
      <c r="AQ216" s="46" t="s">
        <v>3393</v>
      </c>
      <c r="AR216" s="46" t="s">
        <v>3394</v>
      </c>
      <c r="AS216" s="43"/>
      <c r="AT216" s="43"/>
      <c r="AU216" s="43"/>
      <c r="AV216" s="43"/>
      <c r="AW216" s="22" t="s">
        <v>649</v>
      </c>
      <c r="AX216" s="22" t="s">
        <v>3391</v>
      </c>
      <c r="AY216" s="22" t="s">
        <v>3139</v>
      </c>
      <c r="AZ216" s="43"/>
      <c r="BA216" s="43"/>
      <c r="BB216" s="43"/>
      <c r="BC216" s="43"/>
      <c r="BD216" s="43" t="s">
        <v>1449</v>
      </c>
      <c r="BE216" s="59" t="s">
        <v>2674</v>
      </c>
      <c r="BF216" s="22" t="s">
        <v>131</v>
      </c>
      <c r="BG216" s="22" t="s">
        <v>132</v>
      </c>
      <c r="BH216" s="22" t="s">
        <v>132</v>
      </c>
      <c r="BI216" s="22" t="s">
        <v>132</v>
      </c>
      <c r="BJ216" s="43"/>
      <c r="BK216" s="43"/>
      <c r="BL216" s="22">
        <v>2.042827589663E12</v>
      </c>
      <c r="BM216" s="22">
        <v>2.106909809E9</v>
      </c>
      <c r="BN216" s="22" t="s">
        <v>2884</v>
      </c>
      <c r="BO216" s="22"/>
      <c r="BP216" s="22" t="s">
        <v>145</v>
      </c>
      <c r="BQ216" s="43"/>
      <c r="BR216" s="43"/>
      <c r="BS216" s="22" t="s">
        <v>2885</v>
      </c>
      <c r="BT216" s="22"/>
      <c r="BU216" s="22" t="s">
        <v>2886</v>
      </c>
      <c r="BV216" s="22" t="s">
        <v>2887</v>
      </c>
      <c r="BW216" s="22" t="s">
        <v>2698</v>
      </c>
      <c r="BX216" s="22">
        <v>10.0</v>
      </c>
      <c r="BY216" s="22" t="s">
        <v>421</v>
      </c>
      <c r="BZ216" s="43"/>
      <c r="CA216" s="22"/>
      <c r="CB216" s="22"/>
      <c r="CC216" s="45"/>
      <c r="CD216" s="43"/>
      <c r="CE216" s="43"/>
      <c r="CF216" s="45"/>
      <c r="CG216" s="43"/>
      <c r="CH216" s="43"/>
      <c r="CI216" s="43"/>
      <c r="CJ216" s="43"/>
      <c r="CK216" s="43"/>
      <c r="CL216" s="43"/>
      <c r="CM216" s="49">
        <f>IFERROR(VLOOKUP(B216,CC!A:D,4,0)," ")</f>
        <v>276.64</v>
      </c>
      <c r="CN216" s="22" t="s">
        <v>2873</v>
      </c>
      <c r="CO216" s="22"/>
      <c r="CP216" s="43"/>
      <c r="CQ216" s="22">
        <v>45.0</v>
      </c>
      <c r="CR216" s="43"/>
      <c r="CS216" s="22">
        <v>1.0</v>
      </c>
      <c r="CT216" s="22" t="s">
        <v>145</v>
      </c>
      <c r="CU216" s="43"/>
      <c r="CV216" s="43"/>
      <c r="CW216" s="43"/>
      <c r="CX216" s="43"/>
      <c r="CY216" s="43" t="b">
        <v>0</v>
      </c>
      <c r="CZ216" s="43" t="b">
        <v>0</v>
      </c>
      <c r="DA216" s="43" t="b">
        <v>0</v>
      </c>
      <c r="DB216" s="43" t="b">
        <v>0</v>
      </c>
      <c r="DC216" s="43"/>
      <c r="DD216" s="43"/>
      <c r="DE216" s="43"/>
      <c r="DF216" s="43"/>
      <c r="DG216" s="43"/>
      <c r="DH216" s="43"/>
      <c r="DI216" s="43"/>
      <c r="DJ216" s="22">
        <f>IFERROR(VLOOKUP($B216,'Лист4'!$D:$AI,27,0)," ")</f>
        <v>9</v>
      </c>
      <c r="DK216" s="22">
        <f>IFERROR(VLOOKUP($B216,'Лист4'!$D:$AI,28,0)," ")</f>
        <v>15</v>
      </c>
      <c r="DL216" s="22">
        <f>IFERROR(VLOOKUP($B216,'Лист4'!$D:$AI,29,0)," ")</f>
        <v>9</v>
      </c>
      <c r="DM216" s="22">
        <f t="shared" si="2"/>
        <v>1215</v>
      </c>
      <c r="DN216" s="22">
        <f>IFERROR(VLOOKUP($B216,'Лист4'!$D:$AI,32,0)," ")</f>
        <v>0.113</v>
      </c>
      <c r="DO216" s="22"/>
      <c r="DP216" s="22"/>
      <c r="DQ216" s="22"/>
      <c r="DR216" s="22"/>
      <c r="DS216" s="22"/>
      <c r="DT216" s="22"/>
      <c r="DU216" s="22"/>
      <c r="DV216" s="22"/>
      <c r="DW216" s="22"/>
      <c r="DX216" s="22"/>
      <c r="DY216" s="22"/>
      <c r="DZ216" s="22"/>
      <c r="EA216" s="22"/>
      <c r="EB216" s="22"/>
      <c r="EC216" s="22"/>
      <c r="ED216" s="22"/>
      <c r="EE216" s="22"/>
      <c r="EF216" s="22"/>
      <c r="EG216" s="22"/>
      <c r="EH216" s="22"/>
      <c r="EI216" s="22"/>
      <c r="EJ216" s="22"/>
      <c r="EK216" s="22"/>
      <c r="EL216" s="22"/>
      <c r="EM216" s="22"/>
      <c r="EN216" s="22"/>
      <c r="EO216" s="22"/>
      <c r="EP216" s="22"/>
      <c r="EQ216" s="22"/>
      <c r="ER216" s="22"/>
      <c r="ES216" s="43"/>
      <c r="ET216" s="43"/>
      <c r="EU216" s="43"/>
      <c r="EV216" s="43"/>
      <c r="EW216" s="43"/>
      <c r="EX216" s="43"/>
      <c r="EY216" s="43"/>
      <c r="EZ216" s="43"/>
      <c r="FA216" s="43"/>
      <c r="FB216" s="43"/>
      <c r="FC216" s="43"/>
      <c r="FD216" s="43"/>
      <c r="FE216" s="43"/>
      <c r="FF216" s="43"/>
      <c r="FG216" s="43"/>
      <c r="FH216" s="43"/>
      <c r="FI216" s="43"/>
    </row>
    <row r="217" ht="18.0" customHeight="1">
      <c r="A217" s="22" t="s">
        <v>2659</v>
      </c>
      <c r="B217" s="43" t="s">
        <v>3395</v>
      </c>
      <c r="C217" s="22" t="s">
        <v>2741</v>
      </c>
      <c r="D217" s="22" t="s">
        <v>119</v>
      </c>
      <c r="E217" s="43"/>
      <c r="F217" s="22" t="s">
        <v>3396</v>
      </c>
      <c r="G217" s="22" t="s">
        <v>2743</v>
      </c>
      <c r="H217" s="22" t="s">
        <v>565</v>
      </c>
      <c r="I217" s="43"/>
      <c r="J217" s="43"/>
      <c r="K217" s="22" t="b">
        <v>1</v>
      </c>
      <c r="L217" s="22" t="b">
        <v>1</v>
      </c>
      <c r="M217" s="22" t="b">
        <v>1</v>
      </c>
      <c r="N217" s="22" t="b">
        <v>1</v>
      </c>
      <c r="O217" s="22" t="b">
        <v>1</v>
      </c>
      <c r="P217" s="22" t="b">
        <v>1</v>
      </c>
      <c r="Q217" s="22" t="b">
        <v>0</v>
      </c>
      <c r="R217" s="43"/>
      <c r="S217" s="43" t="s">
        <v>3397</v>
      </c>
      <c r="T217" s="22" t="s">
        <v>3395</v>
      </c>
      <c r="U217" s="22" t="s">
        <v>3395</v>
      </c>
      <c r="V217" s="22" t="s">
        <v>3395</v>
      </c>
      <c r="W217" s="43" t="s">
        <v>3395</v>
      </c>
      <c r="X217" s="43" t="s">
        <v>3395</v>
      </c>
      <c r="Y217" s="43"/>
      <c r="Z217" s="43"/>
      <c r="AA217" s="22">
        <v>3.85736759E8</v>
      </c>
      <c r="AB217" s="22">
        <v>2.015547267E9</v>
      </c>
      <c r="AC217" s="22">
        <v>4.334347819E9</v>
      </c>
      <c r="AD217" s="22">
        <v>9.9000114728E10</v>
      </c>
      <c r="AE217" s="22" t="s">
        <v>3398</v>
      </c>
      <c r="AF217" s="43"/>
      <c r="AG217" s="43"/>
      <c r="AH217" s="43" t="s">
        <v>3396</v>
      </c>
      <c r="AI217" s="22" t="s">
        <v>1439</v>
      </c>
      <c r="AJ217" s="22" t="s">
        <v>3399</v>
      </c>
      <c r="AK217" s="22" t="s">
        <v>3400</v>
      </c>
      <c r="AL217" s="22" t="s">
        <v>3401</v>
      </c>
      <c r="AM217" s="22" t="s">
        <v>1439</v>
      </c>
      <c r="AN217" s="43"/>
      <c r="AO217" s="43"/>
      <c r="AP217" s="44" t="s">
        <v>3402</v>
      </c>
      <c r="AQ217" s="46" t="s">
        <v>3403</v>
      </c>
      <c r="AR217" s="46" t="s">
        <v>3404</v>
      </c>
      <c r="AS217" s="46" t="s">
        <v>3405</v>
      </c>
      <c r="AT217" s="46" t="s">
        <v>3406</v>
      </c>
      <c r="AU217" s="43"/>
      <c r="AV217" s="43"/>
      <c r="AW217" s="22" t="s">
        <v>1446</v>
      </c>
      <c r="AX217" s="22" t="s">
        <v>3399</v>
      </c>
      <c r="AY217" s="22" t="s">
        <v>575</v>
      </c>
      <c r="AZ217" s="22" t="s">
        <v>1447</v>
      </c>
      <c r="BA217" s="22" t="s">
        <v>1448</v>
      </c>
      <c r="BB217" s="43"/>
      <c r="BC217" s="43"/>
      <c r="BD217" s="43" t="s">
        <v>1449</v>
      </c>
      <c r="BE217" s="59" t="s">
        <v>2755</v>
      </c>
      <c r="BF217" s="22" t="s">
        <v>131</v>
      </c>
      <c r="BG217" s="22" t="s">
        <v>132</v>
      </c>
      <c r="BH217" s="22" t="s">
        <v>132</v>
      </c>
      <c r="BI217" s="22" t="s">
        <v>132</v>
      </c>
      <c r="BJ217" s="43"/>
      <c r="BK217" s="43"/>
      <c r="BL217" s="22">
        <v>4.670020498499E12</v>
      </c>
      <c r="BM217" s="22">
        <v>3.30499E9</v>
      </c>
      <c r="BN217" s="22" t="s">
        <v>1450</v>
      </c>
      <c r="BO217" s="22"/>
      <c r="BP217" s="22" t="s">
        <v>496</v>
      </c>
      <c r="BQ217" s="43"/>
      <c r="BR217" s="43"/>
      <c r="BS217" s="22" t="s">
        <v>3407</v>
      </c>
      <c r="BT217" s="43"/>
      <c r="BU217" s="22" t="s">
        <v>3408</v>
      </c>
      <c r="BV217" s="43" t="s">
        <v>3409</v>
      </c>
      <c r="BW217" s="22" t="s">
        <v>3410</v>
      </c>
      <c r="BX217" s="22">
        <v>200.0</v>
      </c>
      <c r="BY217" s="22" t="s">
        <v>139</v>
      </c>
      <c r="BZ217" s="22"/>
      <c r="CA217" s="22" t="s">
        <v>355</v>
      </c>
      <c r="CB217" s="22" t="s">
        <v>307</v>
      </c>
      <c r="CC217" s="45" t="s">
        <v>3411</v>
      </c>
      <c r="CD217" s="43"/>
      <c r="CE217" s="43"/>
      <c r="CF217" s="45"/>
      <c r="CG217" s="43"/>
      <c r="CH217" s="43"/>
      <c r="CI217" s="43"/>
      <c r="CJ217" s="43"/>
      <c r="CK217" s="43"/>
      <c r="CL217" s="43"/>
      <c r="CM217" s="49">
        <f>IFERROR(VLOOKUP(B217,CC!A:D,4,0)," ")</f>
        <v>107.7</v>
      </c>
      <c r="CN217" s="22" t="s">
        <v>2834</v>
      </c>
      <c r="CO217" s="22" t="s">
        <v>3412</v>
      </c>
      <c r="CP217" s="22" t="s">
        <v>2835</v>
      </c>
      <c r="CQ217" s="22">
        <v>90.0</v>
      </c>
      <c r="CR217" s="43"/>
      <c r="CS217" s="22">
        <v>5.0</v>
      </c>
      <c r="CT217" s="22" t="s">
        <v>145</v>
      </c>
      <c r="CU217" s="43"/>
      <c r="CV217" s="43"/>
      <c r="CW217" s="43"/>
      <c r="CX217" s="43"/>
      <c r="CY217" s="43" t="b">
        <v>0</v>
      </c>
      <c r="CZ217" s="43" t="b">
        <v>0</v>
      </c>
      <c r="DA217" s="43" t="b">
        <v>0</v>
      </c>
      <c r="DB217" s="43" t="b">
        <v>0</v>
      </c>
      <c r="DC217" s="43"/>
      <c r="DD217" s="43"/>
      <c r="DE217" s="43"/>
      <c r="DF217" s="43"/>
      <c r="DG217" s="43"/>
      <c r="DH217" s="43"/>
      <c r="DI217" s="43"/>
      <c r="DJ217" s="22">
        <f>IFERROR(VLOOKUP($B217,'Лист4'!$D:$AI,27,0)," ")</f>
        <v>5</v>
      </c>
      <c r="DK217" s="22">
        <f>IFERROR(VLOOKUP($B217,'Лист4'!$D:$AI,28,0)," ")</f>
        <v>16</v>
      </c>
      <c r="DL217" s="22">
        <f>IFERROR(VLOOKUP($B217,'Лист4'!$D:$AI,29,0)," ")</f>
        <v>5</v>
      </c>
      <c r="DM217" s="22">
        <f t="shared" si="2"/>
        <v>400</v>
      </c>
      <c r="DN217" s="22">
        <f>IFERROR(VLOOKUP($B217,'Лист4'!$D:$AI,32,0)," ")</f>
        <v>0.287</v>
      </c>
      <c r="DO217" s="22"/>
      <c r="DP217" s="22"/>
      <c r="DQ217" s="22"/>
      <c r="DR217" s="22"/>
      <c r="DS217" s="22"/>
      <c r="DT217" s="22"/>
      <c r="DU217" s="22"/>
      <c r="DV217" s="22"/>
      <c r="DW217" s="22"/>
      <c r="DX217" s="22"/>
      <c r="DY217" s="22"/>
      <c r="DZ217" s="22"/>
      <c r="EA217" s="22"/>
      <c r="EB217" s="22"/>
      <c r="EC217" s="22"/>
      <c r="ED217" s="22"/>
      <c r="EE217" s="22"/>
      <c r="EF217" s="22"/>
      <c r="EG217" s="22"/>
      <c r="EH217" s="22"/>
      <c r="EI217" s="22"/>
      <c r="EJ217" s="22"/>
      <c r="EK217" s="22"/>
      <c r="EL217" s="22"/>
      <c r="EM217" s="22"/>
      <c r="EN217" s="22"/>
      <c r="EO217" s="22"/>
      <c r="EP217" s="22"/>
      <c r="EQ217" s="22"/>
      <c r="ER217" s="22"/>
      <c r="ES217" s="43"/>
      <c r="ET217" s="43"/>
      <c r="EU217" s="43"/>
      <c r="EV217" s="43"/>
      <c r="EW217" s="43"/>
      <c r="EX217" s="43"/>
      <c r="EY217" s="43"/>
      <c r="EZ217" s="43"/>
      <c r="FA217" s="43"/>
      <c r="FB217" s="43"/>
      <c r="FC217" s="43"/>
      <c r="FD217" s="43"/>
      <c r="FE217" s="43"/>
      <c r="FF217" s="43"/>
      <c r="FG217" s="43"/>
      <c r="FH217" s="43"/>
      <c r="FI217" s="43"/>
    </row>
    <row r="218" ht="18.0" customHeight="1">
      <c r="A218" s="22" t="s">
        <v>2659</v>
      </c>
      <c r="B218" s="43" t="s">
        <v>3413</v>
      </c>
      <c r="C218" s="22" t="s">
        <v>2741</v>
      </c>
      <c r="D218" s="22" t="s">
        <v>119</v>
      </c>
      <c r="E218" s="43"/>
      <c r="F218" s="22" t="s">
        <v>3414</v>
      </c>
      <c r="G218" s="22" t="s">
        <v>2743</v>
      </c>
      <c r="H218" s="22" t="s">
        <v>287</v>
      </c>
      <c r="I218" s="43"/>
      <c r="J218" s="43"/>
      <c r="K218" s="22" t="b">
        <v>1</v>
      </c>
      <c r="L218" s="22" t="b">
        <v>1</v>
      </c>
      <c r="M218" s="22" t="b">
        <v>1</v>
      </c>
      <c r="N218" s="22" t="b">
        <v>1</v>
      </c>
      <c r="O218" s="22" t="b">
        <v>1</v>
      </c>
      <c r="P218" s="22" t="b">
        <v>1</v>
      </c>
      <c r="Q218" s="22" t="b">
        <v>1</v>
      </c>
      <c r="R218" s="43"/>
      <c r="S218" s="43" t="s">
        <v>3415</v>
      </c>
      <c r="T218" s="22" t="s">
        <v>3413</v>
      </c>
      <c r="U218" s="22" t="s">
        <v>3413</v>
      </c>
      <c r="V218" s="22" t="s">
        <v>3413</v>
      </c>
      <c r="W218" s="43" t="s">
        <v>3413</v>
      </c>
      <c r="X218" s="43" t="s">
        <v>3413</v>
      </c>
      <c r="Y218" s="22" t="s">
        <v>3413</v>
      </c>
      <c r="Z218" s="43"/>
      <c r="AA218" s="22">
        <v>2.60383031E8</v>
      </c>
      <c r="AB218" s="22">
        <v>1.691464882E9</v>
      </c>
      <c r="AC218" s="22">
        <v>1.03515390557E11</v>
      </c>
      <c r="AD218" s="22">
        <v>9.900007621E10</v>
      </c>
      <c r="AE218" s="22" t="s">
        <v>3416</v>
      </c>
      <c r="AF218" s="22" t="s">
        <v>3417</v>
      </c>
      <c r="AG218" s="43"/>
      <c r="AH218" s="43" t="s">
        <v>3414</v>
      </c>
      <c r="AI218" s="22" t="s">
        <v>3418</v>
      </c>
      <c r="AJ218" s="22" t="s">
        <v>3419</v>
      </c>
      <c r="AK218" s="22" t="s">
        <v>3420</v>
      </c>
      <c r="AL218" s="22" t="s">
        <v>3421</v>
      </c>
      <c r="AM218" s="22" t="s">
        <v>3422</v>
      </c>
      <c r="AN218" s="22" t="s">
        <v>3423</v>
      </c>
      <c r="AO218" s="43"/>
      <c r="AP218" s="46" t="s">
        <v>3424</v>
      </c>
      <c r="AQ218" s="46" t="s">
        <v>3425</v>
      </c>
      <c r="AR218" s="46" t="s">
        <v>3426</v>
      </c>
      <c r="AS218" s="46" t="s">
        <v>3427</v>
      </c>
      <c r="AT218" s="46" t="s">
        <v>3428</v>
      </c>
      <c r="AU218" s="46" t="s">
        <v>3429</v>
      </c>
      <c r="AV218" s="43"/>
      <c r="AW218" s="22" t="s">
        <v>3035</v>
      </c>
      <c r="AX218" s="22" t="s">
        <v>3419</v>
      </c>
      <c r="AY218" s="22" t="s">
        <v>326</v>
      </c>
      <c r="AZ218" s="22" t="s">
        <v>300</v>
      </c>
      <c r="BA218" s="22" t="s">
        <v>3382</v>
      </c>
      <c r="BB218" s="22" t="s">
        <v>3430</v>
      </c>
      <c r="BC218" s="22"/>
      <c r="BD218" s="43" t="s">
        <v>2673</v>
      </c>
      <c r="BE218" s="59" t="s">
        <v>2674</v>
      </c>
      <c r="BF218" s="22" t="s">
        <v>131</v>
      </c>
      <c r="BG218" s="22" t="s">
        <v>132</v>
      </c>
      <c r="BH218" s="22" t="s">
        <v>132</v>
      </c>
      <c r="BI218" s="22" t="s">
        <v>132</v>
      </c>
      <c r="BJ218" s="43"/>
      <c r="BK218" s="43"/>
      <c r="BL218" s="22">
        <v>4.670020497546E12</v>
      </c>
      <c r="BM218" s="22">
        <v>3.305900009E9</v>
      </c>
      <c r="BN218" s="22" t="s">
        <v>3431</v>
      </c>
      <c r="BO218" s="22"/>
      <c r="BP218" s="22" t="s">
        <v>145</v>
      </c>
      <c r="BQ218" s="43"/>
      <c r="BR218" s="43"/>
      <c r="BS218" s="22" t="s">
        <v>3432</v>
      </c>
      <c r="BT218" s="43"/>
      <c r="BU218" s="22" t="s">
        <v>3433</v>
      </c>
      <c r="BV218" s="43" t="s">
        <v>145</v>
      </c>
      <c r="BW218" s="22" t="s">
        <v>2832</v>
      </c>
      <c r="BX218" s="22">
        <v>250.0</v>
      </c>
      <c r="BY218" s="22" t="s">
        <v>139</v>
      </c>
      <c r="BZ218" s="22"/>
      <c r="CA218" s="22" t="s">
        <v>355</v>
      </c>
      <c r="CB218" s="22" t="s">
        <v>307</v>
      </c>
      <c r="CC218" s="45" t="s">
        <v>3434</v>
      </c>
      <c r="CD218" s="43"/>
      <c r="CE218" s="43"/>
      <c r="CF218" s="45"/>
      <c r="CG218" s="43"/>
      <c r="CH218" s="43"/>
      <c r="CI218" s="43"/>
      <c r="CJ218" s="43"/>
      <c r="CK218" s="43"/>
      <c r="CL218" s="43"/>
      <c r="CM218" s="49">
        <f>IFERROR(VLOOKUP(B218,CC!A:D,4,0)," ")</f>
        <v>122</v>
      </c>
      <c r="CN218" s="22" t="s">
        <v>2834</v>
      </c>
      <c r="CO218" s="22"/>
      <c r="CP218" s="22" t="s">
        <v>2835</v>
      </c>
      <c r="CQ218" s="22">
        <v>90.0</v>
      </c>
      <c r="CR218" s="43"/>
      <c r="CS218" s="22">
        <v>5.0</v>
      </c>
      <c r="CT218" s="22" t="s">
        <v>145</v>
      </c>
      <c r="CU218" s="43"/>
      <c r="CV218" s="43"/>
      <c r="CW218" s="43"/>
      <c r="CX218" s="43"/>
      <c r="CY218" s="43" t="b">
        <v>0</v>
      </c>
      <c r="CZ218" s="43" t="b">
        <v>0</v>
      </c>
      <c r="DA218" s="43" t="b">
        <v>0</v>
      </c>
      <c r="DB218" s="43" t="b">
        <v>0</v>
      </c>
      <c r="DC218" s="43"/>
      <c r="DD218" s="43"/>
      <c r="DE218" s="43"/>
      <c r="DF218" s="43"/>
      <c r="DG218" s="43"/>
      <c r="DH218" s="43"/>
      <c r="DI218" s="43"/>
      <c r="DJ218" s="22">
        <f>IFERROR(VLOOKUP($B218,'Лист4'!$D:$AI,27,0)," ")</f>
        <v>8</v>
      </c>
      <c r="DK218" s="22">
        <f>IFERROR(VLOOKUP($B218,'Лист4'!$D:$AI,28,0)," ")</f>
        <v>6</v>
      </c>
      <c r="DL218" s="22">
        <f>IFERROR(VLOOKUP($B218,'Лист4'!$D:$AI,29,0)," ")</f>
        <v>8</v>
      </c>
      <c r="DM218" s="22">
        <f t="shared" si="2"/>
        <v>384</v>
      </c>
      <c r="DN218" s="22">
        <f>IFERROR(VLOOKUP($B218,'Лист4'!$D:$AI,32,0)," ")</f>
        <v>0.29</v>
      </c>
      <c r="DO218" s="22"/>
      <c r="DP218" s="22"/>
      <c r="DQ218" s="22"/>
      <c r="DR218" s="22"/>
      <c r="DS218" s="22"/>
      <c r="DT218" s="22"/>
      <c r="DU218" s="22"/>
      <c r="DV218" s="22"/>
      <c r="DW218" s="22"/>
      <c r="DX218" s="22"/>
      <c r="DY218" s="22"/>
      <c r="DZ218" s="22"/>
      <c r="EA218" s="22"/>
      <c r="EB218" s="22"/>
      <c r="EC218" s="22"/>
      <c r="ED218" s="22"/>
      <c r="EE218" s="22"/>
      <c r="EF218" s="22"/>
      <c r="EG218" s="22"/>
      <c r="EH218" s="22"/>
      <c r="EI218" s="22"/>
      <c r="EJ218" s="22"/>
      <c r="EK218" s="22"/>
      <c r="EL218" s="22"/>
      <c r="EM218" s="22"/>
      <c r="EN218" s="22"/>
      <c r="EO218" s="22"/>
      <c r="EP218" s="22"/>
      <c r="EQ218" s="22"/>
      <c r="ER218" s="22"/>
      <c r="ES218" s="43"/>
      <c r="ET218" s="43"/>
      <c r="EU218" s="43"/>
      <c r="EV218" s="43"/>
      <c r="EW218" s="43"/>
      <c r="EX218" s="43"/>
      <c r="EY218" s="43"/>
      <c r="EZ218" s="43"/>
      <c r="FA218" s="43"/>
      <c r="FB218" s="43"/>
      <c r="FC218" s="43"/>
      <c r="FD218" s="43"/>
      <c r="FE218" s="43"/>
      <c r="FF218" s="43"/>
      <c r="FG218" s="43"/>
      <c r="FH218" s="43"/>
      <c r="FI218" s="43"/>
    </row>
    <row r="219">
      <c r="A219" s="22" t="s">
        <v>2659</v>
      </c>
      <c r="B219" s="43" t="s">
        <v>3435</v>
      </c>
      <c r="C219" s="22" t="s">
        <v>2661</v>
      </c>
      <c r="D219" s="22" t="s">
        <v>119</v>
      </c>
      <c r="E219" s="43"/>
      <c r="F219" s="22" t="s">
        <v>3436</v>
      </c>
      <c r="G219" s="22" t="s">
        <v>2663</v>
      </c>
      <c r="H219" s="22" t="s">
        <v>3437</v>
      </c>
      <c r="I219" s="43"/>
      <c r="J219" s="43"/>
      <c r="K219" s="22" t="b">
        <v>1</v>
      </c>
      <c r="L219" s="22" t="b">
        <v>1</v>
      </c>
      <c r="M219" s="22" t="b">
        <v>1</v>
      </c>
      <c r="N219" s="22" t="b">
        <v>1</v>
      </c>
      <c r="O219" s="22" t="b">
        <v>0</v>
      </c>
      <c r="P219" s="22" t="b">
        <v>0</v>
      </c>
      <c r="Q219" s="22" t="b">
        <v>0</v>
      </c>
      <c r="R219" s="43"/>
      <c r="S219" s="43" t="s">
        <v>3438</v>
      </c>
      <c r="T219" s="22" t="s">
        <v>3435</v>
      </c>
      <c r="U219" s="22" t="s">
        <v>3435</v>
      </c>
      <c r="V219" s="22" t="s">
        <v>3435</v>
      </c>
      <c r="W219" s="43"/>
      <c r="X219" s="43"/>
      <c r="Y219" s="43"/>
      <c r="Z219" s="43"/>
      <c r="AA219" s="22">
        <v>2.34147545E8</v>
      </c>
      <c r="AB219" s="22">
        <v>1.590032182E9</v>
      </c>
      <c r="AC219" s="22">
        <v>1.03515397749E11</v>
      </c>
      <c r="AD219" s="22"/>
      <c r="AE219" s="22"/>
      <c r="AF219" s="43"/>
      <c r="AG219" s="43"/>
      <c r="AH219" s="43" t="s">
        <v>3436</v>
      </c>
      <c r="AI219" s="22" t="s">
        <v>3439</v>
      </c>
      <c r="AJ219" s="22" t="s">
        <v>3440</v>
      </c>
      <c r="AK219" s="22" t="s">
        <v>3441</v>
      </c>
      <c r="AL219" s="43"/>
      <c r="AM219" s="43"/>
      <c r="AN219" s="43"/>
      <c r="AO219" s="43"/>
      <c r="AP219" s="46" t="s">
        <v>3442</v>
      </c>
      <c r="AQ219" s="46" t="s">
        <v>3443</v>
      </c>
      <c r="AR219" s="46" t="s">
        <v>3444</v>
      </c>
      <c r="AS219" s="43"/>
      <c r="AT219" s="43"/>
      <c r="AU219" s="43"/>
      <c r="AV219" s="43"/>
      <c r="AW219" s="22" t="s">
        <v>3445</v>
      </c>
      <c r="AX219" s="22" t="s">
        <v>3440</v>
      </c>
      <c r="AY219" s="22" t="s">
        <v>2672</v>
      </c>
      <c r="AZ219" s="43"/>
      <c r="BA219" s="43"/>
      <c r="BB219" s="43"/>
      <c r="BC219" s="43"/>
      <c r="BD219" s="43" t="s">
        <v>301</v>
      </c>
      <c r="BE219" s="59" t="s">
        <v>2755</v>
      </c>
      <c r="BF219" s="22" t="s">
        <v>131</v>
      </c>
      <c r="BG219" s="22" t="s">
        <v>132</v>
      </c>
      <c r="BH219" s="22" t="s">
        <v>132</v>
      </c>
      <c r="BI219" s="22" t="s">
        <v>132</v>
      </c>
      <c r="BJ219" s="43"/>
      <c r="BK219" s="43"/>
      <c r="BL219" s="22">
        <v>4.693006790233E12</v>
      </c>
      <c r="BM219" s="22">
        <v>3.30499E9</v>
      </c>
      <c r="BN219" s="22" t="s">
        <v>3340</v>
      </c>
      <c r="BO219" s="22"/>
      <c r="BP219" s="22" t="s">
        <v>496</v>
      </c>
      <c r="BQ219" s="43"/>
      <c r="BR219" s="43"/>
      <c r="BS219" s="22" t="s">
        <v>3446</v>
      </c>
      <c r="BT219" s="43"/>
      <c r="BU219" s="22" t="s">
        <v>3447</v>
      </c>
      <c r="BV219" s="22" t="s">
        <v>2679</v>
      </c>
      <c r="BW219" s="22" t="s">
        <v>3344</v>
      </c>
      <c r="BX219" s="22">
        <v>30.0</v>
      </c>
      <c r="BY219" s="22" t="s">
        <v>139</v>
      </c>
      <c r="BZ219" s="22"/>
      <c r="CA219" s="22" t="s">
        <v>355</v>
      </c>
      <c r="CB219" s="22" t="s">
        <v>307</v>
      </c>
      <c r="CC219" s="45" t="s">
        <v>3448</v>
      </c>
      <c r="CD219" s="43"/>
      <c r="CE219" s="43"/>
      <c r="CF219" s="45"/>
      <c r="CG219" s="43"/>
      <c r="CH219" s="43"/>
      <c r="CI219" s="43"/>
      <c r="CJ219" s="43"/>
      <c r="CK219" s="43"/>
      <c r="CL219" s="43"/>
      <c r="CM219" s="49">
        <f>IFERROR(VLOOKUP(B219,CC!A:D,4,0)," ")</f>
        <v>116.85</v>
      </c>
      <c r="CN219" s="22" t="s">
        <v>3449</v>
      </c>
      <c r="CO219" s="22"/>
      <c r="CP219" s="43"/>
      <c r="CQ219" s="22">
        <v>45.0</v>
      </c>
      <c r="CR219" s="43"/>
      <c r="CS219" s="22">
        <v>1.0</v>
      </c>
      <c r="CT219" s="22" t="s">
        <v>145</v>
      </c>
      <c r="CU219" s="43"/>
      <c r="CV219" s="43"/>
      <c r="CW219" s="43"/>
      <c r="CX219" s="43"/>
      <c r="CY219" s="43" t="b">
        <v>0</v>
      </c>
      <c r="CZ219" s="43" t="b">
        <v>0</v>
      </c>
      <c r="DA219" s="43" t="b">
        <v>0</v>
      </c>
      <c r="DB219" s="43" t="b">
        <v>0</v>
      </c>
      <c r="DC219" s="43"/>
      <c r="DD219" s="43"/>
      <c r="DE219" s="43"/>
      <c r="DF219" s="43"/>
      <c r="DG219" s="43"/>
      <c r="DH219" s="43"/>
      <c r="DI219" s="43"/>
      <c r="DJ219" s="22">
        <f>IFERROR(VLOOKUP($B219,'Лист4'!$D:$AI,27,0)," ")</f>
        <v>4</v>
      </c>
      <c r="DK219" s="22">
        <f>IFERROR(VLOOKUP($B219,'Лист4'!$D:$AI,28,0)," ")</f>
        <v>4</v>
      </c>
      <c r="DL219" s="22">
        <f>IFERROR(VLOOKUP($B219,'Лист4'!$D:$AI,29,0)," ")</f>
        <v>4</v>
      </c>
      <c r="DM219" s="22">
        <f t="shared" si="2"/>
        <v>64</v>
      </c>
      <c r="DN219" s="22">
        <f>IFERROR(VLOOKUP($B219,'Лист4'!$D:$AI,32,0)," ")</f>
        <v>0.04</v>
      </c>
      <c r="DO219" s="22"/>
      <c r="DP219" s="22"/>
      <c r="DQ219" s="22"/>
      <c r="DR219" s="22"/>
      <c r="DS219" s="22"/>
      <c r="DT219" s="22"/>
      <c r="DU219" s="22"/>
      <c r="DV219" s="22"/>
      <c r="DW219" s="22"/>
      <c r="DX219" s="22"/>
      <c r="DY219" s="22"/>
      <c r="DZ219" s="22"/>
      <c r="EA219" s="22"/>
      <c r="EB219" s="22"/>
      <c r="EC219" s="22"/>
      <c r="ED219" s="22"/>
      <c r="EE219" s="22"/>
      <c r="EF219" s="22"/>
      <c r="EG219" s="22"/>
      <c r="EH219" s="22"/>
      <c r="EI219" s="22"/>
      <c r="EJ219" s="22"/>
      <c r="EK219" s="22"/>
      <c r="EL219" s="22"/>
      <c r="EM219" s="22"/>
      <c r="EN219" s="22"/>
      <c r="EO219" s="22"/>
      <c r="EP219" s="22"/>
      <c r="EQ219" s="22"/>
      <c r="ER219" s="22"/>
      <c r="ES219" s="43"/>
      <c r="ET219" s="43"/>
      <c r="EU219" s="43"/>
      <c r="EV219" s="43"/>
      <c r="EW219" s="43"/>
      <c r="EX219" s="43"/>
      <c r="EY219" s="43"/>
      <c r="EZ219" s="43"/>
      <c r="FA219" s="43"/>
      <c r="FB219" s="43"/>
      <c r="FC219" s="43"/>
      <c r="FD219" s="43"/>
      <c r="FE219" s="43"/>
      <c r="FF219" s="43"/>
      <c r="FG219" s="43"/>
      <c r="FH219" s="43"/>
      <c r="FI219" s="43"/>
    </row>
    <row r="220" ht="18.0" customHeight="1">
      <c r="A220" s="22" t="s">
        <v>2659</v>
      </c>
      <c r="B220" s="43" t="s">
        <v>3450</v>
      </c>
      <c r="C220" s="22" t="s">
        <v>2661</v>
      </c>
      <c r="D220" s="22" t="s">
        <v>119</v>
      </c>
      <c r="E220" s="43"/>
      <c r="F220" s="22" t="s">
        <v>3451</v>
      </c>
      <c r="G220" s="22" t="s">
        <v>2663</v>
      </c>
      <c r="H220" s="22" t="s">
        <v>1027</v>
      </c>
      <c r="I220" s="43"/>
      <c r="J220" s="43"/>
      <c r="K220" s="22" t="b">
        <v>1</v>
      </c>
      <c r="L220" s="22" t="b">
        <v>1</v>
      </c>
      <c r="M220" s="22" t="b">
        <v>1</v>
      </c>
      <c r="N220" s="22" t="b">
        <v>1</v>
      </c>
      <c r="O220" s="22" t="b">
        <v>0</v>
      </c>
      <c r="P220" s="22" t="b">
        <v>0</v>
      </c>
      <c r="Q220" s="22" t="b">
        <v>0</v>
      </c>
      <c r="R220" s="43"/>
      <c r="S220" s="43" t="s">
        <v>3452</v>
      </c>
      <c r="T220" s="22" t="s">
        <v>3450</v>
      </c>
      <c r="U220" s="22" t="s">
        <v>3450</v>
      </c>
      <c r="V220" s="22" t="s">
        <v>3450</v>
      </c>
      <c r="W220" s="43"/>
      <c r="X220" s="43"/>
      <c r="Y220" s="43"/>
      <c r="Z220" s="43"/>
      <c r="AA220" s="22">
        <v>1.04628658E8</v>
      </c>
      <c r="AB220" s="22">
        <v>7.36435678E8</v>
      </c>
      <c r="AC220" s="22">
        <v>1.03340899028E11</v>
      </c>
      <c r="AD220" s="22"/>
      <c r="AE220" s="22"/>
      <c r="AF220" s="43"/>
      <c r="AG220" s="43"/>
      <c r="AH220" s="43" t="s">
        <v>3451</v>
      </c>
      <c r="AI220" s="22" t="s">
        <v>3453</v>
      </c>
      <c r="AJ220" s="22" t="s">
        <v>3453</v>
      </c>
      <c r="AK220" s="22" t="s">
        <v>3454</v>
      </c>
      <c r="AL220" s="43"/>
      <c r="AM220" s="43"/>
      <c r="AN220" s="43"/>
      <c r="AO220" s="43"/>
      <c r="AP220" s="46" t="s">
        <v>3455</v>
      </c>
      <c r="AQ220" s="46" t="s">
        <v>3456</v>
      </c>
      <c r="AR220" s="46" t="s">
        <v>3457</v>
      </c>
      <c r="AS220" s="43"/>
      <c r="AT220" s="43"/>
      <c r="AU220" s="43"/>
      <c r="AV220" s="43"/>
      <c r="AW220" s="22" t="s">
        <v>3458</v>
      </c>
      <c r="AX220" s="22" t="s">
        <v>3453</v>
      </c>
      <c r="AY220" s="22" t="s">
        <v>372</v>
      </c>
      <c r="AZ220" s="43"/>
      <c r="BA220" s="43"/>
      <c r="BB220" s="43"/>
      <c r="BC220" s="43"/>
      <c r="BD220" s="43" t="s">
        <v>2993</v>
      </c>
      <c r="BE220" s="59" t="s">
        <v>2755</v>
      </c>
      <c r="BF220" s="22" t="s">
        <v>131</v>
      </c>
      <c r="BG220" s="22" t="s">
        <v>132</v>
      </c>
      <c r="BH220" s="22" t="s">
        <v>132</v>
      </c>
      <c r="BI220" s="22" t="s">
        <v>132</v>
      </c>
      <c r="BJ220" s="43"/>
      <c r="BK220" s="43"/>
      <c r="BL220" s="22">
        <v>4.631144673063E12</v>
      </c>
      <c r="BM220" s="22">
        <v>2.103909009E9</v>
      </c>
      <c r="BN220" s="22" t="s">
        <v>3459</v>
      </c>
      <c r="BO220" s="22"/>
      <c r="BP220" s="22" t="s">
        <v>145</v>
      </c>
      <c r="BQ220" s="43"/>
      <c r="BR220" s="43"/>
      <c r="BS220" s="22" t="s">
        <v>3460</v>
      </c>
      <c r="BT220" s="43"/>
      <c r="BU220" s="22" t="s">
        <v>3461</v>
      </c>
      <c r="BV220" s="22" t="s">
        <v>3462</v>
      </c>
      <c r="BW220" s="22" t="s">
        <v>3463</v>
      </c>
      <c r="BX220" s="22">
        <v>7.0</v>
      </c>
      <c r="BY220" s="60" t="s">
        <v>3464</v>
      </c>
      <c r="BZ220" s="60"/>
      <c r="CA220" s="22"/>
      <c r="CB220" s="22"/>
      <c r="CC220" s="45" t="s">
        <v>3465</v>
      </c>
      <c r="CD220" s="43"/>
      <c r="CE220" s="43"/>
      <c r="CF220" s="45"/>
      <c r="CG220" s="43"/>
      <c r="CH220" s="43"/>
      <c r="CI220" s="43"/>
      <c r="CJ220" s="43"/>
      <c r="CK220" s="43"/>
      <c r="CL220" s="43"/>
      <c r="CM220" s="49">
        <f>IFERROR(VLOOKUP(B220,CC!A:D,4,0)," ")</f>
        <v>114.81</v>
      </c>
      <c r="CN220" s="22" t="s">
        <v>3330</v>
      </c>
      <c r="CO220" s="22"/>
      <c r="CP220" s="43"/>
      <c r="CQ220" s="22">
        <v>45.0</v>
      </c>
      <c r="CR220" s="43"/>
      <c r="CS220" s="22">
        <v>1.0</v>
      </c>
      <c r="CT220" s="22" t="s">
        <v>145</v>
      </c>
      <c r="CU220" s="43"/>
      <c r="CV220" s="43"/>
      <c r="CW220" s="43"/>
      <c r="CX220" s="43"/>
      <c r="CY220" s="43" t="b">
        <v>0</v>
      </c>
      <c r="CZ220" s="43" t="b">
        <v>0</v>
      </c>
      <c r="DA220" s="43" t="b">
        <v>0</v>
      </c>
      <c r="DB220" s="43" t="b">
        <v>0</v>
      </c>
      <c r="DC220" s="43"/>
      <c r="DD220" s="43"/>
      <c r="DE220" s="43"/>
      <c r="DF220" s="43"/>
      <c r="DG220" s="43"/>
      <c r="DH220" s="43"/>
      <c r="DI220" s="43"/>
      <c r="DJ220" s="22">
        <f>IFERROR(VLOOKUP($B220,'Лист4'!$D:$AI,27,0)," ")</f>
        <v>6</v>
      </c>
      <c r="DK220" s="22">
        <f>IFERROR(VLOOKUP($B220,'Лист4'!$D:$AI,28,0)," ")</f>
        <v>11</v>
      </c>
      <c r="DL220" s="22">
        <f>IFERROR(VLOOKUP($B220,'Лист4'!$D:$AI,29,0)," ")</f>
        <v>6</v>
      </c>
      <c r="DM220" s="22">
        <f t="shared" si="2"/>
        <v>396</v>
      </c>
      <c r="DN220" s="22">
        <f>IFERROR(VLOOKUP($B220,'Лист4'!$D:$AI,32,0)," ")</f>
        <v>0.046</v>
      </c>
      <c r="DO220" s="22"/>
      <c r="DP220" s="22"/>
      <c r="DQ220" s="22"/>
      <c r="DR220" s="22"/>
      <c r="DS220" s="22"/>
      <c r="DT220" s="22"/>
      <c r="DU220" s="22"/>
      <c r="DV220" s="22"/>
      <c r="DW220" s="22"/>
      <c r="DX220" s="22"/>
      <c r="DY220" s="22"/>
      <c r="DZ220" s="22"/>
      <c r="EA220" s="22"/>
      <c r="EB220" s="22"/>
      <c r="EC220" s="22"/>
      <c r="ED220" s="22"/>
      <c r="EE220" s="22"/>
      <c r="EF220" s="22"/>
      <c r="EG220" s="22"/>
      <c r="EH220" s="22"/>
      <c r="EI220" s="22"/>
      <c r="EJ220" s="22"/>
      <c r="EK220" s="22"/>
      <c r="EL220" s="22"/>
      <c r="EM220" s="22"/>
      <c r="EN220" s="22"/>
      <c r="EO220" s="22"/>
      <c r="EP220" s="22"/>
      <c r="EQ220" s="22"/>
      <c r="ER220" s="22"/>
      <c r="ES220" s="43"/>
      <c r="ET220" s="43"/>
      <c r="EU220" s="43"/>
      <c r="EV220" s="43"/>
      <c r="EW220" s="43"/>
      <c r="EX220" s="43"/>
      <c r="EY220" s="43"/>
      <c r="EZ220" s="43"/>
      <c r="FA220" s="43"/>
      <c r="FB220" s="43"/>
      <c r="FC220" s="43"/>
      <c r="FD220" s="43"/>
      <c r="FE220" s="43"/>
      <c r="FF220" s="43"/>
      <c r="FG220" s="43"/>
      <c r="FH220" s="43"/>
      <c r="FI220" s="43"/>
    </row>
    <row r="221" ht="18.0" customHeight="1">
      <c r="A221" s="22" t="s">
        <v>2659</v>
      </c>
      <c r="B221" s="43" t="s">
        <v>3466</v>
      </c>
      <c r="C221" s="22" t="s">
        <v>2741</v>
      </c>
      <c r="D221" s="22" t="s">
        <v>119</v>
      </c>
      <c r="E221" s="43"/>
      <c r="F221" s="22" t="s">
        <v>3467</v>
      </c>
      <c r="G221" s="22" t="s">
        <v>2743</v>
      </c>
      <c r="H221" s="22" t="s">
        <v>287</v>
      </c>
      <c r="I221" s="43"/>
      <c r="J221" s="43"/>
      <c r="K221" s="22" t="b">
        <v>1</v>
      </c>
      <c r="L221" s="22" t="b">
        <v>1</v>
      </c>
      <c r="M221" s="22" t="b">
        <v>1</v>
      </c>
      <c r="N221" s="22" t="b">
        <v>1</v>
      </c>
      <c r="O221" s="22" t="b">
        <v>1</v>
      </c>
      <c r="P221" s="22" t="b">
        <v>1</v>
      </c>
      <c r="Q221" s="22" t="b">
        <v>1</v>
      </c>
      <c r="R221" s="43"/>
      <c r="S221" s="43" t="s">
        <v>3468</v>
      </c>
      <c r="T221" s="22" t="s">
        <v>3466</v>
      </c>
      <c r="U221" s="22" t="s">
        <v>3466</v>
      </c>
      <c r="V221" s="22" t="s">
        <v>3466</v>
      </c>
      <c r="W221" s="43" t="s">
        <v>3466</v>
      </c>
      <c r="X221" s="43" t="s">
        <v>3466</v>
      </c>
      <c r="Y221" s="22" t="s">
        <v>3466</v>
      </c>
      <c r="Z221" s="43"/>
      <c r="AA221" s="22">
        <v>4.18209838E8</v>
      </c>
      <c r="AB221" s="22">
        <v>2.138175361E9</v>
      </c>
      <c r="AC221" s="22">
        <v>4.476315416E9</v>
      </c>
      <c r="AD221" s="22">
        <v>9.9000114732E10</v>
      </c>
      <c r="AE221" s="22" t="s">
        <v>3469</v>
      </c>
      <c r="AF221" s="22" t="s">
        <v>3470</v>
      </c>
      <c r="AG221" s="43"/>
      <c r="AH221" s="43" t="s">
        <v>3467</v>
      </c>
      <c r="AI221" s="22" t="s">
        <v>3471</v>
      </c>
      <c r="AJ221" s="22" t="s">
        <v>3472</v>
      </c>
      <c r="AK221" s="22" t="s">
        <v>3473</v>
      </c>
      <c r="AL221" s="22" t="s">
        <v>3474</v>
      </c>
      <c r="AM221" s="22" t="s">
        <v>3475</v>
      </c>
      <c r="AN221" s="22" t="s">
        <v>3476</v>
      </c>
      <c r="AO221" s="43"/>
      <c r="AP221" s="46" t="s">
        <v>3477</v>
      </c>
      <c r="AQ221" s="46" t="s">
        <v>3478</v>
      </c>
      <c r="AR221" s="46" t="s">
        <v>3479</v>
      </c>
      <c r="AS221" s="43"/>
      <c r="AT221" s="46" t="s">
        <v>3480</v>
      </c>
      <c r="AU221" s="46" t="s">
        <v>3481</v>
      </c>
      <c r="AV221" s="43"/>
      <c r="AW221" s="22" t="s">
        <v>3482</v>
      </c>
      <c r="AX221" s="22" t="s">
        <v>3472</v>
      </c>
      <c r="AY221" s="22" t="s">
        <v>3483</v>
      </c>
      <c r="AZ221" s="22" t="s">
        <v>1493</v>
      </c>
      <c r="BA221" s="22" t="s">
        <v>3484</v>
      </c>
      <c r="BB221" s="22" t="s">
        <v>3485</v>
      </c>
      <c r="BC221" s="22"/>
      <c r="BD221" s="43" t="s">
        <v>1449</v>
      </c>
      <c r="BE221" s="59" t="s">
        <v>2755</v>
      </c>
      <c r="BF221" s="22" t="s">
        <v>131</v>
      </c>
      <c r="BG221" s="22" t="s">
        <v>132</v>
      </c>
      <c r="BH221" s="22" t="s">
        <v>132</v>
      </c>
      <c r="BI221" s="22" t="s">
        <v>132</v>
      </c>
      <c r="BJ221" s="43"/>
      <c r="BK221" s="43"/>
      <c r="BL221" s="22">
        <v>4.603320465304E12</v>
      </c>
      <c r="BM221" s="22">
        <v>3.3051E9</v>
      </c>
      <c r="BN221" s="22" t="s">
        <v>3237</v>
      </c>
      <c r="BO221" s="22"/>
      <c r="BP221" s="22" t="s">
        <v>145</v>
      </c>
      <c r="BQ221" s="43"/>
      <c r="BR221" s="43"/>
      <c r="BS221" s="22" t="s">
        <v>3486</v>
      </c>
      <c r="BT221" s="43"/>
      <c r="BU221" s="22" t="s">
        <v>3487</v>
      </c>
      <c r="BV221" s="43" t="s">
        <v>2938</v>
      </c>
      <c r="BW221" s="22" t="s">
        <v>1500</v>
      </c>
      <c r="BX221" s="22">
        <v>50.0</v>
      </c>
      <c r="BY221" s="22" t="s">
        <v>139</v>
      </c>
      <c r="BZ221" s="22"/>
      <c r="CA221" s="22" t="s">
        <v>726</v>
      </c>
      <c r="CB221" s="22" t="s">
        <v>727</v>
      </c>
      <c r="CC221" s="45" t="s">
        <v>3488</v>
      </c>
      <c r="CD221" s="43"/>
      <c r="CE221" s="43"/>
      <c r="CF221" s="45"/>
      <c r="CG221" s="54">
        <v>46049.0</v>
      </c>
      <c r="CH221" s="44" t="s">
        <v>3489</v>
      </c>
      <c r="CI221" s="43"/>
      <c r="CJ221" s="43"/>
      <c r="CK221" s="43"/>
      <c r="CL221" s="43"/>
      <c r="CM221" s="49">
        <f>IFERROR(VLOOKUP(B221,CC!A:D,4,0)," ")</f>
        <v>115.9</v>
      </c>
      <c r="CN221" s="22" t="s">
        <v>2942</v>
      </c>
      <c r="CO221" s="22" t="s">
        <v>3466</v>
      </c>
      <c r="CP221" s="22" t="s">
        <v>3490</v>
      </c>
      <c r="CQ221" s="22">
        <v>60.0</v>
      </c>
      <c r="CR221" s="43"/>
      <c r="CS221" s="43"/>
      <c r="CT221" s="22" t="s">
        <v>145</v>
      </c>
      <c r="CU221" s="43"/>
      <c r="CV221" s="43"/>
      <c r="CW221" s="43"/>
      <c r="CX221" s="43"/>
      <c r="CY221" s="43" t="b">
        <v>0</v>
      </c>
      <c r="CZ221" s="43" t="b">
        <v>0</v>
      </c>
      <c r="DA221" s="43" t="b">
        <v>0</v>
      </c>
      <c r="DB221" s="43" t="b">
        <v>0</v>
      </c>
      <c r="DC221" s="43"/>
      <c r="DD221" s="43"/>
      <c r="DE221" s="43"/>
      <c r="DF221" s="43"/>
      <c r="DG221" s="43"/>
      <c r="DH221" s="43"/>
      <c r="DI221" s="43"/>
      <c r="DJ221" s="22">
        <f>IFERROR(VLOOKUP($B221,'Лист4'!$D:$AI,27,0)," ")</f>
        <v>15</v>
      </c>
      <c r="DK221" s="22">
        <f>IFERROR(VLOOKUP($B221,'Лист4'!$D:$AI,28,0)," ")</f>
        <v>10</v>
      </c>
      <c r="DL221" s="22">
        <f>IFERROR(VLOOKUP($B221,'Лист4'!$D:$AI,29,0)," ")</f>
        <v>15</v>
      </c>
      <c r="DM221" s="22">
        <f t="shared" si="2"/>
        <v>2250</v>
      </c>
      <c r="DN221" s="22">
        <f>IFERROR(VLOOKUP($B221,'Лист4'!$D:$AI,32,0)," ")</f>
        <v>0.091</v>
      </c>
      <c r="DO221" s="22"/>
      <c r="DP221" s="22"/>
      <c r="DQ221" s="22"/>
      <c r="DR221" s="22"/>
      <c r="DS221" s="22"/>
      <c r="DT221" s="22"/>
      <c r="DU221" s="22"/>
      <c r="DV221" s="22"/>
      <c r="DW221" s="22"/>
      <c r="DX221" s="22"/>
      <c r="DY221" s="22"/>
      <c r="DZ221" s="22"/>
      <c r="EA221" s="22"/>
      <c r="EB221" s="22"/>
      <c r="EC221" s="22"/>
      <c r="ED221" s="22"/>
      <c r="EE221" s="22"/>
      <c r="EF221" s="22"/>
      <c r="EG221" s="22"/>
      <c r="EH221" s="22"/>
      <c r="EI221" s="22"/>
      <c r="EJ221" s="22"/>
      <c r="EK221" s="22"/>
      <c r="EL221" s="22"/>
      <c r="EM221" s="22"/>
      <c r="EN221" s="22"/>
      <c r="EO221" s="22"/>
      <c r="EP221" s="22"/>
      <c r="EQ221" s="22"/>
      <c r="ER221" s="22"/>
      <c r="ES221" s="43"/>
      <c r="ET221" s="43"/>
      <c r="EU221" s="43"/>
      <c r="EV221" s="43"/>
      <c r="EW221" s="43"/>
      <c r="EX221" s="43"/>
      <c r="EY221" s="43"/>
      <c r="EZ221" s="43"/>
      <c r="FA221" s="43"/>
      <c r="FB221" s="43"/>
      <c r="FC221" s="43"/>
      <c r="FD221" s="43"/>
      <c r="FE221" s="43"/>
      <c r="FF221" s="43"/>
      <c r="FG221" s="43"/>
      <c r="FH221" s="43"/>
      <c r="FI221" s="43"/>
    </row>
    <row r="222" ht="18.0" customHeight="1">
      <c r="A222" s="22" t="s">
        <v>2659</v>
      </c>
      <c r="B222" s="43" t="s">
        <v>3491</v>
      </c>
      <c r="C222" s="22" t="s">
        <v>2661</v>
      </c>
      <c r="D222" s="22" t="s">
        <v>119</v>
      </c>
      <c r="E222" s="43"/>
      <c r="F222" s="22" t="s">
        <v>3492</v>
      </c>
      <c r="G222" s="22" t="s">
        <v>2663</v>
      </c>
      <c r="H222" s="22" t="s">
        <v>2860</v>
      </c>
      <c r="I222" s="43"/>
      <c r="J222" s="43"/>
      <c r="K222" s="22" t="b">
        <v>1</v>
      </c>
      <c r="L222" s="22" t="b">
        <v>1</v>
      </c>
      <c r="M222" s="22" t="b">
        <v>1</v>
      </c>
      <c r="N222" s="22" t="b">
        <v>1</v>
      </c>
      <c r="O222" s="22" t="b">
        <v>0</v>
      </c>
      <c r="P222" s="22" t="b">
        <v>0</v>
      </c>
      <c r="Q222" s="22" t="b">
        <v>0</v>
      </c>
      <c r="R222" s="43"/>
      <c r="S222" s="43" t="s">
        <v>3493</v>
      </c>
      <c r="T222" s="22" t="s">
        <v>3491</v>
      </c>
      <c r="U222" s="22" t="s">
        <v>3491</v>
      </c>
      <c r="V222" s="22" t="s">
        <v>3491</v>
      </c>
      <c r="W222" s="43"/>
      <c r="X222" s="43"/>
      <c r="Y222" s="43"/>
      <c r="Z222" s="43"/>
      <c r="AA222" s="22">
        <v>1.51393048E8</v>
      </c>
      <c r="AB222" s="22">
        <v>9.16705489E8</v>
      </c>
      <c r="AC222" s="22">
        <v>1.02072156318E11</v>
      </c>
      <c r="AD222" s="22"/>
      <c r="AE222" s="22"/>
      <c r="AF222" s="43"/>
      <c r="AG222" s="43"/>
      <c r="AH222" s="43" t="s">
        <v>3492</v>
      </c>
      <c r="AI222" s="22" t="s">
        <v>3494</v>
      </c>
      <c r="AJ222" s="22" t="s">
        <v>3495</v>
      </c>
      <c r="AK222" s="22" t="s">
        <v>3496</v>
      </c>
      <c r="AL222" s="43"/>
      <c r="AM222" s="43"/>
      <c r="AN222" s="43"/>
      <c r="AO222" s="43"/>
      <c r="AP222" s="46" t="s">
        <v>3497</v>
      </c>
      <c r="AQ222" s="46" t="s">
        <v>3498</v>
      </c>
      <c r="AR222" s="46" t="s">
        <v>3499</v>
      </c>
      <c r="AS222" s="43"/>
      <c r="AT222" s="43"/>
      <c r="AU222" s="43"/>
      <c r="AV222" s="43"/>
      <c r="AW222" s="22" t="s">
        <v>594</v>
      </c>
      <c r="AX222" s="22" t="s">
        <v>3495</v>
      </c>
      <c r="AY222" s="22" t="s">
        <v>2672</v>
      </c>
      <c r="AZ222" s="43"/>
      <c r="BA222" s="43"/>
      <c r="BB222" s="43"/>
      <c r="BC222" s="43"/>
      <c r="BD222" s="43" t="s">
        <v>2673</v>
      </c>
      <c r="BE222" s="59" t="s">
        <v>2755</v>
      </c>
      <c r="BF222" s="22" t="s">
        <v>131</v>
      </c>
      <c r="BG222" s="22" t="s">
        <v>132</v>
      </c>
      <c r="BH222" s="22" t="s">
        <v>132</v>
      </c>
      <c r="BI222" s="22" t="s">
        <v>132</v>
      </c>
      <c r="BJ222" s="43"/>
      <c r="BK222" s="43"/>
      <c r="BL222" s="22">
        <v>4.627144543055E12</v>
      </c>
      <c r="BM222" s="22">
        <v>3.30499E9</v>
      </c>
      <c r="BN222" s="22" t="s">
        <v>3500</v>
      </c>
      <c r="BO222" s="22"/>
      <c r="BP222" s="22" t="s">
        <v>496</v>
      </c>
      <c r="BQ222" s="43"/>
      <c r="BR222" s="43"/>
      <c r="BS222" s="22" t="s">
        <v>3501</v>
      </c>
      <c r="BT222" s="43"/>
      <c r="BU222" s="22" t="s">
        <v>3502</v>
      </c>
      <c r="BV222" s="22" t="s">
        <v>965</v>
      </c>
      <c r="BW222" s="22" t="s">
        <v>3503</v>
      </c>
      <c r="BX222" s="22">
        <v>15.0</v>
      </c>
      <c r="BY222" s="22" t="s">
        <v>3504</v>
      </c>
      <c r="BZ222" s="22"/>
      <c r="CA222" s="22"/>
      <c r="CB222" s="22"/>
      <c r="CC222" s="45" t="s">
        <v>3505</v>
      </c>
      <c r="CD222" s="43"/>
      <c r="CE222" s="43"/>
      <c r="CF222" s="45"/>
      <c r="CG222" s="43"/>
      <c r="CH222" s="43"/>
      <c r="CI222" s="43"/>
      <c r="CJ222" s="43"/>
      <c r="CK222" s="43"/>
      <c r="CL222" s="43"/>
      <c r="CM222" s="49">
        <f>IFERROR(VLOOKUP(B222,CC!A:D,4,0)," ")</f>
        <v>97.1</v>
      </c>
      <c r="CN222" s="22" t="s">
        <v>3346</v>
      </c>
      <c r="CO222" s="22"/>
      <c r="CP222" s="43"/>
      <c r="CQ222" s="22">
        <v>45.0</v>
      </c>
      <c r="CR222" s="43"/>
      <c r="CS222" s="22">
        <v>1.0</v>
      </c>
      <c r="CT222" s="22" t="s">
        <v>145</v>
      </c>
      <c r="CU222" s="43"/>
      <c r="CV222" s="43"/>
      <c r="CW222" s="43"/>
      <c r="CX222" s="43"/>
      <c r="CY222" s="43" t="b">
        <v>0</v>
      </c>
      <c r="CZ222" s="43" t="b">
        <v>0</v>
      </c>
      <c r="DA222" s="43" t="b">
        <v>0</v>
      </c>
      <c r="DB222" s="43" t="b">
        <v>0</v>
      </c>
      <c r="DC222" s="43"/>
      <c r="DD222" s="43"/>
      <c r="DE222" s="43"/>
      <c r="DF222" s="43"/>
      <c r="DG222" s="43"/>
      <c r="DH222" s="43"/>
      <c r="DI222" s="43"/>
      <c r="DJ222" s="22">
        <f>IFERROR(VLOOKUP($B222,'Лист4'!$D:$AI,27,0)," ")</f>
        <v>10</v>
      </c>
      <c r="DK222" s="22">
        <f>IFERROR(VLOOKUP($B222,'Лист4'!$D:$AI,28,0)," ")</f>
        <v>2</v>
      </c>
      <c r="DL222" s="22">
        <f>IFERROR(VLOOKUP($B222,'Лист4'!$D:$AI,29,0)," ")</f>
        <v>10</v>
      </c>
      <c r="DM222" s="22">
        <f t="shared" si="2"/>
        <v>200</v>
      </c>
      <c r="DN222" s="22">
        <f>IFERROR(VLOOKUP($B222,'Лист4'!$D:$AI,32,0)," ")</f>
        <v>0.023</v>
      </c>
      <c r="DO222" s="22"/>
      <c r="DP222" s="22"/>
      <c r="DQ222" s="22"/>
      <c r="DR222" s="22"/>
      <c r="DS222" s="22"/>
      <c r="DT222" s="22"/>
      <c r="DU222" s="22"/>
      <c r="DV222" s="22"/>
      <c r="DW222" s="22"/>
      <c r="DX222" s="22"/>
      <c r="DY222" s="22"/>
      <c r="DZ222" s="22"/>
      <c r="EA222" s="22"/>
      <c r="EB222" s="22"/>
      <c r="EC222" s="22"/>
      <c r="ED222" s="22"/>
      <c r="EE222" s="22"/>
      <c r="EF222" s="22"/>
      <c r="EG222" s="22"/>
      <c r="EH222" s="22"/>
      <c r="EI222" s="22"/>
      <c r="EJ222" s="22"/>
      <c r="EK222" s="22"/>
      <c r="EL222" s="22"/>
      <c r="EM222" s="22"/>
      <c r="EN222" s="22"/>
      <c r="EO222" s="22"/>
      <c r="EP222" s="22"/>
      <c r="EQ222" s="22"/>
      <c r="ER222" s="22"/>
      <c r="ES222" s="43"/>
      <c r="ET222" s="43"/>
      <c r="EU222" s="43"/>
      <c r="EV222" s="43"/>
      <c r="EW222" s="43"/>
      <c r="EX222" s="43"/>
      <c r="EY222" s="43"/>
      <c r="EZ222" s="43"/>
      <c r="FA222" s="43"/>
      <c r="FB222" s="43"/>
      <c r="FC222" s="43"/>
      <c r="FD222" s="43"/>
      <c r="FE222" s="43"/>
      <c r="FF222" s="43"/>
      <c r="FG222" s="43"/>
      <c r="FH222" s="43"/>
      <c r="FI222" s="43"/>
    </row>
    <row r="223" ht="18.0" customHeight="1">
      <c r="A223" s="22" t="s">
        <v>2659</v>
      </c>
      <c r="B223" s="43" t="s">
        <v>3506</v>
      </c>
      <c r="C223" s="22" t="s">
        <v>2741</v>
      </c>
      <c r="D223" s="22" t="s">
        <v>119</v>
      </c>
      <c r="E223" s="43" t="s">
        <v>3507</v>
      </c>
      <c r="F223" s="22" t="s">
        <v>3508</v>
      </c>
      <c r="G223" s="22" t="s">
        <v>2743</v>
      </c>
      <c r="H223" s="22" t="s">
        <v>1821</v>
      </c>
      <c r="I223" s="43"/>
      <c r="J223" s="43"/>
      <c r="K223" s="22" t="b">
        <v>1</v>
      </c>
      <c r="L223" s="22" t="b">
        <v>1</v>
      </c>
      <c r="M223" s="22" t="b">
        <v>1</v>
      </c>
      <c r="N223" s="22" t="b">
        <v>1</v>
      </c>
      <c r="O223" s="22" t="b">
        <v>1</v>
      </c>
      <c r="P223" s="22" t="b">
        <v>1</v>
      </c>
      <c r="Q223" s="22" t="b">
        <v>1</v>
      </c>
      <c r="R223" s="43"/>
      <c r="S223" s="43" t="s">
        <v>3509</v>
      </c>
      <c r="T223" s="22" t="s">
        <v>3506</v>
      </c>
      <c r="U223" s="22" t="s">
        <v>3506</v>
      </c>
      <c r="V223" s="22" t="s">
        <v>3506</v>
      </c>
      <c r="W223" s="43" t="s">
        <v>3506</v>
      </c>
      <c r="X223" s="43" t="s">
        <v>3506</v>
      </c>
      <c r="Y223" s="22" t="s">
        <v>3506</v>
      </c>
      <c r="Z223" s="43"/>
      <c r="AA223" s="22">
        <v>4.80197142E8</v>
      </c>
      <c r="AB223" s="22">
        <v>2.545691905E9</v>
      </c>
      <c r="AC223" s="22">
        <v>4.56959042E9</v>
      </c>
      <c r="AD223" s="22">
        <v>9.9000114723E10</v>
      </c>
      <c r="AE223" s="22" t="s">
        <v>3510</v>
      </c>
      <c r="AF223" s="22" t="s">
        <v>3511</v>
      </c>
      <c r="AG223" s="43"/>
      <c r="AH223" s="43" t="s">
        <v>3508</v>
      </c>
      <c r="AI223" s="22" t="s">
        <v>3512</v>
      </c>
      <c r="AJ223" s="22" t="s">
        <v>3513</v>
      </c>
      <c r="AK223" s="22" t="s">
        <v>3514</v>
      </c>
      <c r="AL223" s="22" t="s">
        <v>3515</v>
      </c>
      <c r="AM223" s="22" t="s">
        <v>3516</v>
      </c>
      <c r="AN223" s="22" t="s">
        <v>3517</v>
      </c>
      <c r="AO223" s="43"/>
      <c r="AP223" s="46" t="s">
        <v>3518</v>
      </c>
      <c r="AQ223" s="46" t="s">
        <v>3519</v>
      </c>
      <c r="AR223" s="46" t="s">
        <v>3520</v>
      </c>
      <c r="AS223" s="46" t="s">
        <v>3521</v>
      </c>
      <c r="AT223" s="46" t="s">
        <v>3522</v>
      </c>
      <c r="AU223" s="46" t="s">
        <v>3523</v>
      </c>
      <c r="AV223" s="43"/>
      <c r="AW223" s="22" t="s">
        <v>1832</v>
      </c>
      <c r="AX223" s="22" t="s">
        <v>3513</v>
      </c>
      <c r="AY223" s="22" t="s">
        <v>3524</v>
      </c>
      <c r="AZ223" s="22" t="s">
        <v>3525</v>
      </c>
      <c r="BA223" s="22" t="s">
        <v>3526</v>
      </c>
      <c r="BB223" s="22" t="s">
        <v>3527</v>
      </c>
      <c r="BC223" s="22"/>
      <c r="BD223" s="43" t="s">
        <v>1449</v>
      </c>
      <c r="BE223" s="59" t="s">
        <v>2674</v>
      </c>
      <c r="BF223" s="22" t="s">
        <v>131</v>
      </c>
      <c r="BG223" s="22" t="s">
        <v>132</v>
      </c>
      <c r="BH223" s="22" t="s">
        <v>132</v>
      </c>
      <c r="BI223" s="22" t="s">
        <v>132</v>
      </c>
      <c r="BJ223" s="43"/>
      <c r="BK223" s="43"/>
      <c r="BL223" s="22">
        <v>4.630084865477E12</v>
      </c>
      <c r="BM223" s="22">
        <v>3.4013E9</v>
      </c>
      <c r="BN223" s="22" t="s">
        <v>3528</v>
      </c>
      <c r="BO223" s="22"/>
      <c r="BP223" s="22" t="s">
        <v>496</v>
      </c>
      <c r="BQ223" s="43"/>
      <c r="BR223" s="43"/>
      <c r="BS223" s="22" t="s">
        <v>3529</v>
      </c>
      <c r="BT223" s="43"/>
      <c r="BU223" s="22" t="s">
        <v>3530</v>
      </c>
      <c r="BV223" s="43" t="s">
        <v>145</v>
      </c>
      <c r="BW223" s="22" t="s">
        <v>2832</v>
      </c>
      <c r="BX223" s="22">
        <v>300.0</v>
      </c>
      <c r="BY223" s="22" t="s">
        <v>139</v>
      </c>
      <c r="BZ223" s="22"/>
      <c r="CA223" s="22" t="s">
        <v>355</v>
      </c>
      <c r="CB223" s="22" t="s">
        <v>307</v>
      </c>
      <c r="CC223" s="45" t="s">
        <v>3531</v>
      </c>
      <c r="CD223" s="43"/>
      <c r="CE223" s="43"/>
      <c r="CF223" s="45"/>
      <c r="CG223" s="43"/>
      <c r="CH223" s="43"/>
      <c r="CI223" s="43"/>
      <c r="CJ223" s="43"/>
      <c r="CK223" s="43"/>
      <c r="CL223" s="43"/>
      <c r="CM223" s="49">
        <f>IFERROR(VLOOKUP(B223,CC!A:D,4,0)," ")</f>
        <v>104.9</v>
      </c>
      <c r="CN223" s="22" t="s">
        <v>3532</v>
      </c>
      <c r="CO223" s="22"/>
      <c r="CP223" s="22" t="s">
        <v>2835</v>
      </c>
      <c r="CQ223" s="22">
        <v>90.0</v>
      </c>
      <c r="CR223" s="43"/>
      <c r="CS223" s="43"/>
      <c r="CT223" s="22" t="s">
        <v>145</v>
      </c>
      <c r="CU223" s="43"/>
      <c r="CV223" s="43"/>
      <c r="CW223" s="43"/>
      <c r="CX223" s="43"/>
      <c r="CY223" s="43" t="b">
        <v>0</v>
      </c>
      <c r="CZ223" s="43" t="b">
        <v>0</v>
      </c>
      <c r="DA223" s="43" t="b">
        <v>0</v>
      </c>
      <c r="DB223" s="43" t="b">
        <v>0</v>
      </c>
      <c r="DC223" s="43"/>
      <c r="DD223" s="43"/>
      <c r="DE223" s="43"/>
      <c r="DF223" s="43"/>
      <c r="DG223" s="43"/>
      <c r="DH223" s="43"/>
      <c r="DI223" s="43"/>
      <c r="DJ223" s="22">
        <f>IFERROR(VLOOKUP($B223,'Лист4'!$D:$AI,27,0)," ")</f>
        <v>9</v>
      </c>
      <c r="DK223" s="22">
        <f>IFERROR(VLOOKUP($B223,'Лист4'!$D:$AI,28,0)," ")</f>
        <v>18</v>
      </c>
      <c r="DL223" s="22">
        <f>IFERROR(VLOOKUP($B223,'Лист4'!$D:$AI,29,0)," ")</f>
        <v>9</v>
      </c>
      <c r="DM223" s="22">
        <f t="shared" si="2"/>
        <v>1458</v>
      </c>
      <c r="DN223" s="22">
        <f>IFERROR(VLOOKUP($B223,'Лист4'!$D:$AI,32,0)," ")</f>
        <v>0.36</v>
      </c>
      <c r="DO223" s="22"/>
      <c r="DP223" s="22"/>
      <c r="DQ223" s="22"/>
      <c r="DR223" s="22"/>
      <c r="DS223" s="22"/>
      <c r="DT223" s="22"/>
      <c r="DU223" s="22"/>
      <c r="DV223" s="22"/>
      <c r="DW223" s="22"/>
      <c r="DX223" s="22"/>
      <c r="DY223" s="22"/>
      <c r="DZ223" s="22"/>
      <c r="EA223" s="22"/>
      <c r="EB223" s="22"/>
      <c r="EC223" s="22"/>
      <c r="ED223" s="22"/>
      <c r="EE223" s="22"/>
      <c r="EF223" s="22"/>
      <c r="EG223" s="22"/>
      <c r="EH223" s="22"/>
      <c r="EI223" s="22"/>
      <c r="EJ223" s="22"/>
      <c r="EK223" s="22"/>
      <c r="EL223" s="22"/>
      <c r="EM223" s="22"/>
      <c r="EN223" s="22"/>
      <c r="EO223" s="22"/>
      <c r="EP223" s="22"/>
      <c r="EQ223" s="22"/>
      <c r="ER223" s="22"/>
      <c r="ES223" s="43"/>
      <c r="ET223" s="43"/>
      <c r="EU223" s="43"/>
      <c r="EV223" s="43"/>
      <c r="EW223" s="43"/>
      <c r="EX223" s="43"/>
      <c r="EY223" s="43"/>
      <c r="EZ223" s="43"/>
      <c r="FA223" s="43"/>
      <c r="FB223" s="43"/>
      <c r="FC223" s="43"/>
      <c r="FD223" s="43"/>
      <c r="FE223" s="43"/>
      <c r="FF223" s="43"/>
      <c r="FG223" s="43"/>
      <c r="FH223" s="43"/>
      <c r="FI223" s="43"/>
    </row>
    <row r="224" ht="18.0" customHeight="1">
      <c r="A224" s="22" t="s">
        <v>2659</v>
      </c>
      <c r="B224" s="43" t="s">
        <v>3533</v>
      </c>
      <c r="C224" s="22" t="s">
        <v>2741</v>
      </c>
      <c r="D224" s="22" t="s">
        <v>119</v>
      </c>
      <c r="E224" s="43"/>
      <c r="F224" s="22" t="s">
        <v>3534</v>
      </c>
      <c r="G224" s="22" t="s">
        <v>2743</v>
      </c>
      <c r="H224" s="22" t="s">
        <v>565</v>
      </c>
      <c r="I224" s="43"/>
      <c r="J224" s="43"/>
      <c r="K224" s="22" t="b">
        <v>1</v>
      </c>
      <c r="L224" s="22" t="b">
        <v>1</v>
      </c>
      <c r="M224" s="22" t="b">
        <v>1</v>
      </c>
      <c r="N224" s="22" t="b">
        <v>1</v>
      </c>
      <c r="O224" s="22" t="b">
        <v>1</v>
      </c>
      <c r="P224" s="22" t="b">
        <v>1</v>
      </c>
      <c r="Q224" s="22" t="b">
        <v>0</v>
      </c>
      <c r="R224" s="43"/>
      <c r="S224" s="43" t="s">
        <v>3535</v>
      </c>
      <c r="T224" s="22" t="s">
        <v>3533</v>
      </c>
      <c r="U224" s="22" t="s">
        <v>3533</v>
      </c>
      <c r="V224" s="22" t="s">
        <v>3533</v>
      </c>
      <c r="W224" s="43" t="s">
        <v>3533</v>
      </c>
      <c r="X224" s="43" t="s">
        <v>3533</v>
      </c>
      <c r="Y224" s="43"/>
      <c r="Z224" s="43"/>
      <c r="AA224" s="22">
        <v>4.71396076E8</v>
      </c>
      <c r="AB224" s="22">
        <v>2.498445505E9</v>
      </c>
      <c r="AC224" s="22">
        <v>4.674244671E9</v>
      </c>
      <c r="AD224" s="22">
        <v>9.9000125267E10</v>
      </c>
      <c r="AE224" s="22" t="s">
        <v>3536</v>
      </c>
      <c r="AF224" s="43"/>
      <c r="AG224" s="43"/>
      <c r="AH224" s="43" t="s">
        <v>3534</v>
      </c>
      <c r="AI224" s="22" t="s">
        <v>3537</v>
      </c>
      <c r="AJ224" s="22" t="s">
        <v>3538</v>
      </c>
      <c r="AK224" s="22" t="s">
        <v>3539</v>
      </c>
      <c r="AL224" s="22" t="s">
        <v>2749</v>
      </c>
      <c r="AM224" s="22" t="s">
        <v>3540</v>
      </c>
      <c r="AN224" s="43"/>
      <c r="AO224" s="43"/>
      <c r="AP224" s="46" t="s">
        <v>3541</v>
      </c>
      <c r="AQ224" s="46" t="s">
        <v>3542</v>
      </c>
      <c r="AR224" s="46" t="s">
        <v>3543</v>
      </c>
      <c r="AS224" s="46" t="s">
        <v>3544</v>
      </c>
      <c r="AT224" s="46" t="s">
        <v>3545</v>
      </c>
      <c r="AU224" s="43"/>
      <c r="AV224" s="43"/>
      <c r="AW224" s="22" t="s">
        <v>594</v>
      </c>
      <c r="AX224" s="22" t="s">
        <v>3538</v>
      </c>
      <c r="AY224" s="22" t="s">
        <v>3546</v>
      </c>
      <c r="AZ224" s="22" t="s">
        <v>1447</v>
      </c>
      <c r="BA224" s="22" t="s">
        <v>596</v>
      </c>
      <c r="BB224" s="43"/>
      <c r="BC224" s="43"/>
      <c r="BD224" s="43" t="s">
        <v>2673</v>
      </c>
      <c r="BE224" s="59" t="s">
        <v>2755</v>
      </c>
      <c r="BF224" s="22" t="s">
        <v>131</v>
      </c>
      <c r="BG224" s="22" t="s">
        <v>132</v>
      </c>
      <c r="BH224" s="22" t="s">
        <v>132</v>
      </c>
      <c r="BI224" s="22" t="s">
        <v>132</v>
      </c>
      <c r="BJ224" s="43"/>
      <c r="BK224" s="43"/>
      <c r="BL224" s="22" t="s">
        <v>3547</v>
      </c>
      <c r="BM224" s="22">
        <v>3.30499E9</v>
      </c>
      <c r="BN224" s="22" t="s">
        <v>3548</v>
      </c>
      <c r="BO224" s="22"/>
      <c r="BP224" s="22" t="s">
        <v>145</v>
      </c>
      <c r="BQ224" s="43"/>
      <c r="BR224" s="43"/>
      <c r="BS224" s="22" t="s">
        <v>3549</v>
      </c>
      <c r="BT224" s="43"/>
      <c r="BU224" s="22" t="s">
        <v>3550</v>
      </c>
      <c r="BV224" s="43" t="s">
        <v>145</v>
      </c>
      <c r="BW224" s="22" t="s">
        <v>3042</v>
      </c>
      <c r="BX224" s="22">
        <v>30.0</v>
      </c>
      <c r="BY224" s="22" t="s">
        <v>139</v>
      </c>
      <c r="BZ224" s="22"/>
      <c r="CA224" s="22" t="s">
        <v>355</v>
      </c>
      <c r="CB224" s="22" t="s">
        <v>307</v>
      </c>
      <c r="CC224" s="45" t="s">
        <v>3551</v>
      </c>
      <c r="CD224" s="43"/>
      <c r="CE224" s="43"/>
      <c r="CF224" s="45"/>
      <c r="CG224" s="43"/>
      <c r="CH224" s="43"/>
      <c r="CI224" s="43"/>
      <c r="CJ224" s="43"/>
      <c r="CK224" s="43"/>
      <c r="CL224" s="43"/>
      <c r="CM224" s="49">
        <f>IFERROR(VLOOKUP(B224,CC!A:D,4,0)," ")</f>
        <v>129.1</v>
      </c>
      <c r="CN224" s="22" t="s">
        <v>2834</v>
      </c>
      <c r="CO224" s="22" t="s">
        <v>3020</v>
      </c>
      <c r="CP224" s="22" t="s">
        <v>2835</v>
      </c>
      <c r="CQ224" s="22">
        <v>90.0</v>
      </c>
      <c r="CR224" s="43"/>
      <c r="CS224" s="22">
        <v>5.0</v>
      </c>
      <c r="CT224" s="22" t="s">
        <v>145</v>
      </c>
      <c r="CU224" s="43"/>
      <c r="CV224" s="43"/>
      <c r="CW224" s="43"/>
      <c r="CX224" s="43"/>
      <c r="CY224" s="43" t="b">
        <v>0</v>
      </c>
      <c r="CZ224" s="43" t="b">
        <v>0</v>
      </c>
      <c r="DA224" s="43" t="b">
        <v>0</v>
      </c>
      <c r="DB224" s="43" t="b">
        <v>0</v>
      </c>
      <c r="DC224" s="43"/>
      <c r="DD224" s="43"/>
      <c r="DE224" s="43"/>
      <c r="DF224" s="43"/>
      <c r="DG224" s="43"/>
      <c r="DH224" s="43"/>
      <c r="DI224" s="43"/>
      <c r="DJ224" s="22">
        <f>IFERROR(VLOOKUP($B224,'Лист4'!$D:$AI,27,0)," ")</f>
        <v>5</v>
      </c>
      <c r="DK224" s="22">
        <f>IFERROR(VLOOKUP($B224,'Лист4'!$D:$AI,28,0)," ")</f>
        <v>11</v>
      </c>
      <c r="DL224" s="22">
        <f>IFERROR(VLOOKUP($B224,'Лист4'!$D:$AI,29,0)," ")</f>
        <v>5</v>
      </c>
      <c r="DM224" s="22">
        <f t="shared" si="2"/>
        <v>275</v>
      </c>
      <c r="DN224" s="22">
        <f>IFERROR(VLOOKUP($B224,'Лист4'!$D:$AI,32,0)," ")</f>
        <v>0.061</v>
      </c>
      <c r="DO224" s="22"/>
      <c r="DP224" s="22"/>
      <c r="DQ224" s="22"/>
      <c r="DR224" s="22"/>
      <c r="DS224" s="22"/>
      <c r="DT224" s="22"/>
      <c r="DU224" s="22"/>
      <c r="DV224" s="22"/>
      <c r="DW224" s="22"/>
      <c r="DX224" s="22"/>
      <c r="DY224" s="22"/>
      <c r="DZ224" s="22"/>
      <c r="EA224" s="22"/>
      <c r="EB224" s="22"/>
      <c r="EC224" s="22"/>
      <c r="ED224" s="22"/>
      <c r="EE224" s="22"/>
      <c r="EF224" s="22"/>
      <c r="EG224" s="22"/>
      <c r="EH224" s="22"/>
      <c r="EI224" s="22"/>
      <c r="EJ224" s="22"/>
      <c r="EK224" s="22"/>
      <c r="EL224" s="22"/>
      <c r="EM224" s="22"/>
      <c r="EN224" s="22"/>
      <c r="EO224" s="22"/>
      <c r="EP224" s="22"/>
      <c r="EQ224" s="22"/>
      <c r="ER224" s="22"/>
      <c r="ES224" s="43"/>
      <c r="ET224" s="43"/>
      <c r="EU224" s="43"/>
      <c r="EV224" s="43"/>
      <c r="EW224" s="43"/>
      <c r="EX224" s="43"/>
      <c r="EY224" s="43"/>
      <c r="EZ224" s="43"/>
      <c r="FA224" s="43"/>
      <c r="FB224" s="43"/>
      <c r="FC224" s="43"/>
      <c r="FD224" s="43"/>
      <c r="FE224" s="43"/>
      <c r="FF224" s="43"/>
      <c r="FG224" s="43"/>
      <c r="FH224" s="43"/>
      <c r="FI224" s="43"/>
    </row>
    <row r="225" ht="18.0" customHeight="1">
      <c r="A225" s="22" t="s">
        <v>2659</v>
      </c>
      <c r="B225" s="43" t="s">
        <v>3552</v>
      </c>
      <c r="C225" s="22" t="s">
        <v>2661</v>
      </c>
      <c r="D225" s="22" t="s">
        <v>119</v>
      </c>
      <c r="E225" s="43"/>
      <c r="F225" s="22" t="s">
        <v>3553</v>
      </c>
      <c r="G225" s="22" t="s">
        <v>2663</v>
      </c>
      <c r="H225" s="22" t="s">
        <v>2766</v>
      </c>
      <c r="I225" s="43"/>
      <c r="J225" s="43"/>
      <c r="K225" s="22" t="b">
        <v>1</v>
      </c>
      <c r="L225" s="22" t="b">
        <v>1</v>
      </c>
      <c r="M225" s="22" t="b">
        <v>1</v>
      </c>
      <c r="N225" s="22" t="b">
        <v>1</v>
      </c>
      <c r="O225" s="22" t="b">
        <v>0</v>
      </c>
      <c r="P225" s="22" t="b">
        <v>0</v>
      </c>
      <c r="Q225" s="22" t="b">
        <v>0</v>
      </c>
      <c r="R225" s="43"/>
      <c r="S225" s="43" t="s">
        <v>3554</v>
      </c>
      <c r="T225" s="22" t="s">
        <v>3552</v>
      </c>
      <c r="U225" s="22" t="s">
        <v>3552</v>
      </c>
      <c r="V225" s="22" t="s">
        <v>3552</v>
      </c>
      <c r="W225" s="43"/>
      <c r="X225" s="43"/>
      <c r="Y225" s="43"/>
      <c r="Z225" s="43"/>
      <c r="AA225" s="22">
        <v>5.25494849E8</v>
      </c>
      <c r="AB225" s="22">
        <v>2.825101652E9</v>
      </c>
      <c r="AC225" s="22">
        <v>4.640680679E9</v>
      </c>
      <c r="AD225" s="22"/>
      <c r="AE225" s="22"/>
      <c r="AF225" s="43"/>
      <c r="AG225" s="43"/>
      <c r="AH225" s="43" t="s">
        <v>3553</v>
      </c>
      <c r="AI225" s="22" t="s">
        <v>2768</v>
      </c>
      <c r="AJ225" s="22" t="s">
        <v>3555</v>
      </c>
      <c r="AK225" s="22" t="s">
        <v>3555</v>
      </c>
      <c r="AL225" s="43"/>
      <c r="AM225" s="43"/>
      <c r="AN225" s="43"/>
      <c r="AO225" s="43"/>
      <c r="AP225" s="46" t="s">
        <v>3556</v>
      </c>
      <c r="AQ225" s="46" t="s">
        <v>3557</v>
      </c>
      <c r="AR225" s="46" t="s">
        <v>3558</v>
      </c>
      <c r="AS225" s="43"/>
      <c r="AT225" s="43"/>
      <c r="AU225" s="43"/>
      <c r="AV225" s="43"/>
      <c r="AW225" s="22" t="s">
        <v>649</v>
      </c>
      <c r="AX225" s="22" t="s">
        <v>3555</v>
      </c>
      <c r="AY225" s="22" t="s">
        <v>372</v>
      </c>
      <c r="AZ225" s="43"/>
      <c r="BA225" s="43"/>
      <c r="BB225" s="43"/>
      <c r="BC225" s="43"/>
      <c r="BD225" s="43" t="s">
        <v>1449</v>
      </c>
      <c r="BE225" s="59" t="s">
        <v>2755</v>
      </c>
      <c r="BF225" s="22" t="s">
        <v>131</v>
      </c>
      <c r="BG225" s="22" t="s">
        <v>132</v>
      </c>
      <c r="BH225" s="22" t="s">
        <v>132</v>
      </c>
      <c r="BI225" s="22" t="s">
        <v>132</v>
      </c>
      <c r="BJ225" s="43"/>
      <c r="BK225" s="43"/>
      <c r="BL225" s="22">
        <v>4.683765887831E12</v>
      </c>
      <c r="BM225" s="22">
        <v>2.103909009E9</v>
      </c>
      <c r="BN225" s="22" t="s">
        <v>2775</v>
      </c>
      <c r="BO225" s="22"/>
      <c r="BP225" s="22" t="s">
        <v>145</v>
      </c>
      <c r="BQ225" s="43"/>
      <c r="BR225" s="43"/>
      <c r="BS225" s="22" t="s">
        <v>2776</v>
      </c>
      <c r="BT225" s="43"/>
      <c r="BU225" s="22" t="s">
        <v>3559</v>
      </c>
      <c r="BV225" s="22" t="s">
        <v>2777</v>
      </c>
      <c r="BW225" s="22" t="s">
        <v>2778</v>
      </c>
      <c r="BX225" s="22">
        <v>49.0</v>
      </c>
      <c r="BY225" s="22" t="s">
        <v>580</v>
      </c>
      <c r="BZ225" s="22"/>
      <c r="CA225" s="22"/>
      <c r="CB225" s="22"/>
      <c r="CC225" s="45" t="s">
        <v>2779</v>
      </c>
      <c r="CD225" s="43"/>
      <c r="CE225" s="43"/>
      <c r="CF225" s="45"/>
      <c r="CG225" s="43"/>
      <c r="CH225" s="43"/>
      <c r="CI225" s="43"/>
      <c r="CJ225" s="43"/>
      <c r="CK225" s="43"/>
      <c r="CL225" s="43"/>
      <c r="CM225" s="49">
        <f>IFERROR(VLOOKUP(B225,CC!A:D,4,0)," ")</f>
        <v>286.74</v>
      </c>
      <c r="CN225" s="22" t="s">
        <v>2780</v>
      </c>
      <c r="CO225" s="22"/>
      <c r="CP225" s="22"/>
      <c r="CQ225" s="22">
        <v>45.0</v>
      </c>
      <c r="CR225" s="43"/>
      <c r="CS225" s="43"/>
      <c r="CT225" s="22" t="s">
        <v>145</v>
      </c>
      <c r="CU225" s="43"/>
      <c r="CV225" s="43"/>
      <c r="CW225" s="43"/>
      <c r="CX225" s="43"/>
      <c r="CY225" s="43" t="b">
        <v>0</v>
      </c>
      <c r="CZ225" s="43" t="b">
        <v>0</v>
      </c>
      <c r="DA225" s="43" t="b">
        <v>0</v>
      </c>
      <c r="DB225" s="43" t="b">
        <v>0</v>
      </c>
      <c r="DC225" s="43"/>
      <c r="DD225" s="43"/>
      <c r="DE225" s="43"/>
      <c r="DF225" s="43"/>
      <c r="DG225" s="43"/>
      <c r="DH225" s="43"/>
      <c r="DI225" s="43"/>
      <c r="DJ225" s="22">
        <f>IFERROR(VLOOKUP($B225,'Лист4'!$D:$AI,27,0)," ")</f>
        <v>16</v>
      </c>
      <c r="DK225" s="22">
        <f>IFERROR(VLOOKUP($B225,'Лист4'!$D:$AI,28,0)," ")</f>
        <v>11</v>
      </c>
      <c r="DL225" s="22">
        <f>IFERROR(VLOOKUP($B225,'Лист4'!$D:$AI,29,0)," ")</f>
        <v>16</v>
      </c>
      <c r="DM225" s="22">
        <f t="shared" si="2"/>
        <v>2816</v>
      </c>
      <c r="DN225" s="22">
        <f>IFERROR(VLOOKUP($B225,'Лист4'!$D:$AI,32,0)," ")</f>
        <v>0.213</v>
      </c>
      <c r="DO225" s="22"/>
      <c r="DP225" s="22"/>
      <c r="DQ225" s="22"/>
      <c r="DR225" s="22"/>
      <c r="DS225" s="22"/>
      <c r="DT225" s="22"/>
      <c r="DU225" s="22"/>
      <c r="DV225" s="22"/>
      <c r="DW225" s="22"/>
      <c r="DX225" s="22"/>
      <c r="DY225" s="22"/>
      <c r="DZ225" s="22"/>
      <c r="EA225" s="22"/>
      <c r="EB225" s="22"/>
      <c r="EC225" s="22"/>
      <c r="ED225" s="22"/>
      <c r="EE225" s="22"/>
      <c r="EF225" s="22"/>
      <c r="EG225" s="22"/>
      <c r="EH225" s="22"/>
      <c r="EI225" s="22"/>
      <c r="EJ225" s="22"/>
      <c r="EK225" s="22"/>
      <c r="EL225" s="22"/>
      <c r="EM225" s="22"/>
      <c r="EN225" s="22"/>
      <c r="EO225" s="22"/>
      <c r="EP225" s="22"/>
      <c r="EQ225" s="22"/>
      <c r="ER225" s="22"/>
      <c r="ES225" s="43"/>
      <c r="ET225" s="43"/>
      <c r="EU225" s="43"/>
      <c r="EV225" s="43"/>
      <c r="EW225" s="43"/>
      <c r="EX225" s="43"/>
      <c r="EY225" s="43"/>
      <c r="EZ225" s="43"/>
      <c r="FA225" s="43"/>
      <c r="FB225" s="43"/>
      <c r="FC225" s="43"/>
      <c r="FD225" s="43"/>
      <c r="FE225" s="43"/>
      <c r="FF225" s="43"/>
      <c r="FG225" s="43"/>
      <c r="FH225" s="43"/>
      <c r="FI225" s="43"/>
    </row>
    <row r="226" ht="18.0" customHeight="1">
      <c r="A226" s="22" t="s">
        <v>2659</v>
      </c>
      <c r="B226" s="43" t="s">
        <v>3560</v>
      </c>
      <c r="C226" s="22" t="s">
        <v>2661</v>
      </c>
      <c r="D226" s="22" t="s">
        <v>119</v>
      </c>
      <c r="E226" s="43"/>
      <c r="F226" s="22" t="s">
        <v>3561</v>
      </c>
      <c r="G226" s="22" t="s">
        <v>2663</v>
      </c>
      <c r="H226" s="22" t="s">
        <v>3562</v>
      </c>
      <c r="I226" s="43"/>
      <c r="J226" s="43"/>
      <c r="K226" s="22" t="b">
        <v>1</v>
      </c>
      <c r="L226" s="22" t="b">
        <v>1</v>
      </c>
      <c r="M226" s="22" t="b">
        <v>1</v>
      </c>
      <c r="N226" s="22" t="b">
        <v>1</v>
      </c>
      <c r="O226" s="22" t="b">
        <v>0</v>
      </c>
      <c r="P226" s="22" t="b">
        <v>0</v>
      </c>
      <c r="Q226" s="22" t="b">
        <v>0</v>
      </c>
      <c r="R226" s="43"/>
      <c r="S226" s="43" t="s">
        <v>3563</v>
      </c>
      <c r="T226" s="22" t="s">
        <v>3560</v>
      </c>
      <c r="U226" s="22" t="s">
        <v>3560</v>
      </c>
      <c r="V226" s="22" t="s">
        <v>3560</v>
      </c>
      <c r="W226" s="43"/>
      <c r="X226" s="43"/>
      <c r="Y226" s="43"/>
      <c r="Z226" s="43"/>
      <c r="AA226" s="22">
        <v>2.22223364E8</v>
      </c>
      <c r="AB226" s="22">
        <v>1.52808575E9</v>
      </c>
      <c r="AC226" s="22">
        <v>1.03515424475E11</v>
      </c>
      <c r="AD226" s="22"/>
      <c r="AE226" s="22"/>
      <c r="AF226" s="43"/>
      <c r="AG226" s="43"/>
      <c r="AH226" s="43" t="s">
        <v>3561</v>
      </c>
      <c r="AI226" s="22" t="s">
        <v>3564</v>
      </c>
      <c r="AJ226" s="22" t="s">
        <v>3565</v>
      </c>
      <c r="AK226" s="22" t="s">
        <v>3566</v>
      </c>
      <c r="AL226" s="43"/>
      <c r="AM226" s="43"/>
      <c r="AN226" s="43"/>
      <c r="AO226" s="43"/>
      <c r="AP226" s="46" t="s">
        <v>3567</v>
      </c>
      <c r="AQ226" s="46" t="s">
        <v>3568</v>
      </c>
      <c r="AR226" s="46" t="s">
        <v>3569</v>
      </c>
      <c r="AS226" s="43"/>
      <c r="AT226" s="43"/>
      <c r="AU226" s="43"/>
      <c r="AV226" s="43"/>
      <c r="AW226" s="22" t="s">
        <v>649</v>
      </c>
      <c r="AX226" s="22" t="s">
        <v>3565</v>
      </c>
      <c r="AY226" s="22" t="s">
        <v>372</v>
      </c>
      <c r="AZ226" s="43"/>
      <c r="BA226" s="43"/>
      <c r="BB226" s="43"/>
      <c r="BC226" s="43"/>
      <c r="BD226" s="43" t="s">
        <v>1449</v>
      </c>
      <c r="BE226" s="59" t="s">
        <v>2755</v>
      </c>
      <c r="BF226" s="22" t="s">
        <v>131</v>
      </c>
      <c r="BG226" s="22" t="s">
        <v>132</v>
      </c>
      <c r="BH226" s="22" t="s">
        <v>132</v>
      </c>
      <c r="BI226" s="22" t="s">
        <v>132</v>
      </c>
      <c r="BJ226" s="43"/>
      <c r="BK226" s="43"/>
      <c r="BL226" s="22">
        <v>4.600867365678E12</v>
      </c>
      <c r="BM226" s="22">
        <v>2.106909809E9</v>
      </c>
      <c r="BN226" s="22" t="s">
        <v>3570</v>
      </c>
      <c r="BO226" s="22"/>
      <c r="BP226" s="22" t="s">
        <v>145</v>
      </c>
      <c r="BQ226" s="43"/>
      <c r="BR226" s="43"/>
      <c r="BS226" s="22" t="s">
        <v>3571</v>
      </c>
      <c r="BT226" s="43"/>
      <c r="BU226" s="22" t="s">
        <v>3572</v>
      </c>
      <c r="BV226" s="22" t="s">
        <v>2777</v>
      </c>
      <c r="BW226" s="22" t="s">
        <v>2730</v>
      </c>
      <c r="BX226" s="22">
        <v>20.0</v>
      </c>
      <c r="BY226" s="22" t="s">
        <v>492</v>
      </c>
      <c r="BZ226" s="22"/>
      <c r="CA226" s="22"/>
      <c r="CB226" s="22"/>
      <c r="CC226" s="45" t="s">
        <v>3573</v>
      </c>
      <c r="CD226" s="43"/>
      <c r="CE226" s="43"/>
      <c r="CF226" s="45"/>
      <c r="CG226" s="43"/>
      <c r="CH226" s="43"/>
      <c r="CI226" s="43"/>
      <c r="CJ226" s="43"/>
      <c r="CK226" s="43"/>
      <c r="CL226" s="43"/>
      <c r="CM226" s="49">
        <f>IFERROR(VLOOKUP(B226,CC!A:D,4,0)," ")</f>
        <v>130.92</v>
      </c>
      <c r="CN226" s="22" t="s">
        <v>3574</v>
      </c>
      <c r="CO226" s="22"/>
      <c r="CP226" s="43"/>
      <c r="CQ226" s="22">
        <v>45.0</v>
      </c>
      <c r="CR226" s="43"/>
      <c r="CS226" s="22">
        <v>1.0</v>
      </c>
      <c r="CT226" s="22" t="s">
        <v>145</v>
      </c>
      <c r="CU226" s="43"/>
      <c r="CV226" s="43"/>
      <c r="CW226" s="43"/>
      <c r="CX226" s="43"/>
      <c r="CY226" s="43" t="b">
        <v>0</v>
      </c>
      <c r="CZ226" s="43" t="b">
        <v>0</v>
      </c>
      <c r="DA226" s="43" t="b">
        <v>0</v>
      </c>
      <c r="DB226" s="43" t="b">
        <v>0</v>
      </c>
      <c r="DC226" s="43"/>
      <c r="DD226" s="43"/>
      <c r="DE226" s="43"/>
      <c r="DF226" s="43"/>
      <c r="DG226" s="43"/>
      <c r="DH226" s="43"/>
      <c r="DI226" s="43"/>
      <c r="DJ226" s="22">
        <f>IFERROR(VLOOKUP($B226,'Лист4'!$D:$AI,27,0)," ")</f>
        <v>8</v>
      </c>
      <c r="DK226" s="22">
        <f>IFERROR(VLOOKUP($B226,'Лист4'!$D:$AI,28,0)," ")</f>
        <v>3</v>
      </c>
      <c r="DL226" s="22">
        <f>IFERROR(VLOOKUP($B226,'Лист4'!$D:$AI,29,0)," ")</f>
        <v>8</v>
      </c>
      <c r="DM226" s="22">
        <f t="shared" si="2"/>
        <v>192</v>
      </c>
      <c r="DN226" s="22">
        <f>IFERROR(VLOOKUP($B226,'Лист4'!$D:$AI,32,0)," ")</f>
        <v>0.046</v>
      </c>
      <c r="DO226" s="22"/>
      <c r="DP226" s="22"/>
      <c r="DQ226" s="22"/>
      <c r="DR226" s="22"/>
      <c r="DS226" s="22"/>
      <c r="DT226" s="22"/>
      <c r="DU226" s="22"/>
      <c r="DV226" s="22"/>
      <c r="DW226" s="22"/>
      <c r="DX226" s="22"/>
      <c r="DY226" s="22"/>
      <c r="DZ226" s="22"/>
      <c r="EA226" s="22"/>
      <c r="EB226" s="22"/>
      <c r="EC226" s="22"/>
      <c r="ED226" s="22"/>
      <c r="EE226" s="22"/>
      <c r="EF226" s="22"/>
      <c r="EG226" s="22"/>
      <c r="EH226" s="22"/>
      <c r="EI226" s="22"/>
      <c r="EJ226" s="22"/>
      <c r="EK226" s="22"/>
      <c r="EL226" s="22"/>
      <c r="EM226" s="22"/>
      <c r="EN226" s="22"/>
      <c r="EO226" s="22"/>
      <c r="EP226" s="22"/>
      <c r="EQ226" s="22"/>
      <c r="ER226" s="22"/>
      <c r="ES226" s="43"/>
      <c r="ET226" s="43"/>
      <c r="EU226" s="43"/>
      <c r="EV226" s="43"/>
      <c r="EW226" s="43"/>
      <c r="EX226" s="43"/>
      <c r="EY226" s="43"/>
      <c r="EZ226" s="43"/>
      <c r="FA226" s="43"/>
      <c r="FB226" s="43"/>
      <c r="FC226" s="43"/>
      <c r="FD226" s="43"/>
      <c r="FE226" s="43"/>
      <c r="FF226" s="43"/>
      <c r="FG226" s="43"/>
      <c r="FH226" s="43"/>
      <c r="FI226" s="43"/>
    </row>
    <row r="227" ht="18.0" customHeight="1">
      <c r="A227" s="22" t="s">
        <v>2659</v>
      </c>
      <c r="B227" s="43" t="s">
        <v>3575</v>
      </c>
      <c r="C227" s="22" t="s">
        <v>2741</v>
      </c>
      <c r="D227" s="22" t="s">
        <v>119</v>
      </c>
      <c r="E227" s="43"/>
      <c r="F227" s="22" t="s">
        <v>3576</v>
      </c>
      <c r="G227" s="22" t="s">
        <v>2743</v>
      </c>
      <c r="H227" s="22" t="s">
        <v>287</v>
      </c>
      <c r="I227" s="43"/>
      <c r="J227" s="43"/>
      <c r="K227" s="22" t="b">
        <v>1</v>
      </c>
      <c r="L227" s="22" t="b">
        <v>1</v>
      </c>
      <c r="M227" s="22" t="b">
        <v>1</v>
      </c>
      <c r="N227" s="22" t="b">
        <v>1</v>
      </c>
      <c r="O227" s="22" t="b">
        <v>1</v>
      </c>
      <c r="P227" s="22" t="b">
        <v>1</v>
      </c>
      <c r="Q227" s="22" t="b">
        <v>1</v>
      </c>
      <c r="R227" s="43"/>
      <c r="S227" s="43" t="s">
        <v>3577</v>
      </c>
      <c r="T227" s="22" t="s">
        <v>3575</v>
      </c>
      <c r="U227" s="22" t="s">
        <v>3575</v>
      </c>
      <c r="V227" s="22" t="s">
        <v>3575</v>
      </c>
      <c r="W227" s="43" t="s">
        <v>3575</v>
      </c>
      <c r="X227" s="43" t="s">
        <v>3575</v>
      </c>
      <c r="Y227" s="22" t="s">
        <v>3575</v>
      </c>
      <c r="Z227" s="43"/>
      <c r="AA227" s="22">
        <v>3.99766297E8</v>
      </c>
      <c r="AB227" s="22">
        <v>2.067962201E9</v>
      </c>
      <c r="AC227" s="22">
        <v>4.476306819E9</v>
      </c>
      <c r="AD227" s="22">
        <v>9.9000114733E10</v>
      </c>
      <c r="AE227" s="22" t="s">
        <v>3578</v>
      </c>
      <c r="AF227" s="22" t="s">
        <v>3579</v>
      </c>
      <c r="AG227" s="43"/>
      <c r="AH227" s="43" t="s">
        <v>3576</v>
      </c>
      <c r="AI227" s="22" t="s">
        <v>3580</v>
      </c>
      <c r="AJ227" s="22" t="s">
        <v>3581</v>
      </c>
      <c r="AK227" s="22" t="s">
        <v>3582</v>
      </c>
      <c r="AL227" s="22" t="s">
        <v>3583</v>
      </c>
      <c r="AM227" s="22" t="s">
        <v>3584</v>
      </c>
      <c r="AN227" s="22" t="s">
        <v>3585</v>
      </c>
      <c r="AO227" s="43"/>
      <c r="AP227" s="46" t="s">
        <v>3586</v>
      </c>
      <c r="AQ227" s="46" t="s">
        <v>3587</v>
      </c>
      <c r="AR227" s="46" t="s">
        <v>3588</v>
      </c>
      <c r="AS227" s="43"/>
      <c r="AT227" s="46" t="s">
        <v>3589</v>
      </c>
      <c r="AU227" s="46" t="s">
        <v>3590</v>
      </c>
      <c r="AV227" s="43"/>
      <c r="AW227" s="22" t="s">
        <v>594</v>
      </c>
      <c r="AX227" s="22" t="s">
        <v>3581</v>
      </c>
      <c r="AY227" s="22" t="s">
        <v>3591</v>
      </c>
      <c r="AZ227" s="22" t="s">
        <v>300</v>
      </c>
      <c r="BA227" s="22" t="s">
        <v>3236</v>
      </c>
      <c r="BB227" s="22" t="s">
        <v>594</v>
      </c>
      <c r="BC227" s="22"/>
      <c r="BD227" s="43" t="s">
        <v>2673</v>
      </c>
      <c r="BE227" s="59" t="s">
        <v>2674</v>
      </c>
      <c r="BF227" s="22" t="s">
        <v>131</v>
      </c>
      <c r="BG227" s="22" t="s">
        <v>132</v>
      </c>
      <c r="BH227" s="22" t="s">
        <v>132</v>
      </c>
      <c r="BI227" s="22" t="s">
        <v>132</v>
      </c>
      <c r="BJ227" s="43"/>
      <c r="BK227" s="43"/>
      <c r="BL227" s="22">
        <v>4.603320465465E12</v>
      </c>
      <c r="BM227" s="22">
        <v>3.3051E9</v>
      </c>
      <c r="BN227" s="22" t="s">
        <v>3237</v>
      </c>
      <c r="BO227" s="22"/>
      <c r="BP227" s="22" t="s">
        <v>145</v>
      </c>
      <c r="BQ227" s="43"/>
      <c r="BR227" s="43"/>
      <c r="BS227" s="22" t="s">
        <v>3592</v>
      </c>
      <c r="BT227" s="43"/>
      <c r="BU227" s="22" t="s">
        <v>3593</v>
      </c>
      <c r="BV227" s="43" t="s">
        <v>3594</v>
      </c>
      <c r="BW227" s="22" t="s">
        <v>2939</v>
      </c>
      <c r="BX227" s="22">
        <v>300.0</v>
      </c>
      <c r="BY227" s="22" t="s">
        <v>139</v>
      </c>
      <c r="BZ227" s="22"/>
      <c r="CA227" s="22" t="s">
        <v>726</v>
      </c>
      <c r="CB227" s="22" t="s">
        <v>727</v>
      </c>
      <c r="CC227" s="45" t="s">
        <v>3595</v>
      </c>
      <c r="CD227" s="43"/>
      <c r="CE227" s="43"/>
      <c r="CF227" s="45"/>
      <c r="CG227" s="54">
        <v>46078.0</v>
      </c>
      <c r="CH227" s="44" t="s">
        <v>3596</v>
      </c>
      <c r="CI227" s="43"/>
      <c r="CJ227" s="43"/>
      <c r="CK227" s="43"/>
      <c r="CL227" s="43"/>
      <c r="CM227" s="49">
        <f>IFERROR(VLOOKUP(B227,CC!A:D,4,0)," ")</f>
        <v>129.5</v>
      </c>
      <c r="CN227" s="22" t="s">
        <v>2942</v>
      </c>
      <c r="CO227" s="22" t="s">
        <v>2943</v>
      </c>
      <c r="CP227" s="22" t="s">
        <v>2944</v>
      </c>
      <c r="CQ227" s="22">
        <v>60.0</v>
      </c>
      <c r="CR227" s="43"/>
      <c r="CS227" s="43"/>
      <c r="CT227" s="22" t="s">
        <v>145</v>
      </c>
      <c r="CU227" s="43"/>
      <c r="CV227" s="43"/>
      <c r="CW227" s="43"/>
      <c r="CX227" s="43"/>
      <c r="CY227" s="43" t="b">
        <v>0</v>
      </c>
      <c r="CZ227" s="43" t="b">
        <v>0</v>
      </c>
      <c r="DA227" s="43" t="b">
        <v>0</v>
      </c>
      <c r="DB227" s="43" t="b">
        <v>0</v>
      </c>
      <c r="DC227" s="43"/>
      <c r="DD227" s="43"/>
      <c r="DE227" s="43"/>
      <c r="DF227" s="43"/>
      <c r="DG227" s="43"/>
      <c r="DH227" s="43"/>
      <c r="DI227" s="43"/>
      <c r="DJ227" s="22">
        <f>IFERROR(VLOOKUP($B227,'Лист4'!$D:$AI,27,0)," ")</f>
        <v>17</v>
      </c>
      <c r="DK227" s="22">
        <f>IFERROR(VLOOKUP($B227,'Лист4'!$D:$AI,28,0)," ")</f>
        <v>11</v>
      </c>
      <c r="DL227" s="22">
        <f>IFERROR(VLOOKUP($B227,'Лист4'!$D:$AI,29,0)," ")</f>
        <v>17</v>
      </c>
      <c r="DM227" s="22">
        <f t="shared" si="2"/>
        <v>3179</v>
      </c>
      <c r="DN227" s="22">
        <f>IFERROR(VLOOKUP($B227,'Лист4'!$D:$AI,32,0)," ")</f>
        <v>0.345</v>
      </c>
      <c r="DO227" s="22"/>
      <c r="DP227" s="22"/>
      <c r="DQ227" s="22"/>
      <c r="DR227" s="22"/>
      <c r="DS227" s="22"/>
      <c r="DT227" s="22"/>
      <c r="DU227" s="22"/>
      <c r="DV227" s="22"/>
      <c r="DW227" s="22"/>
      <c r="DX227" s="22"/>
      <c r="DY227" s="22"/>
      <c r="DZ227" s="22"/>
      <c r="EA227" s="22"/>
      <c r="EB227" s="22"/>
      <c r="EC227" s="22"/>
      <c r="ED227" s="22"/>
      <c r="EE227" s="22"/>
      <c r="EF227" s="22"/>
      <c r="EG227" s="22"/>
      <c r="EH227" s="22"/>
      <c r="EI227" s="22"/>
      <c r="EJ227" s="22"/>
      <c r="EK227" s="22"/>
      <c r="EL227" s="22"/>
      <c r="EM227" s="22"/>
      <c r="EN227" s="22"/>
      <c r="EO227" s="22"/>
      <c r="EP227" s="22"/>
      <c r="EQ227" s="22"/>
      <c r="ER227" s="22"/>
      <c r="ES227" s="43"/>
      <c r="ET227" s="43"/>
      <c r="EU227" s="43"/>
      <c r="EV227" s="43"/>
      <c r="EW227" s="43"/>
      <c r="EX227" s="43"/>
      <c r="EY227" s="43"/>
      <c r="EZ227" s="43"/>
      <c r="FA227" s="43"/>
      <c r="FB227" s="43"/>
      <c r="FC227" s="43"/>
      <c r="FD227" s="43"/>
      <c r="FE227" s="43"/>
      <c r="FF227" s="43"/>
      <c r="FG227" s="43"/>
      <c r="FH227" s="43"/>
      <c r="FI227" s="43"/>
    </row>
    <row r="228" ht="18.0" customHeight="1">
      <c r="A228" s="22" t="s">
        <v>2659</v>
      </c>
      <c r="B228" s="43" t="s">
        <v>3597</v>
      </c>
      <c r="C228" s="22" t="s">
        <v>2661</v>
      </c>
      <c r="D228" s="22" t="s">
        <v>119</v>
      </c>
      <c r="E228" s="43"/>
      <c r="F228" s="22" t="s">
        <v>3598</v>
      </c>
      <c r="G228" s="22" t="s">
        <v>2663</v>
      </c>
      <c r="H228" s="22" t="s">
        <v>2664</v>
      </c>
      <c r="I228" s="43"/>
      <c r="J228" s="43"/>
      <c r="K228" s="22" t="b">
        <v>1</v>
      </c>
      <c r="L228" s="22" t="b">
        <v>1</v>
      </c>
      <c r="M228" s="22" t="b">
        <v>1</v>
      </c>
      <c r="N228" s="22" t="b">
        <v>1</v>
      </c>
      <c r="O228" s="22" t="b">
        <v>0</v>
      </c>
      <c r="P228" s="22" t="b">
        <v>0</v>
      </c>
      <c r="Q228" s="22" t="b">
        <v>0</v>
      </c>
      <c r="R228" s="43"/>
      <c r="S228" s="43" t="s">
        <v>3599</v>
      </c>
      <c r="T228" s="43" t="s">
        <v>3597</v>
      </c>
      <c r="U228" s="43" t="s">
        <v>3597</v>
      </c>
      <c r="V228" s="43" t="s">
        <v>3597</v>
      </c>
      <c r="W228" s="43"/>
      <c r="X228" s="43"/>
      <c r="Y228" s="43"/>
      <c r="Z228" s="43"/>
      <c r="AA228" s="22">
        <v>4.0812096E7</v>
      </c>
      <c r="AB228" s="22">
        <v>3.59068917E8</v>
      </c>
      <c r="AC228" s="22">
        <v>1.03544213248E11</v>
      </c>
      <c r="AD228" s="22"/>
      <c r="AE228" s="22"/>
      <c r="AF228" s="43"/>
      <c r="AG228" s="43"/>
      <c r="AH228" s="43" t="s">
        <v>3598</v>
      </c>
      <c r="AI228" s="22" t="s">
        <v>3600</v>
      </c>
      <c r="AJ228" s="22" t="s">
        <v>3601</v>
      </c>
      <c r="AK228" s="22" t="s">
        <v>3602</v>
      </c>
      <c r="AL228" s="43"/>
      <c r="AM228" s="43"/>
      <c r="AN228" s="43"/>
      <c r="AO228" s="43"/>
      <c r="AP228" s="46" t="s">
        <v>3603</v>
      </c>
      <c r="AQ228" s="46" t="s">
        <v>3604</v>
      </c>
      <c r="AR228" s="46" t="s">
        <v>3605</v>
      </c>
      <c r="AS228" s="43"/>
      <c r="AT228" s="43"/>
      <c r="AU228" s="43"/>
      <c r="AV228" s="43"/>
      <c r="AW228" s="22" t="s">
        <v>3445</v>
      </c>
      <c r="AX228" s="22" t="s">
        <v>3601</v>
      </c>
      <c r="AY228" s="22" t="s">
        <v>2672</v>
      </c>
      <c r="AZ228" s="43"/>
      <c r="BA228" s="43"/>
      <c r="BB228" s="43"/>
      <c r="BC228" s="43"/>
      <c r="BD228" s="43" t="s">
        <v>301</v>
      </c>
      <c r="BE228" s="59" t="s">
        <v>2674</v>
      </c>
      <c r="BF228" s="22" t="s">
        <v>131</v>
      </c>
      <c r="BG228" s="22" t="s">
        <v>132</v>
      </c>
      <c r="BH228" s="22" t="s">
        <v>132</v>
      </c>
      <c r="BI228" s="22" t="s">
        <v>132</v>
      </c>
      <c r="BJ228" s="43"/>
      <c r="BK228" s="43"/>
      <c r="BL228" s="22" t="s">
        <v>3606</v>
      </c>
      <c r="BM228" s="22">
        <v>3.30499E9</v>
      </c>
      <c r="BN228" s="22" t="s">
        <v>3607</v>
      </c>
      <c r="BO228" s="22"/>
      <c r="BP228" s="22" t="s">
        <v>496</v>
      </c>
      <c r="BQ228" s="43"/>
      <c r="BR228" s="43"/>
      <c r="BS228" s="22" t="s">
        <v>3608</v>
      </c>
      <c r="BT228" s="43"/>
      <c r="BU228" s="22" t="s">
        <v>3609</v>
      </c>
      <c r="BV228" s="22" t="s">
        <v>2777</v>
      </c>
      <c r="BW228" s="22" t="s">
        <v>2778</v>
      </c>
      <c r="BX228" s="22"/>
      <c r="BY228" s="43"/>
      <c r="BZ228" s="43"/>
      <c r="CA228" s="22" t="s">
        <v>401</v>
      </c>
      <c r="CB228" s="22" t="s">
        <v>401</v>
      </c>
      <c r="CC228" s="45" t="s">
        <v>3610</v>
      </c>
      <c r="CD228" s="43"/>
      <c r="CE228" s="43"/>
      <c r="CF228" s="45"/>
      <c r="CG228" s="43"/>
      <c r="CH228" s="43"/>
      <c r="CI228" s="43"/>
      <c r="CJ228" s="43"/>
      <c r="CK228" s="43"/>
      <c r="CL228" s="43"/>
      <c r="CM228" s="49">
        <f>IFERROR(VLOOKUP(B228,CC!A:D,4,0)," ")</f>
        <v>123.05</v>
      </c>
      <c r="CN228" s="22" t="s">
        <v>2681</v>
      </c>
      <c r="CO228" s="22"/>
      <c r="CP228" s="43"/>
      <c r="CQ228" s="22" t="s">
        <v>401</v>
      </c>
      <c r="CR228" s="43"/>
      <c r="CS228" s="22">
        <v>1.0</v>
      </c>
      <c r="CT228" s="22" t="s">
        <v>145</v>
      </c>
      <c r="CU228" s="43"/>
      <c r="CV228" s="43"/>
      <c r="CW228" s="43"/>
      <c r="CX228" s="43"/>
      <c r="CY228" s="43" t="b">
        <v>0</v>
      </c>
      <c r="CZ228" s="43" t="b">
        <v>0</v>
      </c>
      <c r="DA228" s="43" t="b">
        <v>0</v>
      </c>
      <c r="DB228" s="43" t="b">
        <v>0</v>
      </c>
      <c r="DC228" s="43"/>
      <c r="DD228" s="43"/>
      <c r="DE228" s="43"/>
      <c r="DF228" s="43"/>
      <c r="DG228" s="43"/>
      <c r="DH228" s="43"/>
      <c r="DI228" s="43"/>
      <c r="DJ228" s="22">
        <f>IFERROR(VLOOKUP($B228,'Лист4'!$D:$AI,27,0)," ")</f>
        <v>14</v>
      </c>
      <c r="DK228" s="22">
        <f>IFERROR(VLOOKUP($B228,'Лист4'!$D:$AI,28,0)," ")</f>
        <v>4</v>
      </c>
      <c r="DL228" s="22">
        <f>IFERROR(VLOOKUP($B228,'Лист4'!$D:$AI,29,0)," ")</f>
        <v>14</v>
      </c>
      <c r="DM228" s="22">
        <f t="shared" si="2"/>
        <v>784</v>
      </c>
      <c r="DN228" s="22">
        <f>IFERROR(VLOOKUP($B228,'Лист4'!$D:$AI,32,0)," ")</f>
        <v>0.054</v>
      </c>
      <c r="DO228" s="22"/>
      <c r="DP228" s="22"/>
      <c r="DQ228" s="22"/>
      <c r="DR228" s="22"/>
      <c r="DS228" s="22"/>
      <c r="DT228" s="22"/>
      <c r="DU228" s="22"/>
      <c r="DV228" s="22"/>
      <c r="DW228" s="22"/>
      <c r="DX228" s="22"/>
      <c r="DY228" s="22"/>
      <c r="DZ228" s="22"/>
      <c r="EA228" s="22"/>
      <c r="EB228" s="22"/>
      <c r="EC228" s="22"/>
      <c r="ED228" s="22"/>
      <c r="EE228" s="22"/>
      <c r="EF228" s="22"/>
      <c r="EG228" s="22"/>
      <c r="EH228" s="22"/>
      <c r="EI228" s="22"/>
      <c r="EJ228" s="22"/>
      <c r="EK228" s="22"/>
      <c r="EL228" s="22"/>
      <c r="EM228" s="22"/>
      <c r="EN228" s="22"/>
      <c r="EO228" s="22"/>
      <c r="EP228" s="22"/>
      <c r="EQ228" s="22"/>
      <c r="ER228" s="22"/>
      <c r="ES228" s="43"/>
      <c r="ET228" s="43"/>
      <c r="EU228" s="43"/>
      <c r="EV228" s="43"/>
      <c r="EW228" s="43"/>
      <c r="EX228" s="43"/>
      <c r="EY228" s="43"/>
      <c r="EZ228" s="43"/>
      <c r="FA228" s="43"/>
      <c r="FB228" s="43"/>
      <c r="FC228" s="43"/>
      <c r="FD228" s="43"/>
      <c r="FE228" s="43"/>
      <c r="FF228" s="43"/>
      <c r="FG228" s="43"/>
      <c r="FH228" s="43"/>
      <c r="FI228" s="43"/>
    </row>
    <row r="229" ht="18.0" customHeight="1">
      <c r="A229" s="22" t="s">
        <v>2659</v>
      </c>
      <c r="B229" s="43" t="s">
        <v>3611</v>
      </c>
      <c r="C229" s="22" t="s">
        <v>2661</v>
      </c>
      <c r="D229" s="22" t="s">
        <v>119</v>
      </c>
      <c r="E229" s="43"/>
      <c r="F229" s="22" t="s">
        <v>3612</v>
      </c>
      <c r="G229" s="22" t="s">
        <v>2663</v>
      </c>
      <c r="H229" s="22" t="s">
        <v>3613</v>
      </c>
      <c r="I229" s="43"/>
      <c r="J229" s="43"/>
      <c r="K229" s="22" t="b">
        <v>1</v>
      </c>
      <c r="L229" s="22" t="b">
        <v>1</v>
      </c>
      <c r="M229" s="22" t="b">
        <v>1</v>
      </c>
      <c r="N229" s="22" t="b">
        <v>1</v>
      </c>
      <c r="O229" s="22" t="b">
        <v>0</v>
      </c>
      <c r="P229" s="22" t="b">
        <v>0</v>
      </c>
      <c r="Q229" s="22" t="b">
        <v>0</v>
      </c>
      <c r="R229" s="43"/>
      <c r="S229" s="43" t="s">
        <v>3614</v>
      </c>
      <c r="T229" s="22" t="s">
        <v>3611</v>
      </c>
      <c r="U229" s="22" t="s">
        <v>3611</v>
      </c>
      <c r="V229" s="22" t="s">
        <v>3611</v>
      </c>
      <c r="W229" s="43"/>
      <c r="X229" s="43"/>
      <c r="Y229" s="43"/>
      <c r="Z229" s="43"/>
      <c r="AA229" s="22">
        <v>2.34208976E8</v>
      </c>
      <c r="AB229" s="22">
        <v>1.590267064E9</v>
      </c>
      <c r="AC229" s="22">
        <v>1.03515416657E11</v>
      </c>
      <c r="AD229" s="22"/>
      <c r="AE229" s="22"/>
      <c r="AF229" s="43"/>
      <c r="AG229" s="43"/>
      <c r="AH229" s="43" t="s">
        <v>3612</v>
      </c>
      <c r="AI229" s="22" t="s">
        <v>3615</v>
      </c>
      <c r="AJ229" s="22" t="s">
        <v>3616</v>
      </c>
      <c r="AK229" s="22" t="s">
        <v>3617</v>
      </c>
      <c r="AL229" s="43"/>
      <c r="AM229" s="43"/>
      <c r="AN229" s="43"/>
      <c r="AO229" s="43"/>
      <c r="AP229" s="46" t="s">
        <v>3618</v>
      </c>
      <c r="AQ229" s="46" t="s">
        <v>3619</v>
      </c>
      <c r="AR229" s="46" t="s">
        <v>3620</v>
      </c>
      <c r="AS229" s="43"/>
      <c r="AT229" s="43"/>
      <c r="AU229" s="43"/>
      <c r="AV229" s="43"/>
      <c r="AW229" s="22" t="s">
        <v>594</v>
      </c>
      <c r="AX229" s="22" t="s">
        <v>3616</v>
      </c>
      <c r="AY229" s="22" t="s">
        <v>2672</v>
      </c>
      <c r="AZ229" s="43"/>
      <c r="BA229" s="43"/>
      <c r="BB229" s="43"/>
      <c r="BC229" s="43"/>
      <c r="BD229" s="43" t="s">
        <v>2673</v>
      </c>
      <c r="BE229" s="59" t="s">
        <v>2674</v>
      </c>
      <c r="BF229" s="22" t="s">
        <v>131</v>
      </c>
      <c r="BG229" s="22" t="s">
        <v>132</v>
      </c>
      <c r="BH229" s="22" t="s">
        <v>132</v>
      </c>
      <c r="BI229" s="22" t="s">
        <v>132</v>
      </c>
      <c r="BJ229" s="43"/>
      <c r="BK229" s="43"/>
      <c r="BL229" s="22">
        <v>4.610030632742E12</v>
      </c>
      <c r="BM229" s="22">
        <v>3.30499E9</v>
      </c>
      <c r="BN229" s="22" t="s">
        <v>3621</v>
      </c>
      <c r="BO229" s="22"/>
      <c r="BP229" s="22" t="s">
        <v>496</v>
      </c>
      <c r="BQ229" s="43"/>
      <c r="BR229" s="43"/>
      <c r="BS229" s="22" t="s">
        <v>3622</v>
      </c>
      <c r="BT229" s="43"/>
      <c r="BU229" s="22" t="s">
        <v>3623</v>
      </c>
      <c r="BV229" s="22" t="s">
        <v>3624</v>
      </c>
      <c r="BW229" s="22" t="s">
        <v>3625</v>
      </c>
      <c r="BX229" s="22">
        <v>15.0</v>
      </c>
      <c r="BY229" s="22" t="s">
        <v>139</v>
      </c>
      <c r="BZ229" s="22"/>
      <c r="CA229" s="22" t="s">
        <v>355</v>
      </c>
      <c r="CB229" s="22" t="s">
        <v>307</v>
      </c>
      <c r="CC229" s="45" t="s">
        <v>3626</v>
      </c>
      <c r="CD229" s="43"/>
      <c r="CE229" s="43"/>
      <c r="CF229" s="45"/>
      <c r="CG229" s="43"/>
      <c r="CH229" s="43"/>
      <c r="CI229" s="43"/>
      <c r="CJ229" s="43"/>
      <c r="CK229" s="43"/>
      <c r="CL229" s="43"/>
      <c r="CM229" s="49">
        <f>IFERROR(VLOOKUP(B229,CC!A:D,4,0)," ")</f>
        <v>98.37</v>
      </c>
      <c r="CN229" s="22" t="s">
        <v>3627</v>
      </c>
      <c r="CO229" s="22"/>
      <c r="CP229" s="43"/>
      <c r="CQ229" s="22">
        <v>45.0</v>
      </c>
      <c r="CR229" s="43"/>
      <c r="CS229" s="22">
        <v>1.0</v>
      </c>
      <c r="CT229" s="22" t="s">
        <v>145</v>
      </c>
      <c r="CU229" s="43"/>
      <c r="CV229" s="43"/>
      <c r="CW229" s="43"/>
      <c r="CX229" s="43"/>
      <c r="CY229" s="43" t="b">
        <v>0</v>
      </c>
      <c r="CZ229" s="43" t="b">
        <v>0</v>
      </c>
      <c r="DA229" s="43" t="b">
        <v>0</v>
      </c>
      <c r="DB229" s="43" t="b">
        <v>0</v>
      </c>
      <c r="DC229" s="43"/>
      <c r="DD229" s="43"/>
      <c r="DE229" s="43"/>
      <c r="DF229" s="43"/>
      <c r="DG229" s="43"/>
      <c r="DH229" s="43"/>
      <c r="DI229" s="43"/>
      <c r="DJ229" s="22">
        <f>IFERROR(VLOOKUP($B229,'Лист4'!$D:$AI,27,0)," ")</f>
        <v>11</v>
      </c>
      <c r="DK229" s="22">
        <f>IFERROR(VLOOKUP($B229,'Лист4'!$D:$AI,28,0)," ")</f>
        <v>3</v>
      </c>
      <c r="DL229" s="22">
        <f>IFERROR(VLOOKUP($B229,'Лист4'!$D:$AI,29,0)," ")</f>
        <v>11</v>
      </c>
      <c r="DM229" s="22">
        <f t="shared" si="2"/>
        <v>363</v>
      </c>
      <c r="DN229" s="22">
        <f>IFERROR(VLOOKUP($B229,'Лист4'!$D:$AI,32,0)," ")</f>
        <v>0.028</v>
      </c>
      <c r="DO229" s="22"/>
      <c r="DP229" s="22"/>
      <c r="DQ229" s="22"/>
      <c r="DR229" s="22"/>
      <c r="DS229" s="22"/>
      <c r="DT229" s="22"/>
      <c r="DU229" s="22"/>
      <c r="DV229" s="22"/>
      <c r="DW229" s="22"/>
      <c r="DX229" s="22"/>
      <c r="DY229" s="22"/>
      <c r="DZ229" s="22"/>
      <c r="EA229" s="22"/>
      <c r="EB229" s="22"/>
      <c r="EC229" s="22"/>
      <c r="ED229" s="22"/>
      <c r="EE229" s="22"/>
      <c r="EF229" s="22"/>
      <c r="EG229" s="22"/>
      <c r="EH229" s="22"/>
      <c r="EI229" s="22"/>
      <c r="EJ229" s="22"/>
      <c r="EK229" s="22"/>
      <c r="EL229" s="22"/>
      <c r="EM229" s="22"/>
      <c r="EN229" s="22"/>
      <c r="EO229" s="22"/>
      <c r="EP229" s="22"/>
      <c r="EQ229" s="22"/>
      <c r="ER229" s="22"/>
      <c r="ES229" s="43"/>
      <c r="ET229" s="43"/>
      <c r="EU229" s="43"/>
      <c r="EV229" s="43"/>
      <c r="EW229" s="43"/>
      <c r="EX229" s="43"/>
      <c r="EY229" s="43"/>
      <c r="EZ229" s="43"/>
      <c r="FA229" s="43"/>
      <c r="FB229" s="43"/>
      <c r="FC229" s="43"/>
      <c r="FD229" s="43"/>
      <c r="FE229" s="43"/>
      <c r="FF229" s="43"/>
      <c r="FG229" s="43"/>
      <c r="FH229" s="43"/>
      <c r="FI229" s="43"/>
    </row>
    <row r="230" ht="18.0" customHeight="1">
      <c r="A230" s="22" t="s">
        <v>2659</v>
      </c>
      <c r="B230" s="43" t="s">
        <v>3628</v>
      </c>
      <c r="C230" s="22" t="s">
        <v>2741</v>
      </c>
      <c r="D230" s="22" t="s">
        <v>187</v>
      </c>
      <c r="E230" s="43" t="s">
        <v>188</v>
      </c>
      <c r="F230" s="22" t="s">
        <v>3629</v>
      </c>
      <c r="G230" s="22" t="s">
        <v>2743</v>
      </c>
      <c r="H230" s="22" t="s">
        <v>565</v>
      </c>
      <c r="I230" s="43"/>
      <c r="J230" s="43"/>
      <c r="K230" s="22" t="b">
        <v>1</v>
      </c>
      <c r="L230" s="22" t="b">
        <v>1</v>
      </c>
      <c r="M230" s="22" t="b">
        <v>1</v>
      </c>
      <c r="N230" s="22" t="b">
        <v>1</v>
      </c>
      <c r="O230" s="22" t="b">
        <v>1</v>
      </c>
      <c r="P230" s="22" t="b">
        <v>1</v>
      </c>
      <c r="Q230" s="22" t="b">
        <v>0</v>
      </c>
      <c r="R230" s="43"/>
      <c r="S230" s="43" t="s">
        <v>3630</v>
      </c>
      <c r="T230" s="22" t="s">
        <v>3628</v>
      </c>
      <c r="U230" s="22" t="s">
        <v>3628</v>
      </c>
      <c r="V230" s="22" t="s">
        <v>3628</v>
      </c>
      <c r="W230" s="43" t="s">
        <v>3628</v>
      </c>
      <c r="X230" s="43" t="s">
        <v>3628</v>
      </c>
      <c r="Y230" s="43"/>
      <c r="Z230" s="43"/>
      <c r="AA230" s="22">
        <v>2.76289241E8</v>
      </c>
      <c r="AB230" s="22">
        <v>1.745153183E9</v>
      </c>
      <c r="AC230" s="22">
        <v>1.03599530489E11</v>
      </c>
      <c r="AD230" s="22">
        <v>9.900007622E10</v>
      </c>
      <c r="AE230" s="22" t="s">
        <v>3631</v>
      </c>
      <c r="AF230" s="43"/>
      <c r="AG230" s="43"/>
      <c r="AH230" s="43" t="s">
        <v>3629</v>
      </c>
      <c r="AI230" s="22" t="s">
        <v>568</v>
      </c>
      <c r="AJ230" s="22" t="s">
        <v>3632</v>
      </c>
      <c r="AK230" s="22" t="s">
        <v>3633</v>
      </c>
      <c r="AL230" s="22" t="s">
        <v>3634</v>
      </c>
      <c r="AM230" s="22" t="s">
        <v>568</v>
      </c>
      <c r="AN230" s="43"/>
      <c r="AO230" s="43"/>
      <c r="AP230" s="46" t="s">
        <v>3635</v>
      </c>
      <c r="AQ230" s="46" t="s">
        <v>3636</v>
      </c>
      <c r="AR230" s="46" t="s">
        <v>3637</v>
      </c>
      <c r="AS230" s="46" t="s">
        <v>3638</v>
      </c>
      <c r="AT230" s="46" t="s">
        <v>3639</v>
      </c>
      <c r="AU230" s="43"/>
      <c r="AV230" s="43"/>
      <c r="AW230" s="22" t="s">
        <v>574</v>
      </c>
      <c r="AX230" s="22" t="s">
        <v>3632</v>
      </c>
      <c r="AY230" s="22" t="s">
        <v>3640</v>
      </c>
      <c r="AZ230" s="22" t="s">
        <v>1447</v>
      </c>
      <c r="BA230" s="22" t="s">
        <v>576</v>
      </c>
      <c r="BB230" s="43"/>
      <c r="BC230" s="43"/>
      <c r="BD230" s="43" t="s">
        <v>301</v>
      </c>
      <c r="BE230" s="59" t="s">
        <v>2755</v>
      </c>
      <c r="BF230" s="22" t="s">
        <v>131</v>
      </c>
      <c r="BG230" s="22" t="s">
        <v>132</v>
      </c>
      <c r="BH230" s="22" t="s">
        <v>132</v>
      </c>
      <c r="BI230" s="22" t="s">
        <v>132</v>
      </c>
      <c r="BJ230" s="43"/>
      <c r="BK230" s="43"/>
      <c r="BL230" s="22">
        <v>4.670020498017E12</v>
      </c>
      <c r="BM230" s="22">
        <v>3.30499E9</v>
      </c>
      <c r="BN230" s="22" t="s">
        <v>3641</v>
      </c>
      <c r="BO230" s="22"/>
      <c r="BP230" s="22" t="s">
        <v>145</v>
      </c>
      <c r="BQ230" s="43"/>
      <c r="BR230" s="43"/>
      <c r="BS230" s="22" t="s">
        <v>578</v>
      </c>
      <c r="BT230" s="43"/>
      <c r="BU230" s="22" t="s">
        <v>579</v>
      </c>
      <c r="BV230" s="43" t="s">
        <v>3642</v>
      </c>
      <c r="BW230" s="22" t="s">
        <v>2832</v>
      </c>
      <c r="BX230" s="22">
        <v>80.0</v>
      </c>
      <c r="BY230" s="22" t="s">
        <v>3643</v>
      </c>
      <c r="BZ230" s="22"/>
      <c r="CA230" s="22" t="s">
        <v>355</v>
      </c>
      <c r="CB230" s="22" t="s">
        <v>307</v>
      </c>
      <c r="CC230" s="45" t="s">
        <v>3644</v>
      </c>
      <c r="CD230" s="43"/>
      <c r="CE230" s="43"/>
      <c r="CF230" s="45"/>
      <c r="CG230" s="43"/>
      <c r="CH230" s="43"/>
      <c r="CI230" s="43"/>
      <c r="CJ230" s="43"/>
      <c r="CK230" s="43"/>
      <c r="CL230" s="43"/>
      <c r="CM230" s="49">
        <f>IFERROR(VLOOKUP(B230,CC!A:D,4,0)," ")</f>
        <v>114.6</v>
      </c>
      <c r="CN230" s="22" t="s">
        <v>2834</v>
      </c>
      <c r="CO230" s="22"/>
      <c r="CP230" s="22" t="s">
        <v>2835</v>
      </c>
      <c r="CQ230" s="22">
        <v>90.0</v>
      </c>
      <c r="CR230" s="43"/>
      <c r="CS230" s="22">
        <v>5.0</v>
      </c>
      <c r="CT230" s="22" t="s">
        <v>145</v>
      </c>
      <c r="CU230" s="43"/>
      <c r="CV230" s="43"/>
      <c r="CW230" s="43"/>
      <c r="CX230" s="43"/>
      <c r="CY230" s="43" t="b">
        <v>0</v>
      </c>
      <c r="CZ230" s="43" t="b">
        <v>0</v>
      </c>
      <c r="DA230" s="43" t="b">
        <v>0</v>
      </c>
      <c r="DB230" s="43" t="b">
        <v>0</v>
      </c>
      <c r="DC230" s="43"/>
      <c r="DD230" s="43"/>
      <c r="DE230" s="43"/>
      <c r="DF230" s="43"/>
      <c r="DG230" s="43"/>
      <c r="DH230" s="43"/>
      <c r="DI230" s="43"/>
      <c r="DJ230" s="22">
        <f>IFERROR(VLOOKUP($B230,'Лист4'!$D:$AI,27,0)," ")</f>
        <v>5</v>
      </c>
      <c r="DK230" s="22">
        <f>IFERROR(VLOOKUP($B230,'Лист4'!$D:$AI,28,0)," ")</f>
        <v>13</v>
      </c>
      <c r="DL230" s="22">
        <f>IFERROR(VLOOKUP($B230,'Лист4'!$D:$AI,29,0)," ")</f>
        <v>5</v>
      </c>
      <c r="DM230" s="22">
        <f t="shared" si="2"/>
        <v>325</v>
      </c>
      <c r="DN230" s="22">
        <f>IFERROR(VLOOKUP($B230,'Лист4'!$D:$AI,32,0)," ")</f>
        <v>0.101</v>
      </c>
      <c r="DO230" s="22"/>
      <c r="DP230" s="22"/>
      <c r="DQ230" s="22"/>
      <c r="DR230" s="22"/>
      <c r="DS230" s="22"/>
      <c r="DT230" s="22"/>
      <c r="DU230" s="22"/>
      <c r="DV230" s="22"/>
      <c r="DW230" s="22"/>
      <c r="DX230" s="22"/>
      <c r="DY230" s="22"/>
      <c r="DZ230" s="22"/>
      <c r="EA230" s="22"/>
      <c r="EB230" s="22"/>
      <c r="EC230" s="22"/>
      <c r="ED230" s="22"/>
      <c r="EE230" s="22"/>
      <c r="EF230" s="22"/>
      <c r="EG230" s="22"/>
      <c r="EH230" s="22"/>
      <c r="EI230" s="22"/>
      <c r="EJ230" s="22"/>
      <c r="EK230" s="22"/>
      <c r="EL230" s="22"/>
      <c r="EM230" s="22"/>
      <c r="EN230" s="22"/>
      <c r="EO230" s="22"/>
      <c r="EP230" s="22"/>
      <c r="EQ230" s="22"/>
      <c r="ER230" s="22"/>
      <c r="ES230" s="43"/>
      <c r="ET230" s="43"/>
      <c r="EU230" s="43"/>
      <c r="EV230" s="43"/>
      <c r="EW230" s="43"/>
      <c r="EX230" s="43"/>
      <c r="EY230" s="43"/>
      <c r="EZ230" s="43"/>
      <c r="FA230" s="43"/>
      <c r="FB230" s="43"/>
      <c r="FC230" s="43"/>
      <c r="FD230" s="43"/>
      <c r="FE230" s="43"/>
      <c r="FF230" s="43"/>
      <c r="FG230" s="43"/>
      <c r="FH230" s="43"/>
      <c r="FI230" s="43"/>
    </row>
    <row r="231" ht="18.0" customHeight="1">
      <c r="A231" s="22" t="s">
        <v>2659</v>
      </c>
      <c r="B231" s="43" t="s">
        <v>3645</v>
      </c>
      <c r="C231" s="22" t="s">
        <v>2741</v>
      </c>
      <c r="D231" s="22" t="s">
        <v>187</v>
      </c>
      <c r="E231" s="43" t="s">
        <v>3646</v>
      </c>
      <c r="F231" s="22" t="s">
        <v>3647</v>
      </c>
      <c r="G231" s="22" t="s">
        <v>361</v>
      </c>
      <c r="H231" s="22" t="s">
        <v>2766</v>
      </c>
      <c r="I231" s="43"/>
      <c r="J231" s="43"/>
      <c r="K231" s="22" t="b">
        <v>1</v>
      </c>
      <c r="L231" s="22" t="b">
        <v>1</v>
      </c>
      <c r="M231" s="22" t="b">
        <v>1</v>
      </c>
      <c r="N231" s="22" t="b">
        <v>1</v>
      </c>
      <c r="O231" s="22" t="b">
        <v>0</v>
      </c>
      <c r="P231" s="22" t="b">
        <v>0</v>
      </c>
      <c r="Q231" s="22" t="b">
        <v>0</v>
      </c>
      <c r="R231" s="43"/>
      <c r="S231" s="43" t="s">
        <v>3648</v>
      </c>
      <c r="T231" s="64" t="s">
        <v>3645</v>
      </c>
      <c r="U231" s="22" t="s">
        <v>3645</v>
      </c>
      <c r="V231" s="22" t="s">
        <v>3645</v>
      </c>
      <c r="W231" s="43"/>
      <c r="X231" s="43"/>
      <c r="Y231" s="43"/>
      <c r="Z231" s="43"/>
      <c r="AA231" s="22">
        <v>2.80577427E8</v>
      </c>
      <c r="AB231" s="22">
        <v>1.753227855E9</v>
      </c>
      <c r="AC231" s="22">
        <v>1.03621547195E11</v>
      </c>
      <c r="AD231" s="22"/>
      <c r="AE231" s="22"/>
      <c r="AF231" s="43"/>
      <c r="AG231" s="43"/>
      <c r="AH231" s="43" t="s">
        <v>3647</v>
      </c>
      <c r="AI231" s="22" t="s">
        <v>3649</v>
      </c>
      <c r="AJ231" s="22" t="s">
        <v>3650</v>
      </c>
      <c r="AK231" s="22" t="s">
        <v>3650</v>
      </c>
      <c r="AL231" s="43"/>
      <c r="AM231" s="43"/>
      <c r="AN231" s="43"/>
      <c r="AO231" s="43"/>
      <c r="AP231" s="46" t="s">
        <v>3651</v>
      </c>
      <c r="AQ231" s="46" t="s">
        <v>3652</v>
      </c>
      <c r="AR231" s="46" t="s">
        <v>3653</v>
      </c>
      <c r="AS231" s="43"/>
      <c r="AT231" s="43"/>
      <c r="AU231" s="43"/>
      <c r="AV231" s="43"/>
      <c r="AW231" s="22" t="s">
        <v>649</v>
      </c>
      <c r="AX231" s="22" t="s">
        <v>3650</v>
      </c>
      <c r="AY231" s="22" t="s">
        <v>372</v>
      </c>
      <c r="AZ231" s="43"/>
      <c r="BA231" s="43"/>
      <c r="BB231" s="43"/>
      <c r="BC231" s="43"/>
      <c r="BD231" s="43" t="s">
        <v>1449</v>
      </c>
      <c r="BE231" s="59" t="s">
        <v>2755</v>
      </c>
      <c r="BF231" s="22" t="s">
        <v>131</v>
      </c>
      <c r="BG231" s="22" t="s">
        <v>132</v>
      </c>
      <c r="BH231" s="22" t="s">
        <v>132</v>
      </c>
      <c r="BI231" s="22" t="s">
        <v>132</v>
      </c>
      <c r="BJ231" s="43"/>
      <c r="BK231" s="43"/>
      <c r="BL231" s="43">
        <v>4.610030633862E12</v>
      </c>
      <c r="BM231" s="22">
        <v>2106.0</v>
      </c>
      <c r="BN231" s="22" t="s">
        <v>3654</v>
      </c>
      <c r="BO231" s="22"/>
      <c r="BP231" s="22" t="s">
        <v>145</v>
      </c>
      <c r="BQ231" s="43"/>
      <c r="BR231" s="43"/>
      <c r="BS231" s="22" t="s">
        <v>3655</v>
      </c>
      <c r="BT231" s="43"/>
      <c r="BU231" s="22" t="s">
        <v>802</v>
      </c>
      <c r="BV231" s="43" t="s">
        <v>3656</v>
      </c>
      <c r="BW231" s="22" t="s">
        <v>3273</v>
      </c>
      <c r="BX231" s="22">
        <v>60.0</v>
      </c>
      <c r="BY231" s="22" t="s">
        <v>492</v>
      </c>
      <c r="BZ231" s="43"/>
      <c r="CA231" s="22" t="s">
        <v>355</v>
      </c>
      <c r="CB231" s="22" t="s">
        <v>307</v>
      </c>
      <c r="CC231" s="45" t="s">
        <v>3657</v>
      </c>
      <c r="CD231" s="43"/>
      <c r="CE231" s="43"/>
      <c r="CF231" s="45"/>
      <c r="CG231" s="43"/>
      <c r="CH231" s="43"/>
      <c r="CI231" s="43"/>
      <c r="CJ231" s="43"/>
      <c r="CK231" s="43"/>
      <c r="CL231" s="43"/>
      <c r="CM231" s="49">
        <f>IFERROR(VLOOKUP(B231,CC!A:D,4,0)," ")</f>
        <v>253.03</v>
      </c>
      <c r="CN231" s="22" t="s">
        <v>3275</v>
      </c>
      <c r="CO231" s="22"/>
      <c r="CP231" s="43"/>
      <c r="CQ231" s="22">
        <v>90.0</v>
      </c>
      <c r="CR231" s="43"/>
      <c r="CS231" s="22">
        <v>1.0</v>
      </c>
      <c r="CT231" s="22" t="s">
        <v>145</v>
      </c>
      <c r="CU231" s="43"/>
      <c r="CV231" s="43"/>
      <c r="CW231" s="43"/>
      <c r="CX231" s="43"/>
      <c r="CY231" s="43" t="b">
        <v>0</v>
      </c>
      <c r="CZ231" s="43" t="b">
        <v>0</v>
      </c>
      <c r="DA231" s="43" t="b">
        <v>0</v>
      </c>
      <c r="DB231" s="43" t="b">
        <v>0</v>
      </c>
      <c r="DC231" s="43"/>
      <c r="DD231" s="43"/>
      <c r="DE231" s="43"/>
      <c r="DF231" s="43"/>
      <c r="DG231" s="43"/>
      <c r="DH231" s="43"/>
      <c r="DI231" s="43"/>
      <c r="DJ231" s="22">
        <f>IFERROR(VLOOKUP($B231,'Лист4'!$D:$AI,27,0)," ")</f>
        <v>9</v>
      </c>
      <c r="DK231" s="22">
        <f>IFERROR(VLOOKUP($B231,'Лист4'!$D:$AI,28,0)," ")</f>
        <v>5</v>
      </c>
      <c r="DL231" s="22">
        <f>IFERROR(VLOOKUP($B231,'Лист4'!$D:$AI,29,0)," ")</f>
        <v>9</v>
      </c>
      <c r="DM231" s="22">
        <f t="shared" si="2"/>
        <v>405</v>
      </c>
      <c r="DN231" s="22">
        <f>IFERROR(VLOOKUP($B231,'Лист4'!$D:$AI,32,0)," ")</f>
        <v>0.052</v>
      </c>
      <c r="DO231" s="22"/>
      <c r="DP231" s="22"/>
      <c r="DQ231" s="22"/>
      <c r="DR231" s="22"/>
      <c r="DS231" s="22"/>
      <c r="DT231" s="22"/>
      <c r="DU231" s="22"/>
      <c r="DV231" s="22"/>
      <c r="DW231" s="22"/>
      <c r="DX231" s="22"/>
      <c r="DY231" s="22"/>
      <c r="DZ231" s="22"/>
      <c r="EA231" s="22"/>
      <c r="EB231" s="22"/>
      <c r="EC231" s="22"/>
      <c r="ED231" s="22"/>
      <c r="EE231" s="22"/>
      <c r="EF231" s="22"/>
      <c r="EG231" s="22"/>
      <c r="EH231" s="22"/>
      <c r="EI231" s="22"/>
      <c r="EJ231" s="22"/>
      <c r="EK231" s="22"/>
      <c r="EL231" s="22"/>
      <c r="EM231" s="22"/>
      <c r="EN231" s="22"/>
      <c r="EO231" s="22"/>
      <c r="EP231" s="22"/>
      <c r="EQ231" s="22"/>
      <c r="ER231" s="22"/>
      <c r="ES231" s="43"/>
      <c r="ET231" s="43"/>
      <c r="EU231" s="43"/>
      <c r="EV231" s="43"/>
      <c r="EW231" s="43"/>
      <c r="EX231" s="43"/>
      <c r="EY231" s="43"/>
      <c r="EZ231" s="43"/>
      <c r="FA231" s="43"/>
      <c r="FB231" s="43"/>
      <c r="FC231" s="43"/>
      <c r="FD231" s="43"/>
      <c r="FE231" s="43"/>
      <c r="FF231" s="43"/>
      <c r="FG231" s="43"/>
      <c r="FH231" s="43"/>
      <c r="FI231" s="43"/>
    </row>
    <row r="232" ht="18.0" customHeight="1">
      <c r="A232" s="22" t="s">
        <v>2659</v>
      </c>
      <c r="B232" s="43" t="s">
        <v>3658</v>
      </c>
      <c r="C232" s="22" t="s">
        <v>2741</v>
      </c>
      <c r="D232" s="22" t="s">
        <v>358</v>
      </c>
      <c r="E232" s="43" t="s">
        <v>3646</v>
      </c>
      <c r="F232" s="22" t="s">
        <v>3659</v>
      </c>
      <c r="G232" s="22" t="s">
        <v>361</v>
      </c>
      <c r="H232" s="22" t="s">
        <v>3660</v>
      </c>
      <c r="I232" s="43"/>
      <c r="J232" s="43"/>
      <c r="K232" s="22" t="b">
        <v>1</v>
      </c>
      <c r="L232" s="22" t="b">
        <v>1</v>
      </c>
      <c r="M232" s="22" t="b">
        <v>1</v>
      </c>
      <c r="N232" s="22" t="b">
        <v>1</v>
      </c>
      <c r="O232" s="22" t="b">
        <v>0</v>
      </c>
      <c r="P232" s="22" t="b">
        <v>0</v>
      </c>
      <c r="Q232" s="22" t="b">
        <v>0</v>
      </c>
      <c r="R232" s="43"/>
      <c r="S232" s="43" t="s">
        <v>3661</v>
      </c>
      <c r="T232" s="22" t="s">
        <v>3658</v>
      </c>
      <c r="U232" s="22" t="s">
        <v>3658</v>
      </c>
      <c r="V232" s="22" t="s">
        <v>3658</v>
      </c>
      <c r="W232" s="43"/>
      <c r="X232" s="43"/>
      <c r="Y232" s="43"/>
      <c r="Z232" s="43"/>
      <c r="AA232" s="22">
        <v>2.80062078E8</v>
      </c>
      <c r="AB232" s="22">
        <v>1.752021365E9</v>
      </c>
      <c r="AC232" s="22">
        <v>1.0372978517E11</v>
      </c>
      <c r="AD232" s="22"/>
      <c r="AE232" s="22"/>
      <c r="AF232" s="43"/>
      <c r="AG232" s="43"/>
      <c r="AH232" s="43" t="s">
        <v>3659</v>
      </c>
      <c r="AI232" s="22" t="s">
        <v>3662</v>
      </c>
      <c r="AJ232" s="22" t="s">
        <v>3663</v>
      </c>
      <c r="AK232" s="22" t="s">
        <v>3664</v>
      </c>
      <c r="AL232" s="43"/>
      <c r="AM232" s="43"/>
      <c r="AN232" s="43"/>
      <c r="AO232" s="43"/>
      <c r="AP232" s="46" t="s">
        <v>3665</v>
      </c>
      <c r="AQ232" s="46" t="s">
        <v>3666</v>
      </c>
      <c r="AR232" s="46" t="s">
        <v>3667</v>
      </c>
      <c r="AS232" s="43"/>
      <c r="AT232" s="43"/>
      <c r="AU232" s="43"/>
      <c r="AV232" s="43"/>
      <c r="AW232" s="22" t="s">
        <v>361</v>
      </c>
      <c r="AX232" s="22" t="s">
        <v>3663</v>
      </c>
      <c r="AY232" s="22" t="s">
        <v>372</v>
      </c>
      <c r="AZ232" s="43"/>
      <c r="BA232" s="43"/>
      <c r="BB232" s="43"/>
      <c r="BC232" s="43"/>
      <c r="BD232" s="43" t="s">
        <v>2993</v>
      </c>
      <c r="BE232" s="59" t="s">
        <v>2755</v>
      </c>
      <c r="BF232" s="22" t="s">
        <v>131</v>
      </c>
      <c r="BG232" s="22" t="s">
        <v>132</v>
      </c>
      <c r="BH232" s="22" t="s">
        <v>132</v>
      </c>
      <c r="BI232" s="22" t="s">
        <v>132</v>
      </c>
      <c r="BJ232" s="43"/>
      <c r="BK232" s="43"/>
      <c r="BL232" s="22">
        <v>4.61003063195E12</v>
      </c>
      <c r="BM232" s="22">
        <v>2.106909803E9</v>
      </c>
      <c r="BN232" s="22" t="s">
        <v>3668</v>
      </c>
      <c r="BO232" s="22"/>
      <c r="BP232" s="22" t="s">
        <v>496</v>
      </c>
      <c r="BQ232" s="43"/>
      <c r="BR232" s="43"/>
      <c r="BS232" s="22" t="s">
        <v>3669</v>
      </c>
      <c r="BT232" s="43"/>
      <c r="BU232" s="22" t="s">
        <v>3670</v>
      </c>
      <c r="BV232" s="43" t="s">
        <v>3671</v>
      </c>
      <c r="BW232" s="22" t="s">
        <v>3672</v>
      </c>
      <c r="BX232" s="22">
        <v>60.0</v>
      </c>
      <c r="BY232" s="22" t="s">
        <v>492</v>
      </c>
      <c r="BZ232" s="22"/>
      <c r="CA232" s="22" t="s">
        <v>355</v>
      </c>
      <c r="CB232" s="22" t="s">
        <v>307</v>
      </c>
      <c r="CC232" s="45" t="s">
        <v>3673</v>
      </c>
      <c r="CD232" s="43"/>
      <c r="CE232" s="43"/>
      <c r="CF232" s="45"/>
      <c r="CG232" s="43"/>
      <c r="CH232" s="43"/>
      <c r="CI232" s="43"/>
      <c r="CJ232" s="43"/>
      <c r="CK232" s="43"/>
      <c r="CL232" s="43"/>
      <c r="CM232" s="49">
        <f>IFERROR(VLOOKUP(B232,CC!A:D,4,0)," ")</f>
        <v>196.35</v>
      </c>
      <c r="CN232" s="22" t="s">
        <v>3674</v>
      </c>
      <c r="CO232" s="22"/>
      <c r="CP232" s="22" t="s">
        <v>805</v>
      </c>
      <c r="CQ232" s="22">
        <v>90.0</v>
      </c>
      <c r="CR232" s="43"/>
      <c r="CS232" s="43"/>
      <c r="CT232" s="22" t="s">
        <v>145</v>
      </c>
      <c r="CU232" s="43"/>
      <c r="CV232" s="43"/>
      <c r="CW232" s="43"/>
      <c r="CX232" s="43"/>
      <c r="CY232" s="43" t="b">
        <v>0</v>
      </c>
      <c r="CZ232" s="43" t="b">
        <v>0</v>
      </c>
      <c r="DA232" s="43" t="b">
        <v>0</v>
      </c>
      <c r="DB232" s="43" t="b">
        <v>0</v>
      </c>
      <c r="DC232" s="43"/>
      <c r="DD232" s="43"/>
      <c r="DE232" s="43"/>
      <c r="DF232" s="43"/>
      <c r="DG232" s="43"/>
      <c r="DH232" s="43"/>
      <c r="DI232" s="43"/>
      <c r="DJ232" s="22">
        <f>IFERROR(VLOOKUP($B232,'Лист4'!$D:$AI,27,0)," ")</f>
        <v>5</v>
      </c>
      <c r="DK232" s="22">
        <f>IFERROR(VLOOKUP($B232,'Лист4'!$D:$AI,28,0)," ")</f>
        <v>8</v>
      </c>
      <c r="DL232" s="22">
        <f>IFERROR(VLOOKUP($B232,'Лист4'!$D:$AI,29,0)," ")</f>
        <v>5</v>
      </c>
      <c r="DM232" s="22">
        <f t="shared" si="2"/>
        <v>200</v>
      </c>
      <c r="DN232" s="22">
        <f>IFERROR(VLOOKUP($B232,'Лист4'!$D:$AI,32,0)," ")</f>
        <v>0.047</v>
      </c>
      <c r="DO232" s="22"/>
      <c r="DP232" s="22"/>
      <c r="DQ232" s="22"/>
      <c r="DR232" s="22"/>
      <c r="DS232" s="22"/>
      <c r="DT232" s="22"/>
      <c r="DU232" s="22"/>
      <c r="DV232" s="22"/>
      <c r="DW232" s="22"/>
      <c r="DX232" s="22"/>
      <c r="DY232" s="22"/>
      <c r="DZ232" s="22"/>
      <c r="EA232" s="22"/>
      <c r="EB232" s="22"/>
      <c r="EC232" s="22"/>
      <c r="ED232" s="22"/>
      <c r="EE232" s="22"/>
      <c r="EF232" s="22"/>
      <c r="EG232" s="22"/>
      <c r="EH232" s="22"/>
      <c r="EI232" s="22"/>
      <c r="EJ232" s="22"/>
      <c r="EK232" s="22"/>
      <c r="EL232" s="22"/>
      <c r="EM232" s="22"/>
      <c r="EN232" s="22"/>
      <c r="EO232" s="22"/>
      <c r="EP232" s="22"/>
      <c r="EQ232" s="22"/>
      <c r="ER232" s="22"/>
      <c r="ES232" s="43"/>
      <c r="ET232" s="43"/>
      <c r="EU232" s="43"/>
      <c r="EV232" s="43"/>
      <c r="EW232" s="43"/>
      <c r="EX232" s="43"/>
      <c r="EY232" s="43"/>
      <c r="EZ232" s="43"/>
      <c r="FA232" s="43"/>
      <c r="FB232" s="43"/>
      <c r="FC232" s="43"/>
      <c r="FD232" s="43"/>
      <c r="FE232" s="43"/>
      <c r="FF232" s="43"/>
      <c r="FG232" s="43"/>
      <c r="FH232" s="43"/>
      <c r="FI232" s="43"/>
    </row>
    <row r="233" ht="18.0" customHeight="1">
      <c r="A233" s="22" t="s">
        <v>2659</v>
      </c>
      <c r="B233" s="43" t="s">
        <v>3675</v>
      </c>
      <c r="C233" s="22" t="s">
        <v>2741</v>
      </c>
      <c r="D233" s="22" t="s">
        <v>119</v>
      </c>
      <c r="E233" s="43"/>
      <c r="F233" s="22" t="s">
        <v>3676</v>
      </c>
      <c r="G233" s="22" t="s">
        <v>2743</v>
      </c>
      <c r="H233" s="22" t="s">
        <v>287</v>
      </c>
      <c r="I233" s="43"/>
      <c r="J233" s="43"/>
      <c r="K233" s="22" t="b">
        <v>1</v>
      </c>
      <c r="L233" s="22" t="b">
        <v>1</v>
      </c>
      <c r="M233" s="22" t="b">
        <v>1</v>
      </c>
      <c r="N233" s="22" t="b">
        <v>1</v>
      </c>
      <c r="O233" s="22" t="b">
        <v>1</v>
      </c>
      <c r="P233" s="22" t="b">
        <v>1</v>
      </c>
      <c r="Q233" s="22" t="b">
        <v>1</v>
      </c>
      <c r="R233" s="43"/>
      <c r="S233" s="43" t="s">
        <v>3677</v>
      </c>
      <c r="T233" s="22" t="s">
        <v>3675</v>
      </c>
      <c r="U233" s="22" t="s">
        <v>3675</v>
      </c>
      <c r="V233" s="22" t="s">
        <v>3675</v>
      </c>
      <c r="W233" s="43" t="s">
        <v>3675</v>
      </c>
      <c r="X233" s="43" t="s">
        <v>3675</v>
      </c>
      <c r="Y233" s="22" t="s">
        <v>3675</v>
      </c>
      <c r="Z233" s="43"/>
      <c r="AA233" s="22">
        <v>2.08745988E8</v>
      </c>
      <c r="AB233" s="22">
        <v>1.440687097E9</v>
      </c>
      <c r="AC233" s="22">
        <v>1.03515586486E11</v>
      </c>
      <c r="AD233" s="22">
        <v>9.9000076206E10</v>
      </c>
      <c r="AE233" s="22" t="s">
        <v>3678</v>
      </c>
      <c r="AF233" s="22" t="s">
        <v>3679</v>
      </c>
      <c r="AG233" s="43"/>
      <c r="AH233" s="43" t="s">
        <v>3676</v>
      </c>
      <c r="AI233" s="22" t="s">
        <v>3680</v>
      </c>
      <c r="AJ233" s="22" t="s">
        <v>3681</v>
      </c>
      <c r="AK233" s="22" t="s">
        <v>3682</v>
      </c>
      <c r="AL233" s="22" t="s">
        <v>3683</v>
      </c>
      <c r="AM233" s="22" t="s">
        <v>3684</v>
      </c>
      <c r="AN233" s="22" t="s">
        <v>3685</v>
      </c>
      <c r="AO233" s="43"/>
      <c r="AP233" s="46" t="s">
        <v>3686</v>
      </c>
      <c r="AQ233" s="46" t="s">
        <v>3687</v>
      </c>
      <c r="AR233" s="46" t="s">
        <v>3688</v>
      </c>
      <c r="AS233" s="46" t="s">
        <v>3689</v>
      </c>
      <c r="AT233" s="46" t="s">
        <v>3690</v>
      </c>
      <c r="AU233" s="46" t="s">
        <v>3691</v>
      </c>
      <c r="AV233" s="43"/>
      <c r="AW233" s="22" t="s">
        <v>2824</v>
      </c>
      <c r="AX233" s="22" t="s">
        <v>3681</v>
      </c>
      <c r="AY233" s="22" t="s">
        <v>2825</v>
      </c>
      <c r="AZ233" s="22" t="s">
        <v>2826</v>
      </c>
      <c r="BA233" s="22" t="s">
        <v>2827</v>
      </c>
      <c r="BB233" s="22" t="s">
        <v>2824</v>
      </c>
      <c r="BC233" s="22"/>
      <c r="BD233" s="43" t="s">
        <v>2673</v>
      </c>
      <c r="BE233" s="59" t="s">
        <v>2674</v>
      </c>
      <c r="BF233" s="22" t="s">
        <v>131</v>
      </c>
      <c r="BG233" s="22" t="s">
        <v>132</v>
      </c>
      <c r="BH233" s="22" t="s">
        <v>132</v>
      </c>
      <c r="BI233" s="22" t="s">
        <v>132</v>
      </c>
      <c r="BJ233" s="43"/>
      <c r="BK233" s="43"/>
      <c r="BL233" s="22">
        <v>4.670020496679E12</v>
      </c>
      <c r="BM233" s="22">
        <v>3.3051E9</v>
      </c>
      <c r="BN233" s="22" t="s">
        <v>3692</v>
      </c>
      <c r="BO233" s="22"/>
      <c r="BP233" s="22" t="s">
        <v>145</v>
      </c>
      <c r="BQ233" s="43"/>
      <c r="BR233" s="43"/>
      <c r="BS233" s="22" t="s">
        <v>3693</v>
      </c>
      <c r="BT233" s="43"/>
      <c r="BU233" s="22" t="s">
        <v>2830</v>
      </c>
      <c r="BV233" s="43" t="s">
        <v>2831</v>
      </c>
      <c r="BW233" s="22" t="s">
        <v>2832</v>
      </c>
      <c r="BX233" s="22">
        <v>250.0</v>
      </c>
      <c r="BY233" s="22" t="s">
        <v>139</v>
      </c>
      <c r="BZ233" s="22"/>
      <c r="CA233" s="22" t="s">
        <v>355</v>
      </c>
      <c r="CB233" s="22" t="s">
        <v>307</v>
      </c>
      <c r="CC233" s="45" t="s">
        <v>3694</v>
      </c>
      <c r="CD233" s="43"/>
      <c r="CE233" s="43"/>
      <c r="CF233" s="45"/>
      <c r="CG233" s="43"/>
      <c r="CH233" s="43"/>
      <c r="CI233" s="43"/>
      <c r="CJ233" s="43"/>
      <c r="CK233" s="43"/>
      <c r="CL233" s="43"/>
      <c r="CM233" s="49">
        <f>IFERROR(VLOOKUP(B233,CC!A:D,4,0)," ")</f>
        <v>106.2</v>
      </c>
      <c r="CN233" s="22" t="s">
        <v>2834</v>
      </c>
      <c r="CO233" s="22"/>
      <c r="CP233" s="22" t="s">
        <v>2835</v>
      </c>
      <c r="CQ233" s="22">
        <v>90.0</v>
      </c>
      <c r="CR233" s="43"/>
      <c r="CS233" s="22">
        <v>5.0</v>
      </c>
      <c r="CT233" s="22" t="s">
        <v>145</v>
      </c>
      <c r="CU233" s="43"/>
      <c r="CV233" s="43"/>
      <c r="CW233" s="43"/>
      <c r="CX233" s="43"/>
      <c r="CY233" s="43" t="b">
        <v>0</v>
      </c>
      <c r="CZ233" s="43" t="b">
        <v>0</v>
      </c>
      <c r="DA233" s="43" t="b">
        <v>0</v>
      </c>
      <c r="DB233" s="43" t="b">
        <v>0</v>
      </c>
      <c r="DC233" s="43"/>
      <c r="DD233" s="43"/>
      <c r="DE233" s="43"/>
      <c r="DF233" s="43"/>
      <c r="DG233" s="43"/>
      <c r="DH233" s="43"/>
      <c r="DI233" s="43"/>
      <c r="DJ233" s="22">
        <f>IFERROR(VLOOKUP($B233,'Лист4'!$D:$AI,27,0)," ")</f>
        <v>5</v>
      </c>
      <c r="DK233" s="22">
        <f>IFERROR(VLOOKUP($B233,'Лист4'!$D:$AI,28,0)," ")</f>
        <v>5</v>
      </c>
      <c r="DL233" s="22">
        <f>IFERROR(VLOOKUP($B233,'Лист4'!$D:$AI,29,0)," ")</f>
        <v>5</v>
      </c>
      <c r="DM233" s="22">
        <f t="shared" si="2"/>
        <v>125</v>
      </c>
      <c r="DN233" s="22">
        <f>IFERROR(VLOOKUP($B233,'Лист4'!$D:$AI,32,0)," ")</f>
        <v>0.295</v>
      </c>
      <c r="DO233" s="22"/>
      <c r="DP233" s="22"/>
      <c r="DQ233" s="22"/>
      <c r="DR233" s="22"/>
      <c r="DS233" s="22"/>
      <c r="DT233" s="22"/>
      <c r="DU233" s="22"/>
      <c r="DV233" s="22"/>
      <c r="DW233" s="22"/>
      <c r="DX233" s="22"/>
      <c r="DY233" s="22"/>
      <c r="DZ233" s="22"/>
      <c r="EA233" s="22"/>
      <c r="EB233" s="22"/>
      <c r="EC233" s="22"/>
      <c r="ED233" s="22"/>
      <c r="EE233" s="22"/>
      <c r="EF233" s="22"/>
      <c r="EG233" s="22"/>
      <c r="EH233" s="22"/>
      <c r="EI233" s="22"/>
      <c r="EJ233" s="22"/>
      <c r="EK233" s="22"/>
      <c r="EL233" s="22"/>
      <c r="EM233" s="22"/>
      <c r="EN233" s="22"/>
      <c r="EO233" s="22"/>
      <c r="EP233" s="22"/>
      <c r="EQ233" s="22"/>
      <c r="ER233" s="22"/>
      <c r="ES233" s="43"/>
      <c r="ET233" s="43"/>
      <c r="EU233" s="43"/>
      <c r="EV233" s="43"/>
      <c r="EW233" s="43"/>
      <c r="EX233" s="43"/>
      <c r="EY233" s="43"/>
      <c r="EZ233" s="43"/>
      <c r="FA233" s="43"/>
      <c r="FB233" s="43"/>
      <c r="FC233" s="43"/>
      <c r="FD233" s="43"/>
      <c r="FE233" s="43"/>
      <c r="FF233" s="43"/>
      <c r="FG233" s="43"/>
      <c r="FH233" s="43"/>
      <c r="FI233" s="43"/>
    </row>
    <row r="234" ht="18.0" customHeight="1">
      <c r="A234" s="22" t="s">
        <v>2659</v>
      </c>
      <c r="B234" s="43" t="s">
        <v>3695</v>
      </c>
      <c r="C234" s="22" t="s">
        <v>2661</v>
      </c>
      <c r="D234" s="22" t="s">
        <v>119</v>
      </c>
      <c r="E234" s="43"/>
      <c r="F234" s="22" t="s">
        <v>3696</v>
      </c>
      <c r="G234" s="22" t="s">
        <v>2663</v>
      </c>
      <c r="H234" s="22" t="s">
        <v>3697</v>
      </c>
      <c r="I234" s="43"/>
      <c r="J234" s="43"/>
      <c r="K234" s="22" t="b">
        <v>1</v>
      </c>
      <c r="L234" s="22" t="b">
        <v>1</v>
      </c>
      <c r="M234" s="22" t="b">
        <v>1</v>
      </c>
      <c r="N234" s="22" t="b">
        <v>1</v>
      </c>
      <c r="O234" s="22" t="b">
        <v>0</v>
      </c>
      <c r="P234" s="22" t="b">
        <v>0</v>
      </c>
      <c r="Q234" s="22" t="b">
        <v>0</v>
      </c>
      <c r="R234" s="43"/>
      <c r="S234" s="43" t="s">
        <v>3698</v>
      </c>
      <c r="T234" s="22" t="s">
        <v>3695</v>
      </c>
      <c r="U234" s="22" t="s">
        <v>3695</v>
      </c>
      <c r="V234" s="22" t="s">
        <v>3695</v>
      </c>
      <c r="W234" s="43"/>
      <c r="X234" s="43"/>
      <c r="Y234" s="43"/>
      <c r="Z234" s="43"/>
      <c r="AA234" s="22">
        <v>1.42843069E8</v>
      </c>
      <c r="AB234" s="22">
        <v>8.36659639E8</v>
      </c>
      <c r="AC234" s="22">
        <v>1.0221537316E11</v>
      </c>
      <c r="AD234" s="22"/>
      <c r="AE234" s="22"/>
      <c r="AF234" s="43"/>
      <c r="AG234" s="43"/>
      <c r="AH234" s="43" t="s">
        <v>3696</v>
      </c>
      <c r="AI234" s="22" t="s">
        <v>3699</v>
      </c>
      <c r="AJ234" s="22" t="s">
        <v>3700</v>
      </c>
      <c r="AK234" s="22" t="s">
        <v>3701</v>
      </c>
      <c r="AL234" s="43"/>
      <c r="AM234" s="43"/>
      <c r="AN234" s="43"/>
      <c r="AO234" s="43"/>
      <c r="AP234" s="46" t="s">
        <v>3702</v>
      </c>
      <c r="AQ234" s="46" t="s">
        <v>3703</v>
      </c>
      <c r="AR234" s="46" t="s">
        <v>3704</v>
      </c>
      <c r="AS234" s="43"/>
      <c r="AT234" s="43"/>
      <c r="AU234" s="43"/>
      <c r="AV234" s="43"/>
      <c r="AW234" s="22" t="s">
        <v>649</v>
      </c>
      <c r="AX234" s="22" t="s">
        <v>3700</v>
      </c>
      <c r="AY234" s="22" t="s">
        <v>372</v>
      </c>
      <c r="AZ234" s="43"/>
      <c r="BA234" s="43"/>
      <c r="BB234" s="43"/>
      <c r="BC234" s="43"/>
      <c r="BD234" s="43" t="s">
        <v>1449</v>
      </c>
      <c r="BE234" s="59" t="s">
        <v>2674</v>
      </c>
      <c r="BF234" s="22" t="s">
        <v>131</v>
      </c>
      <c r="BG234" s="22" t="s">
        <v>132</v>
      </c>
      <c r="BH234" s="22" t="s">
        <v>132</v>
      </c>
      <c r="BI234" s="22" t="s">
        <v>132</v>
      </c>
      <c r="BJ234" s="43"/>
      <c r="BK234" s="43"/>
      <c r="BL234" s="22">
        <v>4.631143285991E12</v>
      </c>
      <c r="BM234" s="65">
        <v>2.103909009E9</v>
      </c>
      <c r="BN234" s="22" t="s">
        <v>3705</v>
      </c>
      <c r="BO234" s="22"/>
      <c r="BP234" s="22" t="s">
        <v>145</v>
      </c>
      <c r="BQ234" s="43"/>
      <c r="BR234" s="43"/>
      <c r="BS234" s="22" t="s">
        <v>3706</v>
      </c>
      <c r="BT234" s="43"/>
      <c r="BU234" s="22" t="s">
        <v>3707</v>
      </c>
      <c r="BV234" s="22" t="s">
        <v>3708</v>
      </c>
      <c r="BW234" s="22" t="s">
        <v>3709</v>
      </c>
      <c r="BX234" s="22">
        <v>10.0</v>
      </c>
      <c r="BY234" s="22" t="s">
        <v>139</v>
      </c>
      <c r="BZ234" s="22"/>
      <c r="CA234" s="22"/>
      <c r="CB234" s="22"/>
      <c r="CC234" s="45" t="s">
        <v>3710</v>
      </c>
      <c r="CD234" s="43"/>
      <c r="CE234" s="43"/>
      <c r="CF234" s="45"/>
      <c r="CG234" s="43"/>
      <c r="CH234" s="43"/>
      <c r="CI234" s="43"/>
      <c r="CJ234" s="43"/>
      <c r="CK234" s="43"/>
      <c r="CL234" s="43"/>
      <c r="CM234" s="49">
        <f>IFERROR(VLOOKUP(B234,CC!A:D,4,0)," ")</f>
        <v>81.98</v>
      </c>
      <c r="CN234" s="22" t="s">
        <v>3711</v>
      </c>
      <c r="CO234" s="22"/>
      <c r="CP234" s="43"/>
      <c r="CQ234" s="22">
        <v>45.0</v>
      </c>
      <c r="CR234" s="43"/>
      <c r="CS234" s="43"/>
      <c r="CT234" s="22" t="s">
        <v>145</v>
      </c>
      <c r="CU234" s="43"/>
      <c r="CV234" s="43"/>
      <c r="CW234" s="43"/>
      <c r="CX234" s="43"/>
      <c r="CY234" s="43" t="b">
        <v>0</v>
      </c>
      <c r="CZ234" s="43" t="b">
        <v>0</v>
      </c>
      <c r="DA234" s="43" t="b">
        <v>0</v>
      </c>
      <c r="DB234" s="43" t="b">
        <v>0</v>
      </c>
      <c r="DC234" s="43"/>
      <c r="DD234" s="43"/>
      <c r="DE234" s="43"/>
      <c r="DF234" s="43"/>
      <c r="DG234" s="43"/>
      <c r="DH234" s="43"/>
      <c r="DI234" s="43"/>
      <c r="DJ234" s="22">
        <f>IFERROR(VLOOKUP($B234,'Лист4'!$D:$AI,27,0)," ")</f>
        <v>8</v>
      </c>
      <c r="DK234" s="22">
        <f>IFERROR(VLOOKUP($B234,'Лист4'!$D:$AI,28,0)," ")</f>
        <v>3</v>
      </c>
      <c r="DL234" s="22">
        <f>IFERROR(VLOOKUP($B234,'Лист4'!$D:$AI,29,0)," ")</f>
        <v>8</v>
      </c>
      <c r="DM234" s="22">
        <f t="shared" si="2"/>
        <v>192</v>
      </c>
      <c r="DN234" s="22">
        <f>IFERROR(VLOOKUP($B234,'Лист4'!$D:$AI,32,0)," ")</f>
        <v>0.046</v>
      </c>
      <c r="DO234" s="22"/>
      <c r="DP234" s="22"/>
      <c r="DQ234" s="22"/>
      <c r="DR234" s="22"/>
      <c r="DS234" s="22"/>
      <c r="DT234" s="22"/>
      <c r="DU234" s="22"/>
      <c r="DV234" s="22"/>
      <c r="DW234" s="22"/>
      <c r="DX234" s="22"/>
      <c r="DY234" s="22"/>
      <c r="DZ234" s="22"/>
      <c r="EA234" s="22"/>
      <c r="EB234" s="22"/>
      <c r="EC234" s="22"/>
      <c r="ED234" s="22"/>
      <c r="EE234" s="22"/>
      <c r="EF234" s="22"/>
      <c r="EG234" s="22"/>
      <c r="EH234" s="22"/>
      <c r="EI234" s="22"/>
      <c r="EJ234" s="22"/>
      <c r="EK234" s="22"/>
      <c r="EL234" s="22"/>
      <c r="EM234" s="22"/>
      <c r="EN234" s="22"/>
      <c r="EO234" s="22"/>
      <c r="EP234" s="22"/>
      <c r="EQ234" s="22"/>
      <c r="ER234" s="22"/>
      <c r="ES234" s="43"/>
      <c r="ET234" s="43"/>
      <c r="EU234" s="43"/>
      <c r="EV234" s="43"/>
      <c r="EW234" s="43"/>
      <c r="EX234" s="43"/>
      <c r="EY234" s="43"/>
      <c r="EZ234" s="43"/>
      <c r="FA234" s="43"/>
      <c r="FB234" s="43"/>
      <c r="FC234" s="43"/>
      <c r="FD234" s="43"/>
      <c r="FE234" s="43"/>
      <c r="FF234" s="43"/>
      <c r="FG234" s="43"/>
      <c r="FH234" s="43"/>
      <c r="FI234" s="43"/>
    </row>
    <row r="235" ht="18.0" customHeight="1">
      <c r="A235" s="22" t="s">
        <v>2659</v>
      </c>
      <c r="B235" s="43" t="s">
        <v>3712</v>
      </c>
      <c r="C235" s="22" t="s">
        <v>2661</v>
      </c>
      <c r="D235" s="22" t="s">
        <v>119</v>
      </c>
      <c r="E235" s="43"/>
      <c r="F235" s="22" t="s">
        <v>3713</v>
      </c>
      <c r="G235" s="22" t="s">
        <v>2663</v>
      </c>
      <c r="H235" s="22" t="s">
        <v>3697</v>
      </c>
      <c r="I235" s="43"/>
      <c r="J235" s="43"/>
      <c r="K235" s="22" t="b">
        <v>1</v>
      </c>
      <c r="L235" s="22" t="b">
        <v>1</v>
      </c>
      <c r="M235" s="22" t="b">
        <v>1</v>
      </c>
      <c r="N235" s="22" t="b">
        <v>1</v>
      </c>
      <c r="O235" s="22" t="b">
        <v>0</v>
      </c>
      <c r="P235" s="22" t="b">
        <v>0</v>
      </c>
      <c r="Q235" s="22" t="b">
        <v>0</v>
      </c>
      <c r="R235" s="43"/>
      <c r="S235" s="43" t="s">
        <v>3714</v>
      </c>
      <c r="T235" s="22" t="s">
        <v>3712</v>
      </c>
      <c r="U235" s="22" t="s">
        <v>3712</v>
      </c>
      <c r="V235" s="22" t="s">
        <v>3712</v>
      </c>
      <c r="W235" s="43"/>
      <c r="X235" s="43"/>
      <c r="Y235" s="43"/>
      <c r="Z235" s="43"/>
      <c r="AA235" s="22">
        <v>2.24302599E8</v>
      </c>
      <c r="AB235" s="22">
        <v>1.542468939E9</v>
      </c>
      <c r="AC235" s="22">
        <v>1.03515397915E11</v>
      </c>
      <c r="AD235" s="22"/>
      <c r="AE235" s="22"/>
      <c r="AF235" s="43"/>
      <c r="AG235" s="43"/>
      <c r="AH235" s="43" t="s">
        <v>3713</v>
      </c>
      <c r="AI235" s="22" t="s">
        <v>3715</v>
      </c>
      <c r="AJ235" s="22" t="s">
        <v>3716</v>
      </c>
      <c r="AK235" s="22" t="s">
        <v>3717</v>
      </c>
      <c r="AL235" s="43"/>
      <c r="AM235" s="43"/>
      <c r="AN235" s="43"/>
      <c r="AO235" s="43"/>
      <c r="AP235" s="46" t="s">
        <v>3718</v>
      </c>
      <c r="AQ235" s="46" t="s">
        <v>3719</v>
      </c>
      <c r="AR235" s="46" t="s">
        <v>3720</v>
      </c>
      <c r="AS235" s="43"/>
      <c r="AT235" s="43"/>
      <c r="AU235" s="43"/>
      <c r="AV235" s="43"/>
      <c r="AW235" s="22" t="s">
        <v>649</v>
      </c>
      <c r="AX235" s="22" t="s">
        <v>3716</v>
      </c>
      <c r="AY235" s="22" t="s">
        <v>372</v>
      </c>
      <c r="AZ235" s="43"/>
      <c r="BA235" s="43"/>
      <c r="BB235" s="43"/>
      <c r="BC235" s="43"/>
      <c r="BD235" s="43" t="s">
        <v>1449</v>
      </c>
      <c r="BE235" s="59" t="s">
        <v>2755</v>
      </c>
      <c r="BF235" s="22" t="s">
        <v>131</v>
      </c>
      <c r="BG235" s="22" t="s">
        <v>132</v>
      </c>
      <c r="BH235" s="22" t="s">
        <v>132</v>
      </c>
      <c r="BI235" s="22" t="s">
        <v>132</v>
      </c>
      <c r="BJ235" s="43"/>
      <c r="BK235" s="43"/>
      <c r="BL235" s="22">
        <v>4.610030632612E12</v>
      </c>
      <c r="BM235" s="65">
        <v>2.103909009E9</v>
      </c>
      <c r="BN235" s="22" t="s">
        <v>3721</v>
      </c>
      <c r="BO235" s="22"/>
      <c r="BP235" s="22" t="s">
        <v>145</v>
      </c>
      <c r="BQ235" s="43"/>
      <c r="BR235" s="43"/>
      <c r="BS235" s="22" t="s">
        <v>3722</v>
      </c>
      <c r="BT235" s="43"/>
      <c r="BU235" s="22" t="s">
        <v>3723</v>
      </c>
      <c r="BV235" s="22" t="s">
        <v>3724</v>
      </c>
      <c r="BW235" s="22" t="s">
        <v>2905</v>
      </c>
      <c r="BX235" s="22">
        <v>10.0</v>
      </c>
      <c r="BY235" s="22" t="s">
        <v>492</v>
      </c>
      <c r="BZ235" s="22"/>
      <c r="CA235" s="22" t="s">
        <v>355</v>
      </c>
      <c r="CB235" s="22" t="s">
        <v>307</v>
      </c>
      <c r="CC235" s="45" t="s">
        <v>3725</v>
      </c>
      <c r="CD235" s="43"/>
      <c r="CE235" s="43"/>
      <c r="CF235" s="45"/>
      <c r="CG235" s="43"/>
      <c r="CH235" s="43"/>
      <c r="CI235" s="43"/>
      <c r="CJ235" s="43"/>
      <c r="CK235" s="43"/>
      <c r="CL235" s="43"/>
      <c r="CM235" s="49">
        <f>IFERROR(VLOOKUP(B235,CC!A:D,4,0)," ")</f>
        <v>104.32</v>
      </c>
      <c r="CN235" s="22" t="s">
        <v>3711</v>
      </c>
      <c r="CO235" s="22"/>
      <c r="CP235" s="43"/>
      <c r="CQ235" s="22">
        <v>45.0</v>
      </c>
      <c r="CR235" s="43"/>
      <c r="CS235" s="43"/>
      <c r="CT235" s="22" t="s">
        <v>145</v>
      </c>
      <c r="CU235" s="43"/>
      <c r="CV235" s="43"/>
      <c r="CW235" s="43"/>
      <c r="CX235" s="43"/>
      <c r="CY235" s="43" t="b">
        <v>0</v>
      </c>
      <c r="CZ235" s="43" t="b">
        <v>0</v>
      </c>
      <c r="DA235" s="43" t="b">
        <v>0</v>
      </c>
      <c r="DB235" s="43" t="b">
        <v>0</v>
      </c>
      <c r="DC235" s="43"/>
      <c r="DD235" s="43"/>
      <c r="DE235" s="43"/>
      <c r="DF235" s="43"/>
      <c r="DG235" s="43"/>
      <c r="DH235" s="43"/>
      <c r="DI235" s="43"/>
      <c r="DJ235" s="22">
        <f>IFERROR(VLOOKUP($B235,'Лист4'!$D:$AI,27,0)," ")</f>
        <v>10</v>
      </c>
      <c r="DK235" s="22">
        <f>IFERROR(VLOOKUP($B235,'Лист4'!$D:$AI,28,0)," ")</f>
        <v>2</v>
      </c>
      <c r="DL235" s="22">
        <f>IFERROR(VLOOKUP($B235,'Лист4'!$D:$AI,29,0)," ")</f>
        <v>10</v>
      </c>
      <c r="DM235" s="22">
        <f t="shared" si="2"/>
        <v>200</v>
      </c>
      <c r="DN235" s="22">
        <f>IFERROR(VLOOKUP($B235,'Лист4'!$D:$AI,32,0)," ")</f>
        <v>0.016</v>
      </c>
      <c r="DO235" s="22"/>
      <c r="DP235" s="22"/>
      <c r="DQ235" s="22"/>
      <c r="DR235" s="22"/>
      <c r="DS235" s="22"/>
      <c r="DT235" s="22"/>
      <c r="DU235" s="22"/>
      <c r="DV235" s="22"/>
      <c r="DW235" s="22"/>
      <c r="DX235" s="22"/>
      <c r="DY235" s="22"/>
      <c r="DZ235" s="22"/>
      <c r="EA235" s="22"/>
      <c r="EB235" s="22"/>
      <c r="EC235" s="22"/>
      <c r="ED235" s="22"/>
      <c r="EE235" s="22"/>
      <c r="EF235" s="22"/>
      <c r="EG235" s="22"/>
      <c r="EH235" s="22"/>
      <c r="EI235" s="22"/>
      <c r="EJ235" s="22"/>
      <c r="EK235" s="22"/>
      <c r="EL235" s="22"/>
      <c r="EM235" s="22"/>
      <c r="EN235" s="22"/>
      <c r="EO235" s="22"/>
      <c r="EP235" s="22"/>
      <c r="EQ235" s="22"/>
      <c r="ER235" s="22"/>
      <c r="ES235" s="43"/>
      <c r="ET235" s="43"/>
      <c r="EU235" s="43"/>
      <c r="EV235" s="43"/>
      <c r="EW235" s="43"/>
      <c r="EX235" s="43"/>
      <c r="EY235" s="43"/>
      <c r="EZ235" s="43"/>
      <c r="FA235" s="43"/>
      <c r="FB235" s="43"/>
      <c r="FC235" s="43"/>
      <c r="FD235" s="43"/>
      <c r="FE235" s="43"/>
      <c r="FF235" s="43"/>
      <c r="FG235" s="43"/>
      <c r="FH235" s="43"/>
      <c r="FI235" s="43"/>
    </row>
    <row r="236" ht="18.0" customHeight="1">
      <c r="A236" s="22" t="s">
        <v>2659</v>
      </c>
      <c r="B236" s="43" t="s">
        <v>3726</v>
      </c>
      <c r="C236" s="22" t="s">
        <v>2741</v>
      </c>
      <c r="D236" s="22" t="s">
        <v>358</v>
      </c>
      <c r="E236" s="43" t="s">
        <v>3727</v>
      </c>
      <c r="F236" s="22" t="s">
        <v>3728</v>
      </c>
      <c r="G236" s="22" t="s">
        <v>361</v>
      </c>
      <c r="H236" s="22" t="s">
        <v>2664</v>
      </c>
      <c r="I236" s="43"/>
      <c r="J236" s="43"/>
      <c r="K236" s="22" t="b">
        <v>1</v>
      </c>
      <c r="L236" s="22" t="b">
        <v>1</v>
      </c>
      <c r="M236" s="22" t="b">
        <v>1</v>
      </c>
      <c r="N236" s="22" t="b">
        <v>1</v>
      </c>
      <c r="O236" s="22" t="b">
        <v>0</v>
      </c>
      <c r="P236" s="22" t="b">
        <v>0</v>
      </c>
      <c r="Q236" s="22" t="b">
        <v>0</v>
      </c>
      <c r="R236" s="43"/>
      <c r="S236" s="43" t="s">
        <v>3729</v>
      </c>
      <c r="T236" s="22" t="s">
        <v>3726</v>
      </c>
      <c r="U236" s="22" t="s">
        <v>3726</v>
      </c>
      <c r="V236" s="22" t="s">
        <v>3726</v>
      </c>
      <c r="W236" s="43"/>
      <c r="X236" s="43"/>
      <c r="Y236" s="43"/>
      <c r="Z236" s="43"/>
      <c r="AA236" s="22">
        <v>2.86568838E8</v>
      </c>
      <c r="AB236" s="22">
        <v>1.761037555E9</v>
      </c>
      <c r="AC236" s="22">
        <v>1.03637124074E11</v>
      </c>
      <c r="AD236" s="22"/>
      <c r="AE236" s="22"/>
      <c r="AF236" s="43"/>
      <c r="AG236" s="43"/>
      <c r="AH236" s="43" t="s">
        <v>3728</v>
      </c>
      <c r="AI236" s="22" t="s">
        <v>3730</v>
      </c>
      <c r="AJ236" s="22" t="s">
        <v>3731</v>
      </c>
      <c r="AK236" s="22" t="s">
        <v>3731</v>
      </c>
      <c r="AL236" s="43"/>
      <c r="AM236" s="43"/>
      <c r="AN236" s="43"/>
      <c r="AO236" s="43"/>
      <c r="AP236" s="46" t="s">
        <v>3732</v>
      </c>
      <c r="AQ236" s="46" t="s">
        <v>3733</v>
      </c>
      <c r="AR236" s="46" t="s">
        <v>3734</v>
      </c>
      <c r="AS236" s="43"/>
      <c r="AT236" s="43"/>
      <c r="AU236" s="43"/>
      <c r="AV236" s="43"/>
      <c r="AW236" s="22" t="s">
        <v>361</v>
      </c>
      <c r="AX236" s="22" t="s">
        <v>3731</v>
      </c>
      <c r="AY236" s="22" t="s">
        <v>3123</v>
      </c>
      <c r="AZ236" s="43"/>
      <c r="BA236" s="43"/>
      <c r="BB236" s="43"/>
      <c r="BC236" s="43"/>
      <c r="BD236" s="43" t="s">
        <v>2993</v>
      </c>
      <c r="BE236" s="59" t="s">
        <v>2674</v>
      </c>
      <c r="BF236" s="22" t="s">
        <v>131</v>
      </c>
      <c r="BG236" s="22" t="s">
        <v>132</v>
      </c>
      <c r="BH236" s="22" t="s">
        <v>132</v>
      </c>
      <c r="BI236" s="22" t="s">
        <v>132</v>
      </c>
      <c r="BJ236" s="43"/>
      <c r="BK236" s="43"/>
      <c r="BL236" s="22">
        <v>4.610030631967E12</v>
      </c>
      <c r="BM236" s="22">
        <v>2.106909808E9</v>
      </c>
      <c r="BN236" s="22" t="s">
        <v>3735</v>
      </c>
      <c r="BO236" s="22"/>
      <c r="BP236" s="22" t="s">
        <v>496</v>
      </c>
      <c r="BQ236" s="43"/>
      <c r="BR236" s="43"/>
      <c r="BS236" s="22" t="s">
        <v>3736</v>
      </c>
      <c r="BT236" s="43"/>
      <c r="BU236" s="22" t="s">
        <v>802</v>
      </c>
      <c r="BV236" s="43" t="s">
        <v>3671</v>
      </c>
      <c r="BW236" s="22" t="s">
        <v>3672</v>
      </c>
      <c r="BX236" s="22">
        <v>60.0</v>
      </c>
      <c r="BY236" s="22" t="s">
        <v>492</v>
      </c>
      <c r="BZ236" s="22"/>
      <c r="CA236" s="22" t="s">
        <v>355</v>
      </c>
      <c r="CB236" s="22" t="s">
        <v>307</v>
      </c>
      <c r="CC236" s="45" t="s">
        <v>3737</v>
      </c>
      <c r="CD236" s="43"/>
      <c r="CE236" s="43"/>
      <c r="CF236" s="45"/>
      <c r="CG236" s="43"/>
      <c r="CH236" s="43"/>
      <c r="CI236" s="43"/>
      <c r="CJ236" s="43"/>
      <c r="CK236" s="43"/>
      <c r="CL236" s="43"/>
      <c r="CM236" s="49">
        <f>IFERROR(VLOOKUP(B236,CC!A:D,4,0)," ")</f>
        <v>207.65</v>
      </c>
      <c r="CN236" s="22" t="s">
        <v>3275</v>
      </c>
      <c r="CO236" s="22"/>
      <c r="CP236" s="22" t="s">
        <v>805</v>
      </c>
      <c r="CQ236" s="22">
        <v>90.0</v>
      </c>
      <c r="CR236" s="43"/>
      <c r="CS236" s="22">
        <v>1.0</v>
      </c>
      <c r="CT236" s="22" t="s">
        <v>145</v>
      </c>
      <c r="CU236" s="43"/>
      <c r="CV236" s="43"/>
      <c r="CW236" s="43"/>
      <c r="CX236" s="43"/>
      <c r="CY236" s="43" t="b">
        <v>0</v>
      </c>
      <c r="CZ236" s="43" t="b">
        <v>0</v>
      </c>
      <c r="DA236" s="43" t="b">
        <v>0</v>
      </c>
      <c r="DB236" s="43" t="b">
        <v>0</v>
      </c>
      <c r="DC236" s="43"/>
      <c r="DD236" s="43"/>
      <c r="DE236" s="43"/>
      <c r="DF236" s="43"/>
      <c r="DG236" s="43"/>
      <c r="DH236" s="43"/>
      <c r="DI236" s="43"/>
      <c r="DJ236" s="22">
        <f>IFERROR(VLOOKUP($B236,'Лист4'!$D:$AI,27,0)," ")</f>
        <v>5</v>
      </c>
      <c r="DK236" s="22">
        <f>IFERROR(VLOOKUP($B236,'Лист4'!$D:$AI,28,0)," ")</f>
        <v>8</v>
      </c>
      <c r="DL236" s="22">
        <f>IFERROR(VLOOKUP($B236,'Лист4'!$D:$AI,29,0)," ")</f>
        <v>5</v>
      </c>
      <c r="DM236" s="22">
        <f t="shared" si="2"/>
        <v>200</v>
      </c>
      <c r="DN236" s="22">
        <f>IFERROR(VLOOKUP($B236,'Лист4'!$D:$AI,32,0)," ")</f>
        <v>0.049</v>
      </c>
      <c r="DO236" s="22"/>
      <c r="DP236" s="22"/>
      <c r="DQ236" s="22"/>
      <c r="DR236" s="22"/>
      <c r="DS236" s="22"/>
      <c r="DT236" s="22"/>
      <c r="DU236" s="22"/>
      <c r="DV236" s="22"/>
      <c r="DW236" s="22"/>
      <c r="DX236" s="22"/>
      <c r="DY236" s="22"/>
      <c r="DZ236" s="22"/>
      <c r="EA236" s="22"/>
      <c r="EB236" s="22"/>
      <c r="EC236" s="22"/>
      <c r="ED236" s="22"/>
      <c r="EE236" s="22"/>
      <c r="EF236" s="22"/>
      <c r="EG236" s="22"/>
      <c r="EH236" s="22"/>
      <c r="EI236" s="22"/>
      <c r="EJ236" s="22"/>
      <c r="EK236" s="22"/>
      <c r="EL236" s="22"/>
      <c r="EM236" s="22"/>
      <c r="EN236" s="22"/>
      <c r="EO236" s="22"/>
      <c r="EP236" s="22"/>
      <c r="EQ236" s="22"/>
      <c r="ER236" s="22"/>
      <c r="ES236" s="43"/>
      <c r="ET236" s="43"/>
      <c r="EU236" s="43"/>
      <c r="EV236" s="43"/>
      <c r="EW236" s="43"/>
      <c r="EX236" s="43"/>
      <c r="EY236" s="43"/>
      <c r="EZ236" s="43"/>
      <c r="FA236" s="43"/>
      <c r="FB236" s="43"/>
      <c r="FC236" s="43"/>
      <c r="FD236" s="43"/>
      <c r="FE236" s="43"/>
      <c r="FF236" s="43"/>
      <c r="FG236" s="43"/>
      <c r="FH236" s="43"/>
      <c r="FI236" s="43"/>
    </row>
    <row r="237" ht="18.0" customHeight="1">
      <c r="A237" s="22" t="s">
        <v>2659</v>
      </c>
      <c r="B237" s="43" t="s">
        <v>3738</v>
      </c>
      <c r="C237" s="22" t="s">
        <v>2741</v>
      </c>
      <c r="D237" s="22" t="s">
        <v>187</v>
      </c>
      <c r="E237" s="43" t="s">
        <v>971</v>
      </c>
      <c r="F237" s="22" t="s">
        <v>3739</v>
      </c>
      <c r="G237" s="22" t="s">
        <v>2743</v>
      </c>
      <c r="H237" s="22" t="s">
        <v>287</v>
      </c>
      <c r="I237" s="43"/>
      <c r="J237" s="43"/>
      <c r="K237" s="22" t="b">
        <v>1</v>
      </c>
      <c r="L237" s="22" t="b">
        <v>1</v>
      </c>
      <c r="M237" s="22" t="b">
        <v>1</v>
      </c>
      <c r="N237" s="22" t="b">
        <v>1</v>
      </c>
      <c r="O237" s="22" t="b">
        <v>0</v>
      </c>
      <c r="P237" s="22" t="b">
        <v>1</v>
      </c>
      <c r="Q237" s="22" t="b">
        <v>0</v>
      </c>
      <c r="R237" s="43"/>
      <c r="S237" s="43" t="s">
        <v>3740</v>
      </c>
      <c r="T237" s="22" t="s">
        <v>3738</v>
      </c>
      <c r="U237" s="22" t="s">
        <v>3738</v>
      </c>
      <c r="V237" s="22" t="s">
        <v>3738</v>
      </c>
      <c r="W237" s="43"/>
      <c r="X237" s="43" t="s">
        <v>3738</v>
      </c>
      <c r="Y237" s="43"/>
      <c r="Z237" s="43"/>
      <c r="AA237" s="22">
        <v>4.23392974E8</v>
      </c>
      <c r="AB237" s="22">
        <v>2.168297398E9</v>
      </c>
      <c r="AC237" s="22">
        <v>4.700257494E9</v>
      </c>
      <c r="AD237" s="22"/>
      <c r="AE237" s="22" t="s">
        <v>3741</v>
      </c>
      <c r="AF237" s="43"/>
      <c r="AG237" s="43"/>
      <c r="AH237" s="43" t="s">
        <v>3739</v>
      </c>
      <c r="AI237" s="22" t="s">
        <v>3742</v>
      </c>
      <c r="AJ237" s="22" t="s">
        <v>3743</v>
      </c>
      <c r="AK237" s="22" t="s">
        <v>3744</v>
      </c>
      <c r="AL237" s="43"/>
      <c r="AM237" s="22" t="s">
        <v>3745</v>
      </c>
      <c r="AN237" s="43"/>
      <c r="AO237" s="43"/>
      <c r="AP237" s="46" t="s">
        <v>3746</v>
      </c>
      <c r="AQ237" s="46" t="s">
        <v>3747</v>
      </c>
      <c r="AR237" s="46" t="s">
        <v>3748</v>
      </c>
      <c r="AS237" s="43"/>
      <c r="AT237" s="46" t="s">
        <v>3749</v>
      </c>
      <c r="AU237" s="43"/>
      <c r="AV237" s="43"/>
      <c r="AW237" s="22" t="s">
        <v>2438</v>
      </c>
      <c r="AX237" s="22" t="s">
        <v>3743</v>
      </c>
      <c r="AY237" s="22" t="s">
        <v>326</v>
      </c>
      <c r="AZ237" s="43"/>
      <c r="BA237" s="22" t="s">
        <v>3750</v>
      </c>
      <c r="BB237" s="43"/>
      <c r="BC237" s="43"/>
      <c r="BD237" s="43" t="s">
        <v>301</v>
      </c>
      <c r="BE237" s="59" t="s">
        <v>2755</v>
      </c>
      <c r="BF237" s="22" t="s">
        <v>131</v>
      </c>
      <c r="BG237" s="22" t="s">
        <v>132</v>
      </c>
      <c r="BH237" s="22" t="s">
        <v>132</v>
      </c>
      <c r="BI237" s="22" t="s">
        <v>132</v>
      </c>
      <c r="BJ237" s="43"/>
      <c r="BK237" s="43"/>
      <c r="BL237" s="22">
        <v>4.610172181559E12</v>
      </c>
      <c r="BM237" s="22">
        <v>3.305900009E9</v>
      </c>
      <c r="BN237" s="22" t="s">
        <v>3751</v>
      </c>
      <c r="BO237" s="22"/>
      <c r="BP237" s="22" t="s">
        <v>496</v>
      </c>
      <c r="BQ237" s="43"/>
      <c r="BR237" s="43"/>
      <c r="BS237" s="22" t="s">
        <v>3752</v>
      </c>
      <c r="BT237" s="43"/>
      <c r="BU237" s="22" t="s">
        <v>3753</v>
      </c>
      <c r="BV237" s="43" t="s">
        <v>3754</v>
      </c>
      <c r="BW237" s="22" t="s">
        <v>2760</v>
      </c>
      <c r="BX237" s="22">
        <v>110.0</v>
      </c>
      <c r="BY237" s="22" t="s">
        <v>139</v>
      </c>
      <c r="BZ237" s="43"/>
      <c r="CA237" s="22" t="s">
        <v>3755</v>
      </c>
      <c r="CB237" s="22" t="s">
        <v>307</v>
      </c>
      <c r="CC237" s="45" t="s">
        <v>3756</v>
      </c>
      <c r="CD237" s="43"/>
      <c r="CE237" s="43"/>
      <c r="CF237" s="45"/>
      <c r="CG237" s="43"/>
      <c r="CH237" s="43"/>
      <c r="CI237" s="43"/>
      <c r="CJ237" s="43"/>
      <c r="CK237" s="43"/>
      <c r="CL237" s="43"/>
      <c r="CM237" s="49">
        <f>IFERROR(VLOOKUP(B237,CC!A:D,4,0)," ")</f>
        <v>149.62</v>
      </c>
      <c r="CN237" s="22" t="s">
        <v>1553</v>
      </c>
      <c r="CO237" s="22" t="s">
        <v>3757</v>
      </c>
      <c r="CP237" s="43"/>
      <c r="CQ237" s="22">
        <v>90.0</v>
      </c>
      <c r="CR237" s="43"/>
      <c r="CS237" s="22">
        <v>1.0</v>
      </c>
      <c r="CT237" s="22" t="s">
        <v>145</v>
      </c>
      <c r="CU237" s="43"/>
      <c r="CV237" s="43"/>
      <c r="CW237" s="43"/>
      <c r="CX237" s="43"/>
      <c r="CY237" s="43" t="b">
        <v>0</v>
      </c>
      <c r="CZ237" s="43" t="b">
        <v>0</v>
      </c>
      <c r="DA237" s="43" t="b">
        <v>0</v>
      </c>
      <c r="DB237" s="43" t="b">
        <v>0</v>
      </c>
      <c r="DC237" s="43"/>
      <c r="DD237" s="43"/>
      <c r="DE237" s="43"/>
      <c r="DF237" s="43"/>
      <c r="DG237" s="43"/>
      <c r="DH237" s="43"/>
      <c r="DI237" s="43"/>
      <c r="DJ237" s="22">
        <f>IFERROR(VLOOKUP($B237,'Лист4'!$D:$AI,27,0)," ")</f>
        <v>3</v>
      </c>
      <c r="DK237" s="22">
        <f>IFERROR(VLOOKUP($B237,'Лист4'!$D:$AI,28,0)," ")</f>
        <v>16</v>
      </c>
      <c r="DL237" s="22">
        <f>IFERROR(VLOOKUP($B237,'Лист4'!$D:$AI,29,0)," ")</f>
        <v>3</v>
      </c>
      <c r="DM237" s="22">
        <f t="shared" si="2"/>
        <v>144</v>
      </c>
      <c r="DN237" s="22">
        <f>IFERROR(VLOOKUP($B237,'Лист4'!$D:$AI,32,0)," ")</f>
        <v>0.122</v>
      </c>
      <c r="DO237" s="22"/>
      <c r="DP237" s="22"/>
      <c r="DQ237" s="22"/>
      <c r="DR237" s="22"/>
      <c r="DS237" s="22"/>
      <c r="DT237" s="22"/>
      <c r="DU237" s="22"/>
      <c r="DV237" s="22"/>
      <c r="DW237" s="22"/>
      <c r="DX237" s="22"/>
      <c r="DY237" s="22"/>
      <c r="DZ237" s="22"/>
      <c r="EA237" s="22"/>
      <c r="EB237" s="22"/>
      <c r="EC237" s="22"/>
      <c r="ED237" s="22"/>
      <c r="EE237" s="22"/>
      <c r="EF237" s="22"/>
      <c r="EG237" s="22"/>
      <c r="EH237" s="22"/>
      <c r="EI237" s="22"/>
      <c r="EJ237" s="22"/>
      <c r="EK237" s="22"/>
      <c r="EL237" s="22"/>
      <c r="EM237" s="22"/>
      <c r="EN237" s="22"/>
      <c r="EO237" s="22"/>
      <c r="EP237" s="22"/>
      <c r="EQ237" s="22"/>
      <c r="ER237" s="22"/>
      <c r="ES237" s="43"/>
      <c r="ET237" s="43"/>
      <c r="EU237" s="43"/>
      <c r="EV237" s="43"/>
      <c r="EW237" s="43"/>
      <c r="EX237" s="43"/>
      <c r="EY237" s="43"/>
      <c r="EZ237" s="43"/>
      <c r="FA237" s="43"/>
      <c r="FB237" s="43"/>
      <c r="FC237" s="43"/>
      <c r="FD237" s="43"/>
      <c r="FE237" s="43"/>
      <c r="FF237" s="43"/>
      <c r="FG237" s="43"/>
      <c r="FH237" s="43"/>
      <c r="FI237" s="43"/>
    </row>
    <row r="238" ht="18.0" customHeight="1">
      <c r="A238" s="22" t="s">
        <v>2659</v>
      </c>
      <c r="B238" s="22" t="s">
        <v>3758</v>
      </c>
      <c r="C238" s="22" t="s">
        <v>2741</v>
      </c>
      <c r="D238" s="22" t="s">
        <v>241</v>
      </c>
      <c r="E238" s="43"/>
      <c r="F238" s="22"/>
      <c r="G238" s="22" t="s">
        <v>2743</v>
      </c>
      <c r="H238" s="22"/>
      <c r="I238" s="43"/>
      <c r="J238" s="43"/>
      <c r="K238" s="22" t="b">
        <v>0</v>
      </c>
      <c r="L238" s="22" t="b">
        <v>0</v>
      </c>
      <c r="M238" s="22" t="b">
        <v>0</v>
      </c>
      <c r="N238" s="22" t="b">
        <v>0</v>
      </c>
      <c r="O238" s="22" t="b">
        <v>0</v>
      </c>
      <c r="P238" s="22" t="b">
        <v>0</v>
      </c>
      <c r="Q238" s="22" t="b">
        <v>0</v>
      </c>
      <c r="R238" s="43"/>
      <c r="S238" s="43"/>
      <c r="T238" s="22"/>
      <c r="U238" s="22"/>
      <c r="V238" s="22"/>
      <c r="W238" s="43"/>
      <c r="X238" s="43"/>
      <c r="Y238" s="43"/>
      <c r="Z238" s="43"/>
      <c r="AA238" s="22"/>
      <c r="AB238" s="22"/>
      <c r="AC238" s="22"/>
      <c r="AD238" s="22"/>
      <c r="AE238" s="22"/>
      <c r="AF238" s="43"/>
      <c r="AG238" s="43"/>
      <c r="AH238" s="43"/>
      <c r="AI238" s="22"/>
      <c r="AJ238" s="22"/>
      <c r="AK238" s="22"/>
      <c r="AL238" s="43"/>
      <c r="AM238" s="22"/>
      <c r="AN238" s="43"/>
      <c r="AO238" s="43"/>
      <c r="AP238" s="22"/>
      <c r="AQ238" s="22"/>
      <c r="AR238" s="22"/>
      <c r="AS238" s="43"/>
      <c r="AT238" s="22"/>
      <c r="AU238" s="43"/>
      <c r="AV238" s="43"/>
      <c r="AW238" s="22"/>
      <c r="AX238" s="22"/>
      <c r="AY238" s="22"/>
      <c r="AZ238" s="43"/>
      <c r="BA238" s="22"/>
      <c r="BB238" s="43"/>
      <c r="BC238" s="43"/>
      <c r="BD238" s="43"/>
      <c r="BE238" s="59" t="s">
        <v>2755</v>
      </c>
      <c r="BF238" s="22"/>
      <c r="BG238" s="22"/>
      <c r="BH238" s="22"/>
      <c r="BI238" s="22"/>
      <c r="BJ238" s="43"/>
      <c r="BK238" s="43"/>
      <c r="BL238" s="22"/>
      <c r="BM238" s="22"/>
      <c r="BN238" s="22"/>
      <c r="BO238" s="22"/>
      <c r="BP238" s="22"/>
      <c r="BQ238" s="43"/>
      <c r="BR238" s="43"/>
      <c r="BS238" s="22"/>
      <c r="BT238" s="43"/>
      <c r="BU238" s="22"/>
      <c r="BV238" s="43"/>
      <c r="BW238" s="22"/>
      <c r="BX238" s="22"/>
      <c r="BY238" s="22"/>
      <c r="BZ238" s="43"/>
      <c r="CA238" s="22"/>
      <c r="CB238" s="22"/>
      <c r="CC238" s="45"/>
      <c r="CD238" s="43"/>
      <c r="CE238" s="43"/>
      <c r="CF238" s="45"/>
      <c r="CG238" s="43"/>
      <c r="CH238" s="43"/>
      <c r="CI238" s="43"/>
      <c r="CJ238" s="43"/>
      <c r="CK238" s="43"/>
      <c r="CL238" s="43"/>
      <c r="CM238" s="49">
        <f>IFERROR(VLOOKUP(B238,CC!A:D,4,0)," ")</f>
        <v>120</v>
      </c>
      <c r="CN238" s="22"/>
      <c r="CO238" s="22"/>
      <c r="CP238" s="43"/>
      <c r="CQ238" s="22"/>
      <c r="CR238" s="43"/>
      <c r="CS238" s="22"/>
      <c r="CT238" s="22"/>
      <c r="CU238" s="43"/>
      <c r="CV238" s="43"/>
      <c r="CW238" s="43"/>
      <c r="CX238" s="43"/>
      <c r="CY238" s="43" t="b">
        <v>0</v>
      </c>
      <c r="CZ238" s="43" t="b">
        <v>0</v>
      </c>
      <c r="DA238" s="43" t="b">
        <v>0</v>
      </c>
      <c r="DB238" s="43" t="b">
        <v>0</v>
      </c>
      <c r="DC238" s="43"/>
      <c r="DD238" s="43"/>
      <c r="DE238" s="43"/>
      <c r="DF238" s="43"/>
      <c r="DG238" s="43"/>
      <c r="DH238" s="43"/>
      <c r="DI238" s="43"/>
      <c r="DJ238" s="22"/>
      <c r="DK238" s="22"/>
      <c r="DL238" s="22"/>
      <c r="DM238" s="22"/>
      <c r="DN238" s="22"/>
      <c r="DO238" s="22"/>
      <c r="DP238" s="22"/>
      <c r="DQ238" s="22"/>
      <c r="DR238" s="22"/>
      <c r="DS238" s="22"/>
      <c r="DT238" s="22"/>
      <c r="DU238" s="22"/>
      <c r="DV238" s="22"/>
      <c r="DW238" s="22"/>
      <c r="DX238" s="22"/>
      <c r="DY238" s="22"/>
      <c r="DZ238" s="22"/>
      <c r="EA238" s="22"/>
      <c r="EB238" s="22"/>
      <c r="EC238" s="22"/>
      <c r="ED238" s="22"/>
      <c r="EE238" s="22"/>
      <c r="EF238" s="22"/>
      <c r="EG238" s="22"/>
      <c r="EH238" s="22"/>
      <c r="EI238" s="22"/>
      <c r="EJ238" s="22"/>
      <c r="EK238" s="22"/>
      <c r="EL238" s="22"/>
      <c r="EM238" s="22"/>
      <c r="EN238" s="22"/>
      <c r="EO238" s="22"/>
      <c r="EP238" s="22"/>
      <c r="EQ238" s="22"/>
      <c r="ER238" s="22"/>
      <c r="ES238" s="43"/>
      <c r="ET238" s="43"/>
      <c r="EU238" s="43"/>
      <c r="EV238" s="43"/>
      <c r="EW238" s="43"/>
      <c r="EX238" s="43"/>
      <c r="EY238" s="43"/>
      <c r="EZ238" s="43"/>
      <c r="FA238" s="43"/>
      <c r="FB238" s="43"/>
      <c r="FC238" s="43"/>
      <c r="FD238" s="43"/>
      <c r="FE238" s="43"/>
      <c r="FF238" s="43"/>
      <c r="FG238" s="43"/>
      <c r="FH238" s="43"/>
      <c r="FI238" s="43"/>
    </row>
    <row r="239" ht="18.0" customHeight="1">
      <c r="A239" s="22" t="s">
        <v>2659</v>
      </c>
      <c r="B239" s="22" t="s">
        <v>3759</v>
      </c>
      <c r="C239" s="22" t="s">
        <v>2741</v>
      </c>
      <c r="D239" s="22" t="s">
        <v>241</v>
      </c>
      <c r="E239" s="43"/>
      <c r="F239" s="22"/>
      <c r="G239" s="22" t="s">
        <v>2743</v>
      </c>
      <c r="H239" s="22"/>
      <c r="I239" s="43"/>
      <c r="J239" s="43"/>
      <c r="K239" s="22" t="b">
        <v>0</v>
      </c>
      <c r="L239" s="22" t="b">
        <v>0</v>
      </c>
      <c r="M239" s="22" t="b">
        <v>0</v>
      </c>
      <c r="N239" s="22" t="b">
        <v>0</v>
      </c>
      <c r="O239" s="22" t="b">
        <v>0</v>
      </c>
      <c r="P239" s="22" t="b">
        <v>0</v>
      </c>
      <c r="Q239" s="22" t="b">
        <v>0</v>
      </c>
      <c r="R239" s="43"/>
      <c r="S239" s="43"/>
      <c r="T239" s="22"/>
      <c r="U239" s="22"/>
      <c r="V239" s="22"/>
      <c r="W239" s="43"/>
      <c r="X239" s="43"/>
      <c r="Y239" s="43"/>
      <c r="Z239" s="43"/>
      <c r="AA239" s="22"/>
      <c r="AB239" s="22"/>
      <c r="AC239" s="22"/>
      <c r="AD239" s="22"/>
      <c r="AE239" s="22"/>
      <c r="AF239" s="43"/>
      <c r="AG239" s="43"/>
      <c r="AH239" s="43"/>
      <c r="AI239" s="22"/>
      <c r="AJ239" s="22"/>
      <c r="AK239" s="22"/>
      <c r="AL239" s="43"/>
      <c r="AM239" s="22"/>
      <c r="AN239" s="43"/>
      <c r="AO239" s="43"/>
      <c r="AP239" s="22"/>
      <c r="AQ239" s="22"/>
      <c r="AR239" s="22"/>
      <c r="AS239" s="43"/>
      <c r="AT239" s="22"/>
      <c r="AU239" s="43"/>
      <c r="AV239" s="43"/>
      <c r="AW239" s="22"/>
      <c r="AX239" s="22"/>
      <c r="AY239" s="22"/>
      <c r="AZ239" s="43"/>
      <c r="BA239" s="22"/>
      <c r="BB239" s="43"/>
      <c r="BC239" s="43"/>
      <c r="BD239" s="43"/>
      <c r="BE239" s="59" t="s">
        <v>2755</v>
      </c>
      <c r="BF239" s="22"/>
      <c r="BG239" s="22"/>
      <c r="BH239" s="22"/>
      <c r="BI239" s="22"/>
      <c r="BJ239" s="43"/>
      <c r="BK239" s="43"/>
      <c r="BL239" s="22"/>
      <c r="BM239" s="22"/>
      <c r="BN239" s="22"/>
      <c r="BO239" s="22"/>
      <c r="BP239" s="22"/>
      <c r="BQ239" s="43"/>
      <c r="BR239" s="43"/>
      <c r="BS239" s="22"/>
      <c r="BT239" s="43"/>
      <c r="BU239" s="22"/>
      <c r="BV239" s="43"/>
      <c r="BW239" s="22"/>
      <c r="BX239" s="22"/>
      <c r="BY239" s="22"/>
      <c r="BZ239" s="43"/>
      <c r="CA239" s="22"/>
      <c r="CB239" s="22"/>
      <c r="CC239" s="45"/>
      <c r="CD239" s="43"/>
      <c r="CE239" s="43"/>
      <c r="CF239" s="45"/>
      <c r="CG239" s="43"/>
      <c r="CH239" s="43"/>
      <c r="CI239" s="43"/>
      <c r="CJ239" s="43"/>
      <c r="CK239" s="43"/>
      <c r="CL239" s="43"/>
      <c r="CM239" s="49">
        <f>IFERROR(VLOOKUP(B239,CC!A:D,4,0)," ")</f>
        <v>124</v>
      </c>
      <c r="CN239" s="22"/>
      <c r="CO239" s="22"/>
      <c r="CP239" s="43"/>
      <c r="CQ239" s="22"/>
      <c r="CR239" s="43"/>
      <c r="CS239" s="22"/>
      <c r="CT239" s="22"/>
      <c r="CU239" s="43"/>
      <c r="CV239" s="43"/>
      <c r="CW239" s="43"/>
      <c r="CX239" s="43"/>
      <c r="CY239" s="43" t="b">
        <v>0</v>
      </c>
      <c r="CZ239" s="43" t="b">
        <v>0</v>
      </c>
      <c r="DA239" s="43" t="b">
        <v>0</v>
      </c>
      <c r="DB239" s="43" t="b">
        <v>0</v>
      </c>
      <c r="DC239" s="43"/>
      <c r="DD239" s="43"/>
      <c r="DE239" s="43"/>
      <c r="DF239" s="43"/>
      <c r="DG239" s="43"/>
      <c r="DH239" s="43"/>
      <c r="DI239" s="43"/>
      <c r="DJ239" s="22"/>
      <c r="DK239" s="22"/>
      <c r="DL239" s="22"/>
      <c r="DM239" s="22"/>
      <c r="DN239" s="22"/>
      <c r="DO239" s="22"/>
      <c r="DP239" s="22"/>
      <c r="DQ239" s="22"/>
      <c r="DR239" s="22"/>
      <c r="DS239" s="22"/>
      <c r="DT239" s="22"/>
      <c r="DU239" s="22"/>
      <c r="DV239" s="22"/>
      <c r="DW239" s="22"/>
      <c r="DX239" s="22"/>
      <c r="DY239" s="22"/>
      <c r="DZ239" s="22"/>
      <c r="EA239" s="22"/>
      <c r="EB239" s="22"/>
      <c r="EC239" s="22"/>
      <c r="ED239" s="22"/>
      <c r="EE239" s="22"/>
      <c r="EF239" s="22"/>
      <c r="EG239" s="22"/>
      <c r="EH239" s="22"/>
      <c r="EI239" s="22"/>
      <c r="EJ239" s="22"/>
      <c r="EK239" s="22"/>
      <c r="EL239" s="22"/>
      <c r="EM239" s="22"/>
      <c r="EN239" s="22"/>
      <c r="EO239" s="22"/>
      <c r="EP239" s="22"/>
      <c r="EQ239" s="22"/>
      <c r="ER239" s="22"/>
      <c r="ES239" s="43"/>
      <c r="ET239" s="43"/>
      <c r="EU239" s="43"/>
      <c r="EV239" s="43"/>
      <c r="EW239" s="43"/>
      <c r="EX239" s="43"/>
      <c r="EY239" s="43"/>
      <c r="EZ239" s="43"/>
      <c r="FA239" s="43"/>
      <c r="FB239" s="43"/>
      <c r="FC239" s="43"/>
      <c r="FD239" s="43"/>
      <c r="FE239" s="43"/>
      <c r="FF239" s="43"/>
      <c r="FG239" s="43"/>
      <c r="FH239" s="43"/>
      <c r="FI239" s="43"/>
    </row>
    <row r="240" ht="18.0" customHeight="1">
      <c r="A240" s="22" t="s">
        <v>2659</v>
      </c>
      <c r="B240" s="22" t="s">
        <v>3760</v>
      </c>
      <c r="C240" s="22" t="s">
        <v>2741</v>
      </c>
      <c r="D240" s="22" t="s">
        <v>241</v>
      </c>
      <c r="E240" s="43"/>
      <c r="F240" s="22"/>
      <c r="G240" s="22" t="s">
        <v>2743</v>
      </c>
      <c r="H240" s="22"/>
      <c r="I240" s="43"/>
      <c r="J240" s="43"/>
      <c r="K240" s="22" t="b">
        <v>0</v>
      </c>
      <c r="L240" s="22" t="b">
        <v>0</v>
      </c>
      <c r="M240" s="22" t="b">
        <v>0</v>
      </c>
      <c r="N240" s="22" t="b">
        <v>0</v>
      </c>
      <c r="O240" s="22" t="b">
        <v>0</v>
      </c>
      <c r="P240" s="22" t="b">
        <v>0</v>
      </c>
      <c r="Q240" s="22" t="b">
        <v>0</v>
      </c>
      <c r="R240" s="43"/>
      <c r="S240" s="43"/>
      <c r="T240" s="22"/>
      <c r="U240" s="22"/>
      <c r="V240" s="22"/>
      <c r="W240" s="43"/>
      <c r="X240" s="43"/>
      <c r="Y240" s="43"/>
      <c r="Z240" s="43"/>
      <c r="AA240" s="22"/>
      <c r="AB240" s="22"/>
      <c r="AC240" s="22"/>
      <c r="AD240" s="22"/>
      <c r="AE240" s="22"/>
      <c r="AF240" s="43"/>
      <c r="AG240" s="43"/>
      <c r="AH240" s="43"/>
      <c r="AI240" s="22"/>
      <c r="AJ240" s="22"/>
      <c r="AK240" s="22"/>
      <c r="AL240" s="43"/>
      <c r="AM240" s="22"/>
      <c r="AN240" s="43"/>
      <c r="AO240" s="43"/>
      <c r="AP240" s="22"/>
      <c r="AQ240" s="22"/>
      <c r="AR240" s="22"/>
      <c r="AS240" s="43"/>
      <c r="AT240" s="22"/>
      <c r="AU240" s="43"/>
      <c r="AV240" s="43"/>
      <c r="AW240" s="22"/>
      <c r="AX240" s="22"/>
      <c r="AY240" s="22"/>
      <c r="AZ240" s="43"/>
      <c r="BA240" s="22"/>
      <c r="BB240" s="43"/>
      <c r="BC240" s="43"/>
      <c r="BD240" s="43"/>
      <c r="BE240" s="59" t="s">
        <v>2755</v>
      </c>
      <c r="BF240" s="22"/>
      <c r="BG240" s="22"/>
      <c r="BH240" s="22"/>
      <c r="BI240" s="22"/>
      <c r="BJ240" s="43"/>
      <c r="BK240" s="43"/>
      <c r="BL240" s="22"/>
      <c r="BM240" s="22"/>
      <c r="BN240" s="22"/>
      <c r="BO240" s="22"/>
      <c r="BP240" s="22"/>
      <c r="BQ240" s="43"/>
      <c r="BR240" s="43"/>
      <c r="BS240" s="22"/>
      <c r="BT240" s="43"/>
      <c r="BU240" s="22"/>
      <c r="BV240" s="43"/>
      <c r="BW240" s="22"/>
      <c r="BX240" s="22"/>
      <c r="BY240" s="22"/>
      <c r="BZ240" s="43"/>
      <c r="CA240" s="22"/>
      <c r="CB240" s="22"/>
      <c r="CC240" s="45"/>
      <c r="CD240" s="43"/>
      <c r="CE240" s="43"/>
      <c r="CF240" s="45"/>
      <c r="CG240" s="43"/>
      <c r="CH240" s="43"/>
      <c r="CI240" s="43"/>
      <c r="CJ240" s="43"/>
      <c r="CK240" s="43"/>
      <c r="CL240" s="43"/>
      <c r="CM240" s="49">
        <f>IFERROR(VLOOKUP(B240,CC!A:D,4,0)," ")</f>
        <v>132</v>
      </c>
      <c r="CN240" s="22"/>
      <c r="CO240" s="22"/>
      <c r="CP240" s="43"/>
      <c r="CQ240" s="22"/>
      <c r="CR240" s="43"/>
      <c r="CS240" s="22"/>
      <c r="CT240" s="22"/>
      <c r="CU240" s="43"/>
      <c r="CV240" s="43"/>
      <c r="CW240" s="43"/>
      <c r="CX240" s="43"/>
      <c r="CY240" s="43" t="b">
        <v>0</v>
      </c>
      <c r="CZ240" s="43" t="b">
        <v>0</v>
      </c>
      <c r="DA240" s="43" t="b">
        <v>0</v>
      </c>
      <c r="DB240" s="43" t="b">
        <v>0</v>
      </c>
      <c r="DC240" s="43"/>
      <c r="DD240" s="43"/>
      <c r="DE240" s="43"/>
      <c r="DF240" s="43"/>
      <c r="DG240" s="43"/>
      <c r="DH240" s="43"/>
      <c r="DI240" s="43"/>
      <c r="DJ240" s="22"/>
      <c r="DK240" s="22"/>
      <c r="DL240" s="22"/>
      <c r="DM240" s="22"/>
      <c r="DN240" s="22"/>
      <c r="DO240" s="22"/>
      <c r="DP240" s="22"/>
      <c r="DQ240" s="22"/>
      <c r="DR240" s="22"/>
      <c r="DS240" s="22"/>
      <c r="DT240" s="22"/>
      <c r="DU240" s="22"/>
      <c r="DV240" s="22"/>
      <c r="DW240" s="22"/>
      <c r="DX240" s="22"/>
      <c r="DY240" s="22"/>
      <c r="DZ240" s="22"/>
      <c r="EA240" s="22"/>
      <c r="EB240" s="22"/>
      <c r="EC240" s="22"/>
      <c r="ED240" s="22"/>
      <c r="EE240" s="22"/>
      <c r="EF240" s="22"/>
      <c r="EG240" s="22"/>
      <c r="EH240" s="22"/>
      <c r="EI240" s="22"/>
      <c r="EJ240" s="22"/>
      <c r="EK240" s="22"/>
      <c r="EL240" s="22"/>
      <c r="EM240" s="22"/>
      <c r="EN240" s="22"/>
      <c r="EO240" s="22"/>
      <c r="EP240" s="22"/>
      <c r="EQ240" s="22"/>
      <c r="ER240" s="22"/>
      <c r="ES240" s="43"/>
      <c r="ET240" s="43"/>
      <c r="EU240" s="43"/>
      <c r="EV240" s="43"/>
      <c r="EW240" s="43"/>
      <c r="EX240" s="43"/>
      <c r="EY240" s="43"/>
      <c r="EZ240" s="43"/>
      <c r="FA240" s="43"/>
      <c r="FB240" s="43"/>
      <c r="FC240" s="43"/>
      <c r="FD240" s="43"/>
      <c r="FE240" s="43"/>
      <c r="FF240" s="43"/>
      <c r="FG240" s="43"/>
      <c r="FH240" s="43"/>
      <c r="FI240" s="43"/>
    </row>
    <row r="241" ht="18.0" customHeight="1">
      <c r="A241" s="22" t="s">
        <v>2659</v>
      </c>
      <c r="B241" s="22" t="s">
        <v>3761</v>
      </c>
      <c r="C241" s="22" t="s">
        <v>2741</v>
      </c>
      <c r="D241" s="22" t="s">
        <v>241</v>
      </c>
      <c r="E241" s="43"/>
      <c r="F241" s="22"/>
      <c r="G241" s="22" t="s">
        <v>2743</v>
      </c>
      <c r="H241" s="22"/>
      <c r="I241" s="43"/>
      <c r="J241" s="43"/>
      <c r="K241" s="22" t="b">
        <v>0</v>
      </c>
      <c r="L241" s="22" t="b">
        <v>0</v>
      </c>
      <c r="M241" s="22" t="b">
        <v>0</v>
      </c>
      <c r="N241" s="22" t="b">
        <v>0</v>
      </c>
      <c r="O241" s="22" t="b">
        <v>0</v>
      </c>
      <c r="P241" s="22" t="b">
        <v>0</v>
      </c>
      <c r="Q241" s="22" t="b">
        <v>0</v>
      </c>
      <c r="R241" s="43"/>
      <c r="S241" s="43"/>
      <c r="T241" s="22"/>
      <c r="U241" s="22"/>
      <c r="V241" s="22"/>
      <c r="W241" s="43"/>
      <c r="X241" s="43"/>
      <c r="Y241" s="43"/>
      <c r="Z241" s="43"/>
      <c r="AA241" s="22"/>
      <c r="AB241" s="22"/>
      <c r="AC241" s="22"/>
      <c r="AD241" s="22"/>
      <c r="AE241" s="22"/>
      <c r="AF241" s="43"/>
      <c r="AG241" s="43"/>
      <c r="AH241" s="43"/>
      <c r="AI241" s="22"/>
      <c r="AJ241" s="22"/>
      <c r="AK241" s="22"/>
      <c r="AL241" s="43"/>
      <c r="AM241" s="22"/>
      <c r="AN241" s="43"/>
      <c r="AO241" s="43"/>
      <c r="AP241" s="22"/>
      <c r="AQ241" s="22"/>
      <c r="AR241" s="22"/>
      <c r="AS241" s="43"/>
      <c r="AT241" s="22"/>
      <c r="AU241" s="43"/>
      <c r="AV241" s="43"/>
      <c r="AW241" s="22"/>
      <c r="AX241" s="22"/>
      <c r="AY241" s="22"/>
      <c r="AZ241" s="43"/>
      <c r="BA241" s="22"/>
      <c r="BB241" s="43"/>
      <c r="BC241" s="43"/>
      <c r="BD241" s="43"/>
      <c r="BE241" s="59" t="s">
        <v>2755</v>
      </c>
      <c r="BF241" s="22"/>
      <c r="BG241" s="22"/>
      <c r="BH241" s="22"/>
      <c r="BI241" s="22"/>
      <c r="BJ241" s="43"/>
      <c r="BK241" s="43"/>
      <c r="BL241" s="22"/>
      <c r="BM241" s="22"/>
      <c r="BN241" s="22"/>
      <c r="BO241" s="22"/>
      <c r="BP241" s="22"/>
      <c r="BQ241" s="43"/>
      <c r="BR241" s="43"/>
      <c r="BS241" s="22"/>
      <c r="BT241" s="43"/>
      <c r="BU241" s="22"/>
      <c r="BV241" s="43"/>
      <c r="BW241" s="22"/>
      <c r="BX241" s="22"/>
      <c r="BY241" s="22"/>
      <c r="BZ241" s="43"/>
      <c r="CA241" s="22"/>
      <c r="CB241" s="22"/>
      <c r="CC241" s="45"/>
      <c r="CD241" s="43"/>
      <c r="CE241" s="43"/>
      <c r="CF241" s="45"/>
      <c r="CG241" s="43"/>
      <c r="CH241" s="43"/>
      <c r="CI241" s="43"/>
      <c r="CJ241" s="43"/>
      <c r="CK241" s="43"/>
      <c r="CL241" s="43"/>
      <c r="CM241" s="49">
        <f>IFERROR(VLOOKUP(B241,CC!A:D,4,0)," ")</f>
        <v>122</v>
      </c>
      <c r="CN241" s="22"/>
      <c r="CO241" s="22"/>
      <c r="CP241" s="43"/>
      <c r="CQ241" s="22"/>
      <c r="CR241" s="43"/>
      <c r="CS241" s="22"/>
      <c r="CT241" s="22"/>
      <c r="CU241" s="43"/>
      <c r="CV241" s="43"/>
      <c r="CW241" s="43"/>
      <c r="CX241" s="43"/>
      <c r="CY241" s="43" t="b">
        <v>0</v>
      </c>
      <c r="CZ241" s="43" t="b">
        <v>0</v>
      </c>
      <c r="DA241" s="43" t="b">
        <v>0</v>
      </c>
      <c r="DB241" s="43" t="b">
        <v>0</v>
      </c>
      <c r="DC241" s="43"/>
      <c r="DD241" s="43"/>
      <c r="DE241" s="43"/>
      <c r="DF241" s="43"/>
      <c r="DG241" s="43"/>
      <c r="DH241" s="43"/>
      <c r="DI241" s="43"/>
      <c r="DJ241" s="22"/>
      <c r="DK241" s="22"/>
      <c r="DL241" s="22"/>
      <c r="DM241" s="22"/>
      <c r="DN241" s="22"/>
      <c r="DO241" s="22"/>
      <c r="DP241" s="22"/>
      <c r="DQ241" s="22"/>
      <c r="DR241" s="22"/>
      <c r="DS241" s="22"/>
      <c r="DT241" s="22"/>
      <c r="DU241" s="22"/>
      <c r="DV241" s="22"/>
      <c r="DW241" s="22"/>
      <c r="DX241" s="22"/>
      <c r="DY241" s="22"/>
      <c r="DZ241" s="22"/>
      <c r="EA241" s="22"/>
      <c r="EB241" s="22"/>
      <c r="EC241" s="22"/>
      <c r="ED241" s="22"/>
      <c r="EE241" s="22"/>
      <c r="EF241" s="22"/>
      <c r="EG241" s="22"/>
      <c r="EH241" s="22"/>
      <c r="EI241" s="22"/>
      <c r="EJ241" s="22"/>
      <c r="EK241" s="22"/>
      <c r="EL241" s="22"/>
      <c r="EM241" s="22"/>
      <c r="EN241" s="22"/>
      <c r="EO241" s="22"/>
      <c r="EP241" s="22"/>
      <c r="EQ241" s="22"/>
      <c r="ER241" s="22"/>
      <c r="ES241" s="43"/>
      <c r="ET241" s="43"/>
      <c r="EU241" s="43"/>
      <c r="EV241" s="43"/>
      <c r="EW241" s="43"/>
      <c r="EX241" s="43"/>
      <c r="EY241" s="43"/>
      <c r="EZ241" s="43"/>
      <c r="FA241" s="43"/>
      <c r="FB241" s="43"/>
      <c r="FC241" s="43"/>
      <c r="FD241" s="43"/>
      <c r="FE241" s="43"/>
      <c r="FF241" s="43"/>
      <c r="FG241" s="43"/>
      <c r="FH241" s="43"/>
      <c r="FI241" s="43"/>
    </row>
    <row r="242" ht="18.0" customHeight="1">
      <c r="A242" s="22" t="s">
        <v>2659</v>
      </c>
      <c r="B242" s="43" t="s">
        <v>3762</v>
      </c>
      <c r="C242" s="22" t="s">
        <v>2661</v>
      </c>
      <c r="D242" s="22" t="s">
        <v>119</v>
      </c>
      <c r="E242" s="43"/>
      <c r="F242" s="22" t="s">
        <v>3763</v>
      </c>
      <c r="G242" s="22" t="s">
        <v>2663</v>
      </c>
      <c r="H242" s="22" t="s">
        <v>2684</v>
      </c>
      <c r="I242" s="43"/>
      <c r="J242" s="43"/>
      <c r="K242" s="22" t="b">
        <v>1</v>
      </c>
      <c r="L242" s="22" t="b">
        <v>1</v>
      </c>
      <c r="M242" s="22" t="b">
        <v>1</v>
      </c>
      <c r="N242" s="22" t="b">
        <v>1</v>
      </c>
      <c r="O242" s="22" t="b">
        <v>0</v>
      </c>
      <c r="P242" s="22" t="b">
        <v>0</v>
      </c>
      <c r="Q242" s="22" t="b">
        <v>0</v>
      </c>
      <c r="R242" s="43"/>
      <c r="S242" s="43" t="s">
        <v>3764</v>
      </c>
      <c r="T242" s="22" t="s">
        <v>3762</v>
      </c>
      <c r="U242" s="22" t="s">
        <v>3762</v>
      </c>
      <c r="V242" s="22" t="s">
        <v>3762</v>
      </c>
      <c r="W242" s="43"/>
      <c r="X242" s="43"/>
      <c r="Y242" s="43"/>
      <c r="Z242" s="43"/>
      <c r="AA242" s="22">
        <v>1.03709897E8</v>
      </c>
      <c r="AB242" s="22">
        <v>7.32602771E8</v>
      </c>
      <c r="AC242" s="22">
        <v>1.02204313641E11</v>
      </c>
      <c r="AD242" s="22"/>
      <c r="AE242" s="22"/>
      <c r="AF242" s="43"/>
      <c r="AG242" s="43"/>
      <c r="AH242" s="43" t="s">
        <v>3763</v>
      </c>
      <c r="AI242" s="22" t="s">
        <v>3765</v>
      </c>
      <c r="AJ242" s="22" t="s">
        <v>3766</v>
      </c>
      <c r="AK242" s="22" t="s">
        <v>3767</v>
      </c>
      <c r="AL242" s="43"/>
      <c r="AM242" s="43"/>
      <c r="AN242" s="43"/>
      <c r="AO242" s="43"/>
      <c r="AP242" s="46" t="s">
        <v>3768</v>
      </c>
      <c r="AQ242" s="46" t="s">
        <v>3769</v>
      </c>
      <c r="AR242" s="46" t="s">
        <v>3770</v>
      </c>
      <c r="AS242" s="43"/>
      <c r="AT242" s="43"/>
      <c r="AU242" s="43"/>
      <c r="AV242" s="43"/>
      <c r="AW242" s="22" t="s">
        <v>649</v>
      </c>
      <c r="AX242" s="22" t="s">
        <v>3766</v>
      </c>
      <c r="AY242" s="22" t="s">
        <v>2692</v>
      </c>
      <c r="AZ242" s="43"/>
      <c r="BA242" s="43"/>
      <c r="BB242" s="43"/>
      <c r="BC242" s="43"/>
      <c r="BD242" s="43" t="s">
        <v>1449</v>
      </c>
      <c r="BE242" s="59" t="s">
        <v>2674</v>
      </c>
      <c r="BF242" s="22" t="s">
        <v>131</v>
      </c>
      <c r="BG242" s="22" t="s">
        <v>132</v>
      </c>
      <c r="BH242" s="22" t="s">
        <v>132</v>
      </c>
      <c r="BI242" s="22" t="s">
        <v>132</v>
      </c>
      <c r="BJ242" s="43"/>
      <c r="BK242" s="43"/>
      <c r="BL242" s="22">
        <v>4.63114467307E12</v>
      </c>
      <c r="BM242" s="22">
        <v>2.106909809E9</v>
      </c>
      <c r="BN242" s="22" t="s">
        <v>3771</v>
      </c>
      <c r="BO242" s="22"/>
      <c r="BP242" s="22" t="s">
        <v>145</v>
      </c>
      <c r="BQ242" s="43"/>
      <c r="BR242" s="43"/>
      <c r="BS242" s="22" t="s">
        <v>3772</v>
      </c>
      <c r="BT242" s="43"/>
      <c r="BU242" s="22" t="s">
        <v>3773</v>
      </c>
      <c r="BV242" s="22" t="s">
        <v>3774</v>
      </c>
      <c r="BW242" s="22" t="s">
        <v>3775</v>
      </c>
      <c r="BX242" s="22">
        <v>10.0</v>
      </c>
      <c r="BY242" s="22" t="s">
        <v>492</v>
      </c>
      <c r="BZ242" s="22"/>
      <c r="CA242" s="22"/>
      <c r="CB242" s="22"/>
      <c r="CC242" s="45" t="s">
        <v>3776</v>
      </c>
      <c r="CD242" s="43"/>
      <c r="CE242" s="43"/>
      <c r="CF242" s="45"/>
      <c r="CG242" s="43"/>
      <c r="CH242" s="43"/>
      <c r="CI242" s="43"/>
      <c r="CJ242" s="43"/>
      <c r="CK242" s="43"/>
      <c r="CL242" s="43"/>
      <c r="CM242" s="49">
        <f>IFERROR(VLOOKUP(B242,CC!A:D,4,0)," ")</f>
        <v>94.2</v>
      </c>
      <c r="CN242" s="22" t="s">
        <v>3330</v>
      </c>
      <c r="CO242" s="22"/>
      <c r="CP242" s="43"/>
      <c r="CQ242" s="22">
        <v>45.0</v>
      </c>
      <c r="CR242" s="43"/>
      <c r="CS242" s="22">
        <v>1.0</v>
      </c>
      <c r="CT242" s="22" t="s">
        <v>145</v>
      </c>
      <c r="CU242" s="43"/>
      <c r="CV242" s="43"/>
      <c r="CW242" s="43"/>
      <c r="CX242" s="43"/>
      <c r="CY242" s="43" t="b">
        <v>0</v>
      </c>
      <c r="CZ242" s="43" t="b">
        <v>0</v>
      </c>
      <c r="DA242" s="43" t="b">
        <v>0</v>
      </c>
      <c r="DB242" s="43" t="b">
        <v>0</v>
      </c>
      <c r="DC242" s="43"/>
      <c r="DD242" s="43"/>
      <c r="DE242" s="43"/>
      <c r="DF242" s="43"/>
      <c r="DG242" s="43"/>
      <c r="DH242" s="43"/>
      <c r="DI242" s="43"/>
      <c r="DJ242" s="22">
        <f>IFERROR(VLOOKUP($B242,'Лист4'!$D:$AI,27,0)," ")</f>
        <v>6</v>
      </c>
      <c r="DK242" s="22">
        <f>IFERROR(VLOOKUP($B242,'Лист4'!$D:$AI,28,0)," ")</f>
        <v>3</v>
      </c>
      <c r="DL242" s="22">
        <f>IFERROR(VLOOKUP($B242,'Лист4'!$D:$AI,29,0)," ")</f>
        <v>6</v>
      </c>
      <c r="DM242" s="22">
        <f t="shared" ref="DM242:DM399" si="3">IFERROR(DJ242*DK242*DL242," ")</f>
        <v>108</v>
      </c>
      <c r="DN242" s="22">
        <f>IFERROR(VLOOKUP($B242,'Лист4'!$D:$AI,32,0)," ")</f>
        <v>0.015</v>
      </c>
      <c r="DO242" s="22"/>
      <c r="DP242" s="22"/>
      <c r="DQ242" s="22"/>
      <c r="DR242" s="22"/>
      <c r="DS242" s="22"/>
      <c r="DT242" s="22"/>
      <c r="DU242" s="22"/>
      <c r="DV242" s="22"/>
      <c r="DW242" s="22"/>
      <c r="DX242" s="22"/>
      <c r="DY242" s="22"/>
      <c r="DZ242" s="22"/>
      <c r="EA242" s="22"/>
      <c r="EB242" s="22"/>
      <c r="EC242" s="22"/>
      <c r="ED242" s="22"/>
      <c r="EE242" s="22"/>
      <c r="EF242" s="22"/>
      <c r="EG242" s="22"/>
      <c r="EH242" s="22"/>
      <c r="EI242" s="22"/>
      <c r="EJ242" s="22"/>
      <c r="EK242" s="22"/>
      <c r="EL242" s="22"/>
      <c r="EM242" s="22"/>
      <c r="EN242" s="22"/>
      <c r="EO242" s="22"/>
      <c r="EP242" s="22"/>
      <c r="EQ242" s="22"/>
      <c r="ER242" s="22"/>
      <c r="ES242" s="43"/>
      <c r="ET242" s="43"/>
      <c r="EU242" s="43"/>
      <c r="EV242" s="43"/>
      <c r="EW242" s="43"/>
      <c r="EX242" s="43"/>
      <c r="EY242" s="43"/>
      <c r="EZ242" s="43"/>
      <c r="FA242" s="43"/>
      <c r="FB242" s="43"/>
      <c r="FC242" s="43"/>
      <c r="FD242" s="43"/>
      <c r="FE242" s="43"/>
      <c r="FF242" s="43"/>
      <c r="FG242" s="43"/>
      <c r="FH242" s="43"/>
      <c r="FI242" s="43"/>
    </row>
    <row r="243" ht="18.0" customHeight="1">
      <c r="A243" s="22" t="s">
        <v>2659</v>
      </c>
      <c r="B243" s="43" t="s">
        <v>3777</v>
      </c>
      <c r="C243" s="22" t="s">
        <v>2661</v>
      </c>
      <c r="D243" s="22" t="s">
        <v>119</v>
      </c>
      <c r="E243" s="43"/>
      <c r="F243" s="22" t="s">
        <v>3778</v>
      </c>
      <c r="G243" s="22" t="s">
        <v>2663</v>
      </c>
      <c r="H243" s="22" t="s">
        <v>641</v>
      </c>
      <c r="I243" s="43"/>
      <c r="J243" s="43"/>
      <c r="K243" s="22" t="b">
        <v>1</v>
      </c>
      <c r="L243" s="22" t="b">
        <v>1</v>
      </c>
      <c r="M243" s="22" t="b">
        <v>1</v>
      </c>
      <c r="N243" s="22" t="b">
        <v>1</v>
      </c>
      <c r="O243" s="22" t="b">
        <v>0</v>
      </c>
      <c r="P243" s="22" t="b">
        <v>0</v>
      </c>
      <c r="Q243" s="22" t="b">
        <v>0</v>
      </c>
      <c r="R243" s="43"/>
      <c r="S243" s="43" t="s">
        <v>3779</v>
      </c>
      <c r="T243" s="22" t="s">
        <v>3777</v>
      </c>
      <c r="U243" s="22" t="s">
        <v>3777</v>
      </c>
      <c r="V243" s="22" t="s">
        <v>3777</v>
      </c>
      <c r="W243" s="43"/>
      <c r="X243" s="43"/>
      <c r="Y243" s="43"/>
      <c r="Z243" s="43"/>
      <c r="AA243" s="22">
        <v>2.23437682E8</v>
      </c>
      <c r="AB243" s="22">
        <v>1.542004482E9</v>
      </c>
      <c r="AC243" s="22">
        <v>1.03515427201E11</v>
      </c>
      <c r="AD243" s="22"/>
      <c r="AE243" s="22"/>
      <c r="AF243" s="43"/>
      <c r="AG243" s="43"/>
      <c r="AH243" s="43" t="s">
        <v>3778</v>
      </c>
      <c r="AI243" s="22" t="s">
        <v>3780</v>
      </c>
      <c r="AJ243" s="22" t="s">
        <v>3781</v>
      </c>
      <c r="AK243" s="22" t="s">
        <v>3782</v>
      </c>
      <c r="AL243" s="43"/>
      <c r="AM243" s="43"/>
      <c r="AN243" s="43"/>
      <c r="AO243" s="43"/>
      <c r="AP243" s="46" t="s">
        <v>3783</v>
      </c>
      <c r="AQ243" s="46" t="s">
        <v>3784</v>
      </c>
      <c r="AR243" s="46" t="s">
        <v>3785</v>
      </c>
      <c r="AS243" s="43"/>
      <c r="AT243" s="43"/>
      <c r="AU243" s="43"/>
      <c r="AV243" s="43"/>
      <c r="AW243" s="22" t="s">
        <v>649</v>
      </c>
      <c r="AX243" s="22" t="s">
        <v>3781</v>
      </c>
      <c r="AY243" s="22" t="s">
        <v>942</v>
      </c>
      <c r="AZ243" s="43"/>
      <c r="BA243" s="43"/>
      <c r="BB243" s="43"/>
      <c r="BC243" s="43"/>
      <c r="BD243" s="43" t="s">
        <v>1449</v>
      </c>
      <c r="BE243" s="59" t="s">
        <v>2755</v>
      </c>
      <c r="BF243" s="22" t="s">
        <v>131</v>
      </c>
      <c r="BG243" s="22" t="s">
        <v>132</v>
      </c>
      <c r="BH243" s="22" t="s">
        <v>132</v>
      </c>
      <c r="BI243" s="22" t="s">
        <v>132</v>
      </c>
      <c r="BJ243" s="43"/>
      <c r="BK243" s="43"/>
      <c r="BL243" s="22">
        <v>4.610030632605E12</v>
      </c>
      <c r="BM243" s="22">
        <v>2.106909809E9</v>
      </c>
      <c r="BN243" s="22" t="s">
        <v>3786</v>
      </c>
      <c r="BO243" s="22"/>
      <c r="BP243" s="22" t="s">
        <v>145</v>
      </c>
      <c r="BQ243" s="43"/>
      <c r="BR243" s="43"/>
      <c r="BS243" s="22" t="s">
        <v>3787</v>
      </c>
      <c r="BT243" s="43"/>
      <c r="BU243" s="22" t="s">
        <v>3788</v>
      </c>
      <c r="BV243" s="22" t="s">
        <v>2887</v>
      </c>
      <c r="BW243" s="22" t="s">
        <v>2905</v>
      </c>
      <c r="BX243" s="22">
        <v>20.0</v>
      </c>
      <c r="BY243" s="22" t="s">
        <v>492</v>
      </c>
      <c r="BZ243" s="22"/>
      <c r="CA243" s="22"/>
      <c r="CB243" s="22"/>
      <c r="CC243" s="45" t="s">
        <v>3789</v>
      </c>
      <c r="CD243" s="43"/>
      <c r="CE243" s="43"/>
      <c r="CF243" s="45"/>
      <c r="CG243" s="43"/>
      <c r="CH243" s="43"/>
      <c r="CI243" s="43"/>
      <c r="CJ243" s="43"/>
      <c r="CK243" s="43"/>
      <c r="CL243" s="43"/>
      <c r="CM243" s="49">
        <f>IFERROR(VLOOKUP(B243,CC!A:D,4,0)," ")</f>
        <v>121.98</v>
      </c>
      <c r="CN243" s="22" t="s">
        <v>2780</v>
      </c>
      <c r="CO243" s="22"/>
      <c r="CP243" s="43"/>
      <c r="CQ243" s="22">
        <v>45.0</v>
      </c>
      <c r="CR243" s="43"/>
      <c r="CS243" s="43"/>
      <c r="CT243" s="22" t="s">
        <v>145</v>
      </c>
      <c r="CU243" s="43"/>
      <c r="CV243" s="43"/>
      <c r="CW243" s="43"/>
      <c r="CX243" s="43"/>
      <c r="CY243" s="43" t="b">
        <v>0</v>
      </c>
      <c r="CZ243" s="43" t="b">
        <v>0</v>
      </c>
      <c r="DA243" s="43" t="b">
        <v>0</v>
      </c>
      <c r="DB243" s="43" t="b">
        <v>0</v>
      </c>
      <c r="DC243" s="43"/>
      <c r="DD243" s="43"/>
      <c r="DE243" s="43"/>
      <c r="DF243" s="43"/>
      <c r="DG243" s="43"/>
      <c r="DH243" s="43"/>
      <c r="DI243" s="43"/>
      <c r="DJ243" s="22">
        <f>IFERROR(VLOOKUP($B243,'Лист4'!$D:$AI,27,0)," ")</f>
        <v>7</v>
      </c>
      <c r="DK243" s="22">
        <f>IFERROR(VLOOKUP($B243,'Лист4'!$D:$AI,28,0)," ")</f>
        <v>3</v>
      </c>
      <c r="DL243" s="22">
        <f>IFERROR(VLOOKUP($B243,'Лист4'!$D:$AI,29,0)," ")</f>
        <v>7</v>
      </c>
      <c r="DM243" s="22">
        <f t="shared" si="3"/>
        <v>147</v>
      </c>
      <c r="DN243" s="22">
        <f>IFERROR(VLOOKUP($B243,'Лист4'!$D:$AI,32,0)," ")</f>
        <v>0.022</v>
      </c>
      <c r="DO243" s="22"/>
      <c r="DP243" s="22"/>
      <c r="DQ243" s="22"/>
      <c r="DR243" s="22"/>
      <c r="DS243" s="22"/>
      <c r="DT243" s="22"/>
      <c r="DU243" s="22"/>
      <c r="DV243" s="22"/>
      <c r="DW243" s="22"/>
      <c r="DX243" s="22"/>
      <c r="DY243" s="22"/>
      <c r="DZ243" s="22"/>
      <c r="EA243" s="22"/>
      <c r="EB243" s="22"/>
      <c r="EC243" s="22"/>
      <c r="ED243" s="22"/>
      <c r="EE243" s="22"/>
      <c r="EF243" s="22"/>
      <c r="EG243" s="22"/>
      <c r="EH243" s="22"/>
      <c r="EI243" s="22"/>
      <c r="EJ243" s="22"/>
      <c r="EK243" s="22"/>
      <c r="EL243" s="22"/>
      <c r="EM243" s="22"/>
      <c r="EN243" s="22"/>
      <c r="EO243" s="22"/>
      <c r="EP243" s="22"/>
      <c r="EQ243" s="22"/>
      <c r="ER243" s="22"/>
      <c r="ES243" s="43"/>
      <c r="ET243" s="43"/>
      <c r="EU243" s="43"/>
      <c r="EV243" s="43"/>
      <c r="EW243" s="43"/>
      <c r="EX243" s="43"/>
      <c r="EY243" s="43"/>
      <c r="EZ243" s="43"/>
      <c r="FA243" s="43"/>
      <c r="FB243" s="43"/>
      <c r="FC243" s="43"/>
      <c r="FD243" s="43"/>
      <c r="FE243" s="43"/>
      <c r="FF243" s="43"/>
      <c r="FG243" s="43"/>
      <c r="FH243" s="43"/>
      <c r="FI243" s="43"/>
    </row>
    <row r="244" ht="18.0" customHeight="1">
      <c r="A244" s="22" t="s">
        <v>2659</v>
      </c>
      <c r="B244" s="43" t="s">
        <v>3790</v>
      </c>
      <c r="C244" s="22" t="s">
        <v>2661</v>
      </c>
      <c r="D244" s="22" t="s">
        <v>119</v>
      </c>
      <c r="E244" s="43"/>
      <c r="F244" s="22" t="s">
        <v>3791</v>
      </c>
      <c r="G244" s="22" t="s">
        <v>2663</v>
      </c>
      <c r="H244" s="22" t="s">
        <v>2664</v>
      </c>
      <c r="I244" s="43"/>
      <c r="J244" s="43"/>
      <c r="K244" s="22" t="b">
        <v>1</v>
      </c>
      <c r="L244" s="22" t="b">
        <v>1</v>
      </c>
      <c r="M244" s="22" t="b">
        <v>1</v>
      </c>
      <c r="N244" s="22" t="b">
        <v>1</v>
      </c>
      <c r="O244" s="22" t="b">
        <v>0</v>
      </c>
      <c r="P244" s="22" t="b">
        <v>0</v>
      </c>
      <c r="Q244" s="22" t="b">
        <v>0</v>
      </c>
      <c r="R244" s="43"/>
      <c r="S244" s="43" t="s">
        <v>3792</v>
      </c>
      <c r="T244" s="22" t="s">
        <v>3790</v>
      </c>
      <c r="U244" s="22" t="s">
        <v>3790</v>
      </c>
      <c r="V244" s="22" t="s">
        <v>3790</v>
      </c>
      <c r="W244" s="43"/>
      <c r="X244" s="43"/>
      <c r="Y244" s="43"/>
      <c r="Z244" s="43"/>
      <c r="AA244" s="22">
        <v>1.72161336E8</v>
      </c>
      <c r="AB244" s="22">
        <v>1.12926195E9</v>
      </c>
      <c r="AC244" s="22">
        <v>1.03759076274E11</v>
      </c>
      <c r="AD244" s="22"/>
      <c r="AE244" s="22"/>
      <c r="AF244" s="43"/>
      <c r="AG244" s="43"/>
      <c r="AH244" s="43" t="s">
        <v>3791</v>
      </c>
      <c r="AI244" s="22" t="s">
        <v>3600</v>
      </c>
      <c r="AJ244" s="22" t="s">
        <v>3793</v>
      </c>
      <c r="AK244" s="22" t="s">
        <v>3794</v>
      </c>
      <c r="AL244" s="43"/>
      <c r="AM244" s="43"/>
      <c r="AN244" s="43"/>
      <c r="AO244" s="43"/>
      <c r="AP244" s="46" t="s">
        <v>3795</v>
      </c>
      <c r="AQ244" s="46" t="s">
        <v>3796</v>
      </c>
      <c r="AR244" s="46" t="s">
        <v>3797</v>
      </c>
      <c r="AS244" s="43"/>
      <c r="AT244" s="43"/>
      <c r="AU244" s="43"/>
      <c r="AV244" s="43"/>
      <c r="AW244" s="22" t="s">
        <v>3445</v>
      </c>
      <c r="AX244" s="22" t="s">
        <v>3793</v>
      </c>
      <c r="AY244" s="22" t="s">
        <v>2672</v>
      </c>
      <c r="AZ244" s="43"/>
      <c r="BA244" s="43"/>
      <c r="BB244" s="43"/>
      <c r="BC244" s="43"/>
      <c r="BD244" s="43" t="s">
        <v>301</v>
      </c>
      <c r="BE244" s="59" t="s">
        <v>2674</v>
      </c>
      <c r="BF244" s="22" t="s">
        <v>131</v>
      </c>
      <c r="BG244" s="22" t="s">
        <v>132</v>
      </c>
      <c r="BH244" s="22" t="s">
        <v>132</v>
      </c>
      <c r="BI244" s="22" t="s">
        <v>132</v>
      </c>
      <c r="BJ244" s="43"/>
      <c r="BK244" s="43"/>
      <c r="BL244" s="22">
        <v>2.038301408919E12</v>
      </c>
      <c r="BM244" s="22">
        <v>3.30499E9</v>
      </c>
      <c r="BN244" s="22" t="s">
        <v>3607</v>
      </c>
      <c r="BO244" s="22"/>
      <c r="BP244" s="22" t="s">
        <v>145</v>
      </c>
      <c r="BQ244" s="43"/>
      <c r="BR244" s="43"/>
      <c r="BS244" s="22" t="s">
        <v>3608</v>
      </c>
      <c r="BT244" s="22"/>
      <c r="BU244" s="22" t="s">
        <v>3609</v>
      </c>
      <c r="BV244" s="22" t="s">
        <v>2777</v>
      </c>
      <c r="BW244" s="22" t="s">
        <v>2778</v>
      </c>
      <c r="BX244" s="22"/>
      <c r="BY244" s="43"/>
      <c r="BZ244" s="43"/>
      <c r="CA244" s="22"/>
      <c r="CB244" s="22"/>
      <c r="CC244" s="45"/>
      <c r="CD244" s="43"/>
      <c r="CE244" s="43"/>
      <c r="CF244" s="45"/>
      <c r="CG244" s="43"/>
      <c r="CH244" s="43"/>
      <c r="CI244" s="43"/>
      <c r="CJ244" s="43"/>
      <c r="CK244" s="43"/>
      <c r="CL244" s="43"/>
      <c r="CM244" s="49">
        <f>IFERROR(VLOOKUP(B244,CC!A:D,4,0)," ")</f>
        <v>246.1</v>
      </c>
      <c r="CN244" s="22" t="s">
        <v>2681</v>
      </c>
      <c r="CO244" s="22"/>
      <c r="CP244" s="43"/>
      <c r="CQ244" s="22">
        <v>45.0</v>
      </c>
      <c r="CR244" s="43"/>
      <c r="CS244" s="22">
        <v>1.0</v>
      </c>
      <c r="CT244" s="22" t="s">
        <v>145</v>
      </c>
      <c r="CU244" s="43"/>
      <c r="CV244" s="43"/>
      <c r="CW244" s="43"/>
      <c r="CX244" s="43"/>
      <c r="CY244" s="43" t="b">
        <v>0</v>
      </c>
      <c r="CZ244" s="43" t="b">
        <v>0</v>
      </c>
      <c r="DA244" s="43" t="b">
        <v>0</v>
      </c>
      <c r="DB244" s="43" t="b">
        <v>0</v>
      </c>
      <c r="DC244" s="43"/>
      <c r="DD244" s="43"/>
      <c r="DE244" s="43"/>
      <c r="DF244" s="43"/>
      <c r="DG244" s="43"/>
      <c r="DH244" s="43"/>
      <c r="DI244" s="43"/>
      <c r="DJ244" s="22">
        <f>IFERROR(VLOOKUP($B244,'Лист4'!$D:$AI,27,0)," ")</f>
        <v>17</v>
      </c>
      <c r="DK244" s="22">
        <f>IFERROR(VLOOKUP($B244,'Лист4'!$D:$AI,28,0)," ")</f>
        <v>7</v>
      </c>
      <c r="DL244" s="22">
        <f>IFERROR(VLOOKUP($B244,'Лист4'!$D:$AI,29,0)," ")</f>
        <v>17</v>
      </c>
      <c r="DM244" s="22">
        <f t="shared" si="3"/>
        <v>2023</v>
      </c>
      <c r="DN244" s="22">
        <f>IFERROR(VLOOKUP($B244,'Лист4'!$D:$AI,32,0)," ")</f>
        <v>0.11</v>
      </c>
      <c r="DO244" s="22"/>
      <c r="DP244" s="22"/>
      <c r="DQ244" s="22"/>
      <c r="DR244" s="22"/>
      <c r="DS244" s="22"/>
      <c r="DT244" s="22"/>
      <c r="DU244" s="22"/>
      <c r="DV244" s="22"/>
      <c r="DW244" s="22"/>
      <c r="DX244" s="22"/>
      <c r="DY244" s="22"/>
      <c r="DZ244" s="22"/>
      <c r="EA244" s="22"/>
      <c r="EB244" s="22"/>
      <c r="EC244" s="22"/>
      <c r="ED244" s="22"/>
      <c r="EE244" s="22"/>
      <c r="EF244" s="22"/>
      <c r="EG244" s="22"/>
      <c r="EH244" s="22"/>
      <c r="EI244" s="22"/>
      <c r="EJ244" s="22"/>
      <c r="EK244" s="22"/>
      <c r="EL244" s="22"/>
      <c r="EM244" s="22"/>
      <c r="EN244" s="22"/>
      <c r="EO244" s="22"/>
      <c r="EP244" s="22"/>
      <c r="EQ244" s="22"/>
      <c r="ER244" s="22"/>
      <c r="ES244" s="43"/>
      <c r="ET244" s="43"/>
      <c r="EU244" s="43"/>
      <c r="EV244" s="43"/>
      <c r="EW244" s="43"/>
      <c r="EX244" s="43"/>
      <c r="EY244" s="43"/>
      <c r="EZ244" s="43"/>
      <c r="FA244" s="43"/>
      <c r="FB244" s="43"/>
      <c r="FC244" s="43"/>
      <c r="FD244" s="43"/>
      <c r="FE244" s="43"/>
      <c r="FF244" s="43"/>
      <c r="FG244" s="43"/>
      <c r="FH244" s="43"/>
      <c r="FI244" s="43"/>
    </row>
    <row r="245" ht="18.0" customHeight="1">
      <c r="A245" s="22" t="s">
        <v>2659</v>
      </c>
      <c r="B245" s="43" t="s">
        <v>3798</v>
      </c>
      <c r="C245" s="22" t="s">
        <v>2661</v>
      </c>
      <c r="D245" s="22" t="s">
        <v>119</v>
      </c>
      <c r="E245" s="43"/>
      <c r="F245" s="22" t="s">
        <v>3451</v>
      </c>
      <c r="G245" s="22" t="s">
        <v>2663</v>
      </c>
      <c r="H245" s="22" t="s">
        <v>1027</v>
      </c>
      <c r="I245" s="43"/>
      <c r="J245" s="43"/>
      <c r="K245" s="22" t="b">
        <v>1</v>
      </c>
      <c r="L245" s="22" t="b">
        <v>1</v>
      </c>
      <c r="M245" s="22" t="b">
        <v>1</v>
      </c>
      <c r="N245" s="22" t="b">
        <v>1</v>
      </c>
      <c r="O245" s="22" t="b">
        <v>0</v>
      </c>
      <c r="P245" s="22" t="b">
        <v>0</v>
      </c>
      <c r="Q245" s="22" t="b">
        <v>0</v>
      </c>
      <c r="R245" s="43"/>
      <c r="S245" s="43" t="s">
        <v>3799</v>
      </c>
      <c r="T245" s="22" t="s">
        <v>3798</v>
      </c>
      <c r="U245" s="22" t="s">
        <v>3798</v>
      </c>
      <c r="V245" s="22" t="s">
        <v>3798</v>
      </c>
      <c r="W245" s="43"/>
      <c r="X245" s="43"/>
      <c r="Y245" s="43"/>
      <c r="Z245" s="43"/>
      <c r="AA245" s="22">
        <v>1.76858863E8</v>
      </c>
      <c r="AB245" s="22">
        <v>1.191194423E9</v>
      </c>
      <c r="AC245" s="22">
        <v>1.03515429718E11</v>
      </c>
      <c r="AD245" s="22"/>
      <c r="AE245" s="22"/>
      <c r="AF245" s="43"/>
      <c r="AG245" s="43"/>
      <c r="AH245" s="43" t="s">
        <v>3451</v>
      </c>
      <c r="AI245" s="22" t="s">
        <v>3453</v>
      </c>
      <c r="AJ245" s="22" t="s">
        <v>3453</v>
      </c>
      <c r="AK245" s="22" t="s">
        <v>3800</v>
      </c>
      <c r="AL245" s="43"/>
      <c r="AM245" s="43"/>
      <c r="AN245" s="43"/>
      <c r="AO245" s="43"/>
      <c r="AP245" s="46" t="s">
        <v>3801</v>
      </c>
      <c r="AQ245" s="46" t="s">
        <v>3802</v>
      </c>
      <c r="AR245" s="46" t="s">
        <v>3803</v>
      </c>
      <c r="AS245" s="43"/>
      <c r="AT245" s="43"/>
      <c r="AU245" s="43"/>
      <c r="AV245" s="43"/>
      <c r="AW245" s="22" t="s">
        <v>3458</v>
      </c>
      <c r="AX245" s="22" t="s">
        <v>3453</v>
      </c>
      <c r="AY245" s="22" t="s">
        <v>2692</v>
      </c>
      <c r="AZ245" s="43"/>
      <c r="BA245" s="43"/>
      <c r="BB245" s="43"/>
      <c r="BC245" s="43"/>
      <c r="BD245" s="43" t="s">
        <v>2993</v>
      </c>
      <c r="BE245" s="59" t="s">
        <v>2755</v>
      </c>
      <c r="BF245" s="22" t="s">
        <v>131</v>
      </c>
      <c r="BG245" s="22" t="s">
        <v>132</v>
      </c>
      <c r="BH245" s="22" t="s">
        <v>132</v>
      </c>
      <c r="BI245" s="22" t="s">
        <v>132</v>
      </c>
      <c r="BJ245" s="43"/>
      <c r="BK245" s="43"/>
      <c r="BL245" s="22">
        <v>4.631144673063E12</v>
      </c>
      <c r="BM245" s="22">
        <v>2.103909009E9</v>
      </c>
      <c r="BN245" s="22" t="s">
        <v>3459</v>
      </c>
      <c r="BO245" s="22"/>
      <c r="BP245" s="22" t="s">
        <v>145</v>
      </c>
      <c r="BQ245" s="43"/>
      <c r="BR245" s="43"/>
      <c r="BS245" s="22" t="s">
        <v>3460</v>
      </c>
      <c r="BT245" s="22"/>
      <c r="BU245" s="22" t="s">
        <v>3461</v>
      </c>
      <c r="BV245" s="22" t="s">
        <v>3462</v>
      </c>
      <c r="BW245" s="22" t="s">
        <v>3463</v>
      </c>
      <c r="BX245" s="22"/>
      <c r="BY245" s="43"/>
      <c r="BZ245" s="43"/>
      <c r="CA245" s="22"/>
      <c r="CB245" s="22"/>
      <c r="CC245" s="45"/>
      <c r="CD245" s="43"/>
      <c r="CE245" s="43"/>
      <c r="CF245" s="45"/>
      <c r="CG245" s="43"/>
      <c r="CH245" s="43"/>
      <c r="CI245" s="43"/>
      <c r="CJ245" s="43"/>
      <c r="CK245" s="43"/>
      <c r="CL245" s="43"/>
      <c r="CM245" s="49">
        <f>IFERROR(VLOOKUP(B245,CC!A:D,4,0)," ")</f>
        <v>229.62</v>
      </c>
      <c r="CN245" s="22" t="s">
        <v>2681</v>
      </c>
      <c r="CO245" s="22"/>
      <c r="CP245" s="43"/>
      <c r="CQ245" s="22">
        <v>45.0</v>
      </c>
      <c r="CR245" s="43"/>
      <c r="CS245" s="22">
        <v>1.0</v>
      </c>
      <c r="CT245" s="22" t="s">
        <v>145</v>
      </c>
      <c r="CU245" s="43"/>
      <c r="CV245" s="43"/>
      <c r="CW245" s="43"/>
      <c r="CX245" s="43"/>
      <c r="CY245" s="43" t="b">
        <v>0</v>
      </c>
      <c r="CZ245" s="43" t="b">
        <v>0</v>
      </c>
      <c r="DA245" s="43" t="b">
        <v>0</v>
      </c>
      <c r="DB245" s="43" t="b">
        <v>0</v>
      </c>
      <c r="DC245" s="43"/>
      <c r="DD245" s="43"/>
      <c r="DE245" s="43"/>
      <c r="DF245" s="43"/>
      <c r="DG245" s="43"/>
      <c r="DH245" s="43"/>
      <c r="DI245" s="43"/>
      <c r="DJ245" s="22">
        <f>IFERROR(VLOOKUP($B245,'Лист4'!$D:$AI,27,0)," ")</f>
        <v>21</v>
      </c>
      <c r="DK245" s="22">
        <f>IFERROR(VLOOKUP($B245,'Лист4'!$D:$AI,28,0)," ")</f>
        <v>8</v>
      </c>
      <c r="DL245" s="22">
        <f>IFERROR(VLOOKUP($B245,'Лист4'!$D:$AI,29,0)," ")</f>
        <v>21</v>
      </c>
      <c r="DM245" s="22">
        <f t="shared" si="3"/>
        <v>3528</v>
      </c>
      <c r="DN245" s="22">
        <f>IFERROR(VLOOKUP($B245,'Лист4'!$D:$AI,32,0)," ")</f>
        <v>0.092</v>
      </c>
      <c r="DO245" s="22"/>
      <c r="DP245" s="22"/>
      <c r="DQ245" s="22"/>
      <c r="DR245" s="22"/>
      <c r="DS245" s="22"/>
      <c r="DT245" s="22"/>
      <c r="DU245" s="22"/>
      <c r="DV245" s="22"/>
      <c r="DW245" s="22"/>
      <c r="DX245" s="22"/>
      <c r="DY245" s="22"/>
      <c r="DZ245" s="22"/>
      <c r="EA245" s="22"/>
      <c r="EB245" s="22"/>
      <c r="EC245" s="22"/>
      <c r="ED245" s="22"/>
      <c r="EE245" s="22"/>
      <c r="EF245" s="22"/>
      <c r="EG245" s="22"/>
      <c r="EH245" s="22"/>
      <c r="EI245" s="22"/>
      <c r="EJ245" s="22"/>
      <c r="EK245" s="22"/>
      <c r="EL245" s="22"/>
      <c r="EM245" s="22"/>
      <c r="EN245" s="22"/>
      <c r="EO245" s="22"/>
      <c r="EP245" s="22"/>
      <c r="EQ245" s="22"/>
      <c r="ER245" s="22"/>
      <c r="ES245" s="43"/>
      <c r="ET245" s="43"/>
      <c r="EU245" s="43"/>
      <c r="EV245" s="43"/>
      <c r="EW245" s="43"/>
      <c r="EX245" s="43"/>
      <c r="EY245" s="43"/>
      <c r="EZ245" s="43"/>
      <c r="FA245" s="43"/>
      <c r="FB245" s="43"/>
      <c r="FC245" s="43"/>
      <c r="FD245" s="43"/>
      <c r="FE245" s="43"/>
      <c r="FF245" s="43"/>
      <c r="FG245" s="43"/>
      <c r="FH245" s="43"/>
      <c r="FI245" s="43"/>
    </row>
    <row r="246" ht="18.0" customHeight="1">
      <c r="A246" s="22" t="s">
        <v>2659</v>
      </c>
      <c r="B246" s="43" t="s">
        <v>3804</v>
      </c>
      <c r="C246" s="22" t="s">
        <v>2661</v>
      </c>
      <c r="D246" s="22" t="s">
        <v>119</v>
      </c>
      <c r="E246" s="43"/>
      <c r="F246" s="22" t="s">
        <v>3805</v>
      </c>
      <c r="G246" s="22" t="s">
        <v>2663</v>
      </c>
      <c r="H246" s="22" t="s">
        <v>2860</v>
      </c>
      <c r="I246" s="43"/>
      <c r="J246" s="43"/>
      <c r="K246" s="22" t="b">
        <v>1</v>
      </c>
      <c r="L246" s="22" t="b">
        <v>1</v>
      </c>
      <c r="M246" s="22" t="b">
        <v>1</v>
      </c>
      <c r="N246" s="22" t="b">
        <v>1</v>
      </c>
      <c r="O246" s="22" t="b">
        <v>0</v>
      </c>
      <c r="P246" s="22" t="b">
        <v>0</v>
      </c>
      <c r="Q246" s="22" t="b">
        <v>0</v>
      </c>
      <c r="R246" s="43"/>
      <c r="S246" s="43" t="s">
        <v>3806</v>
      </c>
      <c r="T246" s="22" t="s">
        <v>3804</v>
      </c>
      <c r="U246" s="22" t="s">
        <v>3804</v>
      </c>
      <c r="V246" s="22" t="s">
        <v>3804</v>
      </c>
      <c r="W246" s="43"/>
      <c r="X246" s="43"/>
      <c r="Y246" s="43"/>
      <c r="Z246" s="43"/>
      <c r="AA246" s="22">
        <v>1.97568699E8</v>
      </c>
      <c r="AB246" s="22">
        <v>1.350973604E9</v>
      </c>
      <c r="AC246" s="22">
        <v>1.02622145096E11</v>
      </c>
      <c r="AD246" s="22"/>
      <c r="AE246" s="22"/>
      <c r="AF246" s="43"/>
      <c r="AG246" s="43"/>
      <c r="AH246" s="43" t="s">
        <v>3805</v>
      </c>
      <c r="AI246" s="22" t="s">
        <v>3807</v>
      </c>
      <c r="AJ246" s="22" t="s">
        <v>3808</v>
      </c>
      <c r="AK246" s="22" t="s">
        <v>3809</v>
      </c>
      <c r="AL246" s="43"/>
      <c r="AM246" s="43"/>
      <c r="AN246" s="43"/>
      <c r="AO246" s="43"/>
      <c r="AP246" s="46" t="s">
        <v>3810</v>
      </c>
      <c r="AQ246" s="46" t="s">
        <v>3811</v>
      </c>
      <c r="AR246" s="46" t="s">
        <v>3812</v>
      </c>
      <c r="AS246" s="43"/>
      <c r="AT246" s="43"/>
      <c r="AU246" s="43"/>
      <c r="AV246" s="43"/>
      <c r="AW246" s="22" t="s">
        <v>594</v>
      </c>
      <c r="AX246" s="22" t="s">
        <v>3808</v>
      </c>
      <c r="AY246" s="22" t="s">
        <v>2672</v>
      </c>
      <c r="AZ246" s="43"/>
      <c r="BA246" s="43"/>
      <c r="BB246" s="43"/>
      <c r="BC246" s="43"/>
      <c r="BD246" s="43" t="s">
        <v>2673</v>
      </c>
      <c r="BE246" s="59" t="s">
        <v>2755</v>
      </c>
      <c r="BF246" s="22" t="s">
        <v>131</v>
      </c>
      <c r="BG246" s="22" t="s">
        <v>132</v>
      </c>
      <c r="BH246" s="22" t="s">
        <v>132</v>
      </c>
      <c r="BI246" s="22" t="s">
        <v>132</v>
      </c>
      <c r="BJ246" s="43"/>
      <c r="BK246" s="43"/>
      <c r="BL246" s="22">
        <v>4.670142965244E12</v>
      </c>
      <c r="BM246" s="22">
        <v>3.30499E9</v>
      </c>
      <c r="BN246" s="22" t="s">
        <v>3813</v>
      </c>
      <c r="BO246" s="22"/>
      <c r="BP246" s="22" t="s">
        <v>496</v>
      </c>
      <c r="BQ246" s="43"/>
      <c r="BR246" s="43"/>
      <c r="BS246" s="22" t="s">
        <v>3814</v>
      </c>
      <c r="BT246" s="43"/>
      <c r="BU246" s="22" t="s">
        <v>3815</v>
      </c>
      <c r="BV246" s="22" t="s">
        <v>3816</v>
      </c>
      <c r="BW246" s="22" t="s">
        <v>3817</v>
      </c>
      <c r="BX246" s="22">
        <v>75.0</v>
      </c>
      <c r="BY246" s="22" t="s">
        <v>139</v>
      </c>
      <c r="BZ246" s="22"/>
      <c r="CA246" s="22"/>
      <c r="CB246" s="22"/>
      <c r="CC246" s="45" t="s">
        <v>3818</v>
      </c>
      <c r="CD246" s="43"/>
      <c r="CE246" s="43"/>
      <c r="CF246" s="45"/>
      <c r="CG246" s="43"/>
      <c r="CH246" s="43"/>
      <c r="CI246" s="43"/>
      <c r="CJ246" s="43"/>
      <c r="CK246" s="43"/>
      <c r="CL246" s="43"/>
      <c r="CM246" s="49">
        <f>IFERROR(VLOOKUP(B246,CC!A:D,4,0)," ")</f>
        <v>180</v>
      </c>
      <c r="CN246" s="22" t="s">
        <v>3330</v>
      </c>
      <c r="CO246" s="22"/>
      <c r="CP246" s="22" t="s">
        <v>3819</v>
      </c>
      <c r="CQ246" s="22">
        <v>60.0</v>
      </c>
      <c r="CR246" s="43"/>
      <c r="CS246" s="22">
        <v>1.0</v>
      </c>
      <c r="CT246" s="22" t="s">
        <v>145</v>
      </c>
      <c r="CU246" s="43"/>
      <c r="CV246" s="43"/>
      <c r="CW246" s="43"/>
      <c r="CX246" s="43"/>
      <c r="CY246" s="43" t="b">
        <v>0</v>
      </c>
      <c r="CZ246" s="43" t="b">
        <v>0</v>
      </c>
      <c r="DA246" s="43" t="b">
        <v>0</v>
      </c>
      <c r="DB246" s="43" t="b">
        <v>0</v>
      </c>
      <c r="DC246" s="43"/>
      <c r="DD246" s="43"/>
      <c r="DE246" s="43"/>
      <c r="DF246" s="43"/>
      <c r="DG246" s="43"/>
      <c r="DH246" s="43"/>
      <c r="DI246" s="43"/>
      <c r="DJ246" s="22">
        <f>IFERROR(VLOOKUP($B246,'Лист4'!$D:$AI,27,0)," ")</f>
        <v>5</v>
      </c>
      <c r="DK246" s="22">
        <f>IFERROR(VLOOKUP($B246,'Лист4'!$D:$AI,28,0)," ")</f>
        <v>10</v>
      </c>
      <c r="DL246" s="22">
        <f>IFERROR(VLOOKUP($B246,'Лист4'!$D:$AI,29,0)," ")</f>
        <v>5</v>
      </c>
      <c r="DM246" s="22">
        <f t="shared" si="3"/>
        <v>250</v>
      </c>
      <c r="DN246" s="22">
        <f>IFERROR(VLOOKUP($B246,'Лист4'!$D:$AI,32,0)," ")</f>
        <v>0.08</v>
      </c>
      <c r="DO246" s="22"/>
      <c r="DP246" s="22"/>
      <c r="DQ246" s="22"/>
      <c r="DR246" s="22"/>
      <c r="DS246" s="22"/>
      <c r="DT246" s="22"/>
      <c r="DU246" s="22"/>
      <c r="DV246" s="22"/>
      <c r="DW246" s="22"/>
      <c r="DX246" s="22"/>
      <c r="DY246" s="22"/>
      <c r="DZ246" s="22"/>
      <c r="EA246" s="22"/>
      <c r="EB246" s="22"/>
      <c r="EC246" s="22"/>
      <c r="ED246" s="22"/>
      <c r="EE246" s="22"/>
      <c r="EF246" s="22"/>
      <c r="EG246" s="22"/>
      <c r="EH246" s="22"/>
      <c r="EI246" s="22"/>
      <c r="EJ246" s="22"/>
      <c r="EK246" s="22"/>
      <c r="EL246" s="22"/>
      <c r="EM246" s="22"/>
      <c r="EN246" s="22"/>
      <c r="EO246" s="22"/>
      <c r="EP246" s="22"/>
      <c r="EQ246" s="22"/>
      <c r="ER246" s="22"/>
      <c r="ES246" s="43"/>
      <c r="ET246" s="43"/>
      <c r="EU246" s="43"/>
      <c r="EV246" s="43"/>
      <c r="EW246" s="43"/>
      <c r="EX246" s="43"/>
      <c r="EY246" s="43"/>
      <c r="EZ246" s="43"/>
      <c r="FA246" s="43"/>
      <c r="FB246" s="43"/>
      <c r="FC246" s="43"/>
      <c r="FD246" s="43"/>
      <c r="FE246" s="43"/>
      <c r="FF246" s="43"/>
      <c r="FG246" s="43"/>
      <c r="FH246" s="43"/>
      <c r="FI246" s="43"/>
    </row>
    <row r="247" ht="18.0" customHeight="1">
      <c r="A247" s="22" t="s">
        <v>2659</v>
      </c>
      <c r="B247" s="43" t="s">
        <v>3820</v>
      </c>
      <c r="C247" s="22" t="s">
        <v>2741</v>
      </c>
      <c r="D247" s="22" t="s">
        <v>187</v>
      </c>
      <c r="E247" s="43" t="s">
        <v>3821</v>
      </c>
      <c r="F247" s="22" t="s">
        <v>3822</v>
      </c>
      <c r="G247" s="22" t="s">
        <v>2743</v>
      </c>
      <c r="H247" s="22" t="s">
        <v>2783</v>
      </c>
      <c r="I247" s="43"/>
      <c r="J247" s="43"/>
      <c r="K247" s="22" t="b">
        <v>1</v>
      </c>
      <c r="L247" s="22" t="b">
        <v>1</v>
      </c>
      <c r="M247" s="22" t="b">
        <v>1</v>
      </c>
      <c r="N247" s="22" t="b">
        <v>1</v>
      </c>
      <c r="O247" s="22" t="b">
        <v>1</v>
      </c>
      <c r="P247" s="22" t="b">
        <v>1</v>
      </c>
      <c r="Q247" s="22" t="b">
        <v>0</v>
      </c>
      <c r="R247" s="43"/>
      <c r="S247" s="43" t="s">
        <v>3823</v>
      </c>
      <c r="T247" s="22" t="s">
        <v>3820</v>
      </c>
      <c r="U247" s="22" t="s">
        <v>3820</v>
      </c>
      <c r="V247" s="22" t="s">
        <v>3820</v>
      </c>
      <c r="W247" s="43" t="s">
        <v>3820</v>
      </c>
      <c r="X247" s="43" t="s">
        <v>3820</v>
      </c>
      <c r="Y247" s="43"/>
      <c r="Z247" s="43"/>
      <c r="AA247" s="22">
        <v>2.56005551E8</v>
      </c>
      <c r="AB247" s="22">
        <v>1.671085702E9</v>
      </c>
      <c r="AC247" s="22">
        <v>1.03515384714E11</v>
      </c>
      <c r="AD247" s="22">
        <v>9.9000076224E10</v>
      </c>
      <c r="AE247" s="22" t="s">
        <v>3824</v>
      </c>
      <c r="AF247" s="43"/>
      <c r="AG247" s="43"/>
      <c r="AH247" s="43" t="s">
        <v>3822</v>
      </c>
      <c r="AI247" s="22" t="s">
        <v>3825</v>
      </c>
      <c r="AJ247" s="22" t="s">
        <v>3826</v>
      </c>
      <c r="AK247" s="22" t="s">
        <v>3827</v>
      </c>
      <c r="AL247" s="22" t="s">
        <v>3828</v>
      </c>
      <c r="AM247" s="22" t="s">
        <v>3829</v>
      </c>
      <c r="AN247" s="43"/>
      <c r="AO247" s="43"/>
      <c r="AP247" s="46" t="s">
        <v>3830</v>
      </c>
      <c r="AQ247" s="46" t="s">
        <v>3831</v>
      </c>
      <c r="AR247" s="46" t="s">
        <v>3832</v>
      </c>
      <c r="AS247" s="46" t="s">
        <v>3833</v>
      </c>
      <c r="AT247" s="46" t="s">
        <v>3834</v>
      </c>
      <c r="AU247" s="43"/>
      <c r="AV247" s="43"/>
      <c r="AW247" s="22" t="s">
        <v>3835</v>
      </c>
      <c r="AX247" s="22" t="s">
        <v>3826</v>
      </c>
      <c r="AY247" s="22" t="s">
        <v>3215</v>
      </c>
      <c r="AZ247" s="22" t="s">
        <v>3836</v>
      </c>
      <c r="BA247" s="22" t="s">
        <v>3837</v>
      </c>
      <c r="BB247" s="43"/>
      <c r="BC247" s="43"/>
      <c r="BD247" s="43" t="s">
        <v>1449</v>
      </c>
      <c r="BE247" s="59" t="s">
        <v>2755</v>
      </c>
      <c r="BF247" s="22" t="s">
        <v>131</v>
      </c>
      <c r="BG247" s="22" t="s">
        <v>132</v>
      </c>
      <c r="BH247" s="22" t="s">
        <v>132</v>
      </c>
      <c r="BI247" s="22" t="s">
        <v>132</v>
      </c>
      <c r="BJ247" s="43"/>
      <c r="BK247" s="43"/>
      <c r="BL247" s="22">
        <v>4.680918970174E12</v>
      </c>
      <c r="BM247" s="22">
        <v>3.30499E9</v>
      </c>
      <c r="BN247" s="22" t="s">
        <v>3838</v>
      </c>
      <c r="BO247" s="22"/>
      <c r="BP247" s="22" t="s">
        <v>145</v>
      </c>
      <c r="BQ247" s="43"/>
      <c r="BR247" s="43"/>
      <c r="BS247" s="22" t="s">
        <v>3839</v>
      </c>
      <c r="BT247" s="43"/>
      <c r="BU247" s="22" t="s">
        <v>3840</v>
      </c>
      <c r="BV247" s="43" t="s">
        <v>3841</v>
      </c>
      <c r="BW247" s="22" t="s">
        <v>2806</v>
      </c>
      <c r="BX247" s="22">
        <v>6.0</v>
      </c>
      <c r="BY247" s="22" t="s">
        <v>139</v>
      </c>
      <c r="BZ247" s="22"/>
      <c r="CA247" s="22" t="s">
        <v>307</v>
      </c>
      <c r="CB247" s="22" t="s">
        <v>307</v>
      </c>
      <c r="CC247" s="45" t="s">
        <v>3842</v>
      </c>
      <c r="CD247" s="43"/>
      <c r="CE247" s="43"/>
      <c r="CF247" s="45"/>
      <c r="CG247" s="54">
        <v>46052.0</v>
      </c>
      <c r="CH247" s="46" t="s">
        <v>3843</v>
      </c>
      <c r="CI247" s="43"/>
      <c r="CJ247" s="43"/>
      <c r="CK247" s="43"/>
      <c r="CL247" s="43"/>
      <c r="CM247" s="49">
        <f>IFERROR(VLOOKUP(B247,CC!A:D,4,0)," ")</f>
        <v>61.55</v>
      </c>
      <c r="CN247" s="22" t="s">
        <v>3844</v>
      </c>
      <c r="CO247" s="22"/>
      <c r="CP247" s="22" t="s">
        <v>3490</v>
      </c>
      <c r="CQ247" s="22">
        <v>60.0</v>
      </c>
      <c r="CR247" s="43"/>
      <c r="CS247" s="22">
        <v>5.0</v>
      </c>
      <c r="CT247" s="22" t="s">
        <v>145</v>
      </c>
      <c r="CU247" s="43"/>
      <c r="CV247" s="43"/>
      <c r="CW247" s="43"/>
      <c r="CX247" s="43"/>
      <c r="CY247" s="43" t="b">
        <v>0</v>
      </c>
      <c r="CZ247" s="43" t="b">
        <v>0</v>
      </c>
      <c r="DA247" s="43" t="b">
        <v>0</v>
      </c>
      <c r="DB247" s="43" t="b">
        <v>0</v>
      </c>
      <c r="DC247" s="43"/>
      <c r="DD247" s="43"/>
      <c r="DE247" s="43"/>
      <c r="DF247" s="43"/>
      <c r="DG247" s="43"/>
      <c r="DH247" s="43"/>
      <c r="DI247" s="43"/>
      <c r="DJ247" s="22">
        <f>IFERROR(VLOOKUP($B247,'Лист4'!$D:$AI,27,0)," ")</f>
        <v>12</v>
      </c>
      <c r="DK247" s="22">
        <f>IFERROR(VLOOKUP($B247,'Лист4'!$D:$AI,28,0)," ")</f>
        <v>1</v>
      </c>
      <c r="DL247" s="22">
        <f>IFERROR(VLOOKUP($B247,'Лист4'!$D:$AI,29,0)," ")</f>
        <v>12</v>
      </c>
      <c r="DM247" s="22">
        <f t="shared" si="3"/>
        <v>144</v>
      </c>
      <c r="DN247" s="22">
        <f>IFERROR(VLOOKUP($B247,'Лист4'!$D:$AI,32,0)," ")</f>
        <v>0.03</v>
      </c>
      <c r="DO247" s="22"/>
      <c r="DP247" s="22"/>
      <c r="DQ247" s="22"/>
      <c r="DR247" s="22"/>
      <c r="DS247" s="22"/>
      <c r="DT247" s="22"/>
      <c r="DU247" s="22"/>
      <c r="DV247" s="22"/>
      <c r="DW247" s="22"/>
      <c r="DX247" s="22"/>
      <c r="DY247" s="22"/>
      <c r="DZ247" s="22"/>
      <c r="EA247" s="22"/>
      <c r="EB247" s="22"/>
      <c r="EC247" s="22"/>
      <c r="ED247" s="22"/>
      <c r="EE247" s="22"/>
      <c r="EF247" s="22"/>
      <c r="EG247" s="22"/>
      <c r="EH247" s="22"/>
      <c r="EI247" s="22"/>
      <c r="EJ247" s="22"/>
      <c r="EK247" s="22"/>
      <c r="EL247" s="22"/>
      <c r="EM247" s="22"/>
      <c r="EN247" s="22"/>
      <c r="EO247" s="22"/>
      <c r="EP247" s="22"/>
      <c r="EQ247" s="22"/>
      <c r="ER247" s="22"/>
      <c r="ES247" s="43"/>
      <c r="ET247" s="43"/>
      <c r="EU247" s="43"/>
      <c r="EV247" s="43"/>
      <c r="EW247" s="43"/>
      <c r="EX247" s="43"/>
      <c r="EY247" s="43"/>
      <c r="EZ247" s="43"/>
      <c r="FA247" s="43"/>
      <c r="FB247" s="43"/>
      <c r="FC247" s="43"/>
      <c r="FD247" s="43"/>
      <c r="FE247" s="43"/>
      <c r="FF247" s="43"/>
      <c r="FG247" s="43"/>
      <c r="FH247" s="43"/>
      <c r="FI247" s="43"/>
    </row>
    <row r="248" ht="18.0" customHeight="1">
      <c r="A248" s="22" t="s">
        <v>2659</v>
      </c>
      <c r="B248" s="43" t="s">
        <v>3845</v>
      </c>
      <c r="C248" s="22" t="s">
        <v>2741</v>
      </c>
      <c r="D248" s="22" t="s">
        <v>187</v>
      </c>
      <c r="E248" s="43" t="s">
        <v>971</v>
      </c>
      <c r="F248" s="22" t="s">
        <v>3846</v>
      </c>
      <c r="G248" s="22" t="s">
        <v>361</v>
      </c>
      <c r="H248" s="22" t="s">
        <v>3660</v>
      </c>
      <c r="I248" s="43"/>
      <c r="J248" s="43"/>
      <c r="K248" s="22" t="b">
        <v>1</v>
      </c>
      <c r="L248" s="22" t="b">
        <v>1</v>
      </c>
      <c r="M248" s="22" t="b">
        <v>1</v>
      </c>
      <c r="N248" s="22" t="b">
        <v>1</v>
      </c>
      <c r="O248" s="22" t="b">
        <v>0</v>
      </c>
      <c r="P248" s="22" t="b">
        <v>0</v>
      </c>
      <c r="Q248" s="22" t="b">
        <v>0</v>
      </c>
      <c r="R248" s="43"/>
      <c r="S248" s="43" t="s">
        <v>3847</v>
      </c>
      <c r="T248" s="22" t="s">
        <v>3845</v>
      </c>
      <c r="U248" s="22" t="s">
        <v>3845</v>
      </c>
      <c r="V248" s="22" t="s">
        <v>3845</v>
      </c>
      <c r="W248" s="43"/>
      <c r="X248" s="43"/>
      <c r="Y248" s="43"/>
      <c r="Z248" s="43"/>
      <c r="AA248" s="22">
        <v>2.83835152E8</v>
      </c>
      <c r="AB248" s="22">
        <v>1.758604241E9</v>
      </c>
      <c r="AC248" s="22">
        <v>1.03637134366E11</v>
      </c>
      <c r="AD248" s="22"/>
      <c r="AE248" s="22"/>
      <c r="AF248" s="43"/>
      <c r="AG248" s="43"/>
      <c r="AH248" s="43" t="s">
        <v>3846</v>
      </c>
      <c r="AI248" s="22" t="s">
        <v>3848</v>
      </c>
      <c r="AJ248" s="22" t="s">
        <v>3849</v>
      </c>
      <c r="AK248" s="22" t="s">
        <v>3850</v>
      </c>
      <c r="AL248" s="43"/>
      <c r="AM248" s="43"/>
      <c r="AN248" s="43"/>
      <c r="AO248" s="43"/>
      <c r="AP248" s="46" t="s">
        <v>3851</v>
      </c>
      <c r="AQ248" s="46" t="s">
        <v>3852</v>
      </c>
      <c r="AR248" s="46" t="s">
        <v>3853</v>
      </c>
      <c r="AS248" s="43"/>
      <c r="AT248" s="43"/>
      <c r="AU248" s="43"/>
      <c r="AV248" s="43"/>
      <c r="AW248" s="22" t="s">
        <v>361</v>
      </c>
      <c r="AX248" s="22" t="s">
        <v>3849</v>
      </c>
      <c r="AY248" s="22" t="s">
        <v>372</v>
      </c>
      <c r="AZ248" s="43"/>
      <c r="BA248" s="43"/>
      <c r="BB248" s="43"/>
      <c r="BC248" s="43"/>
      <c r="BD248" s="43" t="s">
        <v>2993</v>
      </c>
      <c r="BE248" s="59" t="s">
        <v>2755</v>
      </c>
      <c r="BF248" s="22" t="s">
        <v>131</v>
      </c>
      <c r="BG248" s="22" t="s">
        <v>132</v>
      </c>
      <c r="BH248" s="22" t="s">
        <v>132</v>
      </c>
      <c r="BI248" s="22" t="s">
        <v>132</v>
      </c>
      <c r="BJ248" s="43"/>
      <c r="BK248" s="43"/>
      <c r="BL248" s="22">
        <v>4.610030631721E12</v>
      </c>
      <c r="BM248" s="22">
        <v>2.106909803E9</v>
      </c>
      <c r="BN248" s="22" t="s">
        <v>3854</v>
      </c>
      <c r="BO248" s="22"/>
      <c r="BP248" s="22" t="s">
        <v>496</v>
      </c>
      <c r="BQ248" s="43"/>
      <c r="BR248" s="43"/>
      <c r="BS248" s="22" t="s">
        <v>3855</v>
      </c>
      <c r="BT248" s="43"/>
      <c r="BU248" s="22" t="s">
        <v>3856</v>
      </c>
      <c r="BV248" s="43" t="s">
        <v>653</v>
      </c>
      <c r="BW248" s="22" t="s">
        <v>3273</v>
      </c>
      <c r="BX248" s="22">
        <v>60.0</v>
      </c>
      <c r="BY248" s="22" t="s">
        <v>492</v>
      </c>
      <c r="BZ248" s="22"/>
      <c r="CA248" s="22" t="s">
        <v>355</v>
      </c>
      <c r="CB248" s="22" t="s">
        <v>307</v>
      </c>
      <c r="CC248" s="45" t="s">
        <v>3857</v>
      </c>
      <c r="CD248" s="43"/>
      <c r="CE248" s="43"/>
      <c r="CF248" s="45"/>
      <c r="CG248" s="43"/>
      <c r="CH248" s="43"/>
      <c r="CI248" s="43"/>
      <c r="CJ248" s="43"/>
      <c r="CK248" s="43"/>
      <c r="CL248" s="43"/>
      <c r="CM248" s="49">
        <f>IFERROR(VLOOKUP(B248,CC!A:D,4,0)," ")</f>
        <v>132.65</v>
      </c>
      <c r="CN248" s="22" t="s">
        <v>3858</v>
      </c>
      <c r="CO248" s="22"/>
      <c r="CP248" s="22" t="s">
        <v>805</v>
      </c>
      <c r="CQ248" s="22">
        <v>90.0</v>
      </c>
      <c r="CR248" s="43"/>
      <c r="CS248" s="43"/>
      <c r="CT248" s="22" t="s">
        <v>145</v>
      </c>
      <c r="CU248" s="43"/>
      <c r="CV248" s="43"/>
      <c r="CW248" s="43"/>
      <c r="CX248" s="43"/>
      <c r="CY248" s="43" t="b">
        <v>0</v>
      </c>
      <c r="CZ248" s="43" t="b">
        <v>0</v>
      </c>
      <c r="DA248" s="43" t="b">
        <v>0</v>
      </c>
      <c r="DB248" s="43" t="b">
        <v>0</v>
      </c>
      <c r="DC248" s="43"/>
      <c r="DD248" s="43"/>
      <c r="DE248" s="43"/>
      <c r="DF248" s="43"/>
      <c r="DG248" s="43"/>
      <c r="DH248" s="43"/>
      <c r="DI248" s="43"/>
      <c r="DJ248" s="22">
        <f>IFERROR(VLOOKUP($B248,'Лист4'!$D:$AI,27,0)," ")</f>
        <v>5</v>
      </c>
      <c r="DK248" s="22">
        <f>IFERROR(VLOOKUP($B248,'Лист4'!$D:$AI,28,0)," ")</f>
        <v>8</v>
      </c>
      <c r="DL248" s="22">
        <f>IFERROR(VLOOKUP($B248,'Лист4'!$D:$AI,29,0)," ")</f>
        <v>5</v>
      </c>
      <c r="DM248" s="22">
        <f t="shared" si="3"/>
        <v>200</v>
      </c>
      <c r="DN248" s="22">
        <f>IFERROR(VLOOKUP($B248,'Лист4'!$D:$AI,32,0)," ")</f>
        <v>0.049</v>
      </c>
      <c r="DO248" s="22"/>
      <c r="DP248" s="22"/>
      <c r="DQ248" s="22"/>
      <c r="DR248" s="22"/>
      <c r="DS248" s="22"/>
      <c r="DT248" s="22"/>
      <c r="DU248" s="22"/>
      <c r="DV248" s="22"/>
      <c r="DW248" s="22"/>
      <c r="DX248" s="22"/>
      <c r="DY248" s="22"/>
      <c r="DZ248" s="22"/>
      <c r="EA248" s="22"/>
      <c r="EB248" s="22"/>
      <c r="EC248" s="22"/>
      <c r="ED248" s="22"/>
      <c r="EE248" s="22"/>
      <c r="EF248" s="22"/>
      <c r="EG248" s="22"/>
      <c r="EH248" s="22"/>
      <c r="EI248" s="22"/>
      <c r="EJ248" s="22"/>
      <c r="EK248" s="22"/>
      <c r="EL248" s="22"/>
      <c r="EM248" s="22"/>
      <c r="EN248" s="22"/>
      <c r="EO248" s="22"/>
      <c r="EP248" s="22"/>
      <c r="EQ248" s="22"/>
      <c r="ER248" s="22"/>
      <c r="ES248" s="43"/>
      <c r="ET248" s="43"/>
      <c r="EU248" s="43"/>
      <c r="EV248" s="43"/>
      <c r="EW248" s="43"/>
      <c r="EX248" s="43"/>
      <c r="EY248" s="43"/>
      <c r="EZ248" s="43"/>
      <c r="FA248" s="43"/>
      <c r="FB248" s="43"/>
      <c r="FC248" s="43"/>
      <c r="FD248" s="43"/>
      <c r="FE248" s="43"/>
      <c r="FF248" s="43"/>
      <c r="FG248" s="43"/>
      <c r="FH248" s="43"/>
      <c r="FI248" s="43"/>
    </row>
    <row r="249" ht="18.0" customHeight="1">
      <c r="A249" s="22" t="s">
        <v>2659</v>
      </c>
      <c r="B249" s="43" t="s">
        <v>3859</v>
      </c>
      <c r="C249" s="22" t="s">
        <v>2741</v>
      </c>
      <c r="D249" s="22" t="s">
        <v>358</v>
      </c>
      <c r="E249" s="43"/>
      <c r="F249" s="22" t="s">
        <v>3860</v>
      </c>
      <c r="G249" s="22" t="s">
        <v>361</v>
      </c>
      <c r="H249" s="22" t="s">
        <v>3660</v>
      </c>
      <c r="I249" s="43"/>
      <c r="J249" s="43"/>
      <c r="K249" s="22" t="b">
        <v>1</v>
      </c>
      <c r="L249" s="22" t="b">
        <v>1</v>
      </c>
      <c r="M249" s="22" t="b">
        <v>1</v>
      </c>
      <c r="N249" s="22" t="b">
        <v>1</v>
      </c>
      <c r="O249" s="22" t="b">
        <v>0</v>
      </c>
      <c r="P249" s="22" t="b">
        <v>0</v>
      </c>
      <c r="Q249" s="22" t="b">
        <v>0</v>
      </c>
      <c r="R249" s="43"/>
      <c r="S249" s="43" t="s">
        <v>3861</v>
      </c>
      <c r="T249" s="22" t="s">
        <v>3859</v>
      </c>
      <c r="U249" s="22" t="s">
        <v>3859</v>
      </c>
      <c r="V249" s="22" t="s">
        <v>3859</v>
      </c>
      <c r="W249" s="43"/>
      <c r="X249" s="43"/>
      <c r="Y249" s="43"/>
      <c r="Z249" s="43"/>
      <c r="AA249" s="22">
        <v>2.39930196E8</v>
      </c>
      <c r="AB249" s="22">
        <v>1.614639084E9</v>
      </c>
      <c r="AC249" s="22">
        <v>1.0353256371E11</v>
      </c>
      <c r="AD249" s="22"/>
      <c r="AE249" s="22"/>
      <c r="AF249" s="43"/>
      <c r="AG249" s="43"/>
      <c r="AH249" s="43" t="s">
        <v>3860</v>
      </c>
      <c r="AI249" s="22" t="s">
        <v>3862</v>
      </c>
      <c r="AJ249" s="22" t="s">
        <v>3863</v>
      </c>
      <c r="AK249" s="22" t="s">
        <v>3863</v>
      </c>
      <c r="AL249" s="43"/>
      <c r="AM249" s="43"/>
      <c r="AN249" s="43"/>
      <c r="AO249" s="43"/>
      <c r="AP249" s="46" t="s">
        <v>3864</v>
      </c>
      <c r="AQ249" s="46" t="s">
        <v>3865</v>
      </c>
      <c r="AR249" s="46" t="s">
        <v>3866</v>
      </c>
      <c r="AS249" s="43"/>
      <c r="AT249" s="43"/>
      <c r="AU249" s="43"/>
      <c r="AV249" s="43"/>
      <c r="AW249" s="22" t="s">
        <v>361</v>
      </c>
      <c r="AX249" s="22" t="s">
        <v>3863</v>
      </c>
      <c r="AY249" s="22" t="s">
        <v>372</v>
      </c>
      <c r="AZ249" s="43"/>
      <c r="BA249" s="43"/>
      <c r="BB249" s="43"/>
      <c r="BC249" s="43"/>
      <c r="BD249" s="43" t="s">
        <v>2993</v>
      </c>
      <c r="BE249" s="59" t="s">
        <v>2755</v>
      </c>
      <c r="BF249" s="22" t="s">
        <v>131</v>
      </c>
      <c r="BG249" s="22" t="s">
        <v>132</v>
      </c>
      <c r="BH249" s="22" t="s">
        <v>132</v>
      </c>
      <c r="BI249" s="22" t="s">
        <v>132</v>
      </c>
      <c r="BJ249" s="43"/>
      <c r="BK249" s="43"/>
      <c r="BL249" s="22">
        <v>4.610030631714E12</v>
      </c>
      <c r="BM249" s="22">
        <v>2.106909803E9</v>
      </c>
      <c r="BN249" s="22" t="s">
        <v>3867</v>
      </c>
      <c r="BO249" s="22"/>
      <c r="BP249" s="22" t="s">
        <v>496</v>
      </c>
      <c r="BQ249" s="43"/>
      <c r="BR249" s="43"/>
      <c r="BS249" s="22" t="s">
        <v>3868</v>
      </c>
      <c r="BT249" s="43"/>
      <c r="BU249" s="22" t="s">
        <v>802</v>
      </c>
      <c r="BV249" s="43" t="s">
        <v>3869</v>
      </c>
      <c r="BW249" s="22" t="s">
        <v>3672</v>
      </c>
      <c r="BX249" s="22">
        <v>60.0</v>
      </c>
      <c r="BY249" s="22" t="s">
        <v>492</v>
      </c>
      <c r="BZ249" s="22"/>
      <c r="CA249" s="22" t="s">
        <v>355</v>
      </c>
      <c r="CB249" s="22" t="s">
        <v>307</v>
      </c>
      <c r="CC249" s="45" t="s">
        <v>3870</v>
      </c>
      <c r="CD249" s="43"/>
      <c r="CE249" s="43"/>
      <c r="CF249" s="45"/>
      <c r="CG249" s="43"/>
      <c r="CH249" s="43"/>
      <c r="CI249" s="43"/>
      <c r="CJ249" s="43"/>
      <c r="CK249" s="43"/>
      <c r="CL249" s="43"/>
      <c r="CM249" s="49">
        <f>IFERROR(VLOOKUP(B249,CC!A:D,4,0)," ")</f>
        <v>170</v>
      </c>
      <c r="CN249" s="22" t="s">
        <v>3674</v>
      </c>
      <c r="CO249" s="22"/>
      <c r="CP249" s="22" t="s">
        <v>805</v>
      </c>
      <c r="CQ249" s="22">
        <v>90.0</v>
      </c>
      <c r="CR249" s="43"/>
      <c r="CS249" s="43"/>
      <c r="CT249" s="22" t="s">
        <v>145</v>
      </c>
      <c r="CU249" s="43"/>
      <c r="CV249" s="43"/>
      <c r="CW249" s="43"/>
      <c r="CX249" s="43"/>
      <c r="CY249" s="43" t="b">
        <v>0</v>
      </c>
      <c r="CZ249" s="43" t="b">
        <v>0</v>
      </c>
      <c r="DA249" s="43" t="b">
        <v>0</v>
      </c>
      <c r="DB249" s="43" t="b">
        <v>0</v>
      </c>
      <c r="DC249" s="43"/>
      <c r="DD249" s="43"/>
      <c r="DE249" s="43"/>
      <c r="DF249" s="43"/>
      <c r="DG249" s="43"/>
      <c r="DH249" s="43"/>
      <c r="DI249" s="43"/>
      <c r="DJ249" s="22">
        <f>IFERROR(VLOOKUP($B249,'Лист4'!$D:$AI,27,0)," ")</f>
        <v>5</v>
      </c>
      <c r="DK249" s="22">
        <f>IFERROR(VLOOKUP($B249,'Лист4'!$D:$AI,28,0)," ")</f>
        <v>5</v>
      </c>
      <c r="DL249" s="22">
        <f>IFERROR(VLOOKUP($B249,'Лист4'!$D:$AI,29,0)," ")</f>
        <v>5</v>
      </c>
      <c r="DM249" s="22">
        <f t="shared" si="3"/>
        <v>125</v>
      </c>
      <c r="DN249" s="22">
        <f>IFERROR(VLOOKUP($B249,'Лист4'!$D:$AI,32,0)," ")</f>
        <v>0.045</v>
      </c>
      <c r="DO249" s="22"/>
      <c r="DP249" s="22"/>
      <c r="DQ249" s="22"/>
      <c r="DR249" s="22"/>
      <c r="DS249" s="22"/>
      <c r="DT249" s="22"/>
      <c r="DU249" s="22"/>
      <c r="DV249" s="22"/>
      <c r="DW249" s="22"/>
      <c r="DX249" s="22"/>
      <c r="DY249" s="22"/>
      <c r="DZ249" s="22"/>
      <c r="EA249" s="22"/>
      <c r="EB249" s="22"/>
      <c r="EC249" s="22"/>
      <c r="ED249" s="22"/>
      <c r="EE249" s="22"/>
      <c r="EF249" s="22"/>
      <c r="EG249" s="22"/>
      <c r="EH249" s="22"/>
      <c r="EI249" s="22"/>
      <c r="EJ249" s="22"/>
      <c r="EK249" s="22"/>
      <c r="EL249" s="22"/>
      <c r="EM249" s="22"/>
      <c r="EN249" s="22"/>
      <c r="EO249" s="22"/>
      <c r="EP249" s="22"/>
      <c r="EQ249" s="22"/>
      <c r="ER249" s="22"/>
      <c r="ES249" s="43"/>
      <c r="ET249" s="43"/>
      <c r="EU249" s="43"/>
      <c r="EV249" s="43"/>
      <c r="EW249" s="43"/>
      <c r="EX249" s="43"/>
      <c r="EY249" s="43"/>
      <c r="EZ249" s="43"/>
      <c r="FA249" s="43"/>
      <c r="FB249" s="43"/>
      <c r="FC249" s="43"/>
      <c r="FD249" s="43"/>
      <c r="FE249" s="43"/>
      <c r="FF249" s="43"/>
      <c r="FG249" s="43"/>
      <c r="FH249" s="43"/>
      <c r="FI249" s="43"/>
    </row>
    <row r="250" ht="18.0" customHeight="1">
      <c r="A250" s="22" t="s">
        <v>2659</v>
      </c>
      <c r="B250" s="43" t="s">
        <v>3871</v>
      </c>
      <c r="C250" s="22" t="s">
        <v>2661</v>
      </c>
      <c r="D250" s="22" t="s">
        <v>119</v>
      </c>
      <c r="E250" s="43"/>
      <c r="F250" s="22" t="s">
        <v>3872</v>
      </c>
      <c r="G250" s="22" t="s">
        <v>2663</v>
      </c>
      <c r="H250" s="22" t="s">
        <v>2664</v>
      </c>
      <c r="I250" s="43"/>
      <c r="J250" s="43"/>
      <c r="K250" s="22" t="b">
        <v>1</v>
      </c>
      <c r="L250" s="22" t="b">
        <v>1</v>
      </c>
      <c r="M250" s="22" t="b">
        <v>1</v>
      </c>
      <c r="N250" s="22" t="b">
        <v>1</v>
      </c>
      <c r="O250" s="22" t="b">
        <v>0</v>
      </c>
      <c r="P250" s="22" t="b">
        <v>0</v>
      </c>
      <c r="Q250" s="22" t="b">
        <v>0</v>
      </c>
      <c r="R250" s="43"/>
      <c r="S250" s="43" t="s">
        <v>3873</v>
      </c>
      <c r="T250" s="22" t="s">
        <v>3871</v>
      </c>
      <c r="U250" s="22" t="s">
        <v>3871</v>
      </c>
      <c r="V250" s="22" t="s">
        <v>3871</v>
      </c>
      <c r="W250" s="43"/>
      <c r="X250" s="43"/>
      <c r="Y250" s="43"/>
      <c r="Z250" s="43"/>
      <c r="AA250" s="22">
        <v>1.92907992E8</v>
      </c>
      <c r="AB250" s="22">
        <v>1.324992259E9</v>
      </c>
      <c r="AC250" s="22">
        <v>1.02662269731E11</v>
      </c>
      <c r="AD250" s="22"/>
      <c r="AE250" s="22"/>
      <c r="AF250" s="43"/>
      <c r="AG250" s="43"/>
      <c r="AH250" s="43" t="s">
        <v>3872</v>
      </c>
      <c r="AI250" s="22" t="s">
        <v>3874</v>
      </c>
      <c r="AJ250" s="22" t="s">
        <v>3875</v>
      </c>
      <c r="AK250" s="22" t="s">
        <v>3876</v>
      </c>
      <c r="AL250" s="43"/>
      <c r="AM250" s="43"/>
      <c r="AN250" s="43"/>
      <c r="AO250" s="43"/>
      <c r="AP250" s="46" t="s">
        <v>3877</v>
      </c>
      <c r="AQ250" s="46" t="s">
        <v>3878</v>
      </c>
      <c r="AR250" s="43"/>
      <c r="AS250" s="43"/>
      <c r="AT250" s="43"/>
      <c r="AU250" s="43"/>
      <c r="AV250" s="43"/>
      <c r="AW250" s="22" t="s">
        <v>594</v>
      </c>
      <c r="AX250" s="22" t="s">
        <v>3875</v>
      </c>
      <c r="AY250" s="22" t="s">
        <v>3123</v>
      </c>
      <c r="AZ250" s="43"/>
      <c r="BA250" s="43"/>
      <c r="BB250" s="43"/>
      <c r="BC250" s="43"/>
      <c r="BD250" s="43" t="s">
        <v>2673</v>
      </c>
      <c r="BE250" s="59" t="s">
        <v>2674</v>
      </c>
      <c r="BF250" s="22" t="s">
        <v>131</v>
      </c>
      <c r="BG250" s="22" t="s">
        <v>132</v>
      </c>
      <c r="BH250" s="22" t="s">
        <v>132</v>
      </c>
      <c r="BI250" s="22" t="s">
        <v>132</v>
      </c>
      <c r="BJ250" s="43"/>
      <c r="BK250" s="43"/>
      <c r="BL250" s="22" t="s">
        <v>3879</v>
      </c>
      <c r="BM250" s="22">
        <v>3.30499E9</v>
      </c>
      <c r="BN250" s="22" t="s">
        <v>3880</v>
      </c>
      <c r="BO250" s="22"/>
      <c r="BP250" s="22" t="s">
        <v>145</v>
      </c>
      <c r="BQ250" s="43"/>
      <c r="BR250" s="43"/>
      <c r="BS250" s="22" t="s">
        <v>3881</v>
      </c>
      <c r="BT250" s="43"/>
      <c r="BU250" s="22" t="s">
        <v>3882</v>
      </c>
      <c r="BV250" s="22" t="s">
        <v>3883</v>
      </c>
      <c r="BW250" s="22" t="s">
        <v>3884</v>
      </c>
      <c r="BX250" s="22">
        <v>60.0</v>
      </c>
      <c r="BY250" s="22" t="s">
        <v>139</v>
      </c>
      <c r="BZ250" s="22"/>
      <c r="CA250" s="22" t="s">
        <v>355</v>
      </c>
      <c r="CB250" s="22" t="s">
        <v>307</v>
      </c>
      <c r="CC250" s="45" t="s">
        <v>3885</v>
      </c>
      <c r="CD250" s="43"/>
      <c r="CE250" s="43"/>
      <c r="CF250" s="45"/>
      <c r="CG250" s="43"/>
      <c r="CH250" s="43"/>
      <c r="CI250" s="43"/>
      <c r="CJ250" s="43"/>
      <c r="CK250" s="43"/>
      <c r="CL250" s="43"/>
      <c r="CM250" s="49">
        <f>IFERROR(VLOOKUP(B250,CC!A:D,4,0)," ")</f>
        <v>157.08</v>
      </c>
      <c r="CN250" s="22" t="s">
        <v>3155</v>
      </c>
      <c r="CO250" s="22"/>
      <c r="CP250" s="43"/>
      <c r="CQ250" s="22">
        <v>45.0</v>
      </c>
      <c r="CR250" s="43"/>
      <c r="CS250" s="22">
        <v>1.0</v>
      </c>
      <c r="CT250" s="22" t="s">
        <v>145</v>
      </c>
      <c r="CU250" s="43"/>
      <c r="CV250" s="43"/>
      <c r="CW250" s="43"/>
      <c r="CX250" s="43"/>
      <c r="CY250" s="43" t="b">
        <v>0</v>
      </c>
      <c r="CZ250" s="43" t="b">
        <v>0</v>
      </c>
      <c r="DA250" s="43" t="b">
        <v>0</v>
      </c>
      <c r="DB250" s="43" t="b">
        <v>0</v>
      </c>
      <c r="DC250" s="43"/>
      <c r="DD250" s="43"/>
      <c r="DE250" s="43"/>
      <c r="DF250" s="43"/>
      <c r="DG250" s="43"/>
      <c r="DH250" s="43"/>
      <c r="DI250" s="43"/>
      <c r="DJ250" s="22">
        <f>IFERROR(VLOOKUP($B250,'Лист4'!$D:$AI,27,0)," ")</f>
        <v>12</v>
      </c>
      <c r="DK250" s="22">
        <f>IFERROR(VLOOKUP($B250,'Лист4'!$D:$AI,28,0)," ")</f>
        <v>4</v>
      </c>
      <c r="DL250" s="22">
        <f>IFERROR(VLOOKUP($B250,'Лист4'!$D:$AI,29,0)," ")</f>
        <v>12</v>
      </c>
      <c r="DM250" s="22">
        <f t="shared" si="3"/>
        <v>576</v>
      </c>
      <c r="DN250" s="22">
        <f>IFERROR(VLOOKUP($B250,'Лист4'!$D:$AI,32,0)," ")</f>
        <v>0.08</v>
      </c>
      <c r="DO250" s="22"/>
      <c r="DP250" s="22"/>
      <c r="DQ250" s="22"/>
      <c r="DR250" s="22"/>
      <c r="DS250" s="22"/>
      <c r="DT250" s="22"/>
      <c r="DU250" s="22"/>
      <c r="DV250" s="22"/>
      <c r="DW250" s="22"/>
      <c r="DX250" s="22"/>
      <c r="DY250" s="22"/>
      <c r="DZ250" s="22"/>
      <c r="EA250" s="22"/>
      <c r="EB250" s="22"/>
      <c r="EC250" s="22"/>
      <c r="ED250" s="22"/>
      <c r="EE250" s="22"/>
      <c r="EF250" s="22"/>
      <c r="EG250" s="22"/>
      <c r="EH250" s="22"/>
      <c r="EI250" s="22"/>
      <c r="EJ250" s="22"/>
      <c r="EK250" s="22"/>
      <c r="EL250" s="22"/>
      <c r="EM250" s="22"/>
      <c r="EN250" s="22"/>
      <c r="EO250" s="22"/>
      <c r="EP250" s="22"/>
      <c r="EQ250" s="22"/>
      <c r="ER250" s="22"/>
      <c r="ES250" s="43"/>
      <c r="ET250" s="43"/>
      <c r="EU250" s="43"/>
      <c r="EV250" s="43"/>
      <c r="EW250" s="43"/>
      <c r="EX250" s="43"/>
      <c r="EY250" s="43"/>
      <c r="EZ250" s="43"/>
      <c r="FA250" s="43"/>
      <c r="FB250" s="43"/>
      <c r="FC250" s="43"/>
      <c r="FD250" s="43"/>
      <c r="FE250" s="43"/>
      <c r="FF250" s="43"/>
      <c r="FG250" s="43"/>
      <c r="FH250" s="43"/>
      <c r="FI250" s="43"/>
    </row>
    <row r="251" ht="18.0" customHeight="1">
      <c r="A251" s="22" t="s">
        <v>2659</v>
      </c>
      <c r="B251" s="43" t="s">
        <v>3886</v>
      </c>
      <c r="C251" s="22" t="s">
        <v>2661</v>
      </c>
      <c r="D251" s="22" t="s">
        <v>119</v>
      </c>
      <c r="E251" s="43"/>
      <c r="F251" s="22" t="s">
        <v>3887</v>
      </c>
      <c r="G251" s="22" t="s">
        <v>2663</v>
      </c>
      <c r="H251" s="22" t="s">
        <v>3888</v>
      </c>
      <c r="I251" s="43"/>
      <c r="J251" s="43"/>
      <c r="K251" s="22" t="b">
        <v>1</v>
      </c>
      <c r="L251" s="22" t="b">
        <v>1</v>
      </c>
      <c r="M251" s="22" t="b">
        <v>1</v>
      </c>
      <c r="N251" s="22" t="b">
        <v>1</v>
      </c>
      <c r="O251" s="22" t="b">
        <v>0</v>
      </c>
      <c r="P251" s="22" t="b">
        <v>0</v>
      </c>
      <c r="Q251" s="22" t="b">
        <v>0</v>
      </c>
      <c r="R251" s="43"/>
      <c r="S251" s="43" t="s">
        <v>3889</v>
      </c>
      <c r="T251" s="22" t="s">
        <v>3886</v>
      </c>
      <c r="U251" s="22" t="s">
        <v>3886</v>
      </c>
      <c r="V251" s="22" t="s">
        <v>3886</v>
      </c>
      <c r="W251" s="43"/>
      <c r="X251" s="43"/>
      <c r="Y251" s="43"/>
      <c r="Z251" s="43"/>
      <c r="AA251" s="22">
        <v>1.00410811E8</v>
      </c>
      <c r="AB251" s="22">
        <v>7.33369927E8</v>
      </c>
      <c r="AC251" s="22">
        <v>4.663046385E9</v>
      </c>
      <c r="AD251" s="22"/>
      <c r="AE251" s="22"/>
      <c r="AF251" s="43"/>
      <c r="AG251" s="43"/>
      <c r="AH251" s="43" t="s">
        <v>3887</v>
      </c>
      <c r="AI251" s="22" t="s">
        <v>3890</v>
      </c>
      <c r="AJ251" s="22" t="s">
        <v>3891</v>
      </c>
      <c r="AK251" s="22" t="s">
        <v>3892</v>
      </c>
      <c r="AL251" s="43"/>
      <c r="AM251" s="43"/>
      <c r="AN251" s="43"/>
      <c r="AO251" s="43"/>
      <c r="AP251" s="46" t="s">
        <v>3893</v>
      </c>
      <c r="AQ251" s="46" t="s">
        <v>3894</v>
      </c>
      <c r="AR251" s="46" t="s">
        <v>3895</v>
      </c>
      <c r="AS251" s="43"/>
      <c r="AT251" s="43"/>
      <c r="AU251" s="43"/>
      <c r="AV251" s="43"/>
      <c r="AW251" s="22" t="s">
        <v>649</v>
      </c>
      <c r="AX251" s="22" t="s">
        <v>3891</v>
      </c>
      <c r="AY251" s="22" t="s">
        <v>372</v>
      </c>
      <c r="AZ251" s="43"/>
      <c r="BA251" s="43"/>
      <c r="BB251" s="43"/>
      <c r="BC251" s="43"/>
      <c r="BD251" s="43" t="s">
        <v>1449</v>
      </c>
      <c r="BE251" s="59" t="s">
        <v>2755</v>
      </c>
      <c r="BF251" s="22" t="s">
        <v>131</v>
      </c>
      <c r="BG251" s="22" t="s">
        <v>132</v>
      </c>
      <c r="BH251" s="22" t="s">
        <v>132</v>
      </c>
      <c r="BI251" s="22" t="s">
        <v>132</v>
      </c>
      <c r="BJ251" s="43"/>
      <c r="BK251" s="43"/>
      <c r="BL251" s="22">
        <v>4.631144673087E12</v>
      </c>
      <c r="BM251" s="22">
        <v>2.103909009E9</v>
      </c>
      <c r="BN251" s="22" t="s">
        <v>3896</v>
      </c>
      <c r="BO251" s="22"/>
      <c r="BP251" s="22" t="s">
        <v>145</v>
      </c>
      <c r="BQ251" s="43"/>
      <c r="BR251" s="43"/>
      <c r="BS251" s="22" t="s">
        <v>3897</v>
      </c>
      <c r="BT251" s="43"/>
      <c r="BU251" s="22" t="s">
        <v>3898</v>
      </c>
      <c r="BV251" s="22" t="s">
        <v>3708</v>
      </c>
      <c r="BW251" s="22" t="s">
        <v>3899</v>
      </c>
      <c r="BX251" s="22">
        <v>10.0</v>
      </c>
      <c r="BY251" s="22" t="s">
        <v>139</v>
      </c>
      <c r="BZ251" s="22"/>
      <c r="CA251" s="22"/>
      <c r="CB251" s="22"/>
      <c r="CC251" s="45" t="s">
        <v>3900</v>
      </c>
      <c r="CD251" s="43"/>
      <c r="CE251" s="43"/>
      <c r="CF251" s="45"/>
      <c r="CG251" s="43"/>
      <c r="CH251" s="43"/>
      <c r="CI251" s="43"/>
      <c r="CJ251" s="43"/>
      <c r="CK251" s="43"/>
      <c r="CL251" s="43"/>
      <c r="CM251" s="49">
        <f>IFERROR(VLOOKUP(B251,CC!A:D,4,0)," ")</f>
        <v>73</v>
      </c>
      <c r="CN251" s="22" t="s">
        <v>3762</v>
      </c>
      <c r="CO251" s="22"/>
      <c r="CP251" s="43"/>
      <c r="CQ251" s="22">
        <v>45.0</v>
      </c>
      <c r="CR251" s="43"/>
      <c r="CS251" s="43"/>
      <c r="CT251" s="22" t="s">
        <v>145</v>
      </c>
      <c r="CU251" s="43"/>
      <c r="CV251" s="43"/>
      <c r="CW251" s="43"/>
      <c r="CX251" s="43"/>
      <c r="CY251" s="43" t="b">
        <v>0</v>
      </c>
      <c r="CZ251" s="43" t="b">
        <v>0</v>
      </c>
      <c r="DA251" s="43" t="b">
        <v>0</v>
      </c>
      <c r="DB251" s="43" t="b">
        <v>0</v>
      </c>
      <c r="DC251" s="43"/>
      <c r="DD251" s="43"/>
      <c r="DE251" s="43"/>
      <c r="DF251" s="43"/>
      <c r="DG251" s="43"/>
      <c r="DH251" s="43"/>
      <c r="DI251" s="43"/>
      <c r="DJ251" s="22">
        <f>IFERROR(VLOOKUP($B251,'Лист4'!$D:$AI,27,0)," ")</f>
        <v>8</v>
      </c>
      <c r="DK251" s="22">
        <f>IFERROR(VLOOKUP($B251,'Лист4'!$D:$AI,28,0)," ")</f>
        <v>4</v>
      </c>
      <c r="DL251" s="22">
        <f>IFERROR(VLOOKUP($B251,'Лист4'!$D:$AI,29,0)," ")</f>
        <v>8</v>
      </c>
      <c r="DM251" s="22">
        <f t="shared" si="3"/>
        <v>256</v>
      </c>
      <c r="DN251" s="22">
        <f>IFERROR(VLOOKUP($B251,'Лист4'!$D:$AI,32,0)," ")</f>
        <v>0.05</v>
      </c>
      <c r="DO251" s="22"/>
      <c r="DP251" s="22"/>
      <c r="DQ251" s="22"/>
      <c r="DR251" s="22"/>
      <c r="DS251" s="22"/>
      <c r="DT251" s="22"/>
      <c r="DU251" s="22"/>
      <c r="DV251" s="22"/>
      <c r="DW251" s="22"/>
      <c r="DX251" s="22"/>
      <c r="DY251" s="22"/>
      <c r="DZ251" s="22"/>
      <c r="EA251" s="22"/>
      <c r="EB251" s="22"/>
      <c r="EC251" s="22"/>
      <c r="ED251" s="22"/>
      <c r="EE251" s="22"/>
      <c r="EF251" s="22"/>
      <c r="EG251" s="22"/>
      <c r="EH251" s="22"/>
      <c r="EI251" s="22"/>
      <c r="EJ251" s="22"/>
      <c r="EK251" s="22"/>
      <c r="EL251" s="22"/>
      <c r="EM251" s="22"/>
      <c r="EN251" s="22"/>
      <c r="EO251" s="22"/>
      <c r="EP251" s="22"/>
      <c r="EQ251" s="22"/>
      <c r="ER251" s="22"/>
      <c r="ES251" s="43"/>
      <c r="ET251" s="43"/>
      <c r="EU251" s="43"/>
      <c r="EV251" s="43"/>
      <c r="EW251" s="43"/>
      <c r="EX251" s="43"/>
      <c r="EY251" s="43"/>
      <c r="EZ251" s="43"/>
      <c r="FA251" s="43"/>
      <c r="FB251" s="43"/>
      <c r="FC251" s="43"/>
      <c r="FD251" s="43"/>
      <c r="FE251" s="43"/>
      <c r="FF251" s="43"/>
      <c r="FG251" s="43"/>
      <c r="FH251" s="43"/>
      <c r="FI251" s="43"/>
    </row>
    <row r="252" ht="18.0" customHeight="1">
      <c r="A252" s="22" t="s">
        <v>2659</v>
      </c>
      <c r="B252" s="43" t="s">
        <v>3901</v>
      </c>
      <c r="C252" s="22" t="s">
        <v>2661</v>
      </c>
      <c r="D252" s="22" t="s">
        <v>119</v>
      </c>
      <c r="E252" s="43"/>
      <c r="F252" s="22" t="s">
        <v>3902</v>
      </c>
      <c r="G252" s="22" t="s">
        <v>2663</v>
      </c>
      <c r="H252" s="22" t="s">
        <v>2703</v>
      </c>
      <c r="I252" s="43"/>
      <c r="J252" s="43"/>
      <c r="K252" s="22" t="b">
        <v>1</v>
      </c>
      <c r="L252" s="22" t="b">
        <v>1</v>
      </c>
      <c r="M252" s="22" t="b">
        <v>1</v>
      </c>
      <c r="N252" s="22" t="b">
        <v>1</v>
      </c>
      <c r="O252" s="22" t="b">
        <v>1</v>
      </c>
      <c r="P252" s="22" t="b">
        <v>1</v>
      </c>
      <c r="Q252" s="22" t="b">
        <v>0</v>
      </c>
      <c r="R252" s="43"/>
      <c r="S252" s="43" t="s">
        <v>3903</v>
      </c>
      <c r="T252" s="22" t="s">
        <v>3901</v>
      </c>
      <c r="U252" s="22" t="s">
        <v>3901</v>
      </c>
      <c r="V252" s="22" t="s">
        <v>3901</v>
      </c>
      <c r="W252" s="43" t="s">
        <v>401</v>
      </c>
      <c r="X252" s="43" t="s">
        <v>401</v>
      </c>
      <c r="Y252" s="43"/>
      <c r="Z252" s="43"/>
      <c r="AA252" s="22">
        <v>1.76157841E8</v>
      </c>
      <c r="AB252" s="22">
        <v>1.129300642E9</v>
      </c>
      <c r="AC252" s="22">
        <v>1.03515447164E11</v>
      </c>
      <c r="AD252" s="22"/>
      <c r="AE252" s="22"/>
      <c r="AF252" s="43"/>
      <c r="AG252" s="43"/>
      <c r="AH252" s="43" t="s">
        <v>3902</v>
      </c>
      <c r="AI252" s="22" t="s">
        <v>3134</v>
      </c>
      <c r="AJ252" s="22" t="s">
        <v>3391</v>
      </c>
      <c r="AK252" s="22" t="s">
        <v>3391</v>
      </c>
      <c r="AL252" s="43"/>
      <c r="AM252" s="43"/>
      <c r="AN252" s="43"/>
      <c r="AO252" s="43"/>
      <c r="AP252" s="46" t="s">
        <v>3904</v>
      </c>
      <c r="AQ252" s="46" t="s">
        <v>3393</v>
      </c>
      <c r="AR252" s="46" t="s">
        <v>3394</v>
      </c>
      <c r="AS252" s="43"/>
      <c r="AT252" s="43"/>
      <c r="AU252" s="43"/>
      <c r="AV252" s="43"/>
      <c r="AW252" s="22" t="s">
        <v>649</v>
      </c>
      <c r="AX252" s="22" t="s">
        <v>3391</v>
      </c>
      <c r="AY252" s="22" t="s">
        <v>3139</v>
      </c>
      <c r="AZ252" s="43"/>
      <c r="BA252" s="43"/>
      <c r="BB252" s="43"/>
      <c r="BC252" s="43"/>
      <c r="BD252" s="43" t="s">
        <v>1449</v>
      </c>
      <c r="BE252" s="59" t="s">
        <v>2755</v>
      </c>
      <c r="BF252" s="22" t="s">
        <v>131</v>
      </c>
      <c r="BG252" s="22" t="s">
        <v>132</v>
      </c>
      <c r="BH252" s="22" t="s">
        <v>132</v>
      </c>
      <c r="BI252" s="22" t="s">
        <v>132</v>
      </c>
      <c r="BJ252" s="43"/>
      <c r="BK252" s="43"/>
      <c r="BL252" s="22">
        <v>2.038301521588E12</v>
      </c>
      <c r="BM252" s="22">
        <v>2.103909009E9</v>
      </c>
      <c r="BN252" s="22" t="s">
        <v>3140</v>
      </c>
      <c r="BO252" s="22"/>
      <c r="BP252" s="22" t="s">
        <v>145</v>
      </c>
      <c r="BQ252" s="43"/>
      <c r="BR252" s="43"/>
      <c r="BS252" s="22" t="s">
        <v>3608</v>
      </c>
      <c r="BT252" s="22"/>
      <c r="BU252" s="22" t="s">
        <v>3609</v>
      </c>
      <c r="BV252" s="22" t="s">
        <v>2777</v>
      </c>
      <c r="BW252" s="22" t="s">
        <v>2778</v>
      </c>
      <c r="BX252" s="22"/>
      <c r="BY252" s="43"/>
      <c r="BZ252" s="43"/>
      <c r="CA252" s="22"/>
      <c r="CB252" s="22"/>
      <c r="CC252" s="45"/>
      <c r="CD252" s="43"/>
      <c r="CE252" s="43"/>
      <c r="CF252" s="45"/>
      <c r="CG252" s="43"/>
      <c r="CH252" s="43"/>
      <c r="CI252" s="43"/>
      <c r="CJ252" s="43"/>
      <c r="CK252" s="43"/>
      <c r="CL252" s="43"/>
      <c r="CM252" s="49">
        <f>IFERROR(VLOOKUP(B252,CC!A:D,4,0)," ")</f>
        <v>206.94</v>
      </c>
      <c r="CN252" s="22" t="s">
        <v>2681</v>
      </c>
      <c r="CO252" s="22"/>
      <c r="CP252" s="43"/>
      <c r="CQ252" s="22">
        <v>45.0</v>
      </c>
      <c r="CR252" s="43"/>
      <c r="CS252" s="22">
        <v>1.0</v>
      </c>
      <c r="CT252" s="22" t="s">
        <v>145</v>
      </c>
      <c r="CU252" s="43"/>
      <c r="CV252" s="43"/>
      <c r="CW252" s="43"/>
      <c r="CX252" s="43"/>
      <c r="CY252" s="43" t="b">
        <v>0</v>
      </c>
      <c r="CZ252" s="43" t="b">
        <v>0</v>
      </c>
      <c r="DA252" s="43" t="b">
        <v>0</v>
      </c>
      <c r="DB252" s="43" t="b">
        <v>0</v>
      </c>
      <c r="DC252" s="43"/>
      <c r="DD252" s="43"/>
      <c r="DE252" s="43"/>
      <c r="DF252" s="43"/>
      <c r="DG252" s="43"/>
      <c r="DH252" s="43"/>
      <c r="DI252" s="43"/>
      <c r="DJ252" s="22">
        <f>IFERROR(VLOOKUP($B252,'Лист4'!$D:$AI,27,0)," ")</f>
        <v>15</v>
      </c>
      <c r="DK252" s="22">
        <f>IFERROR(VLOOKUP($B252,'Лист4'!$D:$AI,28,0)," ")</f>
        <v>6</v>
      </c>
      <c r="DL252" s="22">
        <f>IFERROR(VLOOKUP($B252,'Лист4'!$D:$AI,29,0)," ")</f>
        <v>15</v>
      </c>
      <c r="DM252" s="22">
        <f t="shared" si="3"/>
        <v>1350</v>
      </c>
      <c r="DN252" s="22">
        <f>IFERROR(VLOOKUP($B252,'Лист4'!$D:$AI,32,0)," ")</f>
        <v>0.032</v>
      </c>
      <c r="DO252" s="22"/>
      <c r="DP252" s="22"/>
      <c r="DQ252" s="22"/>
      <c r="DR252" s="22"/>
      <c r="DS252" s="22"/>
      <c r="DT252" s="22"/>
      <c r="DU252" s="22"/>
      <c r="DV252" s="22"/>
      <c r="DW252" s="22"/>
      <c r="DX252" s="22"/>
      <c r="DY252" s="22"/>
      <c r="DZ252" s="22"/>
      <c r="EA252" s="22"/>
      <c r="EB252" s="22"/>
      <c r="EC252" s="22"/>
      <c r="ED252" s="22"/>
      <c r="EE252" s="22"/>
      <c r="EF252" s="22"/>
      <c r="EG252" s="22"/>
      <c r="EH252" s="22"/>
      <c r="EI252" s="22"/>
      <c r="EJ252" s="22"/>
      <c r="EK252" s="22"/>
      <c r="EL252" s="22"/>
      <c r="EM252" s="22"/>
      <c r="EN252" s="22"/>
      <c r="EO252" s="22"/>
      <c r="EP252" s="22"/>
      <c r="EQ252" s="22"/>
      <c r="ER252" s="22"/>
      <c r="ES252" s="43"/>
      <c r="ET252" s="43"/>
      <c r="EU252" s="43"/>
      <c r="EV252" s="43"/>
      <c r="EW252" s="43"/>
      <c r="EX252" s="43"/>
      <c r="EY252" s="43"/>
      <c r="EZ252" s="43"/>
      <c r="FA252" s="43"/>
      <c r="FB252" s="43"/>
      <c r="FC252" s="43"/>
      <c r="FD252" s="43"/>
      <c r="FE252" s="43"/>
      <c r="FF252" s="43"/>
      <c r="FG252" s="43"/>
      <c r="FH252" s="43"/>
      <c r="FI252" s="43"/>
    </row>
    <row r="253" ht="18.0" customHeight="1">
      <c r="A253" s="22" t="s">
        <v>2659</v>
      </c>
      <c r="B253" s="43" t="s">
        <v>3905</v>
      </c>
      <c r="C253" s="22" t="s">
        <v>2661</v>
      </c>
      <c r="D253" s="22" t="s">
        <v>119</v>
      </c>
      <c r="E253" s="43"/>
      <c r="F253" s="22" t="s">
        <v>3906</v>
      </c>
      <c r="G253" s="22" t="s">
        <v>2663</v>
      </c>
      <c r="H253" s="22" t="s">
        <v>2684</v>
      </c>
      <c r="I253" s="43"/>
      <c r="J253" s="43"/>
      <c r="K253" s="22" t="b">
        <v>1</v>
      </c>
      <c r="L253" s="22" t="b">
        <v>1</v>
      </c>
      <c r="M253" s="22" t="b">
        <v>1</v>
      </c>
      <c r="N253" s="22" t="b">
        <v>1</v>
      </c>
      <c r="O253" s="22" t="b">
        <v>0</v>
      </c>
      <c r="P253" s="22" t="b">
        <v>0</v>
      </c>
      <c r="Q253" s="22" t="b">
        <v>0</v>
      </c>
      <c r="R253" s="43"/>
      <c r="S253" s="43" t="s">
        <v>3907</v>
      </c>
      <c r="T253" s="22" t="s">
        <v>3905</v>
      </c>
      <c r="U253" s="22" t="s">
        <v>3905</v>
      </c>
      <c r="V253" s="22" t="s">
        <v>3905</v>
      </c>
      <c r="W253" s="43"/>
      <c r="X253" s="43"/>
      <c r="Y253" s="43"/>
      <c r="Z253" s="43"/>
      <c r="AA253" s="22">
        <v>5.25496523E8</v>
      </c>
      <c r="AB253" s="22">
        <v>2.825142977E9</v>
      </c>
      <c r="AC253" s="22">
        <v>4.640691481E9</v>
      </c>
      <c r="AD253" s="22"/>
      <c r="AE253" s="22"/>
      <c r="AF253" s="43"/>
      <c r="AG253" s="43"/>
      <c r="AH253" s="43" t="s">
        <v>3906</v>
      </c>
      <c r="AI253" s="22" t="s">
        <v>2686</v>
      </c>
      <c r="AJ253" s="22" t="s">
        <v>3908</v>
      </c>
      <c r="AK253" s="22" t="s">
        <v>3909</v>
      </c>
      <c r="AL253" s="43"/>
      <c r="AM253" s="43"/>
      <c r="AN253" s="43"/>
      <c r="AO253" s="43"/>
      <c r="AP253" s="46" t="s">
        <v>3910</v>
      </c>
      <c r="AQ253" s="46" t="s">
        <v>3911</v>
      </c>
      <c r="AR253" s="46" t="s">
        <v>3912</v>
      </c>
      <c r="AS253" s="43"/>
      <c r="AT253" s="43"/>
      <c r="AU253" s="43"/>
      <c r="AV253" s="43"/>
      <c r="AW253" s="22" t="s">
        <v>649</v>
      </c>
      <c r="AX253" s="22" t="s">
        <v>3908</v>
      </c>
      <c r="AY253" s="22" t="s">
        <v>372</v>
      </c>
      <c r="AZ253" s="43"/>
      <c r="BA253" s="43"/>
      <c r="BB253" s="43"/>
      <c r="BC253" s="43"/>
      <c r="BD253" s="43" t="s">
        <v>1449</v>
      </c>
      <c r="BE253" s="59" t="s">
        <v>2755</v>
      </c>
      <c r="BF253" s="22" t="s">
        <v>131</v>
      </c>
      <c r="BG253" s="22" t="s">
        <v>132</v>
      </c>
      <c r="BH253" s="22" t="s">
        <v>132</v>
      </c>
      <c r="BI253" s="22" t="s">
        <v>132</v>
      </c>
      <c r="BJ253" s="43"/>
      <c r="BK253" s="43"/>
      <c r="BL253" s="22">
        <v>4.634454567374E12</v>
      </c>
      <c r="BM253" s="22">
        <v>2.106909809E9</v>
      </c>
      <c r="BN253" s="22" t="s">
        <v>2694</v>
      </c>
      <c r="BO253" s="22"/>
      <c r="BP253" s="22" t="s">
        <v>145</v>
      </c>
      <c r="BQ253" s="43"/>
      <c r="BR253" s="43"/>
      <c r="BS253" s="22" t="s">
        <v>2695</v>
      </c>
      <c r="BT253" s="43"/>
      <c r="BU253" s="22" t="s">
        <v>2696</v>
      </c>
      <c r="BV253" s="22" t="s">
        <v>2697</v>
      </c>
      <c r="BW253" s="22" t="s">
        <v>2698</v>
      </c>
      <c r="BX253" s="22">
        <v>20.0</v>
      </c>
      <c r="BY253" s="22" t="s">
        <v>492</v>
      </c>
      <c r="BZ253" s="22"/>
      <c r="CA253" s="22" t="s">
        <v>355</v>
      </c>
      <c r="CB253" s="22" t="s">
        <v>307</v>
      </c>
      <c r="CC253" s="45" t="s">
        <v>2699</v>
      </c>
      <c r="CD253" s="43"/>
      <c r="CE253" s="43"/>
      <c r="CF253" s="45"/>
      <c r="CG253" s="43"/>
      <c r="CH253" s="43"/>
      <c r="CI253" s="43"/>
      <c r="CJ253" s="43"/>
      <c r="CK253" s="43"/>
      <c r="CL253" s="43"/>
      <c r="CM253" s="49">
        <f>IFERROR(VLOOKUP(B253,CC!A:D,4,0)," ")</f>
        <v>210</v>
      </c>
      <c r="CN253" s="22" t="s">
        <v>2700</v>
      </c>
      <c r="CO253" s="22"/>
      <c r="CP253" s="22"/>
      <c r="CQ253" s="22">
        <v>45.0</v>
      </c>
      <c r="CR253" s="43"/>
      <c r="CS253" s="43"/>
      <c r="CT253" s="22" t="s">
        <v>145</v>
      </c>
      <c r="CU253" s="43"/>
      <c r="CV253" s="43"/>
      <c r="CW253" s="43"/>
      <c r="CX253" s="43"/>
      <c r="CY253" s="43" t="b">
        <v>0</v>
      </c>
      <c r="CZ253" s="43" t="b">
        <v>0</v>
      </c>
      <c r="DA253" s="43" t="b">
        <v>0</v>
      </c>
      <c r="DB253" s="43" t="b">
        <v>0</v>
      </c>
      <c r="DC253" s="43"/>
      <c r="DD253" s="43"/>
      <c r="DE253" s="43"/>
      <c r="DF253" s="43"/>
      <c r="DG253" s="43"/>
      <c r="DH253" s="43"/>
      <c r="DI253" s="43"/>
      <c r="DJ253" s="22">
        <f>IFERROR(VLOOKUP($B253,'Лист4'!$D:$AI,27,0)," ")</f>
        <v>4</v>
      </c>
      <c r="DK253" s="22">
        <f>IFERROR(VLOOKUP($B253,'Лист4'!$D:$AI,28,0)," ")</f>
        <v>9</v>
      </c>
      <c r="DL253" s="22">
        <f>IFERROR(VLOOKUP($B253,'Лист4'!$D:$AI,29,0)," ")</f>
        <v>4</v>
      </c>
      <c r="DM253" s="22">
        <f t="shared" si="3"/>
        <v>144</v>
      </c>
      <c r="DN253" s="22">
        <f>IFERROR(VLOOKUP($B253,'Лист4'!$D:$AI,32,0)," ")</f>
        <v>0.07</v>
      </c>
      <c r="DO253" s="22"/>
      <c r="DP253" s="22"/>
      <c r="DQ253" s="22"/>
      <c r="DR253" s="22"/>
      <c r="DS253" s="22"/>
      <c r="DT253" s="22"/>
      <c r="DU253" s="22"/>
      <c r="DV253" s="22"/>
      <c r="DW253" s="22"/>
      <c r="DX253" s="22"/>
      <c r="DY253" s="22"/>
      <c r="DZ253" s="22"/>
      <c r="EA253" s="22"/>
      <c r="EB253" s="22"/>
      <c r="EC253" s="22"/>
      <c r="ED253" s="22"/>
      <c r="EE253" s="22"/>
      <c r="EF253" s="22"/>
      <c r="EG253" s="22"/>
      <c r="EH253" s="22"/>
      <c r="EI253" s="22"/>
      <c r="EJ253" s="22"/>
      <c r="EK253" s="22"/>
      <c r="EL253" s="22"/>
      <c r="EM253" s="22"/>
      <c r="EN253" s="22"/>
      <c r="EO253" s="22"/>
      <c r="EP253" s="22"/>
      <c r="EQ253" s="22"/>
      <c r="ER253" s="22"/>
      <c r="ES253" s="43"/>
      <c r="ET253" s="43"/>
      <c r="EU253" s="43"/>
      <c r="EV253" s="43"/>
      <c r="EW253" s="43"/>
      <c r="EX253" s="43"/>
      <c r="EY253" s="43"/>
      <c r="EZ253" s="43"/>
      <c r="FA253" s="43"/>
      <c r="FB253" s="43"/>
      <c r="FC253" s="43"/>
      <c r="FD253" s="43"/>
      <c r="FE253" s="43"/>
      <c r="FF253" s="43"/>
      <c r="FG253" s="43"/>
      <c r="FH253" s="43"/>
      <c r="FI253" s="43"/>
    </row>
    <row r="254" ht="18.0" customHeight="1">
      <c r="A254" s="22" t="s">
        <v>2659</v>
      </c>
      <c r="B254" s="43" t="s">
        <v>3913</v>
      </c>
      <c r="C254" s="22" t="s">
        <v>2741</v>
      </c>
      <c r="D254" s="22" t="s">
        <v>187</v>
      </c>
      <c r="E254" s="43" t="s">
        <v>3914</v>
      </c>
      <c r="F254" s="22" t="s">
        <v>3915</v>
      </c>
      <c r="G254" s="22" t="s">
        <v>361</v>
      </c>
      <c r="H254" s="22" t="s">
        <v>3158</v>
      </c>
      <c r="I254" s="43"/>
      <c r="J254" s="43"/>
      <c r="K254" s="22" t="b">
        <v>1</v>
      </c>
      <c r="L254" s="22" t="b">
        <v>1</v>
      </c>
      <c r="M254" s="22" t="b">
        <v>1</v>
      </c>
      <c r="N254" s="22" t="b">
        <v>1</v>
      </c>
      <c r="O254" s="22" t="b">
        <v>0</v>
      </c>
      <c r="P254" s="22" t="b">
        <v>0</v>
      </c>
      <c r="Q254" s="22" t="b">
        <v>0</v>
      </c>
      <c r="R254" s="43"/>
      <c r="S254" s="43" t="s">
        <v>3916</v>
      </c>
      <c r="T254" s="22" t="s">
        <v>3913</v>
      </c>
      <c r="U254" s="22" t="s">
        <v>3913</v>
      </c>
      <c r="V254" s="22" t="s">
        <v>3913</v>
      </c>
      <c r="W254" s="43"/>
      <c r="X254" s="43"/>
      <c r="Y254" s="43"/>
      <c r="Z254" s="43"/>
      <c r="AA254" s="22">
        <v>2.80107477E8</v>
      </c>
      <c r="AB254" s="22">
        <v>1.752060204E9</v>
      </c>
      <c r="AC254" s="22">
        <v>1.03618443303E11</v>
      </c>
      <c r="AD254" s="22"/>
      <c r="AE254" s="22"/>
      <c r="AF254" s="43"/>
      <c r="AG254" s="43"/>
      <c r="AH254" s="43" t="s">
        <v>3915</v>
      </c>
      <c r="AI254" s="22" t="s">
        <v>3917</v>
      </c>
      <c r="AJ254" s="22" t="s">
        <v>3918</v>
      </c>
      <c r="AK254" s="22" t="s">
        <v>3919</v>
      </c>
      <c r="AL254" s="43"/>
      <c r="AM254" s="43"/>
      <c r="AN254" s="43"/>
      <c r="AO254" s="43"/>
      <c r="AP254" s="46" t="s">
        <v>3920</v>
      </c>
      <c r="AQ254" s="46" t="s">
        <v>3921</v>
      </c>
      <c r="AR254" s="46" t="s">
        <v>3922</v>
      </c>
      <c r="AS254" s="43"/>
      <c r="AT254" s="43"/>
      <c r="AU254" s="43"/>
      <c r="AV254" s="43"/>
      <c r="AW254" s="22" t="s">
        <v>669</v>
      </c>
      <c r="AX254" s="22" t="s">
        <v>3918</v>
      </c>
      <c r="AY254" s="22" t="s">
        <v>670</v>
      </c>
      <c r="AZ254" s="43"/>
      <c r="BA254" s="43"/>
      <c r="BB254" s="43"/>
      <c r="BC254" s="43"/>
      <c r="BD254" s="43" t="s">
        <v>2993</v>
      </c>
      <c r="BE254" s="59" t="s">
        <v>2674</v>
      </c>
      <c r="BF254" s="22" t="s">
        <v>131</v>
      </c>
      <c r="BG254" s="22" t="s">
        <v>132</v>
      </c>
      <c r="BH254" s="22" t="s">
        <v>132</v>
      </c>
      <c r="BI254" s="22" t="s">
        <v>132</v>
      </c>
      <c r="BJ254" s="43"/>
      <c r="BK254" s="43"/>
      <c r="BL254" s="22">
        <v>4.640257810869E12</v>
      </c>
      <c r="BM254" s="22">
        <v>2.106909808E9</v>
      </c>
      <c r="BN254" s="22" t="s">
        <v>3923</v>
      </c>
      <c r="BO254" s="22"/>
      <c r="BP254" s="22" t="s">
        <v>496</v>
      </c>
      <c r="BQ254" s="43"/>
      <c r="BR254" s="43"/>
      <c r="BS254" s="22" t="s">
        <v>3924</v>
      </c>
      <c r="BT254" s="43"/>
      <c r="BU254" s="22" t="s">
        <v>3925</v>
      </c>
      <c r="BV254" s="43" t="s">
        <v>3926</v>
      </c>
      <c r="BW254" s="22" t="s">
        <v>3927</v>
      </c>
      <c r="BX254" s="22">
        <v>60.0</v>
      </c>
      <c r="BY254" s="22" t="s">
        <v>492</v>
      </c>
      <c r="BZ254" s="22"/>
      <c r="CA254" s="22" t="s">
        <v>726</v>
      </c>
      <c r="CB254" s="22" t="s">
        <v>727</v>
      </c>
      <c r="CC254" s="45" t="s">
        <v>3928</v>
      </c>
      <c r="CD254" s="43"/>
      <c r="CE254" s="43"/>
      <c r="CF254" s="45"/>
      <c r="CG254" s="43"/>
      <c r="CH254" s="43"/>
      <c r="CI254" s="43"/>
      <c r="CJ254" s="43"/>
      <c r="CK254" s="43"/>
      <c r="CL254" s="43"/>
      <c r="CM254" s="49">
        <f>IFERROR(VLOOKUP(B254,CC!A:D,4,0)," ")</f>
        <v>280</v>
      </c>
      <c r="CN254" s="22" t="s">
        <v>3929</v>
      </c>
      <c r="CO254" s="22"/>
      <c r="CP254" s="22" t="s">
        <v>1702</v>
      </c>
      <c r="CQ254" s="22">
        <v>60.0</v>
      </c>
      <c r="CR254" s="43"/>
      <c r="CS254" s="22">
        <v>2.0</v>
      </c>
      <c r="CT254" s="22" t="s">
        <v>145</v>
      </c>
      <c r="CU254" s="43"/>
      <c r="CV254" s="43"/>
      <c r="CW254" s="43"/>
      <c r="CX254" s="43"/>
      <c r="CY254" s="43" t="b">
        <v>0</v>
      </c>
      <c r="CZ254" s="43" t="b">
        <v>0</v>
      </c>
      <c r="DA254" s="43" t="b">
        <v>0</v>
      </c>
      <c r="DB254" s="43" t="b">
        <v>0</v>
      </c>
      <c r="DC254" s="43"/>
      <c r="DD254" s="43"/>
      <c r="DE254" s="43"/>
      <c r="DF254" s="43"/>
      <c r="DG254" s="43"/>
      <c r="DH254" s="43"/>
      <c r="DI254" s="43"/>
      <c r="DJ254" s="22">
        <f>IFERROR(VLOOKUP($B254,'Лист4'!$D:$AI,27,0)," ")</f>
        <v>8</v>
      </c>
      <c r="DK254" s="22">
        <f>IFERROR(VLOOKUP($B254,'Лист4'!$D:$AI,28,0)," ")</f>
        <v>5</v>
      </c>
      <c r="DL254" s="22">
        <f>IFERROR(VLOOKUP($B254,'Лист4'!$D:$AI,29,0)," ")</f>
        <v>8</v>
      </c>
      <c r="DM254" s="22">
        <f t="shared" si="3"/>
        <v>320</v>
      </c>
      <c r="DN254" s="22">
        <f>IFERROR(VLOOKUP($B254,'Лист4'!$D:$AI,32,0)," ")</f>
        <v>0.05</v>
      </c>
      <c r="DO254" s="22"/>
      <c r="DP254" s="22"/>
      <c r="DQ254" s="22"/>
      <c r="DR254" s="22"/>
      <c r="DS254" s="22"/>
      <c r="DT254" s="22"/>
      <c r="DU254" s="22"/>
      <c r="DV254" s="22"/>
      <c r="DW254" s="22"/>
      <c r="DX254" s="22"/>
      <c r="DY254" s="22"/>
      <c r="DZ254" s="22"/>
      <c r="EA254" s="22"/>
      <c r="EB254" s="22"/>
      <c r="EC254" s="22"/>
      <c r="ED254" s="22"/>
      <c r="EE254" s="22"/>
      <c r="EF254" s="22"/>
      <c r="EG254" s="22"/>
      <c r="EH254" s="22"/>
      <c r="EI254" s="22"/>
      <c r="EJ254" s="22"/>
      <c r="EK254" s="22"/>
      <c r="EL254" s="22"/>
      <c r="EM254" s="22"/>
      <c r="EN254" s="22"/>
      <c r="EO254" s="22"/>
      <c r="EP254" s="22"/>
      <c r="EQ254" s="22"/>
      <c r="ER254" s="22"/>
      <c r="ES254" s="43"/>
      <c r="ET254" s="43"/>
      <c r="EU254" s="43"/>
      <c r="EV254" s="43"/>
      <c r="EW254" s="43"/>
      <c r="EX254" s="43"/>
      <c r="EY254" s="43"/>
      <c r="EZ254" s="43"/>
      <c r="FA254" s="43"/>
      <c r="FB254" s="43"/>
      <c r="FC254" s="43"/>
      <c r="FD254" s="43"/>
      <c r="FE254" s="43"/>
      <c r="FF254" s="43"/>
      <c r="FG254" s="43"/>
      <c r="FH254" s="43"/>
      <c r="FI254" s="43"/>
    </row>
    <row r="255" ht="18.0" customHeight="1">
      <c r="A255" s="22" t="s">
        <v>2659</v>
      </c>
      <c r="B255" s="43" t="s">
        <v>3930</v>
      </c>
      <c r="C255" s="22" t="s">
        <v>2661</v>
      </c>
      <c r="D255" s="22" t="s">
        <v>119</v>
      </c>
      <c r="E255" s="43"/>
      <c r="F255" s="22" t="s">
        <v>3931</v>
      </c>
      <c r="G255" s="22" t="s">
        <v>2663</v>
      </c>
      <c r="H255" s="22" t="s">
        <v>2703</v>
      </c>
      <c r="I255" s="43"/>
      <c r="J255" s="43"/>
      <c r="K255" s="22" t="b">
        <v>1</v>
      </c>
      <c r="L255" s="22" t="b">
        <v>1</v>
      </c>
      <c r="M255" s="22" t="b">
        <v>1</v>
      </c>
      <c r="N255" s="22" t="b">
        <v>1</v>
      </c>
      <c r="O255" s="22" t="b">
        <v>0</v>
      </c>
      <c r="P255" s="22" t="b">
        <v>0</v>
      </c>
      <c r="Q255" s="22" t="b">
        <v>0</v>
      </c>
      <c r="R255" s="43"/>
      <c r="S255" s="43" t="s">
        <v>3932</v>
      </c>
      <c r="T255" s="22" t="s">
        <v>3933</v>
      </c>
      <c r="U255" s="22" t="s">
        <v>3930</v>
      </c>
      <c r="V255" s="22" t="s">
        <v>3930</v>
      </c>
      <c r="W255" s="43"/>
      <c r="X255" s="43"/>
      <c r="Y255" s="43"/>
      <c r="Z255" s="43"/>
      <c r="AA255" s="22">
        <v>3.9234691E7</v>
      </c>
      <c r="AB255" s="22">
        <v>3.13362644E8</v>
      </c>
      <c r="AC255" s="22">
        <v>1.01645808515E11</v>
      </c>
      <c r="AD255" s="22"/>
      <c r="AE255" s="22"/>
      <c r="AF255" s="43"/>
      <c r="AG255" s="43"/>
      <c r="AH255" s="43" t="s">
        <v>3931</v>
      </c>
      <c r="AI255" s="22" t="s">
        <v>3190</v>
      </c>
      <c r="AJ255" s="22" t="s">
        <v>3934</v>
      </c>
      <c r="AK255" s="22" t="s">
        <v>3935</v>
      </c>
      <c r="AL255" s="43"/>
      <c r="AM255" s="43"/>
      <c r="AN255" s="43"/>
      <c r="AO255" s="43"/>
      <c r="AP255" s="46" t="s">
        <v>3936</v>
      </c>
      <c r="AQ255" s="46" t="s">
        <v>3937</v>
      </c>
      <c r="AR255" s="43"/>
      <c r="AS255" s="43"/>
      <c r="AT255" s="43"/>
      <c r="AU255" s="43"/>
      <c r="AV255" s="43"/>
      <c r="AW255" s="22" t="s">
        <v>361</v>
      </c>
      <c r="AX255" s="22" t="s">
        <v>3934</v>
      </c>
      <c r="AY255" s="22" t="s">
        <v>372</v>
      </c>
      <c r="AZ255" s="43"/>
      <c r="BA255" s="43"/>
      <c r="BB255" s="43"/>
      <c r="BC255" s="43"/>
      <c r="BD255" s="43" t="s">
        <v>401</v>
      </c>
      <c r="BE255" s="59" t="s">
        <v>2674</v>
      </c>
      <c r="BF255" s="22" t="s">
        <v>131</v>
      </c>
      <c r="BG255" s="22" t="s">
        <v>132</v>
      </c>
      <c r="BH255" s="22" t="s">
        <v>132</v>
      </c>
      <c r="BI255" s="22" t="s">
        <v>132</v>
      </c>
      <c r="BJ255" s="43"/>
      <c r="BK255" s="43"/>
      <c r="BL255" s="22">
        <v>4.631158730707E12</v>
      </c>
      <c r="BM255" s="22">
        <v>2.106909809E9</v>
      </c>
      <c r="BN255" s="22" t="s">
        <v>3938</v>
      </c>
      <c r="BO255" s="22"/>
      <c r="BP255" s="22" t="s">
        <v>145</v>
      </c>
      <c r="BQ255" s="43"/>
      <c r="BR255" s="43"/>
      <c r="BS255" s="22" t="s">
        <v>3939</v>
      </c>
      <c r="BT255" s="43"/>
      <c r="BU255" s="22" t="s">
        <v>3198</v>
      </c>
      <c r="BV255" s="22" t="s">
        <v>2777</v>
      </c>
      <c r="BW255" s="22" t="s">
        <v>3940</v>
      </c>
      <c r="BX255" s="22"/>
      <c r="BY255" s="43"/>
      <c r="BZ255" s="43"/>
      <c r="CA255" s="22" t="s">
        <v>401</v>
      </c>
      <c r="CB255" s="22" t="s">
        <v>401</v>
      </c>
      <c r="CC255" s="45" t="s">
        <v>3941</v>
      </c>
      <c r="CD255" s="43"/>
      <c r="CE255" s="43"/>
      <c r="CF255" s="45"/>
      <c r="CG255" s="43"/>
      <c r="CH255" s="43"/>
      <c r="CI255" s="43"/>
      <c r="CJ255" s="43"/>
      <c r="CK255" s="43"/>
      <c r="CL255" s="43"/>
      <c r="CM255" s="49">
        <f>IFERROR(VLOOKUP(B255,CC!A:D,4,0)," ")</f>
        <v>119.22</v>
      </c>
      <c r="CN255" s="22" t="s">
        <v>2681</v>
      </c>
      <c r="CO255" s="22"/>
      <c r="CP255" s="43"/>
      <c r="CQ255" s="22" t="s">
        <v>401</v>
      </c>
      <c r="CR255" s="43"/>
      <c r="CS255" s="22">
        <v>1.0</v>
      </c>
      <c r="CT255" s="22" t="s">
        <v>145</v>
      </c>
      <c r="CU255" s="43"/>
      <c r="CV255" s="43"/>
      <c r="CW255" s="43"/>
      <c r="CX255" s="43"/>
      <c r="CY255" s="43" t="b">
        <v>0</v>
      </c>
      <c r="CZ255" s="43" t="b">
        <v>0</v>
      </c>
      <c r="DA255" s="43" t="b">
        <v>0</v>
      </c>
      <c r="DB255" s="43" t="b">
        <v>0</v>
      </c>
      <c r="DC255" s="43"/>
      <c r="DD255" s="43"/>
      <c r="DE255" s="43"/>
      <c r="DF255" s="43"/>
      <c r="DG255" s="43"/>
      <c r="DH255" s="43"/>
      <c r="DI255" s="43"/>
      <c r="DJ255" s="22">
        <f>IFERROR(VLOOKUP($B255,'Лист4'!$D:$AI,27,0)," ")</f>
        <v>10</v>
      </c>
      <c r="DK255" s="22">
        <f>IFERROR(VLOOKUP($B255,'Лист4'!$D:$AI,28,0)," ")</f>
        <v>4</v>
      </c>
      <c r="DL255" s="22">
        <f>IFERROR(VLOOKUP($B255,'Лист4'!$D:$AI,29,0)," ")</f>
        <v>10</v>
      </c>
      <c r="DM255" s="22">
        <f t="shared" si="3"/>
        <v>400</v>
      </c>
      <c r="DN255" s="22">
        <f>IFERROR(VLOOKUP($B255,'Лист4'!$D:$AI,32,0)," ")</f>
        <v>0.032</v>
      </c>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22"/>
      <c r="EN255" s="22"/>
      <c r="EO255" s="22"/>
      <c r="EP255" s="22"/>
      <c r="EQ255" s="22"/>
      <c r="ER255" s="22"/>
      <c r="ES255" s="43"/>
      <c r="ET255" s="43"/>
      <c r="EU255" s="43"/>
      <c r="EV255" s="43"/>
      <c r="EW255" s="43"/>
      <c r="EX255" s="43"/>
      <c r="EY255" s="43"/>
      <c r="EZ255" s="43"/>
      <c r="FA255" s="43"/>
      <c r="FB255" s="43"/>
      <c r="FC255" s="43"/>
      <c r="FD255" s="43"/>
      <c r="FE255" s="43"/>
      <c r="FF255" s="43"/>
      <c r="FG255" s="43"/>
      <c r="FH255" s="43"/>
      <c r="FI255" s="43"/>
    </row>
    <row r="256" ht="18.0" customHeight="1">
      <c r="A256" s="22" t="s">
        <v>2659</v>
      </c>
      <c r="B256" s="43" t="s">
        <v>3942</v>
      </c>
      <c r="C256" s="22" t="s">
        <v>2661</v>
      </c>
      <c r="D256" s="22" t="s">
        <v>119</v>
      </c>
      <c r="E256" s="43"/>
      <c r="F256" s="22" t="s">
        <v>3943</v>
      </c>
      <c r="G256" s="22" t="s">
        <v>2663</v>
      </c>
      <c r="H256" s="22" t="s">
        <v>2664</v>
      </c>
      <c r="I256" s="43"/>
      <c r="J256" s="43"/>
      <c r="K256" s="22" t="b">
        <v>1</v>
      </c>
      <c r="L256" s="22" t="b">
        <v>1</v>
      </c>
      <c r="M256" s="22" t="b">
        <v>1</v>
      </c>
      <c r="N256" s="22" t="b">
        <v>1</v>
      </c>
      <c r="O256" s="22" t="b">
        <v>0</v>
      </c>
      <c r="P256" s="22" t="b">
        <v>0</v>
      </c>
      <c r="Q256" s="22" t="b">
        <v>0</v>
      </c>
      <c r="R256" s="43"/>
      <c r="S256" s="43" t="s">
        <v>3944</v>
      </c>
      <c r="T256" s="22" t="s">
        <v>3942</v>
      </c>
      <c r="U256" s="22" t="s">
        <v>3942</v>
      </c>
      <c r="V256" s="22" t="s">
        <v>3942</v>
      </c>
      <c r="W256" s="43"/>
      <c r="X256" s="43"/>
      <c r="Y256" s="43"/>
      <c r="Z256" s="43"/>
      <c r="AA256" s="22">
        <v>1.72161991E8</v>
      </c>
      <c r="AB256" s="22">
        <v>1.646797818E9</v>
      </c>
      <c r="AC256" s="22">
        <v>1.0354422505E11</v>
      </c>
      <c r="AD256" s="22"/>
      <c r="AE256" s="22"/>
      <c r="AF256" s="43"/>
      <c r="AG256" s="43"/>
      <c r="AH256" s="43" t="s">
        <v>3943</v>
      </c>
      <c r="AI256" s="22" t="s">
        <v>3945</v>
      </c>
      <c r="AJ256" s="22" t="s">
        <v>3946</v>
      </c>
      <c r="AK256" s="22" t="s">
        <v>3946</v>
      </c>
      <c r="AL256" s="43"/>
      <c r="AM256" s="43"/>
      <c r="AN256" s="43"/>
      <c r="AO256" s="43"/>
      <c r="AP256" s="46" t="s">
        <v>3947</v>
      </c>
      <c r="AQ256" s="46" t="s">
        <v>3948</v>
      </c>
      <c r="AR256" s="46" t="s">
        <v>3949</v>
      </c>
      <c r="AS256" s="43"/>
      <c r="AT256" s="43"/>
      <c r="AU256" s="43"/>
      <c r="AV256" s="43"/>
      <c r="AW256" s="22" t="s">
        <v>594</v>
      </c>
      <c r="AX256" s="22" t="s">
        <v>3946</v>
      </c>
      <c r="AY256" s="22" t="s">
        <v>2672</v>
      </c>
      <c r="AZ256" s="43"/>
      <c r="BA256" s="43"/>
      <c r="BB256" s="43"/>
      <c r="BC256" s="43"/>
      <c r="BD256" s="43" t="s">
        <v>2673</v>
      </c>
      <c r="BE256" s="59" t="s">
        <v>2755</v>
      </c>
      <c r="BF256" s="22" t="s">
        <v>131</v>
      </c>
      <c r="BG256" s="22" t="s">
        <v>132</v>
      </c>
      <c r="BH256" s="22" t="s">
        <v>132</v>
      </c>
      <c r="BI256" s="22" t="s">
        <v>132</v>
      </c>
      <c r="BJ256" s="43"/>
      <c r="BK256" s="43"/>
      <c r="BL256" s="22">
        <v>2.038301433485E12</v>
      </c>
      <c r="BM256" s="22">
        <v>3.30499E9</v>
      </c>
      <c r="BN256" s="22" t="s">
        <v>3950</v>
      </c>
      <c r="BO256" s="22"/>
      <c r="BP256" s="22" t="s">
        <v>145</v>
      </c>
      <c r="BQ256" s="43"/>
      <c r="BR256" s="43"/>
      <c r="BS256" s="43" t="s">
        <v>3951</v>
      </c>
      <c r="BT256" s="43"/>
      <c r="BU256" s="22" t="s">
        <v>3609</v>
      </c>
      <c r="BV256" s="22" t="s">
        <v>2777</v>
      </c>
      <c r="BW256" s="22" t="s">
        <v>2778</v>
      </c>
      <c r="BX256" s="22"/>
      <c r="BY256" s="43"/>
      <c r="BZ256" s="43"/>
      <c r="CA256" s="22"/>
      <c r="CB256" s="22"/>
      <c r="CC256" s="45"/>
      <c r="CD256" s="43"/>
      <c r="CE256" s="43"/>
      <c r="CF256" s="45"/>
      <c r="CG256" s="43"/>
      <c r="CH256" s="43"/>
      <c r="CI256" s="43"/>
      <c r="CJ256" s="43"/>
      <c r="CK256" s="43"/>
      <c r="CL256" s="43"/>
      <c r="CM256" s="49">
        <f>IFERROR(VLOOKUP(B256,CC!A:D,4,0)," ")</f>
        <v>349.08</v>
      </c>
      <c r="CN256" s="22" t="s">
        <v>2681</v>
      </c>
      <c r="CO256" s="22"/>
      <c r="CP256" s="43"/>
      <c r="CQ256" s="22">
        <v>45.0</v>
      </c>
      <c r="CR256" s="43"/>
      <c r="CS256" s="22">
        <v>1.0</v>
      </c>
      <c r="CT256" s="22" t="s">
        <v>145</v>
      </c>
      <c r="CU256" s="43"/>
      <c r="CV256" s="43"/>
      <c r="CW256" s="43"/>
      <c r="CX256" s="43"/>
      <c r="CY256" s="43" t="b">
        <v>0</v>
      </c>
      <c r="CZ256" s="43" t="b">
        <v>0</v>
      </c>
      <c r="DA256" s="43" t="b">
        <v>0</v>
      </c>
      <c r="DB256" s="43" t="b">
        <v>0</v>
      </c>
      <c r="DC256" s="43"/>
      <c r="DD256" s="43"/>
      <c r="DE256" s="43"/>
      <c r="DF256" s="43"/>
      <c r="DG256" s="43"/>
      <c r="DH256" s="43"/>
      <c r="DI256" s="43"/>
      <c r="DJ256" s="22">
        <f>IFERROR(VLOOKUP($B256,'Лист4'!$D:$AI,27,0)," ")</f>
        <v>21</v>
      </c>
      <c r="DK256" s="22">
        <f>IFERROR(VLOOKUP($B256,'Лист4'!$D:$AI,28,0)," ")</f>
        <v>6</v>
      </c>
      <c r="DL256" s="22">
        <f>IFERROR(VLOOKUP($B256,'Лист4'!$D:$AI,29,0)," ")</f>
        <v>21</v>
      </c>
      <c r="DM256" s="22">
        <f t="shared" si="3"/>
        <v>2646</v>
      </c>
      <c r="DN256" s="22">
        <f>IFERROR(VLOOKUP($B256,'Лист4'!$D:$AI,32,0)," ")</f>
        <v>0.2</v>
      </c>
      <c r="DO256" s="22"/>
      <c r="DP256" s="22"/>
      <c r="DQ256" s="22"/>
      <c r="DR256" s="22"/>
      <c r="DS256" s="22"/>
      <c r="DT256" s="22"/>
      <c r="DU256" s="22"/>
      <c r="DV256" s="22"/>
      <c r="DW256" s="22"/>
      <c r="DX256" s="22"/>
      <c r="DY256" s="22"/>
      <c r="DZ256" s="22"/>
      <c r="EA256" s="22"/>
      <c r="EB256" s="22"/>
      <c r="EC256" s="22"/>
      <c r="ED256" s="22"/>
      <c r="EE256" s="22"/>
      <c r="EF256" s="22"/>
      <c r="EG256" s="22"/>
      <c r="EH256" s="22"/>
      <c r="EI256" s="22"/>
      <c r="EJ256" s="22"/>
      <c r="EK256" s="22"/>
      <c r="EL256" s="22"/>
      <c r="EM256" s="22"/>
      <c r="EN256" s="22"/>
      <c r="EO256" s="22"/>
      <c r="EP256" s="22"/>
      <c r="EQ256" s="22"/>
      <c r="ER256" s="22"/>
      <c r="ES256" s="43"/>
      <c r="ET256" s="43"/>
      <c r="EU256" s="43"/>
      <c r="EV256" s="43"/>
      <c r="EW256" s="43"/>
      <c r="EX256" s="43"/>
      <c r="EY256" s="43"/>
      <c r="EZ256" s="43"/>
      <c r="FA256" s="43"/>
      <c r="FB256" s="43"/>
      <c r="FC256" s="43"/>
      <c r="FD256" s="43"/>
      <c r="FE256" s="43"/>
      <c r="FF256" s="43"/>
      <c r="FG256" s="43"/>
      <c r="FH256" s="43"/>
      <c r="FI256" s="43"/>
    </row>
    <row r="257" ht="18.0" customHeight="1">
      <c r="A257" s="22" t="s">
        <v>2659</v>
      </c>
      <c r="B257" s="43" t="s">
        <v>3952</v>
      </c>
      <c r="C257" s="22" t="s">
        <v>2661</v>
      </c>
      <c r="D257" s="22" t="s">
        <v>119</v>
      </c>
      <c r="E257" s="43"/>
      <c r="F257" s="22" t="s">
        <v>3953</v>
      </c>
      <c r="G257" s="22" t="s">
        <v>2663</v>
      </c>
      <c r="H257" s="22" t="s">
        <v>2703</v>
      </c>
      <c r="I257" s="43"/>
      <c r="J257" s="43"/>
      <c r="K257" s="22" t="b">
        <v>1</v>
      </c>
      <c r="L257" s="22" t="b">
        <v>1</v>
      </c>
      <c r="M257" s="22" t="b">
        <v>1</v>
      </c>
      <c r="N257" s="22" t="b">
        <v>1</v>
      </c>
      <c r="O257" s="22" t="b">
        <v>0</v>
      </c>
      <c r="P257" s="22" t="b">
        <v>0</v>
      </c>
      <c r="Q257" s="22" t="b">
        <v>0</v>
      </c>
      <c r="R257" s="43"/>
      <c r="S257" s="43" t="s">
        <v>3954</v>
      </c>
      <c r="T257" s="22" t="s">
        <v>3952</v>
      </c>
      <c r="U257" s="22" t="s">
        <v>3952</v>
      </c>
      <c r="V257" s="22" t="s">
        <v>3952</v>
      </c>
      <c r="W257" s="43"/>
      <c r="X257" s="43"/>
      <c r="Y257" s="43"/>
      <c r="Z257" s="43"/>
      <c r="AA257" s="22">
        <v>3.4282538E7</v>
      </c>
      <c r="AB257" s="22">
        <v>2.96818697E8</v>
      </c>
      <c r="AC257" s="22">
        <v>1.03340896063E11</v>
      </c>
      <c r="AD257" s="22"/>
      <c r="AE257" s="22"/>
      <c r="AF257" s="43"/>
      <c r="AG257" s="43"/>
      <c r="AH257" s="43" t="s">
        <v>3953</v>
      </c>
      <c r="AI257" s="22" t="s">
        <v>3190</v>
      </c>
      <c r="AJ257" s="22" t="s">
        <v>3955</v>
      </c>
      <c r="AK257" s="22" t="s">
        <v>3955</v>
      </c>
      <c r="AL257" s="43"/>
      <c r="AM257" s="43"/>
      <c r="AN257" s="43"/>
      <c r="AO257" s="43"/>
      <c r="AP257" s="46" t="s">
        <v>3956</v>
      </c>
      <c r="AQ257" s="46" t="s">
        <v>3957</v>
      </c>
      <c r="AR257" s="46" t="s">
        <v>3958</v>
      </c>
      <c r="AS257" s="43"/>
      <c r="AT257" s="43"/>
      <c r="AU257" s="43"/>
      <c r="AV257" s="43"/>
      <c r="AW257" s="22" t="s">
        <v>361</v>
      </c>
      <c r="AX257" s="22" t="s">
        <v>3955</v>
      </c>
      <c r="AY257" s="22" t="s">
        <v>372</v>
      </c>
      <c r="AZ257" s="43"/>
      <c r="BA257" s="43"/>
      <c r="BB257" s="43"/>
      <c r="BC257" s="43"/>
      <c r="BD257" s="43" t="s">
        <v>2993</v>
      </c>
      <c r="BE257" s="59" t="s">
        <v>2674</v>
      </c>
      <c r="BF257" s="22" t="s">
        <v>131</v>
      </c>
      <c r="BG257" s="22" t="s">
        <v>132</v>
      </c>
      <c r="BH257" s="22" t="s">
        <v>132</v>
      </c>
      <c r="BI257" s="22" t="s">
        <v>132</v>
      </c>
      <c r="BJ257" s="43"/>
      <c r="BK257" s="43"/>
      <c r="BL257" s="22">
        <v>4.631159171028E12</v>
      </c>
      <c r="BM257" s="22">
        <v>2.106909809E9</v>
      </c>
      <c r="BN257" s="22" t="s">
        <v>3959</v>
      </c>
      <c r="BO257" s="22"/>
      <c r="BP257" s="22" t="s">
        <v>145</v>
      </c>
      <c r="BQ257" s="43"/>
      <c r="BR257" s="43"/>
      <c r="BS257" s="22" t="s">
        <v>3197</v>
      </c>
      <c r="BT257" s="43"/>
      <c r="BU257" s="22" t="s">
        <v>3198</v>
      </c>
      <c r="BV257" s="22" t="s">
        <v>3199</v>
      </c>
      <c r="BW257" s="22" t="s">
        <v>3200</v>
      </c>
      <c r="BX257" s="22">
        <v>10.0</v>
      </c>
      <c r="BY257" s="22" t="s">
        <v>492</v>
      </c>
      <c r="BZ257" s="22"/>
      <c r="CA257" s="22" t="s">
        <v>3960</v>
      </c>
      <c r="CB257" s="22" t="s">
        <v>307</v>
      </c>
      <c r="CC257" s="45" t="s">
        <v>3961</v>
      </c>
      <c r="CD257" s="43"/>
      <c r="CE257" s="43"/>
      <c r="CF257" s="45"/>
      <c r="CG257" s="43"/>
      <c r="CH257" s="43"/>
      <c r="CI257" s="43"/>
      <c r="CJ257" s="43"/>
      <c r="CK257" s="43"/>
      <c r="CL257" s="43"/>
      <c r="CM257" s="49">
        <f>IFERROR(VLOOKUP(B257,CC!A:D,4,0)," ")</f>
        <v>103.48</v>
      </c>
      <c r="CN257" s="22" t="s">
        <v>2681</v>
      </c>
      <c r="CO257" s="22"/>
      <c r="CP257" s="43"/>
      <c r="CQ257" s="22" t="s">
        <v>401</v>
      </c>
      <c r="CR257" s="43"/>
      <c r="CS257" s="22">
        <v>1.0</v>
      </c>
      <c r="CT257" s="22" t="s">
        <v>145</v>
      </c>
      <c r="CU257" s="43"/>
      <c r="CV257" s="43"/>
      <c r="CW257" s="43"/>
      <c r="CX257" s="43"/>
      <c r="CY257" s="43" t="b">
        <v>0</v>
      </c>
      <c r="CZ257" s="43" t="b">
        <v>0</v>
      </c>
      <c r="DA257" s="43" t="b">
        <v>0</v>
      </c>
      <c r="DB257" s="43" t="b">
        <v>0</v>
      </c>
      <c r="DC257" s="43"/>
      <c r="DD257" s="43"/>
      <c r="DE257" s="43"/>
      <c r="DF257" s="43"/>
      <c r="DG257" s="43"/>
      <c r="DH257" s="43"/>
      <c r="DI257" s="43"/>
      <c r="DJ257" s="22">
        <f>IFERROR(VLOOKUP($B257,'Лист4'!$D:$AI,27,0)," ")</f>
        <v>11</v>
      </c>
      <c r="DK257" s="22">
        <f>IFERROR(VLOOKUP($B257,'Лист4'!$D:$AI,28,0)," ")</f>
        <v>1</v>
      </c>
      <c r="DL257" s="22">
        <f>IFERROR(VLOOKUP($B257,'Лист4'!$D:$AI,29,0)," ")</f>
        <v>11</v>
      </c>
      <c r="DM257" s="22">
        <f t="shared" si="3"/>
        <v>121</v>
      </c>
      <c r="DN257" s="22">
        <f>IFERROR(VLOOKUP($B257,'Лист4'!$D:$AI,32,0)," ")</f>
        <v>0.012</v>
      </c>
      <c r="DO257" s="22"/>
      <c r="DP257" s="22"/>
      <c r="DQ257" s="22"/>
      <c r="DR257" s="22"/>
      <c r="DS257" s="22"/>
      <c r="DT257" s="22"/>
      <c r="DU257" s="22"/>
      <c r="DV257" s="22"/>
      <c r="DW257" s="22"/>
      <c r="DX257" s="22"/>
      <c r="DY257" s="22"/>
      <c r="DZ257" s="22"/>
      <c r="EA257" s="22"/>
      <c r="EB257" s="22"/>
      <c r="EC257" s="22"/>
      <c r="ED257" s="22"/>
      <c r="EE257" s="22"/>
      <c r="EF257" s="22"/>
      <c r="EG257" s="22"/>
      <c r="EH257" s="22"/>
      <c r="EI257" s="22"/>
      <c r="EJ257" s="22"/>
      <c r="EK257" s="22"/>
      <c r="EL257" s="22"/>
      <c r="EM257" s="22"/>
      <c r="EN257" s="22"/>
      <c r="EO257" s="22"/>
      <c r="EP257" s="22"/>
      <c r="EQ257" s="22"/>
      <c r="ER257" s="22"/>
      <c r="ES257" s="43"/>
      <c r="ET257" s="43"/>
      <c r="EU257" s="43"/>
      <c r="EV257" s="43"/>
      <c r="EW257" s="43"/>
      <c r="EX257" s="43"/>
      <c r="EY257" s="43"/>
      <c r="EZ257" s="43"/>
      <c r="FA257" s="43"/>
      <c r="FB257" s="43"/>
      <c r="FC257" s="43"/>
      <c r="FD257" s="43"/>
      <c r="FE257" s="43"/>
      <c r="FF257" s="43"/>
      <c r="FG257" s="43"/>
      <c r="FH257" s="43"/>
      <c r="FI257" s="43"/>
    </row>
    <row r="258" ht="18.0" customHeight="1">
      <c r="A258" s="22" t="s">
        <v>2659</v>
      </c>
      <c r="B258" s="43" t="s">
        <v>3962</v>
      </c>
      <c r="C258" s="22" t="s">
        <v>2661</v>
      </c>
      <c r="D258" s="22" t="s">
        <v>119</v>
      </c>
      <c r="E258" s="43"/>
      <c r="F258" s="22" t="s">
        <v>3963</v>
      </c>
      <c r="G258" s="22" t="s">
        <v>2663</v>
      </c>
      <c r="H258" s="22" t="s">
        <v>2664</v>
      </c>
      <c r="I258" s="43"/>
      <c r="J258" s="43"/>
      <c r="K258" s="22" t="b">
        <v>1</v>
      </c>
      <c r="L258" s="22" t="b">
        <v>1</v>
      </c>
      <c r="M258" s="22" t="b">
        <v>1</v>
      </c>
      <c r="N258" s="22" t="b">
        <v>1</v>
      </c>
      <c r="O258" s="22" t="b">
        <v>0</v>
      </c>
      <c r="P258" s="22" t="b">
        <v>0</v>
      </c>
      <c r="Q258" s="22" t="b">
        <v>0</v>
      </c>
      <c r="R258" s="43"/>
      <c r="S258" s="43" t="s">
        <v>3964</v>
      </c>
      <c r="T258" s="22" t="s">
        <v>3962</v>
      </c>
      <c r="U258" s="22" t="s">
        <v>3962</v>
      </c>
      <c r="V258" s="22" t="s">
        <v>3962</v>
      </c>
      <c r="W258" s="43"/>
      <c r="X258" s="43"/>
      <c r="Y258" s="43"/>
      <c r="Z258" s="43"/>
      <c r="AA258" s="22">
        <v>1.92906679E8</v>
      </c>
      <c r="AB258" s="22">
        <v>1.323284376E9</v>
      </c>
      <c r="AC258" s="22">
        <v>1.0267637875E11</v>
      </c>
      <c r="AD258" s="22"/>
      <c r="AE258" s="22"/>
      <c r="AF258" s="43"/>
      <c r="AG258" s="43"/>
      <c r="AH258" s="43" t="s">
        <v>3963</v>
      </c>
      <c r="AI258" s="22" t="s">
        <v>3600</v>
      </c>
      <c r="AJ258" s="22" t="s">
        <v>3965</v>
      </c>
      <c r="AK258" s="22" t="s">
        <v>3966</v>
      </c>
      <c r="AL258" s="43"/>
      <c r="AM258" s="43"/>
      <c r="AN258" s="43"/>
      <c r="AO258" s="43"/>
      <c r="AP258" s="46" t="s">
        <v>3967</v>
      </c>
      <c r="AQ258" s="46" t="s">
        <v>3968</v>
      </c>
      <c r="AR258" s="43"/>
      <c r="AS258" s="43"/>
      <c r="AT258" s="43"/>
      <c r="AU258" s="43"/>
      <c r="AV258" s="43"/>
      <c r="AW258" s="22" t="s">
        <v>3445</v>
      </c>
      <c r="AX258" s="22" t="s">
        <v>3965</v>
      </c>
      <c r="AY258" s="22" t="s">
        <v>2672</v>
      </c>
      <c r="AZ258" s="43"/>
      <c r="BA258" s="43"/>
      <c r="BB258" s="43"/>
      <c r="BC258" s="43"/>
      <c r="BD258" s="43" t="s">
        <v>301</v>
      </c>
      <c r="BE258" s="59" t="s">
        <v>2674</v>
      </c>
      <c r="BF258" s="22" t="s">
        <v>131</v>
      </c>
      <c r="BG258" s="22" t="s">
        <v>132</v>
      </c>
      <c r="BH258" s="22" t="s">
        <v>132</v>
      </c>
      <c r="BI258" s="22" t="s">
        <v>132</v>
      </c>
      <c r="BJ258" s="43"/>
      <c r="BK258" s="43"/>
      <c r="BL258" s="43" t="s">
        <v>3969</v>
      </c>
      <c r="BM258" s="22">
        <v>3.30499E9</v>
      </c>
      <c r="BN258" s="22" t="s">
        <v>2953</v>
      </c>
      <c r="BO258" s="22"/>
      <c r="BP258" s="22" t="s">
        <v>496</v>
      </c>
      <c r="BQ258" s="43"/>
      <c r="BR258" s="43"/>
      <c r="BS258" s="43" t="s">
        <v>3970</v>
      </c>
      <c r="BT258" s="43"/>
      <c r="BU258" s="22" t="s">
        <v>2678</v>
      </c>
      <c r="BV258" s="22" t="s">
        <v>2679</v>
      </c>
      <c r="BW258" s="22" t="s">
        <v>2778</v>
      </c>
      <c r="BX258" s="22">
        <v>75.0</v>
      </c>
      <c r="BY258" s="22" t="s">
        <v>139</v>
      </c>
      <c r="BZ258" s="22"/>
      <c r="CA258" s="22" t="s">
        <v>307</v>
      </c>
      <c r="CB258" s="22" t="s">
        <v>307</v>
      </c>
      <c r="CC258" s="45" t="s">
        <v>3971</v>
      </c>
      <c r="CD258" s="43"/>
      <c r="CE258" s="43"/>
      <c r="CF258" s="45"/>
      <c r="CG258" s="43"/>
      <c r="CH258" s="43"/>
      <c r="CI258" s="43"/>
      <c r="CJ258" s="43"/>
      <c r="CK258" s="43"/>
      <c r="CL258" s="43"/>
      <c r="CM258" s="49">
        <f>IFERROR(VLOOKUP(B258,CC!A:D,4,0)," ")</f>
        <v>147.6</v>
      </c>
      <c r="CN258" s="22" t="s">
        <v>3330</v>
      </c>
      <c r="CO258" s="22"/>
      <c r="CP258" s="43"/>
      <c r="CQ258" s="22">
        <v>45.0</v>
      </c>
      <c r="CR258" s="43"/>
      <c r="CS258" s="22">
        <v>1.0</v>
      </c>
      <c r="CT258" s="22" t="s">
        <v>145</v>
      </c>
      <c r="CU258" s="43"/>
      <c r="CV258" s="43"/>
      <c r="CW258" s="43"/>
      <c r="CX258" s="43"/>
      <c r="CY258" s="43" t="b">
        <v>0</v>
      </c>
      <c r="CZ258" s="43" t="b">
        <v>0</v>
      </c>
      <c r="DA258" s="43" t="b">
        <v>0</v>
      </c>
      <c r="DB258" s="43" t="b">
        <v>0</v>
      </c>
      <c r="DC258" s="43"/>
      <c r="DD258" s="43"/>
      <c r="DE258" s="43"/>
      <c r="DF258" s="43"/>
      <c r="DG258" s="43"/>
      <c r="DH258" s="43"/>
      <c r="DI258" s="43"/>
      <c r="DJ258" s="22">
        <f>IFERROR(VLOOKUP($B258,'Лист4'!$D:$AI,27,0)," ")</f>
        <v>14</v>
      </c>
      <c r="DK258" s="22">
        <f>IFERROR(VLOOKUP($B258,'Лист4'!$D:$AI,28,0)," ")</f>
        <v>4</v>
      </c>
      <c r="DL258" s="22">
        <f>IFERROR(VLOOKUP($B258,'Лист4'!$D:$AI,29,0)," ")</f>
        <v>14</v>
      </c>
      <c r="DM258" s="22">
        <f t="shared" si="3"/>
        <v>784</v>
      </c>
      <c r="DN258" s="22">
        <f>IFERROR(VLOOKUP($B258,'Лист4'!$D:$AI,32,0)," ")</f>
        <v>0.09</v>
      </c>
      <c r="DO258" s="22"/>
      <c r="DP258" s="22"/>
      <c r="DQ258" s="22"/>
      <c r="DR258" s="22"/>
      <c r="DS258" s="22"/>
      <c r="DT258" s="22"/>
      <c r="DU258" s="22"/>
      <c r="DV258" s="22"/>
      <c r="DW258" s="22"/>
      <c r="DX258" s="22"/>
      <c r="DY258" s="22"/>
      <c r="DZ258" s="22"/>
      <c r="EA258" s="22"/>
      <c r="EB258" s="22"/>
      <c r="EC258" s="22"/>
      <c r="ED258" s="22"/>
      <c r="EE258" s="22"/>
      <c r="EF258" s="22"/>
      <c r="EG258" s="22"/>
      <c r="EH258" s="22"/>
      <c r="EI258" s="22"/>
      <c r="EJ258" s="22"/>
      <c r="EK258" s="22"/>
      <c r="EL258" s="22"/>
      <c r="EM258" s="22"/>
      <c r="EN258" s="22"/>
      <c r="EO258" s="22"/>
      <c r="EP258" s="22"/>
      <c r="EQ258" s="22"/>
      <c r="ER258" s="22"/>
      <c r="ES258" s="43"/>
      <c r="ET258" s="43"/>
      <c r="EU258" s="43"/>
      <c r="EV258" s="43"/>
      <c r="EW258" s="43"/>
      <c r="EX258" s="43"/>
      <c r="EY258" s="43"/>
      <c r="EZ258" s="43"/>
      <c r="FA258" s="43"/>
      <c r="FB258" s="43"/>
      <c r="FC258" s="43"/>
      <c r="FD258" s="43"/>
      <c r="FE258" s="43"/>
      <c r="FF258" s="43"/>
      <c r="FG258" s="43"/>
      <c r="FH258" s="43"/>
      <c r="FI258" s="43"/>
    </row>
    <row r="259" ht="18.0" customHeight="1">
      <c r="A259" s="22" t="s">
        <v>2659</v>
      </c>
      <c r="B259" s="43" t="s">
        <v>3972</v>
      </c>
      <c r="C259" s="22" t="s">
        <v>2741</v>
      </c>
      <c r="D259" s="22" t="s">
        <v>119</v>
      </c>
      <c r="E259" s="43" t="s">
        <v>3973</v>
      </c>
      <c r="F259" s="22" t="s">
        <v>3974</v>
      </c>
      <c r="G259" s="22" t="s">
        <v>2743</v>
      </c>
      <c r="H259" s="22" t="s">
        <v>1630</v>
      </c>
      <c r="I259" s="43"/>
      <c r="J259" s="43"/>
      <c r="K259" s="22" t="b">
        <v>1</v>
      </c>
      <c r="L259" s="22" t="b">
        <v>1</v>
      </c>
      <c r="M259" s="22" t="b">
        <v>1</v>
      </c>
      <c r="N259" s="22" t="b">
        <v>1</v>
      </c>
      <c r="O259" s="22" t="b">
        <v>1</v>
      </c>
      <c r="P259" s="22" t="b">
        <v>1</v>
      </c>
      <c r="Q259" s="22" t="b">
        <v>1</v>
      </c>
      <c r="R259" s="43"/>
      <c r="S259" s="43" t="s">
        <v>3975</v>
      </c>
      <c r="T259" s="22" t="s">
        <v>3972</v>
      </c>
      <c r="U259" s="22" t="s">
        <v>3972</v>
      </c>
      <c r="V259" s="22" t="s">
        <v>3972</v>
      </c>
      <c r="W259" s="43" t="s">
        <v>3972</v>
      </c>
      <c r="X259" s="43" t="s">
        <v>3972</v>
      </c>
      <c r="Y259" s="22" t="s">
        <v>3972</v>
      </c>
      <c r="Z259" s="43"/>
      <c r="AA259" s="22">
        <v>2.05072071E8</v>
      </c>
      <c r="AB259" s="22">
        <v>1.413555098E9</v>
      </c>
      <c r="AC259" s="22">
        <v>1.03515429828E11</v>
      </c>
      <c r="AD259" s="22">
        <v>9.9000114729E10</v>
      </c>
      <c r="AE259" s="22" t="s">
        <v>3976</v>
      </c>
      <c r="AF259" s="22" t="s">
        <v>3977</v>
      </c>
      <c r="AG259" s="43"/>
      <c r="AH259" s="43" t="s">
        <v>3974</v>
      </c>
      <c r="AI259" s="22" t="s">
        <v>3978</v>
      </c>
      <c r="AJ259" s="22" t="s">
        <v>3979</v>
      </c>
      <c r="AK259" s="22" t="s">
        <v>3979</v>
      </c>
      <c r="AL259" s="22" t="s">
        <v>3980</v>
      </c>
      <c r="AM259" s="22" t="s">
        <v>3981</v>
      </c>
      <c r="AN259" s="22" t="s">
        <v>3982</v>
      </c>
      <c r="AO259" s="43"/>
      <c r="AP259" s="46" t="s">
        <v>3983</v>
      </c>
      <c r="AQ259" s="46" t="s">
        <v>3984</v>
      </c>
      <c r="AR259" s="46" t="s">
        <v>3985</v>
      </c>
      <c r="AS259" s="46" t="s">
        <v>3986</v>
      </c>
      <c r="AT259" s="46" t="s">
        <v>3987</v>
      </c>
      <c r="AU259" s="46" t="s">
        <v>3988</v>
      </c>
      <c r="AV259" s="43"/>
      <c r="AW259" s="22" t="s">
        <v>594</v>
      </c>
      <c r="AX259" s="22" t="s">
        <v>3979</v>
      </c>
      <c r="AY259" s="22" t="s">
        <v>3989</v>
      </c>
      <c r="AZ259" s="22" t="s">
        <v>1834</v>
      </c>
      <c r="BA259" s="22" t="s">
        <v>3990</v>
      </c>
      <c r="BB259" s="22" t="s">
        <v>3991</v>
      </c>
      <c r="BC259" s="22"/>
      <c r="BD259" s="43" t="s">
        <v>2673</v>
      </c>
      <c r="BE259" s="59" t="s">
        <v>2755</v>
      </c>
      <c r="BF259" s="22" t="s">
        <v>131</v>
      </c>
      <c r="BG259" s="22" t="s">
        <v>132</v>
      </c>
      <c r="BH259" s="22" t="s">
        <v>132</v>
      </c>
      <c r="BI259" s="22" t="s">
        <v>132</v>
      </c>
      <c r="BJ259" s="43"/>
      <c r="BK259" s="43"/>
      <c r="BL259" s="22" t="s">
        <v>3992</v>
      </c>
      <c r="BM259" s="22">
        <v>3.30499E9</v>
      </c>
      <c r="BN259" s="22" t="s">
        <v>3993</v>
      </c>
      <c r="BO259" s="22"/>
      <c r="BP259" s="22" t="s">
        <v>145</v>
      </c>
      <c r="BQ259" s="43"/>
      <c r="BR259" s="43"/>
      <c r="BS259" s="22" t="s">
        <v>3994</v>
      </c>
      <c r="BT259" s="43"/>
      <c r="BU259" s="22" t="s">
        <v>3995</v>
      </c>
      <c r="BV259" s="43" t="s">
        <v>3996</v>
      </c>
      <c r="BW259" s="22" t="s">
        <v>3320</v>
      </c>
      <c r="BX259" s="22">
        <v>75.0</v>
      </c>
      <c r="BY259" s="22" t="s">
        <v>139</v>
      </c>
      <c r="BZ259" s="22"/>
      <c r="CA259" s="22" t="s">
        <v>355</v>
      </c>
      <c r="CB259" s="22" t="s">
        <v>307</v>
      </c>
      <c r="CC259" s="45" t="s">
        <v>3997</v>
      </c>
      <c r="CD259" s="43"/>
      <c r="CE259" s="43"/>
      <c r="CF259" s="45"/>
      <c r="CG259" s="43"/>
      <c r="CH259" s="43"/>
      <c r="CI259" s="43"/>
      <c r="CJ259" s="43"/>
      <c r="CK259" s="43"/>
      <c r="CL259" s="43"/>
      <c r="CM259" s="49">
        <f>IFERROR(VLOOKUP(B259,CC!A:D,4,0)," ")</f>
        <v>71.1</v>
      </c>
      <c r="CN259" s="22" t="s">
        <v>3155</v>
      </c>
      <c r="CO259" s="22"/>
      <c r="CP259" s="43"/>
      <c r="CQ259" s="22">
        <v>45.0</v>
      </c>
      <c r="CR259" s="43"/>
      <c r="CS259" s="22">
        <v>1.0</v>
      </c>
      <c r="CT259" s="22" t="s">
        <v>145</v>
      </c>
      <c r="CU259" s="43"/>
      <c r="CV259" s="43"/>
      <c r="CW259" s="43"/>
      <c r="CX259" s="43"/>
      <c r="CY259" s="43" t="b">
        <v>0</v>
      </c>
      <c r="CZ259" s="43" t="b">
        <v>0</v>
      </c>
      <c r="DA259" s="43" t="b">
        <v>0</v>
      </c>
      <c r="DB259" s="43" t="b">
        <v>0</v>
      </c>
      <c r="DC259" s="43"/>
      <c r="DD259" s="43"/>
      <c r="DE259" s="43"/>
      <c r="DF259" s="43"/>
      <c r="DG259" s="43"/>
      <c r="DH259" s="43"/>
      <c r="DI259" s="43"/>
      <c r="DJ259" s="22">
        <f>IFERROR(VLOOKUP($B259,'Лист4'!$D:$AI,27,0)," ")</f>
        <v>4</v>
      </c>
      <c r="DK259" s="22">
        <f>IFERROR(VLOOKUP($B259,'Лист4'!$D:$AI,28,0)," ")</f>
        <v>4</v>
      </c>
      <c r="DL259" s="22">
        <f>IFERROR(VLOOKUP($B259,'Лист4'!$D:$AI,29,0)," ")</f>
        <v>4</v>
      </c>
      <c r="DM259" s="22">
        <f t="shared" si="3"/>
        <v>64</v>
      </c>
      <c r="DN259" s="22">
        <f>IFERROR(VLOOKUP($B259,'Лист4'!$D:$AI,32,0)," ")</f>
        <v>0.09</v>
      </c>
      <c r="DO259" s="22"/>
      <c r="DP259" s="22"/>
      <c r="DQ259" s="22"/>
      <c r="DR259" s="22"/>
      <c r="DS259" s="22"/>
      <c r="DT259" s="22"/>
      <c r="DU259" s="22"/>
      <c r="DV259" s="22"/>
      <c r="DW259" s="22"/>
      <c r="DX259" s="22"/>
      <c r="DY259" s="22"/>
      <c r="DZ259" s="22"/>
      <c r="EA259" s="22"/>
      <c r="EB259" s="22"/>
      <c r="EC259" s="22"/>
      <c r="ED259" s="22"/>
      <c r="EE259" s="22"/>
      <c r="EF259" s="22"/>
      <c r="EG259" s="22"/>
      <c r="EH259" s="22"/>
      <c r="EI259" s="22"/>
      <c r="EJ259" s="22"/>
      <c r="EK259" s="22"/>
      <c r="EL259" s="22"/>
      <c r="EM259" s="22"/>
      <c r="EN259" s="22"/>
      <c r="EO259" s="22"/>
      <c r="EP259" s="22"/>
      <c r="EQ259" s="22"/>
      <c r="ER259" s="22"/>
      <c r="ES259" s="43"/>
      <c r="ET259" s="43"/>
      <c r="EU259" s="43"/>
      <c r="EV259" s="43"/>
      <c r="EW259" s="43"/>
      <c r="EX259" s="43"/>
      <c r="EY259" s="43"/>
      <c r="EZ259" s="43"/>
      <c r="FA259" s="43"/>
      <c r="FB259" s="43"/>
      <c r="FC259" s="43"/>
      <c r="FD259" s="43"/>
      <c r="FE259" s="43"/>
      <c r="FF259" s="43"/>
      <c r="FG259" s="43"/>
      <c r="FH259" s="43"/>
      <c r="FI259" s="43"/>
    </row>
    <row r="260" ht="18.0" customHeight="1">
      <c r="A260" s="22" t="s">
        <v>2659</v>
      </c>
      <c r="B260" s="43" t="s">
        <v>3998</v>
      </c>
      <c r="C260" s="22" t="s">
        <v>2661</v>
      </c>
      <c r="D260" s="22" t="s">
        <v>119</v>
      </c>
      <c r="E260" s="43"/>
      <c r="F260" s="22" t="s">
        <v>3999</v>
      </c>
      <c r="G260" s="22" t="s">
        <v>2663</v>
      </c>
      <c r="H260" s="22" t="s">
        <v>2664</v>
      </c>
      <c r="I260" s="43"/>
      <c r="J260" s="43"/>
      <c r="K260" s="22" t="b">
        <v>1</v>
      </c>
      <c r="L260" s="22" t="b">
        <v>1</v>
      </c>
      <c r="M260" s="22" t="b">
        <v>1</v>
      </c>
      <c r="N260" s="22" t="b">
        <v>1</v>
      </c>
      <c r="O260" s="22" t="b">
        <v>0</v>
      </c>
      <c r="P260" s="22" t="b">
        <v>0</v>
      </c>
      <c r="Q260" s="22" t="b">
        <v>0</v>
      </c>
      <c r="R260" s="43"/>
      <c r="S260" s="43" t="s">
        <v>4000</v>
      </c>
      <c r="T260" s="22" t="s">
        <v>3998</v>
      </c>
      <c r="U260" s="22" t="s">
        <v>3998</v>
      </c>
      <c r="V260" s="22" t="s">
        <v>3998</v>
      </c>
      <c r="W260" s="43"/>
      <c r="X260" s="43"/>
      <c r="Y260" s="43"/>
      <c r="Z260" s="43"/>
      <c r="AA260" s="22">
        <v>1.7905393E7</v>
      </c>
      <c r="AB260" s="22">
        <v>2.89049035E8</v>
      </c>
      <c r="AC260" s="22">
        <v>4.324015317E9</v>
      </c>
      <c r="AD260" s="22"/>
      <c r="AE260" s="22"/>
      <c r="AF260" s="43"/>
      <c r="AG260" s="43"/>
      <c r="AH260" s="43" t="s">
        <v>3999</v>
      </c>
      <c r="AI260" s="22" t="s">
        <v>3874</v>
      </c>
      <c r="AJ260" s="22" t="s">
        <v>4001</v>
      </c>
      <c r="AK260" s="22" t="s">
        <v>4002</v>
      </c>
      <c r="AL260" s="43"/>
      <c r="AM260" s="43"/>
      <c r="AN260" s="43"/>
      <c r="AO260" s="43"/>
      <c r="AP260" s="46" t="s">
        <v>4003</v>
      </c>
      <c r="AQ260" s="46" t="s">
        <v>4004</v>
      </c>
      <c r="AR260" s="43"/>
      <c r="AS260" s="43"/>
      <c r="AT260" s="43"/>
      <c r="AU260" s="43"/>
      <c r="AV260" s="43"/>
      <c r="AW260" s="22" t="s">
        <v>594</v>
      </c>
      <c r="AX260" s="22" t="s">
        <v>4001</v>
      </c>
      <c r="AY260" s="22" t="s">
        <v>2672</v>
      </c>
      <c r="AZ260" s="43"/>
      <c r="BA260" s="43"/>
      <c r="BB260" s="43"/>
      <c r="BC260" s="43"/>
      <c r="BD260" s="43" t="s">
        <v>2673</v>
      </c>
      <c r="BE260" s="59" t="s">
        <v>2755</v>
      </c>
      <c r="BF260" s="22" t="s">
        <v>131</v>
      </c>
      <c r="BG260" s="22" t="s">
        <v>132</v>
      </c>
      <c r="BH260" s="22" t="s">
        <v>132</v>
      </c>
      <c r="BI260" s="22" t="s">
        <v>132</v>
      </c>
      <c r="BJ260" s="43"/>
      <c r="BK260" s="43"/>
      <c r="BL260" s="22">
        <v>4.63115187855E12</v>
      </c>
      <c r="BM260" s="22">
        <v>3.30499E9</v>
      </c>
      <c r="BN260" s="22" t="s">
        <v>4005</v>
      </c>
      <c r="BO260" s="22"/>
      <c r="BP260" s="22" t="s">
        <v>496</v>
      </c>
      <c r="BQ260" s="43"/>
      <c r="BR260" s="43"/>
      <c r="BS260" s="22" t="s">
        <v>3951</v>
      </c>
      <c r="BT260" s="22"/>
      <c r="BU260" s="22" t="s">
        <v>3609</v>
      </c>
      <c r="BV260" s="22" t="s">
        <v>2777</v>
      </c>
      <c r="BW260" s="22" t="s">
        <v>2778</v>
      </c>
      <c r="BX260" s="22">
        <v>30.0</v>
      </c>
      <c r="BY260" s="22" t="s">
        <v>139</v>
      </c>
      <c r="BZ260" s="22"/>
      <c r="CA260" s="22" t="s">
        <v>3960</v>
      </c>
      <c r="CB260" s="22" t="s">
        <v>307</v>
      </c>
      <c r="CC260" s="45" t="s">
        <v>401</v>
      </c>
      <c r="CD260" s="43"/>
      <c r="CE260" s="43"/>
      <c r="CF260" s="45" t="s">
        <v>401</v>
      </c>
      <c r="CG260" s="43"/>
      <c r="CH260" s="43"/>
      <c r="CI260" s="43"/>
      <c r="CJ260" s="43"/>
      <c r="CK260" s="43"/>
      <c r="CL260" s="43"/>
      <c r="CM260" s="49">
        <f>IFERROR(VLOOKUP(B260,CC!A:D,4,0)," ")</f>
        <v>123.78</v>
      </c>
      <c r="CN260" s="22" t="s">
        <v>2681</v>
      </c>
      <c r="CO260" s="22"/>
      <c r="CP260" s="43"/>
      <c r="CQ260" s="22" t="s">
        <v>401</v>
      </c>
      <c r="CR260" s="43"/>
      <c r="CS260" s="22">
        <v>1.0</v>
      </c>
      <c r="CT260" s="22" t="s">
        <v>145</v>
      </c>
      <c r="CU260" s="43"/>
      <c r="CV260" s="43"/>
      <c r="CW260" s="43"/>
      <c r="CX260" s="43"/>
      <c r="CY260" s="43" t="b">
        <v>0</v>
      </c>
      <c r="CZ260" s="43" t="b">
        <v>0</v>
      </c>
      <c r="DA260" s="43" t="b">
        <v>0</v>
      </c>
      <c r="DB260" s="43" t="b">
        <v>0</v>
      </c>
      <c r="DC260" s="43"/>
      <c r="DD260" s="43"/>
      <c r="DE260" s="43"/>
      <c r="DF260" s="43"/>
      <c r="DG260" s="43"/>
      <c r="DH260" s="43"/>
      <c r="DI260" s="43"/>
      <c r="DJ260" s="22">
        <f>IFERROR(VLOOKUP($B260,'Лист4'!$D:$AI,27,0)," ")</f>
        <v>3</v>
      </c>
      <c r="DK260" s="22">
        <f>IFERROR(VLOOKUP($B260,'Лист4'!$D:$AI,28,0)," ")</f>
        <v>11</v>
      </c>
      <c r="DL260" s="22">
        <f>IFERROR(VLOOKUP($B260,'Лист4'!$D:$AI,29,0)," ")</f>
        <v>3</v>
      </c>
      <c r="DM260" s="22">
        <f t="shared" si="3"/>
        <v>99</v>
      </c>
      <c r="DN260" s="22">
        <f>IFERROR(VLOOKUP($B260,'Лист4'!$D:$AI,32,0)," ")</f>
        <v>0.05</v>
      </c>
      <c r="DO260" s="22"/>
      <c r="DP260" s="22"/>
      <c r="DQ260" s="22"/>
      <c r="DR260" s="22"/>
      <c r="DS260" s="22"/>
      <c r="DT260" s="22"/>
      <c r="DU260" s="22"/>
      <c r="DV260" s="22"/>
      <c r="DW260" s="22"/>
      <c r="DX260" s="22"/>
      <c r="DY260" s="22"/>
      <c r="DZ260" s="22"/>
      <c r="EA260" s="22"/>
      <c r="EB260" s="22"/>
      <c r="EC260" s="22"/>
      <c r="ED260" s="22"/>
      <c r="EE260" s="22"/>
      <c r="EF260" s="22"/>
      <c r="EG260" s="22"/>
      <c r="EH260" s="22"/>
      <c r="EI260" s="22"/>
      <c r="EJ260" s="22"/>
      <c r="EK260" s="22"/>
      <c r="EL260" s="22"/>
      <c r="EM260" s="22"/>
      <c r="EN260" s="22"/>
      <c r="EO260" s="22"/>
      <c r="EP260" s="22"/>
      <c r="EQ260" s="22"/>
      <c r="ER260" s="22"/>
      <c r="ES260" s="43"/>
      <c r="ET260" s="43"/>
      <c r="EU260" s="43"/>
      <c r="EV260" s="43"/>
      <c r="EW260" s="43"/>
      <c r="EX260" s="43"/>
      <c r="EY260" s="43"/>
      <c r="EZ260" s="43"/>
      <c r="FA260" s="43"/>
      <c r="FB260" s="43"/>
      <c r="FC260" s="43"/>
      <c r="FD260" s="43"/>
      <c r="FE260" s="43"/>
      <c r="FF260" s="43"/>
      <c r="FG260" s="43"/>
      <c r="FH260" s="43"/>
      <c r="FI260" s="43"/>
    </row>
    <row r="261" ht="18.0" customHeight="1">
      <c r="A261" s="22" t="s">
        <v>2659</v>
      </c>
      <c r="B261" s="43" t="s">
        <v>4006</v>
      </c>
      <c r="C261" s="22" t="s">
        <v>2661</v>
      </c>
      <c r="D261" s="22" t="s">
        <v>119</v>
      </c>
      <c r="E261" s="43"/>
      <c r="F261" s="22" t="s">
        <v>4007</v>
      </c>
      <c r="G261" s="22" t="s">
        <v>2663</v>
      </c>
      <c r="H261" s="22" t="s">
        <v>2892</v>
      </c>
      <c r="I261" s="43"/>
      <c r="J261" s="43"/>
      <c r="K261" s="22" t="b">
        <v>1</v>
      </c>
      <c r="L261" s="22" t="b">
        <v>1</v>
      </c>
      <c r="M261" s="22" t="b">
        <v>1</v>
      </c>
      <c r="N261" s="22" t="b">
        <v>1</v>
      </c>
      <c r="O261" s="22" t="b">
        <v>0</v>
      </c>
      <c r="P261" s="22" t="b">
        <v>0</v>
      </c>
      <c r="Q261" s="22" t="b">
        <v>0</v>
      </c>
      <c r="R261" s="43"/>
      <c r="S261" s="43" t="s">
        <v>4008</v>
      </c>
      <c r="T261" s="22" t="s">
        <v>4006</v>
      </c>
      <c r="U261" s="22" t="s">
        <v>4006</v>
      </c>
      <c r="V261" s="22" t="s">
        <v>4006</v>
      </c>
      <c r="W261" s="43"/>
      <c r="X261" s="43"/>
      <c r="Y261" s="43"/>
      <c r="Z261" s="43"/>
      <c r="AA261" s="22">
        <v>1.36138948E8</v>
      </c>
      <c r="AB261" s="22">
        <v>7.92260062E8</v>
      </c>
      <c r="AC261" s="22">
        <v>1.03340901784E11</v>
      </c>
      <c r="AD261" s="22"/>
      <c r="AE261" s="22"/>
      <c r="AF261" s="43"/>
      <c r="AG261" s="43"/>
      <c r="AH261" s="43" t="s">
        <v>4007</v>
      </c>
      <c r="AI261" s="22" t="s">
        <v>4009</v>
      </c>
      <c r="AJ261" s="22" t="s">
        <v>4010</v>
      </c>
      <c r="AK261" s="22" t="s">
        <v>4011</v>
      </c>
      <c r="AL261" s="43"/>
      <c r="AM261" s="43"/>
      <c r="AN261" s="43"/>
      <c r="AO261" s="43"/>
      <c r="AP261" s="46" t="s">
        <v>4012</v>
      </c>
      <c r="AQ261" s="46" t="s">
        <v>4013</v>
      </c>
      <c r="AR261" s="46" t="s">
        <v>4014</v>
      </c>
      <c r="AS261" s="43"/>
      <c r="AT261" s="43"/>
      <c r="AU261" s="43"/>
      <c r="AV261" s="43"/>
      <c r="AW261" s="22" t="s">
        <v>4015</v>
      </c>
      <c r="AX261" s="22" t="s">
        <v>4010</v>
      </c>
      <c r="AY261" s="22" t="s">
        <v>2692</v>
      </c>
      <c r="AZ261" s="43"/>
      <c r="BA261" s="43"/>
      <c r="BB261" s="43"/>
      <c r="BC261" s="43"/>
      <c r="BD261" s="43" t="s">
        <v>2673</v>
      </c>
      <c r="BE261" s="59" t="s">
        <v>2755</v>
      </c>
      <c r="BF261" s="22" t="s">
        <v>131</v>
      </c>
      <c r="BG261" s="22" t="s">
        <v>132</v>
      </c>
      <c r="BH261" s="22" t="s">
        <v>132</v>
      </c>
      <c r="BI261" s="22" t="s">
        <v>132</v>
      </c>
      <c r="BJ261" s="43"/>
      <c r="BK261" s="43"/>
      <c r="BL261" s="22">
        <v>4.631143262213E12</v>
      </c>
      <c r="BM261" s="22">
        <v>2.103909009E9</v>
      </c>
      <c r="BN261" s="22" t="s">
        <v>4016</v>
      </c>
      <c r="BO261" s="22"/>
      <c r="BP261" s="22" t="s">
        <v>145</v>
      </c>
      <c r="BQ261" s="43"/>
      <c r="BR261" s="43"/>
      <c r="BS261" s="22" t="s">
        <v>4017</v>
      </c>
      <c r="BT261" s="43"/>
      <c r="BU261" s="22" t="s">
        <v>4018</v>
      </c>
      <c r="BV261" s="22" t="s">
        <v>4019</v>
      </c>
      <c r="BW261" s="22" t="s">
        <v>4020</v>
      </c>
      <c r="BX261" s="22">
        <v>10.0</v>
      </c>
      <c r="BY261" s="22" t="s">
        <v>139</v>
      </c>
      <c r="BZ261" s="22"/>
      <c r="CA261" s="22"/>
      <c r="CB261" s="22"/>
      <c r="CC261" s="45" t="s">
        <v>4021</v>
      </c>
      <c r="CD261" s="43"/>
      <c r="CE261" s="43"/>
      <c r="CF261" s="45"/>
      <c r="CG261" s="43"/>
      <c r="CH261" s="43"/>
      <c r="CI261" s="43"/>
      <c r="CJ261" s="43"/>
      <c r="CK261" s="43"/>
      <c r="CL261" s="43"/>
      <c r="CM261" s="49">
        <f>IFERROR(VLOOKUP(B261,CC!A:D,4,0)," ")</f>
        <v>137.86</v>
      </c>
      <c r="CN261" s="22" t="s">
        <v>2873</v>
      </c>
      <c r="CO261" s="22"/>
      <c r="CP261" s="43"/>
      <c r="CQ261" s="22">
        <v>45.0</v>
      </c>
      <c r="CR261" s="43"/>
      <c r="CS261" s="43"/>
      <c r="CT261" s="22" t="s">
        <v>145</v>
      </c>
      <c r="CU261" s="43"/>
      <c r="CV261" s="43"/>
      <c r="CW261" s="43"/>
      <c r="CX261" s="43"/>
      <c r="CY261" s="43" t="b">
        <v>0</v>
      </c>
      <c r="CZ261" s="43" t="b">
        <v>0</v>
      </c>
      <c r="DA261" s="43" t="b">
        <v>0</v>
      </c>
      <c r="DB261" s="43" t="b">
        <v>0</v>
      </c>
      <c r="DC261" s="43"/>
      <c r="DD261" s="43"/>
      <c r="DE261" s="43"/>
      <c r="DF261" s="43"/>
      <c r="DG261" s="43"/>
      <c r="DH261" s="43"/>
      <c r="DI261" s="43"/>
      <c r="DJ261" s="22">
        <f>IFERROR(VLOOKUP($B261,'Лист4'!$D:$AI,27,0)," ")</f>
        <v>9</v>
      </c>
      <c r="DK261" s="22">
        <f>IFERROR(VLOOKUP($B261,'Лист4'!$D:$AI,28,0)," ")</f>
        <v>3</v>
      </c>
      <c r="DL261" s="22">
        <f>IFERROR(VLOOKUP($B261,'Лист4'!$D:$AI,29,0)," ")</f>
        <v>9</v>
      </c>
      <c r="DM261" s="22">
        <f t="shared" si="3"/>
        <v>243</v>
      </c>
      <c r="DN261" s="22">
        <f>IFERROR(VLOOKUP($B261,'Лист4'!$D:$AI,32,0)," ")</f>
        <v>0.048</v>
      </c>
      <c r="DO261" s="22"/>
      <c r="DP261" s="22"/>
      <c r="DQ261" s="22"/>
      <c r="DR261" s="22"/>
      <c r="DS261" s="22"/>
      <c r="DT261" s="22"/>
      <c r="DU261" s="22"/>
      <c r="DV261" s="22"/>
      <c r="DW261" s="22"/>
      <c r="DX261" s="22"/>
      <c r="DY261" s="22"/>
      <c r="DZ261" s="22"/>
      <c r="EA261" s="22"/>
      <c r="EB261" s="22"/>
      <c r="EC261" s="22"/>
      <c r="ED261" s="22"/>
      <c r="EE261" s="22"/>
      <c r="EF261" s="22"/>
      <c r="EG261" s="22"/>
      <c r="EH261" s="22"/>
      <c r="EI261" s="22"/>
      <c r="EJ261" s="22"/>
      <c r="EK261" s="22"/>
      <c r="EL261" s="22"/>
      <c r="EM261" s="22"/>
      <c r="EN261" s="22"/>
      <c r="EO261" s="22"/>
      <c r="EP261" s="22"/>
      <c r="EQ261" s="22"/>
      <c r="ER261" s="22"/>
      <c r="ES261" s="43"/>
      <c r="ET261" s="43"/>
      <c r="EU261" s="43"/>
      <c r="EV261" s="43"/>
      <c r="EW261" s="43"/>
      <c r="EX261" s="43"/>
      <c r="EY261" s="43"/>
      <c r="EZ261" s="43"/>
      <c r="FA261" s="43"/>
      <c r="FB261" s="43"/>
      <c r="FC261" s="43"/>
      <c r="FD261" s="43"/>
      <c r="FE261" s="43"/>
      <c r="FF261" s="43"/>
      <c r="FG261" s="43"/>
      <c r="FH261" s="43"/>
      <c r="FI261" s="43"/>
    </row>
    <row r="262" ht="18.0" customHeight="1">
      <c r="A262" s="22" t="s">
        <v>2659</v>
      </c>
      <c r="B262" s="43" t="s">
        <v>4022</v>
      </c>
      <c r="C262" s="22" t="s">
        <v>2661</v>
      </c>
      <c r="D262" s="22" t="s">
        <v>119</v>
      </c>
      <c r="E262" s="43"/>
      <c r="F262" s="22" t="s">
        <v>4023</v>
      </c>
      <c r="G262" s="22" t="s">
        <v>2663</v>
      </c>
      <c r="H262" s="22" t="s">
        <v>3888</v>
      </c>
      <c r="I262" s="43"/>
      <c r="J262" s="43"/>
      <c r="K262" s="22" t="b">
        <v>1</v>
      </c>
      <c r="L262" s="22" t="b">
        <v>1</v>
      </c>
      <c r="M262" s="22" t="b">
        <v>1</v>
      </c>
      <c r="N262" s="22" t="b">
        <v>1</v>
      </c>
      <c r="O262" s="22" t="b">
        <v>0</v>
      </c>
      <c r="P262" s="22" t="b">
        <v>0</v>
      </c>
      <c r="Q262" s="22" t="b">
        <v>0</v>
      </c>
      <c r="R262" s="43"/>
      <c r="S262" s="43" t="s">
        <v>4024</v>
      </c>
      <c r="T262" s="22" t="s">
        <v>4022</v>
      </c>
      <c r="U262" s="22" t="s">
        <v>4022</v>
      </c>
      <c r="V262" s="22" t="s">
        <v>4022</v>
      </c>
      <c r="W262" s="43"/>
      <c r="X262" s="43"/>
      <c r="Y262" s="43"/>
      <c r="Z262" s="43"/>
      <c r="AA262" s="22">
        <v>2.23410114E8</v>
      </c>
      <c r="AB262" s="22">
        <v>1.541858934E9</v>
      </c>
      <c r="AC262" s="22">
        <v>4.308330507E9</v>
      </c>
      <c r="AD262" s="22"/>
      <c r="AE262" s="22"/>
      <c r="AF262" s="43"/>
      <c r="AG262" s="43"/>
      <c r="AH262" s="43" t="s">
        <v>4023</v>
      </c>
      <c r="AI262" s="22" t="s">
        <v>4025</v>
      </c>
      <c r="AJ262" s="22" t="s">
        <v>4026</v>
      </c>
      <c r="AK262" s="22" t="s">
        <v>4027</v>
      </c>
      <c r="AL262" s="43"/>
      <c r="AM262" s="43"/>
      <c r="AN262" s="43"/>
      <c r="AO262" s="43"/>
      <c r="AP262" s="46" t="s">
        <v>4028</v>
      </c>
      <c r="AQ262" s="46" t="s">
        <v>4029</v>
      </c>
      <c r="AR262" s="46" t="s">
        <v>4030</v>
      </c>
      <c r="AS262" s="43"/>
      <c r="AT262" s="43"/>
      <c r="AU262" s="43"/>
      <c r="AV262" s="43"/>
      <c r="AW262" s="22" t="s">
        <v>649</v>
      </c>
      <c r="AX262" s="22" t="s">
        <v>4026</v>
      </c>
      <c r="AY262" s="22" t="s">
        <v>2692</v>
      </c>
      <c r="AZ262" s="43"/>
      <c r="BA262" s="43"/>
      <c r="BB262" s="43"/>
      <c r="BC262" s="43"/>
      <c r="BD262" s="43" t="s">
        <v>1449</v>
      </c>
      <c r="BE262" s="59" t="s">
        <v>2674</v>
      </c>
      <c r="BF262" s="22" t="s">
        <v>131</v>
      </c>
      <c r="BG262" s="22" t="s">
        <v>132</v>
      </c>
      <c r="BH262" s="22" t="s">
        <v>132</v>
      </c>
      <c r="BI262" s="22" t="s">
        <v>132</v>
      </c>
      <c r="BJ262" s="43"/>
      <c r="BK262" s="43"/>
      <c r="BL262" s="22">
        <v>4.61003063265E12</v>
      </c>
      <c r="BM262" s="22">
        <v>2.103909009E9</v>
      </c>
      <c r="BN262" s="22" t="s">
        <v>4031</v>
      </c>
      <c r="BO262" s="22"/>
      <c r="BP262" s="22" t="s">
        <v>145</v>
      </c>
      <c r="BQ262" s="43"/>
      <c r="BR262" s="43"/>
      <c r="BS262" s="22" t="s">
        <v>4032</v>
      </c>
      <c r="BT262" s="43"/>
      <c r="BU262" s="22" t="s">
        <v>4033</v>
      </c>
      <c r="BV262" s="22" t="s">
        <v>2697</v>
      </c>
      <c r="BW262" s="22" t="s">
        <v>4034</v>
      </c>
      <c r="BX262" s="22">
        <v>20.0</v>
      </c>
      <c r="BY262" s="22" t="s">
        <v>492</v>
      </c>
      <c r="BZ262" s="22"/>
      <c r="CA262" s="22" t="s">
        <v>355</v>
      </c>
      <c r="CB262" s="22" t="s">
        <v>307</v>
      </c>
      <c r="CC262" s="45" t="s">
        <v>4035</v>
      </c>
      <c r="CD262" s="43"/>
      <c r="CE262" s="43"/>
      <c r="CF262" s="45"/>
      <c r="CG262" s="43"/>
      <c r="CH262" s="43"/>
      <c r="CI262" s="43"/>
      <c r="CJ262" s="43"/>
      <c r="CK262" s="43"/>
      <c r="CL262" s="43"/>
      <c r="CM262" s="49">
        <f>IFERROR(VLOOKUP(B262,CC!A:D,4,0)," ")</f>
        <v>117.32</v>
      </c>
      <c r="CN262" s="22" t="s">
        <v>2715</v>
      </c>
      <c r="CO262" s="22"/>
      <c r="CP262" s="43"/>
      <c r="CQ262" s="22">
        <v>45.0</v>
      </c>
      <c r="CR262" s="43"/>
      <c r="CS262" s="22">
        <v>1.0</v>
      </c>
      <c r="CT262" s="22" t="s">
        <v>145</v>
      </c>
      <c r="CU262" s="43"/>
      <c r="CV262" s="43"/>
      <c r="CW262" s="43"/>
      <c r="CX262" s="43"/>
      <c r="CY262" s="43" t="b">
        <v>0</v>
      </c>
      <c r="CZ262" s="43" t="b">
        <v>0</v>
      </c>
      <c r="DA262" s="43" t="b">
        <v>0</v>
      </c>
      <c r="DB262" s="43" t="b">
        <v>0</v>
      </c>
      <c r="DC262" s="43"/>
      <c r="DD262" s="43"/>
      <c r="DE262" s="43"/>
      <c r="DF262" s="43"/>
      <c r="DG262" s="43"/>
      <c r="DH262" s="43"/>
      <c r="DI262" s="43"/>
      <c r="DJ262" s="22">
        <f>IFERROR(VLOOKUP($B262,'Лист4'!$D:$AI,27,0)," ")</f>
        <v>7</v>
      </c>
      <c r="DK262" s="22">
        <f>IFERROR(VLOOKUP($B262,'Лист4'!$D:$AI,28,0)," ")</f>
        <v>1</v>
      </c>
      <c r="DL262" s="22">
        <f>IFERROR(VLOOKUP($B262,'Лист4'!$D:$AI,29,0)," ")</f>
        <v>7</v>
      </c>
      <c r="DM262" s="22">
        <f t="shared" si="3"/>
        <v>49</v>
      </c>
      <c r="DN262" s="22">
        <f>IFERROR(VLOOKUP($B262,'Лист4'!$D:$AI,32,0)," ")</f>
        <v>0.022</v>
      </c>
      <c r="DO262" s="22"/>
      <c r="DP262" s="22"/>
      <c r="DQ262" s="22"/>
      <c r="DR262" s="22"/>
      <c r="DS262" s="22"/>
      <c r="DT262" s="22"/>
      <c r="DU262" s="22"/>
      <c r="DV262" s="22"/>
      <c r="DW262" s="22"/>
      <c r="DX262" s="22"/>
      <c r="DY262" s="22"/>
      <c r="DZ262" s="22"/>
      <c r="EA262" s="22"/>
      <c r="EB262" s="22"/>
      <c r="EC262" s="22"/>
      <c r="ED262" s="22"/>
      <c r="EE262" s="22"/>
      <c r="EF262" s="22"/>
      <c r="EG262" s="22"/>
      <c r="EH262" s="22"/>
      <c r="EI262" s="22"/>
      <c r="EJ262" s="22"/>
      <c r="EK262" s="22"/>
      <c r="EL262" s="22"/>
      <c r="EM262" s="22"/>
      <c r="EN262" s="22"/>
      <c r="EO262" s="22"/>
      <c r="EP262" s="22"/>
      <c r="EQ262" s="22"/>
      <c r="ER262" s="22"/>
      <c r="ES262" s="43"/>
      <c r="ET262" s="43"/>
      <c r="EU262" s="43"/>
      <c r="EV262" s="43"/>
      <c r="EW262" s="43"/>
      <c r="EX262" s="43"/>
      <c r="EY262" s="43"/>
      <c r="EZ262" s="43"/>
      <c r="FA262" s="43"/>
      <c r="FB262" s="43"/>
      <c r="FC262" s="43"/>
      <c r="FD262" s="43"/>
      <c r="FE262" s="43"/>
      <c r="FF262" s="43"/>
      <c r="FG262" s="43"/>
      <c r="FH262" s="43"/>
      <c r="FI262" s="43"/>
    </row>
    <row r="263" ht="18.0" customHeight="1">
      <c r="A263" s="22" t="s">
        <v>2659</v>
      </c>
      <c r="B263" s="43" t="s">
        <v>4036</v>
      </c>
      <c r="C263" s="22" t="s">
        <v>2661</v>
      </c>
      <c r="D263" s="22" t="s">
        <v>119</v>
      </c>
      <c r="E263" s="43"/>
      <c r="F263" s="22" t="s">
        <v>4037</v>
      </c>
      <c r="G263" s="22" t="s">
        <v>2663</v>
      </c>
      <c r="H263" s="22" t="s">
        <v>2703</v>
      </c>
      <c r="I263" s="43"/>
      <c r="J263" s="43"/>
      <c r="K263" s="22" t="b">
        <v>1</v>
      </c>
      <c r="L263" s="22" t="b">
        <v>1</v>
      </c>
      <c r="M263" s="22" t="b">
        <v>1</v>
      </c>
      <c r="N263" s="22" t="b">
        <v>1</v>
      </c>
      <c r="O263" s="22" t="b">
        <v>0</v>
      </c>
      <c r="P263" s="22" t="b">
        <v>0</v>
      </c>
      <c r="Q263" s="22" t="b">
        <v>0</v>
      </c>
      <c r="R263" s="43"/>
      <c r="S263" s="43" t="s">
        <v>4038</v>
      </c>
      <c r="T263" s="22" t="s">
        <v>4036</v>
      </c>
      <c r="U263" s="22" t="s">
        <v>4036</v>
      </c>
      <c r="V263" s="22" t="s">
        <v>4036</v>
      </c>
      <c r="W263" s="43"/>
      <c r="X263" s="43"/>
      <c r="Y263" s="43"/>
      <c r="Z263" s="43"/>
      <c r="AA263" s="22">
        <v>1.72162756E8</v>
      </c>
      <c r="AB263" s="22">
        <v>1.129297463E9</v>
      </c>
      <c r="AC263" s="22">
        <v>1.03515392261E11</v>
      </c>
      <c r="AD263" s="22"/>
      <c r="AE263" s="22"/>
      <c r="AF263" s="43"/>
      <c r="AG263" s="43"/>
      <c r="AH263" s="43" t="s">
        <v>4037</v>
      </c>
      <c r="AI263" s="22" t="s">
        <v>3190</v>
      </c>
      <c r="AJ263" s="22" t="s">
        <v>4039</v>
      </c>
      <c r="AK263" s="22" t="s">
        <v>4039</v>
      </c>
      <c r="AL263" s="43"/>
      <c r="AM263" s="43"/>
      <c r="AN263" s="43"/>
      <c r="AO263" s="43"/>
      <c r="AP263" s="46" t="s">
        <v>4040</v>
      </c>
      <c r="AQ263" s="46" t="s">
        <v>4041</v>
      </c>
      <c r="AR263" s="46" t="s">
        <v>4042</v>
      </c>
      <c r="AS263" s="43"/>
      <c r="AT263" s="43"/>
      <c r="AU263" s="43"/>
      <c r="AV263" s="43"/>
      <c r="AW263" s="22" t="s">
        <v>361</v>
      </c>
      <c r="AX263" s="22" t="s">
        <v>4039</v>
      </c>
      <c r="AY263" s="22" t="s">
        <v>372</v>
      </c>
      <c r="AZ263" s="43"/>
      <c r="BA263" s="43"/>
      <c r="BB263" s="43"/>
      <c r="BC263" s="43"/>
      <c r="BD263" s="43" t="s">
        <v>2993</v>
      </c>
      <c r="BE263" s="59" t="s">
        <v>2674</v>
      </c>
      <c r="BF263" s="22" t="s">
        <v>131</v>
      </c>
      <c r="BG263" s="22" t="s">
        <v>132</v>
      </c>
      <c r="BH263" s="22" t="s">
        <v>132</v>
      </c>
      <c r="BI263" s="22" t="s">
        <v>132</v>
      </c>
      <c r="BJ263" s="43"/>
      <c r="BK263" s="43"/>
      <c r="BL263" s="22">
        <v>2.038301460351E12</v>
      </c>
      <c r="BM263" s="22">
        <v>2.106909809E9</v>
      </c>
      <c r="BN263" s="22" t="s">
        <v>3959</v>
      </c>
      <c r="BO263" s="22"/>
      <c r="BP263" s="22" t="s">
        <v>145</v>
      </c>
      <c r="BQ263" s="43"/>
      <c r="BR263" s="43"/>
      <c r="BS263" s="22" t="s">
        <v>3197</v>
      </c>
      <c r="BT263" s="43"/>
      <c r="BU263" s="22" t="s">
        <v>3198</v>
      </c>
      <c r="BV263" s="22" t="s">
        <v>3199</v>
      </c>
      <c r="BW263" s="22" t="s">
        <v>3200</v>
      </c>
      <c r="BX263" s="22"/>
      <c r="BY263" s="43"/>
      <c r="BZ263" s="43"/>
      <c r="CA263" s="22"/>
      <c r="CB263" s="22"/>
      <c r="CC263" s="45"/>
      <c r="CD263" s="43"/>
      <c r="CE263" s="43"/>
      <c r="CF263" s="45"/>
      <c r="CG263" s="43"/>
      <c r="CH263" s="43"/>
      <c r="CI263" s="43"/>
      <c r="CJ263" s="43"/>
      <c r="CK263" s="43"/>
      <c r="CL263" s="43"/>
      <c r="CM263" s="49">
        <f>IFERROR(VLOOKUP(B263,CC!A:D,4,0)," ")</f>
        <v>206.96</v>
      </c>
      <c r="CN263" s="22" t="s">
        <v>2681</v>
      </c>
      <c r="CO263" s="22"/>
      <c r="CP263" s="43"/>
      <c r="CQ263" s="22">
        <v>45.0</v>
      </c>
      <c r="CR263" s="43"/>
      <c r="CS263" s="22">
        <v>1.0</v>
      </c>
      <c r="CT263" s="22" t="s">
        <v>145</v>
      </c>
      <c r="CU263" s="43"/>
      <c r="CV263" s="43"/>
      <c r="CW263" s="43"/>
      <c r="CX263" s="43"/>
      <c r="CY263" s="43" t="b">
        <v>0</v>
      </c>
      <c r="CZ263" s="43" t="b">
        <v>0</v>
      </c>
      <c r="DA263" s="43" t="b">
        <v>0</v>
      </c>
      <c r="DB263" s="43" t="b">
        <v>0</v>
      </c>
      <c r="DC263" s="43"/>
      <c r="DD263" s="43"/>
      <c r="DE263" s="43"/>
      <c r="DF263" s="43"/>
      <c r="DG263" s="43"/>
      <c r="DH263" s="43"/>
      <c r="DI263" s="43"/>
      <c r="DJ263" s="22">
        <f>IFERROR(VLOOKUP($B263,'Лист4'!$D:$AI,27,0)," ")</f>
        <v>15</v>
      </c>
      <c r="DK263" s="22">
        <f>IFERROR(VLOOKUP($B263,'Лист4'!$D:$AI,28,0)," ")</f>
        <v>6</v>
      </c>
      <c r="DL263" s="22">
        <f>IFERROR(VLOOKUP($B263,'Лист4'!$D:$AI,29,0)," ")</f>
        <v>15</v>
      </c>
      <c r="DM263" s="22">
        <f t="shared" si="3"/>
        <v>1350</v>
      </c>
      <c r="DN263" s="22">
        <f>IFERROR(VLOOKUP($B263,'Лист4'!$D:$AI,32,0)," ")</f>
        <v>0.032</v>
      </c>
      <c r="DO263" s="22"/>
      <c r="DP263" s="22"/>
      <c r="DQ263" s="22"/>
      <c r="DR263" s="22"/>
      <c r="DS263" s="22"/>
      <c r="DT263" s="22"/>
      <c r="DU263" s="22"/>
      <c r="DV263" s="22"/>
      <c r="DW263" s="22"/>
      <c r="DX263" s="22"/>
      <c r="DY263" s="22"/>
      <c r="DZ263" s="22"/>
      <c r="EA263" s="22"/>
      <c r="EB263" s="22"/>
      <c r="EC263" s="22"/>
      <c r="ED263" s="22"/>
      <c r="EE263" s="22"/>
      <c r="EF263" s="22"/>
      <c r="EG263" s="22"/>
      <c r="EH263" s="22"/>
      <c r="EI263" s="22"/>
      <c r="EJ263" s="22"/>
      <c r="EK263" s="22"/>
      <c r="EL263" s="22"/>
      <c r="EM263" s="22"/>
      <c r="EN263" s="22"/>
      <c r="EO263" s="22"/>
      <c r="EP263" s="22"/>
      <c r="EQ263" s="22"/>
      <c r="ER263" s="22"/>
      <c r="ES263" s="43"/>
      <c r="ET263" s="43"/>
      <c r="EU263" s="43"/>
      <c r="EV263" s="43"/>
      <c r="EW263" s="43"/>
      <c r="EX263" s="43"/>
      <c r="EY263" s="43"/>
      <c r="EZ263" s="43"/>
      <c r="FA263" s="43"/>
      <c r="FB263" s="43"/>
      <c r="FC263" s="43"/>
      <c r="FD263" s="43"/>
      <c r="FE263" s="43"/>
      <c r="FF263" s="43"/>
      <c r="FG263" s="43"/>
      <c r="FH263" s="43"/>
      <c r="FI263" s="43"/>
    </row>
    <row r="264" ht="18.0" customHeight="1">
      <c r="A264" s="22" t="s">
        <v>2659</v>
      </c>
      <c r="B264" s="43" t="s">
        <v>4043</v>
      </c>
      <c r="C264" s="22" t="s">
        <v>2661</v>
      </c>
      <c r="D264" s="22" t="s">
        <v>119</v>
      </c>
      <c r="E264" s="43"/>
      <c r="F264" s="22" t="s">
        <v>4044</v>
      </c>
      <c r="G264" s="22" t="s">
        <v>2663</v>
      </c>
      <c r="H264" s="22" t="s">
        <v>4045</v>
      </c>
      <c r="I264" s="43"/>
      <c r="J264" s="43"/>
      <c r="K264" s="22" t="b">
        <v>1</v>
      </c>
      <c r="L264" s="22" t="b">
        <v>1</v>
      </c>
      <c r="M264" s="22" t="b">
        <v>1</v>
      </c>
      <c r="N264" s="22" t="b">
        <v>1</v>
      </c>
      <c r="O264" s="22" t="b">
        <v>0</v>
      </c>
      <c r="P264" s="22" t="b">
        <v>0</v>
      </c>
      <c r="Q264" s="22" t="b">
        <v>0</v>
      </c>
      <c r="R264" s="43"/>
      <c r="S264" s="43" t="s">
        <v>4046</v>
      </c>
      <c r="T264" s="22" t="s">
        <v>4043</v>
      </c>
      <c r="U264" s="22" t="s">
        <v>4043</v>
      </c>
      <c r="V264" s="22" t="s">
        <v>4043</v>
      </c>
      <c r="W264" s="43"/>
      <c r="X264" s="43"/>
      <c r="Y264" s="43"/>
      <c r="Z264" s="43"/>
      <c r="AA264" s="22">
        <v>2.22218347E8</v>
      </c>
      <c r="AB264" s="22">
        <v>1.528840163E9</v>
      </c>
      <c r="AC264" s="22">
        <v>1.035154256E11</v>
      </c>
      <c r="AD264" s="22"/>
      <c r="AE264" s="22"/>
      <c r="AF264" s="43"/>
      <c r="AG264" s="43"/>
      <c r="AH264" s="43" t="s">
        <v>4044</v>
      </c>
      <c r="AI264" s="22" t="s">
        <v>4047</v>
      </c>
      <c r="AJ264" s="22" t="s">
        <v>4048</v>
      </c>
      <c r="AK264" s="22" t="s">
        <v>4048</v>
      </c>
      <c r="AL264" s="43"/>
      <c r="AM264" s="43"/>
      <c r="AN264" s="43"/>
      <c r="AO264" s="43"/>
      <c r="AP264" s="46" t="s">
        <v>4049</v>
      </c>
      <c r="AQ264" s="46" t="s">
        <v>4050</v>
      </c>
      <c r="AR264" s="46" t="s">
        <v>4051</v>
      </c>
      <c r="AS264" s="43"/>
      <c r="AT264" s="43"/>
      <c r="AU264" s="43"/>
      <c r="AV264" s="43"/>
      <c r="AW264" s="22" t="s">
        <v>649</v>
      </c>
      <c r="AX264" s="22" t="s">
        <v>4048</v>
      </c>
      <c r="AY264" s="22" t="s">
        <v>2692</v>
      </c>
      <c r="AZ264" s="43"/>
      <c r="BA264" s="43"/>
      <c r="BB264" s="43"/>
      <c r="BC264" s="43"/>
      <c r="BD264" s="43" t="s">
        <v>1449</v>
      </c>
      <c r="BE264" s="59" t="s">
        <v>2755</v>
      </c>
      <c r="BF264" s="22" t="s">
        <v>131</v>
      </c>
      <c r="BG264" s="22" t="s">
        <v>132</v>
      </c>
      <c r="BH264" s="22" t="s">
        <v>132</v>
      </c>
      <c r="BI264" s="22" t="s">
        <v>132</v>
      </c>
      <c r="BJ264" s="43"/>
      <c r="BK264" s="43"/>
      <c r="BL264" s="22">
        <v>4.610030631462E12</v>
      </c>
      <c r="BM264" s="22">
        <v>2.106909808E9</v>
      </c>
      <c r="BN264" s="22" t="s">
        <v>3459</v>
      </c>
      <c r="BO264" s="22"/>
      <c r="BP264" s="22" t="s">
        <v>145</v>
      </c>
      <c r="BQ264" s="43"/>
      <c r="BR264" s="43"/>
      <c r="BS264" s="22" t="s">
        <v>4052</v>
      </c>
      <c r="BT264" s="43"/>
      <c r="BU264" s="22" t="s">
        <v>2903</v>
      </c>
      <c r="BV264" s="43" t="s">
        <v>2887</v>
      </c>
      <c r="BW264" s="22" t="s">
        <v>4053</v>
      </c>
      <c r="BX264" s="22">
        <v>20.0</v>
      </c>
      <c r="BY264" s="22" t="s">
        <v>492</v>
      </c>
      <c r="BZ264" s="22"/>
      <c r="CA264" s="22" t="s">
        <v>4054</v>
      </c>
      <c r="CB264" s="22" t="s">
        <v>4054</v>
      </c>
      <c r="CC264" s="45" t="s">
        <v>4055</v>
      </c>
      <c r="CD264" s="43"/>
      <c r="CE264" s="43"/>
      <c r="CF264" s="45"/>
      <c r="CG264" s="43"/>
      <c r="CH264" s="43"/>
      <c r="CI264" s="43"/>
      <c r="CJ264" s="43"/>
      <c r="CK264" s="43"/>
      <c r="CL264" s="43"/>
      <c r="CM264" s="49">
        <f>IFERROR(VLOOKUP(B264,CC!A:D,4,0)," ")</f>
        <v>116.89</v>
      </c>
      <c r="CN264" s="22" t="s">
        <v>2715</v>
      </c>
      <c r="CO264" s="22"/>
      <c r="CP264" s="43"/>
      <c r="CQ264" s="22">
        <v>45.0</v>
      </c>
      <c r="CR264" s="43"/>
      <c r="CS264" s="22">
        <v>1.0</v>
      </c>
      <c r="CT264" s="22" t="s">
        <v>145</v>
      </c>
      <c r="CU264" s="43"/>
      <c r="CV264" s="43"/>
      <c r="CW264" s="43"/>
      <c r="CX264" s="43"/>
      <c r="CY264" s="43" t="b">
        <v>0</v>
      </c>
      <c r="CZ264" s="43" t="b">
        <v>0</v>
      </c>
      <c r="DA264" s="43" t="b">
        <v>0</v>
      </c>
      <c r="DB264" s="43" t="b">
        <v>0</v>
      </c>
      <c r="DC264" s="43"/>
      <c r="DD264" s="43"/>
      <c r="DE264" s="43"/>
      <c r="DF264" s="43"/>
      <c r="DG264" s="43"/>
      <c r="DH264" s="43"/>
      <c r="DI264" s="43"/>
      <c r="DJ264" s="22">
        <f>IFERROR(VLOOKUP($B264,'Лист4'!$D:$AI,27,0)," ")</f>
        <v>8</v>
      </c>
      <c r="DK264" s="22">
        <f>IFERROR(VLOOKUP($B264,'Лист4'!$D:$AI,28,0)," ")</f>
        <v>2</v>
      </c>
      <c r="DL264" s="22">
        <f>IFERROR(VLOOKUP($B264,'Лист4'!$D:$AI,29,0)," ")</f>
        <v>8</v>
      </c>
      <c r="DM264" s="22">
        <f t="shared" si="3"/>
        <v>128</v>
      </c>
      <c r="DN264" s="22">
        <f>IFERROR(VLOOKUP($B264,'Лист4'!$D:$AI,32,0)," ")</f>
        <v>0.023</v>
      </c>
      <c r="DO264" s="22"/>
      <c r="DP264" s="22"/>
      <c r="DQ264" s="22"/>
      <c r="DR264" s="22"/>
      <c r="DS264" s="22"/>
      <c r="DT264" s="22"/>
      <c r="DU264" s="22"/>
      <c r="DV264" s="22"/>
      <c r="DW264" s="22"/>
      <c r="DX264" s="22"/>
      <c r="DY264" s="22"/>
      <c r="DZ264" s="22"/>
      <c r="EA264" s="22"/>
      <c r="EB264" s="22"/>
      <c r="EC264" s="22"/>
      <c r="ED264" s="22"/>
      <c r="EE264" s="22"/>
      <c r="EF264" s="22"/>
      <c r="EG264" s="22"/>
      <c r="EH264" s="22"/>
      <c r="EI264" s="22"/>
      <c r="EJ264" s="22"/>
      <c r="EK264" s="22"/>
      <c r="EL264" s="22"/>
      <c r="EM264" s="22"/>
      <c r="EN264" s="22"/>
      <c r="EO264" s="22"/>
      <c r="EP264" s="22"/>
      <c r="EQ264" s="22"/>
      <c r="ER264" s="22"/>
      <c r="ES264" s="43"/>
      <c r="ET264" s="43"/>
      <c r="EU264" s="43"/>
      <c r="EV264" s="43"/>
      <c r="EW264" s="43"/>
      <c r="EX264" s="43"/>
      <c r="EY264" s="43"/>
      <c r="EZ264" s="43"/>
      <c r="FA264" s="43"/>
      <c r="FB264" s="43"/>
      <c r="FC264" s="43"/>
      <c r="FD264" s="43"/>
      <c r="FE264" s="43"/>
      <c r="FF264" s="43"/>
      <c r="FG264" s="43"/>
      <c r="FH264" s="43"/>
      <c r="FI264" s="43"/>
    </row>
    <row r="265" ht="18.0" customHeight="1">
      <c r="A265" s="22" t="s">
        <v>2659</v>
      </c>
      <c r="B265" s="43" t="s">
        <v>4056</v>
      </c>
      <c r="C265" s="22" t="s">
        <v>2661</v>
      </c>
      <c r="D265" s="22" t="s">
        <v>119</v>
      </c>
      <c r="E265" s="43"/>
      <c r="F265" s="22" t="s">
        <v>4057</v>
      </c>
      <c r="G265" s="22" t="s">
        <v>2663</v>
      </c>
      <c r="H265" s="22" t="s">
        <v>4058</v>
      </c>
      <c r="I265" s="43"/>
      <c r="J265" s="43"/>
      <c r="K265" s="22" t="b">
        <v>1</v>
      </c>
      <c r="L265" s="22" t="b">
        <v>1</v>
      </c>
      <c r="M265" s="22" t="b">
        <v>1</v>
      </c>
      <c r="N265" s="22" t="b">
        <v>1</v>
      </c>
      <c r="O265" s="22" t="b">
        <v>0</v>
      </c>
      <c r="P265" s="22" t="b">
        <v>0</v>
      </c>
      <c r="Q265" s="22" t="b">
        <v>0</v>
      </c>
      <c r="R265" s="43"/>
      <c r="S265" s="43" t="s">
        <v>4059</v>
      </c>
      <c r="T265" s="43" t="s">
        <v>4056</v>
      </c>
      <c r="U265" s="43" t="s">
        <v>4056</v>
      </c>
      <c r="V265" s="43" t="s">
        <v>4056</v>
      </c>
      <c r="W265" s="43"/>
      <c r="X265" s="43"/>
      <c r="Y265" s="43"/>
      <c r="Z265" s="43"/>
      <c r="AA265" s="22">
        <v>1.36537336E8</v>
      </c>
      <c r="AB265" s="22">
        <v>2.825114763E9</v>
      </c>
      <c r="AC265" s="22">
        <v>1.0351542379E11</v>
      </c>
      <c r="AD265" s="22"/>
      <c r="AE265" s="22"/>
      <c r="AF265" s="43"/>
      <c r="AG265" s="43"/>
      <c r="AH265" s="43" t="s">
        <v>4057</v>
      </c>
      <c r="AI265" s="22" t="s">
        <v>4060</v>
      </c>
      <c r="AJ265" s="22" t="s">
        <v>4061</v>
      </c>
      <c r="AK265" s="22" t="s">
        <v>4062</v>
      </c>
      <c r="AL265" s="43"/>
      <c r="AM265" s="43"/>
      <c r="AN265" s="43"/>
      <c r="AO265" s="43"/>
      <c r="AP265" s="46" t="s">
        <v>4063</v>
      </c>
      <c r="AQ265" s="46" t="s">
        <v>4064</v>
      </c>
      <c r="AR265" s="46" t="s">
        <v>4065</v>
      </c>
      <c r="AS265" s="43"/>
      <c r="AT265" s="43"/>
      <c r="AU265" s="43"/>
      <c r="AV265" s="43"/>
      <c r="AW265" s="22" t="s">
        <v>594</v>
      </c>
      <c r="AX265" s="22" t="s">
        <v>4061</v>
      </c>
      <c r="AY265" s="22" t="s">
        <v>2672</v>
      </c>
      <c r="AZ265" s="43"/>
      <c r="BA265" s="43"/>
      <c r="BB265" s="43"/>
      <c r="BC265" s="43"/>
      <c r="BD265" s="43" t="s">
        <v>2673</v>
      </c>
      <c r="BE265" s="59" t="s">
        <v>2755</v>
      </c>
      <c r="BF265" s="22" t="s">
        <v>131</v>
      </c>
      <c r="BG265" s="22" t="s">
        <v>132</v>
      </c>
      <c r="BH265" s="22" t="s">
        <v>132</v>
      </c>
      <c r="BI265" s="22" t="s">
        <v>132</v>
      </c>
      <c r="BJ265" s="43"/>
      <c r="BK265" s="43"/>
      <c r="BL265" s="22">
        <v>4.631158757957E12</v>
      </c>
      <c r="BM265" s="22">
        <v>3.30499E9</v>
      </c>
      <c r="BN265" s="22" t="s">
        <v>4066</v>
      </c>
      <c r="BO265" s="22"/>
      <c r="BP265" s="22" t="s">
        <v>496</v>
      </c>
      <c r="BQ265" s="43"/>
      <c r="BR265" s="43"/>
      <c r="BS265" s="22" t="s">
        <v>4067</v>
      </c>
      <c r="BT265" s="22"/>
      <c r="BU265" s="22" t="s">
        <v>4068</v>
      </c>
      <c r="BV265" s="22" t="s">
        <v>965</v>
      </c>
      <c r="BW265" s="22" t="s">
        <v>3503</v>
      </c>
      <c r="BX265" s="22">
        <v>30.0</v>
      </c>
      <c r="BY265" s="22" t="s">
        <v>139</v>
      </c>
      <c r="BZ265" s="22"/>
      <c r="CA265" s="22"/>
      <c r="CB265" s="22"/>
      <c r="CC265" s="45" t="s">
        <v>4069</v>
      </c>
      <c r="CD265" s="43"/>
      <c r="CE265" s="43"/>
      <c r="CF265" s="45"/>
      <c r="CG265" s="43"/>
      <c r="CH265" s="43"/>
      <c r="CI265" s="43"/>
      <c r="CJ265" s="43"/>
      <c r="CK265" s="43"/>
      <c r="CL265" s="43"/>
      <c r="CM265" s="49">
        <f>IFERROR(VLOOKUP(B265,CC!A:D,4,0)," ")</f>
        <v>106.37</v>
      </c>
      <c r="CN265" s="22" t="s">
        <v>2681</v>
      </c>
      <c r="CO265" s="22"/>
      <c r="CP265" s="43"/>
      <c r="CQ265" s="22">
        <v>45.0</v>
      </c>
      <c r="CR265" s="43"/>
      <c r="CS265" s="22">
        <v>1.0</v>
      </c>
      <c r="CT265" s="22" t="s">
        <v>145</v>
      </c>
      <c r="CU265" s="43"/>
      <c r="CV265" s="43"/>
      <c r="CW265" s="43"/>
      <c r="CX265" s="43"/>
      <c r="CY265" s="43" t="b">
        <v>0</v>
      </c>
      <c r="CZ265" s="43" t="b">
        <v>0</v>
      </c>
      <c r="DA265" s="43" t="b">
        <v>0</v>
      </c>
      <c r="DB265" s="43" t="b">
        <v>0</v>
      </c>
      <c r="DC265" s="43"/>
      <c r="DD265" s="43"/>
      <c r="DE265" s="43"/>
      <c r="DF265" s="43"/>
      <c r="DG265" s="43"/>
      <c r="DH265" s="43"/>
      <c r="DI265" s="43"/>
      <c r="DJ265" s="22">
        <f>IFERROR(VLOOKUP($B265,'Лист4'!$D:$AI,27,0)," ")</f>
        <v>13</v>
      </c>
      <c r="DK265" s="22">
        <f>IFERROR(VLOOKUP($B265,'Лист4'!$D:$AI,28,0)," ")</f>
        <v>4</v>
      </c>
      <c r="DL265" s="22">
        <f>IFERROR(VLOOKUP($B265,'Лист4'!$D:$AI,29,0)," ")</f>
        <v>13</v>
      </c>
      <c r="DM265" s="22">
        <f t="shared" si="3"/>
        <v>676</v>
      </c>
      <c r="DN265" s="22">
        <f>IFERROR(VLOOKUP($B265,'Лист4'!$D:$AI,32,0)," ")</f>
        <v>0.056</v>
      </c>
      <c r="DO265" s="22"/>
      <c r="DP265" s="22"/>
      <c r="DQ265" s="22"/>
      <c r="DR265" s="22"/>
      <c r="DS265" s="22"/>
      <c r="DT265" s="22"/>
      <c r="DU265" s="22"/>
      <c r="DV265" s="22"/>
      <c r="DW265" s="22"/>
      <c r="DX265" s="22"/>
      <c r="DY265" s="22"/>
      <c r="DZ265" s="22"/>
      <c r="EA265" s="22"/>
      <c r="EB265" s="22"/>
      <c r="EC265" s="22"/>
      <c r="ED265" s="22"/>
      <c r="EE265" s="22"/>
      <c r="EF265" s="22"/>
      <c r="EG265" s="22"/>
      <c r="EH265" s="22"/>
      <c r="EI265" s="22"/>
      <c r="EJ265" s="22"/>
      <c r="EK265" s="22"/>
      <c r="EL265" s="22"/>
      <c r="EM265" s="22"/>
      <c r="EN265" s="22"/>
      <c r="EO265" s="22"/>
      <c r="EP265" s="22"/>
      <c r="EQ265" s="22"/>
      <c r="ER265" s="22"/>
      <c r="ES265" s="43"/>
      <c r="ET265" s="43"/>
      <c r="EU265" s="43"/>
      <c r="EV265" s="43"/>
      <c r="EW265" s="43"/>
      <c r="EX265" s="43"/>
      <c r="EY265" s="43"/>
      <c r="EZ265" s="43"/>
      <c r="FA265" s="43"/>
      <c r="FB265" s="43"/>
      <c r="FC265" s="43"/>
      <c r="FD265" s="43"/>
      <c r="FE265" s="43"/>
      <c r="FF265" s="43"/>
      <c r="FG265" s="43"/>
      <c r="FH265" s="43"/>
      <c r="FI265" s="43"/>
    </row>
    <row r="266" ht="18.0" customHeight="1">
      <c r="A266" s="22" t="s">
        <v>2659</v>
      </c>
      <c r="B266" s="43" t="s">
        <v>4070</v>
      </c>
      <c r="C266" s="22" t="s">
        <v>2741</v>
      </c>
      <c r="D266" s="22" t="s">
        <v>119</v>
      </c>
      <c r="E266" s="43"/>
      <c r="F266" s="22" t="s">
        <v>4071</v>
      </c>
      <c r="G266" s="22" t="s">
        <v>2743</v>
      </c>
      <c r="H266" s="22" t="s">
        <v>287</v>
      </c>
      <c r="I266" s="43"/>
      <c r="J266" s="43"/>
      <c r="K266" s="22" t="b">
        <v>1</v>
      </c>
      <c r="L266" s="22" t="b">
        <v>1</v>
      </c>
      <c r="M266" s="22" t="b">
        <v>1</v>
      </c>
      <c r="N266" s="22" t="b">
        <v>1</v>
      </c>
      <c r="O266" s="22" t="b">
        <v>1</v>
      </c>
      <c r="P266" s="22" t="b">
        <v>1</v>
      </c>
      <c r="Q266" s="22" t="b">
        <v>1</v>
      </c>
      <c r="R266" s="43"/>
      <c r="S266" s="43" t="s">
        <v>4072</v>
      </c>
      <c r="T266" s="22" t="s">
        <v>4070</v>
      </c>
      <c r="U266" s="22" t="s">
        <v>4070</v>
      </c>
      <c r="V266" s="22" t="s">
        <v>4070</v>
      </c>
      <c r="W266" s="43" t="s">
        <v>4070</v>
      </c>
      <c r="X266" s="43" t="s">
        <v>4070</v>
      </c>
      <c r="Y266" s="22" t="s">
        <v>4070</v>
      </c>
      <c r="Z266" s="43"/>
      <c r="AA266" s="22">
        <v>3.26913593E8</v>
      </c>
      <c r="AB266" s="22">
        <v>1.860164273E9</v>
      </c>
      <c r="AC266" s="22">
        <v>1.03816818779E11</v>
      </c>
      <c r="AD266" s="22">
        <v>9.9000076221E10</v>
      </c>
      <c r="AE266" s="22" t="s">
        <v>4073</v>
      </c>
      <c r="AF266" s="22" t="s">
        <v>4074</v>
      </c>
      <c r="AG266" s="43"/>
      <c r="AH266" s="43" t="s">
        <v>4071</v>
      </c>
      <c r="AI266" s="22" t="s">
        <v>4075</v>
      </c>
      <c r="AJ266" s="22" t="s">
        <v>4076</v>
      </c>
      <c r="AK266" s="22" t="s">
        <v>4077</v>
      </c>
      <c r="AL266" s="22" t="s">
        <v>4078</v>
      </c>
      <c r="AM266" s="22" t="s">
        <v>4075</v>
      </c>
      <c r="AN266" s="22" t="s">
        <v>4079</v>
      </c>
      <c r="AO266" s="43"/>
      <c r="AP266" s="46" t="s">
        <v>4080</v>
      </c>
      <c r="AQ266" s="46" t="s">
        <v>4081</v>
      </c>
      <c r="AR266" s="46" t="s">
        <v>4082</v>
      </c>
      <c r="AS266" s="46" t="s">
        <v>4083</v>
      </c>
      <c r="AT266" s="46" t="s">
        <v>4084</v>
      </c>
      <c r="AU266" s="46" t="s">
        <v>4085</v>
      </c>
      <c r="AV266" s="43"/>
      <c r="AW266" s="22" t="s">
        <v>298</v>
      </c>
      <c r="AX266" s="22" t="s">
        <v>4076</v>
      </c>
      <c r="AY266" s="22" t="s">
        <v>299</v>
      </c>
      <c r="AZ266" s="22" t="s">
        <v>300</v>
      </c>
      <c r="BA266" s="22" t="s">
        <v>4086</v>
      </c>
      <c r="BB266" s="22" t="s">
        <v>298</v>
      </c>
      <c r="BC266" s="22"/>
      <c r="BD266" s="43" t="s">
        <v>301</v>
      </c>
      <c r="BE266" s="59" t="s">
        <v>2674</v>
      </c>
      <c r="BF266" s="22" t="s">
        <v>131</v>
      </c>
      <c r="BG266" s="22" t="s">
        <v>132</v>
      </c>
      <c r="BH266" s="22" t="s">
        <v>132</v>
      </c>
      <c r="BI266" s="22" t="s">
        <v>132</v>
      </c>
      <c r="BJ266" s="43"/>
      <c r="BK266" s="43"/>
      <c r="BL266" s="22" t="s">
        <v>4087</v>
      </c>
      <c r="BM266" s="22">
        <v>3.305900009E9</v>
      </c>
      <c r="BN266" s="22" t="s">
        <v>4088</v>
      </c>
      <c r="BO266" s="22"/>
      <c r="BP266" s="22" t="s">
        <v>496</v>
      </c>
      <c r="BQ266" s="43"/>
      <c r="BR266" s="43"/>
      <c r="BS266" s="22" t="s">
        <v>4089</v>
      </c>
      <c r="BT266" s="43"/>
      <c r="BU266" s="22" t="s">
        <v>4090</v>
      </c>
      <c r="BV266" s="43" t="s">
        <v>4091</v>
      </c>
      <c r="BW266" s="22" t="s">
        <v>4092</v>
      </c>
      <c r="BX266" s="22">
        <v>200.0</v>
      </c>
      <c r="BY266" s="22" t="s">
        <v>139</v>
      </c>
      <c r="BZ266" s="22"/>
      <c r="CA266" s="22" t="s">
        <v>355</v>
      </c>
      <c r="CB266" s="22" t="s">
        <v>307</v>
      </c>
      <c r="CC266" s="45" t="s">
        <v>4093</v>
      </c>
      <c r="CD266" s="43"/>
      <c r="CE266" s="43"/>
      <c r="CF266" s="45"/>
      <c r="CG266" s="43"/>
      <c r="CH266" s="43"/>
      <c r="CI266" s="43"/>
      <c r="CJ266" s="43"/>
      <c r="CK266" s="43"/>
      <c r="CL266" s="43"/>
      <c r="CM266" s="49">
        <f>IFERROR(VLOOKUP(B266,CC!A:D,4,0)," ")</f>
        <v>98.7</v>
      </c>
      <c r="CN266" s="22" t="s">
        <v>2834</v>
      </c>
      <c r="CO266" s="22"/>
      <c r="CP266" s="43"/>
      <c r="CQ266" s="22">
        <v>90.0</v>
      </c>
      <c r="CR266" s="43"/>
      <c r="CS266" s="22">
        <v>5.0</v>
      </c>
      <c r="CT266" s="22" t="s">
        <v>145</v>
      </c>
      <c r="CU266" s="43"/>
      <c r="CV266" s="43"/>
      <c r="CW266" s="43"/>
      <c r="CX266" s="43"/>
      <c r="CY266" s="43" t="b">
        <v>0</v>
      </c>
      <c r="CZ266" s="43" t="b">
        <v>0</v>
      </c>
      <c r="DA266" s="43" t="b">
        <v>0</v>
      </c>
      <c r="DB266" s="43" t="b">
        <v>0</v>
      </c>
      <c r="DC266" s="43"/>
      <c r="DD266" s="43"/>
      <c r="DE266" s="43"/>
      <c r="DF266" s="43"/>
      <c r="DG266" s="43"/>
      <c r="DH266" s="43"/>
      <c r="DI266" s="43"/>
      <c r="DJ266" s="22">
        <f>IFERROR(VLOOKUP($B266,'Лист4'!$D:$AI,27,0)," ")</f>
        <v>16</v>
      </c>
      <c r="DK266" s="22">
        <f>IFERROR(VLOOKUP($B266,'Лист4'!$D:$AI,28,0)," ")</f>
        <v>5</v>
      </c>
      <c r="DL266" s="22">
        <f>IFERROR(VLOOKUP($B266,'Лист4'!$D:$AI,29,0)," ")</f>
        <v>16</v>
      </c>
      <c r="DM266" s="22">
        <f t="shared" si="3"/>
        <v>1280</v>
      </c>
      <c r="DN266" s="22">
        <f>IFERROR(VLOOKUP($B266,'Лист4'!$D:$AI,32,0)," ")</f>
        <v>0.288</v>
      </c>
      <c r="DO266" s="22"/>
      <c r="DP266" s="22"/>
      <c r="DQ266" s="22"/>
      <c r="DR266" s="22"/>
      <c r="DS266" s="22"/>
      <c r="DT266" s="22"/>
      <c r="DU266" s="22"/>
      <c r="DV266" s="22"/>
      <c r="DW266" s="22"/>
      <c r="DX266" s="22"/>
      <c r="DY266" s="22"/>
      <c r="DZ266" s="22"/>
      <c r="EA266" s="22"/>
      <c r="EB266" s="22"/>
      <c r="EC266" s="22"/>
      <c r="ED266" s="22"/>
      <c r="EE266" s="22"/>
      <c r="EF266" s="22"/>
      <c r="EG266" s="22"/>
      <c r="EH266" s="22"/>
      <c r="EI266" s="22"/>
      <c r="EJ266" s="22"/>
      <c r="EK266" s="22"/>
      <c r="EL266" s="22"/>
      <c r="EM266" s="22"/>
      <c r="EN266" s="22"/>
      <c r="EO266" s="22"/>
      <c r="EP266" s="22"/>
      <c r="EQ266" s="22"/>
      <c r="ER266" s="22"/>
      <c r="ES266" s="43"/>
      <c r="ET266" s="43"/>
      <c r="EU266" s="43"/>
      <c r="EV266" s="43"/>
      <c r="EW266" s="43"/>
      <c r="EX266" s="43"/>
      <c r="EY266" s="43"/>
      <c r="EZ266" s="43"/>
      <c r="FA266" s="43"/>
      <c r="FB266" s="43"/>
      <c r="FC266" s="43"/>
      <c r="FD266" s="43"/>
      <c r="FE266" s="43"/>
      <c r="FF266" s="43"/>
      <c r="FG266" s="43"/>
      <c r="FH266" s="43"/>
      <c r="FI266" s="43"/>
    </row>
    <row r="267" ht="18.0" customHeight="1">
      <c r="A267" s="22" t="s">
        <v>2659</v>
      </c>
      <c r="B267" s="43" t="s">
        <v>4094</v>
      </c>
      <c r="C267" s="22" t="s">
        <v>2741</v>
      </c>
      <c r="D267" s="22" t="s">
        <v>119</v>
      </c>
      <c r="E267" s="43"/>
      <c r="F267" s="22" t="s">
        <v>4095</v>
      </c>
      <c r="G267" s="22" t="s">
        <v>2743</v>
      </c>
      <c r="H267" s="22" t="s">
        <v>565</v>
      </c>
      <c r="I267" s="43"/>
      <c r="J267" s="43"/>
      <c r="K267" s="22" t="b">
        <v>1</v>
      </c>
      <c r="L267" s="22" t="b">
        <v>1</v>
      </c>
      <c r="M267" s="22" t="b">
        <v>1</v>
      </c>
      <c r="N267" s="22" t="b">
        <v>1</v>
      </c>
      <c r="O267" s="22" t="b">
        <v>1</v>
      </c>
      <c r="P267" s="22" t="b">
        <v>1</v>
      </c>
      <c r="Q267" s="22" t="b">
        <v>1</v>
      </c>
      <c r="R267" s="43"/>
      <c r="S267" s="43" t="s">
        <v>4096</v>
      </c>
      <c r="T267" s="22" t="s">
        <v>4094</v>
      </c>
      <c r="U267" s="22" t="s">
        <v>4094</v>
      </c>
      <c r="V267" s="22" t="s">
        <v>4094</v>
      </c>
      <c r="W267" s="43" t="s">
        <v>4094</v>
      </c>
      <c r="X267" s="43" t="s">
        <v>4094</v>
      </c>
      <c r="Y267" s="22" t="s">
        <v>4094</v>
      </c>
      <c r="Z267" s="43"/>
      <c r="AA267" s="22">
        <v>4.84586518E8</v>
      </c>
      <c r="AB267" s="22">
        <v>2.58313961E9</v>
      </c>
      <c r="AC267" s="22">
        <v>4.569591407E9</v>
      </c>
      <c r="AD267" s="22">
        <v>9.9000125263E10</v>
      </c>
      <c r="AE267" s="22" t="s">
        <v>4097</v>
      </c>
      <c r="AF267" s="22" t="s">
        <v>4098</v>
      </c>
      <c r="AG267" s="43"/>
      <c r="AH267" s="43" t="s">
        <v>4095</v>
      </c>
      <c r="AI267" s="22" t="s">
        <v>4099</v>
      </c>
      <c r="AJ267" s="22" t="s">
        <v>4100</v>
      </c>
      <c r="AK267" s="22" t="s">
        <v>4101</v>
      </c>
      <c r="AL267" s="22" t="s">
        <v>4102</v>
      </c>
      <c r="AM267" s="22" t="s">
        <v>4099</v>
      </c>
      <c r="AN267" s="22" t="s">
        <v>4103</v>
      </c>
      <c r="AO267" s="43"/>
      <c r="AP267" s="46" t="s">
        <v>4104</v>
      </c>
      <c r="AQ267" s="46" t="s">
        <v>4105</v>
      </c>
      <c r="AR267" s="46" t="s">
        <v>4106</v>
      </c>
      <c r="AS267" s="43"/>
      <c r="AT267" s="46" t="s">
        <v>4107</v>
      </c>
      <c r="AU267" s="46" t="s">
        <v>4108</v>
      </c>
      <c r="AV267" s="43"/>
      <c r="AW267" s="22" t="s">
        <v>594</v>
      </c>
      <c r="AX267" s="22" t="s">
        <v>4100</v>
      </c>
      <c r="AY267" s="22" t="s">
        <v>595</v>
      </c>
      <c r="AZ267" s="22" t="s">
        <v>1447</v>
      </c>
      <c r="BA267" s="22" t="s">
        <v>596</v>
      </c>
      <c r="BB267" s="22" t="s">
        <v>597</v>
      </c>
      <c r="BC267" s="22"/>
      <c r="BD267" s="43" t="s">
        <v>2673</v>
      </c>
      <c r="BE267" s="59" t="s">
        <v>2755</v>
      </c>
      <c r="BF267" s="22" t="s">
        <v>131</v>
      </c>
      <c r="BG267" s="22" t="s">
        <v>132</v>
      </c>
      <c r="BH267" s="22" t="s">
        <v>132</v>
      </c>
      <c r="BI267" s="22" t="s">
        <v>132</v>
      </c>
      <c r="BJ267" s="43"/>
      <c r="BK267" s="43"/>
      <c r="BL267" s="22">
        <v>4.603320465342E12</v>
      </c>
      <c r="BM267" s="22">
        <v>3.30499E9</v>
      </c>
      <c r="BN267" s="22" t="s">
        <v>4109</v>
      </c>
      <c r="BO267" s="22"/>
      <c r="BP267" s="22" t="s">
        <v>145</v>
      </c>
      <c r="BQ267" s="43"/>
      <c r="BR267" s="43"/>
      <c r="BS267" s="22" t="s">
        <v>4110</v>
      </c>
      <c r="BT267" s="43"/>
      <c r="BU267" s="22" t="s">
        <v>4111</v>
      </c>
      <c r="BV267" s="43" t="s">
        <v>4112</v>
      </c>
      <c r="BW267" s="22" t="s">
        <v>2939</v>
      </c>
      <c r="BX267" s="22">
        <v>50.0</v>
      </c>
      <c r="BY267" s="22" t="s">
        <v>139</v>
      </c>
      <c r="BZ267" s="22"/>
      <c r="CA267" s="22" t="s">
        <v>726</v>
      </c>
      <c r="CB267" s="22" t="s">
        <v>727</v>
      </c>
      <c r="CC267" s="45" t="s">
        <v>4113</v>
      </c>
      <c r="CD267" s="43"/>
      <c r="CE267" s="43"/>
      <c r="CF267" s="45"/>
      <c r="CG267" s="43"/>
      <c r="CH267" s="43"/>
      <c r="CI267" s="43"/>
      <c r="CJ267" s="43"/>
      <c r="CK267" s="43"/>
      <c r="CL267" s="43"/>
      <c r="CM267" s="49">
        <f>IFERROR(VLOOKUP(B267,CC!A:D,4,0)," ")</f>
        <v>147.85</v>
      </c>
      <c r="CN267" s="22" t="s">
        <v>4114</v>
      </c>
      <c r="CO267" s="22" t="s">
        <v>2943</v>
      </c>
      <c r="CP267" s="22" t="s">
        <v>2944</v>
      </c>
      <c r="CQ267" s="22">
        <v>60.0</v>
      </c>
      <c r="CR267" s="43"/>
      <c r="CS267" s="22">
        <v>3.0</v>
      </c>
      <c r="CT267" s="22" t="s">
        <v>145</v>
      </c>
      <c r="CU267" s="43"/>
      <c r="CV267" s="43"/>
      <c r="CW267" s="43"/>
      <c r="CX267" s="43"/>
      <c r="CY267" s="43" t="b">
        <v>0</v>
      </c>
      <c r="CZ267" s="43" t="b">
        <v>0</v>
      </c>
      <c r="DA267" s="43" t="b">
        <v>0</v>
      </c>
      <c r="DB267" s="43" t="b">
        <v>0</v>
      </c>
      <c r="DC267" s="43"/>
      <c r="DD267" s="43"/>
      <c r="DE267" s="43"/>
      <c r="DF267" s="43"/>
      <c r="DG267" s="43"/>
      <c r="DH267" s="43"/>
      <c r="DI267" s="43"/>
      <c r="DJ267" s="22">
        <f>IFERROR(VLOOKUP($B267,'Лист4'!$D:$AI,27,0)," ")</f>
        <v>6</v>
      </c>
      <c r="DK267" s="22">
        <f>IFERROR(VLOOKUP($B267,'Лист4'!$D:$AI,28,0)," ")</f>
        <v>6</v>
      </c>
      <c r="DL267" s="22">
        <f>IFERROR(VLOOKUP($B267,'Лист4'!$D:$AI,29,0)," ")</f>
        <v>6</v>
      </c>
      <c r="DM267" s="22">
        <f t="shared" si="3"/>
        <v>216</v>
      </c>
      <c r="DN267" s="22">
        <f>IFERROR(VLOOKUP($B267,'Лист4'!$D:$AI,32,0)," ")</f>
        <v>0.17</v>
      </c>
      <c r="DO267" s="22"/>
      <c r="DP267" s="22"/>
      <c r="DQ267" s="22"/>
      <c r="DR267" s="22"/>
      <c r="DS267" s="22"/>
      <c r="DT267" s="22"/>
      <c r="DU267" s="22"/>
      <c r="DV267" s="22"/>
      <c r="DW267" s="22"/>
      <c r="DX267" s="22"/>
      <c r="DY267" s="22"/>
      <c r="DZ267" s="22"/>
      <c r="EA267" s="22"/>
      <c r="EB267" s="22"/>
      <c r="EC267" s="22"/>
      <c r="ED267" s="22"/>
      <c r="EE267" s="22"/>
      <c r="EF267" s="22"/>
      <c r="EG267" s="22"/>
      <c r="EH267" s="22"/>
      <c r="EI267" s="22"/>
      <c r="EJ267" s="22"/>
      <c r="EK267" s="22"/>
      <c r="EL267" s="22"/>
      <c r="EM267" s="22"/>
      <c r="EN267" s="22"/>
      <c r="EO267" s="22"/>
      <c r="EP267" s="22"/>
      <c r="EQ267" s="22"/>
      <c r="ER267" s="22"/>
      <c r="ES267" s="43"/>
      <c r="ET267" s="43"/>
      <c r="EU267" s="43"/>
      <c r="EV267" s="43"/>
      <c r="EW267" s="43"/>
      <c r="EX267" s="43"/>
      <c r="EY267" s="43"/>
      <c r="EZ267" s="43"/>
      <c r="FA267" s="43"/>
      <c r="FB267" s="43"/>
      <c r="FC267" s="43"/>
      <c r="FD267" s="43"/>
      <c r="FE267" s="43"/>
      <c r="FF267" s="43"/>
      <c r="FG267" s="43"/>
      <c r="FH267" s="43"/>
      <c r="FI267" s="43"/>
    </row>
    <row r="268" ht="18.0" customHeight="1">
      <c r="A268" s="22" t="s">
        <v>2659</v>
      </c>
      <c r="B268" s="43" t="s">
        <v>4115</v>
      </c>
      <c r="C268" s="22" t="s">
        <v>2741</v>
      </c>
      <c r="D268" s="22" t="s">
        <v>187</v>
      </c>
      <c r="E268" s="43" t="s">
        <v>971</v>
      </c>
      <c r="F268" s="22" t="s">
        <v>4116</v>
      </c>
      <c r="G268" s="22" t="s">
        <v>2743</v>
      </c>
      <c r="H268" s="22" t="s">
        <v>287</v>
      </c>
      <c r="I268" s="43"/>
      <c r="J268" s="43"/>
      <c r="K268" s="22" t="b">
        <v>1</v>
      </c>
      <c r="L268" s="22" t="b">
        <v>1</v>
      </c>
      <c r="M268" s="22" t="b">
        <v>1</v>
      </c>
      <c r="N268" s="22" t="b">
        <v>1</v>
      </c>
      <c r="O268" s="22" t="b">
        <v>1</v>
      </c>
      <c r="P268" s="22" t="b">
        <v>1</v>
      </c>
      <c r="Q268" s="22" t="b">
        <v>1</v>
      </c>
      <c r="R268" s="43"/>
      <c r="S268" s="43" t="s">
        <v>4117</v>
      </c>
      <c r="T268" s="22" t="s">
        <v>4115</v>
      </c>
      <c r="U268" s="22" t="s">
        <v>4115</v>
      </c>
      <c r="V268" s="22" t="s">
        <v>4115</v>
      </c>
      <c r="W268" s="43" t="s">
        <v>4115</v>
      </c>
      <c r="X268" s="43" t="s">
        <v>4115</v>
      </c>
      <c r="Y268" s="22" t="s">
        <v>4115</v>
      </c>
      <c r="Z268" s="43"/>
      <c r="AA268" s="22">
        <v>2.16502265E8</v>
      </c>
      <c r="AB268" s="22">
        <v>1.500346998E9</v>
      </c>
      <c r="AC268" s="22">
        <v>1.03515740712E11</v>
      </c>
      <c r="AD268" s="22">
        <v>9.9000076204E10</v>
      </c>
      <c r="AE268" s="22" t="s">
        <v>4118</v>
      </c>
      <c r="AF268" s="22" t="s">
        <v>4119</v>
      </c>
      <c r="AG268" s="43"/>
      <c r="AH268" s="43" t="s">
        <v>4116</v>
      </c>
      <c r="AI268" s="22" t="s">
        <v>4120</v>
      </c>
      <c r="AJ268" s="22" t="s">
        <v>4121</v>
      </c>
      <c r="AK268" s="22" t="s">
        <v>4121</v>
      </c>
      <c r="AL268" s="22" t="s">
        <v>4122</v>
      </c>
      <c r="AM268" s="22" t="s">
        <v>4123</v>
      </c>
      <c r="AN268" s="22" t="s">
        <v>4124</v>
      </c>
      <c r="AO268" s="43"/>
      <c r="AP268" s="46" t="s">
        <v>4125</v>
      </c>
      <c r="AQ268" s="46" t="s">
        <v>4126</v>
      </c>
      <c r="AR268" s="46" t="s">
        <v>4127</v>
      </c>
      <c r="AS268" s="46" t="s">
        <v>4128</v>
      </c>
      <c r="AT268" s="46" t="s">
        <v>4129</v>
      </c>
      <c r="AU268" s="46" t="s">
        <v>4130</v>
      </c>
      <c r="AV268" s="43"/>
      <c r="AW268" s="22" t="s">
        <v>1426</v>
      </c>
      <c r="AX268" s="22" t="s">
        <v>4121</v>
      </c>
      <c r="AY268" s="22" t="s">
        <v>326</v>
      </c>
      <c r="AZ268" s="22" t="s">
        <v>300</v>
      </c>
      <c r="BA268" s="22" t="s">
        <v>4131</v>
      </c>
      <c r="BB268" s="22" t="s">
        <v>4132</v>
      </c>
      <c r="BC268" s="22"/>
      <c r="BD268" s="43" t="s">
        <v>2673</v>
      </c>
      <c r="BE268" s="59" t="s">
        <v>2755</v>
      </c>
      <c r="BF268" s="22" t="s">
        <v>131</v>
      </c>
      <c r="BG268" s="22" t="s">
        <v>132</v>
      </c>
      <c r="BH268" s="22" t="s">
        <v>132</v>
      </c>
      <c r="BI268" s="22" t="s">
        <v>132</v>
      </c>
      <c r="BJ268" s="43"/>
      <c r="BK268" s="43"/>
      <c r="BL268" s="22">
        <v>4.670020496761E12</v>
      </c>
      <c r="BM268" s="22">
        <v>3.305900009E9</v>
      </c>
      <c r="BN268" s="22" t="s">
        <v>4133</v>
      </c>
      <c r="BO268" s="22"/>
      <c r="BP268" s="22" t="s">
        <v>145</v>
      </c>
      <c r="BQ268" s="43"/>
      <c r="BR268" s="43"/>
      <c r="BS268" s="22" t="s">
        <v>4134</v>
      </c>
      <c r="BT268" s="43"/>
      <c r="BU268" s="22" t="s">
        <v>4135</v>
      </c>
      <c r="BV268" s="43" t="s">
        <v>4136</v>
      </c>
      <c r="BW268" s="22" t="s">
        <v>4137</v>
      </c>
      <c r="BX268" s="22">
        <v>100.0</v>
      </c>
      <c r="BY268" s="22" t="s">
        <v>139</v>
      </c>
      <c r="BZ268" s="22"/>
      <c r="CA268" s="22" t="s">
        <v>355</v>
      </c>
      <c r="CB268" s="22" t="s">
        <v>307</v>
      </c>
      <c r="CC268" s="45" t="s">
        <v>4138</v>
      </c>
      <c r="CD268" s="43"/>
      <c r="CE268" s="43"/>
      <c r="CF268" s="45"/>
      <c r="CG268" s="43"/>
      <c r="CH268" s="43"/>
      <c r="CI268" s="43"/>
      <c r="CJ268" s="43"/>
      <c r="CK268" s="43"/>
      <c r="CL268" s="43"/>
      <c r="CM268" s="49">
        <f>IFERROR(VLOOKUP(B268,CC!A:D,4,0)," ")</f>
        <v>103.2</v>
      </c>
      <c r="CN268" s="22" t="s">
        <v>2834</v>
      </c>
      <c r="CO268" s="22"/>
      <c r="CP268" s="22" t="s">
        <v>2835</v>
      </c>
      <c r="CQ268" s="22">
        <v>90.0</v>
      </c>
      <c r="CR268" s="43"/>
      <c r="CS268" s="22">
        <v>5.0</v>
      </c>
      <c r="CT268" s="22" t="s">
        <v>145</v>
      </c>
      <c r="CU268" s="43"/>
      <c r="CV268" s="43"/>
      <c r="CW268" s="43"/>
      <c r="CX268" s="43"/>
      <c r="CY268" s="43" t="b">
        <v>0</v>
      </c>
      <c r="CZ268" s="43" t="b">
        <v>0</v>
      </c>
      <c r="DA268" s="43" t="b">
        <v>0</v>
      </c>
      <c r="DB268" s="43" t="b">
        <v>0</v>
      </c>
      <c r="DC268" s="43"/>
      <c r="DD268" s="43"/>
      <c r="DE268" s="43"/>
      <c r="DF268" s="43"/>
      <c r="DG268" s="43"/>
      <c r="DH268" s="43"/>
      <c r="DI268" s="43"/>
      <c r="DJ268" s="22">
        <f>IFERROR(VLOOKUP($B268,'Лист4'!$D:$AI,27,0)," ")</f>
        <v>4</v>
      </c>
      <c r="DK268" s="22">
        <f>IFERROR(VLOOKUP($B268,'Лист4'!$D:$AI,28,0)," ")</f>
        <v>14</v>
      </c>
      <c r="DL268" s="22">
        <f>IFERROR(VLOOKUP($B268,'Лист4'!$D:$AI,29,0)," ")</f>
        <v>4</v>
      </c>
      <c r="DM268" s="22">
        <f t="shared" si="3"/>
        <v>224</v>
      </c>
      <c r="DN268" s="22">
        <f>IFERROR(VLOOKUP($B268,'Лист4'!$D:$AI,32,0)," ")</f>
        <v>0.124</v>
      </c>
      <c r="DO268" s="22"/>
      <c r="DP268" s="22"/>
      <c r="DQ268" s="22"/>
      <c r="DR268" s="22"/>
      <c r="DS268" s="22"/>
      <c r="DT268" s="22"/>
      <c r="DU268" s="22"/>
      <c r="DV268" s="22"/>
      <c r="DW268" s="22"/>
      <c r="DX268" s="22"/>
      <c r="DY268" s="22"/>
      <c r="DZ268" s="22"/>
      <c r="EA268" s="22"/>
      <c r="EB268" s="22"/>
      <c r="EC268" s="22"/>
      <c r="ED268" s="22"/>
      <c r="EE268" s="22"/>
      <c r="EF268" s="22"/>
      <c r="EG268" s="22"/>
      <c r="EH268" s="22"/>
      <c r="EI268" s="22"/>
      <c r="EJ268" s="22"/>
      <c r="EK268" s="22"/>
      <c r="EL268" s="22"/>
      <c r="EM268" s="22"/>
      <c r="EN268" s="22"/>
      <c r="EO268" s="22"/>
      <c r="EP268" s="22"/>
      <c r="EQ268" s="22"/>
      <c r="ER268" s="22"/>
      <c r="ES268" s="43"/>
      <c r="ET268" s="43"/>
      <c r="EU268" s="43"/>
      <c r="EV268" s="43"/>
      <c r="EW268" s="43"/>
      <c r="EX268" s="43"/>
      <c r="EY268" s="43"/>
      <c r="EZ268" s="43"/>
      <c r="FA268" s="43"/>
      <c r="FB268" s="43"/>
      <c r="FC268" s="43"/>
      <c r="FD268" s="43"/>
      <c r="FE268" s="43"/>
      <c r="FF268" s="43"/>
      <c r="FG268" s="43"/>
      <c r="FH268" s="43"/>
      <c r="FI268" s="43"/>
    </row>
    <row r="269" ht="18.0" customHeight="1">
      <c r="A269" s="22" t="s">
        <v>2659</v>
      </c>
      <c r="B269" s="43" t="s">
        <v>4139</v>
      </c>
      <c r="C269" s="22" t="s">
        <v>2741</v>
      </c>
      <c r="D269" s="22" t="s">
        <v>187</v>
      </c>
      <c r="E269" s="43" t="s">
        <v>3821</v>
      </c>
      <c r="F269" s="22" t="s">
        <v>4140</v>
      </c>
      <c r="G269" s="22" t="s">
        <v>2743</v>
      </c>
      <c r="H269" s="22" t="s">
        <v>2783</v>
      </c>
      <c r="I269" s="43"/>
      <c r="J269" s="43"/>
      <c r="K269" s="22" t="b">
        <v>1</v>
      </c>
      <c r="L269" s="22" t="b">
        <v>1</v>
      </c>
      <c r="M269" s="22" t="b">
        <v>1</v>
      </c>
      <c r="N269" s="22" t="b">
        <v>1</v>
      </c>
      <c r="O269" s="22" t="b">
        <v>1</v>
      </c>
      <c r="P269" s="22" t="b">
        <v>0</v>
      </c>
      <c r="Q269" s="22" t="b">
        <v>0</v>
      </c>
      <c r="R269" s="43"/>
      <c r="S269" s="43" t="s">
        <v>4141</v>
      </c>
      <c r="T269" s="22" t="s">
        <v>4139</v>
      </c>
      <c r="U269" s="22" t="s">
        <v>4139</v>
      </c>
      <c r="V269" s="22" t="s">
        <v>4139</v>
      </c>
      <c r="W269" s="43" t="s">
        <v>4139</v>
      </c>
      <c r="X269" s="43"/>
      <c r="Y269" s="43"/>
      <c r="Z269" s="43"/>
      <c r="AA269" s="22">
        <v>3.48575805E8</v>
      </c>
      <c r="AB269" s="22">
        <v>1.917265136E9</v>
      </c>
      <c r="AC269" s="22">
        <v>1.0381679864E11</v>
      </c>
      <c r="AD269" s="22">
        <v>9.9000114725E10</v>
      </c>
      <c r="AE269" s="22"/>
      <c r="AF269" s="43"/>
      <c r="AG269" s="43"/>
      <c r="AH269" s="43" t="s">
        <v>4140</v>
      </c>
      <c r="AI269" s="22" t="s">
        <v>3825</v>
      </c>
      <c r="AJ269" s="22" t="s">
        <v>4142</v>
      </c>
      <c r="AK269" s="22" t="s">
        <v>4142</v>
      </c>
      <c r="AL269" s="22" t="s">
        <v>4143</v>
      </c>
      <c r="AM269" s="43"/>
      <c r="AN269" s="43"/>
      <c r="AO269" s="43"/>
      <c r="AP269" s="46" t="s">
        <v>4144</v>
      </c>
      <c r="AQ269" s="46" t="s">
        <v>4145</v>
      </c>
      <c r="AR269" s="46" t="s">
        <v>4146</v>
      </c>
      <c r="AS269" s="46" t="s">
        <v>4147</v>
      </c>
      <c r="AT269" s="43"/>
      <c r="AU269" s="43"/>
      <c r="AV269" s="43"/>
      <c r="AW269" s="22" t="s">
        <v>3835</v>
      </c>
      <c r="AX269" s="22" t="s">
        <v>4142</v>
      </c>
      <c r="AY269" s="22" t="s">
        <v>3215</v>
      </c>
      <c r="AZ269" s="22" t="s">
        <v>3836</v>
      </c>
      <c r="BA269" s="43"/>
      <c r="BB269" s="43"/>
      <c r="BC269" s="43"/>
      <c r="BD269" s="43" t="s">
        <v>1449</v>
      </c>
      <c r="BE269" s="59" t="s">
        <v>2755</v>
      </c>
      <c r="BF269" s="22" t="s">
        <v>131</v>
      </c>
      <c r="BG269" s="22" t="s">
        <v>132</v>
      </c>
      <c r="BH269" s="22" t="s">
        <v>132</v>
      </c>
      <c r="BI269" s="22" t="s">
        <v>132</v>
      </c>
      <c r="BJ269" s="43"/>
      <c r="BK269" s="43"/>
      <c r="BL269" s="22">
        <v>4.676574657436E12</v>
      </c>
      <c r="BM269" s="22">
        <v>3.30499E9</v>
      </c>
      <c r="BN269" s="22" t="s">
        <v>3838</v>
      </c>
      <c r="BO269" s="22"/>
      <c r="BP269" s="22" t="s">
        <v>145</v>
      </c>
      <c r="BQ269" s="43"/>
      <c r="BR269" s="43"/>
      <c r="BS269" s="22" t="s">
        <v>4148</v>
      </c>
      <c r="BT269" s="43"/>
      <c r="BU269" s="22" t="s">
        <v>3840</v>
      </c>
      <c r="BV269" s="43" t="s">
        <v>4149</v>
      </c>
      <c r="BW269" s="22" t="s">
        <v>2806</v>
      </c>
      <c r="BX269" s="22">
        <v>5.0</v>
      </c>
      <c r="BY269" s="22" t="s">
        <v>139</v>
      </c>
      <c r="BZ269" s="22"/>
      <c r="CA269" s="22" t="s">
        <v>355</v>
      </c>
      <c r="CB269" s="22" t="s">
        <v>307</v>
      </c>
      <c r="CC269" s="45" t="s">
        <v>4150</v>
      </c>
      <c r="CD269" s="43"/>
      <c r="CE269" s="43"/>
      <c r="CF269" s="45"/>
      <c r="CG269" s="43"/>
      <c r="CH269" s="43"/>
      <c r="CI269" s="43"/>
      <c r="CJ269" s="43"/>
      <c r="CK269" s="43"/>
      <c r="CL269" s="43"/>
      <c r="CM269" s="49">
        <f>IFERROR(VLOOKUP(B269,CC!A:D,4,0)," ")</f>
        <v>73.25</v>
      </c>
      <c r="CN269" s="22" t="s">
        <v>3844</v>
      </c>
      <c r="CO269" s="22"/>
      <c r="CP269" s="22" t="s">
        <v>3490</v>
      </c>
      <c r="CQ269" s="22">
        <v>60.0</v>
      </c>
      <c r="CR269" s="43"/>
      <c r="CS269" s="22">
        <v>5.0</v>
      </c>
      <c r="CT269" s="22" t="s">
        <v>145</v>
      </c>
      <c r="CU269" s="43"/>
      <c r="CV269" s="43"/>
      <c r="CW269" s="43"/>
      <c r="CX269" s="43"/>
      <c r="CY269" s="43" t="b">
        <v>0</v>
      </c>
      <c r="CZ269" s="43" t="b">
        <v>0</v>
      </c>
      <c r="DA269" s="43" t="b">
        <v>0</v>
      </c>
      <c r="DB269" s="43" t="b">
        <v>0</v>
      </c>
      <c r="DC269" s="43"/>
      <c r="DD269" s="43"/>
      <c r="DE269" s="43"/>
      <c r="DF269" s="43"/>
      <c r="DG269" s="43"/>
      <c r="DH269" s="43"/>
      <c r="DI269" s="43"/>
      <c r="DJ269" s="22">
        <f>IFERROR(VLOOKUP($B269,'Лист4'!$D:$AI,27,0)," ")</f>
        <v>2</v>
      </c>
      <c r="DK269" s="22">
        <f>IFERROR(VLOOKUP($B269,'Лист4'!$D:$AI,28,0)," ")</f>
        <v>13</v>
      </c>
      <c r="DL269" s="22">
        <f>IFERROR(VLOOKUP($B269,'Лист4'!$D:$AI,29,0)," ")</f>
        <v>2</v>
      </c>
      <c r="DM269" s="22">
        <f t="shared" si="3"/>
        <v>52</v>
      </c>
      <c r="DN269" s="22">
        <f>IFERROR(VLOOKUP($B269,'Лист4'!$D:$AI,32,0)," ")</f>
        <v>0.016</v>
      </c>
      <c r="DO269" s="22"/>
      <c r="DP269" s="22"/>
      <c r="DQ269" s="22"/>
      <c r="DR269" s="22"/>
      <c r="DS269" s="22"/>
      <c r="DT269" s="22"/>
      <c r="DU269" s="22"/>
      <c r="DV269" s="22"/>
      <c r="DW269" s="22"/>
      <c r="DX269" s="22"/>
      <c r="DY269" s="22"/>
      <c r="DZ269" s="22"/>
      <c r="EA269" s="22"/>
      <c r="EB269" s="22"/>
      <c r="EC269" s="22"/>
      <c r="ED269" s="22"/>
      <c r="EE269" s="22"/>
      <c r="EF269" s="22"/>
      <c r="EG269" s="22"/>
      <c r="EH269" s="22"/>
      <c r="EI269" s="22"/>
      <c r="EJ269" s="22"/>
      <c r="EK269" s="22"/>
      <c r="EL269" s="22"/>
      <c r="EM269" s="22"/>
      <c r="EN269" s="22"/>
      <c r="EO269" s="22"/>
      <c r="EP269" s="22"/>
      <c r="EQ269" s="22"/>
      <c r="ER269" s="22"/>
      <c r="ES269" s="43"/>
      <c r="ET269" s="43"/>
      <c r="EU269" s="43"/>
      <c r="EV269" s="43"/>
      <c r="EW269" s="43"/>
      <c r="EX269" s="43"/>
      <c r="EY269" s="43"/>
      <c r="EZ269" s="43"/>
      <c r="FA269" s="43"/>
      <c r="FB269" s="43"/>
      <c r="FC269" s="43"/>
      <c r="FD269" s="43"/>
      <c r="FE269" s="43"/>
      <c r="FF269" s="43"/>
      <c r="FG269" s="43"/>
      <c r="FH269" s="43"/>
      <c r="FI269" s="43"/>
    </row>
    <row r="270" ht="18.0" customHeight="1">
      <c r="A270" s="22" t="s">
        <v>2659</v>
      </c>
      <c r="B270" s="43" t="s">
        <v>4151</v>
      </c>
      <c r="C270" s="22" t="s">
        <v>2661</v>
      </c>
      <c r="D270" s="22" t="s">
        <v>119</v>
      </c>
      <c r="E270" s="43"/>
      <c r="F270" s="22" t="s">
        <v>4152</v>
      </c>
      <c r="G270" s="22" t="s">
        <v>2663</v>
      </c>
      <c r="H270" s="22" t="s">
        <v>2860</v>
      </c>
      <c r="I270" s="43"/>
      <c r="J270" s="43"/>
      <c r="K270" s="22" t="b">
        <v>1</v>
      </c>
      <c r="L270" s="22" t="b">
        <v>1</v>
      </c>
      <c r="M270" s="22" t="b">
        <v>1</v>
      </c>
      <c r="N270" s="22" t="b">
        <v>1</v>
      </c>
      <c r="O270" s="22" t="b">
        <v>0</v>
      </c>
      <c r="P270" s="22" t="b">
        <v>0</v>
      </c>
      <c r="Q270" s="22" t="b">
        <v>0</v>
      </c>
      <c r="R270" s="43"/>
      <c r="S270" s="43" t="s">
        <v>4153</v>
      </c>
      <c r="T270" s="22" t="s">
        <v>4151</v>
      </c>
      <c r="U270" s="22" t="s">
        <v>4151</v>
      </c>
      <c r="V270" s="22" t="s">
        <v>4151</v>
      </c>
      <c r="W270" s="43"/>
      <c r="X270" s="43"/>
      <c r="Y270" s="43"/>
      <c r="Z270" s="43"/>
      <c r="AA270" s="22">
        <v>7.5182069E7</v>
      </c>
      <c r="AB270" s="22">
        <v>5.63811764E8</v>
      </c>
      <c r="AC270" s="22">
        <v>1.03340884471E11</v>
      </c>
      <c r="AD270" s="22"/>
      <c r="AE270" s="22"/>
      <c r="AF270" s="43"/>
      <c r="AG270" s="43"/>
      <c r="AH270" s="43" t="s">
        <v>4152</v>
      </c>
      <c r="AI270" s="22" t="s">
        <v>4154</v>
      </c>
      <c r="AJ270" s="22" t="s">
        <v>4155</v>
      </c>
      <c r="AK270" s="22" t="s">
        <v>4156</v>
      </c>
      <c r="AL270" s="43"/>
      <c r="AM270" s="43"/>
      <c r="AN270" s="43"/>
      <c r="AO270" s="43"/>
      <c r="AP270" s="46" t="s">
        <v>4157</v>
      </c>
      <c r="AQ270" s="46" t="s">
        <v>4158</v>
      </c>
      <c r="AR270" s="46" t="s">
        <v>4159</v>
      </c>
      <c r="AS270" s="43"/>
      <c r="AT270" s="43"/>
      <c r="AU270" s="43"/>
      <c r="AV270" s="43"/>
      <c r="AW270" s="22" t="s">
        <v>594</v>
      </c>
      <c r="AX270" s="22" t="s">
        <v>4155</v>
      </c>
      <c r="AY270" s="22" t="s">
        <v>2672</v>
      </c>
      <c r="AZ270" s="43"/>
      <c r="BA270" s="43"/>
      <c r="BB270" s="43"/>
      <c r="BC270" s="43"/>
      <c r="BD270" s="43" t="s">
        <v>2673</v>
      </c>
      <c r="BE270" s="59" t="s">
        <v>2755</v>
      </c>
      <c r="BF270" s="22" t="s">
        <v>131</v>
      </c>
      <c r="BG270" s="22" t="s">
        <v>132</v>
      </c>
      <c r="BH270" s="22" t="s">
        <v>132</v>
      </c>
      <c r="BI270" s="22" t="s">
        <v>132</v>
      </c>
      <c r="BJ270" s="43"/>
      <c r="BK270" s="43"/>
      <c r="BL270" s="22" t="s">
        <v>4160</v>
      </c>
      <c r="BM270" s="22">
        <v>3.30499E9</v>
      </c>
      <c r="BN270" s="22" t="s">
        <v>3813</v>
      </c>
      <c r="BO270" s="22"/>
      <c r="BP270" s="22" t="s">
        <v>496</v>
      </c>
      <c r="BQ270" s="43"/>
      <c r="BR270" s="43"/>
      <c r="BS270" s="22" t="s">
        <v>3814</v>
      </c>
      <c r="BT270" s="22"/>
      <c r="BU270" s="22" t="s">
        <v>3815</v>
      </c>
      <c r="BV270" s="22" t="s">
        <v>3816</v>
      </c>
      <c r="BW270" s="22" t="s">
        <v>3817</v>
      </c>
      <c r="BX270" s="22">
        <v>15.0</v>
      </c>
      <c r="BY270" s="22" t="s">
        <v>139</v>
      </c>
      <c r="BZ270" s="22"/>
      <c r="CA270" s="22"/>
      <c r="CB270" s="22"/>
      <c r="CC270" s="45" t="s">
        <v>3818</v>
      </c>
      <c r="CD270" s="43"/>
      <c r="CE270" s="43"/>
      <c r="CF270" s="45"/>
      <c r="CG270" s="43"/>
      <c r="CH270" s="43"/>
      <c r="CI270" s="43"/>
      <c r="CJ270" s="43"/>
      <c r="CK270" s="43"/>
      <c r="CL270" s="43"/>
      <c r="CM270" s="49">
        <f>IFERROR(VLOOKUP(B270,CC!A:D,4,0)," ")</f>
        <v>95.71</v>
      </c>
      <c r="CN270" s="22" t="s">
        <v>3330</v>
      </c>
      <c r="CO270" s="22"/>
      <c r="CP270" s="43"/>
      <c r="CQ270" s="22">
        <v>45.0</v>
      </c>
      <c r="CR270" s="43"/>
      <c r="CS270" s="22">
        <v>1.0</v>
      </c>
      <c r="CT270" s="22" t="s">
        <v>145</v>
      </c>
      <c r="CU270" s="43"/>
      <c r="CV270" s="43"/>
      <c r="CW270" s="43"/>
      <c r="CX270" s="43"/>
      <c r="CY270" s="43" t="b">
        <v>0</v>
      </c>
      <c r="CZ270" s="43" t="b">
        <v>0</v>
      </c>
      <c r="DA270" s="43" t="b">
        <v>0</v>
      </c>
      <c r="DB270" s="43" t="b">
        <v>0</v>
      </c>
      <c r="DC270" s="43"/>
      <c r="DD270" s="43"/>
      <c r="DE270" s="43"/>
      <c r="DF270" s="43"/>
      <c r="DG270" s="43"/>
      <c r="DH270" s="43"/>
      <c r="DI270" s="43"/>
      <c r="DJ270" s="22">
        <f>IFERROR(VLOOKUP($B270,'Лист4'!$D:$AI,27,0)," ")</f>
        <v>10</v>
      </c>
      <c r="DK270" s="22">
        <f>IFERROR(VLOOKUP($B270,'Лист4'!$D:$AI,28,0)," ")</f>
        <v>3</v>
      </c>
      <c r="DL270" s="22">
        <f>IFERROR(VLOOKUP($B270,'Лист4'!$D:$AI,29,0)," ")</f>
        <v>10</v>
      </c>
      <c r="DM270" s="22">
        <f t="shared" si="3"/>
        <v>300</v>
      </c>
      <c r="DN270" s="22">
        <f>IFERROR(VLOOKUP($B270,'Лист4'!$D:$AI,32,0)," ")</f>
        <v>0.023</v>
      </c>
      <c r="DO270" s="22"/>
      <c r="DP270" s="22"/>
      <c r="DQ270" s="22"/>
      <c r="DR270" s="22"/>
      <c r="DS270" s="22"/>
      <c r="DT270" s="22"/>
      <c r="DU270" s="22"/>
      <c r="DV270" s="22"/>
      <c r="DW270" s="22"/>
      <c r="DX270" s="22"/>
      <c r="DY270" s="22"/>
      <c r="DZ270" s="22"/>
      <c r="EA270" s="22"/>
      <c r="EB270" s="22"/>
      <c r="EC270" s="22"/>
      <c r="ED270" s="22"/>
      <c r="EE270" s="22"/>
      <c r="EF270" s="22"/>
      <c r="EG270" s="22"/>
      <c r="EH270" s="22"/>
      <c r="EI270" s="22"/>
      <c r="EJ270" s="22"/>
      <c r="EK270" s="22"/>
      <c r="EL270" s="22"/>
      <c r="EM270" s="22"/>
      <c r="EN270" s="22"/>
      <c r="EO270" s="22"/>
      <c r="EP270" s="22"/>
      <c r="EQ270" s="22"/>
      <c r="ER270" s="22"/>
      <c r="ES270" s="43"/>
      <c r="ET270" s="43"/>
      <c r="EU270" s="43"/>
      <c r="EV270" s="43"/>
      <c r="EW270" s="43"/>
      <c r="EX270" s="43"/>
      <c r="EY270" s="43"/>
      <c r="EZ270" s="43"/>
      <c r="FA270" s="43"/>
      <c r="FB270" s="43"/>
      <c r="FC270" s="43"/>
      <c r="FD270" s="43"/>
      <c r="FE270" s="43"/>
      <c r="FF270" s="43"/>
      <c r="FG270" s="43"/>
      <c r="FH270" s="43"/>
      <c r="FI270" s="43"/>
    </row>
    <row r="271" ht="18.0" customHeight="1">
      <c r="A271" s="22" t="s">
        <v>2659</v>
      </c>
      <c r="B271" s="43" t="s">
        <v>4161</v>
      </c>
      <c r="C271" s="22" t="s">
        <v>2661</v>
      </c>
      <c r="D271" s="22" t="s">
        <v>119</v>
      </c>
      <c r="E271" s="43"/>
      <c r="F271" s="22" t="s">
        <v>4162</v>
      </c>
      <c r="G271" s="22" t="s">
        <v>2663</v>
      </c>
      <c r="H271" s="22" t="s">
        <v>2876</v>
      </c>
      <c r="I271" s="43"/>
      <c r="J271" s="43"/>
      <c r="K271" s="22" t="b">
        <v>1</v>
      </c>
      <c r="L271" s="22" t="b">
        <v>1</v>
      </c>
      <c r="M271" s="22" t="b">
        <v>1</v>
      </c>
      <c r="N271" s="22" t="b">
        <v>1</v>
      </c>
      <c r="O271" s="22" t="b">
        <v>0</v>
      </c>
      <c r="P271" s="22" t="b">
        <v>0</v>
      </c>
      <c r="Q271" s="22" t="b">
        <v>0</v>
      </c>
      <c r="R271" s="43"/>
      <c r="S271" s="43" t="s">
        <v>4163</v>
      </c>
      <c r="T271" s="22" t="s">
        <v>4161</v>
      </c>
      <c r="U271" s="22" t="s">
        <v>4161</v>
      </c>
      <c r="V271" s="22" t="s">
        <v>4161</v>
      </c>
      <c r="W271" s="43"/>
      <c r="X271" s="43"/>
      <c r="Y271" s="43"/>
      <c r="Z271" s="43"/>
      <c r="AA271" s="22">
        <v>1.76855721E8</v>
      </c>
      <c r="AB271" s="22">
        <v>1.188041492E9</v>
      </c>
      <c r="AC271" s="22">
        <v>1.0351542447E11</v>
      </c>
      <c r="AD271" s="22"/>
      <c r="AE271" s="22"/>
      <c r="AF271" s="43"/>
      <c r="AG271" s="43"/>
      <c r="AH271" s="43" t="s">
        <v>4162</v>
      </c>
      <c r="AI271" s="22" t="s">
        <v>4164</v>
      </c>
      <c r="AJ271" s="22" t="s">
        <v>4165</v>
      </c>
      <c r="AK271" s="22" t="s">
        <v>4166</v>
      </c>
      <c r="AL271" s="43"/>
      <c r="AM271" s="43"/>
      <c r="AN271" s="43"/>
      <c r="AO271" s="43"/>
      <c r="AP271" s="46" t="s">
        <v>4167</v>
      </c>
      <c r="AQ271" s="46" t="s">
        <v>4168</v>
      </c>
      <c r="AR271" s="46" t="s">
        <v>4169</v>
      </c>
      <c r="AS271" s="43"/>
      <c r="AT271" s="43"/>
      <c r="AU271" s="43"/>
      <c r="AV271" s="43"/>
      <c r="AW271" s="22" t="s">
        <v>649</v>
      </c>
      <c r="AX271" s="22" t="s">
        <v>4165</v>
      </c>
      <c r="AY271" s="22" t="s">
        <v>372</v>
      </c>
      <c r="AZ271" s="43"/>
      <c r="BA271" s="43"/>
      <c r="BB271" s="43"/>
      <c r="BC271" s="43"/>
      <c r="BD271" s="43" t="s">
        <v>1449</v>
      </c>
      <c r="BE271" s="59" t="s">
        <v>2755</v>
      </c>
      <c r="BF271" s="22" t="s">
        <v>131</v>
      </c>
      <c r="BG271" s="22" t="s">
        <v>132</v>
      </c>
      <c r="BH271" s="22" t="s">
        <v>132</v>
      </c>
      <c r="BI271" s="22" t="s">
        <v>132</v>
      </c>
      <c r="BJ271" s="43"/>
      <c r="BK271" s="43"/>
      <c r="BL271" s="22">
        <v>4.631141996004E12</v>
      </c>
      <c r="BM271" s="22">
        <v>2.106909808E9</v>
      </c>
      <c r="BN271" s="22" t="s">
        <v>4170</v>
      </c>
      <c r="BO271" s="22"/>
      <c r="BP271" s="22" t="s">
        <v>145</v>
      </c>
      <c r="BQ271" s="43"/>
      <c r="BR271" s="43"/>
      <c r="BS271" s="22" t="s">
        <v>4171</v>
      </c>
      <c r="BT271" s="22"/>
      <c r="BU271" s="22" t="s">
        <v>4172</v>
      </c>
      <c r="BV271" s="22" t="s">
        <v>2777</v>
      </c>
      <c r="BW271" s="22" t="s">
        <v>4173</v>
      </c>
      <c r="BX271" s="22"/>
      <c r="BY271" s="43"/>
      <c r="BZ271" s="43"/>
      <c r="CA271" s="22" t="s">
        <v>3960</v>
      </c>
      <c r="CB271" s="22"/>
      <c r="CC271" s="45"/>
      <c r="CD271" s="43"/>
      <c r="CE271" s="43"/>
      <c r="CF271" s="45"/>
      <c r="CG271" s="43"/>
      <c r="CH271" s="43"/>
      <c r="CI271" s="43"/>
      <c r="CJ271" s="43"/>
      <c r="CK271" s="43"/>
      <c r="CL271" s="43"/>
      <c r="CM271" s="49">
        <f>IFERROR(VLOOKUP(B271,CC!A:D,4,0)," ")</f>
        <v>232.3</v>
      </c>
      <c r="CN271" s="22" t="s">
        <v>2681</v>
      </c>
      <c r="CO271" s="22"/>
      <c r="CP271" s="43"/>
      <c r="CQ271" s="22">
        <v>45.0</v>
      </c>
      <c r="CR271" s="43"/>
      <c r="CS271" s="22">
        <v>1.0</v>
      </c>
      <c r="CT271" s="22" t="s">
        <v>145</v>
      </c>
      <c r="CU271" s="43"/>
      <c r="CV271" s="43"/>
      <c r="CW271" s="43"/>
      <c r="CX271" s="43"/>
      <c r="CY271" s="43" t="b">
        <v>0</v>
      </c>
      <c r="CZ271" s="43" t="b">
        <v>0</v>
      </c>
      <c r="DA271" s="43" t="b">
        <v>0</v>
      </c>
      <c r="DB271" s="43" t="b">
        <v>0</v>
      </c>
      <c r="DC271" s="43"/>
      <c r="DD271" s="43"/>
      <c r="DE271" s="43"/>
      <c r="DF271" s="43"/>
      <c r="DG271" s="43"/>
      <c r="DH271" s="43"/>
      <c r="DI271" s="43"/>
      <c r="DJ271" s="22">
        <f>IFERROR(VLOOKUP($B271,'Лист4'!$D:$AI,27,0)," ")</f>
        <v>6</v>
      </c>
      <c r="DK271" s="22">
        <f>IFERROR(VLOOKUP($B271,'Лист4'!$D:$AI,28,0)," ")</f>
        <v>9</v>
      </c>
      <c r="DL271" s="22">
        <f>IFERROR(VLOOKUP($B271,'Лист4'!$D:$AI,29,0)," ")</f>
        <v>6</v>
      </c>
      <c r="DM271" s="22">
        <f t="shared" si="3"/>
        <v>324</v>
      </c>
      <c r="DN271" s="22">
        <f>IFERROR(VLOOKUP($B271,'Лист4'!$D:$AI,32,0)," ")</f>
        <v>0.036</v>
      </c>
      <c r="DO271" s="22"/>
      <c r="DP271" s="22"/>
      <c r="DQ271" s="22"/>
      <c r="DR271" s="22"/>
      <c r="DS271" s="22"/>
      <c r="DT271" s="22"/>
      <c r="DU271" s="22"/>
      <c r="DV271" s="22"/>
      <c r="DW271" s="22"/>
      <c r="DX271" s="22"/>
      <c r="DY271" s="22"/>
      <c r="DZ271" s="22"/>
      <c r="EA271" s="22"/>
      <c r="EB271" s="22"/>
      <c r="EC271" s="22"/>
      <c r="ED271" s="22"/>
      <c r="EE271" s="22"/>
      <c r="EF271" s="22"/>
      <c r="EG271" s="22"/>
      <c r="EH271" s="22"/>
      <c r="EI271" s="22"/>
      <c r="EJ271" s="22"/>
      <c r="EK271" s="22"/>
      <c r="EL271" s="22"/>
      <c r="EM271" s="22"/>
      <c r="EN271" s="22"/>
      <c r="EO271" s="22"/>
      <c r="EP271" s="22"/>
      <c r="EQ271" s="22"/>
      <c r="ER271" s="22"/>
      <c r="ES271" s="43"/>
      <c r="ET271" s="43"/>
      <c r="EU271" s="43"/>
      <c r="EV271" s="43"/>
      <c r="EW271" s="43"/>
      <c r="EX271" s="43"/>
      <c r="EY271" s="43"/>
      <c r="EZ271" s="43"/>
      <c r="FA271" s="43"/>
      <c r="FB271" s="43"/>
      <c r="FC271" s="43"/>
      <c r="FD271" s="43"/>
      <c r="FE271" s="43"/>
      <c r="FF271" s="43"/>
      <c r="FG271" s="43"/>
      <c r="FH271" s="43"/>
      <c r="FI271" s="43"/>
    </row>
    <row r="272" ht="18.0" customHeight="1">
      <c r="A272" s="22" t="s">
        <v>2659</v>
      </c>
      <c r="B272" s="43" t="s">
        <v>4174</v>
      </c>
      <c r="C272" s="22" t="s">
        <v>2741</v>
      </c>
      <c r="D272" s="22" t="s">
        <v>187</v>
      </c>
      <c r="E272" s="43" t="s">
        <v>971</v>
      </c>
      <c r="F272" s="22" t="s">
        <v>3739</v>
      </c>
      <c r="G272" s="22" t="s">
        <v>2743</v>
      </c>
      <c r="H272" s="22" t="s">
        <v>287</v>
      </c>
      <c r="I272" s="43"/>
      <c r="J272" s="43"/>
      <c r="K272" s="22" t="b">
        <v>1</v>
      </c>
      <c r="L272" s="22" t="b">
        <v>1</v>
      </c>
      <c r="M272" s="22" t="b">
        <v>1</v>
      </c>
      <c r="N272" s="22" t="b">
        <v>1</v>
      </c>
      <c r="O272" s="22" t="b">
        <v>1</v>
      </c>
      <c r="P272" s="22" t="b">
        <v>1</v>
      </c>
      <c r="Q272" s="22" t="b">
        <v>0</v>
      </c>
      <c r="R272" s="43"/>
      <c r="S272" s="43" t="s">
        <v>4175</v>
      </c>
      <c r="T272" s="22" t="s">
        <v>4174</v>
      </c>
      <c r="U272" s="22" t="s">
        <v>4174</v>
      </c>
      <c r="V272" s="22" t="s">
        <v>4174</v>
      </c>
      <c r="W272" s="43" t="s">
        <v>4174</v>
      </c>
      <c r="X272" s="43" t="s">
        <v>4174</v>
      </c>
      <c r="Y272" s="43"/>
      <c r="Z272" s="43"/>
      <c r="AA272" s="22">
        <v>2.33125715E8</v>
      </c>
      <c r="AB272" s="22">
        <v>1.583009752E9</v>
      </c>
      <c r="AC272" s="22">
        <v>1.03515586622E11</v>
      </c>
      <c r="AD272" s="22">
        <v>9.9000076212E10</v>
      </c>
      <c r="AE272" s="22" t="s">
        <v>4176</v>
      </c>
      <c r="AF272" s="43"/>
      <c r="AG272" s="43"/>
      <c r="AH272" s="43" t="s">
        <v>3739</v>
      </c>
      <c r="AI272" s="22" t="s">
        <v>3742</v>
      </c>
      <c r="AJ272" s="22" t="s">
        <v>4177</v>
      </c>
      <c r="AK272" s="22" t="s">
        <v>4177</v>
      </c>
      <c r="AL272" s="22" t="s">
        <v>4178</v>
      </c>
      <c r="AM272" s="22" t="s">
        <v>4179</v>
      </c>
      <c r="AN272" s="43"/>
      <c r="AO272" s="43"/>
      <c r="AP272" s="46" t="s">
        <v>4180</v>
      </c>
      <c r="AQ272" s="46" t="s">
        <v>4181</v>
      </c>
      <c r="AR272" s="46" t="s">
        <v>4182</v>
      </c>
      <c r="AS272" s="46" t="s">
        <v>4183</v>
      </c>
      <c r="AT272" s="46" t="s">
        <v>4184</v>
      </c>
      <c r="AU272" s="43"/>
      <c r="AV272" s="43"/>
      <c r="AW272" s="22" t="s">
        <v>2438</v>
      </c>
      <c r="AX272" s="22" t="s">
        <v>4177</v>
      </c>
      <c r="AY272" s="22" t="s">
        <v>326</v>
      </c>
      <c r="AZ272" s="22"/>
      <c r="BA272" s="22" t="s">
        <v>3750</v>
      </c>
      <c r="BB272" s="43"/>
      <c r="BC272" s="43"/>
      <c r="BD272" s="43" t="s">
        <v>301</v>
      </c>
      <c r="BE272" s="59" t="s">
        <v>2755</v>
      </c>
      <c r="BF272" s="22" t="s">
        <v>131</v>
      </c>
      <c r="BG272" s="22" t="s">
        <v>132</v>
      </c>
      <c r="BH272" s="22" t="s">
        <v>132</v>
      </c>
      <c r="BI272" s="22" t="s">
        <v>132</v>
      </c>
      <c r="BJ272" s="43"/>
      <c r="BK272" s="43"/>
      <c r="BL272" s="22">
        <v>4.610172186875E12</v>
      </c>
      <c r="BM272" s="22">
        <v>3.305900009E9</v>
      </c>
      <c r="BN272" s="22" t="s">
        <v>3751</v>
      </c>
      <c r="BO272" s="22"/>
      <c r="BP272" s="22" t="s">
        <v>145</v>
      </c>
      <c r="BQ272" s="43"/>
      <c r="BR272" s="43"/>
      <c r="BS272" s="22" t="s">
        <v>3752</v>
      </c>
      <c r="BT272" s="43"/>
      <c r="BU272" s="22" t="s">
        <v>3753</v>
      </c>
      <c r="BV272" s="43" t="s">
        <v>3754</v>
      </c>
      <c r="BW272" s="22" t="s">
        <v>2760</v>
      </c>
      <c r="BX272" s="22">
        <v>110.0</v>
      </c>
      <c r="BY272" s="22" t="s">
        <v>139</v>
      </c>
      <c r="BZ272" s="22"/>
      <c r="CA272" s="22" t="s">
        <v>355</v>
      </c>
      <c r="CB272" s="22" t="s">
        <v>307</v>
      </c>
      <c r="CC272" s="45" t="s">
        <v>4185</v>
      </c>
      <c r="CD272" s="43"/>
      <c r="CE272" s="43"/>
      <c r="CF272" s="45"/>
      <c r="CG272" s="43"/>
      <c r="CH272" s="43"/>
      <c r="CI272" s="43"/>
      <c r="CJ272" s="43"/>
      <c r="CK272" s="43"/>
      <c r="CL272" s="43"/>
      <c r="CM272" s="49">
        <f>IFERROR(VLOOKUP(B272,CC!A:D,4,0)," ")</f>
        <v>149.62</v>
      </c>
      <c r="CN272" s="22" t="s">
        <v>1553</v>
      </c>
      <c r="CO272" s="22" t="s">
        <v>4186</v>
      </c>
      <c r="CP272" s="22" t="s">
        <v>3178</v>
      </c>
      <c r="CQ272" s="22">
        <v>90.0</v>
      </c>
      <c r="CR272" s="43"/>
      <c r="CS272" s="22">
        <v>1.0</v>
      </c>
      <c r="CT272" s="22" t="s">
        <v>145</v>
      </c>
      <c r="CU272" s="43"/>
      <c r="CV272" s="43"/>
      <c r="CW272" s="43"/>
      <c r="CX272" s="43"/>
      <c r="CY272" s="43" t="b">
        <v>0</v>
      </c>
      <c r="CZ272" s="43" t="b">
        <v>0</v>
      </c>
      <c r="DA272" s="43" t="b">
        <v>0</v>
      </c>
      <c r="DB272" s="43" t="b">
        <v>0</v>
      </c>
      <c r="DC272" s="43"/>
      <c r="DD272" s="43"/>
      <c r="DE272" s="43"/>
      <c r="DF272" s="43"/>
      <c r="DG272" s="43"/>
      <c r="DH272" s="43"/>
      <c r="DI272" s="43"/>
      <c r="DJ272" s="22">
        <f>IFERROR(VLOOKUP($B272,'Лист4'!$D:$AI,27,0)," ")</f>
        <v>3</v>
      </c>
      <c r="DK272" s="22">
        <f>IFERROR(VLOOKUP($B272,'Лист4'!$D:$AI,28,0)," ")</f>
        <v>16</v>
      </c>
      <c r="DL272" s="22">
        <f>IFERROR(VLOOKUP($B272,'Лист4'!$D:$AI,29,0)," ")</f>
        <v>3</v>
      </c>
      <c r="DM272" s="22">
        <f t="shared" si="3"/>
        <v>144</v>
      </c>
      <c r="DN272" s="22">
        <f>IFERROR(VLOOKUP($B272,'Лист4'!$D:$AI,32,0)," ")</f>
        <v>0.122</v>
      </c>
      <c r="DO272" s="22"/>
      <c r="DP272" s="22"/>
      <c r="DQ272" s="22"/>
      <c r="DR272" s="22"/>
      <c r="DS272" s="22"/>
      <c r="DT272" s="22"/>
      <c r="DU272" s="22"/>
      <c r="DV272" s="22"/>
      <c r="DW272" s="22"/>
      <c r="DX272" s="22"/>
      <c r="DY272" s="22"/>
      <c r="DZ272" s="22"/>
      <c r="EA272" s="22"/>
      <c r="EB272" s="22"/>
      <c r="EC272" s="22"/>
      <c r="ED272" s="22"/>
      <c r="EE272" s="22"/>
      <c r="EF272" s="22"/>
      <c r="EG272" s="22"/>
      <c r="EH272" s="22"/>
      <c r="EI272" s="22"/>
      <c r="EJ272" s="22"/>
      <c r="EK272" s="22"/>
      <c r="EL272" s="22"/>
      <c r="EM272" s="22"/>
      <c r="EN272" s="22"/>
      <c r="EO272" s="22"/>
      <c r="EP272" s="22"/>
      <c r="EQ272" s="22"/>
      <c r="ER272" s="22"/>
      <c r="ES272" s="43"/>
      <c r="ET272" s="43"/>
      <c r="EU272" s="43"/>
      <c r="EV272" s="43"/>
      <c r="EW272" s="43"/>
      <c r="EX272" s="43"/>
      <c r="EY272" s="43"/>
      <c r="EZ272" s="43"/>
      <c r="FA272" s="43"/>
      <c r="FB272" s="43"/>
      <c r="FC272" s="43"/>
      <c r="FD272" s="43"/>
      <c r="FE272" s="43"/>
      <c r="FF272" s="43"/>
      <c r="FG272" s="43"/>
      <c r="FH272" s="43"/>
      <c r="FI272" s="43"/>
    </row>
    <row r="273" ht="18.0" customHeight="1">
      <c r="A273" s="22" t="s">
        <v>2659</v>
      </c>
      <c r="B273" s="43" t="s">
        <v>4187</v>
      </c>
      <c r="C273" s="22" t="s">
        <v>2741</v>
      </c>
      <c r="D273" s="22" t="s">
        <v>119</v>
      </c>
      <c r="E273" s="43"/>
      <c r="F273" s="22" t="s">
        <v>4188</v>
      </c>
      <c r="G273" s="22" t="s">
        <v>2743</v>
      </c>
      <c r="H273" s="22" t="s">
        <v>3158</v>
      </c>
      <c r="I273" s="43"/>
      <c r="J273" s="43"/>
      <c r="K273" s="22" t="b">
        <v>1</v>
      </c>
      <c r="L273" s="22" t="b">
        <v>1</v>
      </c>
      <c r="M273" s="22" t="b">
        <v>1</v>
      </c>
      <c r="N273" s="22" t="b">
        <v>1</v>
      </c>
      <c r="O273" s="22" t="b">
        <v>1</v>
      </c>
      <c r="P273" s="22" t="b">
        <v>1</v>
      </c>
      <c r="Q273" s="22" t="b">
        <v>0</v>
      </c>
      <c r="R273" s="43"/>
      <c r="S273" s="43" t="s">
        <v>4189</v>
      </c>
      <c r="T273" s="22" t="s">
        <v>4187</v>
      </c>
      <c r="U273" s="22" t="s">
        <v>4187</v>
      </c>
      <c r="V273" s="22" t="s">
        <v>4187</v>
      </c>
      <c r="W273" s="43" t="s">
        <v>4187</v>
      </c>
      <c r="X273" s="43" t="s">
        <v>4187</v>
      </c>
      <c r="Y273" s="43"/>
      <c r="Z273" s="43"/>
      <c r="AA273" s="22">
        <v>3.19397405E8</v>
      </c>
      <c r="AB273" s="22">
        <v>1.847971373E9</v>
      </c>
      <c r="AC273" s="22">
        <v>1.03744710984E11</v>
      </c>
      <c r="AD273" s="22">
        <v>9.9000081275E10</v>
      </c>
      <c r="AE273" s="22" t="s">
        <v>4190</v>
      </c>
      <c r="AF273" s="43"/>
      <c r="AG273" s="43"/>
      <c r="AH273" s="43" t="s">
        <v>4188</v>
      </c>
      <c r="AI273" s="22" t="s">
        <v>4191</v>
      </c>
      <c r="AJ273" s="22" t="s">
        <v>4192</v>
      </c>
      <c r="AK273" s="22" t="s">
        <v>4193</v>
      </c>
      <c r="AL273" s="22" t="s">
        <v>4194</v>
      </c>
      <c r="AM273" s="22" t="s">
        <v>4195</v>
      </c>
      <c r="AN273" s="43"/>
      <c r="AO273" s="43"/>
      <c r="AP273" s="46" t="s">
        <v>4196</v>
      </c>
      <c r="AQ273" s="46" t="s">
        <v>4197</v>
      </c>
      <c r="AR273" s="46" t="s">
        <v>4198</v>
      </c>
      <c r="AS273" s="46" t="s">
        <v>4199</v>
      </c>
      <c r="AT273" s="46" t="s">
        <v>4200</v>
      </c>
      <c r="AU273" s="43"/>
      <c r="AV273" s="43"/>
      <c r="AW273" s="22" t="s">
        <v>1832</v>
      </c>
      <c r="AX273" s="22" t="s">
        <v>4192</v>
      </c>
      <c r="AY273" s="22" t="s">
        <v>1833</v>
      </c>
      <c r="AZ273" s="22" t="s">
        <v>1834</v>
      </c>
      <c r="BA273" s="22" t="s">
        <v>1835</v>
      </c>
      <c r="BB273" s="43"/>
      <c r="BC273" s="43"/>
      <c r="BD273" s="43" t="s">
        <v>1449</v>
      </c>
      <c r="BE273" s="59" t="s">
        <v>2674</v>
      </c>
      <c r="BF273" s="22" t="s">
        <v>131</v>
      </c>
      <c r="BG273" s="22" t="s">
        <v>132</v>
      </c>
      <c r="BH273" s="22" t="s">
        <v>132</v>
      </c>
      <c r="BI273" s="22" t="s">
        <v>132</v>
      </c>
      <c r="BJ273" s="43"/>
      <c r="BK273" s="43"/>
      <c r="BL273" s="22">
        <v>4.603320465274E12</v>
      </c>
      <c r="BM273" s="22">
        <v>3305.0</v>
      </c>
      <c r="BN273" s="22" t="s">
        <v>1836</v>
      </c>
      <c r="BO273" s="22"/>
      <c r="BP273" s="22" t="s">
        <v>145</v>
      </c>
      <c r="BQ273" s="43"/>
      <c r="BR273" s="43"/>
      <c r="BS273" s="22" t="s">
        <v>4201</v>
      </c>
      <c r="BT273" s="43"/>
      <c r="BU273" s="22" t="s">
        <v>4202</v>
      </c>
      <c r="BV273" s="43" t="s">
        <v>4203</v>
      </c>
      <c r="BW273" s="22" t="s">
        <v>4204</v>
      </c>
      <c r="BX273" s="22">
        <v>1000.0</v>
      </c>
      <c r="BY273" s="22" t="s">
        <v>139</v>
      </c>
      <c r="BZ273" s="22"/>
      <c r="CA273" s="22" t="s">
        <v>726</v>
      </c>
      <c r="CB273" s="22" t="s">
        <v>727</v>
      </c>
      <c r="CC273" s="45" t="s">
        <v>4205</v>
      </c>
      <c r="CD273" s="43"/>
      <c r="CE273" s="43"/>
      <c r="CF273" s="45"/>
      <c r="CG273" s="43"/>
      <c r="CH273" s="43"/>
      <c r="CI273" s="43"/>
      <c r="CJ273" s="43"/>
      <c r="CK273" s="43"/>
      <c r="CL273" s="43"/>
      <c r="CM273" s="49">
        <f>IFERROR(VLOOKUP(B273,CC!A:D,4,0)," ")</f>
        <v>116.94</v>
      </c>
      <c r="CN273" s="22" t="s">
        <v>4114</v>
      </c>
      <c r="CO273" s="22"/>
      <c r="CP273" s="22" t="s">
        <v>2944</v>
      </c>
      <c r="CQ273" s="22">
        <v>60.0</v>
      </c>
      <c r="CR273" s="43"/>
      <c r="CS273" s="22">
        <v>3.0</v>
      </c>
      <c r="CT273" s="22" t="s">
        <v>145</v>
      </c>
      <c r="CU273" s="43"/>
      <c r="CV273" s="43"/>
      <c r="CW273" s="43"/>
      <c r="CX273" s="43"/>
      <c r="CY273" s="43" t="b">
        <v>0</v>
      </c>
      <c r="CZ273" s="43" t="b">
        <v>0</v>
      </c>
      <c r="DA273" s="43" t="b">
        <v>0</v>
      </c>
      <c r="DB273" s="43" t="b">
        <v>0</v>
      </c>
      <c r="DC273" s="43"/>
      <c r="DD273" s="43"/>
      <c r="DE273" s="43"/>
      <c r="DF273" s="43"/>
      <c r="DG273" s="43"/>
      <c r="DH273" s="43"/>
      <c r="DI273" s="43"/>
      <c r="DJ273" s="22">
        <f>IFERROR(VLOOKUP($B273,'Лист4'!$D:$AI,27,0)," ")</f>
        <v>11</v>
      </c>
      <c r="DK273" s="22">
        <f>IFERROR(VLOOKUP($B273,'Лист4'!$D:$AI,28,0)," ")</f>
        <v>11</v>
      </c>
      <c r="DL273" s="22">
        <f>IFERROR(VLOOKUP($B273,'Лист4'!$D:$AI,29,0)," ")</f>
        <v>11</v>
      </c>
      <c r="DM273" s="22">
        <f t="shared" si="3"/>
        <v>1331</v>
      </c>
      <c r="DN273" s="22">
        <f>IFERROR(VLOOKUP($B273,'Лист4'!$D:$AI,32,0)," ")</f>
        <v>1.07</v>
      </c>
      <c r="DO273" s="22"/>
      <c r="DP273" s="22"/>
      <c r="DQ273" s="22"/>
      <c r="DR273" s="22"/>
      <c r="DS273" s="22"/>
      <c r="DT273" s="22"/>
      <c r="DU273" s="22"/>
      <c r="DV273" s="22"/>
      <c r="DW273" s="22"/>
      <c r="DX273" s="22"/>
      <c r="DY273" s="22"/>
      <c r="DZ273" s="22"/>
      <c r="EA273" s="22"/>
      <c r="EB273" s="22"/>
      <c r="EC273" s="22"/>
      <c r="ED273" s="22"/>
      <c r="EE273" s="22"/>
      <c r="EF273" s="22"/>
      <c r="EG273" s="22"/>
      <c r="EH273" s="22"/>
      <c r="EI273" s="22"/>
      <c r="EJ273" s="22"/>
      <c r="EK273" s="22"/>
      <c r="EL273" s="22"/>
      <c r="EM273" s="22"/>
      <c r="EN273" s="22"/>
      <c r="EO273" s="22"/>
      <c r="EP273" s="22"/>
      <c r="EQ273" s="22"/>
      <c r="ER273" s="22"/>
      <c r="ES273" s="43"/>
      <c r="ET273" s="43"/>
      <c r="EU273" s="43"/>
      <c r="EV273" s="43"/>
      <c r="EW273" s="43"/>
      <c r="EX273" s="43"/>
      <c r="EY273" s="43"/>
      <c r="EZ273" s="43"/>
      <c r="FA273" s="43"/>
      <c r="FB273" s="43"/>
      <c r="FC273" s="43"/>
      <c r="FD273" s="43"/>
      <c r="FE273" s="43"/>
      <c r="FF273" s="43"/>
      <c r="FG273" s="43"/>
      <c r="FH273" s="43"/>
      <c r="FI273" s="43"/>
    </row>
    <row r="274" ht="18.0" customHeight="1">
      <c r="A274" s="22" t="s">
        <v>2659</v>
      </c>
      <c r="B274" s="43" t="s">
        <v>4206</v>
      </c>
      <c r="C274" s="22" t="s">
        <v>2741</v>
      </c>
      <c r="D274" s="22" t="s">
        <v>119</v>
      </c>
      <c r="E274" s="43"/>
      <c r="F274" s="22" t="s">
        <v>4207</v>
      </c>
      <c r="G274" s="22" t="s">
        <v>2743</v>
      </c>
      <c r="H274" s="22" t="s">
        <v>565</v>
      </c>
      <c r="I274" s="43"/>
      <c r="J274" s="43"/>
      <c r="K274" s="22" t="b">
        <v>1</v>
      </c>
      <c r="L274" s="22" t="b">
        <v>1</v>
      </c>
      <c r="M274" s="22" t="b">
        <v>1</v>
      </c>
      <c r="N274" s="22" t="b">
        <v>1</v>
      </c>
      <c r="O274" s="22" t="b">
        <v>1</v>
      </c>
      <c r="P274" s="22" t="b">
        <v>1</v>
      </c>
      <c r="Q274" s="22" t="b">
        <v>0</v>
      </c>
      <c r="R274" s="43"/>
      <c r="S274" s="43" t="s">
        <v>4208</v>
      </c>
      <c r="T274" s="22" t="s">
        <v>4206</v>
      </c>
      <c r="U274" s="22" t="s">
        <v>4206</v>
      </c>
      <c r="V274" s="22" t="s">
        <v>4206</v>
      </c>
      <c r="W274" s="43" t="s">
        <v>4206</v>
      </c>
      <c r="X274" s="43" t="s">
        <v>4206</v>
      </c>
      <c r="Y274" s="43"/>
      <c r="Z274" s="43"/>
      <c r="AA274" s="22">
        <v>2.76474398E8</v>
      </c>
      <c r="AB274" s="22">
        <v>1.745303363E9</v>
      </c>
      <c r="AC274" s="22">
        <v>1.03599535128E11</v>
      </c>
      <c r="AD274" s="22">
        <v>9.9000076209E10</v>
      </c>
      <c r="AE274" s="22" t="s">
        <v>4209</v>
      </c>
      <c r="AF274" s="43"/>
      <c r="AG274" s="43"/>
      <c r="AH274" s="43" t="s">
        <v>4207</v>
      </c>
      <c r="AI274" s="22" t="s">
        <v>4210</v>
      </c>
      <c r="AJ274" s="22" t="s">
        <v>4211</v>
      </c>
      <c r="AK274" s="22" t="s">
        <v>4212</v>
      </c>
      <c r="AL274" s="22" t="s">
        <v>4213</v>
      </c>
      <c r="AM274" s="22" t="s">
        <v>4214</v>
      </c>
      <c r="AN274" s="43"/>
      <c r="AO274" s="43"/>
      <c r="AP274" s="46" t="s">
        <v>4215</v>
      </c>
      <c r="AQ274" s="46" t="s">
        <v>4216</v>
      </c>
      <c r="AR274" s="46" t="s">
        <v>4217</v>
      </c>
      <c r="AS274" s="46" t="s">
        <v>4218</v>
      </c>
      <c r="AT274" s="46" t="s">
        <v>4219</v>
      </c>
      <c r="AU274" s="43"/>
      <c r="AV274" s="43"/>
      <c r="AW274" s="22" t="s">
        <v>325</v>
      </c>
      <c r="AX274" s="22" t="s">
        <v>4211</v>
      </c>
      <c r="AY274" s="22" t="s">
        <v>2849</v>
      </c>
      <c r="AZ274" s="22" t="s">
        <v>1447</v>
      </c>
      <c r="BA274" s="22" t="s">
        <v>2850</v>
      </c>
      <c r="BB274" s="43"/>
      <c r="BC274" s="43"/>
      <c r="BD274" s="43" t="s">
        <v>2673</v>
      </c>
      <c r="BE274" s="59" t="s">
        <v>2755</v>
      </c>
      <c r="BF274" s="22" t="s">
        <v>131</v>
      </c>
      <c r="BG274" s="22" t="s">
        <v>132</v>
      </c>
      <c r="BH274" s="22" t="s">
        <v>132</v>
      </c>
      <c r="BI274" s="22" t="s">
        <v>132</v>
      </c>
      <c r="BJ274" s="43"/>
      <c r="BK274" s="43"/>
      <c r="BL274" s="22">
        <v>4.670020498093E12</v>
      </c>
      <c r="BM274" s="22">
        <v>3.30499E9</v>
      </c>
      <c r="BN274" s="22" t="s">
        <v>4220</v>
      </c>
      <c r="BO274" s="22"/>
      <c r="BP274" s="22" t="s">
        <v>145</v>
      </c>
      <c r="BQ274" s="43"/>
      <c r="BR274" s="43"/>
      <c r="BS274" s="22" t="s">
        <v>4221</v>
      </c>
      <c r="BT274" s="43"/>
      <c r="BU274" s="22" t="s">
        <v>4222</v>
      </c>
      <c r="BV274" s="43" t="s">
        <v>145</v>
      </c>
      <c r="BW274" s="22" t="s">
        <v>2854</v>
      </c>
      <c r="BX274" s="22">
        <v>30.0</v>
      </c>
      <c r="BY274" s="22" t="s">
        <v>139</v>
      </c>
      <c r="BZ274" s="22"/>
      <c r="CA274" s="22" t="s">
        <v>355</v>
      </c>
      <c r="CB274" s="22" t="s">
        <v>307</v>
      </c>
      <c r="CC274" s="45" t="s">
        <v>4223</v>
      </c>
      <c r="CD274" s="43"/>
      <c r="CE274" s="43"/>
      <c r="CF274" s="45"/>
      <c r="CG274" s="43"/>
      <c r="CH274" s="43"/>
      <c r="CI274" s="43"/>
      <c r="CJ274" s="43"/>
      <c r="CK274" s="43"/>
      <c r="CL274" s="43"/>
      <c r="CM274" s="49">
        <f>IFERROR(VLOOKUP(B274,CC!A:D,4,0)," ")</f>
        <v>89.3</v>
      </c>
      <c r="CN274" s="22" t="s">
        <v>2834</v>
      </c>
      <c r="CO274" s="22"/>
      <c r="CP274" s="22" t="s">
        <v>2835</v>
      </c>
      <c r="CQ274" s="22">
        <v>90.0</v>
      </c>
      <c r="CR274" s="43"/>
      <c r="CS274" s="22">
        <v>5.0</v>
      </c>
      <c r="CT274" s="22" t="s">
        <v>145</v>
      </c>
      <c r="CU274" s="43"/>
      <c r="CV274" s="43"/>
      <c r="CW274" s="43"/>
      <c r="CX274" s="43"/>
      <c r="CY274" s="43" t="b">
        <v>0</v>
      </c>
      <c r="CZ274" s="43" t="b">
        <v>0</v>
      </c>
      <c r="DA274" s="43" t="b">
        <v>0</v>
      </c>
      <c r="DB274" s="43" t="b">
        <v>0</v>
      </c>
      <c r="DC274" s="43"/>
      <c r="DD274" s="43"/>
      <c r="DE274" s="43"/>
      <c r="DF274" s="43"/>
      <c r="DG274" s="43"/>
      <c r="DH274" s="43"/>
      <c r="DI274" s="43"/>
      <c r="DJ274" s="22">
        <f>IFERROR(VLOOKUP($B274,'Лист4'!$D:$AI,27,0)," ")</f>
        <v>3</v>
      </c>
      <c r="DK274" s="22">
        <f>IFERROR(VLOOKUP($B274,'Лист4'!$D:$AI,28,0)," ")</f>
        <v>9</v>
      </c>
      <c r="DL274" s="22">
        <f>IFERROR(VLOOKUP($B274,'Лист4'!$D:$AI,29,0)," ")</f>
        <v>3</v>
      </c>
      <c r="DM274" s="22">
        <f t="shared" si="3"/>
        <v>81</v>
      </c>
      <c r="DN274" s="22">
        <f>IFERROR(VLOOKUP($B274,'Лист4'!$D:$AI,32,0)," ")</f>
        <v>0.041</v>
      </c>
      <c r="DO274" s="22"/>
      <c r="DP274" s="22"/>
      <c r="DQ274" s="22"/>
      <c r="DR274" s="22"/>
      <c r="DS274" s="22"/>
      <c r="DT274" s="22"/>
      <c r="DU274" s="22"/>
      <c r="DV274" s="22"/>
      <c r="DW274" s="22"/>
      <c r="DX274" s="22"/>
      <c r="DY274" s="22"/>
      <c r="DZ274" s="22"/>
      <c r="EA274" s="22"/>
      <c r="EB274" s="22"/>
      <c r="EC274" s="22"/>
      <c r="ED274" s="22"/>
      <c r="EE274" s="22"/>
      <c r="EF274" s="22"/>
      <c r="EG274" s="22"/>
      <c r="EH274" s="22"/>
      <c r="EI274" s="22"/>
      <c r="EJ274" s="22"/>
      <c r="EK274" s="22"/>
      <c r="EL274" s="22"/>
      <c r="EM274" s="22"/>
      <c r="EN274" s="22"/>
      <c r="EO274" s="22"/>
      <c r="EP274" s="22"/>
      <c r="EQ274" s="22"/>
      <c r="ER274" s="22"/>
      <c r="ES274" s="43"/>
      <c r="ET274" s="43"/>
      <c r="EU274" s="43"/>
      <c r="EV274" s="43"/>
      <c r="EW274" s="43"/>
      <c r="EX274" s="43"/>
      <c r="EY274" s="43"/>
      <c r="EZ274" s="43"/>
      <c r="FA274" s="43"/>
      <c r="FB274" s="43"/>
      <c r="FC274" s="43"/>
      <c r="FD274" s="43"/>
      <c r="FE274" s="43"/>
      <c r="FF274" s="43"/>
      <c r="FG274" s="43"/>
      <c r="FH274" s="43"/>
      <c r="FI274" s="43"/>
    </row>
    <row r="275" ht="18.0" customHeight="1">
      <c r="A275" s="22" t="s">
        <v>2659</v>
      </c>
      <c r="B275" s="43" t="s">
        <v>4224</v>
      </c>
      <c r="C275" s="22" t="s">
        <v>2741</v>
      </c>
      <c r="D275" s="22" t="s">
        <v>187</v>
      </c>
      <c r="E275" s="43" t="s">
        <v>188</v>
      </c>
      <c r="F275" s="22" t="s">
        <v>3093</v>
      </c>
      <c r="G275" s="22" t="s">
        <v>2743</v>
      </c>
      <c r="H275" s="22" t="s">
        <v>565</v>
      </c>
      <c r="I275" s="43"/>
      <c r="J275" s="43"/>
      <c r="K275" s="22" t="b">
        <v>1</v>
      </c>
      <c r="L275" s="22" t="b">
        <v>1</v>
      </c>
      <c r="M275" s="22" t="b">
        <v>1</v>
      </c>
      <c r="N275" s="22" t="b">
        <v>1</v>
      </c>
      <c r="O275" s="22" t="b">
        <v>0</v>
      </c>
      <c r="P275" s="22" t="b">
        <v>1</v>
      </c>
      <c r="Q275" s="22" t="b">
        <v>0</v>
      </c>
      <c r="R275" s="43"/>
      <c r="S275" s="43" t="s">
        <v>4225</v>
      </c>
      <c r="T275" s="22" t="s">
        <v>4224</v>
      </c>
      <c r="U275" s="22" t="s">
        <v>4224</v>
      </c>
      <c r="V275" s="22" t="s">
        <v>4224</v>
      </c>
      <c r="W275" s="43"/>
      <c r="X275" s="43" t="s">
        <v>4224</v>
      </c>
      <c r="Y275" s="43"/>
      <c r="Z275" s="43"/>
      <c r="AA275" s="22">
        <v>3.81392982E8</v>
      </c>
      <c r="AB275" s="22">
        <v>2.015557258E9</v>
      </c>
      <c r="AC275" s="22">
        <v>4.334380449E9</v>
      </c>
      <c r="AD275" s="22"/>
      <c r="AE275" s="22" t="s">
        <v>4226</v>
      </c>
      <c r="AF275" s="43"/>
      <c r="AG275" s="43"/>
      <c r="AH275" s="43" t="s">
        <v>3093</v>
      </c>
      <c r="AI275" s="22" t="s">
        <v>3097</v>
      </c>
      <c r="AJ275" s="22" t="s">
        <v>4227</v>
      </c>
      <c r="AK275" s="22" t="s">
        <v>4228</v>
      </c>
      <c r="AL275" s="43"/>
      <c r="AM275" s="22" t="s">
        <v>1462</v>
      </c>
      <c r="AN275" s="43"/>
      <c r="AO275" s="43"/>
      <c r="AP275" s="46" t="s">
        <v>4229</v>
      </c>
      <c r="AQ275" s="46" t="s">
        <v>4230</v>
      </c>
      <c r="AR275" s="46" t="s">
        <v>4231</v>
      </c>
      <c r="AS275" s="43"/>
      <c r="AT275" s="46" t="s">
        <v>4232</v>
      </c>
      <c r="AU275" s="43"/>
      <c r="AV275" s="43"/>
      <c r="AW275" s="22" t="s">
        <v>1832</v>
      </c>
      <c r="AX275" s="22" t="s">
        <v>4227</v>
      </c>
      <c r="AY275" s="22" t="s">
        <v>595</v>
      </c>
      <c r="AZ275" s="43"/>
      <c r="BA275" s="22" t="s">
        <v>596</v>
      </c>
      <c r="BB275" s="43"/>
      <c r="BC275" s="43"/>
      <c r="BD275" s="43" t="s">
        <v>1449</v>
      </c>
      <c r="BE275" s="59" t="s">
        <v>2755</v>
      </c>
      <c r="BF275" s="22" t="s">
        <v>131</v>
      </c>
      <c r="BG275" s="22" t="s">
        <v>132</v>
      </c>
      <c r="BH275" s="22" t="s">
        <v>132</v>
      </c>
      <c r="BI275" s="22" t="s">
        <v>132</v>
      </c>
      <c r="BJ275" s="43"/>
      <c r="BK275" s="43"/>
      <c r="BL275" s="22" t="s">
        <v>4233</v>
      </c>
      <c r="BM275" s="22">
        <v>3.30499E9</v>
      </c>
      <c r="BN275" s="22" t="s">
        <v>1468</v>
      </c>
      <c r="BO275" s="22"/>
      <c r="BP275" s="22" t="s">
        <v>145</v>
      </c>
      <c r="BQ275" s="43"/>
      <c r="BR275" s="43"/>
      <c r="BS275" s="22" t="s">
        <v>1469</v>
      </c>
      <c r="BT275" s="43"/>
      <c r="BU275" s="22" t="s">
        <v>1470</v>
      </c>
      <c r="BV275" s="43" t="s">
        <v>3110</v>
      </c>
      <c r="BW275" s="22" t="s">
        <v>3111</v>
      </c>
      <c r="BX275" s="22">
        <v>20.0</v>
      </c>
      <c r="BY275" s="22" t="s">
        <v>139</v>
      </c>
      <c r="BZ275" s="22"/>
      <c r="CA275" s="22" t="s">
        <v>355</v>
      </c>
      <c r="CB275" s="22" t="s">
        <v>307</v>
      </c>
      <c r="CC275" s="45" t="s">
        <v>3112</v>
      </c>
      <c r="CD275" s="43"/>
      <c r="CE275" s="43"/>
      <c r="CF275" s="45"/>
      <c r="CG275" s="56">
        <v>45799.0</v>
      </c>
      <c r="CH275" s="46" t="s">
        <v>4234</v>
      </c>
      <c r="CI275" s="43"/>
      <c r="CJ275" s="43"/>
      <c r="CK275" s="43"/>
      <c r="CL275" s="43"/>
      <c r="CM275" s="49">
        <f>IFERROR(VLOOKUP(B275,CC!A:D,4,0)," ")</f>
        <v>78.09</v>
      </c>
      <c r="CN275" s="22" t="s">
        <v>2834</v>
      </c>
      <c r="CO275" s="22"/>
      <c r="CP275" s="43"/>
      <c r="CQ275" s="22">
        <v>90.0</v>
      </c>
      <c r="CR275" s="43"/>
      <c r="CS275" s="22">
        <v>5.0</v>
      </c>
      <c r="CT275" s="22" t="s">
        <v>145</v>
      </c>
      <c r="CU275" s="43"/>
      <c r="CV275" s="43"/>
      <c r="CW275" s="43"/>
      <c r="CX275" s="43"/>
      <c r="CY275" s="43" t="b">
        <v>0</v>
      </c>
      <c r="CZ275" s="43" t="b">
        <v>0</v>
      </c>
      <c r="DA275" s="43" t="b">
        <v>0</v>
      </c>
      <c r="DB275" s="43" t="b">
        <v>0</v>
      </c>
      <c r="DC275" s="43"/>
      <c r="DD275" s="43"/>
      <c r="DE275" s="43"/>
      <c r="DF275" s="43"/>
      <c r="DG275" s="43"/>
      <c r="DH275" s="43"/>
      <c r="DI275" s="43"/>
      <c r="DJ275" s="22">
        <f>IFERROR(VLOOKUP($B275,'Лист4'!$D:$AI,27,0)," ")</f>
        <v>5</v>
      </c>
      <c r="DK275" s="22">
        <f>IFERROR(VLOOKUP($B275,'Лист4'!$D:$AI,28,0)," ")</f>
        <v>5</v>
      </c>
      <c r="DL275" s="22">
        <f>IFERROR(VLOOKUP($B275,'Лист4'!$D:$AI,29,0)," ")</f>
        <v>5</v>
      </c>
      <c r="DM275" s="22">
        <f t="shared" si="3"/>
        <v>125</v>
      </c>
      <c r="DN275" s="22">
        <f>IFERROR(VLOOKUP($B275,'Лист4'!$D:$AI,32,0)," ")</f>
        <v>0.031</v>
      </c>
      <c r="DO275" s="22"/>
      <c r="DP275" s="22"/>
      <c r="DQ275" s="22"/>
      <c r="DR275" s="22"/>
      <c r="DS275" s="22"/>
      <c r="DT275" s="22"/>
      <c r="DU275" s="22"/>
      <c r="DV275" s="22"/>
      <c r="DW275" s="22"/>
      <c r="DX275" s="22"/>
      <c r="DY275" s="22"/>
      <c r="DZ275" s="22"/>
      <c r="EA275" s="22"/>
      <c r="EB275" s="22"/>
      <c r="EC275" s="22"/>
      <c r="ED275" s="22"/>
      <c r="EE275" s="22"/>
      <c r="EF275" s="22"/>
      <c r="EG275" s="22"/>
      <c r="EH275" s="22"/>
      <c r="EI275" s="22"/>
      <c r="EJ275" s="22"/>
      <c r="EK275" s="22"/>
      <c r="EL275" s="22"/>
      <c r="EM275" s="22"/>
      <c r="EN275" s="22"/>
      <c r="EO275" s="22"/>
      <c r="EP275" s="22"/>
      <c r="EQ275" s="22"/>
      <c r="ER275" s="22"/>
      <c r="ES275" s="43"/>
      <c r="ET275" s="43"/>
      <c r="EU275" s="43"/>
      <c r="EV275" s="43"/>
      <c r="EW275" s="43"/>
      <c r="EX275" s="43"/>
      <c r="EY275" s="43"/>
      <c r="EZ275" s="43"/>
      <c r="FA275" s="43"/>
      <c r="FB275" s="43"/>
      <c r="FC275" s="43"/>
      <c r="FD275" s="43"/>
      <c r="FE275" s="43"/>
      <c r="FF275" s="43"/>
      <c r="FG275" s="43"/>
      <c r="FH275" s="43"/>
      <c r="FI275" s="43"/>
    </row>
    <row r="276" ht="18.0" customHeight="1">
      <c r="A276" s="22" t="s">
        <v>2659</v>
      </c>
      <c r="B276" s="43" t="s">
        <v>4235</v>
      </c>
      <c r="C276" s="22" t="s">
        <v>2661</v>
      </c>
      <c r="D276" s="22" t="s">
        <v>119</v>
      </c>
      <c r="E276" s="43"/>
      <c r="F276" s="22" t="s">
        <v>4236</v>
      </c>
      <c r="G276" s="22" t="s">
        <v>2663</v>
      </c>
      <c r="H276" s="22" t="s">
        <v>2860</v>
      </c>
      <c r="I276" s="43"/>
      <c r="J276" s="43"/>
      <c r="K276" s="22" t="b">
        <v>1</v>
      </c>
      <c r="L276" s="22" t="b">
        <v>1</v>
      </c>
      <c r="M276" s="22" t="b">
        <v>1</v>
      </c>
      <c r="N276" s="22" t="b">
        <v>1</v>
      </c>
      <c r="O276" s="22" t="b">
        <v>1</v>
      </c>
      <c r="P276" s="22" t="b">
        <v>1</v>
      </c>
      <c r="Q276" s="22" t="b">
        <v>0</v>
      </c>
      <c r="R276" s="43"/>
      <c r="S276" s="43" t="s">
        <v>4237</v>
      </c>
      <c r="T276" s="22" t="s">
        <v>4235</v>
      </c>
      <c r="U276" s="22" t="s">
        <v>4235</v>
      </c>
      <c r="V276" s="22" t="s">
        <v>4235</v>
      </c>
      <c r="W276" s="43" t="s">
        <v>401</v>
      </c>
      <c r="X276" s="43" t="s">
        <v>401</v>
      </c>
      <c r="Y276" s="43"/>
      <c r="Z276" s="43"/>
      <c r="AA276" s="22">
        <v>5.25495859E8</v>
      </c>
      <c r="AB276" s="22">
        <v>2.825114763E9</v>
      </c>
      <c r="AC276" s="22">
        <v>4.640678615E9</v>
      </c>
      <c r="AD276" s="22"/>
      <c r="AE276" s="22"/>
      <c r="AF276" s="43"/>
      <c r="AG276" s="43"/>
      <c r="AH276" s="43" t="s">
        <v>4236</v>
      </c>
      <c r="AI276" s="22" t="s">
        <v>2862</v>
      </c>
      <c r="AJ276" s="22" t="s">
        <v>4061</v>
      </c>
      <c r="AK276" s="22" t="s">
        <v>4062</v>
      </c>
      <c r="AL276" s="43"/>
      <c r="AM276" s="43"/>
      <c r="AN276" s="43"/>
      <c r="AO276" s="43"/>
      <c r="AP276" s="46" t="s">
        <v>4238</v>
      </c>
      <c r="AQ276" s="46" t="s">
        <v>4064</v>
      </c>
      <c r="AR276" s="46" t="s">
        <v>4065</v>
      </c>
      <c r="AS276" s="43"/>
      <c r="AT276" s="43"/>
      <c r="AU276" s="43"/>
      <c r="AV276" s="43"/>
      <c r="AW276" s="22" t="s">
        <v>594</v>
      </c>
      <c r="AX276" s="22" t="s">
        <v>4061</v>
      </c>
      <c r="AY276" s="22" t="s">
        <v>2672</v>
      </c>
      <c r="AZ276" s="43"/>
      <c r="BA276" s="43"/>
      <c r="BB276" s="43"/>
      <c r="BC276" s="43"/>
      <c r="BD276" s="43" t="s">
        <v>2673</v>
      </c>
      <c r="BE276" s="59" t="s">
        <v>2755</v>
      </c>
      <c r="BF276" s="22" t="s">
        <v>131</v>
      </c>
      <c r="BG276" s="22" t="s">
        <v>132</v>
      </c>
      <c r="BH276" s="22" t="s">
        <v>132</v>
      </c>
      <c r="BI276" s="22" t="s">
        <v>132</v>
      </c>
      <c r="BJ276" s="43"/>
      <c r="BK276" s="43"/>
      <c r="BL276" s="22">
        <v>4.687489995674E12</v>
      </c>
      <c r="BM276" s="22">
        <v>3.30499E9</v>
      </c>
      <c r="BN276" s="22" t="s">
        <v>2868</v>
      </c>
      <c r="BO276" s="22"/>
      <c r="BP276" s="22" t="s">
        <v>496</v>
      </c>
      <c r="BQ276" s="43"/>
      <c r="BR276" s="43"/>
      <c r="BS276" s="22" t="s">
        <v>2869</v>
      </c>
      <c r="BT276" s="22"/>
      <c r="BU276" s="22" t="s">
        <v>2870</v>
      </c>
      <c r="BV276" s="22" t="s">
        <v>2697</v>
      </c>
      <c r="BW276" s="22" t="s">
        <v>2871</v>
      </c>
      <c r="BX276" s="22">
        <v>15.0</v>
      </c>
      <c r="BY276" s="22" t="s">
        <v>139</v>
      </c>
      <c r="BZ276" s="22"/>
      <c r="CA276" s="22"/>
      <c r="CB276" s="22"/>
      <c r="CC276" s="45" t="s">
        <v>2872</v>
      </c>
      <c r="CD276" s="43"/>
      <c r="CE276" s="43"/>
      <c r="CF276" s="45"/>
      <c r="CG276" s="43"/>
      <c r="CH276" s="43"/>
      <c r="CI276" s="43"/>
      <c r="CJ276" s="43"/>
      <c r="CK276" s="43"/>
      <c r="CL276" s="43"/>
      <c r="CM276" s="49">
        <f>IFERROR(VLOOKUP(B276,CC!A:D,4,0)," ")</f>
        <v>227.78</v>
      </c>
      <c r="CN276" s="22" t="s">
        <v>2873</v>
      </c>
      <c r="CO276" s="22"/>
      <c r="CP276" s="22"/>
      <c r="CQ276" s="22">
        <v>45.0</v>
      </c>
      <c r="CR276" s="43"/>
      <c r="CS276" s="22">
        <v>1.0</v>
      </c>
      <c r="CT276" s="22" t="s">
        <v>145</v>
      </c>
      <c r="CU276" s="43"/>
      <c r="CV276" s="43"/>
      <c r="CW276" s="43"/>
      <c r="CX276" s="43"/>
      <c r="CY276" s="43" t="b">
        <v>0</v>
      </c>
      <c r="CZ276" s="43" t="b">
        <v>0</v>
      </c>
      <c r="DA276" s="43" t="b">
        <v>0</v>
      </c>
      <c r="DB276" s="43" t="b">
        <v>0</v>
      </c>
      <c r="DC276" s="43"/>
      <c r="DD276" s="43"/>
      <c r="DE276" s="43"/>
      <c r="DF276" s="43"/>
      <c r="DG276" s="43"/>
      <c r="DH276" s="43"/>
      <c r="DI276" s="43"/>
      <c r="DJ276" s="22">
        <f>IFERROR(VLOOKUP($B276,'Лист4'!$D:$AI,27,0)," ")</f>
        <v>9</v>
      </c>
      <c r="DK276" s="22">
        <f>IFERROR(VLOOKUP($B276,'Лист4'!$D:$AI,28,0)," ")</f>
        <v>13</v>
      </c>
      <c r="DL276" s="22">
        <f>IFERROR(VLOOKUP($B276,'Лист4'!$D:$AI,29,0)," ")</f>
        <v>9</v>
      </c>
      <c r="DM276" s="22">
        <f t="shared" si="3"/>
        <v>1053</v>
      </c>
      <c r="DN276" s="22">
        <f>IFERROR(VLOOKUP($B276,'Лист4'!$D:$AI,32,0)," ")</f>
        <v>0.076</v>
      </c>
      <c r="DO276" s="22"/>
      <c r="DP276" s="22"/>
      <c r="DQ276" s="22"/>
      <c r="DR276" s="22"/>
      <c r="DS276" s="22"/>
      <c r="DT276" s="22"/>
      <c r="DU276" s="22"/>
      <c r="DV276" s="22"/>
      <c r="DW276" s="22"/>
      <c r="DX276" s="22"/>
      <c r="DY276" s="22"/>
      <c r="DZ276" s="22"/>
      <c r="EA276" s="22"/>
      <c r="EB276" s="22"/>
      <c r="EC276" s="22"/>
      <c r="ED276" s="22"/>
      <c r="EE276" s="22"/>
      <c r="EF276" s="22"/>
      <c r="EG276" s="22"/>
      <c r="EH276" s="22"/>
      <c r="EI276" s="22"/>
      <c r="EJ276" s="22"/>
      <c r="EK276" s="22"/>
      <c r="EL276" s="22"/>
      <c r="EM276" s="22"/>
      <c r="EN276" s="22"/>
      <c r="EO276" s="22"/>
      <c r="EP276" s="22"/>
      <c r="EQ276" s="22"/>
      <c r="ER276" s="22"/>
      <c r="ES276" s="43"/>
      <c r="ET276" s="43"/>
      <c r="EU276" s="43"/>
      <c r="EV276" s="43"/>
      <c r="EW276" s="43"/>
      <c r="EX276" s="43"/>
      <c r="EY276" s="43"/>
      <c r="EZ276" s="43"/>
      <c r="FA276" s="43"/>
      <c r="FB276" s="43"/>
      <c r="FC276" s="43"/>
      <c r="FD276" s="43"/>
      <c r="FE276" s="43"/>
      <c r="FF276" s="43"/>
      <c r="FG276" s="43"/>
      <c r="FH276" s="43"/>
      <c r="FI276" s="43"/>
    </row>
    <row r="277" ht="18.0" customHeight="1">
      <c r="A277" s="22" t="s">
        <v>2659</v>
      </c>
      <c r="B277" s="43" t="s">
        <v>4239</v>
      </c>
      <c r="C277" s="22" t="s">
        <v>2741</v>
      </c>
      <c r="D277" s="22" t="s">
        <v>119</v>
      </c>
      <c r="E277" s="43"/>
      <c r="F277" s="22" t="s">
        <v>4240</v>
      </c>
      <c r="G277" s="22" t="s">
        <v>2743</v>
      </c>
      <c r="H277" s="22" t="s">
        <v>2783</v>
      </c>
      <c r="I277" s="43"/>
      <c r="J277" s="43"/>
      <c r="K277" s="22" t="b">
        <v>1</v>
      </c>
      <c r="L277" s="22" t="b">
        <v>1</v>
      </c>
      <c r="M277" s="22" t="b">
        <v>1</v>
      </c>
      <c r="N277" s="22" t="b">
        <v>1</v>
      </c>
      <c r="O277" s="22" t="b">
        <v>1</v>
      </c>
      <c r="P277" s="22" t="b">
        <v>0</v>
      </c>
      <c r="Q277" s="22" t="b">
        <v>1</v>
      </c>
      <c r="R277" s="43"/>
      <c r="S277" s="43" t="s">
        <v>4241</v>
      </c>
      <c r="T277" s="22" t="s">
        <v>4239</v>
      </c>
      <c r="U277" s="22" t="s">
        <v>4239</v>
      </c>
      <c r="V277" s="22" t="s">
        <v>4239</v>
      </c>
      <c r="W277" s="43" t="s">
        <v>4239</v>
      </c>
      <c r="X277" s="43"/>
      <c r="Y277" s="22" t="s">
        <v>4239</v>
      </c>
      <c r="Z277" s="43"/>
      <c r="AA277" s="22">
        <v>3.19430962E8</v>
      </c>
      <c r="AB277" s="22">
        <v>1.847974827E9</v>
      </c>
      <c r="AC277" s="22">
        <v>1.03744706385E11</v>
      </c>
      <c r="AD277" s="22">
        <v>9.9000076218E10</v>
      </c>
      <c r="AE277" s="22"/>
      <c r="AF277" s="22" t="s">
        <v>4242</v>
      </c>
      <c r="AG277" s="43"/>
      <c r="AH277" s="43" t="s">
        <v>4240</v>
      </c>
      <c r="AI277" s="22" t="s">
        <v>4243</v>
      </c>
      <c r="AJ277" s="22" t="s">
        <v>4244</v>
      </c>
      <c r="AK277" s="22" t="s">
        <v>4245</v>
      </c>
      <c r="AL277" s="22" t="s">
        <v>4246</v>
      </c>
      <c r="AM277" s="43"/>
      <c r="AN277" s="22" t="s">
        <v>4247</v>
      </c>
      <c r="AO277" s="43"/>
      <c r="AP277" s="46" t="s">
        <v>4248</v>
      </c>
      <c r="AQ277" s="46" t="s">
        <v>4249</v>
      </c>
      <c r="AR277" s="46" t="s">
        <v>4250</v>
      </c>
      <c r="AS277" s="46" t="s">
        <v>4251</v>
      </c>
      <c r="AT277" s="43"/>
      <c r="AU277" s="46" t="s">
        <v>4252</v>
      </c>
      <c r="AV277" s="43"/>
      <c r="AW277" s="22" t="s">
        <v>1491</v>
      </c>
      <c r="AX277" s="22" t="s">
        <v>4244</v>
      </c>
      <c r="AY277" s="22" t="s">
        <v>575</v>
      </c>
      <c r="AZ277" s="22" t="s">
        <v>3216</v>
      </c>
      <c r="BA277" s="43"/>
      <c r="BB277" s="22" t="s">
        <v>1495</v>
      </c>
      <c r="BC277" s="22"/>
      <c r="BD277" s="43" t="s">
        <v>1449</v>
      </c>
      <c r="BE277" s="59" t="s">
        <v>2755</v>
      </c>
      <c r="BF277" s="22" t="s">
        <v>131</v>
      </c>
      <c r="BG277" s="22" t="s">
        <v>132</v>
      </c>
      <c r="BH277" s="22" t="s">
        <v>132</v>
      </c>
      <c r="BI277" s="22" t="s">
        <v>132</v>
      </c>
      <c r="BJ277" s="43"/>
      <c r="BK277" s="43"/>
      <c r="BL277" s="22">
        <v>4.698878338125E12</v>
      </c>
      <c r="BM277" s="22">
        <v>3.30499E9</v>
      </c>
      <c r="BN277" s="22" t="s">
        <v>4253</v>
      </c>
      <c r="BO277" s="22"/>
      <c r="BP277" s="22" t="s">
        <v>145</v>
      </c>
      <c r="BQ277" s="43"/>
      <c r="BR277" s="43"/>
      <c r="BS277" s="22" t="s">
        <v>4254</v>
      </c>
      <c r="BT277" s="43"/>
      <c r="BU277" s="22" t="s">
        <v>4255</v>
      </c>
      <c r="BV277" s="43" t="s">
        <v>4256</v>
      </c>
      <c r="BW277" s="22" t="s">
        <v>2806</v>
      </c>
      <c r="BX277" s="22">
        <v>150.0</v>
      </c>
      <c r="BY277" s="22" t="s">
        <v>139</v>
      </c>
      <c r="BZ277" s="22"/>
      <c r="CA277" s="22" t="s">
        <v>355</v>
      </c>
      <c r="CB277" s="22" t="s">
        <v>307</v>
      </c>
      <c r="CC277" s="45" t="s">
        <v>4257</v>
      </c>
      <c r="CD277" s="43"/>
      <c r="CE277" s="43"/>
      <c r="CF277" s="45"/>
      <c r="CG277" s="43"/>
      <c r="CH277" s="43"/>
      <c r="CI277" s="43"/>
      <c r="CJ277" s="43"/>
      <c r="CK277" s="43"/>
      <c r="CL277" s="43"/>
      <c r="CM277" s="49">
        <f>IFERROR(VLOOKUP(B277,CC!A:D,4,0)," ")</f>
        <v>90.65</v>
      </c>
      <c r="CN277" s="22" t="s">
        <v>3844</v>
      </c>
      <c r="CO277" s="22"/>
      <c r="CP277" s="22" t="s">
        <v>3490</v>
      </c>
      <c r="CQ277" s="22">
        <v>60.0</v>
      </c>
      <c r="CR277" s="43"/>
      <c r="CS277" s="22">
        <v>5.0</v>
      </c>
      <c r="CT277" s="22" t="s">
        <v>145</v>
      </c>
      <c r="CU277" s="43"/>
      <c r="CV277" s="43"/>
      <c r="CW277" s="43"/>
      <c r="CX277" s="43"/>
      <c r="CY277" s="43" t="b">
        <v>0</v>
      </c>
      <c r="CZ277" s="43" t="b">
        <v>0</v>
      </c>
      <c r="DA277" s="43" t="b">
        <v>0</v>
      </c>
      <c r="DB277" s="43" t="b">
        <v>0</v>
      </c>
      <c r="DC277" s="43"/>
      <c r="DD277" s="43"/>
      <c r="DE277" s="43"/>
      <c r="DF277" s="43"/>
      <c r="DG277" s="43"/>
      <c r="DH277" s="43"/>
      <c r="DI277" s="43"/>
      <c r="DJ277" s="22">
        <f>IFERROR(VLOOKUP($B277,'Лист4'!$D:$AI,27,0)," ")</f>
        <v>25</v>
      </c>
      <c r="DK277" s="22">
        <f>IFERROR(VLOOKUP($B277,'Лист4'!$D:$AI,28,0)," ")</f>
        <v>7</v>
      </c>
      <c r="DL277" s="22">
        <f>IFERROR(VLOOKUP($B277,'Лист4'!$D:$AI,29,0)," ")</f>
        <v>25</v>
      </c>
      <c r="DM277" s="22">
        <f t="shared" si="3"/>
        <v>4375</v>
      </c>
      <c r="DN277" s="22">
        <f>IFERROR(VLOOKUP($B277,'Лист4'!$D:$AI,32,0)," ")</f>
        <v>0.251</v>
      </c>
      <c r="DO277" s="22"/>
      <c r="DP277" s="22"/>
      <c r="DQ277" s="22"/>
      <c r="DR277" s="22"/>
      <c r="DS277" s="22"/>
      <c r="DT277" s="22"/>
      <c r="DU277" s="22"/>
      <c r="DV277" s="22"/>
      <c r="DW277" s="22"/>
      <c r="DX277" s="22"/>
      <c r="DY277" s="22"/>
      <c r="DZ277" s="22"/>
      <c r="EA277" s="22"/>
      <c r="EB277" s="22"/>
      <c r="EC277" s="22"/>
      <c r="ED277" s="22"/>
      <c r="EE277" s="22"/>
      <c r="EF277" s="22"/>
      <c r="EG277" s="22"/>
      <c r="EH277" s="22"/>
      <c r="EI277" s="22"/>
      <c r="EJ277" s="22"/>
      <c r="EK277" s="22"/>
      <c r="EL277" s="22"/>
      <c r="EM277" s="22"/>
      <c r="EN277" s="22"/>
      <c r="EO277" s="22"/>
      <c r="EP277" s="22"/>
      <c r="EQ277" s="22"/>
      <c r="ER277" s="22"/>
      <c r="ES277" s="43"/>
      <c r="ET277" s="43"/>
      <c r="EU277" s="43"/>
      <c r="EV277" s="43"/>
      <c r="EW277" s="43"/>
      <c r="EX277" s="43"/>
      <c r="EY277" s="43"/>
      <c r="EZ277" s="43"/>
      <c r="FA277" s="43"/>
      <c r="FB277" s="43"/>
      <c r="FC277" s="43"/>
      <c r="FD277" s="43"/>
      <c r="FE277" s="43"/>
      <c r="FF277" s="43"/>
      <c r="FG277" s="43"/>
      <c r="FH277" s="43"/>
      <c r="FI277" s="43"/>
    </row>
    <row r="278" ht="18.0" customHeight="1">
      <c r="A278" s="22" t="s">
        <v>2659</v>
      </c>
      <c r="B278" s="43" t="s">
        <v>4258</v>
      </c>
      <c r="C278" s="22" t="s">
        <v>2741</v>
      </c>
      <c r="D278" s="22" t="s">
        <v>119</v>
      </c>
      <c r="E278" s="43"/>
      <c r="F278" s="43"/>
      <c r="G278" s="22" t="s">
        <v>2743</v>
      </c>
      <c r="H278" s="22" t="s">
        <v>2744</v>
      </c>
      <c r="I278" s="43"/>
      <c r="J278" s="43"/>
      <c r="K278" s="22" t="b">
        <v>1</v>
      </c>
      <c r="L278" s="22" t="b">
        <v>1</v>
      </c>
      <c r="M278" s="22" t="b">
        <v>1</v>
      </c>
      <c r="N278" s="22" t="b">
        <v>1</v>
      </c>
      <c r="O278" s="22" t="b">
        <v>1</v>
      </c>
      <c r="P278" s="22" t="b">
        <v>1</v>
      </c>
      <c r="Q278" s="22" t="b">
        <v>0</v>
      </c>
      <c r="R278" s="43"/>
      <c r="S278" s="43" t="s">
        <v>401</v>
      </c>
      <c r="T278" s="64" t="s">
        <v>4258</v>
      </c>
      <c r="U278" s="22" t="s">
        <v>4258</v>
      </c>
      <c r="V278" s="55" t="s">
        <v>4258</v>
      </c>
      <c r="W278" s="43" t="s">
        <v>401</v>
      </c>
      <c r="X278" s="43" t="s">
        <v>401</v>
      </c>
      <c r="Y278" s="43"/>
      <c r="Z278" s="43"/>
      <c r="AA278" s="22">
        <v>7.34357718E8</v>
      </c>
      <c r="AB278" s="22">
        <v>3.307454109E9</v>
      </c>
      <c r="AC278" s="22">
        <v>4.949707408E9</v>
      </c>
      <c r="AD278" s="22"/>
      <c r="AE278" s="22"/>
      <c r="AF278" s="43"/>
      <c r="AG278" s="43"/>
      <c r="AH278" s="43" t="s">
        <v>401</v>
      </c>
      <c r="AI278" s="22" t="s">
        <v>4259</v>
      </c>
      <c r="AJ278" s="22" t="s">
        <v>4259</v>
      </c>
      <c r="AK278" s="22" t="s">
        <v>4260</v>
      </c>
      <c r="AL278" s="43"/>
      <c r="AM278" s="43"/>
      <c r="AN278" s="43"/>
      <c r="AO278" s="43"/>
      <c r="AP278" s="46" t="s">
        <v>4261</v>
      </c>
      <c r="AQ278" s="43"/>
      <c r="AR278" s="46" t="s">
        <v>4262</v>
      </c>
      <c r="AS278" s="43"/>
      <c r="AT278" s="43"/>
      <c r="AU278" s="43"/>
      <c r="AV278" s="43"/>
      <c r="AW278" s="22" t="s">
        <v>594</v>
      </c>
      <c r="AX278" s="22" t="s">
        <v>4259</v>
      </c>
      <c r="AY278" s="22" t="s">
        <v>4263</v>
      </c>
      <c r="AZ278" s="43"/>
      <c r="BA278" s="43"/>
      <c r="BB278" s="43"/>
      <c r="BC278" s="43"/>
      <c r="BD278" s="43" t="s">
        <v>2673</v>
      </c>
      <c r="BE278" s="66"/>
      <c r="BF278" s="22" t="s">
        <v>131</v>
      </c>
      <c r="BG278" s="22" t="s">
        <v>132</v>
      </c>
      <c r="BH278" s="22" t="s">
        <v>132</v>
      </c>
      <c r="BI278" s="22" t="s">
        <v>132</v>
      </c>
      <c r="BJ278" s="43"/>
      <c r="BK278" s="43"/>
      <c r="BL278" s="22">
        <v>4.660401460092E12</v>
      </c>
      <c r="BM278" s="22"/>
      <c r="BN278" s="22"/>
      <c r="BO278" s="22"/>
      <c r="BP278" s="22"/>
      <c r="BQ278" s="43"/>
      <c r="BR278" s="43"/>
      <c r="BS278" s="22"/>
      <c r="BT278" s="43"/>
      <c r="BU278" s="22"/>
      <c r="BV278" s="43"/>
      <c r="BW278" s="22"/>
      <c r="BX278" s="22"/>
      <c r="BY278" s="43"/>
      <c r="BZ278" s="43"/>
      <c r="CA278" s="22" t="s">
        <v>401</v>
      </c>
      <c r="CB278" s="22" t="s">
        <v>401</v>
      </c>
      <c r="CC278" s="45" t="s">
        <v>4264</v>
      </c>
      <c r="CD278" s="43"/>
      <c r="CE278" s="43"/>
      <c r="CF278" s="45"/>
      <c r="CG278" s="43"/>
      <c r="CH278" s="43"/>
      <c r="CI278" s="43"/>
      <c r="CJ278" s="43"/>
      <c r="CK278" s="43"/>
      <c r="CL278" s="43"/>
      <c r="CM278" s="49" t="str">
        <f>IFERROR(VLOOKUP(B278,CC!A:D,4,0)," ")</f>
        <v> </v>
      </c>
      <c r="CN278" s="22"/>
      <c r="CO278" s="22"/>
      <c r="CP278" s="43"/>
      <c r="CQ278" s="22" t="s">
        <v>401</v>
      </c>
      <c r="CR278" s="43"/>
      <c r="CS278" s="43"/>
      <c r="CT278" s="22" t="s">
        <v>145</v>
      </c>
      <c r="CU278" s="43"/>
      <c r="CV278" s="43"/>
      <c r="CW278" s="43"/>
      <c r="CX278" s="43"/>
      <c r="CY278" s="43" t="b">
        <v>0</v>
      </c>
      <c r="CZ278" s="43" t="b">
        <v>0</v>
      </c>
      <c r="DA278" s="43" t="b">
        <v>0</v>
      </c>
      <c r="DB278" s="43" t="b">
        <v>0</v>
      </c>
      <c r="DC278" s="43"/>
      <c r="DD278" s="43"/>
      <c r="DE278" s="43"/>
      <c r="DF278" s="43"/>
      <c r="DG278" s="43"/>
      <c r="DH278" s="43"/>
      <c r="DI278" s="43"/>
      <c r="DJ278" s="22" t="str">
        <f>IFERROR(VLOOKUP($B278,'Лист4'!$D:$AI,27,0)," ")</f>
        <v> </v>
      </c>
      <c r="DK278" s="22" t="str">
        <f>IFERROR(VLOOKUP($B278,'Лист4'!$D:$AI,28,0)," ")</f>
        <v> </v>
      </c>
      <c r="DL278" s="22" t="str">
        <f>IFERROR(VLOOKUP($B278,'Лист4'!$D:$AI,29,0)," ")</f>
        <v> </v>
      </c>
      <c r="DM278" s="22" t="str">
        <f t="shared" si="3"/>
        <v> </v>
      </c>
      <c r="DN278" s="22" t="str">
        <f>IFERROR(VLOOKUP($B278,'Лист4'!$D:$AI,32,0)," ")</f>
        <v> </v>
      </c>
      <c r="DO278" s="22"/>
      <c r="DP278" s="22"/>
      <c r="DQ278" s="22"/>
      <c r="DR278" s="22"/>
      <c r="DS278" s="22"/>
      <c r="DT278" s="22"/>
      <c r="DU278" s="22"/>
      <c r="DV278" s="22"/>
      <c r="DW278" s="22"/>
      <c r="DX278" s="22"/>
      <c r="DY278" s="22"/>
      <c r="DZ278" s="22"/>
      <c r="EA278" s="22"/>
      <c r="EB278" s="22"/>
      <c r="EC278" s="22"/>
      <c r="ED278" s="22"/>
      <c r="EE278" s="22"/>
      <c r="EF278" s="22"/>
      <c r="EG278" s="22"/>
      <c r="EH278" s="22"/>
      <c r="EI278" s="22"/>
      <c r="EJ278" s="22"/>
      <c r="EK278" s="22"/>
      <c r="EL278" s="22"/>
      <c r="EM278" s="22"/>
      <c r="EN278" s="22"/>
      <c r="EO278" s="22"/>
      <c r="EP278" s="22"/>
      <c r="EQ278" s="22"/>
      <c r="ER278" s="22"/>
      <c r="ES278" s="43"/>
      <c r="ET278" s="43"/>
      <c r="EU278" s="43"/>
      <c r="EV278" s="43"/>
      <c r="EW278" s="43"/>
      <c r="EX278" s="43"/>
      <c r="EY278" s="43"/>
      <c r="EZ278" s="43"/>
      <c r="FA278" s="43"/>
      <c r="FB278" s="43"/>
      <c r="FC278" s="43"/>
      <c r="FD278" s="43"/>
      <c r="FE278" s="43"/>
      <c r="FF278" s="43"/>
      <c r="FG278" s="43"/>
      <c r="FH278" s="43"/>
      <c r="FI278" s="43"/>
    </row>
    <row r="279" ht="18.0" customHeight="1">
      <c r="A279" s="22" t="s">
        <v>2659</v>
      </c>
      <c r="B279" s="43" t="s">
        <v>4265</v>
      </c>
      <c r="C279" s="22" t="s">
        <v>2741</v>
      </c>
      <c r="D279" s="22" t="s">
        <v>119</v>
      </c>
      <c r="E279" s="43"/>
      <c r="F279" s="22" t="s">
        <v>4266</v>
      </c>
      <c r="G279" s="22" t="s">
        <v>2743</v>
      </c>
      <c r="H279" s="22" t="s">
        <v>287</v>
      </c>
      <c r="I279" s="43"/>
      <c r="J279" s="43"/>
      <c r="K279" s="22" t="b">
        <v>1</v>
      </c>
      <c r="L279" s="22" t="b">
        <v>1</v>
      </c>
      <c r="M279" s="22" t="b">
        <v>1</v>
      </c>
      <c r="N279" s="22" t="b">
        <v>1</v>
      </c>
      <c r="O279" s="22" t="b">
        <v>0</v>
      </c>
      <c r="P279" s="22" t="b">
        <v>0</v>
      </c>
      <c r="Q279" s="22" t="b">
        <v>0</v>
      </c>
      <c r="R279" s="43"/>
      <c r="S279" s="43" t="s">
        <v>4267</v>
      </c>
      <c r="T279" s="22" t="s">
        <v>4265</v>
      </c>
      <c r="U279" s="22" t="s">
        <v>4265</v>
      </c>
      <c r="V279" s="55" t="s">
        <v>4265</v>
      </c>
      <c r="W279" s="43"/>
      <c r="X279" s="43"/>
      <c r="Y279" s="43"/>
      <c r="Z279" s="43"/>
      <c r="AA279" s="22">
        <v>7.34865504E8</v>
      </c>
      <c r="AB279" s="22">
        <v>3.31380513E9</v>
      </c>
      <c r="AC279" s="22">
        <v>4.949699875E9</v>
      </c>
      <c r="AD279" s="22"/>
      <c r="AE279" s="22"/>
      <c r="AF279" s="43"/>
      <c r="AG279" s="43"/>
      <c r="AH279" s="43" t="s">
        <v>4266</v>
      </c>
      <c r="AI279" s="22" t="s">
        <v>4268</v>
      </c>
      <c r="AJ279" s="22" t="s">
        <v>4269</v>
      </c>
      <c r="AK279" s="22" t="s">
        <v>4270</v>
      </c>
      <c r="AL279" s="43"/>
      <c r="AM279" s="43"/>
      <c r="AN279" s="43"/>
      <c r="AO279" s="43"/>
      <c r="AP279" s="46" t="s">
        <v>4271</v>
      </c>
      <c r="AQ279" s="43"/>
      <c r="AR279" s="46" t="s">
        <v>4272</v>
      </c>
      <c r="AS279" s="43"/>
      <c r="AT279" s="43"/>
      <c r="AU279" s="43"/>
      <c r="AV279" s="43"/>
      <c r="AW279" s="22" t="s">
        <v>3035</v>
      </c>
      <c r="AX279" s="22" t="s">
        <v>4269</v>
      </c>
      <c r="AY279" s="22" t="s">
        <v>326</v>
      </c>
      <c r="AZ279" s="43"/>
      <c r="BA279" s="43"/>
      <c r="BB279" s="43"/>
      <c r="BC279" s="43"/>
      <c r="BD279" s="43" t="s">
        <v>401</v>
      </c>
      <c r="BE279" s="59" t="s">
        <v>2755</v>
      </c>
      <c r="BF279" s="22" t="s">
        <v>131</v>
      </c>
      <c r="BG279" s="22" t="s">
        <v>132</v>
      </c>
      <c r="BH279" s="22" t="s">
        <v>132</v>
      </c>
      <c r="BI279" s="22" t="s">
        <v>132</v>
      </c>
      <c r="BJ279" s="43"/>
      <c r="BK279" s="43"/>
      <c r="BL279" s="22">
        <v>4.630446234156E12</v>
      </c>
      <c r="BM279" s="22">
        <v>3.305900009E9</v>
      </c>
      <c r="BN279" s="22" t="s">
        <v>4273</v>
      </c>
      <c r="BO279" s="22"/>
      <c r="BP279" s="22" t="s">
        <v>496</v>
      </c>
      <c r="BQ279" s="43"/>
      <c r="BR279" s="43"/>
      <c r="BS279" s="22" t="s">
        <v>4274</v>
      </c>
      <c r="BT279" s="43"/>
      <c r="BU279" s="22" t="s">
        <v>4275</v>
      </c>
      <c r="BV279" s="43" t="s">
        <v>4276</v>
      </c>
      <c r="BW279" s="22" t="s">
        <v>4277</v>
      </c>
      <c r="BX279" s="22">
        <v>500.0</v>
      </c>
      <c r="BY279" s="22" t="s">
        <v>139</v>
      </c>
      <c r="BZ279" s="43"/>
      <c r="CA279" s="22" t="s">
        <v>726</v>
      </c>
      <c r="CB279" s="22" t="s">
        <v>727</v>
      </c>
      <c r="CC279" s="45" t="s">
        <v>4278</v>
      </c>
      <c r="CD279" s="43"/>
      <c r="CE279" s="43"/>
      <c r="CF279" s="45"/>
      <c r="CG279" s="43"/>
      <c r="CH279" s="43"/>
      <c r="CI279" s="43"/>
      <c r="CJ279" s="43"/>
      <c r="CK279" s="43"/>
      <c r="CL279" s="43"/>
      <c r="CM279" s="49" t="str">
        <f>IFERROR(VLOOKUP(B279,CC!A:D,4,0)," ")</f>
        <v> </v>
      </c>
      <c r="CN279" s="22" t="s">
        <v>3412</v>
      </c>
      <c r="CO279" s="22"/>
      <c r="CP279" s="43"/>
      <c r="CQ279" s="22" t="s">
        <v>401</v>
      </c>
      <c r="CR279" s="43"/>
      <c r="CS279" s="22">
        <v>1.0</v>
      </c>
      <c r="CT279" s="22" t="s">
        <v>145</v>
      </c>
      <c r="CU279" s="43"/>
      <c r="CV279" s="43"/>
      <c r="CW279" s="43"/>
      <c r="CX279" s="43"/>
      <c r="CY279" s="43" t="b">
        <v>0</v>
      </c>
      <c r="CZ279" s="43" t="b">
        <v>0</v>
      </c>
      <c r="DA279" s="43" t="b">
        <v>0</v>
      </c>
      <c r="DB279" s="43" t="b">
        <v>0</v>
      </c>
      <c r="DC279" s="43"/>
      <c r="DD279" s="43"/>
      <c r="DE279" s="43"/>
      <c r="DF279" s="43"/>
      <c r="DG279" s="43"/>
      <c r="DH279" s="43"/>
      <c r="DI279" s="43"/>
      <c r="DJ279" s="22" t="str">
        <f>IFERROR(VLOOKUP($B279,'Лист4'!$D:$AI,27,0)," ")</f>
        <v/>
      </c>
      <c r="DK279" s="22" t="str">
        <f>IFERROR(VLOOKUP($B279,'Лист4'!$D:$AI,28,0)," ")</f>
        <v/>
      </c>
      <c r="DL279" s="22" t="str">
        <f>IFERROR(VLOOKUP($B279,'Лист4'!$D:$AI,29,0)," ")</f>
        <v/>
      </c>
      <c r="DM279" s="22">
        <f t="shared" si="3"/>
        <v>0</v>
      </c>
      <c r="DN279" s="22" t="str">
        <f>IFERROR(VLOOKUP($B279,'Лист4'!$D:$AI,32,0)," ")</f>
        <v/>
      </c>
      <c r="DO279" s="22"/>
      <c r="DP279" s="22"/>
      <c r="DQ279" s="22"/>
      <c r="DR279" s="22"/>
      <c r="DS279" s="22"/>
      <c r="DT279" s="22"/>
      <c r="DU279" s="22"/>
      <c r="DV279" s="22"/>
      <c r="DW279" s="22"/>
      <c r="DX279" s="22"/>
      <c r="DY279" s="22"/>
      <c r="DZ279" s="22"/>
      <c r="EA279" s="22"/>
      <c r="EB279" s="22"/>
      <c r="EC279" s="22"/>
      <c r="ED279" s="22"/>
      <c r="EE279" s="22"/>
      <c r="EF279" s="22"/>
      <c r="EG279" s="22"/>
      <c r="EH279" s="22"/>
      <c r="EI279" s="22"/>
      <c r="EJ279" s="22"/>
      <c r="EK279" s="22"/>
      <c r="EL279" s="22"/>
      <c r="EM279" s="22"/>
      <c r="EN279" s="22"/>
      <c r="EO279" s="22"/>
      <c r="EP279" s="22"/>
      <c r="EQ279" s="22"/>
      <c r="ER279" s="22"/>
      <c r="ES279" s="43"/>
      <c r="ET279" s="43"/>
      <c r="EU279" s="43"/>
      <c r="EV279" s="43"/>
      <c r="EW279" s="43"/>
      <c r="EX279" s="43"/>
      <c r="EY279" s="43"/>
      <c r="EZ279" s="43"/>
      <c r="FA279" s="43"/>
      <c r="FB279" s="43"/>
      <c r="FC279" s="43"/>
      <c r="FD279" s="43"/>
      <c r="FE279" s="43"/>
      <c r="FF279" s="43"/>
      <c r="FG279" s="43"/>
      <c r="FH279" s="43"/>
      <c r="FI279" s="43"/>
    </row>
    <row r="280" ht="18.0" customHeight="1">
      <c r="A280" s="22" t="s">
        <v>2659</v>
      </c>
      <c r="B280" s="43" t="s">
        <v>4279</v>
      </c>
      <c r="C280" s="22" t="s">
        <v>2741</v>
      </c>
      <c r="D280" s="22" t="s">
        <v>187</v>
      </c>
      <c r="E280" s="43" t="s">
        <v>4280</v>
      </c>
      <c r="F280" s="22" t="s">
        <v>4281</v>
      </c>
      <c r="G280" s="22" t="s">
        <v>2743</v>
      </c>
      <c r="H280" s="22" t="s">
        <v>565</v>
      </c>
      <c r="I280" s="43"/>
      <c r="J280" s="43"/>
      <c r="K280" s="22" t="b">
        <v>1</v>
      </c>
      <c r="L280" s="22" t="b">
        <v>1</v>
      </c>
      <c r="M280" s="22" t="b">
        <v>1</v>
      </c>
      <c r="N280" s="22" t="b">
        <v>1</v>
      </c>
      <c r="O280" s="22" t="b">
        <v>0</v>
      </c>
      <c r="P280" s="22" t="b">
        <v>1</v>
      </c>
      <c r="Q280" s="22" t="b">
        <v>0</v>
      </c>
      <c r="R280" s="43"/>
      <c r="S280" s="43" t="s">
        <v>4282</v>
      </c>
      <c r="T280" s="22" t="s">
        <v>4279</v>
      </c>
      <c r="U280" s="22" t="s">
        <v>4279</v>
      </c>
      <c r="V280" s="22" t="s">
        <v>4279</v>
      </c>
      <c r="W280" s="43"/>
      <c r="X280" s="43" t="s">
        <v>4279</v>
      </c>
      <c r="Y280" s="43"/>
      <c r="Z280" s="43"/>
      <c r="AA280" s="22">
        <v>2.44341711E8</v>
      </c>
      <c r="AB280" s="22">
        <v>1.629533131E9</v>
      </c>
      <c r="AC280" s="22">
        <v>1.03515404729E11</v>
      </c>
      <c r="AD280" s="22"/>
      <c r="AE280" s="22" t="s">
        <v>4283</v>
      </c>
      <c r="AF280" s="43"/>
      <c r="AG280" s="43"/>
      <c r="AH280" s="43" t="s">
        <v>4281</v>
      </c>
      <c r="AI280" s="22" t="s">
        <v>4284</v>
      </c>
      <c r="AJ280" s="22" t="s">
        <v>4285</v>
      </c>
      <c r="AK280" s="22" t="s">
        <v>4286</v>
      </c>
      <c r="AL280" s="43"/>
      <c r="AM280" s="22" t="s">
        <v>4287</v>
      </c>
      <c r="AN280" s="43"/>
      <c r="AO280" s="43"/>
      <c r="AP280" s="46" t="s">
        <v>4288</v>
      </c>
      <c r="AQ280" s="46" t="s">
        <v>4289</v>
      </c>
      <c r="AR280" s="46" t="s">
        <v>4290</v>
      </c>
      <c r="AS280" s="43"/>
      <c r="AT280" s="46" t="s">
        <v>4291</v>
      </c>
      <c r="AU280" s="43"/>
      <c r="AV280" s="43"/>
      <c r="AW280" s="22" t="s">
        <v>1491</v>
      </c>
      <c r="AX280" s="22" t="s">
        <v>4285</v>
      </c>
      <c r="AY280" s="22" t="s">
        <v>3640</v>
      </c>
      <c r="AZ280" s="43"/>
      <c r="BA280" s="22" t="s">
        <v>4292</v>
      </c>
      <c r="BB280" s="43"/>
      <c r="BC280" s="43"/>
      <c r="BD280" s="43" t="s">
        <v>1449</v>
      </c>
      <c r="BE280" s="59" t="s">
        <v>2755</v>
      </c>
      <c r="BF280" s="22" t="s">
        <v>131</v>
      </c>
      <c r="BG280" s="22" t="s">
        <v>132</v>
      </c>
      <c r="BH280" s="22" t="s">
        <v>132</v>
      </c>
      <c r="BI280" s="22" t="s">
        <v>132</v>
      </c>
      <c r="BJ280" s="43"/>
      <c r="BK280" s="43"/>
      <c r="BL280" s="22">
        <v>4.630084864777E12</v>
      </c>
      <c r="BM280" s="22">
        <v>3.4013E9</v>
      </c>
      <c r="BN280" s="22" t="s">
        <v>4293</v>
      </c>
      <c r="BO280" s="22"/>
      <c r="BP280" s="22" t="s">
        <v>145</v>
      </c>
      <c r="BQ280" s="43"/>
      <c r="BR280" s="43"/>
      <c r="BS280" s="22" t="s">
        <v>4294</v>
      </c>
      <c r="BT280" s="43"/>
      <c r="BU280" s="22" t="s">
        <v>4295</v>
      </c>
      <c r="BV280" s="43" t="s">
        <v>145</v>
      </c>
      <c r="BW280" s="22" t="s">
        <v>4296</v>
      </c>
      <c r="BX280" s="22">
        <v>160.0</v>
      </c>
      <c r="BY280" s="22" t="s">
        <v>139</v>
      </c>
      <c r="BZ280" s="22"/>
      <c r="CA280" s="22" t="s">
        <v>355</v>
      </c>
      <c r="CB280" s="22" t="s">
        <v>307</v>
      </c>
      <c r="CC280" s="45" t="s">
        <v>4297</v>
      </c>
      <c r="CD280" s="43"/>
      <c r="CE280" s="43"/>
      <c r="CF280" s="45"/>
      <c r="CG280" s="56">
        <v>46052.0</v>
      </c>
      <c r="CH280" s="46" t="s">
        <v>4298</v>
      </c>
      <c r="CI280" s="43"/>
      <c r="CJ280" s="43"/>
      <c r="CK280" s="43"/>
      <c r="CL280" s="43"/>
      <c r="CM280" s="49">
        <f>IFERROR(VLOOKUP(B280,CC!A:D,4,0)," ")</f>
        <v>116.8</v>
      </c>
      <c r="CN280" s="22" t="s">
        <v>2834</v>
      </c>
      <c r="CO280" s="22"/>
      <c r="CP280" s="22" t="s">
        <v>2835</v>
      </c>
      <c r="CQ280" s="22">
        <v>90.0</v>
      </c>
      <c r="CR280" s="43"/>
      <c r="CS280" s="22">
        <v>5.0</v>
      </c>
      <c r="CT280" s="22" t="s">
        <v>145</v>
      </c>
      <c r="CU280" s="43"/>
      <c r="CV280" s="43"/>
      <c r="CW280" s="43"/>
      <c r="CX280" s="43"/>
      <c r="CY280" s="43" t="b">
        <v>0</v>
      </c>
      <c r="CZ280" s="43" t="b">
        <v>0</v>
      </c>
      <c r="DA280" s="43" t="b">
        <v>0</v>
      </c>
      <c r="DB280" s="43" t="b">
        <v>0</v>
      </c>
      <c r="DC280" s="43"/>
      <c r="DD280" s="43"/>
      <c r="DE280" s="43"/>
      <c r="DF280" s="43"/>
      <c r="DG280" s="43"/>
      <c r="DH280" s="43"/>
      <c r="DI280" s="43"/>
      <c r="DJ280" s="22">
        <f>IFERROR(VLOOKUP($B280,'Лист4'!$D:$AI,27,0)," ")</f>
        <v>5</v>
      </c>
      <c r="DK280" s="22">
        <f>IFERROR(VLOOKUP($B280,'Лист4'!$D:$AI,28,0)," ")</f>
        <v>17</v>
      </c>
      <c r="DL280" s="22">
        <f>IFERROR(VLOOKUP($B280,'Лист4'!$D:$AI,29,0)," ")</f>
        <v>5</v>
      </c>
      <c r="DM280" s="22">
        <f t="shared" si="3"/>
        <v>425</v>
      </c>
      <c r="DN280" s="22">
        <f>IFERROR(VLOOKUP($B280,'Лист4'!$D:$AI,32,0)," ")</f>
        <v>0.212</v>
      </c>
      <c r="DO280" s="22"/>
      <c r="DP280" s="22"/>
      <c r="DQ280" s="22"/>
      <c r="DR280" s="22"/>
      <c r="DS280" s="22"/>
      <c r="DT280" s="22"/>
      <c r="DU280" s="22"/>
      <c r="DV280" s="22"/>
      <c r="DW280" s="22"/>
      <c r="DX280" s="22"/>
      <c r="DY280" s="22"/>
      <c r="DZ280" s="22"/>
      <c r="EA280" s="22"/>
      <c r="EB280" s="22"/>
      <c r="EC280" s="22"/>
      <c r="ED280" s="22"/>
      <c r="EE280" s="22"/>
      <c r="EF280" s="22"/>
      <c r="EG280" s="22"/>
      <c r="EH280" s="22"/>
      <c r="EI280" s="22"/>
      <c r="EJ280" s="22"/>
      <c r="EK280" s="22"/>
      <c r="EL280" s="22"/>
      <c r="EM280" s="22"/>
      <c r="EN280" s="22"/>
      <c r="EO280" s="22"/>
      <c r="EP280" s="22"/>
      <c r="EQ280" s="22"/>
      <c r="ER280" s="22"/>
      <c r="ES280" s="43"/>
      <c r="ET280" s="43"/>
      <c r="EU280" s="43"/>
      <c r="EV280" s="43"/>
      <c r="EW280" s="43"/>
      <c r="EX280" s="43"/>
      <c r="EY280" s="43"/>
      <c r="EZ280" s="43"/>
      <c r="FA280" s="43"/>
      <c r="FB280" s="43"/>
      <c r="FC280" s="43"/>
      <c r="FD280" s="43"/>
      <c r="FE280" s="43"/>
      <c r="FF280" s="43"/>
      <c r="FG280" s="43"/>
      <c r="FH280" s="43"/>
      <c r="FI280" s="43"/>
    </row>
    <row r="281" ht="18.0" customHeight="1">
      <c r="A281" s="22" t="s">
        <v>2659</v>
      </c>
      <c r="B281" s="43" t="s">
        <v>4299</v>
      </c>
      <c r="C281" s="22" t="s">
        <v>2661</v>
      </c>
      <c r="D281" s="22" t="s">
        <v>119</v>
      </c>
      <c r="E281" s="43"/>
      <c r="F281" s="22" t="s">
        <v>4300</v>
      </c>
      <c r="G281" s="22" t="s">
        <v>2663</v>
      </c>
      <c r="H281" s="22" t="s">
        <v>2664</v>
      </c>
      <c r="I281" s="43"/>
      <c r="J281" s="43"/>
      <c r="K281" s="22" t="b">
        <v>1</v>
      </c>
      <c r="L281" s="22" t="b">
        <v>1</v>
      </c>
      <c r="M281" s="22" t="b">
        <v>1</v>
      </c>
      <c r="N281" s="22" t="b">
        <v>1</v>
      </c>
      <c r="O281" s="22" t="b">
        <v>0</v>
      </c>
      <c r="P281" s="22" t="b">
        <v>0</v>
      </c>
      <c r="Q281" s="22" t="b">
        <v>0</v>
      </c>
      <c r="R281" s="43"/>
      <c r="S281" s="43" t="s">
        <v>4301</v>
      </c>
      <c r="T281" s="22" t="s">
        <v>4302</v>
      </c>
      <c r="U281" s="22" t="s">
        <v>4299</v>
      </c>
      <c r="V281" s="22" t="s">
        <v>4299</v>
      </c>
      <c r="W281" s="43"/>
      <c r="X281" s="43"/>
      <c r="Y281" s="43"/>
      <c r="Z281" s="43"/>
      <c r="AA281" s="22">
        <v>1.7903236E7</v>
      </c>
      <c r="AB281" s="22">
        <v>2.88894202E8</v>
      </c>
      <c r="AC281" s="22">
        <v>1.03340894497E11</v>
      </c>
      <c r="AD281" s="22"/>
      <c r="AE281" s="22"/>
      <c r="AF281" s="43"/>
      <c r="AG281" s="43"/>
      <c r="AH281" s="43" t="s">
        <v>4300</v>
      </c>
      <c r="AI281" s="22" t="s">
        <v>4303</v>
      </c>
      <c r="AJ281" s="22" t="s">
        <v>4304</v>
      </c>
      <c r="AK281" s="22" t="s">
        <v>4305</v>
      </c>
      <c r="AL281" s="43"/>
      <c r="AM281" s="43"/>
      <c r="AN281" s="43"/>
      <c r="AO281" s="43"/>
      <c r="AP281" s="46" t="s">
        <v>4306</v>
      </c>
      <c r="AQ281" s="46" t="s">
        <v>4307</v>
      </c>
      <c r="AR281" s="46" t="s">
        <v>4308</v>
      </c>
      <c r="AS281" s="43"/>
      <c r="AT281" s="43"/>
      <c r="AU281" s="43"/>
      <c r="AV281" s="43"/>
      <c r="AW281" s="22" t="s">
        <v>3445</v>
      </c>
      <c r="AX281" s="22" t="s">
        <v>4304</v>
      </c>
      <c r="AY281" s="22" t="s">
        <v>2672</v>
      </c>
      <c r="AZ281" s="43"/>
      <c r="BA281" s="43"/>
      <c r="BB281" s="43"/>
      <c r="BC281" s="43"/>
      <c r="BD281" s="43" t="s">
        <v>401</v>
      </c>
      <c r="BE281" s="59" t="s">
        <v>2755</v>
      </c>
      <c r="BF281" s="22" t="s">
        <v>131</v>
      </c>
      <c r="BG281" s="22" t="s">
        <v>132</v>
      </c>
      <c r="BH281" s="22" t="s">
        <v>132</v>
      </c>
      <c r="BI281" s="22" t="s">
        <v>132</v>
      </c>
      <c r="BJ281" s="43"/>
      <c r="BK281" s="43"/>
      <c r="BL281" s="22">
        <v>4.631136905059E12</v>
      </c>
      <c r="BM281" s="22">
        <v>3.30499E9</v>
      </c>
      <c r="BN281" s="22" t="s">
        <v>4309</v>
      </c>
      <c r="BO281" s="22"/>
      <c r="BP281" s="22" t="s">
        <v>496</v>
      </c>
      <c r="BQ281" s="43"/>
      <c r="BR281" s="43"/>
      <c r="BS281" s="22" t="s">
        <v>4310</v>
      </c>
      <c r="BT281" s="22"/>
      <c r="BU281" s="22" t="s">
        <v>4311</v>
      </c>
      <c r="BV281" s="22" t="s">
        <v>2777</v>
      </c>
      <c r="BW281" s="22" t="s">
        <v>3200</v>
      </c>
      <c r="BX281" s="22"/>
      <c r="BY281" s="43"/>
      <c r="BZ281" s="43"/>
      <c r="CA281" s="22" t="s">
        <v>3960</v>
      </c>
      <c r="CB281" s="22" t="s">
        <v>401</v>
      </c>
      <c r="CC281" s="45" t="s">
        <v>4312</v>
      </c>
      <c r="CD281" s="43"/>
      <c r="CE281" s="43"/>
      <c r="CF281" s="45"/>
      <c r="CG281" s="43"/>
      <c r="CH281" s="43"/>
      <c r="CI281" s="43"/>
      <c r="CJ281" s="43"/>
      <c r="CK281" s="43"/>
      <c r="CL281" s="43"/>
      <c r="CM281" s="49">
        <f>IFERROR(VLOOKUP(B281,CC!A:D,4,0)," ")</f>
        <v>122.05</v>
      </c>
      <c r="CN281" s="22" t="s">
        <v>2681</v>
      </c>
      <c r="CO281" s="22"/>
      <c r="CP281" s="43"/>
      <c r="CQ281" s="22">
        <v>45.0</v>
      </c>
      <c r="CR281" s="43"/>
      <c r="CS281" s="22">
        <v>1.0</v>
      </c>
      <c r="CT281" s="22" t="s">
        <v>145</v>
      </c>
      <c r="CU281" s="43"/>
      <c r="CV281" s="43"/>
      <c r="CW281" s="43"/>
      <c r="CX281" s="43"/>
      <c r="CY281" s="43" t="b">
        <v>0</v>
      </c>
      <c r="CZ281" s="43" t="b">
        <v>0</v>
      </c>
      <c r="DA281" s="43" t="b">
        <v>0</v>
      </c>
      <c r="DB281" s="43" t="b">
        <v>0</v>
      </c>
      <c r="DC281" s="43"/>
      <c r="DD281" s="43"/>
      <c r="DE281" s="43"/>
      <c r="DF281" s="43"/>
      <c r="DG281" s="43"/>
      <c r="DH281" s="43"/>
      <c r="DI281" s="43"/>
      <c r="DJ281" s="22">
        <f>IFERROR(VLOOKUP($B281,'Лист4'!$D:$AI,27,0)," ")</f>
        <v>10</v>
      </c>
      <c r="DK281" s="22">
        <f>IFERROR(VLOOKUP($B281,'Лист4'!$D:$AI,28,0)," ")</f>
        <v>3</v>
      </c>
      <c r="DL281" s="22">
        <f>IFERROR(VLOOKUP($B281,'Лист4'!$D:$AI,29,0)," ")</f>
        <v>10</v>
      </c>
      <c r="DM281" s="22">
        <f t="shared" si="3"/>
        <v>300</v>
      </c>
      <c r="DN281" s="22">
        <f>IFERROR(VLOOKUP($B281,'Лист4'!$D:$AI,32,0)," ")</f>
        <v>0.045</v>
      </c>
      <c r="DO281" s="22"/>
      <c r="DP281" s="22"/>
      <c r="DQ281" s="22"/>
      <c r="DR281" s="22"/>
      <c r="DS281" s="22"/>
      <c r="DT281" s="22"/>
      <c r="DU281" s="22"/>
      <c r="DV281" s="22"/>
      <c r="DW281" s="22"/>
      <c r="DX281" s="22"/>
      <c r="DY281" s="22"/>
      <c r="DZ281" s="22"/>
      <c r="EA281" s="22"/>
      <c r="EB281" s="22"/>
      <c r="EC281" s="22"/>
      <c r="ED281" s="22"/>
      <c r="EE281" s="22"/>
      <c r="EF281" s="22"/>
      <c r="EG281" s="22"/>
      <c r="EH281" s="22"/>
      <c r="EI281" s="22"/>
      <c r="EJ281" s="22"/>
      <c r="EK281" s="22"/>
      <c r="EL281" s="22"/>
      <c r="EM281" s="22"/>
      <c r="EN281" s="22"/>
      <c r="EO281" s="22"/>
      <c r="EP281" s="22"/>
      <c r="EQ281" s="22"/>
      <c r="ER281" s="22"/>
      <c r="ES281" s="43"/>
      <c r="ET281" s="43"/>
      <c r="EU281" s="43"/>
      <c r="EV281" s="43"/>
      <c r="EW281" s="43"/>
      <c r="EX281" s="43"/>
      <c r="EY281" s="43"/>
      <c r="EZ281" s="43"/>
      <c r="FA281" s="43"/>
      <c r="FB281" s="43"/>
      <c r="FC281" s="43"/>
      <c r="FD281" s="43"/>
      <c r="FE281" s="43"/>
      <c r="FF281" s="43"/>
      <c r="FG281" s="43"/>
      <c r="FH281" s="43"/>
      <c r="FI281" s="43"/>
    </row>
    <row r="282" ht="18.0" customHeight="1">
      <c r="A282" s="22" t="s">
        <v>2659</v>
      </c>
      <c r="B282" s="43" t="s">
        <v>4313</v>
      </c>
      <c r="C282" s="22" t="s">
        <v>2661</v>
      </c>
      <c r="D282" s="22" t="s">
        <v>119</v>
      </c>
      <c r="E282" s="43"/>
      <c r="F282" s="22" t="s">
        <v>4314</v>
      </c>
      <c r="G282" s="22" t="s">
        <v>2663</v>
      </c>
      <c r="H282" s="22" t="s">
        <v>3437</v>
      </c>
      <c r="I282" s="43"/>
      <c r="J282" s="43"/>
      <c r="K282" s="22" t="b">
        <v>1</v>
      </c>
      <c r="L282" s="22" t="b">
        <v>1</v>
      </c>
      <c r="M282" s="22" t="b">
        <v>1</v>
      </c>
      <c r="N282" s="22" t="b">
        <v>1</v>
      </c>
      <c r="O282" s="22" t="b">
        <v>0</v>
      </c>
      <c r="P282" s="22" t="b">
        <v>0</v>
      </c>
      <c r="Q282" s="22" t="b">
        <v>0</v>
      </c>
      <c r="R282" s="43"/>
      <c r="S282" s="43" t="s">
        <v>4315</v>
      </c>
      <c r="T282" s="22" t="s">
        <v>4313</v>
      </c>
      <c r="U282" s="22" t="s">
        <v>4313</v>
      </c>
      <c r="V282" s="22" t="s">
        <v>4313</v>
      </c>
      <c r="W282" s="43"/>
      <c r="X282" s="43"/>
      <c r="Y282" s="43"/>
      <c r="Z282" s="43"/>
      <c r="AA282" s="22">
        <v>1.76862987E8</v>
      </c>
      <c r="AB282" s="22">
        <v>1.188111089E9</v>
      </c>
      <c r="AC282" s="22">
        <v>1.03515425318E11</v>
      </c>
      <c r="AD282" s="22"/>
      <c r="AE282" s="22"/>
      <c r="AF282" s="43"/>
      <c r="AG282" s="43"/>
      <c r="AH282" s="43" t="s">
        <v>4314</v>
      </c>
      <c r="AI282" s="22" t="s">
        <v>4316</v>
      </c>
      <c r="AJ282" s="22" t="s">
        <v>4317</v>
      </c>
      <c r="AK282" s="22" t="s">
        <v>4318</v>
      </c>
      <c r="AL282" s="43"/>
      <c r="AM282" s="43"/>
      <c r="AN282" s="43"/>
      <c r="AO282" s="43"/>
      <c r="AP282" s="46" t="s">
        <v>4319</v>
      </c>
      <c r="AQ282" s="46" t="s">
        <v>4320</v>
      </c>
      <c r="AR282" s="46" t="s">
        <v>4321</v>
      </c>
      <c r="AS282" s="43"/>
      <c r="AT282" s="43"/>
      <c r="AU282" s="43"/>
      <c r="AV282" s="43"/>
      <c r="AW282" s="22" t="s">
        <v>3445</v>
      </c>
      <c r="AX282" s="22" t="s">
        <v>4317</v>
      </c>
      <c r="AY282" s="22" t="s">
        <v>2672</v>
      </c>
      <c r="AZ282" s="43"/>
      <c r="BA282" s="43"/>
      <c r="BB282" s="43"/>
      <c r="BC282" s="43"/>
      <c r="BD282" s="43" t="s">
        <v>301</v>
      </c>
      <c r="BE282" s="59" t="s">
        <v>2755</v>
      </c>
      <c r="BF282" s="22" t="s">
        <v>131</v>
      </c>
      <c r="BG282" s="22" t="s">
        <v>132</v>
      </c>
      <c r="BH282" s="22" t="s">
        <v>132</v>
      </c>
      <c r="BI282" s="22" t="s">
        <v>132</v>
      </c>
      <c r="BJ282" s="43"/>
      <c r="BK282" s="43"/>
      <c r="BL282" s="22">
        <v>4.660417421117E12</v>
      </c>
      <c r="BM282" s="22">
        <v>3.30499E9</v>
      </c>
      <c r="BN282" s="22" t="s">
        <v>3607</v>
      </c>
      <c r="BO282" s="22"/>
      <c r="BP282" s="22" t="s">
        <v>496</v>
      </c>
      <c r="BQ282" s="43"/>
      <c r="BR282" s="43"/>
      <c r="BS282" s="22" t="s">
        <v>4322</v>
      </c>
      <c r="BT282" s="22"/>
      <c r="BU282" s="22" t="s">
        <v>4323</v>
      </c>
      <c r="BV282" s="22" t="s">
        <v>2777</v>
      </c>
      <c r="BW282" s="22" t="s">
        <v>4324</v>
      </c>
      <c r="BX282" s="22"/>
      <c r="BY282" s="43"/>
      <c r="BZ282" s="43"/>
      <c r="CA282" s="22"/>
      <c r="CB282" s="22"/>
      <c r="CC282" s="45"/>
      <c r="CD282" s="43"/>
      <c r="CE282" s="43"/>
      <c r="CF282" s="45"/>
      <c r="CG282" s="43"/>
      <c r="CH282" s="43"/>
      <c r="CI282" s="43"/>
      <c r="CJ282" s="43"/>
      <c r="CK282" s="43"/>
      <c r="CL282" s="43"/>
      <c r="CM282" s="49">
        <f>IFERROR(VLOOKUP(B282,CC!A:D,4,0)," ")</f>
        <v>233.5</v>
      </c>
      <c r="CN282" s="22" t="s">
        <v>2681</v>
      </c>
      <c r="CO282" s="22"/>
      <c r="CP282" s="43"/>
      <c r="CQ282" s="22">
        <v>45.0</v>
      </c>
      <c r="CR282" s="43"/>
      <c r="CS282" s="22">
        <v>1.0</v>
      </c>
      <c r="CT282" s="22" t="s">
        <v>145</v>
      </c>
      <c r="CU282" s="43"/>
      <c r="CV282" s="43"/>
      <c r="CW282" s="43"/>
      <c r="CX282" s="43"/>
      <c r="CY282" s="43" t="b">
        <v>0</v>
      </c>
      <c r="CZ282" s="43" t="b">
        <v>0</v>
      </c>
      <c r="DA282" s="43" t="b">
        <v>0</v>
      </c>
      <c r="DB282" s="43" t="b">
        <v>0</v>
      </c>
      <c r="DC282" s="43"/>
      <c r="DD282" s="43"/>
      <c r="DE282" s="43"/>
      <c r="DF282" s="43"/>
      <c r="DG282" s="43"/>
      <c r="DH282" s="43"/>
      <c r="DI282" s="43"/>
      <c r="DJ282" s="22">
        <f>IFERROR(VLOOKUP($B282,'Лист4'!$D:$AI,27,0)," ")</f>
        <v>17</v>
      </c>
      <c r="DK282" s="22">
        <f>IFERROR(VLOOKUP($B282,'Лист4'!$D:$AI,28,0)," ")</f>
        <v>6</v>
      </c>
      <c r="DL282" s="22">
        <f>IFERROR(VLOOKUP($B282,'Лист4'!$D:$AI,29,0)," ")</f>
        <v>17</v>
      </c>
      <c r="DM282" s="22">
        <f t="shared" si="3"/>
        <v>1734</v>
      </c>
      <c r="DN282" s="22">
        <f>IFERROR(VLOOKUP($B282,'Лист4'!$D:$AI,32,0)," ")</f>
        <v>0.192</v>
      </c>
      <c r="DO282" s="22"/>
      <c r="DP282" s="22"/>
      <c r="DQ282" s="22"/>
      <c r="DR282" s="22"/>
      <c r="DS282" s="22"/>
      <c r="DT282" s="22"/>
      <c r="DU282" s="22"/>
      <c r="DV282" s="22"/>
      <c r="DW282" s="22"/>
      <c r="DX282" s="22"/>
      <c r="DY282" s="22"/>
      <c r="DZ282" s="22"/>
      <c r="EA282" s="22"/>
      <c r="EB282" s="22"/>
      <c r="EC282" s="22"/>
      <c r="ED282" s="22"/>
      <c r="EE282" s="22"/>
      <c r="EF282" s="22"/>
      <c r="EG282" s="22"/>
      <c r="EH282" s="22"/>
      <c r="EI282" s="22"/>
      <c r="EJ282" s="22"/>
      <c r="EK282" s="22"/>
      <c r="EL282" s="22"/>
      <c r="EM282" s="22"/>
      <c r="EN282" s="22"/>
      <c r="EO282" s="22"/>
      <c r="EP282" s="22"/>
      <c r="EQ282" s="22"/>
      <c r="ER282" s="22"/>
      <c r="ES282" s="43"/>
      <c r="ET282" s="43"/>
      <c r="EU282" s="43"/>
      <c r="EV282" s="43"/>
      <c r="EW282" s="43"/>
      <c r="EX282" s="43"/>
      <c r="EY282" s="43"/>
      <c r="EZ282" s="43"/>
      <c r="FA282" s="43"/>
      <c r="FB282" s="43"/>
      <c r="FC282" s="43"/>
      <c r="FD282" s="43"/>
      <c r="FE282" s="43"/>
      <c r="FF282" s="43"/>
      <c r="FG282" s="43"/>
      <c r="FH282" s="43"/>
      <c r="FI282" s="43"/>
    </row>
    <row r="283" ht="18.0" customHeight="1">
      <c r="A283" s="22" t="s">
        <v>2659</v>
      </c>
      <c r="B283" s="43" t="s">
        <v>4325</v>
      </c>
      <c r="C283" s="22" t="s">
        <v>2661</v>
      </c>
      <c r="D283" s="22" t="s">
        <v>119</v>
      </c>
      <c r="E283" s="43"/>
      <c r="F283" s="22" t="s">
        <v>4326</v>
      </c>
      <c r="G283" s="22" t="s">
        <v>2743</v>
      </c>
      <c r="H283" s="22" t="s">
        <v>287</v>
      </c>
      <c r="I283" s="43"/>
      <c r="J283" s="43"/>
      <c r="K283" s="22" t="b">
        <v>1</v>
      </c>
      <c r="L283" s="22" t="b">
        <v>1</v>
      </c>
      <c r="M283" s="22" t="b">
        <v>1</v>
      </c>
      <c r="N283" s="22" t="b">
        <v>1</v>
      </c>
      <c r="O283" s="22" t="b">
        <v>1</v>
      </c>
      <c r="P283" s="22" t="b">
        <v>0</v>
      </c>
      <c r="Q283" s="22" t="b">
        <v>0</v>
      </c>
      <c r="R283" s="43"/>
      <c r="S283" s="43" t="s">
        <v>4327</v>
      </c>
      <c r="T283" s="22" t="s">
        <v>4325</v>
      </c>
      <c r="U283" s="22" t="s">
        <v>4325</v>
      </c>
      <c r="V283" s="22" t="s">
        <v>4325</v>
      </c>
      <c r="W283" s="22" t="s">
        <v>4325</v>
      </c>
      <c r="X283" s="43"/>
      <c r="Y283" s="43"/>
      <c r="Z283" s="43"/>
      <c r="AA283" s="22">
        <v>2.35967746E8</v>
      </c>
      <c r="AB283" s="22">
        <v>1.597150074E9</v>
      </c>
      <c r="AC283" s="22">
        <v>1.03515586621E11</v>
      </c>
      <c r="AD283" s="22">
        <v>9.900012514E10</v>
      </c>
      <c r="AE283" s="22"/>
      <c r="AF283" s="43"/>
      <c r="AG283" s="43"/>
      <c r="AH283" s="43" t="s">
        <v>4326</v>
      </c>
      <c r="AI283" s="22" t="s">
        <v>4328</v>
      </c>
      <c r="AJ283" s="22" t="s">
        <v>4329</v>
      </c>
      <c r="AK283" s="22" t="s">
        <v>4329</v>
      </c>
      <c r="AL283" s="22" t="s">
        <v>4330</v>
      </c>
      <c r="AM283" s="43"/>
      <c r="AN283" s="43"/>
      <c r="AO283" s="43"/>
      <c r="AP283" s="46" t="s">
        <v>4331</v>
      </c>
      <c r="AQ283" s="46" t="s">
        <v>4332</v>
      </c>
      <c r="AR283" s="46" t="s">
        <v>4333</v>
      </c>
      <c r="AS283" s="43"/>
      <c r="AT283" s="43"/>
      <c r="AU283" s="43"/>
      <c r="AV283" s="43"/>
      <c r="AW283" s="22" t="s">
        <v>325</v>
      </c>
      <c r="AX283" s="22" t="s">
        <v>4329</v>
      </c>
      <c r="AY283" s="22" t="s">
        <v>326</v>
      </c>
      <c r="AZ283" s="22" t="s">
        <v>300</v>
      </c>
      <c r="BA283" s="43"/>
      <c r="BB283" s="43"/>
      <c r="BC283" s="43"/>
      <c r="BD283" s="43" t="s">
        <v>2673</v>
      </c>
      <c r="BE283" s="59" t="s">
        <v>2755</v>
      </c>
      <c r="BF283" s="22" t="s">
        <v>131</v>
      </c>
      <c r="BG283" s="22" t="s">
        <v>132</v>
      </c>
      <c r="BH283" s="22" t="s">
        <v>132</v>
      </c>
      <c r="BI283" s="22" t="s">
        <v>132</v>
      </c>
      <c r="BJ283" s="43"/>
      <c r="BK283" s="43"/>
      <c r="BL283" s="22">
        <v>4.610030632728E12</v>
      </c>
      <c r="BM283" s="22">
        <v>3.30499E9</v>
      </c>
      <c r="BN283" s="22" t="s">
        <v>4334</v>
      </c>
      <c r="BO283" s="22"/>
      <c r="BP283" s="22" t="s">
        <v>496</v>
      </c>
      <c r="BQ283" s="43"/>
      <c r="BR283" s="43"/>
      <c r="BS283" s="22" t="s">
        <v>4335</v>
      </c>
      <c r="BT283" s="22"/>
      <c r="BU283" s="22" t="s">
        <v>4336</v>
      </c>
      <c r="BV283" s="22" t="s">
        <v>2887</v>
      </c>
      <c r="BW283" s="22" t="s">
        <v>3625</v>
      </c>
      <c r="BX283" s="22">
        <v>10.0</v>
      </c>
      <c r="BY283" s="22" t="s">
        <v>4337</v>
      </c>
      <c r="BZ283" s="22"/>
      <c r="CA283" s="22"/>
      <c r="CB283" s="22"/>
      <c r="CC283" s="45" t="s">
        <v>4338</v>
      </c>
      <c r="CD283" s="43"/>
      <c r="CE283" s="43"/>
      <c r="CF283" s="45"/>
      <c r="CG283" s="43"/>
      <c r="CH283" s="43"/>
      <c r="CI283" s="43"/>
      <c r="CJ283" s="43"/>
      <c r="CK283" s="43"/>
      <c r="CL283" s="43"/>
      <c r="CM283" s="49">
        <f>IFERROR(VLOOKUP(B283,CC!A:D,4,0)," ")</f>
        <v>114.47</v>
      </c>
      <c r="CN283" s="22" t="s">
        <v>2780</v>
      </c>
      <c r="CO283" s="22"/>
      <c r="CP283" s="43"/>
      <c r="CQ283" s="22">
        <v>45.0</v>
      </c>
      <c r="CR283" s="43"/>
      <c r="CS283" s="22">
        <v>1.0</v>
      </c>
      <c r="CT283" s="22" t="s">
        <v>145</v>
      </c>
      <c r="CU283" s="43"/>
      <c r="CV283" s="43"/>
      <c r="CW283" s="43"/>
      <c r="CX283" s="43"/>
      <c r="CY283" s="43" t="b">
        <v>0</v>
      </c>
      <c r="CZ283" s="43" t="b">
        <v>0</v>
      </c>
      <c r="DA283" s="43" t="b">
        <v>0</v>
      </c>
      <c r="DB283" s="43" t="b">
        <v>0</v>
      </c>
      <c r="DC283" s="43"/>
      <c r="DD283" s="43"/>
      <c r="DE283" s="43"/>
      <c r="DF283" s="43"/>
      <c r="DG283" s="43"/>
      <c r="DH283" s="43"/>
      <c r="DI283" s="43"/>
      <c r="DJ283" s="22">
        <f>IFERROR(VLOOKUP($B283,'Лист4'!$D:$AI,27,0)," ")</f>
        <v>8</v>
      </c>
      <c r="DK283" s="22">
        <f>IFERROR(VLOOKUP($B283,'Лист4'!$D:$AI,28,0)," ")</f>
        <v>2</v>
      </c>
      <c r="DL283" s="22">
        <f>IFERROR(VLOOKUP($B283,'Лист4'!$D:$AI,29,0)," ")</f>
        <v>8</v>
      </c>
      <c r="DM283" s="22">
        <f t="shared" si="3"/>
        <v>128</v>
      </c>
      <c r="DN283" s="22">
        <f>IFERROR(VLOOKUP($B283,'Лист4'!$D:$AI,32,0)," ")</f>
        <v>0.046</v>
      </c>
      <c r="DO283" s="22"/>
      <c r="DP283" s="22"/>
      <c r="DQ283" s="22"/>
      <c r="DR283" s="22"/>
      <c r="DS283" s="22"/>
      <c r="DT283" s="22"/>
      <c r="DU283" s="22"/>
      <c r="DV283" s="22"/>
      <c r="DW283" s="22"/>
      <c r="DX283" s="22"/>
      <c r="DY283" s="22"/>
      <c r="DZ283" s="22"/>
      <c r="EA283" s="22"/>
      <c r="EB283" s="22"/>
      <c r="EC283" s="22"/>
      <c r="ED283" s="22"/>
      <c r="EE283" s="22"/>
      <c r="EF283" s="22"/>
      <c r="EG283" s="22"/>
      <c r="EH283" s="22"/>
      <c r="EI283" s="22"/>
      <c r="EJ283" s="22"/>
      <c r="EK283" s="22"/>
      <c r="EL283" s="22"/>
      <c r="EM283" s="22"/>
      <c r="EN283" s="22"/>
      <c r="EO283" s="22"/>
      <c r="EP283" s="22"/>
      <c r="EQ283" s="22"/>
      <c r="ER283" s="22"/>
      <c r="ES283" s="43"/>
      <c r="ET283" s="43"/>
      <c r="EU283" s="43"/>
      <c r="EV283" s="43"/>
      <c r="EW283" s="43"/>
      <c r="EX283" s="43"/>
      <c r="EY283" s="43"/>
      <c r="EZ283" s="43"/>
      <c r="FA283" s="43"/>
      <c r="FB283" s="43"/>
      <c r="FC283" s="43"/>
      <c r="FD283" s="43"/>
      <c r="FE283" s="43"/>
      <c r="FF283" s="43"/>
      <c r="FG283" s="43"/>
      <c r="FH283" s="43"/>
      <c r="FI283" s="43"/>
    </row>
    <row r="284" ht="18.0" customHeight="1">
      <c r="A284" s="22" t="s">
        <v>2659</v>
      </c>
      <c r="B284" s="43" t="s">
        <v>4339</v>
      </c>
      <c r="C284" s="22" t="s">
        <v>2741</v>
      </c>
      <c r="D284" s="22" t="s">
        <v>119</v>
      </c>
      <c r="E284" s="43"/>
      <c r="F284" s="22" t="s">
        <v>3629</v>
      </c>
      <c r="G284" s="22" t="s">
        <v>2743</v>
      </c>
      <c r="H284" s="22" t="s">
        <v>565</v>
      </c>
      <c r="I284" s="43"/>
      <c r="J284" s="43"/>
      <c r="K284" s="22" t="b">
        <v>1</v>
      </c>
      <c r="L284" s="22" t="b">
        <v>1</v>
      </c>
      <c r="M284" s="22" t="b">
        <v>1</v>
      </c>
      <c r="N284" s="22" t="b">
        <v>1</v>
      </c>
      <c r="O284" s="22" t="b">
        <v>1</v>
      </c>
      <c r="P284" s="22" t="b">
        <v>1</v>
      </c>
      <c r="Q284" s="22" t="b">
        <v>0</v>
      </c>
      <c r="R284" s="43"/>
      <c r="S284" s="43" t="s">
        <v>4340</v>
      </c>
      <c r="T284" s="22" t="s">
        <v>4339</v>
      </c>
      <c r="U284" s="22" t="s">
        <v>4339</v>
      </c>
      <c r="V284" s="22" t="s">
        <v>4339</v>
      </c>
      <c r="W284" s="43" t="s">
        <v>4339</v>
      </c>
      <c r="X284" s="43" t="s">
        <v>4339</v>
      </c>
      <c r="Y284" s="43"/>
      <c r="Z284" s="43"/>
      <c r="AA284" s="22">
        <v>5.47745952E8</v>
      </c>
      <c r="AB284" s="22">
        <v>2.915421784E9</v>
      </c>
      <c r="AC284" s="22">
        <v>4.686492261E9</v>
      </c>
      <c r="AD284" s="22">
        <v>9.9000125143E10</v>
      </c>
      <c r="AE284" s="22" t="s">
        <v>4341</v>
      </c>
      <c r="AF284" s="43"/>
      <c r="AG284" s="43"/>
      <c r="AH284" s="43" t="s">
        <v>3629</v>
      </c>
      <c r="AI284" s="22" t="s">
        <v>4342</v>
      </c>
      <c r="AJ284" s="22" t="s">
        <v>3632</v>
      </c>
      <c r="AK284" s="22" t="s">
        <v>4343</v>
      </c>
      <c r="AL284" s="22" t="s">
        <v>4344</v>
      </c>
      <c r="AM284" s="22" t="s">
        <v>4345</v>
      </c>
      <c r="AN284" s="43"/>
      <c r="AO284" s="43"/>
      <c r="AP284" s="46" t="s">
        <v>4346</v>
      </c>
      <c r="AQ284" s="46" t="s">
        <v>4347</v>
      </c>
      <c r="AR284" s="46" t="s">
        <v>4348</v>
      </c>
      <c r="AS284" s="46" t="s">
        <v>4349</v>
      </c>
      <c r="AT284" s="46" t="s">
        <v>4350</v>
      </c>
      <c r="AU284" s="43"/>
      <c r="AV284" s="43"/>
      <c r="AW284" s="22" t="s">
        <v>574</v>
      </c>
      <c r="AX284" s="22" t="s">
        <v>3632</v>
      </c>
      <c r="AY284" s="22" t="s">
        <v>575</v>
      </c>
      <c r="AZ284" s="22" t="s">
        <v>1447</v>
      </c>
      <c r="BA284" s="22" t="s">
        <v>576</v>
      </c>
      <c r="BB284" s="43"/>
      <c r="BC284" s="43"/>
      <c r="BD284" s="43" t="s">
        <v>301</v>
      </c>
      <c r="BE284" s="59" t="s">
        <v>2755</v>
      </c>
      <c r="BF284" s="22" t="s">
        <v>131</v>
      </c>
      <c r="BG284" s="22" t="s">
        <v>132</v>
      </c>
      <c r="BH284" s="22" t="s">
        <v>132</v>
      </c>
      <c r="BI284" s="22" t="s">
        <v>132</v>
      </c>
      <c r="BJ284" s="43"/>
      <c r="BK284" s="43"/>
      <c r="BL284" s="22">
        <v>4.645565747487E12</v>
      </c>
      <c r="BM284" s="22">
        <v>3.30499E9</v>
      </c>
      <c r="BN284" s="22" t="s">
        <v>3641</v>
      </c>
      <c r="BO284" s="22"/>
      <c r="BP284" s="22" t="s">
        <v>496</v>
      </c>
      <c r="BQ284" s="43"/>
      <c r="BR284" s="43"/>
      <c r="BS284" s="22" t="s">
        <v>578</v>
      </c>
      <c r="BT284" s="43"/>
      <c r="BU284" s="22" t="s">
        <v>579</v>
      </c>
      <c r="BV284" s="43" t="s">
        <v>3642</v>
      </c>
      <c r="BW284" s="22" t="s">
        <v>2832</v>
      </c>
      <c r="BX284" s="22">
        <v>80.0</v>
      </c>
      <c r="BY284" s="22" t="s">
        <v>3643</v>
      </c>
      <c r="BZ284" s="22"/>
      <c r="CA284" s="22" t="s">
        <v>355</v>
      </c>
      <c r="CB284" s="22" t="s">
        <v>307</v>
      </c>
      <c r="CC284" s="45" t="s">
        <v>3644</v>
      </c>
      <c r="CD284" s="43"/>
      <c r="CE284" s="43"/>
      <c r="CF284" s="45"/>
      <c r="CG284" s="43"/>
      <c r="CH284" s="43"/>
      <c r="CI284" s="43"/>
      <c r="CJ284" s="43"/>
      <c r="CK284" s="43"/>
      <c r="CL284" s="43"/>
      <c r="CM284" s="49">
        <f>IFERROR(VLOOKUP(B284,CC!A:D,4,0)," ")</f>
        <v>119.4</v>
      </c>
      <c r="CN284" s="22" t="s">
        <v>2834</v>
      </c>
      <c r="CO284" s="22"/>
      <c r="CP284" s="22"/>
      <c r="CQ284" s="22">
        <v>90.0</v>
      </c>
      <c r="CR284" s="43"/>
      <c r="CS284" s="22">
        <v>5.0</v>
      </c>
      <c r="CT284" s="22" t="s">
        <v>145</v>
      </c>
      <c r="CU284" s="43"/>
      <c r="CV284" s="43"/>
      <c r="CW284" s="43"/>
      <c r="CX284" s="43"/>
      <c r="CY284" s="43" t="b">
        <v>0</v>
      </c>
      <c r="CZ284" s="43" t="b">
        <v>0</v>
      </c>
      <c r="DA284" s="43" t="b">
        <v>0</v>
      </c>
      <c r="DB284" s="43" t="b">
        <v>0</v>
      </c>
      <c r="DC284" s="43"/>
      <c r="DD284" s="43"/>
      <c r="DE284" s="43"/>
      <c r="DF284" s="43"/>
      <c r="DG284" s="43"/>
      <c r="DH284" s="43"/>
      <c r="DI284" s="43"/>
      <c r="DJ284" s="22">
        <f>IFERROR(VLOOKUP($B284,'Лист4'!$D:$AI,27,0)," ")</f>
        <v>5</v>
      </c>
      <c r="DK284" s="22">
        <f>IFERROR(VLOOKUP($B284,'Лист4'!$D:$AI,28,0)," ")</f>
        <v>13</v>
      </c>
      <c r="DL284" s="22">
        <f>IFERROR(VLOOKUP($B284,'Лист4'!$D:$AI,29,0)," ")</f>
        <v>5</v>
      </c>
      <c r="DM284" s="22">
        <f t="shared" si="3"/>
        <v>325</v>
      </c>
      <c r="DN284" s="22">
        <f>IFERROR(VLOOKUP($B284,'Лист4'!$D:$AI,32,0)," ")</f>
        <v>0.101</v>
      </c>
      <c r="DO284" s="22"/>
      <c r="DP284" s="22"/>
      <c r="DQ284" s="22"/>
      <c r="DR284" s="22"/>
      <c r="DS284" s="22"/>
      <c r="DT284" s="22"/>
      <c r="DU284" s="22"/>
      <c r="DV284" s="22"/>
      <c r="DW284" s="22"/>
      <c r="DX284" s="22"/>
      <c r="DY284" s="22"/>
      <c r="DZ284" s="22"/>
      <c r="EA284" s="22"/>
      <c r="EB284" s="22"/>
      <c r="EC284" s="22"/>
      <c r="ED284" s="22"/>
      <c r="EE284" s="22"/>
      <c r="EF284" s="22"/>
      <c r="EG284" s="22"/>
      <c r="EH284" s="22"/>
      <c r="EI284" s="22"/>
      <c r="EJ284" s="22"/>
      <c r="EK284" s="22"/>
      <c r="EL284" s="22"/>
      <c r="EM284" s="22"/>
      <c r="EN284" s="22"/>
      <c r="EO284" s="22"/>
      <c r="EP284" s="22"/>
      <c r="EQ284" s="22"/>
      <c r="ER284" s="22"/>
      <c r="ES284" s="43"/>
      <c r="ET284" s="43"/>
      <c r="EU284" s="43"/>
      <c r="EV284" s="43"/>
      <c r="EW284" s="43"/>
      <c r="EX284" s="43"/>
      <c r="EY284" s="43"/>
      <c r="EZ284" s="43"/>
      <c r="FA284" s="43"/>
      <c r="FB284" s="43"/>
      <c r="FC284" s="43"/>
      <c r="FD284" s="43"/>
      <c r="FE284" s="43"/>
      <c r="FF284" s="43"/>
      <c r="FG284" s="43"/>
      <c r="FH284" s="43"/>
      <c r="FI284" s="43"/>
    </row>
    <row r="285" ht="18.0" customHeight="1">
      <c r="A285" s="22" t="s">
        <v>2659</v>
      </c>
      <c r="B285" s="43" t="s">
        <v>4351</v>
      </c>
      <c r="C285" s="22" t="s">
        <v>2661</v>
      </c>
      <c r="D285" s="22" t="s">
        <v>119</v>
      </c>
      <c r="E285" s="43"/>
      <c r="F285" s="22" t="s">
        <v>4352</v>
      </c>
      <c r="G285" s="22" t="s">
        <v>2663</v>
      </c>
      <c r="H285" s="22" t="s">
        <v>3437</v>
      </c>
      <c r="I285" s="43"/>
      <c r="J285" s="43"/>
      <c r="K285" s="22" t="b">
        <v>1</v>
      </c>
      <c r="L285" s="22" t="b">
        <v>1</v>
      </c>
      <c r="M285" s="22" t="b">
        <v>1</v>
      </c>
      <c r="N285" s="22" t="b">
        <v>1</v>
      </c>
      <c r="O285" s="22" t="b">
        <v>0</v>
      </c>
      <c r="P285" s="22" t="b">
        <v>0</v>
      </c>
      <c r="Q285" s="22" t="b">
        <v>0</v>
      </c>
      <c r="R285" s="43"/>
      <c r="S285" s="43" t="s">
        <v>4353</v>
      </c>
      <c r="T285" s="22" t="s">
        <v>4351</v>
      </c>
      <c r="U285" s="22" t="s">
        <v>4351</v>
      </c>
      <c r="V285" s="22" t="s">
        <v>4351</v>
      </c>
      <c r="W285" s="43"/>
      <c r="X285" s="43"/>
      <c r="Y285" s="43"/>
      <c r="Z285" s="43"/>
      <c r="AA285" s="22">
        <v>2.02337451E8</v>
      </c>
      <c r="AB285" s="22">
        <v>1.403753693E9</v>
      </c>
      <c r="AC285" s="22">
        <v>1.03515789506E11</v>
      </c>
      <c r="AD285" s="22"/>
      <c r="AE285" s="22"/>
      <c r="AF285" s="43"/>
      <c r="AG285" s="43"/>
      <c r="AH285" s="43" t="s">
        <v>4352</v>
      </c>
      <c r="AI285" s="22" t="s">
        <v>4354</v>
      </c>
      <c r="AJ285" s="22" t="s">
        <v>4355</v>
      </c>
      <c r="AK285" s="22" t="s">
        <v>4356</v>
      </c>
      <c r="AL285" s="43"/>
      <c r="AM285" s="43"/>
      <c r="AN285" s="43"/>
      <c r="AO285" s="43"/>
      <c r="AP285" s="46" t="s">
        <v>4357</v>
      </c>
      <c r="AQ285" s="46" t="s">
        <v>4358</v>
      </c>
      <c r="AR285" s="46" t="s">
        <v>4359</v>
      </c>
      <c r="AS285" s="43"/>
      <c r="AT285" s="43"/>
      <c r="AU285" s="43"/>
      <c r="AV285" s="43"/>
      <c r="AW285" s="22" t="s">
        <v>3445</v>
      </c>
      <c r="AX285" s="22" t="s">
        <v>4355</v>
      </c>
      <c r="AY285" s="22" t="s">
        <v>4360</v>
      </c>
      <c r="AZ285" s="43"/>
      <c r="BA285" s="43"/>
      <c r="BB285" s="43"/>
      <c r="BC285" s="43"/>
      <c r="BD285" s="43" t="s">
        <v>301</v>
      </c>
      <c r="BE285" s="59" t="s">
        <v>2755</v>
      </c>
      <c r="BF285" s="22" t="s">
        <v>131</v>
      </c>
      <c r="BG285" s="22" t="s">
        <v>132</v>
      </c>
      <c r="BH285" s="22" t="s">
        <v>132</v>
      </c>
      <c r="BI285" s="22" t="s">
        <v>132</v>
      </c>
      <c r="BJ285" s="43"/>
      <c r="BK285" s="43"/>
      <c r="BL285" s="22" t="s">
        <v>4361</v>
      </c>
      <c r="BM285" s="22">
        <v>3.30499E9</v>
      </c>
      <c r="BN285" s="22" t="s">
        <v>4066</v>
      </c>
      <c r="BO285" s="22"/>
      <c r="BP285" s="22" t="s">
        <v>496</v>
      </c>
      <c r="BQ285" s="43"/>
      <c r="BR285" s="43"/>
      <c r="BS285" s="22" t="s">
        <v>4362</v>
      </c>
      <c r="BT285" s="22"/>
      <c r="BU285" s="22" t="s">
        <v>4363</v>
      </c>
      <c r="BV285" s="22" t="s">
        <v>965</v>
      </c>
      <c r="BW285" s="22" t="s">
        <v>3503</v>
      </c>
      <c r="BX285" s="22">
        <v>100.0</v>
      </c>
      <c r="BY285" s="22" t="s">
        <v>139</v>
      </c>
      <c r="BZ285" s="22"/>
      <c r="CA285" s="22"/>
      <c r="CB285" s="22"/>
      <c r="CC285" s="45"/>
      <c r="CD285" s="43"/>
      <c r="CE285" s="43"/>
      <c r="CF285" s="45"/>
      <c r="CG285" s="43"/>
      <c r="CH285" s="43"/>
      <c r="CI285" s="43"/>
      <c r="CJ285" s="43"/>
      <c r="CK285" s="43"/>
      <c r="CL285" s="43"/>
      <c r="CM285" s="49">
        <f>IFERROR(VLOOKUP(B285,CC!A:D,4,0)," ")</f>
        <v>168.6</v>
      </c>
      <c r="CN285" s="22" t="s">
        <v>2681</v>
      </c>
      <c r="CO285" s="22"/>
      <c r="CP285" s="43"/>
      <c r="CQ285" s="22">
        <v>45.0</v>
      </c>
      <c r="CR285" s="43"/>
      <c r="CS285" s="22">
        <v>1.0</v>
      </c>
      <c r="CT285" s="22" t="s">
        <v>145</v>
      </c>
      <c r="CU285" s="43"/>
      <c r="CV285" s="43"/>
      <c r="CW285" s="43"/>
      <c r="CX285" s="43"/>
      <c r="CY285" s="43" t="b">
        <v>0</v>
      </c>
      <c r="CZ285" s="43" t="b">
        <v>0</v>
      </c>
      <c r="DA285" s="43" t="b">
        <v>0</v>
      </c>
      <c r="DB285" s="43" t="b">
        <v>0</v>
      </c>
      <c r="DC285" s="43"/>
      <c r="DD285" s="43"/>
      <c r="DE285" s="43"/>
      <c r="DF285" s="43"/>
      <c r="DG285" s="43"/>
      <c r="DH285" s="43"/>
      <c r="DI285" s="43"/>
      <c r="DJ285" s="22">
        <f>IFERROR(VLOOKUP($B285,'Лист4'!$D:$AI,27,0)," ")</f>
        <v>4</v>
      </c>
      <c r="DK285" s="22">
        <f>IFERROR(VLOOKUP($B285,'Лист4'!$D:$AI,28,0)," ")</f>
        <v>14</v>
      </c>
      <c r="DL285" s="22">
        <f>IFERROR(VLOOKUP($B285,'Лист4'!$D:$AI,29,0)," ")</f>
        <v>4</v>
      </c>
      <c r="DM285" s="22">
        <f t="shared" si="3"/>
        <v>224</v>
      </c>
      <c r="DN285" s="22">
        <f>IFERROR(VLOOKUP($B285,'Лист4'!$D:$AI,32,0)," ")</f>
        <v>0.13</v>
      </c>
      <c r="DO285" s="22"/>
      <c r="DP285" s="22"/>
      <c r="DQ285" s="22"/>
      <c r="DR285" s="22"/>
      <c r="DS285" s="22"/>
      <c r="DT285" s="22"/>
      <c r="DU285" s="22"/>
      <c r="DV285" s="22"/>
      <c r="DW285" s="22"/>
      <c r="DX285" s="22"/>
      <c r="DY285" s="22"/>
      <c r="DZ285" s="22"/>
      <c r="EA285" s="22"/>
      <c r="EB285" s="22"/>
      <c r="EC285" s="22"/>
      <c r="ED285" s="22"/>
      <c r="EE285" s="22"/>
      <c r="EF285" s="22"/>
      <c r="EG285" s="22"/>
      <c r="EH285" s="22"/>
      <c r="EI285" s="22"/>
      <c r="EJ285" s="22"/>
      <c r="EK285" s="22"/>
      <c r="EL285" s="22"/>
      <c r="EM285" s="22"/>
      <c r="EN285" s="22"/>
      <c r="EO285" s="22"/>
      <c r="EP285" s="22"/>
      <c r="EQ285" s="22"/>
      <c r="ER285" s="22"/>
      <c r="ES285" s="43"/>
      <c r="ET285" s="43"/>
      <c r="EU285" s="43"/>
      <c r="EV285" s="43"/>
      <c r="EW285" s="43"/>
      <c r="EX285" s="43"/>
      <c r="EY285" s="43"/>
      <c r="EZ285" s="43"/>
      <c r="FA285" s="43"/>
      <c r="FB285" s="43"/>
      <c r="FC285" s="43"/>
      <c r="FD285" s="43"/>
      <c r="FE285" s="43"/>
      <c r="FF285" s="43"/>
      <c r="FG285" s="43"/>
      <c r="FH285" s="43"/>
      <c r="FI285" s="43"/>
    </row>
    <row r="286" ht="18.0" customHeight="1">
      <c r="A286" s="22" t="s">
        <v>2659</v>
      </c>
      <c r="B286" s="43" t="s">
        <v>4364</v>
      </c>
      <c r="C286" s="22" t="s">
        <v>2741</v>
      </c>
      <c r="D286" s="22" t="s">
        <v>119</v>
      </c>
      <c r="E286" s="43"/>
      <c r="F286" s="22" t="s">
        <v>4365</v>
      </c>
      <c r="G286" s="22" t="s">
        <v>2743</v>
      </c>
      <c r="H286" s="22" t="s">
        <v>4366</v>
      </c>
      <c r="I286" s="43"/>
      <c r="J286" s="43"/>
      <c r="K286" s="22" t="b">
        <v>1</v>
      </c>
      <c r="L286" s="22" t="b">
        <v>1</v>
      </c>
      <c r="M286" s="22" t="b">
        <v>1</v>
      </c>
      <c r="N286" s="22" t="b">
        <v>1</v>
      </c>
      <c r="O286" s="22" t="b">
        <v>1</v>
      </c>
      <c r="P286" s="22" t="b">
        <v>1</v>
      </c>
      <c r="Q286" s="22" t="b">
        <v>0</v>
      </c>
      <c r="R286" s="43"/>
      <c r="S286" s="43" t="s">
        <v>4367</v>
      </c>
      <c r="T286" s="22" t="s">
        <v>4364</v>
      </c>
      <c r="U286" s="22" t="s">
        <v>4364</v>
      </c>
      <c r="V286" s="22" t="s">
        <v>4364</v>
      </c>
      <c r="W286" s="43" t="s">
        <v>4364</v>
      </c>
      <c r="X286" s="43" t="s">
        <v>4364</v>
      </c>
      <c r="Y286" s="43"/>
      <c r="Z286" s="43"/>
      <c r="AA286" s="22">
        <v>2.05074596E8</v>
      </c>
      <c r="AB286" s="22">
        <v>1.413566896E9</v>
      </c>
      <c r="AC286" s="22">
        <v>1.03515399743E11</v>
      </c>
      <c r="AD286" s="22">
        <v>9.9000076225E10</v>
      </c>
      <c r="AE286" s="22" t="s">
        <v>4368</v>
      </c>
      <c r="AF286" s="43"/>
      <c r="AG286" s="43"/>
      <c r="AH286" s="43" t="s">
        <v>4365</v>
      </c>
      <c r="AI286" s="22" t="s">
        <v>4369</v>
      </c>
      <c r="AJ286" s="22" t="s">
        <v>4370</v>
      </c>
      <c r="AK286" s="22" t="s">
        <v>4371</v>
      </c>
      <c r="AL286" s="22" t="s">
        <v>4372</v>
      </c>
      <c r="AM286" s="22" t="s">
        <v>4373</v>
      </c>
      <c r="AN286" s="43"/>
      <c r="AO286" s="43"/>
      <c r="AP286" s="46" t="s">
        <v>4374</v>
      </c>
      <c r="AQ286" s="46" t="s">
        <v>4375</v>
      </c>
      <c r="AR286" s="46" t="s">
        <v>4376</v>
      </c>
      <c r="AS286" s="46" t="s">
        <v>4377</v>
      </c>
      <c r="AT286" s="46" t="s">
        <v>4378</v>
      </c>
      <c r="AU286" s="43"/>
      <c r="AV286" s="43"/>
      <c r="AW286" s="22" t="s">
        <v>594</v>
      </c>
      <c r="AX286" s="22" t="s">
        <v>4370</v>
      </c>
      <c r="AY286" s="22" t="s">
        <v>4360</v>
      </c>
      <c r="AZ286" s="22" t="s">
        <v>1834</v>
      </c>
      <c r="BA286" s="22" t="s">
        <v>3083</v>
      </c>
      <c r="BB286" s="43"/>
      <c r="BC286" s="43"/>
      <c r="BD286" s="43" t="s">
        <v>2673</v>
      </c>
      <c r="BE286" s="59" t="s">
        <v>2755</v>
      </c>
      <c r="BF286" s="22" t="s">
        <v>131</v>
      </c>
      <c r="BG286" s="22" t="s">
        <v>132</v>
      </c>
      <c r="BH286" s="22" t="s">
        <v>132</v>
      </c>
      <c r="BI286" s="22" t="s">
        <v>132</v>
      </c>
      <c r="BJ286" s="43"/>
      <c r="BK286" s="43"/>
      <c r="BL286" s="22" t="s">
        <v>4379</v>
      </c>
      <c r="BM286" s="22">
        <v>3.30499E9</v>
      </c>
      <c r="BN286" s="22" t="s">
        <v>4380</v>
      </c>
      <c r="BO286" s="22"/>
      <c r="BP286" s="22" t="s">
        <v>145</v>
      </c>
      <c r="BQ286" s="43"/>
      <c r="BR286" s="43"/>
      <c r="BS286" s="22" t="s">
        <v>4381</v>
      </c>
      <c r="BT286" s="43"/>
      <c r="BU286" s="22" t="s">
        <v>4382</v>
      </c>
      <c r="BV286" s="43" t="s">
        <v>4383</v>
      </c>
      <c r="BW286" s="22" t="s">
        <v>4384</v>
      </c>
      <c r="BX286" s="22">
        <v>100.0</v>
      </c>
      <c r="BY286" s="22" t="s">
        <v>139</v>
      </c>
      <c r="BZ286" s="22"/>
      <c r="CA286" s="22" t="s">
        <v>355</v>
      </c>
      <c r="CB286" s="22" t="s">
        <v>307</v>
      </c>
      <c r="CC286" s="45" t="s">
        <v>4385</v>
      </c>
      <c r="CD286" s="43"/>
      <c r="CE286" s="43"/>
      <c r="CF286" s="45"/>
      <c r="CG286" s="54">
        <v>46064.0</v>
      </c>
      <c r="CH286" s="46" t="s">
        <v>4386</v>
      </c>
      <c r="CI286" s="43"/>
      <c r="CJ286" s="43"/>
      <c r="CK286" s="43"/>
      <c r="CL286" s="43"/>
      <c r="CM286" s="49">
        <f>IFERROR(VLOOKUP(B286,CC!A:D,4,0)," ")</f>
        <v>88</v>
      </c>
      <c r="CN286" s="22" t="s">
        <v>4387</v>
      </c>
      <c r="CO286" s="22"/>
      <c r="CP286" s="43"/>
      <c r="CQ286" s="22">
        <v>90.0</v>
      </c>
      <c r="CR286" s="43"/>
      <c r="CS286" s="22">
        <v>5.0</v>
      </c>
      <c r="CT286" s="22" t="s">
        <v>145</v>
      </c>
      <c r="CU286" s="43"/>
      <c r="CV286" s="43"/>
      <c r="CW286" s="43"/>
      <c r="CX286" s="43"/>
      <c r="CY286" s="43" t="b">
        <v>0</v>
      </c>
      <c r="CZ286" s="43" t="b">
        <v>0</v>
      </c>
      <c r="DA286" s="43" t="b">
        <v>0</v>
      </c>
      <c r="DB286" s="43" t="b">
        <v>0</v>
      </c>
      <c r="DC286" s="43"/>
      <c r="DD286" s="43"/>
      <c r="DE286" s="43"/>
      <c r="DF286" s="43"/>
      <c r="DG286" s="43"/>
      <c r="DH286" s="43"/>
      <c r="DI286" s="43"/>
      <c r="DJ286" s="22">
        <f>IFERROR(VLOOKUP($B286,'Лист4'!$D:$AI,27,0)," ")</f>
        <v>6</v>
      </c>
      <c r="DK286" s="22">
        <f>IFERROR(VLOOKUP($B286,'Лист4'!$D:$AI,28,0)," ")</f>
        <v>4</v>
      </c>
      <c r="DL286" s="22">
        <f>IFERROR(VLOOKUP($B286,'Лист4'!$D:$AI,29,0)," ")</f>
        <v>6</v>
      </c>
      <c r="DM286" s="22">
        <f t="shared" si="3"/>
        <v>144</v>
      </c>
      <c r="DN286" s="22">
        <f>IFERROR(VLOOKUP($B286,'Лист4'!$D:$AI,32,0)," ")</f>
        <v>0.116</v>
      </c>
      <c r="DO286" s="22"/>
      <c r="DP286" s="22"/>
      <c r="DQ286" s="22"/>
      <c r="DR286" s="22"/>
      <c r="DS286" s="22"/>
      <c r="DT286" s="22"/>
      <c r="DU286" s="22"/>
      <c r="DV286" s="22"/>
      <c r="DW286" s="22"/>
      <c r="DX286" s="22"/>
      <c r="DY286" s="22"/>
      <c r="DZ286" s="22"/>
      <c r="EA286" s="22"/>
      <c r="EB286" s="22"/>
      <c r="EC286" s="22"/>
      <c r="ED286" s="22"/>
      <c r="EE286" s="22"/>
      <c r="EF286" s="22"/>
      <c r="EG286" s="22"/>
      <c r="EH286" s="22"/>
      <c r="EI286" s="22"/>
      <c r="EJ286" s="22"/>
      <c r="EK286" s="22"/>
      <c r="EL286" s="22"/>
      <c r="EM286" s="22"/>
      <c r="EN286" s="22"/>
      <c r="EO286" s="22"/>
      <c r="EP286" s="22"/>
      <c r="EQ286" s="22"/>
      <c r="ER286" s="22"/>
      <c r="ES286" s="43"/>
      <c r="ET286" s="43"/>
      <c r="EU286" s="43"/>
      <c r="EV286" s="43"/>
      <c r="EW286" s="43"/>
      <c r="EX286" s="43"/>
      <c r="EY286" s="43"/>
      <c r="EZ286" s="43"/>
      <c r="FA286" s="43"/>
      <c r="FB286" s="43"/>
      <c r="FC286" s="43"/>
      <c r="FD286" s="43"/>
      <c r="FE286" s="43"/>
      <c r="FF286" s="43"/>
      <c r="FG286" s="43"/>
      <c r="FH286" s="43"/>
      <c r="FI286" s="43"/>
    </row>
    <row r="287" ht="18.0" customHeight="1">
      <c r="A287" s="22" t="s">
        <v>2659</v>
      </c>
      <c r="B287" s="43" t="s">
        <v>4388</v>
      </c>
      <c r="C287" s="22" t="s">
        <v>2741</v>
      </c>
      <c r="D287" s="22" t="s">
        <v>187</v>
      </c>
      <c r="E287" s="43" t="s">
        <v>4389</v>
      </c>
      <c r="F287" s="22" t="s">
        <v>4390</v>
      </c>
      <c r="G287" s="22" t="s">
        <v>2743</v>
      </c>
      <c r="H287" s="22" t="s">
        <v>2783</v>
      </c>
      <c r="I287" s="43"/>
      <c r="J287" s="43"/>
      <c r="K287" s="22" t="b">
        <v>1</v>
      </c>
      <c r="L287" s="22" t="b">
        <v>1</v>
      </c>
      <c r="M287" s="22" t="b">
        <v>1</v>
      </c>
      <c r="N287" s="22" t="b">
        <v>1</v>
      </c>
      <c r="O287" s="22" t="b">
        <v>0</v>
      </c>
      <c r="P287" s="22" t="b">
        <v>0</v>
      </c>
      <c r="Q287" s="22" t="b">
        <v>0</v>
      </c>
      <c r="R287" s="43"/>
      <c r="S287" s="43" t="s">
        <v>4391</v>
      </c>
      <c r="T287" s="22" t="s">
        <v>4388</v>
      </c>
      <c r="U287" s="22" t="s">
        <v>4388</v>
      </c>
      <c r="V287" s="22" t="s">
        <v>4388</v>
      </c>
      <c r="W287" s="43"/>
      <c r="X287" s="43"/>
      <c r="Y287" s="43"/>
      <c r="Z287" s="43"/>
      <c r="AA287" s="22">
        <v>3.05018458E8</v>
      </c>
      <c r="AB287" s="22">
        <v>1.805983376E9</v>
      </c>
      <c r="AC287" s="22">
        <v>1.03710294907E11</v>
      </c>
      <c r="AD287" s="22"/>
      <c r="AE287" s="22"/>
      <c r="AF287" s="43"/>
      <c r="AG287" s="43"/>
      <c r="AH287" s="43" t="s">
        <v>4390</v>
      </c>
      <c r="AI287" s="22" t="s">
        <v>4392</v>
      </c>
      <c r="AJ287" s="22" t="s">
        <v>4393</v>
      </c>
      <c r="AK287" s="22" t="s">
        <v>4394</v>
      </c>
      <c r="AL287" s="43"/>
      <c r="AM287" s="43"/>
      <c r="AN287" s="43"/>
      <c r="AO287" s="43"/>
      <c r="AP287" s="46" t="s">
        <v>4395</v>
      </c>
      <c r="AQ287" s="46" t="s">
        <v>4396</v>
      </c>
      <c r="AR287" s="46" t="s">
        <v>4397</v>
      </c>
      <c r="AS287" s="43"/>
      <c r="AT287" s="43"/>
      <c r="AU287" s="43"/>
      <c r="AV287" s="43"/>
      <c r="AW287" s="22" t="s">
        <v>3835</v>
      </c>
      <c r="AX287" s="22" t="s">
        <v>4393</v>
      </c>
      <c r="AY287" s="22" t="s">
        <v>3215</v>
      </c>
      <c r="AZ287" s="43"/>
      <c r="BA287" s="43"/>
      <c r="BB287" s="43"/>
      <c r="BC287" s="43"/>
      <c r="BD287" s="43" t="s">
        <v>1449</v>
      </c>
      <c r="BE287" s="59" t="s">
        <v>2755</v>
      </c>
      <c r="BF287" s="22" t="s">
        <v>131</v>
      </c>
      <c r="BG287" s="22" t="s">
        <v>132</v>
      </c>
      <c r="BH287" s="22" t="s">
        <v>132</v>
      </c>
      <c r="BI287" s="22" t="s">
        <v>132</v>
      </c>
      <c r="BJ287" s="43"/>
      <c r="BK287" s="43"/>
      <c r="BL287" s="22">
        <v>4.646784974555E12</v>
      </c>
      <c r="BM287" s="22">
        <v>3.30499E9</v>
      </c>
      <c r="BN287" s="22" t="s">
        <v>145</v>
      </c>
      <c r="BO287" s="22"/>
      <c r="BP287" s="22" t="s">
        <v>145</v>
      </c>
      <c r="BQ287" s="43"/>
      <c r="BR287" s="43"/>
      <c r="BS287" s="22" t="s">
        <v>4398</v>
      </c>
      <c r="BT287" s="43"/>
      <c r="BU287" s="22" t="s">
        <v>4399</v>
      </c>
      <c r="BV287" s="43" t="s">
        <v>3220</v>
      </c>
      <c r="BW287" s="22" t="s">
        <v>2806</v>
      </c>
      <c r="BX287" s="22">
        <v>2.0</v>
      </c>
      <c r="BY287" s="22" t="s">
        <v>421</v>
      </c>
      <c r="BZ287" s="43"/>
      <c r="CA287" s="22" t="s">
        <v>355</v>
      </c>
      <c r="CB287" s="22" t="s">
        <v>307</v>
      </c>
      <c r="CC287" s="45" t="s">
        <v>4400</v>
      </c>
      <c r="CD287" s="43"/>
      <c r="CE287" s="43"/>
      <c r="CF287" s="45"/>
      <c r="CG287" s="43"/>
      <c r="CH287" s="43"/>
      <c r="CI287" s="43"/>
      <c r="CJ287" s="43"/>
      <c r="CK287" s="43"/>
      <c r="CL287" s="43"/>
      <c r="CM287" s="49">
        <f>IFERROR(VLOOKUP(B287,CC!A:D,4,0)," ")</f>
        <v>149</v>
      </c>
      <c r="CN287" s="22"/>
      <c r="CO287" s="22"/>
      <c r="CP287" s="22"/>
      <c r="CQ287" s="22">
        <v>60.0</v>
      </c>
      <c r="CR287" s="43"/>
      <c r="CS287" s="43"/>
      <c r="CT287" s="22" t="s">
        <v>145</v>
      </c>
      <c r="CU287" s="43"/>
      <c r="CV287" s="43"/>
      <c r="CW287" s="43"/>
      <c r="CX287" s="43"/>
      <c r="CY287" s="43" t="b">
        <v>0</v>
      </c>
      <c r="CZ287" s="43" t="b">
        <v>0</v>
      </c>
      <c r="DA287" s="43" t="b">
        <v>0</v>
      </c>
      <c r="DB287" s="43" t="b">
        <v>0</v>
      </c>
      <c r="DC287" s="43"/>
      <c r="DD287" s="43"/>
      <c r="DE287" s="43"/>
      <c r="DF287" s="43"/>
      <c r="DG287" s="43"/>
      <c r="DH287" s="43"/>
      <c r="DI287" s="43"/>
      <c r="DJ287" s="22">
        <f>IFERROR(VLOOKUP($B287,'Лист4'!$D:$AI,27,0)," ")</f>
        <v>9</v>
      </c>
      <c r="DK287" s="22">
        <f>IFERROR(VLOOKUP($B287,'Лист4'!$D:$AI,28,0)," ")</f>
        <v>15</v>
      </c>
      <c r="DL287" s="22">
        <f>IFERROR(VLOOKUP($B287,'Лист4'!$D:$AI,29,0)," ")</f>
        <v>9</v>
      </c>
      <c r="DM287" s="22">
        <f t="shared" si="3"/>
        <v>1215</v>
      </c>
      <c r="DN287" s="22">
        <f>IFERROR(VLOOKUP($B287,'Лист4'!$D:$AI,32,0)," ")</f>
        <v>0.06</v>
      </c>
      <c r="DO287" s="22"/>
      <c r="DP287" s="22"/>
      <c r="DQ287" s="22"/>
      <c r="DR287" s="22"/>
      <c r="DS287" s="22"/>
      <c r="DT287" s="22"/>
      <c r="DU287" s="22"/>
      <c r="DV287" s="22"/>
      <c r="DW287" s="22"/>
      <c r="DX287" s="22"/>
      <c r="DY287" s="22"/>
      <c r="DZ287" s="22"/>
      <c r="EA287" s="22"/>
      <c r="EB287" s="22"/>
      <c r="EC287" s="22"/>
      <c r="ED287" s="22"/>
      <c r="EE287" s="22"/>
      <c r="EF287" s="22"/>
      <c r="EG287" s="22"/>
      <c r="EH287" s="22"/>
      <c r="EI287" s="22"/>
      <c r="EJ287" s="22"/>
      <c r="EK287" s="22"/>
      <c r="EL287" s="22"/>
      <c r="EM287" s="22"/>
      <c r="EN287" s="22"/>
      <c r="EO287" s="22"/>
      <c r="EP287" s="22"/>
      <c r="EQ287" s="22"/>
      <c r="ER287" s="22"/>
      <c r="ES287" s="43"/>
      <c r="ET287" s="43"/>
      <c r="EU287" s="43"/>
      <c r="EV287" s="43"/>
      <c r="EW287" s="43"/>
      <c r="EX287" s="43"/>
      <c r="EY287" s="43"/>
      <c r="EZ287" s="43"/>
      <c r="FA287" s="43"/>
      <c r="FB287" s="43"/>
      <c r="FC287" s="43"/>
      <c r="FD287" s="43"/>
      <c r="FE287" s="43"/>
      <c r="FF287" s="43"/>
      <c r="FG287" s="43"/>
      <c r="FH287" s="43"/>
      <c r="FI287" s="43"/>
    </row>
    <row r="288" ht="18.0" customHeight="1">
      <c r="A288" s="22" t="s">
        <v>2659</v>
      </c>
      <c r="B288" s="43" t="s">
        <v>4401</v>
      </c>
      <c r="C288" s="22" t="s">
        <v>2661</v>
      </c>
      <c r="D288" s="22" t="s">
        <v>119</v>
      </c>
      <c r="E288" s="43"/>
      <c r="F288" s="22" t="s">
        <v>4402</v>
      </c>
      <c r="G288" s="22" t="s">
        <v>2663</v>
      </c>
      <c r="H288" s="22" t="s">
        <v>2664</v>
      </c>
      <c r="I288" s="43"/>
      <c r="J288" s="43"/>
      <c r="K288" s="22" t="b">
        <v>1</v>
      </c>
      <c r="L288" s="22" t="b">
        <v>1</v>
      </c>
      <c r="M288" s="22" t="b">
        <v>1</v>
      </c>
      <c r="N288" s="22" t="b">
        <v>1</v>
      </c>
      <c r="O288" s="22" t="b">
        <v>0</v>
      </c>
      <c r="P288" s="22" t="b">
        <v>0</v>
      </c>
      <c r="Q288" s="22" t="b">
        <v>0</v>
      </c>
      <c r="R288" s="43"/>
      <c r="S288" s="43" t="s">
        <v>4403</v>
      </c>
      <c r="T288" s="22" t="s">
        <v>4401</v>
      </c>
      <c r="U288" s="22" t="s">
        <v>4401</v>
      </c>
      <c r="V288" s="22" t="s">
        <v>4401</v>
      </c>
      <c r="W288" s="43"/>
      <c r="X288" s="43"/>
      <c r="Y288" s="43"/>
      <c r="Z288" s="43"/>
      <c r="AA288" s="22">
        <v>1.72163562E8</v>
      </c>
      <c r="AB288" s="22">
        <v>1.15457288E9</v>
      </c>
      <c r="AC288" s="22">
        <v>1.03515438901E11</v>
      </c>
      <c r="AD288" s="22"/>
      <c r="AE288" s="22"/>
      <c r="AF288" s="43"/>
      <c r="AG288" s="43"/>
      <c r="AH288" s="43" t="s">
        <v>4402</v>
      </c>
      <c r="AI288" s="22" t="s">
        <v>4303</v>
      </c>
      <c r="AJ288" s="22" t="s">
        <v>4404</v>
      </c>
      <c r="AK288" s="22" t="s">
        <v>4404</v>
      </c>
      <c r="AL288" s="43"/>
      <c r="AM288" s="43"/>
      <c r="AN288" s="43"/>
      <c r="AO288" s="43"/>
      <c r="AP288" s="46" t="s">
        <v>4405</v>
      </c>
      <c r="AQ288" s="46" t="s">
        <v>4406</v>
      </c>
      <c r="AR288" s="46" t="s">
        <v>4407</v>
      </c>
      <c r="AS288" s="43"/>
      <c r="AT288" s="43"/>
      <c r="AU288" s="43"/>
      <c r="AV288" s="43"/>
      <c r="AW288" s="22" t="s">
        <v>3445</v>
      </c>
      <c r="AX288" s="22" t="s">
        <v>4404</v>
      </c>
      <c r="AY288" s="22" t="s">
        <v>2672</v>
      </c>
      <c r="AZ288" s="43"/>
      <c r="BA288" s="43"/>
      <c r="BB288" s="43"/>
      <c r="BC288" s="43"/>
      <c r="BD288" s="43" t="s">
        <v>301</v>
      </c>
      <c r="BE288" s="59" t="s">
        <v>2755</v>
      </c>
      <c r="BF288" s="22" t="s">
        <v>131</v>
      </c>
      <c r="BG288" s="22" t="s">
        <v>132</v>
      </c>
      <c r="BH288" s="22" t="s">
        <v>132</v>
      </c>
      <c r="BI288" s="22" t="s">
        <v>132</v>
      </c>
      <c r="BJ288" s="43"/>
      <c r="BK288" s="43"/>
      <c r="BL288" s="22">
        <v>2.038301488324E12</v>
      </c>
      <c r="BM288" s="22">
        <v>3.30499E9</v>
      </c>
      <c r="BN288" s="22" t="s">
        <v>4309</v>
      </c>
      <c r="BO288" s="22"/>
      <c r="BP288" s="22" t="s">
        <v>496</v>
      </c>
      <c r="BQ288" s="43"/>
      <c r="BR288" s="43"/>
      <c r="BS288" s="22" t="s">
        <v>4310</v>
      </c>
      <c r="BT288" s="22"/>
      <c r="BU288" s="22" t="s">
        <v>4311</v>
      </c>
      <c r="BV288" s="22" t="s">
        <v>2777</v>
      </c>
      <c r="BW288" s="22" t="s">
        <v>3200</v>
      </c>
      <c r="BX288" s="22"/>
      <c r="BY288" s="43"/>
      <c r="BZ288" s="43"/>
      <c r="CA288" s="22"/>
      <c r="CB288" s="22"/>
      <c r="CC288" s="45"/>
      <c r="CD288" s="43"/>
      <c r="CE288" s="43"/>
      <c r="CF288" s="45"/>
      <c r="CG288" s="43"/>
      <c r="CH288" s="43"/>
      <c r="CI288" s="43"/>
      <c r="CJ288" s="43"/>
      <c r="CK288" s="43"/>
      <c r="CL288" s="43"/>
      <c r="CM288" s="49">
        <f>IFERROR(VLOOKUP(B288,CC!A:D,4,0)," ")</f>
        <v>257.82</v>
      </c>
      <c r="CN288" s="22" t="s">
        <v>2681</v>
      </c>
      <c r="CO288" s="22"/>
      <c r="CP288" s="43"/>
      <c r="CQ288" s="22">
        <v>45.0</v>
      </c>
      <c r="CR288" s="43"/>
      <c r="CS288" s="22">
        <v>1.0</v>
      </c>
      <c r="CT288" s="22" t="s">
        <v>145</v>
      </c>
      <c r="CU288" s="43"/>
      <c r="CV288" s="43"/>
      <c r="CW288" s="43"/>
      <c r="CX288" s="43"/>
      <c r="CY288" s="43" t="b">
        <v>0</v>
      </c>
      <c r="CZ288" s="43" t="b">
        <v>0</v>
      </c>
      <c r="DA288" s="43" t="b">
        <v>0</v>
      </c>
      <c r="DB288" s="43" t="b">
        <v>0</v>
      </c>
      <c r="DC288" s="43"/>
      <c r="DD288" s="43"/>
      <c r="DE288" s="43"/>
      <c r="DF288" s="43"/>
      <c r="DG288" s="43"/>
      <c r="DH288" s="43"/>
      <c r="DI288" s="43"/>
      <c r="DJ288" s="22">
        <f>IFERROR(VLOOKUP($B288,'Лист4'!$D:$AI,27,0)," ")</f>
        <v>14</v>
      </c>
      <c r="DK288" s="22">
        <f>IFERROR(VLOOKUP($B288,'Лист4'!$D:$AI,28,0)," ")</f>
        <v>6</v>
      </c>
      <c r="DL288" s="22">
        <f>IFERROR(VLOOKUP($B288,'Лист4'!$D:$AI,29,0)," ")</f>
        <v>14</v>
      </c>
      <c r="DM288" s="22">
        <f t="shared" si="3"/>
        <v>1176</v>
      </c>
      <c r="DN288" s="22">
        <f>IFERROR(VLOOKUP($B288,'Лист4'!$D:$AI,32,0)," ")</f>
        <v>0.092</v>
      </c>
      <c r="DO288" s="22"/>
      <c r="DP288" s="22"/>
      <c r="DQ288" s="22"/>
      <c r="DR288" s="22"/>
      <c r="DS288" s="22"/>
      <c r="DT288" s="22"/>
      <c r="DU288" s="22"/>
      <c r="DV288" s="22"/>
      <c r="DW288" s="22"/>
      <c r="DX288" s="22"/>
      <c r="DY288" s="22"/>
      <c r="DZ288" s="22"/>
      <c r="EA288" s="22"/>
      <c r="EB288" s="22"/>
      <c r="EC288" s="22"/>
      <c r="ED288" s="22"/>
      <c r="EE288" s="22"/>
      <c r="EF288" s="22"/>
      <c r="EG288" s="22"/>
      <c r="EH288" s="22"/>
      <c r="EI288" s="22"/>
      <c r="EJ288" s="22"/>
      <c r="EK288" s="22"/>
      <c r="EL288" s="22"/>
      <c r="EM288" s="22"/>
      <c r="EN288" s="22"/>
      <c r="EO288" s="22"/>
      <c r="EP288" s="22"/>
      <c r="EQ288" s="22"/>
      <c r="ER288" s="22"/>
      <c r="ES288" s="43"/>
      <c r="ET288" s="43"/>
      <c r="EU288" s="43"/>
      <c r="EV288" s="43"/>
      <c r="EW288" s="43"/>
      <c r="EX288" s="43"/>
      <c r="EY288" s="43"/>
      <c r="EZ288" s="43"/>
      <c r="FA288" s="43"/>
      <c r="FB288" s="43"/>
      <c r="FC288" s="43"/>
      <c r="FD288" s="43"/>
      <c r="FE288" s="43"/>
      <c r="FF288" s="43"/>
      <c r="FG288" s="43"/>
      <c r="FH288" s="43"/>
      <c r="FI288" s="43"/>
    </row>
    <row r="289" ht="18.0" customHeight="1">
      <c r="A289" s="22" t="s">
        <v>2659</v>
      </c>
      <c r="B289" s="43" t="s">
        <v>4408</v>
      </c>
      <c r="C289" s="22" t="s">
        <v>2661</v>
      </c>
      <c r="D289" s="22" t="s">
        <v>119</v>
      </c>
      <c r="E289" s="43"/>
      <c r="F289" s="22" t="s">
        <v>4409</v>
      </c>
      <c r="G289" s="22" t="s">
        <v>2663</v>
      </c>
      <c r="H289" s="22" t="s">
        <v>2664</v>
      </c>
      <c r="I289" s="43"/>
      <c r="J289" s="43"/>
      <c r="K289" s="22" t="b">
        <v>1</v>
      </c>
      <c r="L289" s="22" t="b">
        <v>1</v>
      </c>
      <c r="M289" s="22" t="b">
        <v>1</v>
      </c>
      <c r="N289" s="22" t="b">
        <v>1</v>
      </c>
      <c r="O289" s="22" t="b">
        <v>0</v>
      </c>
      <c r="P289" s="22" t="b">
        <v>0</v>
      </c>
      <c r="Q289" s="22" t="b">
        <v>0</v>
      </c>
      <c r="R289" s="43"/>
      <c r="S289" s="43" t="s">
        <v>4410</v>
      </c>
      <c r="T289" s="22" t="s">
        <v>4408</v>
      </c>
      <c r="U289" s="22" t="s">
        <v>4408</v>
      </c>
      <c r="V289" s="22" t="s">
        <v>4408</v>
      </c>
      <c r="W289" s="43"/>
      <c r="X289" s="43"/>
      <c r="Y289" s="43"/>
      <c r="Z289" s="43"/>
      <c r="AA289" s="22">
        <v>2.60523262E8</v>
      </c>
      <c r="AB289" s="22">
        <v>1.691265016E9</v>
      </c>
      <c r="AC289" s="22">
        <v>1.03515406839E11</v>
      </c>
      <c r="AD289" s="22"/>
      <c r="AE289" s="22"/>
      <c r="AF289" s="43"/>
      <c r="AG289" s="43"/>
      <c r="AH289" s="43" t="s">
        <v>4409</v>
      </c>
      <c r="AI289" s="22" t="s">
        <v>4411</v>
      </c>
      <c r="AJ289" s="22" t="s">
        <v>4412</v>
      </c>
      <c r="AK289" s="22" t="s">
        <v>4412</v>
      </c>
      <c r="AL289" s="43"/>
      <c r="AM289" s="43"/>
      <c r="AN289" s="43"/>
      <c r="AO289" s="43"/>
      <c r="AP289" s="46" t="s">
        <v>4413</v>
      </c>
      <c r="AQ289" s="46" t="s">
        <v>4414</v>
      </c>
      <c r="AR289" s="46" t="s">
        <v>4415</v>
      </c>
      <c r="AS289" s="43"/>
      <c r="AT289" s="43"/>
      <c r="AU289" s="43"/>
      <c r="AV289" s="43"/>
      <c r="AW289" s="22" t="s">
        <v>594</v>
      </c>
      <c r="AX289" s="22" t="s">
        <v>4412</v>
      </c>
      <c r="AY289" s="22" t="s">
        <v>2672</v>
      </c>
      <c r="AZ289" s="43"/>
      <c r="BA289" s="43"/>
      <c r="BB289" s="43"/>
      <c r="BC289" s="43"/>
      <c r="BD289" s="43" t="s">
        <v>2673</v>
      </c>
      <c r="BE289" s="59" t="s">
        <v>2755</v>
      </c>
      <c r="BF289" s="22" t="s">
        <v>131</v>
      </c>
      <c r="BG289" s="22" t="s">
        <v>132</v>
      </c>
      <c r="BH289" s="22" t="s">
        <v>132</v>
      </c>
      <c r="BI289" s="22" t="s">
        <v>132</v>
      </c>
      <c r="BJ289" s="43"/>
      <c r="BK289" s="43"/>
      <c r="BL289" s="22">
        <v>4.610030633633E12</v>
      </c>
      <c r="BM289" s="22">
        <v>3.30499E9</v>
      </c>
      <c r="BN289" s="22" t="s">
        <v>4416</v>
      </c>
      <c r="BO289" s="22"/>
      <c r="BP289" s="22" t="s">
        <v>496</v>
      </c>
      <c r="BQ289" s="43"/>
      <c r="BR289" s="43"/>
      <c r="BS289" s="22" t="s">
        <v>4417</v>
      </c>
      <c r="BT289" s="22"/>
      <c r="BU289" s="22" t="s">
        <v>4418</v>
      </c>
      <c r="BV289" s="22" t="s">
        <v>2697</v>
      </c>
      <c r="BW289" s="22" t="s">
        <v>4419</v>
      </c>
      <c r="BX289" s="22">
        <v>30.0</v>
      </c>
      <c r="BY289" s="22" t="s">
        <v>139</v>
      </c>
      <c r="BZ289" s="22"/>
      <c r="CA289" s="22"/>
      <c r="CB289" s="22"/>
      <c r="CC289" s="45" t="s">
        <v>4420</v>
      </c>
      <c r="CD289" s="43"/>
      <c r="CE289" s="43"/>
      <c r="CF289" s="45"/>
      <c r="CG289" s="43"/>
      <c r="CH289" s="43"/>
      <c r="CI289" s="43"/>
      <c r="CJ289" s="43"/>
      <c r="CK289" s="43"/>
      <c r="CL289" s="43"/>
      <c r="CM289" s="49">
        <f>IFERROR(VLOOKUP(B289,CC!A:D,4,0)," ")</f>
        <v>138</v>
      </c>
      <c r="CN289" s="22" t="s">
        <v>4421</v>
      </c>
      <c r="CO289" s="22"/>
      <c r="CP289" s="43"/>
      <c r="CQ289" s="22">
        <v>45.0</v>
      </c>
      <c r="CR289" s="43"/>
      <c r="CS289" s="22">
        <v>1.0</v>
      </c>
      <c r="CT289" s="22" t="s">
        <v>145</v>
      </c>
      <c r="CU289" s="43"/>
      <c r="CV289" s="43"/>
      <c r="CW289" s="43"/>
      <c r="CX289" s="43"/>
      <c r="CY289" s="43" t="b">
        <v>0</v>
      </c>
      <c r="CZ289" s="43" t="b">
        <v>0</v>
      </c>
      <c r="DA289" s="43" t="b">
        <v>0</v>
      </c>
      <c r="DB289" s="43" t="b">
        <v>0</v>
      </c>
      <c r="DC289" s="43"/>
      <c r="DD289" s="43"/>
      <c r="DE289" s="43"/>
      <c r="DF289" s="43"/>
      <c r="DG289" s="43"/>
      <c r="DH289" s="43"/>
      <c r="DI289" s="43"/>
      <c r="DJ289" s="22">
        <f>IFERROR(VLOOKUP($B289,'Лист4'!$D:$AI,27,0)," ")</f>
        <v>6</v>
      </c>
      <c r="DK289" s="22">
        <f>IFERROR(VLOOKUP($B289,'Лист4'!$D:$AI,28,0)," ")</f>
        <v>5</v>
      </c>
      <c r="DL289" s="22">
        <f>IFERROR(VLOOKUP($B289,'Лист4'!$D:$AI,29,0)," ")</f>
        <v>6</v>
      </c>
      <c r="DM289" s="22">
        <f t="shared" si="3"/>
        <v>180</v>
      </c>
      <c r="DN289" s="22">
        <f>IFERROR(VLOOKUP($B289,'Лист4'!$D:$AI,32,0)," ")</f>
        <v>0.048</v>
      </c>
      <c r="DO289" s="22"/>
      <c r="DP289" s="22"/>
      <c r="DQ289" s="22"/>
      <c r="DR289" s="22"/>
      <c r="DS289" s="22"/>
      <c r="DT289" s="22"/>
      <c r="DU289" s="22"/>
      <c r="DV289" s="22"/>
      <c r="DW289" s="22"/>
      <c r="DX289" s="22"/>
      <c r="DY289" s="22"/>
      <c r="DZ289" s="22"/>
      <c r="EA289" s="22"/>
      <c r="EB289" s="22"/>
      <c r="EC289" s="22"/>
      <c r="ED289" s="22"/>
      <c r="EE289" s="22"/>
      <c r="EF289" s="22"/>
      <c r="EG289" s="22"/>
      <c r="EH289" s="22"/>
      <c r="EI289" s="22"/>
      <c r="EJ289" s="22"/>
      <c r="EK289" s="22"/>
      <c r="EL289" s="22"/>
      <c r="EM289" s="22"/>
      <c r="EN289" s="22"/>
      <c r="EO289" s="22"/>
      <c r="EP289" s="22"/>
      <c r="EQ289" s="22"/>
      <c r="ER289" s="22"/>
      <c r="ES289" s="43"/>
      <c r="ET289" s="43"/>
      <c r="EU289" s="43"/>
      <c r="EV289" s="43"/>
      <c r="EW289" s="43"/>
      <c r="EX289" s="43"/>
      <c r="EY289" s="43"/>
      <c r="EZ289" s="43"/>
      <c r="FA289" s="43"/>
      <c r="FB289" s="43"/>
      <c r="FC289" s="43"/>
      <c r="FD289" s="43"/>
      <c r="FE289" s="43"/>
      <c r="FF289" s="43"/>
      <c r="FG289" s="43"/>
      <c r="FH289" s="43"/>
      <c r="FI289" s="43"/>
    </row>
    <row r="290" ht="18.0" customHeight="1">
      <c r="A290" s="22" t="s">
        <v>2659</v>
      </c>
      <c r="B290" s="43" t="s">
        <v>4422</v>
      </c>
      <c r="C290" s="22" t="s">
        <v>2741</v>
      </c>
      <c r="D290" s="22" t="s">
        <v>187</v>
      </c>
      <c r="E290" s="43" t="s">
        <v>992</v>
      </c>
      <c r="F290" s="22" t="s">
        <v>4423</v>
      </c>
      <c r="G290" s="22" t="s">
        <v>361</v>
      </c>
      <c r="H290" s="22" t="s">
        <v>4424</v>
      </c>
      <c r="I290" s="43"/>
      <c r="J290" s="43"/>
      <c r="K290" s="22" t="b">
        <v>1</v>
      </c>
      <c r="L290" s="22" t="b">
        <v>1</v>
      </c>
      <c r="M290" s="22" t="b">
        <v>1</v>
      </c>
      <c r="N290" s="22" t="b">
        <v>1</v>
      </c>
      <c r="O290" s="22" t="b">
        <v>0</v>
      </c>
      <c r="P290" s="22" t="b">
        <v>0</v>
      </c>
      <c r="Q290" s="22" t="b">
        <v>0</v>
      </c>
      <c r="R290" s="43"/>
      <c r="S290" s="43" t="s">
        <v>4425</v>
      </c>
      <c r="T290" s="22" t="s">
        <v>4422</v>
      </c>
      <c r="U290" s="22" t="s">
        <v>4422</v>
      </c>
      <c r="V290" s="22" t="s">
        <v>4422</v>
      </c>
      <c r="W290" s="43"/>
      <c r="X290" s="43"/>
      <c r="Y290" s="43"/>
      <c r="Z290" s="43"/>
      <c r="AA290" s="22">
        <v>1.74458749E8</v>
      </c>
      <c r="AB290" s="22">
        <v>1.171820923E9</v>
      </c>
      <c r="AC290" s="22">
        <v>1.03340891677E11</v>
      </c>
      <c r="AD290" s="22"/>
      <c r="AE290" s="22"/>
      <c r="AF290" s="43"/>
      <c r="AG290" s="43"/>
      <c r="AH290" s="43" t="s">
        <v>4423</v>
      </c>
      <c r="AI290" s="22" t="s">
        <v>4426</v>
      </c>
      <c r="AJ290" s="22" t="s">
        <v>4427</v>
      </c>
      <c r="AK290" s="22" t="s">
        <v>4428</v>
      </c>
      <c r="AL290" s="43"/>
      <c r="AM290" s="43"/>
      <c r="AN290" s="43"/>
      <c r="AO290" s="43"/>
      <c r="AP290" s="46" t="s">
        <v>4429</v>
      </c>
      <c r="AQ290" s="46" t="s">
        <v>4430</v>
      </c>
      <c r="AR290" s="46" t="s">
        <v>4431</v>
      </c>
      <c r="AS290" s="43"/>
      <c r="AT290" s="43"/>
      <c r="AU290" s="43"/>
      <c r="AV290" s="43"/>
      <c r="AW290" s="22" t="s">
        <v>960</v>
      </c>
      <c r="AX290" s="22" t="s">
        <v>4427</v>
      </c>
      <c r="AY290" s="22" t="s">
        <v>372</v>
      </c>
      <c r="AZ290" s="43"/>
      <c r="BA290" s="43"/>
      <c r="BB290" s="43"/>
      <c r="BC290" s="43"/>
      <c r="BD290" s="43" t="s">
        <v>2993</v>
      </c>
      <c r="BE290" s="59" t="s">
        <v>2755</v>
      </c>
      <c r="BF290" s="22" t="s">
        <v>131</v>
      </c>
      <c r="BG290" s="22" t="s">
        <v>132</v>
      </c>
      <c r="BH290" s="22" t="s">
        <v>132</v>
      </c>
      <c r="BI290" s="22" t="s">
        <v>132</v>
      </c>
      <c r="BJ290" s="43"/>
      <c r="BK290" s="43"/>
      <c r="BL290" s="22">
        <v>4.673748455218E12</v>
      </c>
      <c r="BM290" s="22">
        <v>2.106909808E9</v>
      </c>
      <c r="BN290" s="22" t="s">
        <v>4432</v>
      </c>
      <c r="BO290" s="22"/>
      <c r="BP290" s="22" t="s">
        <v>496</v>
      </c>
      <c r="BQ290" s="43"/>
      <c r="BR290" s="43"/>
      <c r="BS290" s="22" t="s">
        <v>4433</v>
      </c>
      <c r="BT290" s="43"/>
      <c r="BU290" s="22" t="s">
        <v>4434</v>
      </c>
      <c r="BV290" s="43" t="s">
        <v>4435</v>
      </c>
      <c r="BW290" s="22" t="s">
        <v>4436</v>
      </c>
      <c r="BX290" s="22">
        <v>60.0</v>
      </c>
      <c r="BY290" s="22" t="s">
        <v>492</v>
      </c>
      <c r="BZ290" s="22"/>
      <c r="CA290" s="22" t="s">
        <v>726</v>
      </c>
      <c r="CB290" s="22" t="s">
        <v>727</v>
      </c>
      <c r="CC290" s="45" t="s">
        <v>4437</v>
      </c>
      <c r="CD290" s="43"/>
      <c r="CE290" s="43"/>
      <c r="CF290" s="45"/>
      <c r="CG290" s="43"/>
      <c r="CH290" s="43"/>
      <c r="CI290" s="43"/>
      <c r="CJ290" s="43"/>
      <c r="CK290" s="43"/>
      <c r="CL290" s="43"/>
      <c r="CM290" s="49">
        <f>IFERROR(VLOOKUP(B290,CC!A:D,4,0)," ")</f>
        <v>210</v>
      </c>
      <c r="CN290" s="22" t="s">
        <v>3929</v>
      </c>
      <c r="CO290" s="22"/>
      <c r="CP290" s="22" t="s">
        <v>1702</v>
      </c>
      <c r="CQ290" s="22">
        <v>60.0</v>
      </c>
      <c r="CR290" s="43"/>
      <c r="CS290" s="22">
        <v>2.0</v>
      </c>
      <c r="CT290" s="22" t="s">
        <v>145</v>
      </c>
      <c r="CU290" s="43"/>
      <c r="CV290" s="43"/>
      <c r="CW290" s="43"/>
      <c r="CX290" s="43"/>
      <c r="CY290" s="43" t="b">
        <v>0</v>
      </c>
      <c r="CZ290" s="43" t="b">
        <v>0</v>
      </c>
      <c r="DA290" s="43" t="b">
        <v>0</v>
      </c>
      <c r="DB290" s="43" t="b">
        <v>0</v>
      </c>
      <c r="DC290" s="43"/>
      <c r="DD290" s="43"/>
      <c r="DE290" s="43"/>
      <c r="DF290" s="43"/>
      <c r="DG290" s="43"/>
      <c r="DH290" s="43"/>
      <c r="DI290" s="43"/>
      <c r="DJ290" s="22">
        <f>IFERROR(VLOOKUP($B290,'Лист4'!$D:$AI,27,0)," ")</f>
        <v>5</v>
      </c>
      <c r="DK290" s="22">
        <f>IFERROR(VLOOKUP($B290,'Лист4'!$D:$AI,28,0)," ")</f>
        <v>5</v>
      </c>
      <c r="DL290" s="22">
        <f>IFERROR(VLOOKUP($B290,'Лист4'!$D:$AI,29,0)," ")</f>
        <v>5</v>
      </c>
      <c r="DM290" s="22">
        <f t="shared" si="3"/>
        <v>125</v>
      </c>
      <c r="DN290" s="22">
        <f>IFERROR(VLOOKUP($B290,'Лист4'!$D:$AI,32,0)," ")</f>
        <v>0.05</v>
      </c>
      <c r="DO290" s="22"/>
      <c r="DP290" s="22"/>
      <c r="DQ290" s="22"/>
      <c r="DR290" s="22"/>
      <c r="DS290" s="22"/>
      <c r="DT290" s="22"/>
      <c r="DU290" s="22"/>
      <c r="DV290" s="22"/>
      <c r="DW290" s="22"/>
      <c r="DX290" s="22"/>
      <c r="DY290" s="22"/>
      <c r="DZ290" s="22"/>
      <c r="EA290" s="22"/>
      <c r="EB290" s="22"/>
      <c r="EC290" s="22"/>
      <c r="ED290" s="22"/>
      <c r="EE290" s="22"/>
      <c r="EF290" s="22"/>
      <c r="EG290" s="22"/>
      <c r="EH290" s="22"/>
      <c r="EI290" s="22"/>
      <c r="EJ290" s="22"/>
      <c r="EK290" s="22"/>
      <c r="EL290" s="22"/>
      <c r="EM290" s="22"/>
      <c r="EN290" s="22"/>
      <c r="EO290" s="22"/>
      <c r="EP290" s="22"/>
      <c r="EQ290" s="22"/>
      <c r="ER290" s="22"/>
      <c r="ES290" s="43"/>
      <c r="ET290" s="43"/>
      <c r="EU290" s="43"/>
      <c r="EV290" s="43"/>
      <c r="EW290" s="43"/>
      <c r="EX290" s="43"/>
      <c r="EY290" s="43"/>
      <c r="EZ290" s="43"/>
      <c r="FA290" s="43"/>
      <c r="FB290" s="43"/>
      <c r="FC290" s="43"/>
      <c r="FD290" s="43"/>
      <c r="FE290" s="43"/>
      <c r="FF290" s="43"/>
      <c r="FG290" s="43"/>
      <c r="FH290" s="43"/>
      <c r="FI290" s="43"/>
    </row>
    <row r="291" ht="18.0" customHeight="1">
      <c r="A291" s="22" t="s">
        <v>2659</v>
      </c>
      <c r="B291" s="43" t="s">
        <v>4438</v>
      </c>
      <c r="C291" s="22" t="s">
        <v>2661</v>
      </c>
      <c r="D291" s="22" t="s">
        <v>119</v>
      </c>
      <c r="E291" s="43"/>
      <c r="F291" s="22" t="s">
        <v>4439</v>
      </c>
      <c r="G291" s="22" t="s">
        <v>2663</v>
      </c>
      <c r="H291" s="22" t="s">
        <v>2684</v>
      </c>
      <c r="I291" s="43"/>
      <c r="J291" s="43"/>
      <c r="K291" s="22" t="b">
        <v>1</v>
      </c>
      <c r="L291" s="22" t="b">
        <v>1</v>
      </c>
      <c r="M291" s="22" t="b">
        <v>1</v>
      </c>
      <c r="N291" s="22" t="b">
        <v>1</v>
      </c>
      <c r="O291" s="22" t="b">
        <v>0</v>
      </c>
      <c r="P291" s="22" t="b">
        <v>0</v>
      </c>
      <c r="Q291" s="22" t="b">
        <v>0</v>
      </c>
      <c r="R291" s="43"/>
      <c r="S291" s="43" t="s">
        <v>4440</v>
      </c>
      <c r="T291" s="22" t="s">
        <v>4438</v>
      </c>
      <c r="U291" s="22" t="s">
        <v>4438</v>
      </c>
      <c r="V291" s="22" t="s">
        <v>4438</v>
      </c>
      <c r="W291" s="43"/>
      <c r="X291" s="43"/>
      <c r="Y291" s="43"/>
      <c r="Z291" s="43"/>
      <c r="AA291" s="22">
        <v>4.8591133E7</v>
      </c>
      <c r="AB291" s="22">
        <v>3.96723649E8</v>
      </c>
      <c r="AC291" s="22">
        <v>1.03267667292E11</v>
      </c>
      <c r="AD291" s="22"/>
      <c r="AE291" s="22"/>
      <c r="AF291" s="43"/>
      <c r="AG291" s="43"/>
      <c r="AH291" s="43" t="s">
        <v>4439</v>
      </c>
      <c r="AI291" s="22" t="s">
        <v>4441</v>
      </c>
      <c r="AJ291" s="22" t="s">
        <v>4442</v>
      </c>
      <c r="AK291" s="22" t="s">
        <v>4443</v>
      </c>
      <c r="AL291" s="43"/>
      <c r="AM291" s="43"/>
      <c r="AN291" s="43"/>
      <c r="AO291" s="43"/>
      <c r="AP291" s="46" t="s">
        <v>4444</v>
      </c>
      <c r="AQ291" s="46" t="s">
        <v>4445</v>
      </c>
      <c r="AR291" s="46" t="s">
        <v>4446</v>
      </c>
      <c r="AS291" s="43"/>
      <c r="AT291" s="43"/>
      <c r="AU291" s="43"/>
      <c r="AV291" s="43"/>
      <c r="AW291" s="22" t="s">
        <v>649</v>
      </c>
      <c r="AX291" s="22" t="s">
        <v>4442</v>
      </c>
      <c r="AY291" s="22" t="s">
        <v>2692</v>
      </c>
      <c r="AZ291" s="43"/>
      <c r="BA291" s="43"/>
      <c r="BB291" s="43"/>
      <c r="BC291" s="43"/>
      <c r="BD291" s="43" t="s">
        <v>1449</v>
      </c>
      <c r="BE291" s="59" t="s">
        <v>2755</v>
      </c>
      <c r="BF291" s="22" t="s">
        <v>131</v>
      </c>
      <c r="BG291" s="22" t="s">
        <v>132</v>
      </c>
      <c r="BH291" s="22" t="s">
        <v>132</v>
      </c>
      <c r="BI291" s="22" t="s">
        <v>132</v>
      </c>
      <c r="BJ291" s="43"/>
      <c r="BK291" s="43"/>
      <c r="BL291" s="22">
        <v>4.631159649336E12</v>
      </c>
      <c r="BM291" s="22">
        <v>2.106909809E9</v>
      </c>
      <c r="BN291" s="22" t="s">
        <v>4447</v>
      </c>
      <c r="BO291" s="22"/>
      <c r="BP291" s="22" t="s">
        <v>145</v>
      </c>
      <c r="BQ291" s="43"/>
      <c r="BR291" s="43"/>
      <c r="BS291" s="22" t="s">
        <v>4448</v>
      </c>
      <c r="BT291" s="22"/>
      <c r="BU291" s="22" t="s">
        <v>4449</v>
      </c>
      <c r="BV291" s="22" t="s">
        <v>2777</v>
      </c>
      <c r="BW291" s="22" t="s">
        <v>4450</v>
      </c>
      <c r="BX291" s="22">
        <v>20.0</v>
      </c>
      <c r="BY291" s="22" t="s">
        <v>492</v>
      </c>
      <c r="BZ291" s="22"/>
      <c r="CA291" s="22"/>
      <c r="CB291" s="22"/>
      <c r="CC291" s="45" t="s">
        <v>4451</v>
      </c>
      <c r="CD291" s="43"/>
      <c r="CE291" s="43"/>
      <c r="CF291" s="45"/>
      <c r="CG291" s="43"/>
      <c r="CH291" s="43"/>
      <c r="CI291" s="43"/>
      <c r="CJ291" s="43"/>
      <c r="CK291" s="43"/>
      <c r="CL291" s="43"/>
      <c r="CM291" s="49">
        <f>IFERROR(VLOOKUP(B291,CC!A:D,4,0)," ")</f>
        <v>100</v>
      </c>
      <c r="CN291" s="22" t="s">
        <v>4452</v>
      </c>
      <c r="CO291" s="22"/>
      <c r="CP291" s="43"/>
      <c r="CQ291" s="22">
        <v>90.0</v>
      </c>
      <c r="CR291" s="43"/>
      <c r="CS291" s="43"/>
      <c r="CT291" s="22" t="s">
        <v>145</v>
      </c>
      <c r="CU291" s="43"/>
      <c r="CV291" s="43"/>
      <c r="CW291" s="43"/>
      <c r="CX291" s="43"/>
      <c r="CY291" s="43" t="b">
        <v>0</v>
      </c>
      <c r="CZ291" s="43" t="b">
        <v>0</v>
      </c>
      <c r="DA291" s="43" t="b">
        <v>0</v>
      </c>
      <c r="DB291" s="43" t="b">
        <v>0</v>
      </c>
      <c r="DC291" s="43"/>
      <c r="DD291" s="43"/>
      <c r="DE291" s="43"/>
      <c r="DF291" s="43"/>
      <c r="DG291" s="43"/>
      <c r="DH291" s="43"/>
      <c r="DI291" s="43"/>
      <c r="DJ291" s="22">
        <f>IFERROR(VLOOKUP($B291,'Лист4'!$D:$AI,27,0)," ")</f>
        <v>11</v>
      </c>
      <c r="DK291" s="22">
        <f>IFERROR(VLOOKUP($B291,'Лист4'!$D:$AI,28,0)," ")</f>
        <v>2</v>
      </c>
      <c r="DL291" s="22">
        <f>IFERROR(VLOOKUP($B291,'Лист4'!$D:$AI,29,0)," ")</f>
        <v>11</v>
      </c>
      <c r="DM291" s="22">
        <f t="shared" si="3"/>
        <v>242</v>
      </c>
      <c r="DN291" s="22">
        <f>IFERROR(VLOOKUP($B291,'Лист4'!$D:$AI,32,0)," ")</f>
        <v>0.025</v>
      </c>
      <c r="DO291" s="22"/>
      <c r="DP291" s="22"/>
      <c r="DQ291" s="22"/>
      <c r="DR291" s="22"/>
      <c r="DS291" s="22"/>
      <c r="DT291" s="22"/>
      <c r="DU291" s="22"/>
      <c r="DV291" s="22"/>
      <c r="DW291" s="22"/>
      <c r="DX291" s="22"/>
      <c r="DY291" s="22"/>
      <c r="DZ291" s="22"/>
      <c r="EA291" s="22"/>
      <c r="EB291" s="22"/>
      <c r="EC291" s="22"/>
      <c r="ED291" s="22"/>
      <c r="EE291" s="22"/>
      <c r="EF291" s="22"/>
      <c r="EG291" s="22"/>
      <c r="EH291" s="22"/>
      <c r="EI291" s="22"/>
      <c r="EJ291" s="22"/>
      <c r="EK291" s="22"/>
      <c r="EL291" s="22"/>
      <c r="EM291" s="22"/>
      <c r="EN291" s="22"/>
      <c r="EO291" s="22"/>
      <c r="EP291" s="22"/>
      <c r="EQ291" s="22"/>
      <c r="ER291" s="22"/>
      <c r="ES291" s="43"/>
      <c r="ET291" s="43"/>
      <c r="EU291" s="43"/>
      <c r="EV291" s="43"/>
      <c r="EW291" s="43"/>
      <c r="EX291" s="43"/>
      <c r="EY291" s="43"/>
      <c r="EZ291" s="43"/>
      <c r="FA291" s="43"/>
      <c r="FB291" s="43"/>
      <c r="FC291" s="43"/>
      <c r="FD291" s="43"/>
      <c r="FE291" s="43"/>
      <c r="FF291" s="43"/>
      <c r="FG291" s="43"/>
      <c r="FH291" s="43"/>
      <c r="FI291" s="43"/>
    </row>
    <row r="292" ht="18.0" customHeight="1">
      <c r="A292" s="22" t="s">
        <v>2659</v>
      </c>
      <c r="B292" s="43" t="s">
        <v>4453</v>
      </c>
      <c r="C292" s="22" t="s">
        <v>2661</v>
      </c>
      <c r="D292" s="22" t="s">
        <v>119</v>
      </c>
      <c r="E292" s="43"/>
      <c r="F292" s="22" t="s">
        <v>4454</v>
      </c>
      <c r="G292" s="22" t="s">
        <v>2663</v>
      </c>
      <c r="H292" s="22" t="s">
        <v>2718</v>
      </c>
      <c r="I292" s="43"/>
      <c r="J292" s="43"/>
      <c r="K292" s="22" t="b">
        <v>1</v>
      </c>
      <c r="L292" s="22" t="b">
        <v>1</v>
      </c>
      <c r="M292" s="22" t="b">
        <v>1</v>
      </c>
      <c r="N292" s="22" t="b">
        <v>1</v>
      </c>
      <c r="O292" s="22" t="b">
        <v>0</v>
      </c>
      <c r="P292" s="22" t="b">
        <v>0</v>
      </c>
      <c r="Q292" s="22" t="b">
        <v>0</v>
      </c>
      <c r="R292" s="43"/>
      <c r="S292" s="43" t="s">
        <v>4455</v>
      </c>
      <c r="T292" s="22" t="s">
        <v>4453</v>
      </c>
      <c r="U292" s="22" t="s">
        <v>4453</v>
      </c>
      <c r="V292" s="22" t="s">
        <v>4453</v>
      </c>
      <c r="W292" s="43"/>
      <c r="X292" s="43"/>
      <c r="Y292" s="43"/>
      <c r="Z292" s="43"/>
      <c r="AA292" s="22">
        <v>3.12907312E8</v>
      </c>
      <c r="AB292" s="22">
        <v>1.829804935E9</v>
      </c>
      <c r="AC292" s="22">
        <v>1.0373120023E11</v>
      </c>
      <c r="AD292" s="22"/>
      <c r="AE292" s="22"/>
      <c r="AF292" s="43"/>
      <c r="AG292" s="43"/>
      <c r="AH292" s="43" t="s">
        <v>4454</v>
      </c>
      <c r="AI292" s="22" t="s">
        <v>4456</v>
      </c>
      <c r="AJ292" s="22" t="s">
        <v>4457</v>
      </c>
      <c r="AK292" s="22" t="s">
        <v>4458</v>
      </c>
      <c r="AL292" s="43"/>
      <c r="AM292" s="43"/>
      <c r="AN292" s="43"/>
      <c r="AO292" s="43"/>
      <c r="AP292" s="46" t="s">
        <v>4459</v>
      </c>
      <c r="AQ292" s="46" t="s">
        <v>4460</v>
      </c>
      <c r="AR292" s="46" t="s">
        <v>4461</v>
      </c>
      <c r="AS292" s="43"/>
      <c r="AT292" s="43"/>
      <c r="AU292" s="43"/>
      <c r="AV292" s="43"/>
      <c r="AW292" s="22" t="s">
        <v>649</v>
      </c>
      <c r="AX292" s="22" t="s">
        <v>4457</v>
      </c>
      <c r="AY292" s="22" t="s">
        <v>2692</v>
      </c>
      <c r="AZ292" s="43"/>
      <c r="BA292" s="43"/>
      <c r="BB292" s="43"/>
      <c r="BC292" s="43"/>
      <c r="BD292" s="43" t="s">
        <v>1449</v>
      </c>
      <c r="BE292" s="59" t="s">
        <v>2755</v>
      </c>
      <c r="BF292" s="22" t="s">
        <v>131</v>
      </c>
      <c r="BG292" s="22" t="s">
        <v>132</v>
      </c>
      <c r="BH292" s="22" t="s">
        <v>132</v>
      </c>
      <c r="BI292" s="22" t="s">
        <v>132</v>
      </c>
      <c r="BJ292" s="43"/>
      <c r="BK292" s="43"/>
      <c r="BL292" s="22">
        <v>4.610030633909E12</v>
      </c>
      <c r="BM292" s="22">
        <v>2.106909809E9</v>
      </c>
      <c r="BN292" s="22" t="s">
        <v>4462</v>
      </c>
      <c r="BO292" s="22"/>
      <c r="BP292" s="22" t="s">
        <v>145</v>
      </c>
      <c r="BQ292" s="43"/>
      <c r="BR292" s="43"/>
      <c r="BS292" s="22" t="s">
        <v>4463</v>
      </c>
      <c r="BT292" s="43"/>
      <c r="BU292" s="22" t="s">
        <v>4464</v>
      </c>
      <c r="BV292" s="43" t="s">
        <v>2697</v>
      </c>
      <c r="BW292" s="22" t="s">
        <v>2730</v>
      </c>
      <c r="BX292" s="22">
        <v>20.0</v>
      </c>
      <c r="BY292" s="22" t="s">
        <v>492</v>
      </c>
      <c r="BZ292" s="22"/>
      <c r="CA292" s="22" t="s">
        <v>355</v>
      </c>
      <c r="CB292" s="22" t="s">
        <v>307</v>
      </c>
      <c r="CC292" s="45" t="s">
        <v>4465</v>
      </c>
      <c r="CD292" s="43"/>
      <c r="CE292" s="43"/>
      <c r="CF292" s="45"/>
      <c r="CG292" s="43"/>
      <c r="CH292" s="43"/>
      <c r="CI292" s="43"/>
      <c r="CJ292" s="43"/>
      <c r="CK292" s="43"/>
      <c r="CL292" s="43"/>
      <c r="CM292" s="49">
        <f>IFERROR(VLOOKUP(B292,CC!A:D,4,0)," ")</f>
        <v>123.54</v>
      </c>
      <c r="CN292" s="22" t="s">
        <v>2715</v>
      </c>
      <c r="CO292" s="22"/>
      <c r="CP292" s="43"/>
      <c r="CQ292" s="22">
        <v>45.0</v>
      </c>
      <c r="CR292" s="43"/>
      <c r="CS292" s="22">
        <v>1.0</v>
      </c>
      <c r="CT292" s="22" t="s">
        <v>145</v>
      </c>
      <c r="CU292" s="43"/>
      <c r="CV292" s="43"/>
      <c r="CW292" s="43"/>
      <c r="CX292" s="43"/>
      <c r="CY292" s="43" t="b">
        <v>0</v>
      </c>
      <c r="CZ292" s="43" t="b">
        <v>0</v>
      </c>
      <c r="DA292" s="43" t="b">
        <v>0</v>
      </c>
      <c r="DB292" s="43" t="b">
        <v>0</v>
      </c>
      <c r="DC292" s="43"/>
      <c r="DD292" s="43"/>
      <c r="DE292" s="43"/>
      <c r="DF292" s="43"/>
      <c r="DG292" s="43"/>
      <c r="DH292" s="43"/>
      <c r="DI292" s="43"/>
      <c r="DJ292" s="22">
        <f>IFERROR(VLOOKUP($B292,'Лист4'!$D:$AI,27,0)," ")</f>
        <v>8</v>
      </c>
      <c r="DK292" s="22">
        <f>IFERROR(VLOOKUP($B292,'Лист4'!$D:$AI,28,0)," ")</f>
        <v>3</v>
      </c>
      <c r="DL292" s="22">
        <f>IFERROR(VLOOKUP($B292,'Лист4'!$D:$AI,29,0)," ")</f>
        <v>8</v>
      </c>
      <c r="DM292" s="22">
        <f t="shared" si="3"/>
        <v>192</v>
      </c>
      <c r="DN292" s="22">
        <f>IFERROR(VLOOKUP($B292,'Лист4'!$D:$AI,32,0)," ")</f>
        <v>0.046</v>
      </c>
      <c r="DO292" s="22"/>
      <c r="DP292" s="22"/>
      <c r="DQ292" s="22"/>
      <c r="DR292" s="22"/>
      <c r="DS292" s="22"/>
      <c r="DT292" s="22"/>
      <c r="DU292" s="22"/>
      <c r="DV292" s="22"/>
      <c r="DW292" s="22"/>
      <c r="DX292" s="22"/>
      <c r="DY292" s="22"/>
      <c r="DZ292" s="22"/>
      <c r="EA292" s="22"/>
      <c r="EB292" s="22"/>
      <c r="EC292" s="22"/>
      <c r="ED292" s="22"/>
      <c r="EE292" s="22"/>
      <c r="EF292" s="22"/>
      <c r="EG292" s="22"/>
      <c r="EH292" s="22"/>
      <c r="EI292" s="22"/>
      <c r="EJ292" s="22"/>
      <c r="EK292" s="22"/>
      <c r="EL292" s="22"/>
      <c r="EM292" s="22"/>
      <c r="EN292" s="22"/>
      <c r="EO292" s="22"/>
      <c r="EP292" s="22"/>
      <c r="EQ292" s="22"/>
      <c r="ER292" s="22"/>
      <c r="ES292" s="43"/>
      <c r="ET292" s="43"/>
      <c r="EU292" s="43"/>
      <c r="EV292" s="43"/>
      <c r="EW292" s="43"/>
      <c r="EX292" s="43"/>
      <c r="EY292" s="43"/>
      <c r="EZ292" s="43"/>
      <c r="FA292" s="43"/>
      <c r="FB292" s="43"/>
      <c r="FC292" s="43"/>
      <c r="FD292" s="43"/>
      <c r="FE292" s="43"/>
      <c r="FF292" s="43"/>
      <c r="FG292" s="43"/>
      <c r="FH292" s="43"/>
      <c r="FI292" s="43"/>
    </row>
    <row r="293" ht="18.0" customHeight="1">
      <c r="A293" s="22" t="s">
        <v>2659</v>
      </c>
      <c r="B293" s="43" t="s">
        <v>4466</v>
      </c>
      <c r="C293" s="22" t="s">
        <v>2661</v>
      </c>
      <c r="D293" s="22" t="s">
        <v>119</v>
      </c>
      <c r="E293" s="43"/>
      <c r="F293" s="22" t="s">
        <v>4467</v>
      </c>
      <c r="G293" s="22" t="s">
        <v>2663</v>
      </c>
      <c r="H293" s="22" t="s">
        <v>3562</v>
      </c>
      <c r="I293" s="43"/>
      <c r="J293" s="43"/>
      <c r="K293" s="22" t="b">
        <v>1</v>
      </c>
      <c r="L293" s="22" t="b">
        <v>1</v>
      </c>
      <c r="M293" s="22" t="b">
        <v>1</v>
      </c>
      <c r="N293" s="22" t="b">
        <v>1</v>
      </c>
      <c r="O293" s="22" t="b">
        <v>0</v>
      </c>
      <c r="P293" s="22" t="b">
        <v>0</v>
      </c>
      <c r="Q293" s="22" t="b">
        <v>0</v>
      </c>
      <c r="R293" s="43"/>
      <c r="S293" s="43" t="s">
        <v>4468</v>
      </c>
      <c r="T293" s="22" t="s">
        <v>4466</v>
      </c>
      <c r="U293" s="22" t="s">
        <v>4466</v>
      </c>
      <c r="V293" s="22" t="s">
        <v>4466</v>
      </c>
      <c r="W293" s="43"/>
      <c r="X293" s="43"/>
      <c r="Y293" s="43"/>
      <c r="Z293" s="43"/>
      <c r="AA293" s="22">
        <v>3.12910723E8</v>
      </c>
      <c r="AB293" s="22">
        <v>1.829803107E9</v>
      </c>
      <c r="AC293" s="22">
        <v>1.03748752841E11</v>
      </c>
      <c r="AD293" s="22"/>
      <c r="AE293" s="22"/>
      <c r="AF293" s="43"/>
      <c r="AG293" s="43"/>
      <c r="AH293" s="43" t="s">
        <v>4467</v>
      </c>
      <c r="AI293" s="22" t="s">
        <v>4469</v>
      </c>
      <c r="AJ293" s="22" t="s">
        <v>4470</v>
      </c>
      <c r="AK293" s="22" t="s">
        <v>4471</v>
      </c>
      <c r="AL293" s="43"/>
      <c r="AM293" s="43"/>
      <c r="AN293" s="43"/>
      <c r="AO293" s="43"/>
      <c r="AP293" s="46" t="s">
        <v>4472</v>
      </c>
      <c r="AQ293" s="46" t="s">
        <v>4473</v>
      </c>
      <c r="AR293" s="46" t="s">
        <v>4474</v>
      </c>
      <c r="AS293" s="43"/>
      <c r="AT293" s="43"/>
      <c r="AU293" s="43"/>
      <c r="AV293" s="43"/>
      <c r="AW293" s="22" t="s">
        <v>649</v>
      </c>
      <c r="AX293" s="22" t="s">
        <v>4470</v>
      </c>
      <c r="AY293" s="22" t="s">
        <v>2692</v>
      </c>
      <c r="AZ293" s="43"/>
      <c r="BA293" s="43"/>
      <c r="BB293" s="43"/>
      <c r="BC293" s="43"/>
      <c r="BD293" s="43" t="s">
        <v>1449</v>
      </c>
      <c r="BE293" s="59" t="s">
        <v>2755</v>
      </c>
      <c r="BF293" s="22" t="s">
        <v>131</v>
      </c>
      <c r="BG293" s="22" t="s">
        <v>132</v>
      </c>
      <c r="BH293" s="22" t="s">
        <v>132</v>
      </c>
      <c r="BI293" s="22" t="s">
        <v>132</v>
      </c>
      <c r="BJ293" s="43"/>
      <c r="BK293" s="43"/>
      <c r="BL293" s="22">
        <v>4.61003063393E12</v>
      </c>
      <c r="BM293" s="22">
        <v>2106.0</v>
      </c>
      <c r="BN293" s="22" t="s">
        <v>4475</v>
      </c>
      <c r="BO293" s="22"/>
      <c r="BP293" s="22" t="s">
        <v>496</v>
      </c>
      <c r="BQ293" s="43"/>
      <c r="BR293" s="43"/>
      <c r="BS293" s="22" t="s">
        <v>4476</v>
      </c>
      <c r="BT293" s="43"/>
      <c r="BU293" s="22" t="s">
        <v>4477</v>
      </c>
      <c r="BV293" s="43" t="s">
        <v>2697</v>
      </c>
      <c r="BW293" s="22" t="s">
        <v>2730</v>
      </c>
      <c r="BX293" s="22">
        <v>20.0</v>
      </c>
      <c r="BY293" s="22" t="s">
        <v>492</v>
      </c>
      <c r="BZ293" s="22"/>
      <c r="CA293" s="22" t="s">
        <v>355</v>
      </c>
      <c r="CB293" s="22" t="s">
        <v>307</v>
      </c>
      <c r="CC293" s="45" t="s">
        <v>4478</v>
      </c>
      <c r="CD293" s="43"/>
      <c r="CE293" s="43"/>
      <c r="CF293" s="45"/>
      <c r="CG293" s="43"/>
      <c r="CH293" s="43"/>
      <c r="CI293" s="43"/>
      <c r="CJ293" s="43"/>
      <c r="CK293" s="43"/>
      <c r="CL293" s="43"/>
      <c r="CM293" s="49">
        <f>IFERROR(VLOOKUP(B293,CC!A:D,4,0)," ")</f>
        <v>105</v>
      </c>
      <c r="CN293" s="22" t="s">
        <v>4479</v>
      </c>
      <c r="CO293" s="22"/>
      <c r="CP293" s="43"/>
      <c r="CQ293" s="22">
        <v>45.0</v>
      </c>
      <c r="CR293" s="43"/>
      <c r="CS293" s="22">
        <v>1.0</v>
      </c>
      <c r="CT293" s="22" t="s">
        <v>145</v>
      </c>
      <c r="CU293" s="43"/>
      <c r="CV293" s="43"/>
      <c r="CW293" s="43"/>
      <c r="CX293" s="43"/>
      <c r="CY293" s="43" t="b">
        <v>0</v>
      </c>
      <c r="CZ293" s="43" t="b">
        <v>0</v>
      </c>
      <c r="DA293" s="43" t="b">
        <v>0</v>
      </c>
      <c r="DB293" s="43" t="b">
        <v>0</v>
      </c>
      <c r="DC293" s="43"/>
      <c r="DD293" s="43"/>
      <c r="DE293" s="43"/>
      <c r="DF293" s="43"/>
      <c r="DG293" s="43"/>
      <c r="DH293" s="43"/>
      <c r="DI293" s="43"/>
      <c r="DJ293" s="22">
        <f>IFERROR(VLOOKUP($B293,'Лист4'!$D:$AI,27,0)," ")</f>
        <v>7</v>
      </c>
      <c r="DK293" s="22">
        <f>IFERROR(VLOOKUP($B293,'Лист4'!$D:$AI,28,0)," ")</f>
        <v>3</v>
      </c>
      <c r="DL293" s="22">
        <f>IFERROR(VLOOKUP($B293,'Лист4'!$D:$AI,29,0)," ")</f>
        <v>7</v>
      </c>
      <c r="DM293" s="22">
        <f t="shared" si="3"/>
        <v>147</v>
      </c>
      <c r="DN293" s="22">
        <f>IFERROR(VLOOKUP($B293,'Лист4'!$D:$AI,32,0)," ")</f>
        <v>0.046</v>
      </c>
      <c r="DO293" s="22"/>
      <c r="DP293" s="22"/>
      <c r="DQ293" s="22"/>
      <c r="DR293" s="22"/>
      <c r="DS293" s="22"/>
      <c r="DT293" s="22"/>
      <c r="DU293" s="22"/>
      <c r="DV293" s="22"/>
      <c r="DW293" s="22"/>
      <c r="DX293" s="22"/>
      <c r="DY293" s="22"/>
      <c r="DZ293" s="22"/>
      <c r="EA293" s="22"/>
      <c r="EB293" s="22"/>
      <c r="EC293" s="22"/>
      <c r="ED293" s="22"/>
      <c r="EE293" s="22"/>
      <c r="EF293" s="22"/>
      <c r="EG293" s="22"/>
      <c r="EH293" s="22"/>
      <c r="EI293" s="22"/>
      <c r="EJ293" s="22"/>
      <c r="EK293" s="22"/>
      <c r="EL293" s="22"/>
      <c r="EM293" s="22"/>
      <c r="EN293" s="22"/>
      <c r="EO293" s="22"/>
      <c r="EP293" s="22"/>
      <c r="EQ293" s="22"/>
      <c r="ER293" s="22"/>
      <c r="ES293" s="43"/>
      <c r="ET293" s="43"/>
      <c r="EU293" s="43"/>
      <c r="EV293" s="43"/>
      <c r="EW293" s="43"/>
      <c r="EX293" s="43"/>
      <c r="EY293" s="43"/>
      <c r="EZ293" s="43"/>
      <c r="FA293" s="43"/>
      <c r="FB293" s="43"/>
      <c r="FC293" s="43"/>
      <c r="FD293" s="43"/>
      <c r="FE293" s="43"/>
      <c r="FF293" s="43"/>
      <c r="FG293" s="43"/>
      <c r="FH293" s="43"/>
      <c r="FI293" s="43"/>
    </row>
    <row r="294" ht="30.0" customHeight="1">
      <c r="A294" s="22" t="s">
        <v>2659</v>
      </c>
      <c r="B294" s="43" t="s">
        <v>4480</v>
      </c>
      <c r="C294" s="22" t="s">
        <v>2741</v>
      </c>
      <c r="D294" s="22" t="s">
        <v>187</v>
      </c>
      <c r="E294" s="43" t="s">
        <v>3821</v>
      </c>
      <c r="F294" s="22" t="s">
        <v>3203</v>
      </c>
      <c r="G294" s="22" t="s">
        <v>2743</v>
      </c>
      <c r="H294" s="22" t="s">
        <v>2783</v>
      </c>
      <c r="I294" s="43"/>
      <c r="J294" s="43"/>
      <c r="K294" s="22" t="b">
        <v>1</v>
      </c>
      <c r="L294" s="22" t="b">
        <v>1</v>
      </c>
      <c r="M294" s="22" t="b">
        <v>1</v>
      </c>
      <c r="N294" s="22" t="b">
        <v>1</v>
      </c>
      <c r="O294" s="22" t="b">
        <v>1</v>
      </c>
      <c r="P294" s="22" t="b">
        <v>1</v>
      </c>
      <c r="Q294" s="22" t="b">
        <v>1</v>
      </c>
      <c r="R294" s="43"/>
      <c r="S294" s="43" t="s">
        <v>4481</v>
      </c>
      <c r="T294" s="22" t="s">
        <v>4480</v>
      </c>
      <c r="U294" s="22" t="s">
        <v>4480</v>
      </c>
      <c r="V294" s="22" t="s">
        <v>4480</v>
      </c>
      <c r="W294" s="43" t="s">
        <v>4480</v>
      </c>
      <c r="X294" s="43" t="s">
        <v>4480</v>
      </c>
      <c r="Y294" s="22" t="s">
        <v>4480</v>
      </c>
      <c r="Z294" s="43"/>
      <c r="AA294" s="22">
        <v>2.6637615E8</v>
      </c>
      <c r="AB294" s="22">
        <v>1.713211121E9</v>
      </c>
      <c r="AC294" s="22">
        <v>1.0355503557E11</v>
      </c>
      <c r="AD294" s="22">
        <v>9.9000076214E10</v>
      </c>
      <c r="AE294" s="22" t="s">
        <v>4482</v>
      </c>
      <c r="AF294" s="22" t="s">
        <v>4483</v>
      </c>
      <c r="AG294" s="43"/>
      <c r="AH294" s="43" t="s">
        <v>3203</v>
      </c>
      <c r="AI294" s="22" t="s">
        <v>4484</v>
      </c>
      <c r="AJ294" s="22" t="s">
        <v>3207</v>
      </c>
      <c r="AK294" s="22" t="s">
        <v>3207</v>
      </c>
      <c r="AL294" s="22" t="s">
        <v>4485</v>
      </c>
      <c r="AM294" s="22" t="s">
        <v>3209</v>
      </c>
      <c r="AN294" s="22" t="s">
        <v>4486</v>
      </c>
      <c r="AO294" s="43"/>
      <c r="AP294" s="46" t="s">
        <v>4487</v>
      </c>
      <c r="AQ294" s="46" t="s">
        <v>4488</v>
      </c>
      <c r="AR294" s="46" t="s">
        <v>4489</v>
      </c>
      <c r="AS294" s="43"/>
      <c r="AT294" s="46" t="s">
        <v>4490</v>
      </c>
      <c r="AU294" s="46" t="s">
        <v>4491</v>
      </c>
      <c r="AV294" s="43"/>
      <c r="AW294" s="22" t="s">
        <v>3214</v>
      </c>
      <c r="AX294" s="22" t="s">
        <v>3207</v>
      </c>
      <c r="AY294" s="22" t="s">
        <v>3215</v>
      </c>
      <c r="AZ294" s="22" t="s">
        <v>3216</v>
      </c>
      <c r="BA294" s="22" t="s">
        <v>4492</v>
      </c>
      <c r="BB294" s="22" t="s">
        <v>2800</v>
      </c>
      <c r="BC294" s="22"/>
      <c r="BD294" s="43" t="s">
        <v>1449</v>
      </c>
      <c r="BE294" s="59" t="s">
        <v>2755</v>
      </c>
      <c r="BF294" s="22" t="s">
        <v>131</v>
      </c>
      <c r="BG294" s="22" t="s">
        <v>132</v>
      </c>
      <c r="BH294" s="22" t="s">
        <v>132</v>
      </c>
      <c r="BI294" s="22" t="s">
        <v>132</v>
      </c>
      <c r="BJ294" s="43"/>
      <c r="BK294" s="43"/>
      <c r="BL294" s="22">
        <v>4.685518825374E12</v>
      </c>
      <c r="BM294" s="22">
        <v>3.30499E9</v>
      </c>
      <c r="BN294" s="22" t="s">
        <v>3218</v>
      </c>
      <c r="BO294" s="22"/>
      <c r="BP294" s="22" t="s">
        <v>145</v>
      </c>
      <c r="BQ294" s="43"/>
      <c r="BR294" s="43"/>
      <c r="BS294" s="22" t="s">
        <v>3219</v>
      </c>
      <c r="BT294" s="43"/>
      <c r="BU294" s="22" t="s">
        <v>4493</v>
      </c>
      <c r="BV294" s="43" t="s">
        <v>3220</v>
      </c>
      <c r="BW294" s="22" t="s">
        <v>2806</v>
      </c>
      <c r="BX294" s="22">
        <v>6.0</v>
      </c>
      <c r="BY294" s="22" t="s">
        <v>139</v>
      </c>
      <c r="BZ294" s="22"/>
      <c r="CA294" s="22" t="s">
        <v>355</v>
      </c>
      <c r="CB294" s="22" t="s">
        <v>307</v>
      </c>
      <c r="CC294" s="45" t="s">
        <v>3221</v>
      </c>
      <c r="CD294" s="43"/>
      <c r="CE294" s="43"/>
      <c r="CF294" s="45"/>
      <c r="CG294" s="43"/>
      <c r="CH294" s="43"/>
      <c r="CI294" s="43"/>
      <c r="CJ294" s="43"/>
      <c r="CK294" s="43"/>
      <c r="CL294" s="43"/>
      <c r="CM294" s="49">
        <f>IFERROR(VLOOKUP(B294,CC!A:D,4,0)," ")</f>
        <v>52.55</v>
      </c>
      <c r="CN294" s="22" t="s">
        <v>3844</v>
      </c>
      <c r="CO294" s="22"/>
      <c r="CP294" s="43"/>
      <c r="CQ294" s="22">
        <v>60.0</v>
      </c>
      <c r="CR294" s="43"/>
      <c r="CS294" s="22">
        <v>5.0</v>
      </c>
      <c r="CT294" s="22" t="s">
        <v>145</v>
      </c>
      <c r="CU294" s="43"/>
      <c r="CV294" s="43"/>
      <c r="CW294" s="43"/>
      <c r="CX294" s="43"/>
      <c r="CY294" s="43" t="b">
        <v>0</v>
      </c>
      <c r="CZ294" s="43" t="b">
        <v>0</v>
      </c>
      <c r="DA294" s="43" t="b">
        <v>0</v>
      </c>
      <c r="DB294" s="43" t="b">
        <v>0</v>
      </c>
      <c r="DC294" s="43"/>
      <c r="DD294" s="43"/>
      <c r="DE294" s="43"/>
      <c r="DF294" s="43"/>
      <c r="DG294" s="43"/>
      <c r="DH294" s="43"/>
      <c r="DI294" s="43"/>
      <c r="DJ294" s="22">
        <f>IFERROR(VLOOKUP($B294,'Лист4'!$D:$AI,27,0)," ")</f>
        <v>14</v>
      </c>
      <c r="DK294" s="22">
        <f>IFERROR(VLOOKUP($B294,'Лист4'!$D:$AI,28,0)," ")</f>
        <v>1</v>
      </c>
      <c r="DL294" s="22">
        <f>IFERROR(VLOOKUP($B294,'Лист4'!$D:$AI,29,0)," ")</f>
        <v>14</v>
      </c>
      <c r="DM294" s="22">
        <f t="shared" si="3"/>
        <v>196</v>
      </c>
      <c r="DN294" s="22">
        <f>IFERROR(VLOOKUP($B294,'Лист4'!$D:$AI,32,0)," ")</f>
        <v>0.016</v>
      </c>
      <c r="DO294" s="22"/>
      <c r="DP294" s="22"/>
      <c r="DQ294" s="22"/>
      <c r="DR294" s="22"/>
      <c r="DS294" s="22"/>
      <c r="DT294" s="22"/>
      <c r="DU294" s="22"/>
      <c r="DV294" s="22"/>
      <c r="DW294" s="22"/>
      <c r="DX294" s="22"/>
      <c r="DY294" s="22"/>
      <c r="DZ294" s="22"/>
      <c r="EA294" s="22"/>
      <c r="EB294" s="22"/>
      <c r="EC294" s="22"/>
      <c r="ED294" s="22"/>
      <c r="EE294" s="22"/>
      <c r="EF294" s="22"/>
      <c r="EG294" s="22"/>
      <c r="EH294" s="22"/>
      <c r="EI294" s="22"/>
      <c r="EJ294" s="22"/>
      <c r="EK294" s="22"/>
      <c r="EL294" s="22"/>
      <c r="EM294" s="22"/>
      <c r="EN294" s="22"/>
      <c r="EO294" s="22"/>
      <c r="EP294" s="22"/>
      <c r="EQ294" s="22"/>
      <c r="ER294" s="22"/>
      <c r="ES294" s="43"/>
      <c r="ET294" s="43"/>
      <c r="EU294" s="43"/>
      <c r="EV294" s="43"/>
      <c r="EW294" s="43"/>
      <c r="EX294" s="43"/>
      <c r="EY294" s="43"/>
      <c r="EZ294" s="43"/>
      <c r="FA294" s="43"/>
      <c r="FB294" s="43"/>
      <c r="FC294" s="43"/>
      <c r="FD294" s="43"/>
      <c r="FE294" s="43"/>
      <c r="FF294" s="43"/>
      <c r="FG294" s="43"/>
      <c r="FH294" s="43"/>
      <c r="FI294" s="43"/>
    </row>
    <row r="295" ht="26.25" customHeight="1">
      <c r="A295" s="22" t="s">
        <v>2659</v>
      </c>
      <c r="B295" s="43" t="s">
        <v>4494</v>
      </c>
      <c r="C295" s="22" t="s">
        <v>2661</v>
      </c>
      <c r="D295" s="22" t="s">
        <v>119</v>
      </c>
      <c r="E295" s="43"/>
      <c r="F295" s="22" t="s">
        <v>4495</v>
      </c>
      <c r="G295" s="22" t="s">
        <v>2663</v>
      </c>
      <c r="H295" s="22" t="s">
        <v>3437</v>
      </c>
      <c r="I295" s="43"/>
      <c r="J295" s="43"/>
      <c r="K295" s="22" t="b">
        <v>1</v>
      </c>
      <c r="L295" s="22" t="b">
        <v>1</v>
      </c>
      <c r="M295" s="22" t="b">
        <v>1</v>
      </c>
      <c r="N295" s="22" t="b">
        <v>1</v>
      </c>
      <c r="O295" s="22" t="b">
        <v>0</v>
      </c>
      <c r="P295" s="22" t="b">
        <v>0</v>
      </c>
      <c r="Q295" s="22" t="b">
        <v>0</v>
      </c>
      <c r="R295" s="43"/>
      <c r="S295" s="43" t="s">
        <v>4496</v>
      </c>
      <c r="T295" s="22" t="s">
        <v>4494</v>
      </c>
      <c r="U295" s="22" t="s">
        <v>4494</v>
      </c>
      <c r="V295" s="22" t="s">
        <v>4494</v>
      </c>
      <c r="W295" s="43"/>
      <c r="X295" s="43"/>
      <c r="Y295" s="43"/>
      <c r="Z295" s="43"/>
      <c r="AA295" s="22">
        <v>5.25497365E8</v>
      </c>
      <c r="AB295" s="22">
        <v>2.825161431E9</v>
      </c>
      <c r="AC295" s="22">
        <v>4.640676175E9</v>
      </c>
      <c r="AD295" s="22"/>
      <c r="AE295" s="22"/>
      <c r="AF295" s="43"/>
      <c r="AG295" s="43"/>
      <c r="AH295" s="43" t="s">
        <v>4495</v>
      </c>
      <c r="AI295" s="22" t="s">
        <v>3439</v>
      </c>
      <c r="AJ295" s="22" t="s">
        <v>4497</v>
      </c>
      <c r="AK295" s="22" t="s">
        <v>4497</v>
      </c>
      <c r="AL295" s="43"/>
      <c r="AM295" s="43"/>
      <c r="AN295" s="43"/>
      <c r="AO295" s="43"/>
      <c r="AP295" s="46" t="s">
        <v>4498</v>
      </c>
      <c r="AQ295" s="46" t="s">
        <v>4499</v>
      </c>
      <c r="AR295" s="46" t="s">
        <v>4500</v>
      </c>
      <c r="AS295" s="43"/>
      <c r="AT295" s="43"/>
      <c r="AU295" s="43"/>
      <c r="AV295" s="43"/>
      <c r="AW295" s="22" t="s">
        <v>3445</v>
      </c>
      <c r="AX295" s="22" t="s">
        <v>4497</v>
      </c>
      <c r="AY295" s="22" t="s">
        <v>2672</v>
      </c>
      <c r="AZ295" s="43"/>
      <c r="BA295" s="43"/>
      <c r="BB295" s="43"/>
      <c r="BC295" s="43"/>
      <c r="BD295" s="43" t="s">
        <v>301</v>
      </c>
      <c r="BE295" s="59" t="s">
        <v>2755</v>
      </c>
      <c r="BF295" s="22" t="s">
        <v>131</v>
      </c>
      <c r="BG295" s="22" t="s">
        <v>132</v>
      </c>
      <c r="BH295" s="22" t="s">
        <v>132</v>
      </c>
      <c r="BI295" s="22" t="s">
        <v>132</v>
      </c>
      <c r="BJ295" s="43"/>
      <c r="BK295" s="43"/>
      <c r="BL295" s="22">
        <v>4.645563784842E12</v>
      </c>
      <c r="BM295" s="22">
        <v>3.30499E9</v>
      </c>
      <c r="BN295" s="22" t="s">
        <v>3340</v>
      </c>
      <c r="BO295" s="22"/>
      <c r="BP295" s="22" t="s">
        <v>145</v>
      </c>
      <c r="BQ295" s="43"/>
      <c r="BR295" s="43"/>
      <c r="BS295" s="22" t="s">
        <v>3446</v>
      </c>
      <c r="BT295" s="43"/>
      <c r="BU295" s="22" t="s">
        <v>3447</v>
      </c>
      <c r="BV295" s="43" t="s">
        <v>2679</v>
      </c>
      <c r="BW295" s="22" t="s">
        <v>3344</v>
      </c>
      <c r="BX295" s="22">
        <v>30.0</v>
      </c>
      <c r="BY295" s="22" t="s">
        <v>139</v>
      </c>
      <c r="BZ295" s="22"/>
      <c r="CA295" s="22" t="s">
        <v>355</v>
      </c>
      <c r="CB295" s="22" t="s">
        <v>307</v>
      </c>
      <c r="CC295" s="45" t="s">
        <v>3448</v>
      </c>
      <c r="CD295" s="43"/>
      <c r="CE295" s="43"/>
      <c r="CF295" s="45"/>
      <c r="CG295" s="43"/>
      <c r="CH295" s="43"/>
      <c r="CI295" s="43"/>
      <c r="CJ295" s="43"/>
      <c r="CK295" s="43"/>
      <c r="CL295" s="43"/>
      <c r="CM295" s="49">
        <f>IFERROR(VLOOKUP(B295,CC!A:D,4,0)," ")</f>
        <v>233.7</v>
      </c>
      <c r="CN295" s="22" t="s">
        <v>3449</v>
      </c>
      <c r="CO295" s="22"/>
      <c r="CP295" s="22"/>
      <c r="CQ295" s="22">
        <v>45.0</v>
      </c>
      <c r="CR295" s="43"/>
      <c r="CS295" s="22">
        <v>1.0</v>
      </c>
      <c r="CT295" s="22" t="s">
        <v>145</v>
      </c>
      <c r="CU295" s="43"/>
      <c r="CV295" s="43"/>
      <c r="CW295" s="43"/>
      <c r="CX295" s="43"/>
      <c r="CY295" s="43" t="b">
        <v>0</v>
      </c>
      <c r="CZ295" s="43" t="b">
        <v>0</v>
      </c>
      <c r="DA295" s="43" t="b">
        <v>0</v>
      </c>
      <c r="DB295" s="43" t="b">
        <v>0</v>
      </c>
      <c r="DC295" s="43"/>
      <c r="DD295" s="43"/>
      <c r="DE295" s="43"/>
      <c r="DF295" s="43"/>
      <c r="DG295" s="43"/>
      <c r="DH295" s="43"/>
      <c r="DI295" s="43"/>
      <c r="DJ295" s="22">
        <f>IFERROR(VLOOKUP($B295,'Лист4'!$D:$AI,27,0)," ")</f>
        <v>9</v>
      </c>
      <c r="DK295" s="22">
        <f>IFERROR(VLOOKUP($B295,'Лист4'!$D:$AI,28,0)," ")</f>
        <v>14</v>
      </c>
      <c r="DL295" s="22">
        <f>IFERROR(VLOOKUP($B295,'Лист4'!$D:$AI,29,0)," ")</f>
        <v>9</v>
      </c>
      <c r="DM295" s="22">
        <f t="shared" si="3"/>
        <v>1134</v>
      </c>
      <c r="DN295" s="22">
        <f>IFERROR(VLOOKUP($B295,'Лист4'!$D:$AI,32,0)," ")</f>
        <v>0.013</v>
      </c>
      <c r="DO295" s="22"/>
      <c r="DP295" s="22"/>
      <c r="DQ295" s="22"/>
      <c r="DR295" s="22"/>
      <c r="DS295" s="22"/>
      <c r="DT295" s="22"/>
      <c r="DU295" s="22"/>
      <c r="DV295" s="22"/>
      <c r="DW295" s="22"/>
      <c r="DX295" s="22"/>
      <c r="DY295" s="22"/>
      <c r="DZ295" s="22"/>
      <c r="EA295" s="22"/>
      <c r="EB295" s="22"/>
      <c r="EC295" s="22"/>
      <c r="ED295" s="22"/>
      <c r="EE295" s="22"/>
      <c r="EF295" s="22"/>
      <c r="EG295" s="22"/>
      <c r="EH295" s="22"/>
      <c r="EI295" s="22"/>
      <c r="EJ295" s="22"/>
      <c r="EK295" s="22"/>
      <c r="EL295" s="22"/>
      <c r="EM295" s="22"/>
      <c r="EN295" s="22"/>
      <c r="EO295" s="22"/>
      <c r="EP295" s="22"/>
      <c r="EQ295" s="22"/>
      <c r="ER295" s="22"/>
      <c r="ES295" s="43"/>
      <c r="ET295" s="43"/>
      <c r="EU295" s="43"/>
      <c r="EV295" s="43"/>
      <c r="EW295" s="43"/>
      <c r="EX295" s="43"/>
      <c r="EY295" s="43"/>
      <c r="EZ295" s="43"/>
      <c r="FA295" s="43"/>
      <c r="FB295" s="43"/>
      <c r="FC295" s="43"/>
      <c r="FD295" s="43"/>
      <c r="FE295" s="43"/>
      <c r="FF295" s="43"/>
      <c r="FG295" s="43"/>
      <c r="FH295" s="43"/>
      <c r="FI295" s="43"/>
    </row>
    <row r="296" ht="18.0" customHeight="1">
      <c r="A296" s="22" t="s">
        <v>2659</v>
      </c>
      <c r="B296" s="43" t="s">
        <v>4501</v>
      </c>
      <c r="C296" s="22" t="s">
        <v>2741</v>
      </c>
      <c r="D296" s="22" t="s">
        <v>358</v>
      </c>
      <c r="E296" s="43" t="s">
        <v>4502</v>
      </c>
      <c r="F296" s="22" t="s">
        <v>4503</v>
      </c>
      <c r="G296" s="22" t="s">
        <v>2743</v>
      </c>
      <c r="H296" s="22" t="s">
        <v>287</v>
      </c>
      <c r="I296" s="43"/>
      <c r="J296" s="43"/>
      <c r="K296" s="22" t="b">
        <v>1</v>
      </c>
      <c r="L296" s="22" t="b">
        <v>1</v>
      </c>
      <c r="M296" s="22" t="b">
        <v>1</v>
      </c>
      <c r="N296" s="22" t="b">
        <v>1</v>
      </c>
      <c r="O296" s="22" t="b">
        <v>1</v>
      </c>
      <c r="P296" s="22" t="b">
        <v>1</v>
      </c>
      <c r="Q296" s="22" t="b">
        <v>1</v>
      </c>
      <c r="R296" s="43"/>
      <c r="S296" s="43" t="s">
        <v>4504</v>
      </c>
      <c r="T296" s="22" t="s">
        <v>4501</v>
      </c>
      <c r="U296" s="22" t="s">
        <v>4501</v>
      </c>
      <c r="V296" s="22" t="s">
        <v>4501</v>
      </c>
      <c r="W296" s="55" t="s">
        <v>4501</v>
      </c>
      <c r="X296" s="43" t="s">
        <v>4501</v>
      </c>
      <c r="Y296" s="22" t="s">
        <v>4501</v>
      </c>
      <c r="Z296" s="43"/>
      <c r="AA296" s="22">
        <v>2.68373587E8</v>
      </c>
      <c r="AB296" s="22">
        <v>1.720926371E9</v>
      </c>
      <c r="AC296" s="22">
        <v>1.0382190439E11</v>
      </c>
      <c r="AD296" s="67">
        <v>9.9000076226E10</v>
      </c>
      <c r="AE296" s="22" t="s">
        <v>4505</v>
      </c>
      <c r="AF296" s="22" t="s">
        <v>4506</v>
      </c>
      <c r="AG296" s="43"/>
      <c r="AH296" s="43" t="s">
        <v>4503</v>
      </c>
      <c r="AI296" s="22" t="s">
        <v>4507</v>
      </c>
      <c r="AJ296" s="22" t="s">
        <v>4508</v>
      </c>
      <c r="AK296" s="22" t="s">
        <v>4509</v>
      </c>
      <c r="AL296" s="43"/>
      <c r="AM296" s="22" t="s">
        <v>4510</v>
      </c>
      <c r="AN296" s="22" t="s">
        <v>4511</v>
      </c>
      <c r="AO296" s="43"/>
      <c r="AP296" s="46" t="s">
        <v>4512</v>
      </c>
      <c r="AQ296" s="46" t="s">
        <v>4513</v>
      </c>
      <c r="AR296" s="46" t="s">
        <v>4514</v>
      </c>
      <c r="AS296" s="43"/>
      <c r="AT296" s="46" t="s">
        <v>4515</v>
      </c>
      <c r="AU296" s="46" t="s">
        <v>4516</v>
      </c>
      <c r="AV296" s="43"/>
      <c r="AW296" s="22" t="s">
        <v>298</v>
      </c>
      <c r="AX296" s="22" t="s">
        <v>4508</v>
      </c>
      <c r="AY296" s="22" t="s">
        <v>326</v>
      </c>
      <c r="AZ296" s="22"/>
      <c r="BA296" s="22" t="s">
        <v>351</v>
      </c>
      <c r="BB296" s="22" t="s">
        <v>298</v>
      </c>
      <c r="BC296" s="22"/>
      <c r="BD296" s="43" t="s">
        <v>301</v>
      </c>
      <c r="BE296" s="59" t="s">
        <v>2674</v>
      </c>
      <c r="BF296" s="22" t="s">
        <v>131</v>
      </c>
      <c r="BG296" s="22" t="s">
        <v>132</v>
      </c>
      <c r="BH296" s="22" t="s">
        <v>132</v>
      </c>
      <c r="BI296" s="22" t="s">
        <v>132</v>
      </c>
      <c r="BJ296" s="43"/>
      <c r="BK296" s="43"/>
      <c r="BL296" s="22">
        <v>4.67002049798E12</v>
      </c>
      <c r="BM296" s="22">
        <v>3.305900009E9</v>
      </c>
      <c r="BN296" s="22" t="s">
        <v>4517</v>
      </c>
      <c r="BO296" s="22"/>
      <c r="BP296" s="22" t="s">
        <v>145</v>
      </c>
      <c r="BQ296" s="43"/>
      <c r="BR296" s="43"/>
      <c r="BS296" s="22" t="s">
        <v>4518</v>
      </c>
      <c r="BT296" s="43"/>
      <c r="BU296" s="22" t="s">
        <v>4519</v>
      </c>
      <c r="BV296" s="43" t="s">
        <v>145</v>
      </c>
      <c r="BW296" s="22" t="s">
        <v>4520</v>
      </c>
      <c r="BX296" s="22">
        <v>200.0</v>
      </c>
      <c r="BY296" s="22" t="s">
        <v>139</v>
      </c>
      <c r="BZ296" s="22"/>
      <c r="CA296" s="22" t="s">
        <v>355</v>
      </c>
      <c r="CB296" s="22" t="s">
        <v>307</v>
      </c>
      <c r="CC296" s="45" t="s">
        <v>4521</v>
      </c>
      <c r="CD296" s="43"/>
      <c r="CE296" s="43"/>
      <c r="CF296" s="45"/>
      <c r="CG296" s="43"/>
      <c r="CH296" s="43"/>
      <c r="CI296" s="43"/>
      <c r="CJ296" s="43"/>
      <c r="CK296" s="43"/>
      <c r="CL296" s="43"/>
      <c r="CM296" s="49">
        <f>IFERROR(VLOOKUP(B296,CC!A:D,4,0)," ")</f>
        <v>116.1</v>
      </c>
      <c r="CN296" s="22" t="s">
        <v>2834</v>
      </c>
      <c r="CO296" s="22"/>
      <c r="CP296" s="22" t="s">
        <v>2835</v>
      </c>
      <c r="CQ296" s="22">
        <v>90.0</v>
      </c>
      <c r="CR296" s="43"/>
      <c r="CS296" s="22">
        <v>5.0</v>
      </c>
      <c r="CT296" s="22" t="s">
        <v>145</v>
      </c>
      <c r="CU296" s="43"/>
      <c r="CV296" s="43"/>
      <c r="CW296" s="43"/>
      <c r="CX296" s="43"/>
      <c r="CY296" s="43" t="b">
        <v>0</v>
      </c>
      <c r="CZ296" s="43" t="b">
        <v>0</v>
      </c>
      <c r="DA296" s="43" t="b">
        <v>0</v>
      </c>
      <c r="DB296" s="43" t="b">
        <v>0</v>
      </c>
      <c r="DC296" s="43"/>
      <c r="DD296" s="43"/>
      <c r="DE296" s="43"/>
      <c r="DF296" s="43"/>
      <c r="DG296" s="43"/>
      <c r="DH296" s="43"/>
      <c r="DI296" s="43"/>
      <c r="DJ296" s="22">
        <f>IFERROR(VLOOKUP($B296,'Лист4'!$D:$AI,27,0)," ")</f>
        <v>4</v>
      </c>
      <c r="DK296" s="22">
        <f>IFERROR(VLOOKUP($B296,'Лист4'!$D:$AI,28,0)," ")</f>
        <v>18</v>
      </c>
      <c r="DL296" s="22">
        <f>IFERROR(VLOOKUP($B296,'Лист4'!$D:$AI,29,0)," ")</f>
        <v>4</v>
      </c>
      <c r="DM296" s="22">
        <f t="shared" si="3"/>
        <v>288</v>
      </c>
      <c r="DN296" s="22">
        <f>IFERROR(VLOOKUP($B296,'Лист4'!$D:$AI,32,0)," ")</f>
        <v>0.231</v>
      </c>
      <c r="DO296" s="22"/>
      <c r="DP296" s="22"/>
      <c r="DQ296" s="22"/>
      <c r="DR296" s="22"/>
      <c r="DS296" s="22"/>
      <c r="DT296" s="22"/>
      <c r="DU296" s="22"/>
      <c r="DV296" s="22"/>
      <c r="DW296" s="22"/>
      <c r="DX296" s="22"/>
      <c r="DY296" s="22"/>
      <c r="DZ296" s="22"/>
      <c r="EA296" s="22"/>
      <c r="EB296" s="22"/>
      <c r="EC296" s="22"/>
      <c r="ED296" s="22"/>
      <c r="EE296" s="22"/>
      <c r="EF296" s="22"/>
      <c r="EG296" s="22"/>
      <c r="EH296" s="22"/>
      <c r="EI296" s="22"/>
      <c r="EJ296" s="22"/>
      <c r="EK296" s="22"/>
      <c r="EL296" s="22"/>
      <c r="EM296" s="22"/>
      <c r="EN296" s="22"/>
      <c r="EO296" s="22"/>
      <c r="EP296" s="22"/>
      <c r="EQ296" s="22"/>
      <c r="ER296" s="22"/>
      <c r="ES296" s="43"/>
      <c r="ET296" s="43"/>
      <c r="EU296" s="43"/>
      <c r="EV296" s="43"/>
      <c r="EW296" s="43"/>
      <c r="EX296" s="43"/>
      <c r="EY296" s="43"/>
      <c r="EZ296" s="43"/>
      <c r="FA296" s="43"/>
      <c r="FB296" s="43"/>
      <c r="FC296" s="43"/>
      <c r="FD296" s="43"/>
      <c r="FE296" s="43"/>
      <c r="FF296" s="43"/>
      <c r="FG296" s="43"/>
      <c r="FH296" s="43"/>
      <c r="FI296" s="43"/>
    </row>
    <row r="297" ht="18.0" customHeight="1">
      <c r="A297" s="22" t="s">
        <v>2659</v>
      </c>
      <c r="B297" s="43" t="s">
        <v>4522</v>
      </c>
      <c r="C297" s="22" t="s">
        <v>2741</v>
      </c>
      <c r="D297" s="22" t="s">
        <v>119</v>
      </c>
      <c r="E297" s="43" t="s">
        <v>3202</v>
      </c>
      <c r="F297" s="22" t="s">
        <v>4523</v>
      </c>
      <c r="G297" s="22" t="s">
        <v>361</v>
      </c>
      <c r="H297" s="22" t="s">
        <v>3158</v>
      </c>
      <c r="I297" s="43"/>
      <c r="J297" s="43"/>
      <c r="K297" s="22" t="b">
        <v>1</v>
      </c>
      <c r="L297" s="22" t="b">
        <v>1</v>
      </c>
      <c r="M297" s="22" t="b">
        <v>1</v>
      </c>
      <c r="N297" s="22" t="b">
        <v>1</v>
      </c>
      <c r="O297" s="22" t="b">
        <v>0</v>
      </c>
      <c r="P297" s="22" t="b">
        <v>0</v>
      </c>
      <c r="Q297" s="22" t="b">
        <v>0</v>
      </c>
      <c r="R297" s="43"/>
      <c r="S297" s="43" t="s">
        <v>4524</v>
      </c>
      <c r="T297" s="22" t="s">
        <v>4522</v>
      </c>
      <c r="U297" s="22" t="s">
        <v>4522</v>
      </c>
      <c r="V297" s="22" t="s">
        <v>4522</v>
      </c>
      <c r="W297" s="43"/>
      <c r="X297" s="43"/>
      <c r="Y297" s="43"/>
      <c r="Z297" s="43"/>
      <c r="AA297" s="22">
        <v>4.09911126E8</v>
      </c>
      <c r="AB297" s="22">
        <v>2.099218978E9</v>
      </c>
      <c r="AC297" s="22">
        <v>4.476310745E9</v>
      </c>
      <c r="AD297" s="22"/>
      <c r="AE297" s="22"/>
      <c r="AF297" s="43"/>
      <c r="AG297" s="43"/>
      <c r="AH297" s="43" t="s">
        <v>4523</v>
      </c>
      <c r="AI297" s="22" t="s">
        <v>4525</v>
      </c>
      <c r="AJ297" s="22" t="s">
        <v>4526</v>
      </c>
      <c r="AK297" s="22" t="s">
        <v>4527</v>
      </c>
      <c r="AL297" s="43"/>
      <c r="AM297" s="43"/>
      <c r="AN297" s="43"/>
      <c r="AO297" s="43"/>
      <c r="AP297" s="46" t="s">
        <v>4528</v>
      </c>
      <c r="AQ297" s="46" t="s">
        <v>4529</v>
      </c>
      <c r="AR297" s="46" t="s">
        <v>4530</v>
      </c>
      <c r="AS297" s="43"/>
      <c r="AT297" s="43"/>
      <c r="AU297" s="43"/>
      <c r="AV297" s="43"/>
      <c r="AW297" s="22" t="s">
        <v>669</v>
      </c>
      <c r="AX297" s="22" t="s">
        <v>4526</v>
      </c>
      <c r="AY297" s="22" t="s">
        <v>670</v>
      </c>
      <c r="AZ297" s="43"/>
      <c r="BA297" s="43"/>
      <c r="BB297" s="43"/>
      <c r="BC297" s="43"/>
      <c r="BD297" s="43" t="s">
        <v>1449</v>
      </c>
      <c r="BE297" s="59" t="s">
        <v>2674</v>
      </c>
      <c r="BF297" s="22" t="s">
        <v>131</v>
      </c>
      <c r="BG297" s="22" t="s">
        <v>132</v>
      </c>
      <c r="BH297" s="22" t="s">
        <v>132</v>
      </c>
      <c r="BI297" s="22" t="s">
        <v>132</v>
      </c>
      <c r="BJ297" s="43"/>
      <c r="BK297" s="43"/>
      <c r="BL297" s="22">
        <v>4.673748455355E12</v>
      </c>
      <c r="BM297" s="22">
        <v>2.106909808E9</v>
      </c>
      <c r="BN297" s="22" t="s">
        <v>4531</v>
      </c>
      <c r="BO297" s="22"/>
      <c r="BP297" s="22" t="s">
        <v>145</v>
      </c>
      <c r="BQ297" s="43"/>
      <c r="BR297" s="43"/>
      <c r="BS297" s="22" t="s">
        <v>4532</v>
      </c>
      <c r="BT297" s="43"/>
      <c r="BU297" s="22" t="s">
        <v>4533</v>
      </c>
      <c r="BV297" s="43" t="s">
        <v>4534</v>
      </c>
      <c r="BW297" s="22" t="s">
        <v>2997</v>
      </c>
      <c r="BX297" s="22">
        <v>60.0</v>
      </c>
      <c r="BY297" s="22" t="s">
        <v>492</v>
      </c>
      <c r="BZ297" s="22"/>
      <c r="CA297" s="22" t="s">
        <v>355</v>
      </c>
      <c r="CB297" s="22" t="s">
        <v>307</v>
      </c>
      <c r="CC297" s="45" t="s">
        <v>4535</v>
      </c>
      <c r="CD297" s="43"/>
      <c r="CE297" s="43"/>
      <c r="CF297" s="45"/>
      <c r="CG297" s="43"/>
      <c r="CH297" s="43"/>
      <c r="CI297" s="43"/>
      <c r="CJ297" s="43"/>
      <c r="CK297" s="43"/>
      <c r="CL297" s="43"/>
      <c r="CM297" s="49">
        <f>IFERROR(VLOOKUP(B297,CC!A:D,4,0)," ")</f>
        <v>180.68</v>
      </c>
      <c r="CN297" s="22" t="s">
        <v>3929</v>
      </c>
      <c r="CO297" s="22"/>
      <c r="CP297" s="22" t="s">
        <v>1702</v>
      </c>
      <c r="CQ297" s="22">
        <v>60.0</v>
      </c>
      <c r="CR297" s="43"/>
      <c r="CS297" s="22">
        <v>2.0</v>
      </c>
      <c r="CT297" s="22" t="s">
        <v>145</v>
      </c>
      <c r="CU297" s="43"/>
      <c r="CV297" s="43"/>
      <c r="CW297" s="43"/>
      <c r="CX297" s="43"/>
      <c r="CY297" s="43" t="b">
        <v>0</v>
      </c>
      <c r="CZ297" s="43" t="b">
        <v>0</v>
      </c>
      <c r="DA297" s="43" t="b">
        <v>0</v>
      </c>
      <c r="DB297" s="43" t="b">
        <v>0</v>
      </c>
      <c r="DC297" s="43"/>
      <c r="DD297" s="43"/>
      <c r="DE297" s="43"/>
      <c r="DF297" s="43"/>
      <c r="DG297" s="43"/>
      <c r="DH297" s="43"/>
      <c r="DI297" s="43"/>
      <c r="DJ297" s="22">
        <f>IFERROR(VLOOKUP($B297,'Лист4'!$D:$AI,27,0)," ")</f>
        <v>5</v>
      </c>
      <c r="DK297" s="22">
        <f>IFERROR(VLOOKUP($B297,'Лист4'!$D:$AI,28,0)," ")</f>
        <v>5</v>
      </c>
      <c r="DL297" s="22">
        <f>IFERROR(VLOOKUP($B297,'Лист4'!$D:$AI,29,0)," ")</f>
        <v>5</v>
      </c>
      <c r="DM297" s="22">
        <f t="shared" si="3"/>
        <v>125</v>
      </c>
      <c r="DN297" s="22">
        <f>IFERROR(VLOOKUP($B297,'Лист4'!$D:$AI,32,0)," ")</f>
        <v>0.048</v>
      </c>
      <c r="DO297" s="22"/>
      <c r="DP297" s="22"/>
      <c r="DQ297" s="22"/>
      <c r="DR297" s="22"/>
      <c r="DS297" s="22"/>
      <c r="DT297" s="22"/>
      <c r="DU297" s="22"/>
      <c r="DV297" s="22"/>
      <c r="DW297" s="22"/>
      <c r="DX297" s="22"/>
      <c r="DY297" s="22"/>
      <c r="DZ297" s="22"/>
      <c r="EA297" s="22"/>
      <c r="EB297" s="22"/>
      <c r="EC297" s="22"/>
      <c r="ED297" s="22"/>
      <c r="EE297" s="22"/>
      <c r="EF297" s="22"/>
      <c r="EG297" s="22"/>
      <c r="EH297" s="22"/>
      <c r="EI297" s="22"/>
      <c r="EJ297" s="22"/>
      <c r="EK297" s="22"/>
      <c r="EL297" s="22"/>
      <c r="EM297" s="22"/>
      <c r="EN297" s="22"/>
      <c r="EO297" s="22"/>
      <c r="EP297" s="22"/>
      <c r="EQ297" s="22"/>
      <c r="ER297" s="22"/>
      <c r="ES297" s="43"/>
      <c r="ET297" s="43"/>
      <c r="EU297" s="43"/>
      <c r="EV297" s="43"/>
      <c r="EW297" s="43"/>
      <c r="EX297" s="43"/>
      <c r="EY297" s="43"/>
      <c r="EZ297" s="43"/>
      <c r="FA297" s="43"/>
      <c r="FB297" s="43"/>
      <c r="FC297" s="43"/>
      <c r="FD297" s="43"/>
      <c r="FE297" s="43"/>
      <c r="FF297" s="43"/>
      <c r="FG297" s="43"/>
      <c r="FH297" s="43"/>
      <c r="FI297" s="43"/>
    </row>
    <row r="298" ht="18.0" customHeight="1">
      <c r="A298" s="22" t="s">
        <v>2659</v>
      </c>
      <c r="B298" s="43" t="s">
        <v>4536</v>
      </c>
      <c r="C298" s="22" t="s">
        <v>2661</v>
      </c>
      <c r="D298" s="22" t="s">
        <v>119</v>
      </c>
      <c r="E298" s="43"/>
      <c r="F298" s="22" t="s">
        <v>4537</v>
      </c>
      <c r="G298" s="22" t="s">
        <v>2663</v>
      </c>
      <c r="H298" s="22" t="s">
        <v>4058</v>
      </c>
      <c r="I298" s="43"/>
      <c r="J298" s="43"/>
      <c r="K298" s="22" t="b">
        <v>1</v>
      </c>
      <c r="L298" s="22" t="b">
        <v>1</v>
      </c>
      <c r="M298" s="22" t="b">
        <v>1</v>
      </c>
      <c r="N298" s="22" t="b">
        <v>1</v>
      </c>
      <c r="O298" s="22" t="b">
        <v>1</v>
      </c>
      <c r="P298" s="22" t="b">
        <v>0</v>
      </c>
      <c r="Q298" s="22" t="b">
        <v>0</v>
      </c>
      <c r="R298" s="43"/>
      <c r="S298" s="43" t="s">
        <v>4538</v>
      </c>
      <c r="T298" s="22" t="s">
        <v>4536</v>
      </c>
      <c r="U298" s="22" t="s">
        <v>4536</v>
      </c>
      <c r="V298" s="22" t="s">
        <v>4536</v>
      </c>
      <c r="W298" s="43" t="s">
        <v>4536</v>
      </c>
      <c r="X298" s="43"/>
      <c r="Y298" s="43"/>
      <c r="Z298" s="43"/>
      <c r="AA298" s="22">
        <v>1.86794178E8</v>
      </c>
      <c r="AB298" s="22">
        <v>1.271351989E9</v>
      </c>
      <c r="AC298" s="22">
        <v>1.03331699962E11</v>
      </c>
      <c r="AD298" s="22">
        <v>9.9000125141E10</v>
      </c>
      <c r="AE298" s="22"/>
      <c r="AF298" s="43"/>
      <c r="AG298" s="43"/>
      <c r="AH298" s="43" t="s">
        <v>4537</v>
      </c>
      <c r="AI298" s="22" t="s">
        <v>4539</v>
      </c>
      <c r="AJ298" s="22" t="s">
        <v>4540</v>
      </c>
      <c r="AK298" s="22" t="s">
        <v>4541</v>
      </c>
      <c r="AL298" s="22" t="s">
        <v>4542</v>
      </c>
      <c r="AM298" s="43"/>
      <c r="AN298" s="43"/>
      <c r="AO298" s="43"/>
      <c r="AP298" s="46" t="s">
        <v>4543</v>
      </c>
      <c r="AQ298" s="46" t="s">
        <v>4544</v>
      </c>
      <c r="AR298" s="46" t="s">
        <v>4545</v>
      </c>
      <c r="AS298" s="46" t="s">
        <v>4546</v>
      </c>
      <c r="AT298" s="43"/>
      <c r="AU298" s="43"/>
      <c r="AV298" s="43"/>
      <c r="AW298" s="22" t="s">
        <v>594</v>
      </c>
      <c r="AX298" s="22" t="s">
        <v>4540</v>
      </c>
      <c r="AY298" s="22" t="s">
        <v>2672</v>
      </c>
      <c r="AZ298" s="22" t="s">
        <v>1834</v>
      </c>
      <c r="BA298" s="43"/>
      <c r="BB298" s="43"/>
      <c r="BC298" s="43"/>
      <c r="BD298" s="43" t="s">
        <v>2673</v>
      </c>
      <c r="BE298" s="59" t="s">
        <v>2755</v>
      </c>
      <c r="BF298" s="22" t="s">
        <v>131</v>
      </c>
      <c r="BG298" s="22" t="s">
        <v>132</v>
      </c>
      <c r="BH298" s="22" t="s">
        <v>132</v>
      </c>
      <c r="BI298" s="22" t="s">
        <v>132</v>
      </c>
      <c r="BJ298" s="43"/>
      <c r="BK298" s="43"/>
      <c r="BL298" s="43" t="s">
        <v>4547</v>
      </c>
      <c r="BM298" s="22">
        <v>3.30499E9</v>
      </c>
      <c r="BN298" s="43" t="s">
        <v>4548</v>
      </c>
      <c r="BO298" s="43"/>
      <c r="BP298" s="22" t="s">
        <v>496</v>
      </c>
      <c r="BQ298" s="43"/>
      <c r="BR298" s="43"/>
      <c r="BS298" s="43" t="s">
        <v>4067</v>
      </c>
      <c r="BT298" s="43"/>
      <c r="BU298" s="22" t="s">
        <v>4549</v>
      </c>
      <c r="BV298" s="43" t="s">
        <v>4550</v>
      </c>
      <c r="BW298" s="43" t="s">
        <v>4551</v>
      </c>
      <c r="BX298" s="22">
        <v>50.0</v>
      </c>
      <c r="BY298" s="22" t="s">
        <v>139</v>
      </c>
      <c r="BZ298" s="22"/>
      <c r="CA298" s="22" t="s">
        <v>307</v>
      </c>
      <c r="CB298" s="22" t="s">
        <v>307</v>
      </c>
      <c r="CC298" s="68" t="s">
        <v>4552</v>
      </c>
      <c r="CD298" s="43"/>
      <c r="CE298" s="43"/>
      <c r="CF298" s="45"/>
      <c r="CG298" s="43"/>
      <c r="CH298" s="43"/>
      <c r="CI298" s="43"/>
      <c r="CJ298" s="43"/>
      <c r="CK298" s="43"/>
      <c r="CL298" s="43"/>
      <c r="CM298" s="49">
        <f>IFERROR(VLOOKUP(B298,CC!A:D,4,0)," ")</f>
        <v>131.42</v>
      </c>
      <c r="CN298" s="22" t="s">
        <v>4553</v>
      </c>
      <c r="CO298" s="22"/>
      <c r="CP298" s="43"/>
      <c r="CQ298" s="22">
        <v>60.0</v>
      </c>
      <c r="CR298" s="43"/>
      <c r="CS298" s="22">
        <v>1.0</v>
      </c>
      <c r="CT298" s="22" t="s">
        <v>145</v>
      </c>
      <c r="CU298" s="43"/>
      <c r="CV298" s="43"/>
      <c r="CW298" s="43"/>
      <c r="CX298" s="43"/>
      <c r="CY298" s="43" t="b">
        <v>0</v>
      </c>
      <c r="CZ298" s="43" t="b">
        <v>0</v>
      </c>
      <c r="DA298" s="43" t="b">
        <v>0</v>
      </c>
      <c r="DB298" s="43" t="b">
        <v>0</v>
      </c>
      <c r="DC298" s="43"/>
      <c r="DD298" s="43"/>
      <c r="DE298" s="43"/>
      <c r="DF298" s="43"/>
      <c r="DG298" s="43"/>
      <c r="DH298" s="43"/>
      <c r="DI298" s="43"/>
      <c r="DJ298" s="22">
        <f>IFERROR(VLOOKUP($B298,'Лист4'!$D:$AI,27,0)," ")</f>
        <v>13</v>
      </c>
      <c r="DK298" s="22">
        <f>IFERROR(VLOOKUP($B298,'Лист4'!$D:$AI,28,0)," ")</f>
        <v>4</v>
      </c>
      <c r="DL298" s="22">
        <f>IFERROR(VLOOKUP($B298,'Лист4'!$D:$AI,29,0)," ")</f>
        <v>13</v>
      </c>
      <c r="DM298" s="22">
        <f t="shared" si="3"/>
        <v>676</v>
      </c>
      <c r="DN298" s="22">
        <f>IFERROR(VLOOKUP($B298,'Лист4'!$D:$AI,32,0)," ")</f>
        <v>0.075</v>
      </c>
      <c r="DO298" s="22"/>
      <c r="DP298" s="22"/>
      <c r="DQ298" s="22"/>
      <c r="DR298" s="22"/>
      <c r="DS298" s="22"/>
      <c r="DT298" s="22"/>
      <c r="DU298" s="22"/>
      <c r="DV298" s="22"/>
      <c r="DW298" s="22"/>
      <c r="DX298" s="22"/>
      <c r="DY298" s="22"/>
      <c r="DZ298" s="22"/>
      <c r="EA298" s="22"/>
      <c r="EB298" s="22"/>
      <c r="EC298" s="22"/>
      <c r="ED298" s="22"/>
      <c r="EE298" s="22"/>
      <c r="EF298" s="22"/>
      <c r="EG298" s="22"/>
      <c r="EH298" s="22"/>
      <c r="EI298" s="22"/>
      <c r="EJ298" s="22"/>
      <c r="EK298" s="22"/>
      <c r="EL298" s="22"/>
      <c r="EM298" s="22"/>
      <c r="EN298" s="22"/>
      <c r="EO298" s="22"/>
      <c r="EP298" s="22"/>
      <c r="EQ298" s="22"/>
      <c r="ER298" s="22"/>
      <c r="ES298" s="43"/>
      <c r="ET298" s="43"/>
      <c r="EU298" s="43"/>
      <c r="EV298" s="43"/>
      <c r="EW298" s="43"/>
      <c r="EX298" s="43"/>
      <c r="EY298" s="43"/>
      <c r="EZ298" s="43"/>
      <c r="FA298" s="43"/>
      <c r="FB298" s="43"/>
      <c r="FC298" s="43"/>
      <c r="FD298" s="43"/>
      <c r="FE298" s="43"/>
      <c r="FF298" s="43"/>
      <c r="FG298" s="43"/>
      <c r="FH298" s="43"/>
      <c r="FI298" s="43"/>
    </row>
    <row r="299" ht="18.0" customHeight="1">
      <c r="A299" s="22" t="s">
        <v>2659</v>
      </c>
      <c r="B299" s="43" t="s">
        <v>4554</v>
      </c>
      <c r="C299" s="22" t="s">
        <v>2661</v>
      </c>
      <c r="D299" s="22" t="s">
        <v>119</v>
      </c>
      <c r="E299" s="43"/>
      <c r="F299" s="22" t="s">
        <v>4555</v>
      </c>
      <c r="G299" s="22" t="s">
        <v>2663</v>
      </c>
      <c r="H299" s="22" t="s">
        <v>3437</v>
      </c>
      <c r="I299" s="43"/>
      <c r="J299" s="43"/>
      <c r="K299" s="22" t="b">
        <v>1</v>
      </c>
      <c r="L299" s="22" t="b">
        <v>1</v>
      </c>
      <c r="M299" s="22" t="b">
        <v>1</v>
      </c>
      <c r="N299" s="22" t="b">
        <v>1</v>
      </c>
      <c r="O299" s="22" t="b">
        <v>0</v>
      </c>
      <c r="P299" s="22" t="b">
        <v>0</v>
      </c>
      <c r="Q299" s="22" t="b">
        <v>0</v>
      </c>
      <c r="R299" s="43"/>
      <c r="S299" s="43" t="s">
        <v>4556</v>
      </c>
      <c r="T299" s="22" t="s">
        <v>4554</v>
      </c>
      <c r="U299" s="22" t="s">
        <v>4554</v>
      </c>
      <c r="V299" s="22" t="s">
        <v>4554</v>
      </c>
      <c r="W299" s="43"/>
      <c r="X299" s="43"/>
      <c r="Y299" s="43"/>
      <c r="Z299" s="43"/>
      <c r="AA299" s="22">
        <v>1.7904962E7</v>
      </c>
      <c r="AB299" s="22">
        <v>2.89030651E8</v>
      </c>
      <c r="AC299" s="22">
        <v>1.03515423625E11</v>
      </c>
      <c r="AD299" s="22"/>
      <c r="AE299" s="22"/>
      <c r="AF299" s="43"/>
      <c r="AG299" s="43"/>
      <c r="AH299" s="43" t="s">
        <v>4555</v>
      </c>
      <c r="AI299" s="22" t="s">
        <v>4557</v>
      </c>
      <c r="AJ299" s="22" t="s">
        <v>4558</v>
      </c>
      <c r="AK299" s="22" t="s">
        <v>4559</v>
      </c>
      <c r="AL299" s="43"/>
      <c r="AM299" s="43"/>
      <c r="AN299" s="43"/>
      <c r="AO299" s="43"/>
      <c r="AP299" s="46" t="s">
        <v>4560</v>
      </c>
      <c r="AQ299" s="46" t="s">
        <v>4561</v>
      </c>
      <c r="AR299" s="46" t="s">
        <v>4562</v>
      </c>
      <c r="AS299" s="43"/>
      <c r="AT299" s="43"/>
      <c r="AU299" s="43"/>
      <c r="AV299" s="43"/>
      <c r="AW299" s="22" t="s">
        <v>3445</v>
      </c>
      <c r="AX299" s="22" t="s">
        <v>4558</v>
      </c>
      <c r="AY299" s="22" t="s">
        <v>2672</v>
      </c>
      <c r="AZ299" s="43"/>
      <c r="BA299" s="43"/>
      <c r="BB299" s="43"/>
      <c r="BC299" s="43"/>
      <c r="BD299" s="43" t="s">
        <v>301</v>
      </c>
      <c r="BE299" s="59" t="s">
        <v>2755</v>
      </c>
      <c r="BF299" s="22" t="s">
        <v>131</v>
      </c>
      <c r="BG299" s="22" t="s">
        <v>132</v>
      </c>
      <c r="BH299" s="22" t="s">
        <v>132</v>
      </c>
      <c r="BI299" s="22" t="s">
        <v>132</v>
      </c>
      <c r="BJ299" s="43"/>
      <c r="BK299" s="43"/>
      <c r="BL299" s="22">
        <v>4.631137125906E12</v>
      </c>
      <c r="BM299" s="22">
        <v>3.30499E9</v>
      </c>
      <c r="BN299" s="22" t="s">
        <v>4563</v>
      </c>
      <c r="BO299" s="22"/>
      <c r="BP299" s="22" t="s">
        <v>496</v>
      </c>
      <c r="BQ299" s="43"/>
      <c r="BR299" s="43"/>
      <c r="BS299" s="22" t="s">
        <v>4564</v>
      </c>
      <c r="BT299" s="22"/>
      <c r="BU299" s="22" t="s">
        <v>4565</v>
      </c>
      <c r="BV299" s="22" t="s">
        <v>2777</v>
      </c>
      <c r="BW299" s="22" t="s">
        <v>4566</v>
      </c>
      <c r="BX299" s="22">
        <v>30.0</v>
      </c>
      <c r="BY299" s="22" t="s">
        <v>139</v>
      </c>
      <c r="BZ299" s="22"/>
      <c r="CA299" s="22" t="s">
        <v>3960</v>
      </c>
      <c r="CB299" s="22" t="s">
        <v>307</v>
      </c>
      <c r="CC299" s="45" t="s">
        <v>401</v>
      </c>
      <c r="CD299" s="43"/>
      <c r="CE299" s="43"/>
      <c r="CF299" s="45" t="s">
        <v>401</v>
      </c>
      <c r="CG299" s="43"/>
      <c r="CH299" s="43"/>
      <c r="CI299" s="43"/>
      <c r="CJ299" s="43"/>
      <c r="CK299" s="43"/>
      <c r="CL299" s="43"/>
      <c r="CM299" s="49">
        <f>IFERROR(VLOOKUP(B299,CC!A:D,4,0)," ")</f>
        <v>115.72</v>
      </c>
      <c r="CN299" s="22" t="s">
        <v>2681</v>
      </c>
      <c r="CO299" s="22"/>
      <c r="CP299" s="43"/>
      <c r="CQ299" s="22" t="s">
        <v>401</v>
      </c>
      <c r="CR299" s="43"/>
      <c r="CS299" s="22">
        <v>1.0</v>
      </c>
      <c r="CT299" s="22" t="s">
        <v>145</v>
      </c>
      <c r="CU299" s="43"/>
      <c r="CV299" s="43"/>
      <c r="CW299" s="43"/>
      <c r="CX299" s="43"/>
      <c r="CY299" s="43" t="b">
        <v>0</v>
      </c>
      <c r="CZ299" s="43" t="b">
        <v>0</v>
      </c>
      <c r="DA299" s="43" t="b">
        <v>0</v>
      </c>
      <c r="DB299" s="43" t="b">
        <v>0</v>
      </c>
      <c r="DC299" s="43"/>
      <c r="DD299" s="43"/>
      <c r="DE299" s="43"/>
      <c r="DF299" s="43"/>
      <c r="DG299" s="43"/>
      <c r="DH299" s="43"/>
      <c r="DI299" s="43"/>
      <c r="DJ299" s="22">
        <f>IFERROR(VLOOKUP($B299,'Лист4'!$D:$AI,27,0)," ")</f>
        <v>4</v>
      </c>
      <c r="DK299" s="22">
        <f>IFERROR(VLOOKUP($B299,'Лист4'!$D:$AI,28,0)," ")</f>
        <v>4</v>
      </c>
      <c r="DL299" s="22">
        <f>IFERROR(VLOOKUP($B299,'Лист4'!$D:$AI,29,0)," ")</f>
        <v>4</v>
      </c>
      <c r="DM299" s="22">
        <f t="shared" si="3"/>
        <v>64</v>
      </c>
      <c r="DN299" s="22">
        <f>IFERROR(VLOOKUP($B299,'Лист4'!$D:$AI,32,0)," ")</f>
        <v>0.172</v>
      </c>
      <c r="DO299" s="22"/>
      <c r="DP299" s="22"/>
      <c r="DQ299" s="22"/>
      <c r="DR299" s="22"/>
      <c r="DS299" s="22"/>
      <c r="DT299" s="22"/>
      <c r="DU299" s="22"/>
      <c r="DV299" s="22"/>
      <c r="DW299" s="22"/>
      <c r="DX299" s="22"/>
      <c r="DY299" s="22"/>
      <c r="DZ299" s="22"/>
      <c r="EA299" s="22"/>
      <c r="EB299" s="22"/>
      <c r="EC299" s="22"/>
      <c r="ED299" s="22"/>
      <c r="EE299" s="22"/>
      <c r="EF299" s="22"/>
      <c r="EG299" s="22"/>
      <c r="EH299" s="22"/>
      <c r="EI299" s="22"/>
      <c r="EJ299" s="22"/>
      <c r="EK299" s="22"/>
      <c r="EL299" s="22"/>
      <c r="EM299" s="22"/>
      <c r="EN299" s="22"/>
      <c r="EO299" s="22"/>
      <c r="EP299" s="22"/>
      <c r="EQ299" s="22"/>
      <c r="ER299" s="22"/>
      <c r="ES299" s="43"/>
      <c r="ET299" s="43"/>
      <c r="EU299" s="43"/>
      <c r="EV299" s="43"/>
      <c r="EW299" s="43"/>
      <c r="EX299" s="43"/>
      <c r="EY299" s="43"/>
      <c r="EZ299" s="43"/>
      <c r="FA299" s="43"/>
      <c r="FB299" s="43"/>
      <c r="FC299" s="43"/>
      <c r="FD299" s="43"/>
      <c r="FE299" s="43"/>
      <c r="FF299" s="43"/>
      <c r="FG299" s="43"/>
      <c r="FH299" s="43"/>
      <c r="FI299" s="43"/>
    </row>
    <row r="300" ht="18.0" customHeight="1">
      <c r="A300" s="22" t="s">
        <v>2659</v>
      </c>
      <c r="B300" s="43" t="s">
        <v>4567</v>
      </c>
      <c r="C300" s="22" t="s">
        <v>2661</v>
      </c>
      <c r="D300" s="22" t="s">
        <v>119</v>
      </c>
      <c r="E300" s="43"/>
      <c r="F300" s="22" t="s">
        <v>4568</v>
      </c>
      <c r="G300" s="22" t="s">
        <v>2663</v>
      </c>
      <c r="H300" s="22" t="s">
        <v>3888</v>
      </c>
      <c r="I300" s="43"/>
      <c r="J300" s="43"/>
      <c r="K300" s="22" t="b">
        <v>1</v>
      </c>
      <c r="L300" s="22" t="b">
        <v>1</v>
      </c>
      <c r="M300" s="22" t="b">
        <v>1</v>
      </c>
      <c r="N300" s="22" t="b">
        <v>1</v>
      </c>
      <c r="O300" s="22" t="b">
        <v>0</v>
      </c>
      <c r="P300" s="22" t="b">
        <v>0</v>
      </c>
      <c r="Q300" s="22" t="b">
        <v>0</v>
      </c>
      <c r="R300" s="43"/>
      <c r="S300" s="43" t="s">
        <v>4569</v>
      </c>
      <c r="T300" s="22" t="s">
        <v>4567</v>
      </c>
      <c r="U300" s="22" t="s">
        <v>4567</v>
      </c>
      <c r="V300" s="22" t="s">
        <v>4567</v>
      </c>
      <c r="W300" s="43"/>
      <c r="X300" s="43"/>
      <c r="Y300" s="43"/>
      <c r="Z300" s="43"/>
      <c r="AA300" s="22">
        <v>9.5461301E7</v>
      </c>
      <c r="AB300" s="22">
        <v>6.69955177E8</v>
      </c>
      <c r="AC300" s="22">
        <v>1.03340891622E11</v>
      </c>
      <c r="AD300" s="22"/>
      <c r="AE300" s="22"/>
      <c r="AF300" s="43"/>
      <c r="AG300" s="43"/>
      <c r="AH300" s="43" t="s">
        <v>4568</v>
      </c>
      <c r="AI300" s="22" t="s">
        <v>4570</v>
      </c>
      <c r="AJ300" s="22" t="s">
        <v>4571</v>
      </c>
      <c r="AK300" s="22" t="s">
        <v>4571</v>
      </c>
      <c r="AL300" s="43"/>
      <c r="AM300" s="43"/>
      <c r="AN300" s="43"/>
      <c r="AO300" s="43"/>
      <c r="AP300" s="46" t="s">
        <v>4572</v>
      </c>
      <c r="AQ300" s="46" t="s">
        <v>4573</v>
      </c>
      <c r="AR300" s="46" t="s">
        <v>4574</v>
      </c>
      <c r="AS300" s="43"/>
      <c r="AT300" s="43"/>
      <c r="AU300" s="43"/>
      <c r="AV300" s="43"/>
      <c r="AW300" s="22" t="s">
        <v>649</v>
      </c>
      <c r="AX300" s="22" t="s">
        <v>4571</v>
      </c>
      <c r="AY300" s="22" t="s">
        <v>2692</v>
      </c>
      <c r="AZ300" s="43"/>
      <c r="BA300" s="43"/>
      <c r="BB300" s="43"/>
      <c r="BC300" s="43"/>
      <c r="BD300" s="43" t="s">
        <v>1449</v>
      </c>
      <c r="BE300" s="59" t="s">
        <v>2755</v>
      </c>
      <c r="BF300" s="22" t="s">
        <v>131</v>
      </c>
      <c r="BG300" s="22" t="s">
        <v>132</v>
      </c>
      <c r="BH300" s="22" t="s">
        <v>132</v>
      </c>
      <c r="BI300" s="22" t="s">
        <v>132</v>
      </c>
      <c r="BJ300" s="43"/>
      <c r="BK300" s="43"/>
      <c r="BL300" s="22">
        <v>4.631144115495E12</v>
      </c>
      <c r="BM300" s="22">
        <v>2.103909009E9</v>
      </c>
      <c r="BN300" s="22" t="s">
        <v>4575</v>
      </c>
      <c r="BO300" s="22"/>
      <c r="BP300" s="22" t="s">
        <v>496</v>
      </c>
      <c r="BQ300" s="43"/>
      <c r="BR300" s="43"/>
      <c r="BS300" s="22" t="s">
        <v>4576</v>
      </c>
      <c r="BT300" s="43"/>
      <c r="BU300" s="22" t="s">
        <v>4577</v>
      </c>
      <c r="BV300" s="43" t="s">
        <v>4578</v>
      </c>
      <c r="BW300" s="22" t="s">
        <v>4566</v>
      </c>
      <c r="BX300" s="22">
        <v>10.0</v>
      </c>
      <c r="BY300" s="22" t="s">
        <v>139</v>
      </c>
      <c r="BZ300" s="22"/>
      <c r="CA300" s="22"/>
      <c r="CB300" s="22"/>
      <c r="CC300" s="45" t="s">
        <v>4579</v>
      </c>
      <c r="CD300" s="43"/>
      <c r="CE300" s="43"/>
      <c r="CF300" s="45"/>
      <c r="CG300" s="43"/>
      <c r="CH300" s="43"/>
      <c r="CI300" s="43"/>
      <c r="CJ300" s="43"/>
      <c r="CK300" s="43"/>
      <c r="CL300" s="43"/>
      <c r="CM300" s="49">
        <f>IFERROR(VLOOKUP(B300,CC!A:D,4,0)," ")</f>
        <v>110.08</v>
      </c>
      <c r="CN300" s="22" t="s">
        <v>2681</v>
      </c>
      <c r="CO300" s="22"/>
      <c r="CP300" s="43"/>
      <c r="CQ300" s="22" t="s">
        <v>401</v>
      </c>
      <c r="CR300" s="43"/>
      <c r="CS300" s="22">
        <v>1.0</v>
      </c>
      <c r="CT300" s="22" t="s">
        <v>145</v>
      </c>
      <c r="CU300" s="43"/>
      <c r="CV300" s="43"/>
      <c r="CW300" s="43"/>
      <c r="CX300" s="43"/>
      <c r="CY300" s="43" t="b">
        <v>0</v>
      </c>
      <c r="CZ300" s="43" t="b">
        <v>0</v>
      </c>
      <c r="DA300" s="43" t="b">
        <v>0</v>
      </c>
      <c r="DB300" s="43" t="b">
        <v>0</v>
      </c>
      <c r="DC300" s="43"/>
      <c r="DD300" s="43"/>
      <c r="DE300" s="43"/>
      <c r="DF300" s="43"/>
      <c r="DG300" s="43"/>
      <c r="DH300" s="43"/>
      <c r="DI300" s="43"/>
      <c r="DJ300" s="22">
        <f>IFERROR(VLOOKUP($B300,'Лист4'!$D:$AI,27,0)," ")</f>
        <v>9</v>
      </c>
      <c r="DK300" s="22">
        <f>IFERROR(VLOOKUP($B300,'Лист4'!$D:$AI,28,0)," ")</f>
        <v>3</v>
      </c>
      <c r="DL300" s="22">
        <f>IFERROR(VLOOKUP($B300,'Лист4'!$D:$AI,29,0)," ")</f>
        <v>9</v>
      </c>
      <c r="DM300" s="22">
        <f t="shared" si="3"/>
        <v>243</v>
      </c>
      <c r="DN300" s="22">
        <f>IFERROR(VLOOKUP($B300,'Лист4'!$D:$AI,32,0)," ")</f>
        <v>0.02</v>
      </c>
      <c r="DO300" s="22"/>
      <c r="DP300" s="22"/>
      <c r="DQ300" s="22"/>
      <c r="DR300" s="22"/>
      <c r="DS300" s="22"/>
      <c r="DT300" s="22"/>
      <c r="DU300" s="22"/>
      <c r="DV300" s="22"/>
      <c r="DW300" s="22"/>
      <c r="DX300" s="22"/>
      <c r="DY300" s="22"/>
      <c r="DZ300" s="22"/>
      <c r="EA300" s="22"/>
      <c r="EB300" s="22"/>
      <c r="EC300" s="22"/>
      <c r="ED300" s="22"/>
      <c r="EE300" s="22"/>
      <c r="EF300" s="22"/>
      <c r="EG300" s="22"/>
      <c r="EH300" s="22"/>
      <c r="EI300" s="22"/>
      <c r="EJ300" s="22"/>
      <c r="EK300" s="22"/>
      <c r="EL300" s="22"/>
      <c r="EM300" s="22"/>
      <c r="EN300" s="22"/>
      <c r="EO300" s="22"/>
      <c r="EP300" s="22"/>
      <c r="EQ300" s="22"/>
      <c r="ER300" s="22"/>
      <c r="ES300" s="43"/>
      <c r="ET300" s="43"/>
      <c r="EU300" s="43"/>
      <c r="EV300" s="43"/>
      <c r="EW300" s="43"/>
      <c r="EX300" s="43"/>
      <c r="EY300" s="43"/>
      <c r="EZ300" s="43"/>
      <c r="FA300" s="43"/>
      <c r="FB300" s="43"/>
      <c r="FC300" s="43"/>
      <c r="FD300" s="43"/>
      <c r="FE300" s="43"/>
      <c r="FF300" s="43"/>
      <c r="FG300" s="43"/>
      <c r="FH300" s="43"/>
      <c r="FI300" s="43"/>
    </row>
    <row r="301" ht="18.0" customHeight="1">
      <c r="A301" s="22" t="s">
        <v>2659</v>
      </c>
      <c r="B301" s="43" t="s">
        <v>4580</v>
      </c>
      <c r="C301" s="22" t="s">
        <v>2661</v>
      </c>
      <c r="D301" s="22" t="s">
        <v>119</v>
      </c>
      <c r="E301" s="43"/>
      <c r="F301" s="22" t="s">
        <v>4581</v>
      </c>
      <c r="G301" s="22" t="s">
        <v>2663</v>
      </c>
      <c r="H301" s="22" t="s">
        <v>1027</v>
      </c>
      <c r="I301" s="43"/>
      <c r="J301" s="43"/>
      <c r="K301" s="22" t="b">
        <v>1</v>
      </c>
      <c r="L301" s="22" t="b">
        <v>1</v>
      </c>
      <c r="M301" s="22" t="b">
        <v>1</v>
      </c>
      <c r="N301" s="22" t="b">
        <v>1</v>
      </c>
      <c r="O301" s="22" t="b">
        <v>0</v>
      </c>
      <c r="P301" s="22" t="b">
        <v>0</v>
      </c>
      <c r="Q301" s="22" t="b">
        <v>0</v>
      </c>
      <c r="R301" s="43"/>
      <c r="S301" s="43" t="s">
        <v>4582</v>
      </c>
      <c r="T301" s="22" t="s">
        <v>4580</v>
      </c>
      <c r="U301" s="22" t="s">
        <v>4580</v>
      </c>
      <c r="V301" s="22" t="s">
        <v>4580</v>
      </c>
      <c r="W301" s="43"/>
      <c r="X301" s="43"/>
      <c r="Y301" s="43"/>
      <c r="Z301" s="43"/>
      <c r="AA301" s="22">
        <v>5.25496072E8</v>
      </c>
      <c r="AB301" s="22">
        <v>2.825129893E9</v>
      </c>
      <c r="AC301" s="22">
        <v>4.640678632E9</v>
      </c>
      <c r="AD301" s="22"/>
      <c r="AE301" s="22"/>
      <c r="AF301" s="43"/>
      <c r="AG301" s="43"/>
      <c r="AH301" s="43" t="s">
        <v>4581</v>
      </c>
      <c r="AI301" s="22" t="s">
        <v>2910</v>
      </c>
      <c r="AJ301" s="22" t="s">
        <v>4583</v>
      </c>
      <c r="AK301" s="22" t="s">
        <v>4583</v>
      </c>
      <c r="AL301" s="43"/>
      <c r="AM301" s="43"/>
      <c r="AN301" s="43"/>
      <c r="AO301" s="43"/>
      <c r="AP301" s="46" t="s">
        <v>4584</v>
      </c>
      <c r="AQ301" s="46" t="s">
        <v>4585</v>
      </c>
      <c r="AR301" s="46" t="s">
        <v>4586</v>
      </c>
      <c r="AS301" s="43"/>
      <c r="AT301" s="43"/>
      <c r="AU301" s="43"/>
      <c r="AV301" s="43"/>
      <c r="AW301" s="22" t="s">
        <v>649</v>
      </c>
      <c r="AX301" s="22" t="s">
        <v>4583</v>
      </c>
      <c r="AY301" s="22" t="s">
        <v>372</v>
      </c>
      <c r="AZ301" s="43"/>
      <c r="BA301" s="43"/>
      <c r="BB301" s="43"/>
      <c r="BC301" s="43"/>
      <c r="BD301" s="43" t="s">
        <v>1449</v>
      </c>
      <c r="BE301" s="59" t="s">
        <v>2755</v>
      </c>
      <c r="BF301" s="22" t="s">
        <v>131</v>
      </c>
      <c r="BG301" s="22" t="s">
        <v>132</v>
      </c>
      <c r="BH301" s="22" t="s">
        <v>132</v>
      </c>
      <c r="BI301" s="22" t="s">
        <v>132</v>
      </c>
      <c r="BJ301" s="43"/>
      <c r="BK301" s="43"/>
      <c r="BL301" s="22">
        <v>4.632456164782E12</v>
      </c>
      <c r="BM301" s="22">
        <v>2.103909009E9</v>
      </c>
      <c r="BN301" s="22" t="s">
        <v>3459</v>
      </c>
      <c r="BO301" s="22"/>
      <c r="BP301" s="22" t="s">
        <v>145</v>
      </c>
      <c r="BQ301" s="43"/>
      <c r="BR301" s="43"/>
      <c r="BS301" s="22" t="s">
        <v>2916</v>
      </c>
      <c r="BT301" s="43"/>
      <c r="BU301" s="22" t="s">
        <v>2917</v>
      </c>
      <c r="BV301" s="43" t="s">
        <v>2777</v>
      </c>
      <c r="BW301" s="22" t="s">
        <v>2778</v>
      </c>
      <c r="BX301" s="22">
        <v>10.0</v>
      </c>
      <c r="BY301" s="22" t="s">
        <v>2918</v>
      </c>
      <c r="BZ301" s="22"/>
      <c r="CA301" s="22" t="s">
        <v>3960</v>
      </c>
      <c r="CB301" s="22" t="s">
        <v>307</v>
      </c>
      <c r="CC301" s="45" t="s">
        <v>4587</v>
      </c>
      <c r="CD301" s="43"/>
      <c r="CE301" s="43"/>
      <c r="CF301" s="45"/>
      <c r="CG301" s="43"/>
      <c r="CH301" s="43"/>
      <c r="CI301" s="43"/>
      <c r="CJ301" s="43"/>
      <c r="CK301" s="43"/>
      <c r="CL301" s="43"/>
      <c r="CM301" s="49">
        <f>IFERROR(VLOOKUP(B301,CC!A:D,4,0)," ")</f>
        <v>232.56</v>
      </c>
      <c r="CN301" s="22" t="s">
        <v>2681</v>
      </c>
      <c r="CO301" s="22"/>
      <c r="CP301" s="22"/>
      <c r="CQ301" s="22">
        <v>45.0</v>
      </c>
      <c r="CR301" s="43"/>
      <c r="CS301" s="22">
        <v>1.0</v>
      </c>
      <c r="CT301" s="22" t="s">
        <v>145</v>
      </c>
      <c r="CU301" s="43"/>
      <c r="CV301" s="43"/>
      <c r="CW301" s="43"/>
      <c r="CX301" s="43"/>
      <c r="CY301" s="43" t="b">
        <v>0</v>
      </c>
      <c r="CZ301" s="43" t="b">
        <v>0</v>
      </c>
      <c r="DA301" s="43" t="b">
        <v>0</v>
      </c>
      <c r="DB301" s="43" t="b">
        <v>0</v>
      </c>
      <c r="DC301" s="43"/>
      <c r="DD301" s="43"/>
      <c r="DE301" s="43"/>
      <c r="DF301" s="43"/>
      <c r="DG301" s="43"/>
      <c r="DH301" s="43"/>
      <c r="DI301" s="43"/>
      <c r="DJ301" s="22">
        <f>IFERROR(VLOOKUP($B301,'Лист4'!$D:$AI,27,0)," ")</f>
        <v>9</v>
      </c>
      <c r="DK301" s="22">
        <f>IFERROR(VLOOKUP($B301,'Лист4'!$D:$AI,28,0)," ")</f>
        <v>14</v>
      </c>
      <c r="DL301" s="22">
        <f>IFERROR(VLOOKUP($B301,'Лист4'!$D:$AI,29,0)," ")</f>
        <v>9</v>
      </c>
      <c r="DM301" s="22">
        <f t="shared" si="3"/>
        <v>1134</v>
      </c>
      <c r="DN301" s="22">
        <f>IFERROR(VLOOKUP($B301,'Лист4'!$D:$AI,32,0)," ")</f>
        <v>0.099</v>
      </c>
      <c r="DO301" s="22"/>
      <c r="DP301" s="22"/>
      <c r="DQ301" s="22"/>
      <c r="DR301" s="22"/>
      <c r="DS301" s="22"/>
      <c r="DT301" s="22"/>
      <c r="DU301" s="22"/>
      <c r="DV301" s="22"/>
      <c r="DW301" s="22"/>
      <c r="DX301" s="22"/>
      <c r="DY301" s="22"/>
      <c r="DZ301" s="22"/>
      <c r="EA301" s="22"/>
      <c r="EB301" s="22"/>
      <c r="EC301" s="22"/>
      <c r="ED301" s="22"/>
      <c r="EE301" s="22"/>
      <c r="EF301" s="22"/>
      <c r="EG301" s="22"/>
      <c r="EH301" s="22"/>
      <c r="EI301" s="22"/>
      <c r="EJ301" s="22"/>
      <c r="EK301" s="22"/>
      <c r="EL301" s="22"/>
      <c r="EM301" s="22"/>
      <c r="EN301" s="22"/>
      <c r="EO301" s="22"/>
      <c r="EP301" s="22"/>
      <c r="EQ301" s="22"/>
      <c r="ER301" s="22"/>
      <c r="ES301" s="43"/>
      <c r="ET301" s="43"/>
      <c r="EU301" s="43"/>
      <c r="EV301" s="43"/>
      <c r="EW301" s="43"/>
      <c r="EX301" s="43"/>
      <c r="EY301" s="43"/>
      <c r="EZ301" s="43"/>
      <c r="FA301" s="43"/>
      <c r="FB301" s="43"/>
      <c r="FC301" s="43"/>
      <c r="FD301" s="43"/>
      <c r="FE301" s="43"/>
      <c r="FF301" s="43"/>
      <c r="FG301" s="43"/>
      <c r="FH301" s="43"/>
      <c r="FI301" s="43"/>
    </row>
    <row r="302" ht="18.0" customHeight="1">
      <c r="A302" s="22" t="s">
        <v>2659</v>
      </c>
      <c r="B302" s="43" t="s">
        <v>4588</v>
      </c>
      <c r="C302" s="22" t="s">
        <v>2661</v>
      </c>
      <c r="D302" s="22" t="s">
        <v>119</v>
      </c>
      <c r="E302" s="43"/>
      <c r="F302" s="22" t="s">
        <v>4589</v>
      </c>
      <c r="G302" s="22" t="s">
        <v>2663</v>
      </c>
      <c r="H302" s="22" t="s">
        <v>2664</v>
      </c>
      <c r="I302" s="43"/>
      <c r="J302" s="43"/>
      <c r="K302" s="22" t="b">
        <v>1</v>
      </c>
      <c r="L302" s="22" t="b">
        <v>1</v>
      </c>
      <c r="M302" s="22" t="b">
        <v>1</v>
      </c>
      <c r="N302" s="22" t="b">
        <v>1</v>
      </c>
      <c r="O302" s="22" t="b">
        <v>0</v>
      </c>
      <c r="P302" s="22" t="b">
        <v>0</v>
      </c>
      <c r="Q302" s="22" t="b">
        <v>0</v>
      </c>
      <c r="R302" s="43"/>
      <c r="S302" s="43" t="s">
        <v>4590</v>
      </c>
      <c r="T302" s="22" t="s">
        <v>4588</v>
      </c>
      <c r="U302" s="22" t="s">
        <v>4588</v>
      </c>
      <c r="V302" s="22" t="s">
        <v>4588</v>
      </c>
      <c r="W302" s="43"/>
      <c r="X302" s="43"/>
      <c r="Y302" s="43"/>
      <c r="Z302" s="43"/>
      <c r="AA302" s="22">
        <v>1.92909505E8</v>
      </c>
      <c r="AB302" s="22">
        <v>1.324991816E9</v>
      </c>
      <c r="AC302" s="22">
        <v>1.03614742296E11</v>
      </c>
      <c r="AD302" s="22"/>
      <c r="AE302" s="22"/>
      <c r="AF302" s="43"/>
      <c r="AG302" s="43"/>
      <c r="AH302" s="43" t="s">
        <v>4589</v>
      </c>
      <c r="AI302" s="22" t="s">
        <v>4303</v>
      </c>
      <c r="AJ302" s="22" t="s">
        <v>4591</v>
      </c>
      <c r="AK302" s="22" t="s">
        <v>4592</v>
      </c>
      <c r="AL302" s="43"/>
      <c r="AM302" s="43"/>
      <c r="AN302" s="43"/>
      <c r="AO302" s="43"/>
      <c r="AP302" s="46" t="s">
        <v>4593</v>
      </c>
      <c r="AQ302" s="46" t="s">
        <v>4594</v>
      </c>
      <c r="AR302" s="46" t="s">
        <v>4595</v>
      </c>
      <c r="AS302" s="43"/>
      <c r="AT302" s="43"/>
      <c r="AU302" s="43"/>
      <c r="AV302" s="43"/>
      <c r="AW302" s="22" t="s">
        <v>3445</v>
      </c>
      <c r="AX302" s="22" t="s">
        <v>4591</v>
      </c>
      <c r="AY302" s="22" t="s">
        <v>3123</v>
      </c>
      <c r="AZ302" s="43"/>
      <c r="BA302" s="43"/>
      <c r="BB302" s="43"/>
      <c r="BC302" s="43"/>
      <c r="BD302" s="43" t="s">
        <v>301</v>
      </c>
      <c r="BE302" s="59" t="s">
        <v>2755</v>
      </c>
      <c r="BF302" s="22" t="s">
        <v>131</v>
      </c>
      <c r="BG302" s="22" t="s">
        <v>132</v>
      </c>
      <c r="BH302" s="22" t="s">
        <v>132</v>
      </c>
      <c r="BI302" s="22" t="s">
        <v>132</v>
      </c>
      <c r="BJ302" s="43"/>
      <c r="BK302" s="43"/>
      <c r="BL302" s="22" t="s">
        <v>4596</v>
      </c>
      <c r="BM302" s="22">
        <v>3.30499E9</v>
      </c>
      <c r="BN302" s="22" t="s">
        <v>4597</v>
      </c>
      <c r="BO302" s="22"/>
      <c r="BP302" s="22" t="s">
        <v>145</v>
      </c>
      <c r="BQ302" s="43"/>
      <c r="BR302" s="43"/>
      <c r="BS302" s="22" t="s">
        <v>4598</v>
      </c>
      <c r="BT302" s="43"/>
      <c r="BU302" s="22" t="s">
        <v>4599</v>
      </c>
      <c r="BV302" s="43" t="s">
        <v>4600</v>
      </c>
      <c r="BW302" s="22" t="s">
        <v>4601</v>
      </c>
      <c r="BX302" s="22">
        <v>100.0</v>
      </c>
      <c r="BY302" s="22" t="s">
        <v>139</v>
      </c>
      <c r="BZ302" s="22"/>
      <c r="CA302" s="22" t="s">
        <v>355</v>
      </c>
      <c r="CB302" s="22" t="s">
        <v>307</v>
      </c>
      <c r="CC302" s="45" t="s">
        <v>4602</v>
      </c>
      <c r="CD302" s="43"/>
      <c r="CE302" s="43"/>
      <c r="CF302" s="45"/>
      <c r="CG302" s="43"/>
      <c r="CH302" s="43"/>
      <c r="CI302" s="43"/>
      <c r="CJ302" s="43"/>
      <c r="CK302" s="43"/>
      <c r="CL302" s="43"/>
      <c r="CM302" s="49">
        <f>IFERROR(VLOOKUP(B302,CC!A:D,4,0)," ")</f>
        <v>190.69</v>
      </c>
      <c r="CN302" s="22" t="s">
        <v>3155</v>
      </c>
      <c r="CO302" s="22"/>
      <c r="CP302" s="43"/>
      <c r="CQ302" s="22">
        <v>45.0</v>
      </c>
      <c r="CR302" s="43"/>
      <c r="CS302" s="22">
        <v>1.0</v>
      </c>
      <c r="CT302" s="22" t="s">
        <v>145</v>
      </c>
      <c r="CU302" s="43"/>
      <c r="CV302" s="43"/>
      <c r="CW302" s="43"/>
      <c r="CX302" s="43"/>
      <c r="CY302" s="43" t="b">
        <v>0</v>
      </c>
      <c r="CZ302" s="43" t="b">
        <v>0</v>
      </c>
      <c r="DA302" s="43" t="b">
        <v>0</v>
      </c>
      <c r="DB302" s="43" t="b">
        <v>0</v>
      </c>
      <c r="DC302" s="43"/>
      <c r="DD302" s="43"/>
      <c r="DE302" s="43"/>
      <c r="DF302" s="43"/>
      <c r="DG302" s="43"/>
      <c r="DH302" s="43"/>
      <c r="DI302" s="43"/>
      <c r="DJ302" s="22">
        <f>IFERROR(VLOOKUP($B302,'Лист4'!$D:$AI,27,0)," ")</f>
        <v>8</v>
      </c>
      <c r="DK302" s="22">
        <f>IFERROR(VLOOKUP($B302,'Лист4'!$D:$AI,28,0)," ")</f>
        <v>5</v>
      </c>
      <c r="DL302" s="22">
        <f>IFERROR(VLOOKUP($B302,'Лист4'!$D:$AI,29,0)," ")</f>
        <v>8</v>
      </c>
      <c r="DM302" s="22">
        <f t="shared" si="3"/>
        <v>320</v>
      </c>
      <c r="DN302" s="22">
        <f>IFERROR(VLOOKUP($B302,'Лист4'!$D:$AI,32,0)," ")</f>
        <v>0.14</v>
      </c>
      <c r="DO302" s="22"/>
      <c r="DP302" s="22"/>
      <c r="DQ302" s="22"/>
      <c r="DR302" s="22"/>
      <c r="DS302" s="22"/>
      <c r="DT302" s="22"/>
      <c r="DU302" s="22"/>
      <c r="DV302" s="22"/>
      <c r="DW302" s="22"/>
      <c r="DX302" s="22"/>
      <c r="DY302" s="22"/>
      <c r="DZ302" s="22"/>
      <c r="EA302" s="22"/>
      <c r="EB302" s="22"/>
      <c r="EC302" s="22"/>
      <c r="ED302" s="22"/>
      <c r="EE302" s="22"/>
      <c r="EF302" s="22"/>
      <c r="EG302" s="22"/>
      <c r="EH302" s="22"/>
      <c r="EI302" s="22"/>
      <c r="EJ302" s="22"/>
      <c r="EK302" s="22"/>
      <c r="EL302" s="22"/>
      <c r="EM302" s="22"/>
      <c r="EN302" s="22"/>
      <c r="EO302" s="22"/>
      <c r="EP302" s="22"/>
      <c r="EQ302" s="22"/>
      <c r="ER302" s="22"/>
      <c r="ES302" s="43"/>
      <c r="ET302" s="43"/>
      <c r="EU302" s="43"/>
      <c r="EV302" s="43"/>
      <c r="EW302" s="43"/>
      <c r="EX302" s="43"/>
      <c r="EY302" s="43"/>
      <c r="EZ302" s="43"/>
      <c r="FA302" s="43"/>
      <c r="FB302" s="43"/>
      <c r="FC302" s="43"/>
      <c r="FD302" s="43"/>
      <c r="FE302" s="43"/>
      <c r="FF302" s="43"/>
      <c r="FG302" s="43"/>
      <c r="FH302" s="43"/>
      <c r="FI302" s="43"/>
    </row>
    <row r="303" ht="18.0" customHeight="1">
      <c r="A303" s="22" t="s">
        <v>2659</v>
      </c>
      <c r="B303" s="43" t="s">
        <v>4603</v>
      </c>
      <c r="C303" s="22" t="s">
        <v>2661</v>
      </c>
      <c r="D303" s="22" t="s">
        <v>119</v>
      </c>
      <c r="E303" s="43"/>
      <c r="F303" s="22" t="s">
        <v>4604</v>
      </c>
      <c r="G303" s="22" t="s">
        <v>2663</v>
      </c>
      <c r="H303" s="22" t="s">
        <v>2703</v>
      </c>
      <c r="I303" s="43"/>
      <c r="J303" s="43"/>
      <c r="K303" s="22" t="b">
        <v>1</v>
      </c>
      <c r="L303" s="22" t="b">
        <v>1</v>
      </c>
      <c r="M303" s="22" t="b">
        <v>1</v>
      </c>
      <c r="N303" s="22" t="b">
        <v>1</v>
      </c>
      <c r="O303" s="22" t="b">
        <v>0</v>
      </c>
      <c r="P303" s="22" t="b">
        <v>0</v>
      </c>
      <c r="Q303" s="22" t="b">
        <v>0</v>
      </c>
      <c r="R303" s="43"/>
      <c r="S303" s="43" t="s">
        <v>4605</v>
      </c>
      <c r="T303" s="22" t="s">
        <v>4603</v>
      </c>
      <c r="U303" s="22" t="s">
        <v>4603</v>
      </c>
      <c r="V303" s="22" t="s">
        <v>4603</v>
      </c>
      <c r="W303" s="43"/>
      <c r="X303" s="43"/>
      <c r="Y303" s="43"/>
      <c r="Z303" s="43"/>
      <c r="AA303" s="22">
        <v>5.25491703E8</v>
      </c>
      <c r="AB303" s="22">
        <v>2.825063594E9</v>
      </c>
      <c r="AC303" s="22">
        <v>4.640677629E9</v>
      </c>
      <c r="AD303" s="22"/>
      <c r="AE303" s="22"/>
      <c r="AF303" s="43"/>
      <c r="AG303" s="43"/>
      <c r="AH303" s="43" t="s">
        <v>4604</v>
      </c>
      <c r="AI303" s="22" t="s">
        <v>2705</v>
      </c>
      <c r="AJ303" s="22" t="s">
        <v>4606</v>
      </c>
      <c r="AK303" s="22" t="s">
        <v>4606</v>
      </c>
      <c r="AL303" s="43"/>
      <c r="AM303" s="43"/>
      <c r="AN303" s="43"/>
      <c r="AO303" s="43"/>
      <c r="AP303" s="46" t="s">
        <v>4607</v>
      </c>
      <c r="AQ303" s="46" t="s">
        <v>4608</v>
      </c>
      <c r="AR303" s="46" t="s">
        <v>4609</v>
      </c>
      <c r="AS303" s="43"/>
      <c r="AT303" s="43"/>
      <c r="AU303" s="43"/>
      <c r="AV303" s="43"/>
      <c r="AW303" s="22" t="s">
        <v>649</v>
      </c>
      <c r="AX303" s="22" t="s">
        <v>4606</v>
      </c>
      <c r="AY303" s="22" t="s">
        <v>372</v>
      </c>
      <c r="AZ303" s="43"/>
      <c r="BA303" s="43"/>
      <c r="BB303" s="43"/>
      <c r="BC303" s="43"/>
      <c r="BD303" s="43" t="s">
        <v>1449</v>
      </c>
      <c r="BE303" s="59" t="s">
        <v>2674</v>
      </c>
      <c r="BF303" s="22" t="s">
        <v>131</v>
      </c>
      <c r="BG303" s="22" t="s">
        <v>132</v>
      </c>
      <c r="BH303" s="22" t="s">
        <v>132</v>
      </c>
      <c r="BI303" s="22" t="s">
        <v>132</v>
      </c>
      <c r="BJ303" s="43"/>
      <c r="BK303" s="43"/>
      <c r="BL303" s="22">
        <v>4.675893578767E12</v>
      </c>
      <c r="BM303" s="22">
        <v>2.106909808E9</v>
      </c>
      <c r="BN303" s="22" t="s">
        <v>2710</v>
      </c>
      <c r="BO303" s="22"/>
      <c r="BP303" s="22" t="s">
        <v>145</v>
      </c>
      <c r="BQ303" s="43"/>
      <c r="BR303" s="43"/>
      <c r="BS303" s="22" t="s">
        <v>2711</v>
      </c>
      <c r="BT303" s="22"/>
      <c r="BU303" s="22" t="s">
        <v>2712</v>
      </c>
      <c r="BV303" s="22" t="s">
        <v>2713</v>
      </c>
      <c r="BW303" s="22" t="s">
        <v>2133</v>
      </c>
      <c r="BX303" s="22">
        <v>10.0</v>
      </c>
      <c r="BY303" s="22" t="s">
        <v>2739</v>
      </c>
      <c r="BZ303" s="22"/>
      <c r="CA303" s="22"/>
      <c r="CB303" s="22"/>
      <c r="CC303" s="45" t="s">
        <v>2714</v>
      </c>
      <c r="CD303" s="43"/>
      <c r="CE303" s="43"/>
      <c r="CF303" s="45"/>
      <c r="CG303" s="43"/>
      <c r="CH303" s="43"/>
      <c r="CI303" s="43"/>
      <c r="CJ303" s="43"/>
      <c r="CK303" s="43"/>
      <c r="CL303" s="43"/>
      <c r="CM303" s="49">
        <f>IFERROR(VLOOKUP(B303,CC!A:D,4,0)," ")</f>
        <v>170.18</v>
      </c>
      <c r="CN303" s="22" t="s">
        <v>2715</v>
      </c>
      <c r="CO303" s="22"/>
      <c r="CP303" s="22"/>
      <c r="CQ303" s="22">
        <v>45.0</v>
      </c>
      <c r="CR303" s="43"/>
      <c r="CS303" s="22">
        <v>1.0</v>
      </c>
      <c r="CT303" s="22" t="s">
        <v>145</v>
      </c>
      <c r="CU303" s="43"/>
      <c r="CV303" s="43"/>
      <c r="CW303" s="43"/>
      <c r="CX303" s="43"/>
      <c r="CY303" s="43" t="b">
        <v>0</v>
      </c>
      <c r="CZ303" s="43" t="b">
        <v>0</v>
      </c>
      <c r="DA303" s="43" t="b">
        <v>0</v>
      </c>
      <c r="DB303" s="43" t="b">
        <v>0</v>
      </c>
      <c r="DC303" s="43"/>
      <c r="DD303" s="43"/>
      <c r="DE303" s="43"/>
      <c r="DF303" s="43"/>
      <c r="DG303" s="43"/>
      <c r="DH303" s="43"/>
      <c r="DI303" s="43"/>
      <c r="DJ303" s="22">
        <f>IFERROR(VLOOKUP($B303,'Лист4'!$D:$AI,27,0)," ")</f>
        <v>9</v>
      </c>
      <c r="DK303" s="22">
        <f>IFERROR(VLOOKUP($B303,'Лист4'!$D:$AI,28,0)," ")</f>
        <v>13</v>
      </c>
      <c r="DL303" s="22">
        <f>IFERROR(VLOOKUP($B303,'Лист4'!$D:$AI,29,0)," ")</f>
        <v>9</v>
      </c>
      <c r="DM303" s="22">
        <f t="shared" si="3"/>
        <v>1053</v>
      </c>
      <c r="DN303" s="22">
        <f>IFERROR(VLOOKUP($B303,'Лист4'!$D:$AI,32,0)," ")</f>
        <v>0.119</v>
      </c>
      <c r="DO303" s="22"/>
      <c r="DP303" s="22"/>
      <c r="DQ303" s="22"/>
      <c r="DR303" s="22"/>
      <c r="DS303" s="22"/>
      <c r="DT303" s="22"/>
      <c r="DU303" s="22"/>
      <c r="DV303" s="22"/>
      <c r="DW303" s="22"/>
      <c r="DX303" s="22"/>
      <c r="DY303" s="22"/>
      <c r="DZ303" s="22"/>
      <c r="EA303" s="22"/>
      <c r="EB303" s="22"/>
      <c r="EC303" s="22"/>
      <c r="ED303" s="22"/>
      <c r="EE303" s="22"/>
      <c r="EF303" s="22"/>
      <c r="EG303" s="22"/>
      <c r="EH303" s="22"/>
      <c r="EI303" s="22"/>
      <c r="EJ303" s="22"/>
      <c r="EK303" s="22"/>
      <c r="EL303" s="22"/>
      <c r="EM303" s="22"/>
      <c r="EN303" s="22"/>
      <c r="EO303" s="22"/>
      <c r="EP303" s="22"/>
      <c r="EQ303" s="22"/>
      <c r="ER303" s="22"/>
      <c r="ES303" s="43"/>
      <c r="ET303" s="43"/>
      <c r="EU303" s="43"/>
      <c r="EV303" s="43"/>
      <c r="EW303" s="43"/>
      <c r="EX303" s="43"/>
      <c r="EY303" s="43"/>
      <c r="EZ303" s="43"/>
      <c r="FA303" s="43"/>
      <c r="FB303" s="43"/>
      <c r="FC303" s="43"/>
      <c r="FD303" s="43"/>
      <c r="FE303" s="43"/>
      <c r="FF303" s="43"/>
      <c r="FG303" s="43"/>
      <c r="FH303" s="43"/>
      <c r="FI303" s="43"/>
    </row>
    <row r="304" ht="18.0" customHeight="1">
      <c r="A304" s="22" t="s">
        <v>2659</v>
      </c>
      <c r="B304" s="43" t="s">
        <v>4610</v>
      </c>
      <c r="C304" s="22" t="s">
        <v>2741</v>
      </c>
      <c r="D304" s="22" t="s">
        <v>119</v>
      </c>
      <c r="E304" s="43"/>
      <c r="F304" s="22" t="s">
        <v>4611</v>
      </c>
      <c r="G304" s="22" t="s">
        <v>2743</v>
      </c>
      <c r="H304" s="22" t="s">
        <v>1630</v>
      </c>
      <c r="I304" s="43"/>
      <c r="J304" s="43"/>
      <c r="K304" s="22" t="b">
        <v>1</v>
      </c>
      <c r="L304" s="22" t="b">
        <v>1</v>
      </c>
      <c r="M304" s="22" t="b">
        <v>1</v>
      </c>
      <c r="N304" s="22" t="b">
        <v>1</v>
      </c>
      <c r="O304" s="22" t="b">
        <v>1</v>
      </c>
      <c r="P304" s="22" t="b">
        <v>1</v>
      </c>
      <c r="Q304" s="22" t="b">
        <v>1</v>
      </c>
      <c r="R304" s="43"/>
      <c r="S304" s="43" t="s">
        <v>4612</v>
      </c>
      <c r="T304" s="22" t="s">
        <v>4610</v>
      </c>
      <c r="U304" s="22" t="s">
        <v>4610</v>
      </c>
      <c r="V304" s="22" t="s">
        <v>4610</v>
      </c>
      <c r="W304" s="43" t="s">
        <v>4610</v>
      </c>
      <c r="X304" s="43" t="s">
        <v>4610</v>
      </c>
      <c r="Y304" s="22" t="s">
        <v>4610</v>
      </c>
      <c r="Z304" s="43"/>
      <c r="AA304" s="22">
        <v>1.97560593E8</v>
      </c>
      <c r="AB304" s="22">
        <v>1.350956924E9</v>
      </c>
      <c r="AC304" s="22">
        <v>1.03745682453E11</v>
      </c>
      <c r="AD304" s="22">
        <v>9.9000076202E10</v>
      </c>
      <c r="AE304" s="22" t="s">
        <v>4613</v>
      </c>
      <c r="AF304" s="22" t="s">
        <v>4614</v>
      </c>
      <c r="AG304" s="43"/>
      <c r="AH304" s="43" t="s">
        <v>4611</v>
      </c>
      <c r="AI304" s="22" t="s">
        <v>4615</v>
      </c>
      <c r="AJ304" s="22" t="s">
        <v>4611</v>
      </c>
      <c r="AK304" s="22" t="s">
        <v>4616</v>
      </c>
      <c r="AL304" s="22" t="s">
        <v>4617</v>
      </c>
      <c r="AM304" s="22" t="s">
        <v>4618</v>
      </c>
      <c r="AN304" s="22" t="s">
        <v>4619</v>
      </c>
      <c r="AO304" s="43"/>
      <c r="AP304" s="46" t="s">
        <v>4620</v>
      </c>
      <c r="AQ304" s="46" t="s">
        <v>4621</v>
      </c>
      <c r="AR304" s="46" t="s">
        <v>4622</v>
      </c>
      <c r="AS304" s="46" t="s">
        <v>4623</v>
      </c>
      <c r="AT304" s="46" t="s">
        <v>4624</v>
      </c>
      <c r="AU304" s="46" t="s">
        <v>4625</v>
      </c>
      <c r="AV304" s="43"/>
      <c r="AW304" s="22" t="s">
        <v>1642</v>
      </c>
      <c r="AX304" s="22" t="s">
        <v>4611</v>
      </c>
      <c r="AY304" s="22" t="s">
        <v>1643</v>
      </c>
      <c r="AZ304" s="22" t="s">
        <v>1644</v>
      </c>
      <c r="BA304" s="22" t="s">
        <v>1645</v>
      </c>
      <c r="BB304" s="22" t="s">
        <v>4626</v>
      </c>
      <c r="BC304" s="22"/>
      <c r="BD304" s="43" t="s">
        <v>301</v>
      </c>
      <c r="BE304" s="59" t="s">
        <v>2674</v>
      </c>
      <c r="BF304" s="22" t="s">
        <v>131</v>
      </c>
      <c r="BG304" s="22" t="s">
        <v>132</v>
      </c>
      <c r="BH304" s="22" t="s">
        <v>132</v>
      </c>
      <c r="BI304" s="22" t="s">
        <v>132</v>
      </c>
      <c r="BJ304" s="43"/>
      <c r="BK304" s="43"/>
      <c r="BL304" s="22" t="s">
        <v>1646</v>
      </c>
      <c r="BM304" s="22">
        <v>3.30499E9</v>
      </c>
      <c r="BN304" s="22" t="s">
        <v>4627</v>
      </c>
      <c r="BO304" s="22"/>
      <c r="BP304" s="22" t="s">
        <v>303</v>
      </c>
      <c r="BQ304" s="43"/>
      <c r="BR304" s="43"/>
      <c r="BS304" s="22" t="s">
        <v>1648</v>
      </c>
      <c r="BT304" s="43"/>
      <c r="BU304" s="22" t="s">
        <v>4628</v>
      </c>
      <c r="BV304" s="22" t="s">
        <v>1650</v>
      </c>
      <c r="BW304" s="22" t="s">
        <v>1651</v>
      </c>
      <c r="BX304" s="22">
        <v>40.0</v>
      </c>
      <c r="BY304" s="22" t="s">
        <v>139</v>
      </c>
      <c r="BZ304" s="43"/>
      <c r="CA304" s="22" t="s">
        <v>726</v>
      </c>
      <c r="CB304" s="22" t="s">
        <v>727</v>
      </c>
      <c r="CC304" s="45" t="s">
        <v>4629</v>
      </c>
      <c r="CD304" s="43"/>
      <c r="CE304" s="43"/>
      <c r="CF304" s="45"/>
      <c r="CG304" s="43"/>
      <c r="CH304" s="43"/>
      <c r="CI304" s="43"/>
      <c r="CJ304" s="43"/>
      <c r="CK304" s="43"/>
      <c r="CL304" s="43"/>
      <c r="CM304" s="49">
        <f>IFERROR(VLOOKUP(B304,CC!A:D,4,0)," ")</f>
        <v>49.5</v>
      </c>
      <c r="CN304" s="22" t="s">
        <v>1653</v>
      </c>
      <c r="CO304" s="22"/>
      <c r="CP304" s="43"/>
      <c r="CQ304" s="22">
        <v>30.0</v>
      </c>
      <c r="CR304" s="43"/>
      <c r="CS304" s="22">
        <v>1.0</v>
      </c>
      <c r="CT304" s="22" t="s">
        <v>145</v>
      </c>
      <c r="CU304" s="43"/>
      <c r="CV304" s="43"/>
      <c r="CW304" s="43"/>
      <c r="CX304" s="43"/>
      <c r="CY304" s="43" t="b">
        <v>0</v>
      </c>
      <c r="CZ304" s="43" t="b">
        <v>0</v>
      </c>
      <c r="DA304" s="43" t="b">
        <v>0</v>
      </c>
      <c r="DB304" s="43" t="b">
        <v>0</v>
      </c>
      <c r="DC304" s="43"/>
      <c r="DD304" s="43"/>
      <c r="DE304" s="43"/>
      <c r="DF304" s="43"/>
      <c r="DG304" s="43"/>
      <c r="DH304" s="43"/>
      <c r="DI304" s="43"/>
      <c r="DJ304" s="22">
        <f>IFERROR(VLOOKUP($B304,'Лист4'!$D:$AI,27,0)," ")</f>
        <v>7</v>
      </c>
      <c r="DK304" s="22">
        <f>IFERROR(VLOOKUP($B304,'Лист4'!$D:$AI,28,0)," ")</f>
        <v>2</v>
      </c>
      <c r="DL304" s="22">
        <f>IFERROR(VLOOKUP($B304,'Лист4'!$D:$AI,29,0)," ")</f>
        <v>7</v>
      </c>
      <c r="DM304" s="22">
        <f t="shared" si="3"/>
        <v>98</v>
      </c>
      <c r="DN304" s="22">
        <f>IFERROR(VLOOKUP($B304,'Лист4'!$D:$AI,32,0)," ")</f>
        <v>0.082</v>
      </c>
      <c r="DO304" s="22"/>
      <c r="DP304" s="22"/>
      <c r="DQ304" s="22"/>
      <c r="DR304" s="22"/>
      <c r="DS304" s="22"/>
      <c r="DT304" s="22"/>
      <c r="DU304" s="22"/>
      <c r="DV304" s="22"/>
      <c r="DW304" s="22"/>
      <c r="DX304" s="22"/>
      <c r="DY304" s="22"/>
      <c r="DZ304" s="22"/>
      <c r="EA304" s="22"/>
      <c r="EB304" s="22"/>
      <c r="EC304" s="22"/>
      <c r="ED304" s="22"/>
      <c r="EE304" s="22"/>
      <c r="EF304" s="22"/>
      <c r="EG304" s="22"/>
      <c r="EH304" s="22"/>
      <c r="EI304" s="22"/>
      <c r="EJ304" s="22"/>
      <c r="EK304" s="22"/>
      <c r="EL304" s="22"/>
      <c r="EM304" s="22"/>
      <c r="EN304" s="22"/>
      <c r="EO304" s="22"/>
      <c r="EP304" s="22"/>
      <c r="EQ304" s="22"/>
      <c r="ER304" s="22"/>
      <c r="ES304" s="43"/>
      <c r="ET304" s="43"/>
      <c r="EU304" s="43"/>
      <c r="EV304" s="43"/>
      <c r="EW304" s="43"/>
      <c r="EX304" s="43"/>
      <c r="EY304" s="43"/>
      <c r="EZ304" s="43"/>
      <c r="FA304" s="43"/>
      <c r="FB304" s="43"/>
      <c r="FC304" s="43"/>
      <c r="FD304" s="43"/>
      <c r="FE304" s="43"/>
      <c r="FF304" s="43"/>
      <c r="FG304" s="43"/>
      <c r="FH304" s="43"/>
      <c r="FI304" s="43"/>
    </row>
    <row r="305" ht="18.0" customHeight="1">
      <c r="A305" s="22" t="s">
        <v>2659</v>
      </c>
      <c r="B305" s="43" t="s">
        <v>4630</v>
      </c>
      <c r="C305" s="22" t="s">
        <v>2661</v>
      </c>
      <c r="D305" s="22" t="s">
        <v>119</v>
      </c>
      <c r="E305" s="43"/>
      <c r="F305" s="22" t="s">
        <v>4631</v>
      </c>
      <c r="G305" s="22" t="s">
        <v>2663</v>
      </c>
      <c r="H305" s="22" t="s">
        <v>4045</v>
      </c>
      <c r="I305" s="43"/>
      <c r="J305" s="43"/>
      <c r="K305" s="22" t="b">
        <v>1</v>
      </c>
      <c r="L305" s="22" t="b">
        <v>1</v>
      </c>
      <c r="M305" s="22" t="b">
        <v>1</v>
      </c>
      <c r="N305" s="22" t="b">
        <v>0</v>
      </c>
      <c r="O305" s="22" t="b">
        <v>0</v>
      </c>
      <c r="P305" s="22" t="b">
        <v>0</v>
      </c>
      <c r="Q305" s="22" t="b">
        <v>0</v>
      </c>
      <c r="R305" s="43"/>
      <c r="S305" s="43" t="s">
        <v>4632</v>
      </c>
      <c r="T305" s="22" t="s">
        <v>4630</v>
      </c>
      <c r="U305" s="22" t="s">
        <v>4630</v>
      </c>
      <c r="V305" s="22"/>
      <c r="W305" s="43"/>
      <c r="X305" s="43"/>
      <c r="Y305" s="43"/>
      <c r="Z305" s="43"/>
      <c r="AA305" s="22">
        <v>1.72160798E8</v>
      </c>
      <c r="AB305" s="22">
        <v>1.154571921E9</v>
      </c>
      <c r="AC305" s="22"/>
      <c r="AD305" s="22"/>
      <c r="AE305" s="22"/>
      <c r="AF305" s="43"/>
      <c r="AG305" s="43"/>
      <c r="AH305" s="43" t="s">
        <v>4631</v>
      </c>
      <c r="AI305" s="22" t="s">
        <v>4633</v>
      </c>
      <c r="AJ305" s="22" t="s">
        <v>4634</v>
      </c>
      <c r="AK305" s="43"/>
      <c r="AL305" s="43"/>
      <c r="AM305" s="43"/>
      <c r="AN305" s="43"/>
      <c r="AO305" s="43"/>
      <c r="AP305" s="46" t="s">
        <v>4635</v>
      </c>
      <c r="AQ305" s="46" t="s">
        <v>4636</v>
      </c>
      <c r="AR305" s="43"/>
      <c r="AS305" s="43"/>
      <c r="AT305" s="43"/>
      <c r="AU305" s="43"/>
      <c r="AV305" s="43"/>
      <c r="AW305" s="22" t="s">
        <v>528</v>
      </c>
      <c r="AX305" s="22" t="s">
        <v>4634</v>
      </c>
      <c r="AY305" s="43"/>
      <c r="AZ305" s="43"/>
      <c r="BA305" s="43"/>
      <c r="BB305" s="43"/>
      <c r="BC305" s="43"/>
      <c r="BD305" s="43" t="s">
        <v>2993</v>
      </c>
      <c r="BE305" s="59" t="s">
        <v>2755</v>
      </c>
      <c r="BF305" s="22" t="s">
        <v>131</v>
      </c>
      <c r="BG305" s="22" t="s">
        <v>132</v>
      </c>
      <c r="BH305" s="22" t="s">
        <v>132</v>
      </c>
      <c r="BI305" s="22" t="s">
        <v>132</v>
      </c>
      <c r="BJ305" s="43"/>
      <c r="BK305" s="43"/>
      <c r="BL305" s="22">
        <v>2.038301341797E12</v>
      </c>
      <c r="BM305" s="22">
        <v>2106.0</v>
      </c>
      <c r="BN305" s="22" t="s">
        <v>4637</v>
      </c>
      <c r="BO305" s="22"/>
      <c r="BP305" s="22" t="s">
        <v>145</v>
      </c>
      <c r="BQ305" s="43"/>
      <c r="BR305" s="43"/>
      <c r="BS305" s="22" t="s">
        <v>4638</v>
      </c>
      <c r="BT305" s="22"/>
      <c r="BU305" s="22" t="s">
        <v>4639</v>
      </c>
      <c r="BV305" s="22" t="s">
        <v>4640</v>
      </c>
      <c r="BW305" s="22" t="s">
        <v>4641</v>
      </c>
      <c r="BX305" s="22"/>
      <c r="BY305" s="43"/>
      <c r="BZ305" s="43"/>
      <c r="CA305" s="22"/>
      <c r="CB305" s="22"/>
      <c r="CC305" s="45"/>
      <c r="CD305" s="43"/>
      <c r="CE305" s="43"/>
      <c r="CF305" s="45"/>
      <c r="CG305" s="43"/>
      <c r="CH305" s="43"/>
      <c r="CI305" s="43"/>
      <c r="CJ305" s="43"/>
      <c r="CK305" s="43"/>
      <c r="CL305" s="43"/>
      <c r="CM305" s="49">
        <f>IFERROR(VLOOKUP(B305,CC!A:D,4,0)," ")</f>
        <v>276.84</v>
      </c>
      <c r="CN305" s="22" t="s">
        <v>2873</v>
      </c>
      <c r="CO305" s="22"/>
      <c r="CP305" s="43"/>
      <c r="CQ305" s="22">
        <v>45.0</v>
      </c>
      <c r="CR305" s="43"/>
      <c r="CS305" s="22">
        <v>1.0</v>
      </c>
      <c r="CT305" s="22" t="s">
        <v>145</v>
      </c>
      <c r="CU305" s="43"/>
      <c r="CV305" s="43"/>
      <c r="CW305" s="43"/>
      <c r="CX305" s="43"/>
      <c r="CY305" s="43" t="b">
        <v>0</v>
      </c>
      <c r="CZ305" s="43" t="b">
        <v>0</v>
      </c>
      <c r="DA305" s="43" t="b">
        <v>0</v>
      </c>
      <c r="DB305" s="43" t="b">
        <v>0</v>
      </c>
      <c r="DC305" s="43"/>
      <c r="DD305" s="43"/>
      <c r="DE305" s="43"/>
      <c r="DF305" s="43"/>
      <c r="DG305" s="43"/>
      <c r="DH305" s="43"/>
      <c r="DI305" s="43"/>
      <c r="DJ305" s="22">
        <f>IFERROR(VLOOKUP($B305,'Лист4'!$D:$AI,27,0)," ")</f>
        <v>21</v>
      </c>
      <c r="DK305" s="22">
        <f>IFERROR(VLOOKUP($B305,'Лист4'!$D:$AI,28,0)," ")</f>
        <v>6</v>
      </c>
      <c r="DL305" s="22">
        <f>IFERROR(VLOOKUP($B305,'Лист4'!$D:$AI,29,0)," ")</f>
        <v>21</v>
      </c>
      <c r="DM305" s="22">
        <f t="shared" si="3"/>
        <v>2646</v>
      </c>
      <c r="DN305" s="22">
        <f>IFERROR(VLOOKUP($B305,'Лист4'!$D:$AI,32,0)," ")</f>
        <v>0.138</v>
      </c>
      <c r="DO305" s="22"/>
      <c r="DP305" s="22"/>
      <c r="DQ305" s="22"/>
      <c r="DR305" s="22"/>
      <c r="DS305" s="22"/>
      <c r="DT305" s="22"/>
      <c r="DU305" s="22"/>
      <c r="DV305" s="22"/>
      <c r="DW305" s="22"/>
      <c r="DX305" s="22"/>
      <c r="DY305" s="22"/>
      <c r="DZ305" s="22"/>
      <c r="EA305" s="22"/>
      <c r="EB305" s="22"/>
      <c r="EC305" s="22"/>
      <c r="ED305" s="22"/>
      <c r="EE305" s="22"/>
      <c r="EF305" s="22"/>
      <c r="EG305" s="22"/>
      <c r="EH305" s="22"/>
      <c r="EI305" s="22"/>
      <c r="EJ305" s="22"/>
      <c r="EK305" s="22"/>
      <c r="EL305" s="22"/>
      <c r="EM305" s="22"/>
      <c r="EN305" s="22"/>
      <c r="EO305" s="22"/>
      <c r="EP305" s="22"/>
      <c r="EQ305" s="22"/>
      <c r="ER305" s="22"/>
      <c r="ES305" s="43"/>
      <c r="ET305" s="43"/>
      <c r="EU305" s="43"/>
      <c r="EV305" s="43"/>
      <c r="EW305" s="43"/>
      <c r="EX305" s="43"/>
      <c r="EY305" s="43"/>
      <c r="EZ305" s="43"/>
      <c r="FA305" s="43"/>
      <c r="FB305" s="43"/>
      <c r="FC305" s="43"/>
      <c r="FD305" s="43"/>
      <c r="FE305" s="43"/>
      <c r="FF305" s="43"/>
      <c r="FG305" s="43"/>
      <c r="FH305" s="43"/>
      <c r="FI305" s="43"/>
    </row>
    <row r="306" ht="18.0" customHeight="1">
      <c r="A306" s="22" t="s">
        <v>2659</v>
      </c>
      <c r="B306" s="43" t="s">
        <v>4642</v>
      </c>
      <c r="C306" s="22" t="s">
        <v>2741</v>
      </c>
      <c r="D306" s="22" t="s">
        <v>187</v>
      </c>
      <c r="E306" s="43" t="s">
        <v>4643</v>
      </c>
      <c r="F306" s="22" t="s">
        <v>4644</v>
      </c>
      <c r="G306" s="22" t="s">
        <v>361</v>
      </c>
      <c r="H306" s="22" t="s">
        <v>3158</v>
      </c>
      <c r="I306" s="43"/>
      <c r="J306" s="43"/>
      <c r="K306" s="22" t="b">
        <v>1</v>
      </c>
      <c r="L306" s="22" t="b">
        <v>1</v>
      </c>
      <c r="M306" s="22" t="b">
        <v>1</v>
      </c>
      <c r="N306" s="22" t="b">
        <v>1</v>
      </c>
      <c r="O306" s="22" t="b">
        <v>0</v>
      </c>
      <c r="P306" s="22" t="b">
        <v>0</v>
      </c>
      <c r="Q306" s="22" t="b">
        <v>0</v>
      </c>
      <c r="R306" s="43"/>
      <c r="S306" s="43" t="s">
        <v>4645</v>
      </c>
      <c r="T306" s="22" t="s">
        <v>4642</v>
      </c>
      <c r="U306" s="22" t="s">
        <v>4642</v>
      </c>
      <c r="V306" s="22" t="s">
        <v>4642</v>
      </c>
      <c r="W306" s="43"/>
      <c r="X306" s="43"/>
      <c r="Y306" s="43"/>
      <c r="Z306" s="43"/>
      <c r="AA306" s="22">
        <v>1.75788642E8</v>
      </c>
      <c r="AB306" s="22">
        <v>1.171921502E9</v>
      </c>
      <c r="AC306" s="22">
        <v>1.03333756199E11</v>
      </c>
      <c r="AD306" s="22"/>
      <c r="AE306" s="22"/>
      <c r="AF306" s="43"/>
      <c r="AG306" s="43"/>
      <c r="AH306" s="43" t="s">
        <v>4644</v>
      </c>
      <c r="AI306" s="22" t="s">
        <v>4646</v>
      </c>
      <c r="AJ306" s="22" t="s">
        <v>4647</v>
      </c>
      <c r="AK306" s="22" t="s">
        <v>4647</v>
      </c>
      <c r="AL306" s="43"/>
      <c r="AM306" s="43"/>
      <c r="AN306" s="43"/>
      <c r="AO306" s="43"/>
      <c r="AP306" s="46" t="s">
        <v>4648</v>
      </c>
      <c r="AQ306" s="46" t="s">
        <v>4649</v>
      </c>
      <c r="AR306" s="46" t="s">
        <v>4650</v>
      </c>
      <c r="AS306" s="43"/>
      <c r="AT306" s="43"/>
      <c r="AU306" s="43"/>
      <c r="AV306" s="43"/>
      <c r="AW306" s="22" t="s">
        <v>361</v>
      </c>
      <c r="AX306" s="22" t="s">
        <v>4647</v>
      </c>
      <c r="AY306" s="22" t="s">
        <v>2692</v>
      </c>
      <c r="AZ306" s="43"/>
      <c r="BA306" s="43"/>
      <c r="BB306" s="43"/>
      <c r="BC306" s="43"/>
      <c r="BD306" s="43" t="s">
        <v>2993</v>
      </c>
      <c r="BE306" s="59" t="s">
        <v>2674</v>
      </c>
      <c r="BF306" s="22" t="s">
        <v>131</v>
      </c>
      <c r="BG306" s="22" t="s">
        <v>132</v>
      </c>
      <c r="BH306" s="22" t="s">
        <v>132</v>
      </c>
      <c r="BI306" s="22" t="s">
        <v>132</v>
      </c>
      <c r="BJ306" s="43"/>
      <c r="BK306" s="43"/>
      <c r="BL306" s="22">
        <v>4.607025203162E12</v>
      </c>
      <c r="BM306" s="22">
        <v>2.106909808E9</v>
      </c>
      <c r="BN306" s="22" t="s">
        <v>4651</v>
      </c>
      <c r="BO306" s="22"/>
      <c r="BP306" s="22" t="s">
        <v>496</v>
      </c>
      <c r="BQ306" s="43"/>
      <c r="BR306" s="43"/>
      <c r="BS306" s="22" t="s">
        <v>4652</v>
      </c>
      <c r="BT306" s="43"/>
      <c r="BU306" s="22" t="s">
        <v>4653</v>
      </c>
      <c r="BV306" s="43" t="s">
        <v>4654</v>
      </c>
      <c r="BW306" s="22" t="s">
        <v>4436</v>
      </c>
      <c r="BX306" s="22">
        <v>60.0</v>
      </c>
      <c r="BY306" s="22" t="s">
        <v>492</v>
      </c>
      <c r="BZ306" s="22"/>
      <c r="CA306" s="22" t="s">
        <v>355</v>
      </c>
      <c r="CB306" s="22" t="s">
        <v>307</v>
      </c>
      <c r="CC306" s="45" t="s">
        <v>4655</v>
      </c>
      <c r="CD306" s="43"/>
      <c r="CE306" s="43"/>
      <c r="CF306" s="45"/>
      <c r="CG306" s="43"/>
      <c r="CH306" s="43"/>
      <c r="CI306" s="43"/>
      <c r="CJ306" s="43"/>
      <c r="CK306" s="43"/>
      <c r="CL306" s="43"/>
      <c r="CM306" s="49">
        <f>IFERROR(VLOOKUP(B306,CC!A:D,4,0)," ")</f>
        <v>254.1</v>
      </c>
      <c r="CN306" s="22" t="s">
        <v>4656</v>
      </c>
      <c r="CO306" s="22"/>
      <c r="CP306" s="22" t="s">
        <v>4657</v>
      </c>
      <c r="CQ306" s="22" t="s">
        <v>401</v>
      </c>
      <c r="CR306" s="43"/>
      <c r="CS306" s="22">
        <v>1.0</v>
      </c>
      <c r="CT306" s="22" t="s">
        <v>145</v>
      </c>
      <c r="CU306" s="43"/>
      <c r="CV306" s="43"/>
      <c r="CW306" s="43"/>
      <c r="CX306" s="43"/>
      <c r="CY306" s="43" t="b">
        <v>0</v>
      </c>
      <c r="CZ306" s="43" t="b">
        <v>0</v>
      </c>
      <c r="DA306" s="43" t="b">
        <v>0</v>
      </c>
      <c r="DB306" s="43" t="b">
        <v>0</v>
      </c>
      <c r="DC306" s="43"/>
      <c r="DD306" s="43"/>
      <c r="DE306" s="43"/>
      <c r="DF306" s="43"/>
      <c r="DG306" s="43"/>
      <c r="DH306" s="43"/>
      <c r="DI306" s="43"/>
      <c r="DJ306" s="22">
        <f>IFERROR(VLOOKUP($B306,'Лист4'!$D:$AI,27,0)," ")</f>
        <v>5</v>
      </c>
      <c r="DK306" s="22">
        <f>IFERROR(VLOOKUP($B306,'Лист4'!$D:$AI,28,0)," ")</f>
        <v>5</v>
      </c>
      <c r="DL306" s="22">
        <f>IFERROR(VLOOKUP($B306,'Лист4'!$D:$AI,29,0)," ")</f>
        <v>5</v>
      </c>
      <c r="DM306" s="22">
        <f t="shared" si="3"/>
        <v>125</v>
      </c>
      <c r="DN306" s="22">
        <f>IFERROR(VLOOKUP($B306,'Лист4'!$D:$AI,32,0)," ")</f>
        <v>0.064</v>
      </c>
      <c r="DO306" s="22"/>
      <c r="DP306" s="22"/>
      <c r="DQ306" s="22"/>
      <c r="DR306" s="22"/>
      <c r="DS306" s="22"/>
      <c r="DT306" s="22"/>
      <c r="DU306" s="22"/>
      <c r="DV306" s="22"/>
      <c r="DW306" s="22"/>
      <c r="DX306" s="22"/>
      <c r="DY306" s="22"/>
      <c r="DZ306" s="22"/>
      <c r="EA306" s="22"/>
      <c r="EB306" s="22"/>
      <c r="EC306" s="22"/>
      <c r="ED306" s="22"/>
      <c r="EE306" s="22"/>
      <c r="EF306" s="22"/>
      <c r="EG306" s="22"/>
      <c r="EH306" s="22"/>
      <c r="EI306" s="22"/>
      <c r="EJ306" s="22"/>
      <c r="EK306" s="22"/>
      <c r="EL306" s="22"/>
      <c r="EM306" s="22"/>
      <c r="EN306" s="22"/>
      <c r="EO306" s="22"/>
      <c r="EP306" s="22"/>
      <c r="EQ306" s="22"/>
      <c r="ER306" s="22"/>
      <c r="ES306" s="43"/>
      <c r="ET306" s="43"/>
      <c r="EU306" s="43"/>
      <c r="EV306" s="43"/>
      <c r="EW306" s="43"/>
      <c r="EX306" s="43"/>
      <c r="EY306" s="43"/>
      <c r="EZ306" s="43"/>
      <c r="FA306" s="43"/>
      <c r="FB306" s="43"/>
      <c r="FC306" s="43"/>
      <c r="FD306" s="43"/>
      <c r="FE306" s="43"/>
      <c r="FF306" s="43"/>
      <c r="FG306" s="43"/>
      <c r="FH306" s="43"/>
      <c r="FI306" s="43"/>
    </row>
    <row r="307" ht="18.0" customHeight="1">
      <c r="A307" s="22" t="s">
        <v>2659</v>
      </c>
      <c r="B307" s="43" t="s">
        <v>4658</v>
      </c>
      <c r="C307" s="22" t="s">
        <v>2661</v>
      </c>
      <c r="D307" s="22" t="s">
        <v>119</v>
      </c>
      <c r="E307" s="43"/>
      <c r="F307" s="22" t="s">
        <v>4659</v>
      </c>
      <c r="G307" s="22" t="s">
        <v>4660</v>
      </c>
      <c r="H307" s="22" t="s">
        <v>4661</v>
      </c>
      <c r="I307" s="43"/>
      <c r="J307" s="43"/>
      <c r="K307" s="22" t="b">
        <v>1</v>
      </c>
      <c r="L307" s="22" t="b">
        <v>1</v>
      </c>
      <c r="M307" s="22" t="b">
        <v>1</v>
      </c>
      <c r="N307" s="22" t="b">
        <v>1</v>
      </c>
      <c r="O307" s="22" t="b">
        <v>0</v>
      </c>
      <c r="P307" s="22" t="b">
        <v>0</v>
      </c>
      <c r="Q307" s="22" t="b">
        <v>0</v>
      </c>
      <c r="R307" s="43"/>
      <c r="S307" s="43" t="s">
        <v>4662</v>
      </c>
      <c r="T307" s="22" t="s">
        <v>4658</v>
      </c>
      <c r="U307" s="22" t="s">
        <v>4658</v>
      </c>
      <c r="V307" s="22" t="s">
        <v>4658</v>
      </c>
      <c r="W307" s="43"/>
      <c r="X307" s="43"/>
      <c r="Y307" s="43"/>
      <c r="Z307" s="43"/>
      <c r="AA307" s="22">
        <v>1.7907051E7</v>
      </c>
      <c r="AB307" s="22">
        <v>2.86744793E8</v>
      </c>
      <c r="AC307" s="22">
        <v>4.569814034E9</v>
      </c>
      <c r="AD307" s="22"/>
      <c r="AE307" s="22"/>
      <c r="AF307" s="43"/>
      <c r="AG307" s="43"/>
      <c r="AH307" s="43" t="s">
        <v>4659</v>
      </c>
      <c r="AI307" s="22" t="s">
        <v>4663</v>
      </c>
      <c r="AJ307" s="22" t="s">
        <v>4664</v>
      </c>
      <c r="AK307" s="22" t="s">
        <v>4664</v>
      </c>
      <c r="AL307" s="43"/>
      <c r="AM307" s="43"/>
      <c r="AN307" s="43"/>
      <c r="AO307" s="43"/>
      <c r="AP307" s="46" t="s">
        <v>4665</v>
      </c>
      <c r="AQ307" s="46" t="s">
        <v>4666</v>
      </c>
      <c r="AR307" s="43"/>
      <c r="AS307" s="43"/>
      <c r="AT307" s="43"/>
      <c r="AU307" s="43"/>
      <c r="AV307" s="43"/>
      <c r="AW307" s="22" t="s">
        <v>4667</v>
      </c>
      <c r="AX307" s="22" t="s">
        <v>4664</v>
      </c>
      <c r="AY307" s="22" t="s">
        <v>4668</v>
      </c>
      <c r="AZ307" s="43"/>
      <c r="BA307" s="43"/>
      <c r="BB307" s="43"/>
      <c r="BC307" s="43"/>
      <c r="BD307" s="43" t="s">
        <v>301</v>
      </c>
      <c r="BE307" s="59" t="s">
        <v>2755</v>
      </c>
      <c r="BF307" s="22" t="s">
        <v>131</v>
      </c>
      <c r="BG307" s="22" t="s">
        <v>132</v>
      </c>
      <c r="BH307" s="22" t="s">
        <v>132</v>
      </c>
      <c r="BI307" s="22" t="s">
        <v>132</v>
      </c>
      <c r="BJ307" s="43"/>
      <c r="BK307" s="43"/>
      <c r="BL307" s="22">
        <v>4.631146952975E12</v>
      </c>
      <c r="BM307" s="22">
        <v>3.926909709E9</v>
      </c>
      <c r="BN307" s="22" t="s">
        <v>4563</v>
      </c>
      <c r="BO307" s="22"/>
      <c r="BP307" s="22" t="s">
        <v>2676</v>
      </c>
      <c r="BQ307" s="43"/>
      <c r="BR307" s="43"/>
      <c r="BS307" s="22" t="s">
        <v>4669</v>
      </c>
      <c r="BT307" s="22"/>
      <c r="BU307" s="22" t="s">
        <v>4670</v>
      </c>
      <c r="BV307" s="22" t="s">
        <v>2777</v>
      </c>
      <c r="BW307" s="22" t="s">
        <v>4671</v>
      </c>
      <c r="BX307" s="22">
        <v>1.0</v>
      </c>
      <c r="BY307" s="22" t="s">
        <v>421</v>
      </c>
      <c r="BZ307" s="22"/>
      <c r="CA307" s="22" t="s">
        <v>4672</v>
      </c>
      <c r="CB307" s="22" t="s">
        <v>4672</v>
      </c>
      <c r="CC307" s="45" t="s">
        <v>401</v>
      </c>
      <c r="CD307" s="43"/>
      <c r="CE307" s="43"/>
      <c r="CF307" s="45" t="s">
        <v>401</v>
      </c>
      <c r="CG307" s="43"/>
      <c r="CH307" s="43"/>
      <c r="CI307" s="43"/>
      <c r="CJ307" s="43"/>
      <c r="CK307" s="43"/>
      <c r="CL307" s="43"/>
      <c r="CM307" s="49">
        <f>IFERROR(VLOOKUP(B307,CC!A:D,4,0)," ")</f>
        <v>307.5</v>
      </c>
      <c r="CN307" s="22" t="s">
        <v>2681</v>
      </c>
      <c r="CO307" s="22"/>
      <c r="CP307" s="43"/>
      <c r="CQ307" s="22" t="s">
        <v>401</v>
      </c>
      <c r="CR307" s="43"/>
      <c r="CS307" s="22">
        <v>1.0</v>
      </c>
      <c r="CT307" s="22" t="s">
        <v>145</v>
      </c>
      <c r="CU307" s="43"/>
      <c r="CV307" s="43"/>
      <c r="CW307" s="43"/>
      <c r="CX307" s="43"/>
      <c r="CY307" s="43" t="b">
        <v>0</v>
      </c>
      <c r="CZ307" s="43" t="b">
        <v>0</v>
      </c>
      <c r="DA307" s="43" t="b">
        <v>0</v>
      </c>
      <c r="DB307" s="43" t="b">
        <v>0</v>
      </c>
      <c r="DC307" s="43"/>
      <c r="DD307" s="43"/>
      <c r="DE307" s="43"/>
      <c r="DF307" s="43"/>
      <c r="DG307" s="43"/>
      <c r="DH307" s="43"/>
      <c r="DI307" s="43"/>
      <c r="DJ307" s="22">
        <f>IFERROR(VLOOKUP($B307,'Лист4'!$D:$AI,27,0)," ")</f>
        <v>9</v>
      </c>
      <c r="DK307" s="22">
        <f>IFERROR(VLOOKUP($B307,'Лист4'!$D:$AI,28,0)," ")</f>
        <v>4</v>
      </c>
      <c r="DL307" s="22">
        <f>IFERROR(VLOOKUP($B307,'Лист4'!$D:$AI,29,0)," ")</f>
        <v>9</v>
      </c>
      <c r="DM307" s="22">
        <f t="shared" si="3"/>
        <v>324</v>
      </c>
      <c r="DN307" s="22">
        <f>IFERROR(VLOOKUP($B307,'Лист4'!$D:$AI,32,0)," ")</f>
        <v>0.092</v>
      </c>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43"/>
      <c r="ET307" s="43"/>
      <c r="EU307" s="43"/>
      <c r="EV307" s="43"/>
      <c r="EW307" s="43"/>
      <c r="EX307" s="43"/>
      <c r="EY307" s="43"/>
      <c r="EZ307" s="43"/>
      <c r="FA307" s="43"/>
      <c r="FB307" s="43"/>
      <c r="FC307" s="43"/>
      <c r="FD307" s="43"/>
      <c r="FE307" s="43"/>
      <c r="FF307" s="43"/>
      <c r="FG307" s="43"/>
      <c r="FH307" s="43"/>
      <c r="FI307" s="43"/>
    </row>
    <row r="308" ht="18.0" customHeight="1">
      <c r="A308" s="22" t="s">
        <v>2659</v>
      </c>
      <c r="B308" s="43" t="s">
        <v>4673</v>
      </c>
      <c r="C308" s="22" t="s">
        <v>2741</v>
      </c>
      <c r="D308" s="22" t="s">
        <v>187</v>
      </c>
      <c r="E308" s="43" t="s">
        <v>4674</v>
      </c>
      <c r="F308" s="22" t="s">
        <v>4675</v>
      </c>
      <c r="G308" s="22" t="s">
        <v>361</v>
      </c>
      <c r="H308" s="22" t="s">
        <v>4676</v>
      </c>
      <c r="I308" s="43"/>
      <c r="J308" s="43"/>
      <c r="K308" s="22" t="b">
        <v>1</v>
      </c>
      <c r="L308" s="22" t="b">
        <v>1</v>
      </c>
      <c r="M308" s="22" t="b">
        <v>1</v>
      </c>
      <c r="N308" s="22" t="b">
        <v>1</v>
      </c>
      <c r="O308" s="22" t="b">
        <v>0</v>
      </c>
      <c r="P308" s="22" t="b">
        <v>0</v>
      </c>
      <c r="Q308" s="22" t="b">
        <v>0</v>
      </c>
      <c r="R308" s="43"/>
      <c r="S308" s="43" t="s">
        <v>4677</v>
      </c>
      <c r="T308" s="22" t="s">
        <v>4673</v>
      </c>
      <c r="U308" s="22" t="s">
        <v>4673</v>
      </c>
      <c r="V308" s="22" t="s">
        <v>4673</v>
      </c>
      <c r="W308" s="43"/>
      <c r="X308" s="43"/>
      <c r="Y308" s="43"/>
      <c r="Z308" s="43"/>
      <c r="AA308" s="22">
        <v>2.23762749E8</v>
      </c>
      <c r="AB308" s="22">
        <v>1.542480921E9</v>
      </c>
      <c r="AC308" s="22">
        <v>1.03515403562E11</v>
      </c>
      <c r="AD308" s="22"/>
      <c r="AE308" s="22"/>
      <c r="AF308" s="43"/>
      <c r="AG308" s="43"/>
      <c r="AH308" s="43" t="s">
        <v>4675</v>
      </c>
      <c r="AI308" s="22" t="s">
        <v>4678</v>
      </c>
      <c r="AJ308" s="22" t="s">
        <v>4679</v>
      </c>
      <c r="AK308" s="22" t="s">
        <v>4680</v>
      </c>
      <c r="AL308" s="43"/>
      <c r="AM308" s="43"/>
      <c r="AN308" s="43"/>
      <c r="AO308" s="43"/>
      <c r="AP308" s="46" t="s">
        <v>4681</v>
      </c>
      <c r="AQ308" s="46" t="s">
        <v>4682</v>
      </c>
      <c r="AR308" s="46" t="s">
        <v>4683</v>
      </c>
      <c r="AS308" s="43"/>
      <c r="AT308" s="43"/>
      <c r="AU308" s="43"/>
      <c r="AV308" s="43"/>
      <c r="AW308" s="22" t="s">
        <v>361</v>
      </c>
      <c r="AX308" s="22" t="s">
        <v>4679</v>
      </c>
      <c r="AY308" s="22" t="s">
        <v>2534</v>
      </c>
      <c r="AZ308" s="43"/>
      <c r="BA308" s="43"/>
      <c r="BB308" s="43"/>
      <c r="BC308" s="43"/>
      <c r="BD308" s="43" t="s">
        <v>2993</v>
      </c>
      <c r="BE308" s="59" t="s">
        <v>2755</v>
      </c>
      <c r="BF308" s="22" t="s">
        <v>131</v>
      </c>
      <c r="BG308" s="22" t="s">
        <v>132</v>
      </c>
      <c r="BH308" s="22" t="s">
        <v>132</v>
      </c>
      <c r="BI308" s="22" t="s">
        <v>132</v>
      </c>
      <c r="BJ308" s="43"/>
      <c r="BK308" s="43"/>
      <c r="BL308" s="22">
        <v>4.627193453732E12</v>
      </c>
      <c r="BM308" s="22">
        <v>2.106909808E9</v>
      </c>
      <c r="BN308" s="22" t="s">
        <v>4684</v>
      </c>
      <c r="BO308" s="22"/>
      <c r="BP308" s="22" t="s">
        <v>496</v>
      </c>
      <c r="BQ308" s="43"/>
      <c r="BR308" s="43"/>
      <c r="BS308" s="22" t="s">
        <v>4685</v>
      </c>
      <c r="BT308" s="43"/>
      <c r="BU308" s="22" t="s">
        <v>4686</v>
      </c>
      <c r="BV308" s="43" t="s">
        <v>653</v>
      </c>
      <c r="BW308" s="22" t="s">
        <v>4687</v>
      </c>
      <c r="BX308" s="22">
        <v>30.0</v>
      </c>
      <c r="BY308" s="22" t="s">
        <v>4688</v>
      </c>
      <c r="BZ308" s="22"/>
      <c r="CA308" s="22" t="s">
        <v>355</v>
      </c>
      <c r="CB308" s="22" t="s">
        <v>307</v>
      </c>
      <c r="CC308" s="45" t="s">
        <v>4689</v>
      </c>
      <c r="CD308" s="43"/>
      <c r="CE308" s="43"/>
      <c r="CF308" s="45"/>
      <c r="CG308" s="43"/>
      <c r="CH308" s="43"/>
      <c r="CI308" s="43"/>
      <c r="CJ308" s="43"/>
      <c r="CK308" s="43"/>
      <c r="CL308" s="43"/>
      <c r="CM308" s="49">
        <f>IFERROR(VLOOKUP(B308,CC!A:D,4,0)," ")</f>
        <v>214.39</v>
      </c>
      <c r="CN308" s="22" t="s">
        <v>4690</v>
      </c>
      <c r="CO308" s="22"/>
      <c r="CP308" s="22" t="s">
        <v>805</v>
      </c>
      <c r="CQ308" s="22">
        <v>90.0</v>
      </c>
      <c r="CR308" s="43"/>
      <c r="CS308" s="22">
        <v>1.0</v>
      </c>
      <c r="CT308" s="22" t="s">
        <v>145</v>
      </c>
      <c r="CU308" s="43"/>
      <c r="CV308" s="43"/>
      <c r="CW308" s="43"/>
      <c r="CX308" s="43"/>
      <c r="CY308" s="43" t="b">
        <v>0</v>
      </c>
      <c r="CZ308" s="43" t="b">
        <v>0</v>
      </c>
      <c r="DA308" s="43" t="b">
        <v>0</v>
      </c>
      <c r="DB308" s="43" t="b">
        <v>0</v>
      </c>
      <c r="DC308" s="43"/>
      <c r="DD308" s="43"/>
      <c r="DE308" s="43"/>
      <c r="DF308" s="43"/>
      <c r="DG308" s="43"/>
      <c r="DH308" s="43"/>
      <c r="DI308" s="43"/>
      <c r="DJ308" s="22">
        <f>IFERROR(VLOOKUP($B308,'Лист4'!$D:$AI,27,0)," ")</f>
        <v>9</v>
      </c>
      <c r="DK308" s="22">
        <f>IFERROR(VLOOKUP($B308,'Лист4'!$D:$AI,28,0)," ")</f>
        <v>9</v>
      </c>
      <c r="DL308" s="22">
        <f>IFERROR(VLOOKUP($B308,'Лист4'!$D:$AI,29,0)," ")</f>
        <v>9</v>
      </c>
      <c r="DM308" s="22">
        <f t="shared" si="3"/>
        <v>729</v>
      </c>
      <c r="DN308" s="22">
        <f>IFERROR(VLOOKUP($B308,'Лист4'!$D:$AI,32,0)," ")</f>
        <v>0.26</v>
      </c>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43"/>
      <c r="ET308" s="43"/>
      <c r="EU308" s="43"/>
      <c r="EV308" s="43"/>
      <c r="EW308" s="43"/>
      <c r="EX308" s="43"/>
      <c r="EY308" s="43"/>
      <c r="EZ308" s="43"/>
      <c r="FA308" s="43"/>
      <c r="FB308" s="43"/>
      <c r="FC308" s="43"/>
      <c r="FD308" s="43"/>
      <c r="FE308" s="43"/>
      <c r="FF308" s="43"/>
      <c r="FG308" s="43"/>
      <c r="FH308" s="43"/>
      <c r="FI308" s="43"/>
    </row>
    <row r="309" ht="18.0" customHeight="1">
      <c r="A309" s="22" t="s">
        <v>2659</v>
      </c>
      <c r="B309" s="43" t="s">
        <v>4691</v>
      </c>
      <c r="C309" s="22" t="s">
        <v>2741</v>
      </c>
      <c r="D309" s="22" t="s">
        <v>187</v>
      </c>
      <c r="E309" s="43" t="s">
        <v>4692</v>
      </c>
      <c r="F309" s="22" t="s">
        <v>4693</v>
      </c>
      <c r="G309" s="22" t="s">
        <v>2743</v>
      </c>
      <c r="H309" s="22" t="s">
        <v>1630</v>
      </c>
      <c r="I309" s="43"/>
      <c r="J309" s="43"/>
      <c r="K309" s="22" t="b">
        <v>1</v>
      </c>
      <c r="L309" s="22" t="b">
        <v>1</v>
      </c>
      <c r="M309" s="22" t="b">
        <v>1</v>
      </c>
      <c r="N309" s="22" t="b">
        <v>0</v>
      </c>
      <c r="O309" s="22" t="b">
        <v>0</v>
      </c>
      <c r="P309" s="22" t="b">
        <v>0</v>
      </c>
      <c r="Q309" s="22" t="b">
        <v>0</v>
      </c>
      <c r="R309" s="43"/>
      <c r="S309" s="43" t="s">
        <v>4694</v>
      </c>
      <c r="T309" s="22" t="s">
        <v>4691</v>
      </c>
      <c r="U309" s="22" t="s">
        <v>4691</v>
      </c>
      <c r="V309" s="22"/>
      <c r="W309" s="43"/>
      <c r="X309" s="43"/>
      <c r="Y309" s="43"/>
      <c r="Z309" s="43"/>
      <c r="AA309" s="22">
        <v>3.99759797E8</v>
      </c>
      <c r="AB309" s="22">
        <v>2.067921716E9</v>
      </c>
      <c r="AC309" s="22"/>
      <c r="AD309" s="22"/>
      <c r="AE309" s="22"/>
      <c r="AF309" s="43"/>
      <c r="AG309" s="43"/>
      <c r="AH309" s="43" t="s">
        <v>4693</v>
      </c>
      <c r="AI309" s="22" t="s">
        <v>4695</v>
      </c>
      <c r="AJ309" s="22" t="s">
        <v>4696</v>
      </c>
      <c r="AK309" s="43"/>
      <c r="AL309" s="43"/>
      <c r="AM309" s="43"/>
      <c r="AN309" s="43"/>
      <c r="AO309" s="43"/>
      <c r="AP309" s="46" t="s">
        <v>4697</v>
      </c>
      <c r="AQ309" s="46" t="s">
        <v>4698</v>
      </c>
      <c r="AR309" s="43"/>
      <c r="AS309" s="43"/>
      <c r="AT309" s="43"/>
      <c r="AU309" s="43"/>
      <c r="AV309" s="43"/>
      <c r="AW309" s="22" t="s">
        <v>1642</v>
      </c>
      <c r="AX309" s="22" t="s">
        <v>4696</v>
      </c>
      <c r="AY309" s="43"/>
      <c r="AZ309" s="43"/>
      <c r="BA309" s="43"/>
      <c r="BB309" s="43"/>
      <c r="BC309" s="43"/>
      <c r="BD309" s="43" t="s">
        <v>301</v>
      </c>
      <c r="BE309" s="59" t="s">
        <v>2755</v>
      </c>
      <c r="BF309" s="22" t="s">
        <v>131</v>
      </c>
      <c r="BG309" s="22" t="s">
        <v>132</v>
      </c>
      <c r="BH309" s="22" t="s">
        <v>132</v>
      </c>
      <c r="BI309" s="22" t="s">
        <v>132</v>
      </c>
      <c r="BJ309" s="43"/>
      <c r="BK309" s="43"/>
      <c r="BL309" s="22">
        <v>4.656887467946E12</v>
      </c>
      <c r="BM309" s="22">
        <v>3.30499E9</v>
      </c>
      <c r="BN309" s="22" t="s">
        <v>2801</v>
      </c>
      <c r="BO309" s="22"/>
      <c r="BP309" s="22" t="s">
        <v>303</v>
      </c>
      <c r="BQ309" s="43"/>
      <c r="BR309" s="43"/>
      <c r="BS309" s="43" t="s">
        <v>1648</v>
      </c>
      <c r="BT309" s="43"/>
      <c r="BU309" s="22" t="s">
        <v>4699</v>
      </c>
      <c r="BV309" s="22" t="s">
        <v>1650</v>
      </c>
      <c r="BW309" s="22" t="s">
        <v>1651</v>
      </c>
      <c r="BX309" s="22">
        <v>40.0</v>
      </c>
      <c r="BY309" s="58" t="s">
        <v>1666</v>
      </c>
      <c r="BZ309" s="58"/>
      <c r="CA309" s="22" t="s">
        <v>4700</v>
      </c>
      <c r="CB309" s="22" t="s">
        <v>727</v>
      </c>
      <c r="CC309" s="44" t="s">
        <v>4701</v>
      </c>
      <c r="CD309" s="43"/>
      <c r="CE309" s="43"/>
      <c r="CF309" s="45"/>
      <c r="CG309" s="43"/>
      <c r="CH309" s="43"/>
      <c r="CI309" s="43"/>
      <c r="CJ309" s="43"/>
      <c r="CK309" s="43"/>
      <c r="CL309" s="43"/>
      <c r="CM309" s="49">
        <f>IFERROR(VLOOKUP(B309,CC!A:D,4,0)," ")</f>
        <v>99</v>
      </c>
      <c r="CN309" s="22" t="s">
        <v>4702</v>
      </c>
      <c r="CO309" s="22"/>
      <c r="CP309" s="22"/>
      <c r="CQ309" s="22">
        <v>30.0</v>
      </c>
      <c r="CR309" s="43"/>
      <c r="CS309" s="22">
        <v>1.0</v>
      </c>
      <c r="CT309" s="22" t="s">
        <v>145</v>
      </c>
      <c r="CU309" s="43"/>
      <c r="CV309" s="43"/>
      <c r="CW309" s="43"/>
      <c r="CX309" s="43"/>
      <c r="CY309" s="43" t="b">
        <v>0</v>
      </c>
      <c r="CZ309" s="43" t="b">
        <v>0</v>
      </c>
      <c r="DA309" s="43" t="b">
        <v>0</v>
      </c>
      <c r="DB309" s="43" t="b">
        <v>0</v>
      </c>
      <c r="DC309" s="43"/>
      <c r="DD309" s="43"/>
      <c r="DE309" s="43"/>
      <c r="DF309" s="43"/>
      <c r="DG309" s="43"/>
      <c r="DH309" s="43"/>
      <c r="DI309" s="43"/>
      <c r="DJ309" s="22">
        <f>IFERROR(VLOOKUP($B309,'Лист4'!$D:$AI,27,0)," ")</f>
        <v>10</v>
      </c>
      <c r="DK309" s="22">
        <f>IFERROR(VLOOKUP($B309,'Лист4'!$D:$AI,28,0)," ")</f>
        <v>15</v>
      </c>
      <c r="DL309" s="22">
        <f>IFERROR(VLOOKUP($B309,'Лист4'!$D:$AI,29,0)," ")</f>
        <v>10</v>
      </c>
      <c r="DM309" s="22">
        <f t="shared" si="3"/>
        <v>1500</v>
      </c>
      <c r="DN309" s="22">
        <f>IFERROR(VLOOKUP($B309,'Лист4'!$D:$AI,32,0)," ")</f>
        <v>0.128</v>
      </c>
      <c r="DO309" s="22"/>
      <c r="DP309" s="22"/>
      <c r="DQ309" s="22"/>
      <c r="DR309" s="22"/>
      <c r="DS309" s="22"/>
      <c r="DT309" s="22"/>
      <c r="DU309" s="22"/>
      <c r="DV309" s="22"/>
      <c r="DW309" s="22"/>
      <c r="DX309" s="22"/>
      <c r="DY309" s="22"/>
      <c r="DZ309" s="22"/>
      <c r="EA309" s="22"/>
      <c r="EB309" s="22"/>
      <c r="EC309" s="22"/>
      <c r="ED309" s="22"/>
      <c r="EE309" s="22"/>
      <c r="EF309" s="22"/>
      <c r="EG309" s="22"/>
      <c r="EH309" s="22"/>
      <c r="EI309" s="22"/>
      <c r="EJ309" s="22"/>
      <c r="EK309" s="22"/>
      <c r="EL309" s="22"/>
      <c r="EM309" s="22"/>
      <c r="EN309" s="22"/>
      <c r="EO309" s="22"/>
      <c r="EP309" s="22"/>
      <c r="EQ309" s="22"/>
      <c r="ER309" s="22"/>
      <c r="ES309" s="43"/>
      <c r="ET309" s="43"/>
      <c r="EU309" s="43"/>
      <c r="EV309" s="43"/>
      <c r="EW309" s="43"/>
      <c r="EX309" s="43"/>
      <c r="EY309" s="43"/>
      <c r="EZ309" s="43"/>
      <c r="FA309" s="43"/>
      <c r="FB309" s="43"/>
      <c r="FC309" s="43"/>
      <c r="FD309" s="43"/>
      <c r="FE309" s="43"/>
      <c r="FF309" s="43"/>
      <c r="FG309" s="43"/>
      <c r="FH309" s="43"/>
      <c r="FI309" s="43"/>
    </row>
    <row r="310" ht="18.0" customHeight="1">
      <c r="A310" s="22" t="s">
        <v>2659</v>
      </c>
      <c r="B310" s="43" t="s">
        <v>4703</v>
      </c>
      <c r="C310" s="22" t="s">
        <v>2741</v>
      </c>
      <c r="D310" s="22" t="s">
        <v>119</v>
      </c>
      <c r="E310" s="43"/>
      <c r="F310" s="22" t="s">
        <v>4704</v>
      </c>
      <c r="G310" s="22" t="s">
        <v>361</v>
      </c>
      <c r="H310" s="22" t="s">
        <v>2766</v>
      </c>
      <c r="I310" s="43"/>
      <c r="J310" s="43"/>
      <c r="K310" s="22" t="b">
        <v>1</v>
      </c>
      <c r="L310" s="22" t="b">
        <v>1</v>
      </c>
      <c r="M310" s="22" t="b">
        <v>1</v>
      </c>
      <c r="N310" s="22" t="b">
        <v>1</v>
      </c>
      <c r="O310" s="22" t="b">
        <v>0</v>
      </c>
      <c r="P310" s="22" t="b">
        <v>0</v>
      </c>
      <c r="Q310" s="22" t="b">
        <v>0</v>
      </c>
      <c r="R310" s="43"/>
      <c r="S310" s="43" t="s">
        <v>4705</v>
      </c>
      <c r="T310" s="22" t="s">
        <v>4703</v>
      </c>
      <c r="U310" s="22" t="s">
        <v>4703</v>
      </c>
      <c r="V310" s="22" t="s">
        <v>4703</v>
      </c>
      <c r="W310" s="43"/>
      <c r="X310" s="43"/>
      <c r="Y310" s="43"/>
      <c r="Z310" s="43"/>
      <c r="AA310" s="22">
        <v>2.09229089E8</v>
      </c>
      <c r="AB310" s="22">
        <v>1.422277198E9</v>
      </c>
      <c r="AC310" s="22">
        <v>1.03515427024E11</v>
      </c>
      <c r="AD310" s="22"/>
      <c r="AE310" s="22"/>
      <c r="AF310" s="43"/>
      <c r="AG310" s="43"/>
      <c r="AH310" s="43" t="s">
        <v>4704</v>
      </c>
      <c r="AI310" s="22" t="s">
        <v>4706</v>
      </c>
      <c r="AJ310" s="22" t="s">
        <v>4707</v>
      </c>
      <c r="AK310" s="22" t="s">
        <v>4708</v>
      </c>
      <c r="AL310" s="43"/>
      <c r="AM310" s="43"/>
      <c r="AN310" s="43"/>
      <c r="AO310" s="43"/>
      <c r="AP310" s="46" t="s">
        <v>4709</v>
      </c>
      <c r="AQ310" s="46" t="s">
        <v>4710</v>
      </c>
      <c r="AR310" s="46" t="s">
        <v>4711</v>
      </c>
      <c r="AS310" s="43"/>
      <c r="AT310" s="43"/>
      <c r="AU310" s="43"/>
      <c r="AV310" s="43"/>
      <c r="AW310" s="22" t="s">
        <v>361</v>
      </c>
      <c r="AX310" s="22" t="s">
        <v>4707</v>
      </c>
      <c r="AY310" s="22" t="s">
        <v>372</v>
      </c>
      <c r="AZ310" s="43"/>
      <c r="BA310" s="43"/>
      <c r="BB310" s="43"/>
      <c r="BC310" s="43"/>
      <c r="BD310" s="43" t="s">
        <v>2993</v>
      </c>
      <c r="BE310" s="59" t="s">
        <v>2755</v>
      </c>
      <c r="BF310" s="22" t="s">
        <v>131</v>
      </c>
      <c r="BG310" s="22" t="s">
        <v>132</v>
      </c>
      <c r="BH310" s="22" t="s">
        <v>132</v>
      </c>
      <c r="BI310" s="22" t="s">
        <v>132</v>
      </c>
      <c r="BJ310" s="43"/>
      <c r="BK310" s="43"/>
      <c r="BL310" s="22">
        <v>4.627193453404E12</v>
      </c>
      <c r="BM310" s="22">
        <v>2.106909803E9</v>
      </c>
      <c r="BN310" s="22" t="s">
        <v>4712</v>
      </c>
      <c r="BO310" s="22"/>
      <c r="BP310" s="22" t="s">
        <v>496</v>
      </c>
      <c r="BQ310" s="43"/>
      <c r="BR310" s="43"/>
      <c r="BS310" s="22" t="s">
        <v>4713</v>
      </c>
      <c r="BT310" s="43"/>
      <c r="BU310" s="22" t="s">
        <v>4714</v>
      </c>
      <c r="BV310" s="43" t="s">
        <v>3272</v>
      </c>
      <c r="BW310" s="22" t="s">
        <v>3273</v>
      </c>
      <c r="BX310" s="22">
        <v>60.0</v>
      </c>
      <c r="BY310" s="22" t="s">
        <v>492</v>
      </c>
      <c r="BZ310" s="22"/>
      <c r="CA310" s="22" t="s">
        <v>355</v>
      </c>
      <c r="CB310" s="22" t="s">
        <v>307</v>
      </c>
      <c r="CC310" s="45" t="s">
        <v>4715</v>
      </c>
      <c r="CD310" s="43"/>
      <c r="CE310" s="43"/>
      <c r="CF310" s="45"/>
      <c r="CG310" s="43"/>
      <c r="CH310" s="43"/>
      <c r="CI310" s="43"/>
      <c r="CJ310" s="43"/>
      <c r="CK310" s="43"/>
      <c r="CL310" s="43"/>
      <c r="CM310" s="49">
        <f>IFERROR(VLOOKUP(B310,CC!A:D,4,0)," ")</f>
        <v>152.67</v>
      </c>
      <c r="CN310" s="22" t="s">
        <v>4690</v>
      </c>
      <c r="CO310" s="22"/>
      <c r="CP310" s="22" t="s">
        <v>805</v>
      </c>
      <c r="CQ310" s="22">
        <v>90.0</v>
      </c>
      <c r="CR310" s="43"/>
      <c r="CS310" s="22">
        <v>1.0</v>
      </c>
      <c r="CT310" s="22" t="s">
        <v>145</v>
      </c>
      <c r="CU310" s="43"/>
      <c r="CV310" s="43"/>
      <c r="CW310" s="43"/>
      <c r="CX310" s="43"/>
      <c r="CY310" s="43" t="b">
        <v>0</v>
      </c>
      <c r="CZ310" s="43" t="b">
        <v>0</v>
      </c>
      <c r="DA310" s="43" t="b">
        <v>0</v>
      </c>
      <c r="DB310" s="43" t="b">
        <v>0</v>
      </c>
      <c r="DC310" s="43"/>
      <c r="DD310" s="43"/>
      <c r="DE310" s="43"/>
      <c r="DF310" s="43"/>
      <c r="DG310" s="43"/>
      <c r="DH310" s="43"/>
      <c r="DI310" s="43"/>
      <c r="DJ310" s="22">
        <f>IFERROR(VLOOKUP($B310,'Лист4'!$D:$AI,27,0)," ")</f>
        <v>5</v>
      </c>
      <c r="DK310" s="22">
        <f>IFERROR(VLOOKUP($B310,'Лист4'!$D:$AI,28,0)," ")</f>
        <v>5</v>
      </c>
      <c r="DL310" s="22">
        <f>IFERROR(VLOOKUP($B310,'Лист4'!$D:$AI,29,0)," ")</f>
        <v>5</v>
      </c>
      <c r="DM310" s="22">
        <f t="shared" si="3"/>
        <v>125</v>
      </c>
      <c r="DN310" s="22">
        <f>IFERROR(VLOOKUP($B310,'Лист4'!$D:$AI,32,0)," ")</f>
        <v>0.044</v>
      </c>
      <c r="DO310" s="22"/>
      <c r="DP310" s="22"/>
      <c r="DQ310" s="22"/>
      <c r="DR310" s="22"/>
      <c r="DS310" s="22"/>
      <c r="DT310" s="22"/>
      <c r="DU310" s="22"/>
      <c r="DV310" s="22"/>
      <c r="DW310" s="22"/>
      <c r="DX310" s="22"/>
      <c r="DY310" s="22"/>
      <c r="DZ310" s="22"/>
      <c r="EA310" s="22"/>
      <c r="EB310" s="22"/>
      <c r="EC310" s="22"/>
      <c r="ED310" s="22"/>
      <c r="EE310" s="22"/>
      <c r="EF310" s="22"/>
      <c r="EG310" s="22"/>
      <c r="EH310" s="22"/>
      <c r="EI310" s="22"/>
      <c r="EJ310" s="22"/>
      <c r="EK310" s="22"/>
      <c r="EL310" s="22"/>
      <c r="EM310" s="22"/>
      <c r="EN310" s="22"/>
      <c r="EO310" s="22"/>
      <c r="EP310" s="22"/>
      <c r="EQ310" s="22"/>
      <c r="ER310" s="22"/>
      <c r="ES310" s="43"/>
      <c r="ET310" s="43"/>
      <c r="EU310" s="43"/>
      <c r="EV310" s="43"/>
      <c r="EW310" s="43"/>
      <c r="EX310" s="43"/>
      <c r="EY310" s="43"/>
      <c r="EZ310" s="43"/>
      <c r="FA310" s="43"/>
      <c r="FB310" s="43"/>
      <c r="FC310" s="43"/>
      <c r="FD310" s="43"/>
      <c r="FE310" s="43"/>
      <c r="FF310" s="43"/>
      <c r="FG310" s="43"/>
      <c r="FH310" s="43"/>
      <c r="FI310" s="43"/>
    </row>
    <row r="311" ht="18.0" customHeight="1">
      <c r="A311" s="22" t="s">
        <v>2659</v>
      </c>
      <c r="B311" s="43" t="s">
        <v>4716</v>
      </c>
      <c r="C311" s="22" t="s">
        <v>2661</v>
      </c>
      <c r="D311" s="22" t="s">
        <v>119</v>
      </c>
      <c r="E311" s="43"/>
      <c r="F311" s="22" t="s">
        <v>4717</v>
      </c>
      <c r="G311" s="22" t="s">
        <v>2663</v>
      </c>
      <c r="H311" s="22" t="s">
        <v>2703</v>
      </c>
      <c r="I311" s="43"/>
      <c r="J311" s="43"/>
      <c r="K311" s="22" t="b">
        <v>1</v>
      </c>
      <c r="L311" s="22" t="b">
        <v>1</v>
      </c>
      <c r="M311" s="22" t="b">
        <v>1</v>
      </c>
      <c r="N311" s="22" t="b">
        <v>1</v>
      </c>
      <c r="O311" s="22" t="b">
        <v>1</v>
      </c>
      <c r="P311" s="22" t="b">
        <v>1</v>
      </c>
      <c r="Q311" s="22" t="b">
        <v>0</v>
      </c>
      <c r="R311" s="43"/>
      <c r="S311" s="43" t="s">
        <v>4718</v>
      </c>
      <c r="T311" s="43" t="s">
        <v>4716</v>
      </c>
      <c r="U311" s="43" t="s">
        <v>4716</v>
      </c>
      <c r="V311" s="43" t="s">
        <v>4716</v>
      </c>
      <c r="W311" s="43" t="s">
        <v>401</v>
      </c>
      <c r="X311" s="43" t="s">
        <v>401</v>
      </c>
      <c r="Y311" s="43"/>
      <c r="Z311" s="43"/>
      <c r="AA311" s="22">
        <v>6.16101955E8</v>
      </c>
      <c r="AB311" s="22">
        <v>1.129297876E9</v>
      </c>
      <c r="AC311" s="22">
        <v>4.764695041E9</v>
      </c>
      <c r="AD311" s="22"/>
      <c r="AE311" s="22"/>
      <c r="AF311" s="43"/>
      <c r="AG311" s="43"/>
      <c r="AH311" s="43" t="s">
        <v>4717</v>
      </c>
      <c r="AI311" s="22" t="s">
        <v>4719</v>
      </c>
      <c r="AJ311" s="22" t="s">
        <v>3191</v>
      </c>
      <c r="AK311" s="22" t="s">
        <v>3192</v>
      </c>
      <c r="AL311" s="43"/>
      <c r="AM311" s="43"/>
      <c r="AN311" s="43"/>
      <c r="AO311" s="43"/>
      <c r="AP311" s="46" t="s">
        <v>4720</v>
      </c>
      <c r="AQ311" s="46" t="s">
        <v>3194</v>
      </c>
      <c r="AR311" s="46" t="s">
        <v>3195</v>
      </c>
      <c r="AS311" s="43"/>
      <c r="AT311" s="43"/>
      <c r="AU311" s="43"/>
      <c r="AV311" s="43"/>
      <c r="AW311" s="22" t="s">
        <v>361</v>
      </c>
      <c r="AX311" s="22" t="s">
        <v>3191</v>
      </c>
      <c r="AY311" s="22" t="s">
        <v>2692</v>
      </c>
      <c r="AZ311" s="43"/>
      <c r="BA311" s="43"/>
      <c r="BB311" s="43"/>
      <c r="BC311" s="43"/>
      <c r="BD311" s="43" t="s">
        <v>1449</v>
      </c>
      <c r="BE311" s="59" t="s">
        <v>2755</v>
      </c>
      <c r="BF311" s="22" t="s">
        <v>131</v>
      </c>
      <c r="BG311" s="22" t="s">
        <v>132</v>
      </c>
      <c r="BH311" s="22" t="s">
        <v>132</v>
      </c>
      <c r="BI311" s="22" t="s">
        <v>132</v>
      </c>
      <c r="BJ311" s="43"/>
      <c r="BK311" s="43"/>
      <c r="BL311" s="22">
        <v>4.610030634135E12</v>
      </c>
      <c r="BM311" s="22">
        <v>2.103909009E9</v>
      </c>
      <c r="BN311" s="22" t="s">
        <v>4721</v>
      </c>
      <c r="BO311" s="22"/>
      <c r="BP311" s="22" t="s">
        <v>145</v>
      </c>
      <c r="BQ311" s="43"/>
      <c r="BR311" s="43"/>
      <c r="BS311" s="22" t="s">
        <v>4722</v>
      </c>
      <c r="BT311" s="22"/>
      <c r="BU311" s="22" t="s">
        <v>4723</v>
      </c>
      <c r="BV311" s="22" t="s">
        <v>4724</v>
      </c>
      <c r="BW311" s="22" t="s">
        <v>3144</v>
      </c>
      <c r="BX311" s="22"/>
      <c r="BY311" s="43"/>
      <c r="BZ311" s="43"/>
      <c r="CA311" s="22"/>
      <c r="CB311" s="22"/>
      <c r="CC311" s="45" t="s">
        <v>4725</v>
      </c>
      <c r="CD311" s="43"/>
      <c r="CE311" s="43"/>
      <c r="CF311" s="45"/>
      <c r="CG311" s="43"/>
      <c r="CH311" s="43"/>
      <c r="CI311" s="43"/>
      <c r="CJ311" s="43"/>
      <c r="CK311" s="43"/>
      <c r="CL311" s="43"/>
      <c r="CM311" s="49">
        <f>IFERROR(VLOOKUP(B311,CC!A:D,4,0)," ")</f>
        <v>99.67</v>
      </c>
      <c r="CN311" s="22" t="s">
        <v>2681</v>
      </c>
      <c r="CO311" s="22"/>
      <c r="CP311" s="22"/>
      <c r="CQ311" s="22">
        <v>45.0</v>
      </c>
      <c r="CR311" s="43"/>
      <c r="CS311" s="22">
        <v>1.0</v>
      </c>
      <c r="CT311" s="22" t="s">
        <v>145</v>
      </c>
      <c r="CU311" s="43"/>
      <c r="CV311" s="43"/>
      <c r="CW311" s="43"/>
      <c r="CX311" s="43"/>
      <c r="CY311" s="43" t="b">
        <v>0</v>
      </c>
      <c r="CZ311" s="43" t="b">
        <v>0</v>
      </c>
      <c r="DA311" s="43" t="b">
        <v>0</v>
      </c>
      <c r="DB311" s="43" t="b">
        <v>0</v>
      </c>
      <c r="DC311" s="43"/>
      <c r="DD311" s="43"/>
      <c r="DE311" s="43"/>
      <c r="DF311" s="43"/>
      <c r="DG311" s="43"/>
      <c r="DH311" s="43"/>
      <c r="DI311" s="43"/>
      <c r="DJ311" s="22">
        <f>IFERROR(VLOOKUP($B311,'Лист4'!$D:$AI,27,0)," ")</f>
        <v>1</v>
      </c>
      <c r="DK311" s="22">
        <f>IFERROR(VLOOKUP($B311,'Лист4'!$D:$AI,28,0)," ")</f>
        <v>1</v>
      </c>
      <c r="DL311" s="22">
        <f>IFERROR(VLOOKUP($B311,'Лист4'!$D:$AI,29,0)," ")</f>
        <v>1</v>
      </c>
      <c r="DM311" s="22">
        <f t="shared" si="3"/>
        <v>1</v>
      </c>
      <c r="DN311" s="22">
        <f>IFERROR(VLOOKUP($B311,'Лист4'!$D:$AI,32,0)," ")</f>
        <v>1</v>
      </c>
      <c r="DO311" s="22"/>
      <c r="DP311" s="22"/>
      <c r="DQ311" s="22"/>
      <c r="DR311" s="22"/>
      <c r="DS311" s="22"/>
      <c r="DT311" s="22"/>
      <c r="DU311" s="22"/>
      <c r="DV311" s="22"/>
      <c r="DW311" s="22"/>
      <c r="DX311" s="22"/>
      <c r="DY311" s="22"/>
      <c r="DZ311" s="22"/>
      <c r="EA311" s="22"/>
      <c r="EB311" s="22"/>
      <c r="EC311" s="22"/>
      <c r="ED311" s="22"/>
      <c r="EE311" s="22"/>
      <c r="EF311" s="22"/>
      <c r="EG311" s="22"/>
      <c r="EH311" s="22"/>
      <c r="EI311" s="22"/>
      <c r="EJ311" s="22"/>
      <c r="EK311" s="22"/>
      <c r="EL311" s="22"/>
      <c r="EM311" s="22"/>
      <c r="EN311" s="22"/>
      <c r="EO311" s="22"/>
      <c r="EP311" s="22"/>
      <c r="EQ311" s="22"/>
      <c r="ER311" s="22"/>
      <c r="ES311" s="43"/>
      <c r="ET311" s="43"/>
      <c r="EU311" s="43"/>
      <c r="EV311" s="43"/>
      <c r="EW311" s="43"/>
      <c r="EX311" s="43"/>
      <c r="EY311" s="43"/>
      <c r="EZ311" s="43"/>
      <c r="FA311" s="43"/>
      <c r="FB311" s="43"/>
      <c r="FC311" s="43"/>
      <c r="FD311" s="43"/>
      <c r="FE311" s="43"/>
      <c r="FF311" s="43"/>
      <c r="FG311" s="43"/>
      <c r="FH311" s="43"/>
      <c r="FI311" s="43"/>
    </row>
    <row r="312" ht="18.0" customHeight="1">
      <c r="A312" s="22" t="s">
        <v>2659</v>
      </c>
      <c r="B312" s="43" t="s">
        <v>4726</v>
      </c>
      <c r="C312" s="22" t="s">
        <v>2661</v>
      </c>
      <c r="D312" s="22" t="s">
        <v>119</v>
      </c>
      <c r="E312" s="43"/>
      <c r="F312" s="43"/>
      <c r="G312" s="22" t="s">
        <v>2663</v>
      </c>
      <c r="H312" s="22" t="s">
        <v>4058</v>
      </c>
      <c r="I312" s="43"/>
      <c r="J312" s="43"/>
      <c r="K312" s="22" t="b">
        <v>1</v>
      </c>
      <c r="L312" s="22" t="b">
        <v>1</v>
      </c>
      <c r="M312" s="22" t="b">
        <v>1</v>
      </c>
      <c r="N312" s="22" t="b">
        <v>1</v>
      </c>
      <c r="O312" s="22" t="b">
        <v>1</v>
      </c>
      <c r="P312" s="22" t="b">
        <v>1</v>
      </c>
      <c r="Q312" s="22" t="b">
        <v>0</v>
      </c>
      <c r="R312" s="43"/>
      <c r="S312" s="43" t="s">
        <v>401</v>
      </c>
      <c r="T312" s="22" t="s">
        <v>401</v>
      </c>
      <c r="U312" s="22" t="s">
        <v>4726</v>
      </c>
      <c r="V312" s="22" t="s">
        <v>401</v>
      </c>
      <c r="W312" s="43" t="s">
        <v>401</v>
      </c>
      <c r="X312" s="43" t="s">
        <v>401</v>
      </c>
      <c r="Y312" s="43"/>
      <c r="Z312" s="43"/>
      <c r="AA312" s="22"/>
      <c r="AB312" s="22">
        <v>3.107365307E9</v>
      </c>
      <c r="AC312" s="22"/>
      <c r="AD312" s="22"/>
      <c r="AE312" s="22"/>
      <c r="AF312" s="43"/>
      <c r="AG312" s="43"/>
      <c r="AH312" s="43" t="s">
        <v>401</v>
      </c>
      <c r="AI312" s="43"/>
      <c r="AJ312" s="22" t="s">
        <v>4727</v>
      </c>
      <c r="AK312" s="43"/>
      <c r="AL312" s="43"/>
      <c r="AM312" s="43"/>
      <c r="AN312" s="43"/>
      <c r="AO312" s="43"/>
      <c r="AP312" s="43"/>
      <c r="AQ312" s="43"/>
      <c r="AR312" s="43"/>
      <c r="AS312" s="43"/>
      <c r="AT312" s="43"/>
      <c r="AU312" s="43"/>
      <c r="AV312" s="43"/>
      <c r="AW312" s="22"/>
      <c r="AX312" s="22" t="s">
        <v>4727</v>
      </c>
      <c r="AY312" s="43"/>
      <c r="AZ312" s="43"/>
      <c r="BA312" s="43"/>
      <c r="BB312" s="43"/>
      <c r="BC312" s="43"/>
      <c r="BD312" s="43" t="s">
        <v>401</v>
      </c>
      <c r="BE312" s="59" t="s">
        <v>2755</v>
      </c>
      <c r="BF312" s="22" t="s">
        <v>131</v>
      </c>
      <c r="BG312" s="22" t="s">
        <v>132</v>
      </c>
      <c r="BH312" s="22" t="s">
        <v>132</v>
      </c>
      <c r="BI312" s="22" t="s">
        <v>132</v>
      </c>
      <c r="BJ312" s="43"/>
      <c r="BK312" s="43"/>
      <c r="BL312" s="22" t="s">
        <v>401</v>
      </c>
      <c r="BM312" s="22"/>
      <c r="BN312" s="22" t="s">
        <v>401</v>
      </c>
      <c r="BO312" s="22"/>
      <c r="BP312" s="22" t="s">
        <v>401</v>
      </c>
      <c r="BQ312" s="43"/>
      <c r="BR312" s="43"/>
      <c r="BS312" s="22" t="s">
        <v>401</v>
      </c>
      <c r="BT312" s="43"/>
      <c r="BU312" s="22" t="s">
        <v>401</v>
      </c>
      <c r="BV312" s="43" t="s">
        <v>401</v>
      </c>
      <c r="BW312" s="22" t="s">
        <v>401</v>
      </c>
      <c r="BX312" s="22"/>
      <c r="BY312" s="43"/>
      <c r="BZ312" s="43"/>
      <c r="CA312" s="22" t="s">
        <v>401</v>
      </c>
      <c r="CB312" s="22" t="s">
        <v>401</v>
      </c>
      <c r="CC312" s="45" t="s">
        <v>401</v>
      </c>
      <c r="CD312" s="43"/>
      <c r="CE312" s="43"/>
      <c r="CF312" s="45" t="s">
        <v>401</v>
      </c>
      <c r="CG312" s="43"/>
      <c r="CH312" s="43"/>
      <c r="CI312" s="43"/>
      <c r="CJ312" s="43"/>
      <c r="CK312" s="43"/>
      <c r="CL312" s="43"/>
      <c r="CM312" s="49" t="str">
        <f>IFERROR(VLOOKUP(B312,CC!A:D,4,0)," ")</f>
        <v> </v>
      </c>
      <c r="CN312" s="22" t="s">
        <v>2681</v>
      </c>
      <c r="CO312" s="22"/>
      <c r="CP312" s="43"/>
      <c r="CQ312" s="22" t="s">
        <v>401</v>
      </c>
      <c r="CR312" s="43"/>
      <c r="CS312" s="22">
        <v>1.0</v>
      </c>
      <c r="CT312" s="22" t="s">
        <v>145</v>
      </c>
      <c r="CU312" s="43"/>
      <c r="CV312" s="43"/>
      <c r="CW312" s="43"/>
      <c r="CX312" s="43"/>
      <c r="CY312" s="43" t="b">
        <v>0</v>
      </c>
      <c r="CZ312" s="43" t="b">
        <v>0</v>
      </c>
      <c r="DA312" s="43" t="b">
        <v>0</v>
      </c>
      <c r="DB312" s="43" t="b">
        <v>0</v>
      </c>
      <c r="DC312" s="43"/>
      <c r="DD312" s="43"/>
      <c r="DE312" s="43"/>
      <c r="DF312" s="43"/>
      <c r="DG312" s="43"/>
      <c r="DH312" s="43"/>
      <c r="DI312" s="43"/>
      <c r="DJ312" s="22" t="str">
        <f>IFERROR(VLOOKUP($B312,'Лист4'!$D:$AI,27,0)," ")</f>
        <v> </v>
      </c>
      <c r="DK312" s="22" t="str">
        <f>IFERROR(VLOOKUP($B312,'Лист4'!$D:$AI,28,0)," ")</f>
        <v> </v>
      </c>
      <c r="DL312" s="22" t="str">
        <f>IFERROR(VLOOKUP($B312,'Лист4'!$D:$AI,29,0)," ")</f>
        <v> </v>
      </c>
      <c r="DM312" s="22" t="str">
        <f t="shared" si="3"/>
        <v> </v>
      </c>
      <c r="DN312" s="22" t="str">
        <f>IFERROR(VLOOKUP($B312,'Лист4'!$D:$AI,32,0)," ")</f>
        <v> </v>
      </c>
      <c r="DO312" s="22"/>
      <c r="DP312" s="22"/>
      <c r="DQ312" s="22"/>
      <c r="DR312" s="22"/>
      <c r="DS312" s="22"/>
      <c r="DT312" s="22"/>
      <c r="DU312" s="22"/>
      <c r="DV312" s="22"/>
      <c r="DW312" s="22"/>
      <c r="DX312" s="22"/>
      <c r="DY312" s="22"/>
      <c r="DZ312" s="22"/>
      <c r="EA312" s="22"/>
      <c r="EB312" s="22"/>
      <c r="EC312" s="22"/>
      <c r="ED312" s="22"/>
      <c r="EE312" s="22"/>
      <c r="EF312" s="22"/>
      <c r="EG312" s="22"/>
      <c r="EH312" s="22"/>
      <c r="EI312" s="22"/>
      <c r="EJ312" s="22"/>
      <c r="EK312" s="22"/>
      <c r="EL312" s="22"/>
      <c r="EM312" s="22"/>
      <c r="EN312" s="22"/>
      <c r="EO312" s="22"/>
      <c r="EP312" s="22"/>
      <c r="EQ312" s="22"/>
      <c r="ER312" s="22"/>
      <c r="ES312" s="43"/>
      <c r="ET312" s="43"/>
      <c r="EU312" s="43"/>
      <c r="EV312" s="43"/>
      <c r="EW312" s="43"/>
      <c r="EX312" s="43"/>
      <c r="EY312" s="43"/>
      <c r="EZ312" s="43"/>
      <c r="FA312" s="43"/>
      <c r="FB312" s="43"/>
      <c r="FC312" s="43"/>
      <c r="FD312" s="43"/>
      <c r="FE312" s="43"/>
      <c r="FF312" s="43"/>
      <c r="FG312" s="43"/>
      <c r="FH312" s="43"/>
      <c r="FI312" s="43"/>
    </row>
    <row r="313" ht="18.0" customHeight="1">
      <c r="A313" s="22" t="s">
        <v>2659</v>
      </c>
      <c r="B313" s="43" t="s">
        <v>4728</v>
      </c>
      <c r="C313" s="22" t="s">
        <v>2741</v>
      </c>
      <c r="D313" s="22" t="s">
        <v>119</v>
      </c>
      <c r="E313" s="43"/>
      <c r="F313" s="22" t="s">
        <v>2837</v>
      </c>
      <c r="G313" s="22" t="s">
        <v>2743</v>
      </c>
      <c r="H313" s="22" t="s">
        <v>565</v>
      </c>
      <c r="I313" s="43"/>
      <c r="J313" s="43"/>
      <c r="K313" s="22" t="b">
        <v>1</v>
      </c>
      <c r="L313" s="22" t="b">
        <v>0</v>
      </c>
      <c r="M313" s="22" t="b">
        <v>1</v>
      </c>
      <c r="N313" s="22" t="b">
        <v>0</v>
      </c>
      <c r="O313" s="22" t="b">
        <v>0</v>
      </c>
      <c r="P313" s="22" t="b">
        <v>0</v>
      </c>
      <c r="Q313" s="22" t="b">
        <v>0</v>
      </c>
      <c r="R313" s="43"/>
      <c r="S313" s="43" t="s">
        <v>4729</v>
      </c>
      <c r="T313" s="22"/>
      <c r="U313" s="22" t="s">
        <v>4728</v>
      </c>
      <c r="V313" s="22"/>
      <c r="W313" s="43"/>
      <c r="X313" s="43"/>
      <c r="Y313" s="43"/>
      <c r="Z313" s="43"/>
      <c r="AA313" s="22"/>
      <c r="AB313" s="22">
        <v>3.159927877E9</v>
      </c>
      <c r="AC313" s="22"/>
      <c r="AD313" s="22"/>
      <c r="AE313" s="22"/>
      <c r="AF313" s="43"/>
      <c r="AG313" s="43"/>
      <c r="AH313" s="43" t="s">
        <v>2837</v>
      </c>
      <c r="AI313" s="43"/>
      <c r="AJ313" s="22" t="s">
        <v>2841</v>
      </c>
      <c r="AK313" s="43"/>
      <c r="AL313" s="43"/>
      <c r="AM313" s="43"/>
      <c r="AN313" s="43"/>
      <c r="AO313" s="43"/>
      <c r="AP313" s="43"/>
      <c r="AQ313" s="46" t="s">
        <v>4730</v>
      </c>
      <c r="AR313" s="43"/>
      <c r="AS313" s="43"/>
      <c r="AT313" s="43"/>
      <c r="AU313" s="43"/>
      <c r="AV313" s="43"/>
      <c r="AW313" s="22"/>
      <c r="AX313" s="22" t="s">
        <v>2841</v>
      </c>
      <c r="AY313" s="43"/>
      <c r="AZ313" s="43"/>
      <c r="BA313" s="43"/>
      <c r="BB313" s="43"/>
      <c r="BC313" s="43"/>
      <c r="BD313" s="43" t="s">
        <v>401</v>
      </c>
      <c r="BE313" s="59" t="s">
        <v>2755</v>
      </c>
      <c r="BF313" s="22" t="s">
        <v>131</v>
      </c>
      <c r="BG313" s="22" t="s">
        <v>132</v>
      </c>
      <c r="BH313" s="22" t="s">
        <v>132</v>
      </c>
      <c r="BI313" s="22" t="s">
        <v>132</v>
      </c>
      <c r="BJ313" s="43"/>
      <c r="BK313" s="43"/>
      <c r="BL313" s="22">
        <v>4.603312714069E12</v>
      </c>
      <c r="BM313" s="22">
        <v>3.30499E9</v>
      </c>
      <c r="BN313" s="22" t="s">
        <v>4731</v>
      </c>
      <c r="BO313" s="22"/>
      <c r="BP313" s="22" t="s">
        <v>2676</v>
      </c>
      <c r="BQ313" s="43"/>
      <c r="BR313" s="43"/>
      <c r="BS313" s="22" t="s">
        <v>4732</v>
      </c>
      <c r="BT313" s="43"/>
      <c r="BU313" s="22" t="s">
        <v>4733</v>
      </c>
      <c r="BV313" s="22" t="s">
        <v>2802</v>
      </c>
      <c r="BW313" s="22" t="s">
        <v>4734</v>
      </c>
      <c r="BX313" s="22">
        <v>30.0</v>
      </c>
      <c r="BY313" s="22" t="s">
        <v>139</v>
      </c>
      <c r="BZ313" s="43"/>
      <c r="CA313" s="22" t="s">
        <v>4735</v>
      </c>
      <c r="CB313" s="22" t="s">
        <v>307</v>
      </c>
      <c r="CC313" s="44" t="s">
        <v>2855</v>
      </c>
      <c r="CD313" s="43"/>
      <c r="CE313" s="43"/>
      <c r="CF313" s="45" t="s">
        <v>401</v>
      </c>
      <c r="CG313" s="54">
        <v>46077.0</v>
      </c>
      <c r="CH313" s="46" t="s">
        <v>2856</v>
      </c>
      <c r="CI313" s="43"/>
      <c r="CJ313" s="43"/>
      <c r="CK313" s="43"/>
      <c r="CL313" s="43"/>
      <c r="CM313" s="49">
        <f>IFERROR(VLOOKUP(B313,CC!A:D,4,0)," ")</f>
        <v>130</v>
      </c>
      <c r="CN313" s="22" t="s">
        <v>2942</v>
      </c>
      <c r="CO313" s="22" t="s">
        <v>2943</v>
      </c>
      <c r="CP313" s="43"/>
      <c r="CQ313" s="22" t="s">
        <v>401</v>
      </c>
      <c r="CR313" s="43"/>
      <c r="CS313" s="22">
        <v>5.0</v>
      </c>
      <c r="CT313" s="22" t="s">
        <v>145</v>
      </c>
      <c r="CU313" s="43"/>
      <c r="CV313" s="43"/>
      <c r="CW313" s="43"/>
      <c r="CX313" s="43"/>
      <c r="CY313" s="43" t="b">
        <v>0</v>
      </c>
      <c r="CZ313" s="43" t="b">
        <v>0</v>
      </c>
      <c r="DA313" s="43" t="b">
        <v>0</v>
      </c>
      <c r="DB313" s="43" t="b">
        <v>0</v>
      </c>
      <c r="DC313" s="43"/>
      <c r="DD313" s="43"/>
      <c r="DE313" s="43"/>
      <c r="DF313" s="43"/>
      <c r="DG313" s="43"/>
      <c r="DH313" s="43"/>
      <c r="DI313" s="43"/>
      <c r="DJ313" s="22">
        <f>IFERROR(VLOOKUP($B313,'Лист4'!$D:$AI,27,0)," ")</f>
        <v>7</v>
      </c>
      <c r="DK313" s="22">
        <f>IFERROR(VLOOKUP($B313,'Лист4'!$D:$AI,28,0)," ")</f>
        <v>4</v>
      </c>
      <c r="DL313" s="22">
        <f>IFERROR(VLOOKUP($B313,'Лист4'!$D:$AI,29,0)," ")</f>
        <v>7</v>
      </c>
      <c r="DM313" s="22">
        <f t="shared" si="3"/>
        <v>196</v>
      </c>
      <c r="DN313" s="22">
        <f>IFERROR(VLOOKUP($B313,'Лист4'!$D:$AI,32,0)," ")</f>
        <v>0.048</v>
      </c>
      <c r="DO313" s="22"/>
      <c r="DP313" s="22"/>
      <c r="DQ313" s="22"/>
      <c r="DR313" s="22"/>
      <c r="DS313" s="22"/>
      <c r="DT313" s="22"/>
      <c r="DU313" s="22"/>
      <c r="DV313" s="22"/>
      <c r="DW313" s="22"/>
      <c r="DX313" s="22"/>
      <c r="DY313" s="22"/>
      <c r="DZ313" s="22"/>
      <c r="EA313" s="22"/>
      <c r="EB313" s="22"/>
      <c r="EC313" s="22"/>
      <c r="ED313" s="22"/>
      <c r="EE313" s="22"/>
      <c r="EF313" s="22"/>
      <c r="EG313" s="22"/>
      <c r="EH313" s="22"/>
      <c r="EI313" s="22"/>
      <c r="EJ313" s="22"/>
      <c r="EK313" s="22"/>
      <c r="EL313" s="22"/>
      <c r="EM313" s="22"/>
      <c r="EN313" s="22"/>
      <c r="EO313" s="22"/>
      <c r="EP313" s="22"/>
      <c r="EQ313" s="22"/>
      <c r="ER313" s="22"/>
      <c r="ES313" s="43"/>
      <c r="ET313" s="43"/>
      <c r="EU313" s="43"/>
      <c r="EV313" s="43"/>
      <c r="EW313" s="43"/>
      <c r="EX313" s="43"/>
      <c r="EY313" s="43"/>
      <c r="EZ313" s="43"/>
      <c r="FA313" s="43"/>
      <c r="FB313" s="43"/>
      <c r="FC313" s="43"/>
      <c r="FD313" s="43"/>
      <c r="FE313" s="43"/>
      <c r="FF313" s="43"/>
      <c r="FG313" s="43"/>
      <c r="FH313" s="43"/>
      <c r="FI313" s="43"/>
    </row>
    <row r="314" ht="18.0" customHeight="1">
      <c r="A314" s="22" t="s">
        <v>2659</v>
      </c>
      <c r="B314" s="43" t="s">
        <v>4736</v>
      </c>
      <c r="C314" s="22" t="s">
        <v>2741</v>
      </c>
      <c r="D314" s="22" t="s">
        <v>119</v>
      </c>
      <c r="E314" s="43"/>
      <c r="F314" s="22" t="s">
        <v>4737</v>
      </c>
      <c r="G314" s="22" t="s">
        <v>2743</v>
      </c>
      <c r="H314" s="22" t="s">
        <v>565</v>
      </c>
      <c r="I314" s="43"/>
      <c r="J314" s="43"/>
      <c r="K314" s="22" t="b">
        <v>1</v>
      </c>
      <c r="L314" s="22" t="b">
        <v>1</v>
      </c>
      <c r="M314" s="22" t="b">
        <v>1</v>
      </c>
      <c r="N314" s="22" t="b">
        <v>1</v>
      </c>
      <c r="O314" s="22" t="b">
        <v>0</v>
      </c>
      <c r="P314" s="22" t="b">
        <v>0</v>
      </c>
      <c r="Q314" s="22" t="b">
        <v>0</v>
      </c>
      <c r="R314" s="43"/>
      <c r="S314" s="43" t="s">
        <v>4738</v>
      </c>
      <c r="T314" s="22" t="s">
        <v>4736</v>
      </c>
      <c r="U314" s="22" t="s">
        <v>4736</v>
      </c>
      <c r="V314" s="55" t="s">
        <v>4736</v>
      </c>
      <c r="W314" s="43"/>
      <c r="X314" s="43"/>
      <c r="Y314" s="43"/>
      <c r="Z314" s="43"/>
      <c r="AA314" s="22">
        <v>6.68799528E8</v>
      </c>
      <c r="AB314" s="22">
        <v>3.164675898E9</v>
      </c>
      <c r="AC314" s="22">
        <v>4.824579506E9</v>
      </c>
      <c r="AD314" s="22"/>
      <c r="AE314" s="22"/>
      <c r="AF314" s="43"/>
      <c r="AG314" s="43"/>
      <c r="AH314" s="43" t="s">
        <v>4737</v>
      </c>
      <c r="AI314" s="22" t="s">
        <v>717</v>
      </c>
      <c r="AJ314" s="22" t="s">
        <v>4739</v>
      </c>
      <c r="AK314" s="22" t="s">
        <v>4740</v>
      </c>
      <c r="AL314" s="43"/>
      <c r="AM314" s="43"/>
      <c r="AN314" s="43"/>
      <c r="AO314" s="43"/>
      <c r="AP314" s="46" t="s">
        <v>4741</v>
      </c>
      <c r="AQ314" s="46" t="s">
        <v>4742</v>
      </c>
      <c r="AR314" s="46" t="s">
        <v>4743</v>
      </c>
      <c r="AS314" s="43"/>
      <c r="AT314" s="43"/>
      <c r="AU314" s="43"/>
      <c r="AV314" s="43"/>
      <c r="AW314" s="22" t="s">
        <v>594</v>
      </c>
      <c r="AX314" s="22" t="s">
        <v>4739</v>
      </c>
      <c r="AY314" s="22" t="s">
        <v>722</v>
      </c>
      <c r="AZ314" s="43"/>
      <c r="BA314" s="43"/>
      <c r="BB314" s="43"/>
      <c r="BC314" s="43"/>
      <c r="BD314" s="43" t="s">
        <v>401</v>
      </c>
      <c r="BE314" s="59" t="s">
        <v>2755</v>
      </c>
      <c r="BF314" s="22" t="s">
        <v>131</v>
      </c>
      <c r="BG314" s="22" t="s">
        <v>132</v>
      </c>
      <c r="BH314" s="22" t="s">
        <v>132</v>
      </c>
      <c r="BI314" s="22" t="s">
        <v>132</v>
      </c>
      <c r="BJ314" s="43"/>
      <c r="BK314" s="43"/>
      <c r="BL314" s="22">
        <v>4.660417421766E12</v>
      </c>
      <c r="BM314" s="22">
        <v>3.30499E9</v>
      </c>
      <c r="BN314" s="22" t="s">
        <v>4744</v>
      </c>
      <c r="BO314" s="22"/>
      <c r="BP314" s="22" t="s">
        <v>496</v>
      </c>
      <c r="BQ314" s="43"/>
      <c r="BR314" s="43"/>
      <c r="BS314" s="22" t="s">
        <v>4745</v>
      </c>
      <c r="BT314" s="43"/>
      <c r="BU314" s="22" t="s">
        <v>4746</v>
      </c>
      <c r="BV314" s="43" t="s">
        <v>2759</v>
      </c>
      <c r="BW314" s="22" t="s">
        <v>4747</v>
      </c>
      <c r="BX314" s="22">
        <v>50.0</v>
      </c>
      <c r="BY314" s="22" t="s">
        <v>139</v>
      </c>
      <c r="BZ314" s="22"/>
      <c r="CA314" s="22" t="s">
        <v>726</v>
      </c>
      <c r="CB314" s="22" t="s">
        <v>727</v>
      </c>
      <c r="CC314" s="45" t="s">
        <v>4748</v>
      </c>
      <c r="CD314" s="43"/>
      <c r="CE314" s="43"/>
      <c r="CF314" s="45"/>
      <c r="CG314" s="43"/>
      <c r="CH314" s="43"/>
      <c r="CI314" s="43"/>
      <c r="CJ314" s="43"/>
      <c r="CK314" s="43"/>
      <c r="CL314" s="43"/>
      <c r="CM314" s="49">
        <f>IFERROR(VLOOKUP(B314,CC!A:D,4,0)," ")</f>
        <v>130</v>
      </c>
      <c r="CN314" s="22" t="s">
        <v>3020</v>
      </c>
      <c r="CO314" s="22"/>
      <c r="CP314" s="22"/>
      <c r="CQ314" s="22">
        <v>45.0</v>
      </c>
      <c r="CR314" s="43"/>
      <c r="CS314" s="22">
        <v>1.0</v>
      </c>
      <c r="CT314" s="22" t="s">
        <v>145</v>
      </c>
      <c r="CU314" s="43"/>
      <c r="CV314" s="43"/>
      <c r="CW314" s="43"/>
      <c r="CX314" s="43"/>
      <c r="CY314" s="43" t="b">
        <v>0</v>
      </c>
      <c r="CZ314" s="43" t="b">
        <v>0</v>
      </c>
      <c r="DA314" s="43" t="b">
        <v>0</v>
      </c>
      <c r="DB314" s="43" t="b">
        <v>0</v>
      </c>
      <c r="DC314" s="43"/>
      <c r="DD314" s="43"/>
      <c r="DE314" s="43"/>
      <c r="DF314" s="43"/>
      <c r="DG314" s="43"/>
      <c r="DH314" s="43"/>
      <c r="DI314" s="43"/>
      <c r="DJ314" s="22">
        <f>IFERROR(VLOOKUP($B314,'Лист4'!$D:$AI,27,0)," ")</f>
        <v>1</v>
      </c>
      <c r="DK314" s="22">
        <f>IFERROR(VLOOKUP($B314,'Лист4'!$D:$AI,28,0)," ")</f>
        <v>1</v>
      </c>
      <c r="DL314" s="22">
        <f>IFERROR(VLOOKUP($B314,'Лист4'!$D:$AI,29,0)," ")</f>
        <v>1</v>
      </c>
      <c r="DM314" s="22">
        <f t="shared" si="3"/>
        <v>1</v>
      </c>
      <c r="DN314" s="22">
        <f>IFERROR(VLOOKUP($B314,'Лист4'!$D:$AI,32,0)," ")</f>
        <v>1</v>
      </c>
      <c r="DO314" s="22"/>
      <c r="DP314" s="22"/>
      <c r="DQ314" s="22"/>
      <c r="DR314" s="22"/>
      <c r="DS314" s="22"/>
      <c r="DT314" s="22"/>
      <c r="DU314" s="22"/>
      <c r="DV314" s="22"/>
      <c r="DW314" s="22"/>
      <c r="DX314" s="22"/>
      <c r="DY314" s="22"/>
      <c r="DZ314" s="22"/>
      <c r="EA314" s="22"/>
      <c r="EB314" s="22"/>
      <c r="EC314" s="22"/>
      <c r="ED314" s="22"/>
      <c r="EE314" s="22"/>
      <c r="EF314" s="22"/>
      <c r="EG314" s="22"/>
      <c r="EH314" s="22"/>
      <c r="EI314" s="22"/>
      <c r="EJ314" s="22"/>
      <c r="EK314" s="22"/>
      <c r="EL314" s="22"/>
      <c r="EM314" s="22"/>
      <c r="EN314" s="22"/>
      <c r="EO314" s="22"/>
      <c r="EP314" s="22"/>
      <c r="EQ314" s="22"/>
      <c r="ER314" s="22"/>
      <c r="ES314" s="43"/>
      <c r="ET314" s="43"/>
      <c r="EU314" s="43"/>
      <c r="EV314" s="43"/>
      <c r="EW314" s="43"/>
      <c r="EX314" s="43"/>
      <c r="EY314" s="43"/>
      <c r="EZ314" s="43"/>
      <c r="FA314" s="43"/>
      <c r="FB314" s="43"/>
      <c r="FC314" s="43"/>
      <c r="FD314" s="43"/>
      <c r="FE314" s="43"/>
      <c r="FF314" s="43"/>
      <c r="FG314" s="43"/>
      <c r="FH314" s="43"/>
      <c r="FI314" s="43"/>
    </row>
    <row r="315" ht="18.0" customHeight="1">
      <c r="A315" s="22" t="s">
        <v>2659</v>
      </c>
      <c r="B315" s="43" t="s">
        <v>4749</v>
      </c>
      <c r="C315" s="22" t="s">
        <v>2661</v>
      </c>
      <c r="D315" s="22" t="s">
        <v>119</v>
      </c>
      <c r="E315" s="43"/>
      <c r="F315" s="22" t="s">
        <v>4162</v>
      </c>
      <c r="G315" s="22" t="s">
        <v>2663</v>
      </c>
      <c r="H315" s="22" t="s">
        <v>2876</v>
      </c>
      <c r="I315" s="43"/>
      <c r="J315" s="43"/>
      <c r="K315" s="22" t="b">
        <v>1</v>
      </c>
      <c r="L315" s="22" t="b">
        <v>1</v>
      </c>
      <c r="M315" s="22" t="b">
        <v>1</v>
      </c>
      <c r="N315" s="22" t="b">
        <v>1</v>
      </c>
      <c r="O315" s="22" t="b">
        <v>0</v>
      </c>
      <c r="P315" s="22" t="b">
        <v>0</v>
      </c>
      <c r="Q315" s="22" t="b">
        <v>0</v>
      </c>
      <c r="R315" s="43"/>
      <c r="S315" s="43" t="s">
        <v>4750</v>
      </c>
      <c r="T315" s="22" t="s">
        <v>4749</v>
      </c>
      <c r="U315" s="22" t="s">
        <v>4749</v>
      </c>
      <c r="V315" s="22" t="s">
        <v>4749</v>
      </c>
      <c r="W315" s="43"/>
      <c r="X315" s="43"/>
      <c r="Y315" s="43"/>
      <c r="Z315" s="43"/>
      <c r="AA315" s="22">
        <v>3.4285227E7</v>
      </c>
      <c r="AB315" s="22">
        <v>2.96756085E8</v>
      </c>
      <c r="AC315" s="22">
        <v>1.01863091732E11</v>
      </c>
      <c r="AD315" s="22"/>
      <c r="AE315" s="22"/>
      <c r="AF315" s="43"/>
      <c r="AG315" s="43"/>
      <c r="AH315" s="43" t="s">
        <v>4162</v>
      </c>
      <c r="AI315" s="22" t="s">
        <v>4164</v>
      </c>
      <c r="AJ315" s="22" t="s">
        <v>4751</v>
      </c>
      <c r="AK315" s="22" t="s">
        <v>4752</v>
      </c>
      <c r="AL315" s="43"/>
      <c r="AM315" s="43"/>
      <c r="AN315" s="43"/>
      <c r="AO315" s="43"/>
      <c r="AP315" s="46" t="s">
        <v>4753</v>
      </c>
      <c r="AQ315" s="46" t="s">
        <v>4754</v>
      </c>
      <c r="AR315" s="46" t="s">
        <v>4755</v>
      </c>
      <c r="AS315" s="43"/>
      <c r="AT315" s="43"/>
      <c r="AU315" s="43"/>
      <c r="AV315" s="43"/>
      <c r="AW315" s="22" t="s">
        <v>649</v>
      </c>
      <c r="AX315" s="22" t="s">
        <v>4751</v>
      </c>
      <c r="AY315" s="22" t="s">
        <v>372</v>
      </c>
      <c r="AZ315" s="43"/>
      <c r="BA315" s="43"/>
      <c r="BB315" s="43"/>
      <c r="BC315" s="43"/>
      <c r="BD315" s="43" t="s">
        <v>2673</v>
      </c>
      <c r="BE315" s="59" t="s">
        <v>2755</v>
      </c>
      <c r="BF315" s="22" t="s">
        <v>131</v>
      </c>
      <c r="BG315" s="22" t="s">
        <v>132</v>
      </c>
      <c r="BH315" s="22" t="s">
        <v>132</v>
      </c>
      <c r="BI315" s="22" t="s">
        <v>132</v>
      </c>
      <c r="BJ315" s="43"/>
      <c r="BK315" s="43"/>
      <c r="BL315" s="22">
        <v>4.631141996004E12</v>
      </c>
      <c r="BM315" s="22">
        <v>2.106909808E9</v>
      </c>
      <c r="BN315" s="22" t="s">
        <v>4756</v>
      </c>
      <c r="BO315" s="22"/>
      <c r="BP315" s="22" t="s">
        <v>145</v>
      </c>
      <c r="BQ315" s="43"/>
      <c r="BR315" s="43"/>
      <c r="BS315" s="22" t="s">
        <v>4171</v>
      </c>
      <c r="BT315" s="22"/>
      <c r="BU315" s="22" t="s">
        <v>4172</v>
      </c>
      <c r="BV315" s="22" t="s">
        <v>2777</v>
      </c>
      <c r="BW315" s="22" t="s">
        <v>4173</v>
      </c>
      <c r="BX315" s="22">
        <v>20.0</v>
      </c>
      <c r="BY315" s="22" t="s">
        <v>492</v>
      </c>
      <c r="BZ315" s="22"/>
      <c r="CA315" s="22" t="s">
        <v>3960</v>
      </c>
      <c r="CB315" s="22" t="s">
        <v>307</v>
      </c>
      <c r="CC315" s="45" t="s">
        <v>4757</v>
      </c>
      <c r="CD315" s="43"/>
      <c r="CE315" s="43"/>
      <c r="CF315" s="45"/>
      <c r="CG315" s="43"/>
      <c r="CH315" s="43"/>
      <c r="CI315" s="43"/>
      <c r="CJ315" s="43"/>
      <c r="CK315" s="43"/>
      <c r="CL315" s="43"/>
      <c r="CM315" s="49">
        <f>IFERROR(VLOOKUP(B315,CC!A:D,4,0)," ")</f>
        <v>116.15</v>
      </c>
      <c r="CN315" s="22" t="s">
        <v>2873</v>
      </c>
      <c r="CO315" s="22"/>
      <c r="CP315" s="43"/>
      <c r="CQ315" s="22" t="s">
        <v>401</v>
      </c>
      <c r="CR315" s="43"/>
      <c r="CS315" s="22">
        <v>1.0</v>
      </c>
      <c r="CT315" s="22" t="s">
        <v>145</v>
      </c>
      <c r="CU315" s="43"/>
      <c r="CV315" s="43"/>
      <c r="CW315" s="43"/>
      <c r="CX315" s="43"/>
      <c r="CY315" s="43" t="b">
        <v>0</v>
      </c>
      <c r="CZ315" s="43" t="b">
        <v>0</v>
      </c>
      <c r="DA315" s="43" t="b">
        <v>0</v>
      </c>
      <c r="DB315" s="43" t="b">
        <v>0</v>
      </c>
      <c r="DC315" s="43"/>
      <c r="DD315" s="43"/>
      <c r="DE315" s="43"/>
      <c r="DF315" s="43"/>
      <c r="DG315" s="43"/>
      <c r="DH315" s="43"/>
      <c r="DI315" s="43"/>
      <c r="DJ315" s="22">
        <f>IFERROR(VLOOKUP($B315,'Лист4'!$D:$AI,27,0)," ")</f>
        <v>8</v>
      </c>
      <c r="DK315" s="22">
        <f>IFERROR(VLOOKUP($B315,'Лист4'!$D:$AI,28,0)," ")</f>
        <v>2</v>
      </c>
      <c r="DL315" s="22">
        <f>IFERROR(VLOOKUP($B315,'Лист4'!$D:$AI,29,0)," ")</f>
        <v>8</v>
      </c>
      <c r="DM315" s="22">
        <f t="shared" si="3"/>
        <v>128</v>
      </c>
      <c r="DN315" s="22">
        <f>IFERROR(VLOOKUP($B315,'Лист4'!$D:$AI,32,0)," ")</f>
        <v>0.016</v>
      </c>
      <c r="DO315" s="22"/>
      <c r="DP315" s="22"/>
      <c r="DQ315" s="22"/>
      <c r="DR315" s="22"/>
      <c r="DS315" s="22"/>
      <c r="DT315" s="22"/>
      <c r="DU315" s="22"/>
      <c r="DV315" s="22"/>
      <c r="DW315" s="22"/>
      <c r="DX315" s="22"/>
      <c r="DY315" s="22"/>
      <c r="DZ315" s="22"/>
      <c r="EA315" s="22"/>
      <c r="EB315" s="22"/>
      <c r="EC315" s="22"/>
      <c r="ED315" s="22"/>
      <c r="EE315" s="22"/>
      <c r="EF315" s="22"/>
      <c r="EG315" s="22"/>
      <c r="EH315" s="22"/>
      <c r="EI315" s="22"/>
      <c r="EJ315" s="22"/>
      <c r="EK315" s="22"/>
      <c r="EL315" s="22"/>
      <c r="EM315" s="22"/>
      <c r="EN315" s="22"/>
      <c r="EO315" s="22"/>
      <c r="EP315" s="22"/>
      <c r="EQ315" s="22"/>
      <c r="ER315" s="22"/>
      <c r="ES315" s="43"/>
      <c r="ET315" s="43"/>
      <c r="EU315" s="43"/>
      <c r="EV315" s="43"/>
      <c r="EW315" s="43"/>
      <c r="EX315" s="43"/>
      <c r="EY315" s="43"/>
      <c r="EZ315" s="43"/>
      <c r="FA315" s="43"/>
      <c r="FB315" s="43"/>
      <c r="FC315" s="43"/>
      <c r="FD315" s="43"/>
      <c r="FE315" s="43"/>
      <c r="FF315" s="43"/>
      <c r="FG315" s="43"/>
      <c r="FH315" s="43"/>
      <c r="FI315" s="43"/>
    </row>
    <row r="316" ht="18.0" customHeight="1">
      <c r="A316" s="22" t="s">
        <v>2659</v>
      </c>
      <c r="B316" s="43" t="s">
        <v>4758</v>
      </c>
      <c r="C316" s="22" t="s">
        <v>2741</v>
      </c>
      <c r="D316" s="22" t="s">
        <v>187</v>
      </c>
      <c r="E316" s="43"/>
      <c r="F316" s="22" t="s">
        <v>4759</v>
      </c>
      <c r="G316" s="22" t="s">
        <v>2743</v>
      </c>
      <c r="H316" s="22" t="s">
        <v>4366</v>
      </c>
      <c r="I316" s="43"/>
      <c r="J316" s="43"/>
      <c r="K316" s="22" t="b">
        <v>1</v>
      </c>
      <c r="L316" s="22" t="b">
        <v>1</v>
      </c>
      <c r="M316" s="22" t="b">
        <v>1</v>
      </c>
      <c r="N316" s="22" t="b">
        <v>1</v>
      </c>
      <c r="O316" s="22" t="b">
        <v>1</v>
      </c>
      <c r="P316" s="22" t="b">
        <v>1</v>
      </c>
      <c r="Q316" s="22" t="b">
        <v>0</v>
      </c>
      <c r="R316" s="43"/>
      <c r="S316" s="43" t="s">
        <v>4760</v>
      </c>
      <c r="T316" s="22" t="s">
        <v>4758</v>
      </c>
      <c r="U316" s="22" t="s">
        <v>4758</v>
      </c>
      <c r="V316" s="22" t="s">
        <v>4758</v>
      </c>
      <c r="W316" s="43" t="s">
        <v>4758</v>
      </c>
      <c r="X316" s="43" t="s">
        <v>4758</v>
      </c>
      <c r="Y316" s="43"/>
      <c r="Z316" s="43"/>
      <c r="AA316" s="22">
        <v>2.63003602E8</v>
      </c>
      <c r="AB316" s="22">
        <v>1.70231937E9</v>
      </c>
      <c r="AC316" s="22">
        <v>1.03534746275E11</v>
      </c>
      <c r="AD316" s="22">
        <v>9.9000114734E10</v>
      </c>
      <c r="AE316" s="22" t="s">
        <v>4761</v>
      </c>
      <c r="AF316" s="43"/>
      <c r="AG316" s="43"/>
      <c r="AH316" s="43" t="s">
        <v>4759</v>
      </c>
      <c r="AI316" s="22" t="s">
        <v>4762</v>
      </c>
      <c r="AJ316" s="22" t="s">
        <v>4763</v>
      </c>
      <c r="AK316" s="22" t="s">
        <v>4763</v>
      </c>
      <c r="AL316" s="22" t="s">
        <v>4764</v>
      </c>
      <c r="AM316" s="22" t="s">
        <v>4765</v>
      </c>
      <c r="AN316" s="43"/>
      <c r="AO316" s="43"/>
      <c r="AP316" s="46" t="s">
        <v>4766</v>
      </c>
      <c r="AQ316" s="46" t="s">
        <v>4767</v>
      </c>
      <c r="AR316" s="46" t="s">
        <v>4768</v>
      </c>
      <c r="AS316" s="43"/>
      <c r="AT316" s="46" t="s">
        <v>4769</v>
      </c>
      <c r="AU316" s="43"/>
      <c r="AV316" s="43"/>
      <c r="AW316" s="22" t="s">
        <v>594</v>
      </c>
      <c r="AX316" s="22" t="s">
        <v>4763</v>
      </c>
      <c r="AY316" s="22" t="s">
        <v>4360</v>
      </c>
      <c r="AZ316" s="22" t="s">
        <v>1834</v>
      </c>
      <c r="BA316" s="22" t="s">
        <v>4770</v>
      </c>
      <c r="BB316" s="43"/>
      <c r="BC316" s="43"/>
      <c r="BD316" s="43" t="s">
        <v>2673</v>
      </c>
      <c r="BE316" s="59" t="s">
        <v>2755</v>
      </c>
      <c r="BF316" s="22" t="s">
        <v>131</v>
      </c>
      <c r="BG316" s="22" t="s">
        <v>132</v>
      </c>
      <c r="BH316" s="22" t="s">
        <v>132</v>
      </c>
      <c r="BI316" s="22" t="s">
        <v>132</v>
      </c>
      <c r="BJ316" s="43"/>
      <c r="BK316" s="43"/>
      <c r="BL316" s="22">
        <v>4.690222978568E12</v>
      </c>
      <c r="BM316" s="22">
        <v>3.30499E9</v>
      </c>
      <c r="BN316" s="22" t="s">
        <v>4771</v>
      </c>
      <c r="BO316" s="22"/>
      <c r="BP316" s="22" t="s">
        <v>145</v>
      </c>
      <c r="BQ316" s="43"/>
      <c r="BR316" s="43"/>
      <c r="BS316" s="22" t="s">
        <v>4772</v>
      </c>
      <c r="BT316" s="43"/>
      <c r="BU316" s="22" t="s">
        <v>4773</v>
      </c>
      <c r="BV316" s="43" t="s">
        <v>4774</v>
      </c>
      <c r="BW316" s="22" t="s">
        <v>4775</v>
      </c>
      <c r="BX316" s="22">
        <v>20.0</v>
      </c>
      <c r="BY316" s="60" t="s">
        <v>4776</v>
      </c>
      <c r="BZ316" s="60"/>
      <c r="CA316" s="22" t="s">
        <v>355</v>
      </c>
      <c r="CB316" s="22" t="s">
        <v>307</v>
      </c>
      <c r="CC316" s="45" t="s">
        <v>4777</v>
      </c>
      <c r="CD316" s="43"/>
      <c r="CE316" s="43"/>
      <c r="CF316" s="45"/>
      <c r="CG316" s="43"/>
      <c r="CH316" s="43"/>
      <c r="CI316" s="43"/>
      <c r="CJ316" s="43"/>
      <c r="CK316" s="43"/>
      <c r="CL316" s="43"/>
      <c r="CM316" s="49">
        <f>IFERROR(VLOOKUP(B316,CC!A:D,4,0)," ")</f>
        <v>117.03</v>
      </c>
      <c r="CN316" s="22" t="s">
        <v>4778</v>
      </c>
      <c r="CO316" s="22"/>
      <c r="CP316" s="22" t="s">
        <v>4779</v>
      </c>
      <c r="CQ316" s="22">
        <v>90.0</v>
      </c>
      <c r="CR316" s="43"/>
      <c r="CS316" s="22">
        <v>3.0</v>
      </c>
      <c r="CT316" s="22" t="s">
        <v>145</v>
      </c>
      <c r="CU316" s="43"/>
      <c r="CV316" s="43"/>
      <c r="CW316" s="43"/>
      <c r="CX316" s="43"/>
      <c r="CY316" s="43" t="b">
        <v>0</v>
      </c>
      <c r="CZ316" s="43" t="b">
        <v>0</v>
      </c>
      <c r="DA316" s="43" t="b">
        <v>0</v>
      </c>
      <c r="DB316" s="43" t="b">
        <v>0</v>
      </c>
      <c r="DC316" s="43"/>
      <c r="DD316" s="43"/>
      <c r="DE316" s="43"/>
      <c r="DF316" s="43"/>
      <c r="DG316" s="43"/>
      <c r="DH316" s="43"/>
      <c r="DI316" s="43"/>
      <c r="DJ316" s="22">
        <f>IFERROR(VLOOKUP($B316,'Лист4'!$D:$AI,27,0)," ")</f>
        <v>1</v>
      </c>
      <c r="DK316" s="22">
        <f>IFERROR(VLOOKUP($B316,'Лист4'!$D:$AI,28,0)," ")</f>
        <v>7</v>
      </c>
      <c r="DL316" s="22">
        <f>IFERROR(VLOOKUP($B316,'Лист4'!$D:$AI,29,0)," ")</f>
        <v>1</v>
      </c>
      <c r="DM316" s="22">
        <f t="shared" si="3"/>
        <v>7</v>
      </c>
      <c r="DN316" s="22">
        <f>IFERROR(VLOOKUP($B316,'Лист4'!$D:$AI,32,0)," ")</f>
        <v>0.03</v>
      </c>
      <c r="DO316" s="22"/>
      <c r="DP316" s="22"/>
      <c r="DQ316" s="22"/>
      <c r="DR316" s="22"/>
      <c r="DS316" s="22"/>
      <c r="DT316" s="22"/>
      <c r="DU316" s="22"/>
      <c r="DV316" s="22"/>
      <c r="DW316" s="22"/>
      <c r="DX316" s="22"/>
      <c r="DY316" s="22"/>
      <c r="DZ316" s="22"/>
      <c r="EA316" s="22"/>
      <c r="EB316" s="22"/>
      <c r="EC316" s="22"/>
      <c r="ED316" s="22"/>
      <c r="EE316" s="22"/>
      <c r="EF316" s="22"/>
      <c r="EG316" s="22"/>
      <c r="EH316" s="22"/>
      <c r="EI316" s="22"/>
      <c r="EJ316" s="22"/>
      <c r="EK316" s="22"/>
      <c r="EL316" s="22"/>
      <c r="EM316" s="22"/>
      <c r="EN316" s="22"/>
      <c r="EO316" s="22"/>
      <c r="EP316" s="22"/>
      <c r="EQ316" s="22"/>
      <c r="ER316" s="22"/>
      <c r="ES316" s="43"/>
      <c r="ET316" s="43"/>
      <c r="EU316" s="43"/>
      <c r="EV316" s="43"/>
      <c r="EW316" s="43"/>
      <c r="EX316" s="43"/>
      <c r="EY316" s="43"/>
      <c r="EZ316" s="43"/>
      <c r="FA316" s="43"/>
      <c r="FB316" s="43"/>
      <c r="FC316" s="43"/>
      <c r="FD316" s="43"/>
      <c r="FE316" s="43"/>
      <c r="FF316" s="43"/>
      <c r="FG316" s="43"/>
      <c r="FH316" s="43"/>
      <c r="FI316" s="43"/>
    </row>
    <row r="317" ht="18.0" customHeight="1">
      <c r="A317" s="22" t="s">
        <v>2659</v>
      </c>
      <c r="B317" s="43" t="s">
        <v>4780</v>
      </c>
      <c r="C317" s="22" t="s">
        <v>2661</v>
      </c>
      <c r="D317" s="22" t="s">
        <v>119</v>
      </c>
      <c r="E317" s="43"/>
      <c r="F317" s="22" t="s">
        <v>4781</v>
      </c>
      <c r="G317" s="22" t="s">
        <v>2663</v>
      </c>
      <c r="H317" s="22" t="s">
        <v>2766</v>
      </c>
      <c r="I317" s="43"/>
      <c r="J317" s="43"/>
      <c r="K317" s="22" t="b">
        <v>1</v>
      </c>
      <c r="L317" s="22" t="b">
        <v>1</v>
      </c>
      <c r="M317" s="22" t="b">
        <v>1</v>
      </c>
      <c r="N317" s="22" t="b">
        <v>1</v>
      </c>
      <c r="O317" s="22" t="b">
        <v>0</v>
      </c>
      <c r="P317" s="22" t="b">
        <v>0</v>
      </c>
      <c r="Q317" s="22" t="b">
        <v>0</v>
      </c>
      <c r="R317" s="43"/>
      <c r="S317" s="43" t="s">
        <v>4782</v>
      </c>
      <c r="T317" s="22" t="s">
        <v>4780</v>
      </c>
      <c r="U317" s="22" t="s">
        <v>4780</v>
      </c>
      <c r="V317" s="22" t="s">
        <v>4780</v>
      </c>
      <c r="W317" s="43"/>
      <c r="X317" s="43"/>
      <c r="Y317" s="43"/>
      <c r="Z317" s="43"/>
      <c r="AA317" s="22">
        <v>3.5495802E7</v>
      </c>
      <c r="AB317" s="22">
        <v>2.96790094E8</v>
      </c>
      <c r="AC317" s="22">
        <v>1.01740440649E11</v>
      </c>
      <c r="AD317" s="22"/>
      <c r="AE317" s="22"/>
      <c r="AF317" s="43"/>
      <c r="AG317" s="43"/>
      <c r="AH317" s="43" t="s">
        <v>4781</v>
      </c>
      <c r="AI317" s="22" t="s">
        <v>4783</v>
      </c>
      <c r="AJ317" s="22" t="s">
        <v>4784</v>
      </c>
      <c r="AK317" s="22" t="s">
        <v>4785</v>
      </c>
      <c r="AL317" s="43"/>
      <c r="AM317" s="43"/>
      <c r="AN317" s="43"/>
      <c r="AO317" s="43"/>
      <c r="AP317" s="46" t="s">
        <v>4786</v>
      </c>
      <c r="AQ317" s="46" t="s">
        <v>4787</v>
      </c>
      <c r="AR317" s="46" t="s">
        <v>4788</v>
      </c>
      <c r="AS317" s="43"/>
      <c r="AT317" s="43"/>
      <c r="AU317" s="43"/>
      <c r="AV317" s="43"/>
      <c r="AW317" s="22" t="s">
        <v>649</v>
      </c>
      <c r="AX317" s="22" t="s">
        <v>4784</v>
      </c>
      <c r="AY317" s="22" t="s">
        <v>372</v>
      </c>
      <c r="AZ317" s="43"/>
      <c r="BA317" s="43"/>
      <c r="BB317" s="43"/>
      <c r="BC317" s="43"/>
      <c r="BD317" s="43" t="s">
        <v>1449</v>
      </c>
      <c r="BE317" s="59" t="s">
        <v>2755</v>
      </c>
      <c r="BF317" s="22" t="s">
        <v>131</v>
      </c>
      <c r="BG317" s="22" t="s">
        <v>132</v>
      </c>
      <c r="BH317" s="22" t="s">
        <v>132</v>
      </c>
      <c r="BI317" s="22" t="s">
        <v>132</v>
      </c>
      <c r="BJ317" s="43"/>
      <c r="BK317" s="43"/>
      <c r="BL317" s="22">
        <v>4.631155368231E12</v>
      </c>
      <c r="BM317" s="22">
        <v>2.103909009E9</v>
      </c>
      <c r="BN317" s="22" t="s">
        <v>4789</v>
      </c>
      <c r="BO317" s="22"/>
      <c r="BP317" s="22" t="s">
        <v>145</v>
      </c>
      <c r="BQ317" s="43"/>
      <c r="BR317" s="43"/>
      <c r="BS317" s="22" t="s">
        <v>4790</v>
      </c>
      <c r="BT317" s="22"/>
      <c r="BU317" s="22" t="s">
        <v>4791</v>
      </c>
      <c r="BV317" s="22" t="s">
        <v>2777</v>
      </c>
      <c r="BW317" s="22" t="s">
        <v>4792</v>
      </c>
      <c r="BX317" s="22">
        <v>50.0</v>
      </c>
      <c r="BY317" s="22" t="s">
        <v>139</v>
      </c>
      <c r="BZ317" s="22"/>
      <c r="CA317" s="22" t="s">
        <v>3960</v>
      </c>
      <c r="CB317" s="22" t="s">
        <v>307</v>
      </c>
      <c r="CC317" s="45" t="s">
        <v>4793</v>
      </c>
      <c r="CD317" s="43"/>
      <c r="CE317" s="43"/>
      <c r="CF317" s="45"/>
      <c r="CG317" s="43"/>
      <c r="CH317" s="43"/>
      <c r="CI317" s="43"/>
      <c r="CJ317" s="43"/>
      <c r="CK317" s="43"/>
      <c r="CL317" s="43"/>
      <c r="CM317" s="49">
        <f>IFERROR(VLOOKUP(B317,CC!A:D,4,0)," ")</f>
        <v>119.23</v>
      </c>
      <c r="CN317" s="22" t="s">
        <v>2681</v>
      </c>
      <c r="CO317" s="22"/>
      <c r="CP317" s="43"/>
      <c r="CQ317" s="22">
        <v>45.0</v>
      </c>
      <c r="CR317" s="43"/>
      <c r="CS317" s="22">
        <v>1.0</v>
      </c>
      <c r="CT317" s="22" t="s">
        <v>145</v>
      </c>
      <c r="CU317" s="43"/>
      <c r="CV317" s="43"/>
      <c r="CW317" s="43"/>
      <c r="CX317" s="43"/>
      <c r="CY317" s="43" t="b">
        <v>0</v>
      </c>
      <c r="CZ317" s="43" t="b">
        <v>0</v>
      </c>
      <c r="DA317" s="43" t="b">
        <v>0</v>
      </c>
      <c r="DB317" s="43" t="b">
        <v>0</v>
      </c>
      <c r="DC317" s="43"/>
      <c r="DD317" s="43"/>
      <c r="DE317" s="43"/>
      <c r="DF317" s="43"/>
      <c r="DG317" s="43"/>
      <c r="DH317" s="43"/>
      <c r="DI317" s="43"/>
      <c r="DJ317" s="22">
        <f>IFERROR(VLOOKUP($B317,'Лист4'!$D:$AI,27,0)," ")</f>
        <v>10</v>
      </c>
      <c r="DK317" s="22">
        <f>IFERROR(VLOOKUP($B317,'Лист4'!$D:$AI,28,0)," ")</f>
        <v>4</v>
      </c>
      <c r="DL317" s="22">
        <f>IFERROR(VLOOKUP($B317,'Лист4'!$D:$AI,29,0)," ")</f>
        <v>10</v>
      </c>
      <c r="DM317" s="22">
        <f t="shared" si="3"/>
        <v>400</v>
      </c>
      <c r="DN317" s="22">
        <f>IFERROR(VLOOKUP($B317,'Лист4'!$D:$AI,32,0)," ")</f>
        <v>0.069</v>
      </c>
      <c r="DO317" s="22"/>
      <c r="DP317" s="22"/>
      <c r="DQ317" s="22"/>
      <c r="DR317" s="22"/>
      <c r="DS317" s="22"/>
      <c r="DT317" s="22"/>
      <c r="DU317" s="22"/>
      <c r="DV317" s="22"/>
      <c r="DW317" s="22"/>
      <c r="DX317" s="22"/>
      <c r="DY317" s="22"/>
      <c r="DZ317" s="22"/>
      <c r="EA317" s="22"/>
      <c r="EB317" s="22"/>
      <c r="EC317" s="22"/>
      <c r="ED317" s="22"/>
      <c r="EE317" s="22"/>
      <c r="EF317" s="22"/>
      <c r="EG317" s="22"/>
      <c r="EH317" s="22"/>
      <c r="EI317" s="22"/>
      <c r="EJ317" s="22"/>
      <c r="EK317" s="22"/>
      <c r="EL317" s="22"/>
      <c r="EM317" s="22"/>
      <c r="EN317" s="22"/>
      <c r="EO317" s="22"/>
      <c r="EP317" s="22"/>
      <c r="EQ317" s="22"/>
      <c r="ER317" s="22"/>
      <c r="ES317" s="43"/>
      <c r="ET317" s="43"/>
      <c r="EU317" s="43"/>
      <c r="EV317" s="43"/>
      <c r="EW317" s="43"/>
      <c r="EX317" s="43"/>
      <c r="EY317" s="43"/>
      <c r="EZ317" s="43"/>
      <c r="FA317" s="43"/>
      <c r="FB317" s="43"/>
      <c r="FC317" s="43"/>
      <c r="FD317" s="43"/>
      <c r="FE317" s="43"/>
      <c r="FF317" s="43"/>
      <c r="FG317" s="43"/>
      <c r="FH317" s="43"/>
      <c r="FI317" s="43"/>
    </row>
    <row r="318" ht="18.0" customHeight="1">
      <c r="A318" s="22" t="s">
        <v>2659</v>
      </c>
      <c r="B318" s="43" t="s">
        <v>4794</v>
      </c>
      <c r="C318" s="22" t="s">
        <v>2661</v>
      </c>
      <c r="D318" s="22" t="s">
        <v>119</v>
      </c>
      <c r="E318" s="43"/>
      <c r="F318" s="22" t="s">
        <v>4795</v>
      </c>
      <c r="G318" s="22" t="s">
        <v>2663</v>
      </c>
      <c r="H318" s="22" t="s">
        <v>3437</v>
      </c>
      <c r="I318" s="43"/>
      <c r="J318" s="43"/>
      <c r="K318" s="22" t="b">
        <v>1</v>
      </c>
      <c r="L318" s="22" t="b">
        <v>1</v>
      </c>
      <c r="M318" s="22" t="b">
        <v>1</v>
      </c>
      <c r="N318" s="22" t="b">
        <v>1</v>
      </c>
      <c r="O318" s="22" t="b">
        <v>0</v>
      </c>
      <c r="P318" s="22" t="b">
        <v>0</v>
      </c>
      <c r="Q318" s="22" t="b">
        <v>0</v>
      </c>
      <c r="R318" s="43"/>
      <c r="S318" s="43" t="s">
        <v>4796</v>
      </c>
      <c r="T318" s="22" t="s">
        <v>4794</v>
      </c>
      <c r="U318" s="22" t="s">
        <v>4794</v>
      </c>
      <c r="V318" s="22" t="s">
        <v>4794</v>
      </c>
      <c r="W318" s="43"/>
      <c r="X318" s="43"/>
      <c r="Y318" s="43"/>
      <c r="Z318" s="43"/>
      <c r="AA318" s="22">
        <v>1.76859687E8</v>
      </c>
      <c r="AB318" s="22">
        <v>1.188108975E9</v>
      </c>
      <c r="AC318" s="22">
        <v>1.03515420172E11</v>
      </c>
      <c r="AD318" s="22"/>
      <c r="AE318" s="22"/>
      <c r="AF318" s="43"/>
      <c r="AG318" s="43"/>
      <c r="AH318" s="43" t="s">
        <v>4795</v>
      </c>
      <c r="AI318" s="22" t="s">
        <v>4797</v>
      </c>
      <c r="AJ318" s="22" t="s">
        <v>4798</v>
      </c>
      <c r="AK318" s="22" t="s">
        <v>4799</v>
      </c>
      <c r="AL318" s="43"/>
      <c r="AM318" s="43"/>
      <c r="AN318" s="43"/>
      <c r="AO318" s="43"/>
      <c r="AP318" s="46" t="s">
        <v>4800</v>
      </c>
      <c r="AQ318" s="46" t="s">
        <v>4801</v>
      </c>
      <c r="AR318" s="46" t="s">
        <v>4802</v>
      </c>
      <c r="AS318" s="43"/>
      <c r="AT318" s="43"/>
      <c r="AU318" s="43"/>
      <c r="AV318" s="43"/>
      <c r="AW318" s="22" t="s">
        <v>3445</v>
      </c>
      <c r="AX318" s="22" t="s">
        <v>4798</v>
      </c>
      <c r="AY318" s="22" t="s">
        <v>2672</v>
      </c>
      <c r="AZ318" s="43"/>
      <c r="BA318" s="43"/>
      <c r="BB318" s="43"/>
      <c r="BC318" s="43"/>
      <c r="BD318" s="43" t="s">
        <v>301</v>
      </c>
      <c r="BE318" s="59" t="s">
        <v>2755</v>
      </c>
      <c r="BF318" s="22" t="s">
        <v>131</v>
      </c>
      <c r="BG318" s="22" t="s">
        <v>132</v>
      </c>
      <c r="BH318" s="22" t="s">
        <v>132</v>
      </c>
      <c r="BI318" s="22" t="s">
        <v>132</v>
      </c>
      <c r="BJ318" s="43"/>
      <c r="BK318" s="43"/>
      <c r="BL318" s="22">
        <v>4.627144543031E12</v>
      </c>
      <c r="BM318" s="22">
        <v>3.30499E9</v>
      </c>
      <c r="BN318" s="22" t="s">
        <v>4066</v>
      </c>
      <c r="BO318" s="22"/>
      <c r="BP318" s="22" t="s">
        <v>145</v>
      </c>
      <c r="BQ318" s="43"/>
      <c r="BR318" s="43"/>
      <c r="BS318" s="22" t="s">
        <v>4803</v>
      </c>
      <c r="BT318" s="22"/>
      <c r="BU318" s="22" t="s">
        <v>4363</v>
      </c>
      <c r="BV318" s="22" t="s">
        <v>965</v>
      </c>
      <c r="BW318" s="22" t="s">
        <v>3503</v>
      </c>
      <c r="BX318" s="22"/>
      <c r="BY318" s="43"/>
      <c r="BZ318" s="43"/>
      <c r="CA318" s="22"/>
      <c r="CB318" s="22"/>
      <c r="CC318" s="45"/>
      <c r="CD318" s="43"/>
      <c r="CE318" s="43"/>
      <c r="CF318" s="45"/>
      <c r="CG318" s="43"/>
      <c r="CH318" s="43"/>
      <c r="CI318" s="43"/>
      <c r="CJ318" s="43"/>
      <c r="CK318" s="43"/>
      <c r="CL318" s="43"/>
      <c r="CM318" s="49">
        <f>IFERROR(VLOOKUP(B318,CC!A:D,4,0)," ")</f>
        <v>205.2</v>
      </c>
      <c r="CN318" s="22" t="s">
        <v>2681</v>
      </c>
      <c r="CO318" s="22"/>
      <c r="CP318" s="43"/>
      <c r="CQ318" s="22">
        <v>45.0</v>
      </c>
      <c r="CR318" s="43"/>
      <c r="CS318" s="22">
        <v>1.0</v>
      </c>
      <c r="CT318" s="22" t="s">
        <v>145</v>
      </c>
      <c r="CU318" s="43"/>
      <c r="CV318" s="43"/>
      <c r="CW318" s="43"/>
      <c r="CX318" s="43"/>
      <c r="CY318" s="43" t="b">
        <v>0</v>
      </c>
      <c r="CZ318" s="43" t="b">
        <v>0</v>
      </c>
      <c r="DA318" s="43" t="b">
        <v>0</v>
      </c>
      <c r="DB318" s="43" t="b">
        <v>0</v>
      </c>
      <c r="DC318" s="43"/>
      <c r="DD318" s="43"/>
      <c r="DE318" s="43"/>
      <c r="DF318" s="43"/>
      <c r="DG318" s="43"/>
      <c r="DH318" s="43"/>
      <c r="DI318" s="43"/>
      <c r="DJ318" s="22">
        <f>IFERROR(VLOOKUP($B318,'Лист4'!$D:$AI,27,0)," ")</f>
        <v>22</v>
      </c>
      <c r="DK318" s="22">
        <f>IFERROR(VLOOKUP($B318,'Лист4'!$D:$AI,28,0)," ")</f>
        <v>6</v>
      </c>
      <c r="DL318" s="22">
        <f>IFERROR(VLOOKUP($B318,'Лист4'!$D:$AI,29,0)," ")</f>
        <v>22</v>
      </c>
      <c r="DM318" s="22">
        <f t="shared" si="3"/>
        <v>2904</v>
      </c>
      <c r="DN318" s="22">
        <f>IFERROR(VLOOKUP($B318,'Лист4'!$D:$AI,32,0)," ")</f>
        <v>0.152</v>
      </c>
      <c r="DO318" s="22"/>
      <c r="DP318" s="22"/>
      <c r="DQ318" s="22"/>
      <c r="DR318" s="22"/>
      <c r="DS318" s="22"/>
      <c r="DT318" s="22"/>
      <c r="DU318" s="22"/>
      <c r="DV318" s="22"/>
      <c r="DW318" s="22"/>
      <c r="DX318" s="22"/>
      <c r="DY318" s="22"/>
      <c r="DZ318" s="22"/>
      <c r="EA318" s="22"/>
      <c r="EB318" s="22"/>
      <c r="EC318" s="22"/>
      <c r="ED318" s="22"/>
      <c r="EE318" s="22"/>
      <c r="EF318" s="22"/>
      <c r="EG318" s="22"/>
      <c r="EH318" s="22"/>
      <c r="EI318" s="22"/>
      <c r="EJ318" s="22"/>
      <c r="EK318" s="22"/>
      <c r="EL318" s="22"/>
      <c r="EM318" s="22"/>
      <c r="EN318" s="22"/>
      <c r="EO318" s="22"/>
      <c r="EP318" s="22"/>
      <c r="EQ318" s="22"/>
      <c r="ER318" s="22"/>
      <c r="ES318" s="43"/>
      <c r="ET318" s="43"/>
      <c r="EU318" s="43"/>
      <c r="EV318" s="43"/>
      <c r="EW318" s="43"/>
      <c r="EX318" s="43"/>
      <c r="EY318" s="43"/>
      <c r="EZ318" s="43"/>
      <c r="FA318" s="43"/>
      <c r="FB318" s="43"/>
      <c r="FC318" s="43"/>
      <c r="FD318" s="43"/>
      <c r="FE318" s="43"/>
      <c r="FF318" s="43"/>
      <c r="FG318" s="43"/>
      <c r="FH318" s="43"/>
      <c r="FI318" s="43"/>
    </row>
    <row r="319" ht="18.0" customHeight="1">
      <c r="A319" s="22" t="s">
        <v>2659</v>
      </c>
      <c r="B319" s="43" t="s">
        <v>4804</v>
      </c>
      <c r="C319" s="22" t="s">
        <v>2661</v>
      </c>
      <c r="D319" s="22" t="s">
        <v>119</v>
      </c>
      <c r="E319" s="43"/>
      <c r="F319" s="22" t="s">
        <v>4805</v>
      </c>
      <c r="G319" s="22" t="s">
        <v>2663</v>
      </c>
      <c r="H319" s="22" t="s">
        <v>2766</v>
      </c>
      <c r="I319" s="43"/>
      <c r="J319" s="43"/>
      <c r="K319" s="22" t="b">
        <v>1</v>
      </c>
      <c r="L319" s="22" t="b">
        <v>1</v>
      </c>
      <c r="M319" s="22" t="b">
        <v>1</v>
      </c>
      <c r="N319" s="22" t="b">
        <v>1</v>
      </c>
      <c r="O319" s="22" t="b">
        <v>0</v>
      </c>
      <c r="P319" s="22" t="b">
        <v>0</v>
      </c>
      <c r="Q319" s="22" t="b">
        <v>0</v>
      </c>
      <c r="R319" s="43"/>
      <c r="S319" s="43" t="s">
        <v>4806</v>
      </c>
      <c r="T319" s="22" t="s">
        <v>4804</v>
      </c>
      <c r="U319" s="22" t="s">
        <v>4804</v>
      </c>
      <c r="V319" s="22" t="s">
        <v>4804</v>
      </c>
      <c r="W319" s="43"/>
      <c r="X319" s="43"/>
      <c r="Y319" s="43"/>
      <c r="Z319" s="43"/>
      <c r="AA319" s="22">
        <v>2.34152631E8</v>
      </c>
      <c r="AB319" s="22">
        <v>1.590064366E9</v>
      </c>
      <c r="AC319" s="22">
        <v>1.03515407115E11</v>
      </c>
      <c r="AD319" s="22"/>
      <c r="AE319" s="22"/>
      <c r="AF319" s="43"/>
      <c r="AG319" s="43"/>
      <c r="AH319" s="43" t="s">
        <v>4805</v>
      </c>
      <c r="AI319" s="22" t="s">
        <v>4807</v>
      </c>
      <c r="AJ319" s="22" t="s">
        <v>4808</v>
      </c>
      <c r="AK319" s="22" t="s">
        <v>4809</v>
      </c>
      <c r="AL319" s="43"/>
      <c r="AM319" s="43"/>
      <c r="AN319" s="43"/>
      <c r="AO319" s="43"/>
      <c r="AP319" s="46" t="s">
        <v>4810</v>
      </c>
      <c r="AQ319" s="46" t="s">
        <v>4811</v>
      </c>
      <c r="AR319" s="46" t="s">
        <v>4812</v>
      </c>
      <c r="AS319" s="43"/>
      <c r="AT319" s="43"/>
      <c r="AU319" s="43"/>
      <c r="AV319" s="43"/>
      <c r="AW319" s="22" t="s">
        <v>649</v>
      </c>
      <c r="AX319" s="22" t="s">
        <v>4808</v>
      </c>
      <c r="AY319" s="22" t="s">
        <v>372</v>
      </c>
      <c r="AZ319" s="43"/>
      <c r="BA319" s="43"/>
      <c r="BB319" s="43"/>
      <c r="BC319" s="43"/>
      <c r="BD319" s="43" t="s">
        <v>1449</v>
      </c>
      <c r="BE319" s="59" t="s">
        <v>2755</v>
      </c>
      <c r="BF319" s="22" t="s">
        <v>131</v>
      </c>
      <c r="BG319" s="22" t="s">
        <v>132</v>
      </c>
      <c r="BH319" s="22" t="s">
        <v>132</v>
      </c>
      <c r="BI319" s="22" t="s">
        <v>132</v>
      </c>
      <c r="BJ319" s="43"/>
      <c r="BK319" s="43"/>
      <c r="BL319" s="22">
        <v>4.610030632698E12</v>
      </c>
      <c r="BM319" s="22">
        <v>2.106909809E9</v>
      </c>
      <c r="BN319" s="22" t="s">
        <v>4813</v>
      </c>
      <c r="BO319" s="22"/>
      <c r="BP319" s="22" t="s">
        <v>145</v>
      </c>
      <c r="BQ319" s="43"/>
      <c r="BR319" s="43"/>
      <c r="BS319" s="22" t="s">
        <v>4814</v>
      </c>
      <c r="BT319" s="43"/>
      <c r="BU319" s="22" t="s">
        <v>4815</v>
      </c>
      <c r="BV319" s="43" t="s">
        <v>4816</v>
      </c>
      <c r="BW319" s="22" t="s">
        <v>2698</v>
      </c>
      <c r="BX319" s="22">
        <v>10.0</v>
      </c>
      <c r="BY319" s="22" t="s">
        <v>139</v>
      </c>
      <c r="BZ319" s="22"/>
      <c r="CA319" s="22" t="s">
        <v>355</v>
      </c>
      <c r="CB319" s="22" t="s">
        <v>307</v>
      </c>
      <c r="CC319" s="45" t="s">
        <v>4817</v>
      </c>
      <c r="CD319" s="43"/>
      <c r="CE319" s="43"/>
      <c r="CF319" s="45"/>
      <c r="CG319" s="43"/>
      <c r="CH319" s="43"/>
      <c r="CI319" s="43"/>
      <c r="CJ319" s="43"/>
      <c r="CK319" s="43"/>
      <c r="CL319" s="43"/>
      <c r="CM319" s="49">
        <f>IFERROR(VLOOKUP(B319,CC!A:D,4,0)," ")</f>
        <v>77</v>
      </c>
      <c r="CN319" s="22" t="s">
        <v>2780</v>
      </c>
      <c r="CO319" s="22"/>
      <c r="CP319" s="43"/>
      <c r="CQ319" s="22">
        <v>45.0</v>
      </c>
      <c r="CR319" s="43"/>
      <c r="CS319" s="22">
        <v>1.0</v>
      </c>
      <c r="CT319" s="22" t="s">
        <v>145</v>
      </c>
      <c r="CU319" s="43"/>
      <c r="CV319" s="43"/>
      <c r="CW319" s="43"/>
      <c r="CX319" s="43"/>
      <c r="CY319" s="43" t="b">
        <v>0</v>
      </c>
      <c r="CZ319" s="43" t="b">
        <v>0</v>
      </c>
      <c r="DA319" s="43" t="b">
        <v>0</v>
      </c>
      <c r="DB319" s="43" t="b">
        <v>0</v>
      </c>
      <c r="DC319" s="43"/>
      <c r="DD319" s="43"/>
      <c r="DE319" s="43"/>
      <c r="DF319" s="43"/>
      <c r="DG319" s="43"/>
      <c r="DH319" s="43"/>
      <c r="DI319" s="43"/>
      <c r="DJ319" s="22">
        <f>IFERROR(VLOOKUP($B319,'Лист4'!$D:$AI,27,0)," ")</f>
        <v>3</v>
      </c>
      <c r="DK319" s="22">
        <f>IFERROR(VLOOKUP($B319,'Лист4'!$D:$AI,28,0)," ")</f>
        <v>3</v>
      </c>
      <c r="DL319" s="22">
        <f>IFERROR(VLOOKUP($B319,'Лист4'!$D:$AI,29,0)," ")</f>
        <v>3</v>
      </c>
      <c r="DM319" s="22">
        <f t="shared" si="3"/>
        <v>27</v>
      </c>
      <c r="DN319" s="22">
        <f>IFERROR(VLOOKUP($B319,'Лист4'!$D:$AI,32,0)," ")</f>
        <v>0.046</v>
      </c>
      <c r="DO319" s="22"/>
      <c r="DP319" s="22"/>
      <c r="DQ319" s="22"/>
      <c r="DR319" s="22"/>
      <c r="DS319" s="22"/>
      <c r="DT319" s="22"/>
      <c r="DU319" s="22"/>
      <c r="DV319" s="22"/>
      <c r="DW319" s="22"/>
      <c r="DX319" s="22"/>
      <c r="DY319" s="22"/>
      <c r="DZ319" s="22"/>
      <c r="EA319" s="22"/>
      <c r="EB319" s="22"/>
      <c r="EC319" s="22"/>
      <c r="ED319" s="22"/>
      <c r="EE319" s="22"/>
      <c r="EF319" s="22"/>
      <c r="EG319" s="22"/>
      <c r="EH319" s="22"/>
      <c r="EI319" s="22"/>
      <c r="EJ319" s="22"/>
      <c r="EK319" s="22"/>
      <c r="EL319" s="22"/>
      <c r="EM319" s="22"/>
      <c r="EN319" s="22"/>
      <c r="EO319" s="22"/>
      <c r="EP319" s="22"/>
      <c r="EQ319" s="22"/>
      <c r="ER319" s="22"/>
      <c r="ES319" s="43"/>
      <c r="ET319" s="43"/>
      <c r="EU319" s="43"/>
      <c r="EV319" s="43"/>
      <c r="EW319" s="43"/>
      <c r="EX319" s="43"/>
      <c r="EY319" s="43"/>
      <c r="EZ319" s="43"/>
      <c r="FA319" s="43"/>
      <c r="FB319" s="43"/>
      <c r="FC319" s="43"/>
      <c r="FD319" s="43"/>
      <c r="FE319" s="43"/>
      <c r="FF319" s="43"/>
      <c r="FG319" s="43"/>
      <c r="FH319" s="43"/>
      <c r="FI319" s="43"/>
    </row>
    <row r="320" ht="18.0" customHeight="1">
      <c r="A320" s="22" t="s">
        <v>2659</v>
      </c>
      <c r="B320" s="43" t="s">
        <v>4818</v>
      </c>
      <c r="C320" s="22" t="s">
        <v>2661</v>
      </c>
      <c r="D320" s="22" t="s">
        <v>119</v>
      </c>
      <c r="E320" s="43"/>
      <c r="F320" s="22" t="s">
        <v>4819</v>
      </c>
      <c r="G320" s="22" t="s">
        <v>2663</v>
      </c>
      <c r="H320" s="22" t="s">
        <v>2860</v>
      </c>
      <c r="I320" s="43"/>
      <c r="J320" s="43"/>
      <c r="K320" s="22" t="b">
        <v>1</v>
      </c>
      <c r="L320" s="22" t="b">
        <v>1</v>
      </c>
      <c r="M320" s="22" t="b">
        <v>1</v>
      </c>
      <c r="N320" s="22" t="b">
        <v>1</v>
      </c>
      <c r="O320" s="22" t="b">
        <v>0</v>
      </c>
      <c r="P320" s="22" t="b">
        <v>0</v>
      </c>
      <c r="Q320" s="22" t="b">
        <v>0</v>
      </c>
      <c r="R320" s="43"/>
      <c r="S320" s="43" t="s">
        <v>4820</v>
      </c>
      <c r="T320" s="22" t="s">
        <v>4818</v>
      </c>
      <c r="U320" s="22" t="s">
        <v>4818</v>
      </c>
      <c r="V320" s="22" t="s">
        <v>4818</v>
      </c>
      <c r="W320" s="43"/>
      <c r="X320" s="43"/>
      <c r="Y320" s="43"/>
      <c r="Z320" s="43"/>
      <c r="AA320" s="22">
        <v>3.7671984E7</v>
      </c>
      <c r="AB320" s="22">
        <v>3.07654206E8</v>
      </c>
      <c r="AC320" s="22">
        <v>1.01453593166E11</v>
      </c>
      <c r="AD320" s="22"/>
      <c r="AE320" s="22"/>
      <c r="AF320" s="43"/>
      <c r="AG320" s="43"/>
      <c r="AH320" s="43" t="s">
        <v>4819</v>
      </c>
      <c r="AI320" s="22" t="s">
        <v>4821</v>
      </c>
      <c r="AJ320" s="22" t="s">
        <v>4822</v>
      </c>
      <c r="AK320" s="22" t="s">
        <v>4823</v>
      </c>
      <c r="AL320" s="43"/>
      <c r="AM320" s="43"/>
      <c r="AN320" s="43"/>
      <c r="AO320" s="43"/>
      <c r="AP320" s="46" t="s">
        <v>4824</v>
      </c>
      <c r="AQ320" s="46" t="s">
        <v>4825</v>
      </c>
      <c r="AR320" s="46" t="s">
        <v>4826</v>
      </c>
      <c r="AS320" s="43"/>
      <c r="AT320" s="43"/>
      <c r="AU320" s="43"/>
      <c r="AV320" s="43"/>
      <c r="AW320" s="22" t="s">
        <v>594</v>
      </c>
      <c r="AX320" s="22" t="s">
        <v>4822</v>
      </c>
      <c r="AY320" s="22" t="s">
        <v>2672</v>
      </c>
      <c r="AZ320" s="43"/>
      <c r="BA320" s="43"/>
      <c r="BB320" s="43"/>
      <c r="BC320" s="43"/>
      <c r="BD320" s="43" t="s">
        <v>2673</v>
      </c>
      <c r="BE320" s="59" t="s">
        <v>2755</v>
      </c>
      <c r="BF320" s="22" t="s">
        <v>131</v>
      </c>
      <c r="BG320" s="22" t="s">
        <v>132</v>
      </c>
      <c r="BH320" s="22" t="s">
        <v>132</v>
      </c>
      <c r="BI320" s="22" t="s">
        <v>132</v>
      </c>
      <c r="BJ320" s="43"/>
      <c r="BK320" s="43"/>
      <c r="BL320" s="22">
        <v>4.631153669934E12</v>
      </c>
      <c r="BM320" s="22">
        <v>3.30499E9</v>
      </c>
      <c r="BN320" s="22" t="s">
        <v>4309</v>
      </c>
      <c r="BO320" s="22"/>
      <c r="BP320" s="22" t="s">
        <v>145</v>
      </c>
      <c r="BQ320" s="43"/>
      <c r="BR320" s="43"/>
      <c r="BS320" s="22" t="s">
        <v>4827</v>
      </c>
      <c r="BT320" s="43"/>
      <c r="BU320" s="22" t="s">
        <v>4828</v>
      </c>
      <c r="BV320" s="43" t="s">
        <v>2777</v>
      </c>
      <c r="BW320" s="22" t="s">
        <v>2778</v>
      </c>
      <c r="BX320" s="22">
        <v>15.0</v>
      </c>
      <c r="BY320" s="22" t="s">
        <v>139</v>
      </c>
      <c r="BZ320" s="22"/>
      <c r="CA320" s="22"/>
      <c r="CB320" s="22"/>
      <c r="CC320" s="45" t="s">
        <v>4829</v>
      </c>
      <c r="CD320" s="43"/>
      <c r="CE320" s="43"/>
      <c r="CF320" s="45"/>
      <c r="CG320" s="43"/>
      <c r="CH320" s="43"/>
      <c r="CI320" s="43"/>
      <c r="CJ320" s="43"/>
      <c r="CK320" s="43"/>
      <c r="CL320" s="43"/>
      <c r="CM320" s="49">
        <f>IFERROR(VLOOKUP(B320,CC!A:D,4,0)," ")</f>
        <v>97.4</v>
      </c>
      <c r="CN320" s="22" t="s">
        <v>3330</v>
      </c>
      <c r="CO320" s="22"/>
      <c r="CP320" s="43"/>
      <c r="CQ320" s="22">
        <v>45.0</v>
      </c>
      <c r="CR320" s="43"/>
      <c r="CS320" s="22">
        <v>1.0</v>
      </c>
      <c r="CT320" s="22" t="s">
        <v>145</v>
      </c>
      <c r="CU320" s="43"/>
      <c r="CV320" s="43"/>
      <c r="CW320" s="43"/>
      <c r="CX320" s="43"/>
      <c r="CY320" s="43" t="b">
        <v>0</v>
      </c>
      <c r="CZ320" s="43" t="b">
        <v>0</v>
      </c>
      <c r="DA320" s="43" t="b">
        <v>0</v>
      </c>
      <c r="DB320" s="43" t="b">
        <v>0</v>
      </c>
      <c r="DC320" s="43"/>
      <c r="DD320" s="43"/>
      <c r="DE320" s="43"/>
      <c r="DF320" s="43"/>
      <c r="DG320" s="43"/>
      <c r="DH320" s="43"/>
      <c r="DI320" s="43"/>
      <c r="DJ320" s="22">
        <f>IFERROR(VLOOKUP($B320,'Лист4'!$D:$AI,27,0)," ")</f>
        <v>10</v>
      </c>
      <c r="DK320" s="22">
        <f>IFERROR(VLOOKUP($B320,'Лист4'!$D:$AI,28,0)," ")</f>
        <v>2</v>
      </c>
      <c r="DL320" s="22">
        <f>IFERROR(VLOOKUP($B320,'Лист4'!$D:$AI,29,0)," ")</f>
        <v>10</v>
      </c>
      <c r="DM320" s="22">
        <f t="shared" si="3"/>
        <v>200</v>
      </c>
      <c r="DN320" s="22">
        <f>IFERROR(VLOOKUP($B320,'Лист4'!$D:$AI,32,0)," ")</f>
        <v>0.031</v>
      </c>
      <c r="DO320" s="22"/>
      <c r="DP320" s="22"/>
      <c r="DQ320" s="22"/>
      <c r="DR320" s="22"/>
      <c r="DS320" s="22"/>
      <c r="DT320" s="22"/>
      <c r="DU320" s="22"/>
      <c r="DV320" s="22"/>
      <c r="DW320" s="22"/>
      <c r="DX320" s="22"/>
      <c r="DY320" s="22"/>
      <c r="DZ320" s="22"/>
      <c r="EA320" s="22"/>
      <c r="EB320" s="22"/>
      <c r="EC320" s="22"/>
      <c r="ED320" s="22"/>
      <c r="EE320" s="22"/>
      <c r="EF320" s="22"/>
      <c r="EG320" s="22"/>
      <c r="EH320" s="22"/>
      <c r="EI320" s="22"/>
      <c r="EJ320" s="22"/>
      <c r="EK320" s="22"/>
      <c r="EL320" s="22"/>
      <c r="EM320" s="22"/>
      <c r="EN320" s="22"/>
      <c r="EO320" s="22"/>
      <c r="EP320" s="22"/>
      <c r="EQ320" s="22"/>
      <c r="ER320" s="22"/>
      <c r="ES320" s="43"/>
      <c r="ET320" s="43"/>
      <c r="EU320" s="43"/>
      <c r="EV320" s="43"/>
      <c r="EW320" s="43"/>
      <c r="EX320" s="43"/>
      <c r="EY320" s="43"/>
      <c r="EZ320" s="43"/>
      <c r="FA320" s="43"/>
      <c r="FB320" s="43"/>
      <c r="FC320" s="43"/>
      <c r="FD320" s="43"/>
      <c r="FE320" s="43"/>
      <c r="FF320" s="43"/>
      <c r="FG320" s="43"/>
      <c r="FH320" s="43"/>
      <c r="FI320" s="43"/>
    </row>
    <row r="321" ht="18.0" customHeight="1">
      <c r="A321" s="22" t="s">
        <v>2659</v>
      </c>
      <c r="B321" s="43" t="s">
        <v>4830</v>
      </c>
      <c r="C321" s="22" t="s">
        <v>2661</v>
      </c>
      <c r="D321" s="22" t="s">
        <v>119</v>
      </c>
      <c r="E321" s="43"/>
      <c r="F321" s="22" t="s">
        <v>4795</v>
      </c>
      <c r="G321" s="22" t="s">
        <v>2663</v>
      </c>
      <c r="H321" s="22" t="s">
        <v>3437</v>
      </c>
      <c r="I321" s="43"/>
      <c r="J321" s="43"/>
      <c r="K321" s="22" t="b">
        <v>1</v>
      </c>
      <c r="L321" s="22" t="b">
        <v>1</v>
      </c>
      <c r="M321" s="22" t="b">
        <v>1</v>
      </c>
      <c r="N321" s="22" t="b">
        <v>1</v>
      </c>
      <c r="O321" s="22" t="b">
        <v>0</v>
      </c>
      <c r="P321" s="22" t="b">
        <v>0</v>
      </c>
      <c r="Q321" s="22" t="b">
        <v>0</v>
      </c>
      <c r="R321" s="43"/>
      <c r="S321" s="43" t="s">
        <v>4831</v>
      </c>
      <c r="T321" s="22" t="s">
        <v>4830</v>
      </c>
      <c r="U321" s="22" t="s">
        <v>4830</v>
      </c>
      <c r="V321" s="22" t="s">
        <v>4830</v>
      </c>
      <c r="W321" s="43"/>
      <c r="X321" s="43"/>
      <c r="Y321" s="43"/>
      <c r="Z321" s="43"/>
      <c r="AA321" s="22">
        <v>1.448549E8</v>
      </c>
      <c r="AB321" s="22">
        <v>8.47511103E8</v>
      </c>
      <c r="AC321" s="22">
        <v>1.01961328078E11</v>
      </c>
      <c r="AD321" s="22"/>
      <c r="AE321" s="22"/>
      <c r="AF321" s="43"/>
      <c r="AG321" s="43"/>
      <c r="AH321" s="43" t="s">
        <v>4795</v>
      </c>
      <c r="AI321" s="22" t="s">
        <v>4797</v>
      </c>
      <c r="AJ321" s="22" t="s">
        <v>4798</v>
      </c>
      <c r="AK321" s="22" t="s">
        <v>4798</v>
      </c>
      <c r="AL321" s="43"/>
      <c r="AM321" s="43"/>
      <c r="AN321" s="43"/>
      <c r="AO321" s="43"/>
      <c r="AP321" s="46" t="s">
        <v>4832</v>
      </c>
      <c r="AQ321" s="46" t="s">
        <v>4833</v>
      </c>
      <c r="AR321" s="46" t="s">
        <v>4834</v>
      </c>
      <c r="AS321" s="43"/>
      <c r="AT321" s="43"/>
      <c r="AU321" s="43"/>
      <c r="AV321" s="43"/>
      <c r="AW321" s="22" t="s">
        <v>3445</v>
      </c>
      <c r="AX321" s="22" t="s">
        <v>4798</v>
      </c>
      <c r="AY321" s="22" t="s">
        <v>2672</v>
      </c>
      <c r="AZ321" s="43"/>
      <c r="BA321" s="43"/>
      <c r="BB321" s="43"/>
      <c r="BC321" s="43"/>
      <c r="BD321" s="43" t="s">
        <v>301</v>
      </c>
      <c r="BE321" s="59" t="s">
        <v>2755</v>
      </c>
      <c r="BF321" s="22" t="s">
        <v>131</v>
      </c>
      <c r="BG321" s="22" t="s">
        <v>132</v>
      </c>
      <c r="BH321" s="22" t="s">
        <v>132</v>
      </c>
      <c r="BI321" s="22" t="s">
        <v>132</v>
      </c>
      <c r="BJ321" s="43"/>
      <c r="BK321" s="43"/>
      <c r="BL321" s="22">
        <v>4.627144543031E12</v>
      </c>
      <c r="BM321" s="22">
        <v>3.30499E9</v>
      </c>
      <c r="BN321" s="22" t="s">
        <v>4066</v>
      </c>
      <c r="BO321" s="22"/>
      <c r="BP321" s="22" t="s">
        <v>496</v>
      </c>
      <c r="BQ321" s="43"/>
      <c r="BR321" s="43"/>
      <c r="BS321" s="22" t="s">
        <v>4803</v>
      </c>
      <c r="BT321" s="43"/>
      <c r="BU321" s="22" t="s">
        <v>4363</v>
      </c>
      <c r="BV321" s="43" t="s">
        <v>965</v>
      </c>
      <c r="BW321" s="22" t="s">
        <v>3503</v>
      </c>
      <c r="BX321" s="22">
        <v>30.0</v>
      </c>
      <c r="BY321" s="22" t="s">
        <v>139</v>
      </c>
      <c r="BZ321" s="22"/>
      <c r="CA321" s="22"/>
      <c r="CB321" s="22"/>
      <c r="CC321" s="45" t="s">
        <v>4835</v>
      </c>
      <c r="CD321" s="43"/>
      <c r="CE321" s="43"/>
      <c r="CF321" s="45"/>
      <c r="CG321" s="43"/>
      <c r="CH321" s="43"/>
      <c r="CI321" s="43"/>
      <c r="CJ321" s="43"/>
      <c r="CK321" s="43"/>
      <c r="CL321" s="43"/>
      <c r="CM321" s="49">
        <f>IFERROR(VLOOKUP(B321,CC!A:D,4,0)," ")</f>
        <v>102.6</v>
      </c>
      <c r="CN321" s="22" t="s">
        <v>3449</v>
      </c>
      <c r="CO321" s="22"/>
      <c r="CP321" s="43"/>
      <c r="CQ321" s="22">
        <v>45.0</v>
      </c>
      <c r="CR321" s="43"/>
      <c r="CS321" s="22">
        <v>1.0</v>
      </c>
      <c r="CT321" s="22" t="s">
        <v>145</v>
      </c>
      <c r="CU321" s="43"/>
      <c r="CV321" s="43"/>
      <c r="CW321" s="43"/>
      <c r="CX321" s="43"/>
      <c r="CY321" s="43" t="b">
        <v>0</v>
      </c>
      <c r="CZ321" s="43" t="b">
        <v>0</v>
      </c>
      <c r="DA321" s="43" t="b">
        <v>0</v>
      </c>
      <c r="DB321" s="43" t="b">
        <v>0</v>
      </c>
      <c r="DC321" s="43"/>
      <c r="DD321" s="43"/>
      <c r="DE321" s="43"/>
      <c r="DF321" s="43"/>
      <c r="DG321" s="43"/>
      <c r="DH321" s="43"/>
      <c r="DI321" s="43"/>
      <c r="DJ321" s="22">
        <f>IFERROR(VLOOKUP($B321,'Лист4'!$D:$AI,27,0)," ")</f>
        <v>6</v>
      </c>
      <c r="DK321" s="22">
        <f>IFERROR(VLOOKUP($B321,'Лист4'!$D:$AI,28,0)," ")</f>
        <v>14</v>
      </c>
      <c r="DL321" s="22">
        <f>IFERROR(VLOOKUP($B321,'Лист4'!$D:$AI,29,0)," ")</f>
        <v>6</v>
      </c>
      <c r="DM321" s="22">
        <f t="shared" si="3"/>
        <v>504</v>
      </c>
      <c r="DN321" s="22">
        <f>IFERROR(VLOOKUP($B321,'Лист4'!$D:$AI,32,0)," ")</f>
        <v>0.04</v>
      </c>
      <c r="DO321" s="22"/>
      <c r="DP321" s="22"/>
      <c r="DQ321" s="22"/>
      <c r="DR321" s="22"/>
      <c r="DS321" s="22"/>
      <c r="DT321" s="22"/>
      <c r="DU321" s="22"/>
      <c r="DV321" s="22"/>
      <c r="DW321" s="22"/>
      <c r="DX321" s="22"/>
      <c r="DY321" s="22"/>
      <c r="DZ321" s="22"/>
      <c r="EA321" s="22"/>
      <c r="EB321" s="22"/>
      <c r="EC321" s="22"/>
      <c r="ED321" s="22"/>
      <c r="EE321" s="22"/>
      <c r="EF321" s="22"/>
      <c r="EG321" s="22"/>
      <c r="EH321" s="22"/>
      <c r="EI321" s="22"/>
      <c r="EJ321" s="22"/>
      <c r="EK321" s="22"/>
      <c r="EL321" s="22"/>
      <c r="EM321" s="22"/>
      <c r="EN321" s="22"/>
      <c r="EO321" s="22"/>
      <c r="EP321" s="22"/>
      <c r="EQ321" s="22"/>
      <c r="ER321" s="22"/>
      <c r="ES321" s="43"/>
      <c r="ET321" s="43"/>
      <c r="EU321" s="43"/>
      <c r="EV321" s="43"/>
      <c r="EW321" s="43"/>
      <c r="EX321" s="43"/>
      <c r="EY321" s="43"/>
      <c r="EZ321" s="43"/>
      <c r="FA321" s="43"/>
      <c r="FB321" s="43"/>
      <c r="FC321" s="43"/>
      <c r="FD321" s="43"/>
      <c r="FE321" s="43"/>
      <c r="FF321" s="43"/>
      <c r="FG321" s="43"/>
      <c r="FH321" s="43"/>
      <c r="FI321" s="43"/>
    </row>
    <row r="322" ht="18.0" customHeight="1">
      <c r="A322" s="22" t="s">
        <v>2659</v>
      </c>
      <c r="B322" s="43" t="s">
        <v>4836</v>
      </c>
      <c r="C322" s="22" t="s">
        <v>2661</v>
      </c>
      <c r="D322" s="22" t="s">
        <v>119</v>
      </c>
      <c r="E322" s="43"/>
      <c r="F322" s="22" t="s">
        <v>4837</v>
      </c>
      <c r="G322" s="22" t="s">
        <v>2663</v>
      </c>
      <c r="H322" s="22" t="s">
        <v>2718</v>
      </c>
      <c r="I322" s="43"/>
      <c r="J322" s="43"/>
      <c r="K322" s="22" t="b">
        <v>1</v>
      </c>
      <c r="L322" s="22" t="b">
        <v>1</v>
      </c>
      <c r="M322" s="22" t="b">
        <v>1</v>
      </c>
      <c r="N322" s="22" t="b">
        <v>1</v>
      </c>
      <c r="O322" s="22" t="b">
        <v>0</v>
      </c>
      <c r="P322" s="22" t="b">
        <v>0</v>
      </c>
      <c r="Q322" s="22" t="b">
        <v>0</v>
      </c>
      <c r="R322" s="43"/>
      <c r="S322" s="43" t="s">
        <v>4838</v>
      </c>
      <c r="T322" s="22" t="s">
        <v>4836</v>
      </c>
      <c r="U322" s="22" t="s">
        <v>4836</v>
      </c>
      <c r="V322" s="22" t="s">
        <v>4836</v>
      </c>
      <c r="W322" s="43"/>
      <c r="X322" s="43"/>
      <c r="Y322" s="43"/>
      <c r="Z322" s="43"/>
      <c r="AA322" s="22">
        <v>4.1656854E7</v>
      </c>
      <c r="AB322" s="22">
        <v>3.56313449E8</v>
      </c>
      <c r="AC322" s="22">
        <v>1.02200689078E11</v>
      </c>
      <c r="AD322" s="22"/>
      <c r="AE322" s="22"/>
      <c r="AF322" s="43"/>
      <c r="AG322" s="43"/>
      <c r="AH322" s="43" t="s">
        <v>4837</v>
      </c>
      <c r="AI322" s="22" t="s">
        <v>4839</v>
      </c>
      <c r="AJ322" s="22" t="s">
        <v>4840</v>
      </c>
      <c r="AK322" s="22" t="s">
        <v>4841</v>
      </c>
      <c r="AL322" s="43"/>
      <c r="AM322" s="43"/>
      <c r="AN322" s="43"/>
      <c r="AO322" s="43"/>
      <c r="AP322" s="46" t="s">
        <v>4842</v>
      </c>
      <c r="AQ322" s="46" t="s">
        <v>4843</v>
      </c>
      <c r="AR322" s="46" t="s">
        <v>4844</v>
      </c>
      <c r="AS322" s="43"/>
      <c r="AT322" s="43"/>
      <c r="AU322" s="43"/>
      <c r="AV322" s="43"/>
      <c r="AW322" s="22" t="s">
        <v>4845</v>
      </c>
      <c r="AX322" s="22" t="s">
        <v>4840</v>
      </c>
      <c r="AY322" s="22" t="s">
        <v>2692</v>
      </c>
      <c r="AZ322" s="43"/>
      <c r="BA322" s="43"/>
      <c r="BB322" s="43"/>
      <c r="BC322" s="43"/>
      <c r="BD322" s="43" t="s">
        <v>301</v>
      </c>
      <c r="BE322" s="59" t="s">
        <v>2755</v>
      </c>
      <c r="BF322" s="22" t="s">
        <v>131</v>
      </c>
      <c r="BG322" s="22" t="s">
        <v>132</v>
      </c>
      <c r="BH322" s="22" t="s">
        <v>132</v>
      </c>
      <c r="BI322" s="22" t="s">
        <v>132</v>
      </c>
      <c r="BJ322" s="43"/>
      <c r="BK322" s="43"/>
      <c r="BL322" s="22">
        <v>4.631159687796E12</v>
      </c>
      <c r="BM322" s="22">
        <v>2.106909809E9</v>
      </c>
      <c r="BN322" s="22" t="s">
        <v>4846</v>
      </c>
      <c r="BO322" s="22"/>
      <c r="BP322" s="22" t="s">
        <v>145</v>
      </c>
      <c r="BQ322" s="43"/>
      <c r="BR322" s="43"/>
      <c r="BS322" s="22" t="s">
        <v>4847</v>
      </c>
      <c r="BT322" s="43"/>
      <c r="BU322" s="22" t="s">
        <v>2696</v>
      </c>
      <c r="BV322" s="43" t="s">
        <v>2777</v>
      </c>
      <c r="BW322" s="22" t="s">
        <v>4848</v>
      </c>
      <c r="BX322" s="22">
        <v>20.0</v>
      </c>
      <c r="BY322" s="22" t="s">
        <v>492</v>
      </c>
      <c r="BZ322" s="22"/>
      <c r="CA322" s="22"/>
      <c r="CB322" s="22"/>
      <c r="CC322" s="45" t="s">
        <v>4849</v>
      </c>
      <c r="CD322" s="43"/>
      <c r="CE322" s="43"/>
      <c r="CF322" s="45"/>
      <c r="CG322" s="43"/>
      <c r="CH322" s="43"/>
      <c r="CI322" s="43"/>
      <c r="CJ322" s="43"/>
      <c r="CK322" s="43"/>
      <c r="CL322" s="43"/>
      <c r="CM322" s="49">
        <f>IFERROR(VLOOKUP(B322,CC!A:D,4,0)," ")</f>
        <v>87</v>
      </c>
      <c r="CN322" s="22" t="s">
        <v>4850</v>
      </c>
      <c r="CO322" s="22"/>
      <c r="CP322" s="43"/>
      <c r="CQ322" s="22">
        <v>90.0</v>
      </c>
      <c r="CR322" s="43"/>
      <c r="CS322" s="43"/>
      <c r="CT322" s="22" t="s">
        <v>145</v>
      </c>
      <c r="CU322" s="43"/>
      <c r="CV322" s="43"/>
      <c r="CW322" s="43"/>
      <c r="CX322" s="43"/>
      <c r="CY322" s="43" t="b">
        <v>0</v>
      </c>
      <c r="CZ322" s="43" t="b">
        <v>0</v>
      </c>
      <c r="DA322" s="43" t="b">
        <v>0</v>
      </c>
      <c r="DB322" s="43" t="b">
        <v>0</v>
      </c>
      <c r="DC322" s="43"/>
      <c r="DD322" s="43"/>
      <c r="DE322" s="43"/>
      <c r="DF322" s="43"/>
      <c r="DG322" s="43"/>
      <c r="DH322" s="43"/>
      <c r="DI322" s="43"/>
      <c r="DJ322" s="22">
        <f>IFERROR(VLOOKUP($B322,'Лист4'!$D:$AI,27,0)," ")</f>
        <v>11</v>
      </c>
      <c r="DK322" s="22">
        <f>IFERROR(VLOOKUP($B322,'Лист4'!$D:$AI,28,0)," ")</f>
        <v>3</v>
      </c>
      <c r="DL322" s="22">
        <f>IFERROR(VLOOKUP($B322,'Лист4'!$D:$AI,29,0)," ")</f>
        <v>11</v>
      </c>
      <c r="DM322" s="22">
        <f t="shared" si="3"/>
        <v>363</v>
      </c>
      <c r="DN322" s="22">
        <f>IFERROR(VLOOKUP($B322,'Лист4'!$D:$AI,32,0)," ")</f>
        <v>0.024</v>
      </c>
      <c r="DO322" s="22"/>
      <c r="DP322" s="22"/>
      <c r="DQ322" s="22"/>
      <c r="DR322" s="22"/>
      <c r="DS322" s="22"/>
      <c r="DT322" s="22"/>
      <c r="DU322" s="22"/>
      <c r="DV322" s="22"/>
      <c r="DW322" s="22"/>
      <c r="DX322" s="22"/>
      <c r="DY322" s="22"/>
      <c r="DZ322" s="22"/>
      <c r="EA322" s="22"/>
      <c r="EB322" s="22"/>
      <c r="EC322" s="22"/>
      <c r="ED322" s="22"/>
      <c r="EE322" s="22"/>
      <c r="EF322" s="22"/>
      <c r="EG322" s="22"/>
      <c r="EH322" s="22"/>
      <c r="EI322" s="22"/>
      <c r="EJ322" s="22"/>
      <c r="EK322" s="22"/>
      <c r="EL322" s="22"/>
      <c r="EM322" s="22"/>
      <c r="EN322" s="22"/>
      <c r="EO322" s="22"/>
      <c r="EP322" s="22"/>
      <c r="EQ322" s="22"/>
      <c r="ER322" s="22"/>
      <c r="ES322" s="43"/>
      <c r="ET322" s="43"/>
      <c r="EU322" s="43"/>
      <c r="EV322" s="43"/>
      <c r="EW322" s="43"/>
      <c r="EX322" s="43"/>
      <c r="EY322" s="43"/>
      <c r="EZ322" s="43"/>
      <c r="FA322" s="43"/>
      <c r="FB322" s="43"/>
      <c r="FC322" s="43"/>
      <c r="FD322" s="43"/>
      <c r="FE322" s="43"/>
      <c r="FF322" s="43"/>
      <c r="FG322" s="43"/>
      <c r="FH322" s="43"/>
      <c r="FI322" s="43"/>
    </row>
    <row r="323" ht="18.0" customHeight="1">
      <c r="A323" s="22" t="s">
        <v>2659</v>
      </c>
      <c r="B323" s="43" t="s">
        <v>4851</v>
      </c>
      <c r="C323" s="22" t="s">
        <v>2741</v>
      </c>
      <c r="D323" s="22" t="s">
        <v>119</v>
      </c>
      <c r="E323" s="43" t="s">
        <v>1140</v>
      </c>
      <c r="F323" s="22" t="s">
        <v>4852</v>
      </c>
      <c r="G323" s="22" t="s">
        <v>361</v>
      </c>
      <c r="H323" s="22" t="s">
        <v>1557</v>
      </c>
      <c r="I323" s="43"/>
      <c r="J323" s="43"/>
      <c r="K323" s="22" t="b">
        <v>1</v>
      </c>
      <c r="L323" s="22" t="b">
        <v>1</v>
      </c>
      <c r="M323" s="22" t="b">
        <v>1</v>
      </c>
      <c r="N323" s="22" t="b">
        <v>1</v>
      </c>
      <c r="O323" s="22" t="b">
        <v>0</v>
      </c>
      <c r="P323" s="22" t="b">
        <v>0</v>
      </c>
      <c r="Q323" s="22" t="b">
        <v>0</v>
      </c>
      <c r="R323" s="43"/>
      <c r="S323" s="43" t="s">
        <v>4853</v>
      </c>
      <c r="T323" s="22" t="s">
        <v>4851</v>
      </c>
      <c r="U323" s="22" t="s">
        <v>4851</v>
      </c>
      <c r="V323" s="22" t="s">
        <v>4851</v>
      </c>
      <c r="W323" s="43"/>
      <c r="X323" s="43"/>
      <c r="Y323" s="43"/>
      <c r="Z323" s="43"/>
      <c r="AA323" s="22">
        <v>2.44342184E8</v>
      </c>
      <c r="AB323" s="22">
        <v>1.629559728E9</v>
      </c>
      <c r="AC323" s="22">
        <v>1.03515407818E11</v>
      </c>
      <c r="AD323" s="22"/>
      <c r="AE323" s="22"/>
      <c r="AF323" s="43"/>
      <c r="AG323" s="43"/>
      <c r="AH323" s="43" t="s">
        <v>4852</v>
      </c>
      <c r="AI323" s="22" t="s">
        <v>4854</v>
      </c>
      <c r="AJ323" s="22" t="s">
        <v>4855</v>
      </c>
      <c r="AK323" s="22" t="s">
        <v>4856</v>
      </c>
      <c r="AL323" s="43"/>
      <c r="AM323" s="43"/>
      <c r="AN323" s="43"/>
      <c r="AO323" s="43"/>
      <c r="AP323" s="46" t="s">
        <v>4857</v>
      </c>
      <c r="AQ323" s="46" t="s">
        <v>4858</v>
      </c>
      <c r="AR323" s="46" t="s">
        <v>4859</v>
      </c>
      <c r="AS323" s="43"/>
      <c r="AT323" s="43"/>
      <c r="AU323" s="43"/>
      <c r="AV323" s="43"/>
      <c r="AW323" s="22" t="s">
        <v>649</v>
      </c>
      <c r="AX323" s="22" t="s">
        <v>4855</v>
      </c>
      <c r="AY323" s="22" t="s">
        <v>372</v>
      </c>
      <c r="AZ323" s="43"/>
      <c r="BA323" s="43"/>
      <c r="BB323" s="43"/>
      <c r="BC323" s="43"/>
      <c r="BD323" s="43" t="s">
        <v>1449</v>
      </c>
      <c r="BE323" s="59" t="s">
        <v>2755</v>
      </c>
      <c r="BF323" s="22" t="s">
        <v>131</v>
      </c>
      <c r="BG323" s="22" t="s">
        <v>132</v>
      </c>
      <c r="BH323" s="22" t="s">
        <v>132</v>
      </c>
      <c r="BI323" s="22" t="s">
        <v>132</v>
      </c>
      <c r="BJ323" s="43"/>
      <c r="BK323" s="43"/>
      <c r="BL323" s="22">
        <v>4.610030631738E12</v>
      </c>
      <c r="BM323" s="22">
        <v>2.106909803E9</v>
      </c>
      <c r="BN323" s="22" t="s">
        <v>4860</v>
      </c>
      <c r="BO323" s="22"/>
      <c r="BP323" s="22" t="s">
        <v>496</v>
      </c>
      <c r="BQ323" s="43"/>
      <c r="BR323" s="43"/>
      <c r="BS323" s="22" t="s">
        <v>4861</v>
      </c>
      <c r="BT323" s="43"/>
      <c r="BU323" s="22" t="s">
        <v>802</v>
      </c>
      <c r="BV323" s="43" t="s">
        <v>3671</v>
      </c>
      <c r="BW323" s="22" t="s">
        <v>3672</v>
      </c>
      <c r="BX323" s="22">
        <v>60.0</v>
      </c>
      <c r="BY323" s="22" t="s">
        <v>492</v>
      </c>
      <c r="BZ323" s="22"/>
      <c r="CA323" s="22" t="s">
        <v>355</v>
      </c>
      <c r="CB323" s="22" t="s">
        <v>307</v>
      </c>
      <c r="CC323" s="45" t="s">
        <v>4862</v>
      </c>
      <c r="CD323" s="43"/>
      <c r="CE323" s="43"/>
      <c r="CF323" s="45"/>
      <c r="CG323" s="43"/>
      <c r="CH323" s="43"/>
      <c r="CI323" s="43"/>
      <c r="CJ323" s="43"/>
      <c r="CK323" s="43"/>
      <c r="CL323" s="43"/>
      <c r="CM323" s="49">
        <f>IFERROR(VLOOKUP(B323,CC!A:D,4,0)," ")</f>
        <v>183.7</v>
      </c>
      <c r="CN323" s="22" t="s">
        <v>3674</v>
      </c>
      <c r="CO323" s="22"/>
      <c r="CP323" s="22" t="s">
        <v>805</v>
      </c>
      <c r="CQ323" s="22">
        <v>90.0</v>
      </c>
      <c r="CR323" s="43"/>
      <c r="CS323" s="22">
        <v>1.0</v>
      </c>
      <c r="CT323" s="22" t="s">
        <v>145</v>
      </c>
      <c r="CU323" s="43"/>
      <c r="CV323" s="43"/>
      <c r="CW323" s="43"/>
      <c r="CX323" s="43"/>
      <c r="CY323" s="43" t="b">
        <v>0</v>
      </c>
      <c r="CZ323" s="43" t="b">
        <v>0</v>
      </c>
      <c r="DA323" s="43" t="b">
        <v>0</v>
      </c>
      <c r="DB323" s="43" t="b">
        <v>0</v>
      </c>
      <c r="DC323" s="43"/>
      <c r="DD323" s="43"/>
      <c r="DE323" s="43"/>
      <c r="DF323" s="43"/>
      <c r="DG323" s="43"/>
      <c r="DH323" s="43"/>
      <c r="DI323" s="43"/>
      <c r="DJ323" s="22">
        <f>IFERROR(VLOOKUP($B323,'Лист4'!$D:$AI,27,0)," ")</f>
        <v>4</v>
      </c>
      <c r="DK323" s="22">
        <f>IFERROR(VLOOKUP($B323,'Лист4'!$D:$AI,28,0)," ")</f>
        <v>9</v>
      </c>
      <c r="DL323" s="22">
        <f>IFERROR(VLOOKUP($B323,'Лист4'!$D:$AI,29,0)," ")</f>
        <v>4</v>
      </c>
      <c r="DM323" s="22">
        <f t="shared" si="3"/>
        <v>144</v>
      </c>
      <c r="DN323" s="22">
        <f>IFERROR(VLOOKUP($B323,'Лист4'!$D:$AI,32,0)," ")</f>
        <v>0.03</v>
      </c>
      <c r="DO323" s="22"/>
      <c r="DP323" s="22"/>
      <c r="DQ323" s="22"/>
      <c r="DR323" s="22"/>
      <c r="DS323" s="22"/>
      <c r="DT323" s="22"/>
      <c r="DU323" s="22"/>
      <c r="DV323" s="22"/>
      <c r="DW323" s="22"/>
      <c r="DX323" s="22"/>
      <c r="DY323" s="22"/>
      <c r="DZ323" s="22"/>
      <c r="EA323" s="22"/>
      <c r="EB323" s="22"/>
      <c r="EC323" s="22"/>
      <c r="ED323" s="22"/>
      <c r="EE323" s="22"/>
      <c r="EF323" s="22"/>
      <c r="EG323" s="22"/>
      <c r="EH323" s="22"/>
      <c r="EI323" s="22"/>
      <c r="EJ323" s="22"/>
      <c r="EK323" s="22"/>
      <c r="EL323" s="22"/>
      <c r="EM323" s="22"/>
      <c r="EN323" s="22"/>
      <c r="EO323" s="22"/>
      <c r="EP323" s="22"/>
      <c r="EQ323" s="22"/>
      <c r="ER323" s="22"/>
      <c r="ES323" s="43"/>
      <c r="ET323" s="43"/>
      <c r="EU323" s="43"/>
      <c r="EV323" s="43"/>
      <c r="EW323" s="43"/>
      <c r="EX323" s="43"/>
      <c r="EY323" s="43"/>
      <c r="EZ323" s="43"/>
      <c r="FA323" s="43"/>
      <c r="FB323" s="43"/>
      <c r="FC323" s="43"/>
      <c r="FD323" s="43"/>
      <c r="FE323" s="43"/>
      <c r="FF323" s="43"/>
      <c r="FG323" s="43"/>
      <c r="FH323" s="43"/>
      <c r="FI323" s="43"/>
    </row>
    <row r="324" ht="18.0" customHeight="1">
      <c r="A324" s="22" t="s">
        <v>2659</v>
      </c>
      <c r="B324" s="43" t="s">
        <v>4863</v>
      </c>
      <c r="C324" s="22" t="s">
        <v>2661</v>
      </c>
      <c r="D324" s="22" t="s">
        <v>119</v>
      </c>
      <c r="E324" s="43"/>
      <c r="F324" s="22" t="s">
        <v>4864</v>
      </c>
      <c r="G324" s="22" t="s">
        <v>2663</v>
      </c>
      <c r="H324" s="22" t="s">
        <v>3888</v>
      </c>
      <c r="I324" s="43"/>
      <c r="J324" s="43"/>
      <c r="K324" s="22" t="b">
        <v>1</v>
      </c>
      <c r="L324" s="22" t="b">
        <v>1</v>
      </c>
      <c r="M324" s="22" t="b">
        <v>1</v>
      </c>
      <c r="N324" s="22" t="b">
        <v>1</v>
      </c>
      <c r="O324" s="22" t="b">
        <v>0</v>
      </c>
      <c r="P324" s="22" t="b">
        <v>0</v>
      </c>
      <c r="Q324" s="22" t="b">
        <v>0</v>
      </c>
      <c r="R324" s="43"/>
      <c r="S324" s="43" t="s">
        <v>4865</v>
      </c>
      <c r="T324" s="22" t="s">
        <v>4863</v>
      </c>
      <c r="U324" s="22" t="s">
        <v>4863</v>
      </c>
      <c r="V324" s="22" t="s">
        <v>4863</v>
      </c>
      <c r="W324" s="43"/>
      <c r="X324" s="43"/>
      <c r="Y324" s="43"/>
      <c r="Z324" s="43"/>
      <c r="AA324" s="22">
        <v>1.8836119E7</v>
      </c>
      <c r="AB324" s="22">
        <v>2.90202723E8</v>
      </c>
      <c r="AC324" s="22">
        <v>1.03340893703E11</v>
      </c>
      <c r="AD324" s="22"/>
      <c r="AE324" s="22"/>
      <c r="AF324" s="43"/>
      <c r="AG324" s="43"/>
      <c r="AH324" s="43" t="s">
        <v>4864</v>
      </c>
      <c r="AI324" s="22" t="s">
        <v>4866</v>
      </c>
      <c r="AJ324" s="22" t="s">
        <v>4867</v>
      </c>
      <c r="AK324" s="22" t="s">
        <v>4868</v>
      </c>
      <c r="AL324" s="43"/>
      <c r="AM324" s="43"/>
      <c r="AN324" s="43"/>
      <c r="AO324" s="43"/>
      <c r="AP324" s="46" t="s">
        <v>4869</v>
      </c>
      <c r="AQ324" s="46" t="s">
        <v>4870</v>
      </c>
      <c r="AR324" s="46" t="s">
        <v>4871</v>
      </c>
      <c r="AS324" s="43"/>
      <c r="AT324" s="43"/>
      <c r="AU324" s="43"/>
      <c r="AV324" s="43"/>
      <c r="AW324" s="22" t="s">
        <v>649</v>
      </c>
      <c r="AX324" s="22" t="s">
        <v>4867</v>
      </c>
      <c r="AY324" s="22" t="s">
        <v>2692</v>
      </c>
      <c r="AZ324" s="43"/>
      <c r="BA324" s="43"/>
      <c r="BB324" s="43"/>
      <c r="BC324" s="43"/>
      <c r="BD324" s="43" t="s">
        <v>1449</v>
      </c>
      <c r="BE324" s="59" t="s">
        <v>2755</v>
      </c>
      <c r="BF324" s="22" t="s">
        <v>131</v>
      </c>
      <c r="BG324" s="22" t="s">
        <v>132</v>
      </c>
      <c r="BH324" s="22" t="s">
        <v>132</v>
      </c>
      <c r="BI324" s="22" t="s">
        <v>132</v>
      </c>
      <c r="BJ324" s="43"/>
      <c r="BK324" s="43"/>
      <c r="BL324" s="22">
        <v>4.63115359339E12</v>
      </c>
      <c r="BM324" s="22">
        <v>2.103909009E9</v>
      </c>
      <c r="BN324" s="22" t="s">
        <v>3459</v>
      </c>
      <c r="BO324" s="22"/>
      <c r="BP324" s="22" t="s">
        <v>145</v>
      </c>
      <c r="BQ324" s="43"/>
      <c r="BR324" s="43"/>
      <c r="BS324" s="22" t="s">
        <v>4872</v>
      </c>
      <c r="BT324" s="43"/>
      <c r="BU324" s="22" t="s">
        <v>4873</v>
      </c>
      <c r="BV324" s="43" t="s">
        <v>2777</v>
      </c>
      <c r="BW324" s="22" t="s">
        <v>4173</v>
      </c>
      <c r="BX324" s="22">
        <v>10.0</v>
      </c>
      <c r="BY324" s="22" t="s">
        <v>2918</v>
      </c>
      <c r="BZ324" s="22"/>
      <c r="CA324" s="22" t="s">
        <v>3960</v>
      </c>
      <c r="CB324" s="22" t="s">
        <v>307</v>
      </c>
      <c r="CC324" s="45" t="s">
        <v>4874</v>
      </c>
      <c r="CD324" s="43"/>
      <c r="CE324" s="43"/>
      <c r="CF324" s="45"/>
      <c r="CG324" s="43"/>
      <c r="CH324" s="43"/>
      <c r="CI324" s="43"/>
      <c r="CJ324" s="43"/>
      <c r="CK324" s="43"/>
      <c r="CL324" s="43"/>
      <c r="CM324" s="49">
        <f>IFERROR(VLOOKUP(B324,CC!A:D,4,0)," ")</f>
        <v>102.85</v>
      </c>
      <c r="CN324" s="22" t="s">
        <v>3330</v>
      </c>
      <c r="CO324" s="22"/>
      <c r="CP324" s="43"/>
      <c r="CQ324" s="22">
        <v>45.0</v>
      </c>
      <c r="CR324" s="43"/>
      <c r="CS324" s="22">
        <v>1.0</v>
      </c>
      <c r="CT324" s="22" t="s">
        <v>145</v>
      </c>
      <c r="CU324" s="43"/>
      <c r="CV324" s="43"/>
      <c r="CW324" s="43"/>
      <c r="CX324" s="43"/>
      <c r="CY324" s="43" t="b">
        <v>0</v>
      </c>
      <c r="CZ324" s="43" t="b">
        <v>0</v>
      </c>
      <c r="DA324" s="43" t="b">
        <v>0</v>
      </c>
      <c r="DB324" s="43" t="b">
        <v>0</v>
      </c>
      <c r="DC324" s="43"/>
      <c r="DD324" s="43"/>
      <c r="DE324" s="43"/>
      <c r="DF324" s="43"/>
      <c r="DG324" s="43"/>
      <c r="DH324" s="43"/>
      <c r="DI324" s="43"/>
      <c r="DJ324" s="22">
        <f>IFERROR(VLOOKUP($B324,'Лист4'!$D:$AI,27,0)," ")</f>
        <v>5</v>
      </c>
      <c r="DK324" s="22">
        <f>IFERROR(VLOOKUP($B324,'Лист4'!$D:$AI,28,0)," ")</f>
        <v>8</v>
      </c>
      <c r="DL324" s="22">
        <f>IFERROR(VLOOKUP($B324,'Лист4'!$D:$AI,29,0)," ")</f>
        <v>5</v>
      </c>
      <c r="DM324" s="22">
        <f t="shared" si="3"/>
        <v>200</v>
      </c>
      <c r="DN324" s="22">
        <f>IFERROR(VLOOKUP($B324,'Лист4'!$D:$AI,32,0)," ")</f>
        <v>0.026</v>
      </c>
      <c r="DO324" s="22"/>
      <c r="DP324" s="22"/>
      <c r="DQ324" s="22"/>
      <c r="DR324" s="22"/>
      <c r="DS324" s="22"/>
      <c r="DT324" s="22"/>
      <c r="DU324" s="22"/>
      <c r="DV324" s="22"/>
      <c r="DW324" s="22"/>
      <c r="DX324" s="22"/>
      <c r="DY324" s="22"/>
      <c r="DZ324" s="22"/>
      <c r="EA324" s="22"/>
      <c r="EB324" s="22"/>
      <c r="EC324" s="22"/>
      <c r="ED324" s="22"/>
      <c r="EE324" s="22"/>
      <c r="EF324" s="22"/>
      <c r="EG324" s="22"/>
      <c r="EH324" s="22"/>
      <c r="EI324" s="22"/>
      <c r="EJ324" s="22"/>
      <c r="EK324" s="22"/>
      <c r="EL324" s="22"/>
      <c r="EM324" s="22"/>
      <c r="EN324" s="22"/>
      <c r="EO324" s="22"/>
      <c r="EP324" s="22"/>
      <c r="EQ324" s="22"/>
      <c r="ER324" s="22"/>
      <c r="ES324" s="43"/>
      <c r="ET324" s="43"/>
      <c r="EU324" s="43"/>
      <c r="EV324" s="43"/>
      <c r="EW324" s="43"/>
      <c r="EX324" s="43"/>
      <c r="EY324" s="43"/>
      <c r="EZ324" s="43"/>
      <c r="FA324" s="43"/>
      <c r="FB324" s="43"/>
      <c r="FC324" s="43"/>
      <c r="FD324" s="43"/>
      <c r="FE324" s="43"/>
      <c r="FF324" s="43"/>
      <c r="FG324" s="43"/>
      <c r="FH324" s="43"/>
      <c r="FI324" s="43"/>
    </row>
    <row r="325" ht="18.0" customHeight="1">
      <c r="A325" s="22" t="s">
        <v>2659</v>
      </c>
      <c r="B325" s="43" t="s">
        <v>4875</v>
      </c>
      <c r="C325" s="22" t="s">
        <v>2661</v>
      </c>
      <c r="D325" s="22" t="s">
        <v>119</v>
      </c>
      <c r="E325" s="43"/>
      <c r="F325" s="22" t="s">
        <v>4876</v>
      </c>
      <c r="G325" s="22" t="s">
        <v>2663</v>
      </c>
      <c r="H325" s="22" t="s">
        <v>4045</v>
      </c>
      <c r="I325" s="43"/>
      <c r="J325" s="43"/>
      <c r="K325" s="22" t="b">
        <v>1</v>
      </c>
      <c r="L325" s="22" t="b">
        <v>1</v>
      </c>
      <c r="M325" s="22" t="b">
        <v>1</v>
      </c>
      <c r="N325" s="22" t="b">
        <v>1</v>
      </c>
      <c r="O325" s="22" t="b">
        <v>0</v>
      </c>
      <c r="P325" s="22" t="b">
        <v>0</v>
      </c>
      <c r="Q325" s="22" t="b">
        <v>0</v>
      </c>
      <c r="R325" s="43"/>
      <c r="S325" s="43" t="s">
        <v>4877</v>
      </c>
      <c r="T325" s="22" t="s">
        <v>4875</v>
      </c>
      <c r="U325" s="22" t="s">
        <v>4875</v>
      </c>
      <c r="V325" s="22" t="s">
        <v>4875</v>
      </c>
      <c r="W325" s="43"/>
      <c r="X325" s="43"/>
      <c r="Y325" s="43"/>
      <c r="Z325" s="43"/>
      <c r="AA325" s="22">
        <v>1.19939935E8</v>
      </c>
      <c r="AB325" s="22">
        <v>6.69985038E8</v>
      </c>
      <c r="AC325" s="22">
        <v>1.01806805904E11</v>
      </c>
      <c r="AD325" s="22"/>
      <c r="AE325" s="22"/>
      <c r="AF325" s="43"/>
      <c r="AG325" s="43"/>
      <c r="AH325" s="43" t="s">
        <v>4876</v>
      </c>
      <c r="AI325" s="22" t="s">
        <v>4878</v>
      </c>
      <c r="AJ325" s="22" t="s">
        <v>4879</v>
      </c>
      <c r="AK325" s="22" t="s">
        <v>4879</v>
      </c>
      <c r="AL325" s="43"/>
      <c r="AM325" s="43"/>
      <c r="AN325" s="43"/>
      <c r="AO325" s="43"/>
      <c r="AP325" s="46" t="s">
        <v>4880</v>
      </c>
      <c r="AQ325" s="46" t="s">
        <v>4881</v>
      </c>
      <c r="AR325" s="46" t="s">
        <v>4882</v>
      </c>
      <c r="AS325" s="43"/>
      <c r="AT325" s="43"/>
      <c r="AU325" s="43"/>
      <c r="AV325" s="43"/>
      <c r="AW325" s="22" t="s">
        <v>649</v>
      </c>
      <c r="AX325" s="22" t="s">
        <v>4879</v>
      </c>
      <c r="AY325" s="22" t="s">
        <v>2692</v>
      </c>
      <c r="AZ325" s="43"/>
      <c r="BA325" s="43"/>
      <c r="BB325" s="43"/>
      <c r="BC325" s="43"/>
      <c r="BD325" s="43" t="s">
        <v>1449</v>
      </c>
      <c r="BE325" s="59" t="s">
        <v>2674</v>
      </c>
      <c r="BF325" s="22" t="s">
        <v>131</v>
      </c>
      <c r="BG325" s="22" t="s">
        <v>132</v>
      </c>
      <c r="BH325" s="22" t="s">
        <v>132</v>
      </c>
      <c r="BI325" s="22" t="s">
        <v>132</v>
      </c>
      <c r="BJ325" s="43"/>
      <c r="BK325" s="43"/>
      <c r="BL325" s="22">
        <v>4.631144673049E12</v>
      </c>
      <c r="BM325" s="22">
        <v>2.103909009E9</v>
      </c>
      <c r="BN325" s="22" t="s">
        <v>3140</v>
      </c>
      <c r="BO325" s="22"/>
      <c r="BP325" s="22" t="s">
        <v>145</v>
      </c>
      <c r="BQ325" s="43"/>
      <c r="BR325" s="43"/>
      <c r="BS325" s="22" t="s">
        <v>4883</v>
      </c>
      <c r="BT325" s="43"/>
      <c r="BU325" s="22" t="s">
        <v>4884</v>
      </c>
      <c r="BV325" s="43" t="s">
        <v>4885</v>
      </c>
      <c r="BW325" s="22" t="s">
        <v>4886</v>
      </c>
      <c r="BX325" s="22">
        <v>10.0</v>
      </c>
      <c r="BY325" s="22" t="s">
        <v>492</v>
      </c>
      <c r="BZ325" s="22"/>
      <c r="CA325" s="22"/>
      <c r="CB325" s="22"/>
      <c r="CC325" s="45" t="s">
        <v>4887</v>
      </c>
      <c r="CD325" s="43"/>
      <c r="CE325" s="43"/>
      <c r="CF325" s="45"/>
      <c r="CG325" s="43"/>
      <c r="CH325" s="43"/>
      <c r="CI325" s="43"/>
      <c r="CJ325" s="43"/>
      <c r="CK325" s="43"/>
      <c r="CL325" s="43"/>
      <c r="CM325" s="49">
        <f>IFERROR(VLOOKUP(B325,CC!A:D,4,0)," ")</f>
        <v>112.96</v>
      </c>
      <c r="CN325" s="22" t="s">
        <v>3330</v>
      </c>
      <c r="CO325" s="22"/>
      <c r="CP325" s="43"/>
      <c r="CQ325" s="22">
        <v>45.0</v>
      </c>
      <c r="CR325" s="43"/>
      <c r="CS325" s="22">
        <v>1.0</v>
      </c>
      <c r="CT325" s="22" t="s">
        <v>145</v>
      </c>
      <c r="CU325" s="43"/>
      <c r="CV325" s="43"/>
      <c r="CW325" s="43"/>
      <c r="CX325" s="43"/>
      <c r="CY325" s="43" t="b">
        <v>0</v>
      </c>
      <c r="CZ325" s="43" t="b">
        <v>0</v>
      </c>
      <c r="DA325" s="43" t="b">
        <v>0</v>
      </c>
      <c r="DB325" s="43" t="b">
        <v>0</v>
      </c>
      <c r="DC325" s="43"/>
      <c r="DD325" s="43"/>
      <c r="DE325" s="43"/>
      <c r="DF325" s="43"/>
      <c r="DG325" s="43"/>
      <c r="DH325" s="43"/>
      <c r="DI325" s="43"/>
      <c r="DJ325" s="22">
        <f>IFERROR(VLOOKUP($B325,'Лист4'!$D:$AI,27,0)," ")</f>
        <v>8</v>
      </c>
      <c r="DK325" s="22">
        <f>IFERROR(VLOOKUP($B325,'Лист4'!$D:$AI,28,0)," ")</f>
        <v>2</v>
      </c>
      <c r="DL325" s="22">
        <f>IFERROR(VLOOKUP($B325,'Лист4'!$D:$AI,29,0)," ")</f>
        <v>8</v>
      </c>
      <c r="DM325" s="22">
        <f t="shared" si="3"/>
        <v>128</v>
      </c>
      <c r="DN325" s="22">
        <f>IFERROR(VLOOKUP($B325,'Лист4'!$D:$AI,32,0)," ")</f>
        <v>0.098</v>
      </c>
      <c r="DO325" s="22"/>
      <c r="DP325" s="22"/>
      <c r="DQ325" s="22"/>
      <c r="DR325" s="22"/>
      <c r="DS325" s="22"/>
      <c r="DT325" s="22"/>
      <c r="DU325" s="22"/>
      <c r="DV325" s="22"/>
      <c r="DW325" s="22"/>
      <c r="DX325" s="22"/>
      <c r="DY325" s="22"/>
      <c r="DZ325" s="22"/>
      <c r="EA325" s="22"/>
      <c r="EB325" s="22"/>
      <c r="EC325" s="22"/>
      <c r="ED325" s="22"/>
      <c r="EE325" s="22"/>
      <c r="EF325" s="22"/>
      <c r="EG325" s="22"/>
      <c r="EH325" s="22"/>
      <c r="EI325" s="22"/>
      <c r="EJ325" s="22"/>
      <c r="EK325" s="22"/>
      <c r="EL325" s="22"/>
      <c r="EM325" s="22"/>
      <c r="EN325" s="22"/>
      <c r="EO325" s="22"/>
      <c r="EP325" s="22"/>
      <c r="EQ325" s="22"/>
      <c r="ER325" s="22"/>
      <c r="ES325" s="43"/>
      <c r="ET325" s="43"/>
      <c r="EU325" s="43"/>
      <c r="EV325" s="43"/>
      <c r="EW325" s="43"/>
      <c r="EX325" s="43"/>
      <c r="EY325" s="43"/>
      <c r="EZ325" s="43"/>
      <c r="FA325" s="43"/>
      <c r="FB325" s="43"/>
      <c r="FC325" s="43"/>
      <c r="FD325" s="43"/>
      <c r="FE325" s="43"/>
      <c r="FF325" s="43"/>
      <c r="FG325" s="43"/>
      <c r="FH325" s="43"/>
      <c r="FI325" s="43"/>
    </row>
    <row r="326" ht="18.0" customHeight="1">
      <c r="A326" s="22" t="s">
        <v>2659</v>
      </c>
      <c r="B326" s="43" t="s">
        <v>4888</v>
      </c>
      <c r="C326" s="22" t="s">
        <v>2661</v>
      </c>
      <c r="D326" s="22" t="s">
        <v>119</v>
      </c>
      <c r="E326" s="43"/>
      <c r="F326" s="22" t="s">
        <v>4889</v>
      </c>
      <c r="G326" s="22" t="s">
        <v>2663</v>
      </c>
      <c r="H326" s="22" t="s">
        <v>2664</v>
      </c>
      <c r="I326" s="43"/>
      <c r="J326" s="43"/>
      <c r="K326" s="22" t="b">
        <v>1</v>
      </c>
      <c r="L326" s="22" t="b">
        <v>1</v>
      </c>
      <c r="M326" s="22" t="b">
        <v>1</v>
      </c>
      <c r="N326" s="22" t="b">
        <v>1</v>
      </c>
      <c r="O326" s="22" t="b">
        <v>0</v>
      </c>
      <c r="P326" s="22" t="b">
        <v>0</v>
      </c>
      <c r="Q326" s="22" t="b">
        <v>0</v>
      </c>
      <c r="R326" s="43"/>
      <c r="S326" s="43" t="s">
        <v>4890</v>
      </c>
      <c r="T326" s="22" t="s">
        <v>4888</v>
      </c>
      <c r="U326" s="22" t="s">
        <v>4888</v>
      </c>
      <c r="V326" s="22" t="s">
        <v>4888</v>
      </c>
      <c r="W326" s="43"/>
      <c r="X326" s="43"/>
      <c r="Y326" s="43"/>
      <c r="Z326" s="43"/>
      <c r="AA326" s="22">
        <v>1.7905705E7</v>
      </c>
      <c r="AB326" s="22">
        <v>2.89386465E8</v>
      </c>
      <c r="AC326" s="22">
        <v>1.01864001748E11</v>
      </c>
      <c r="AD326" s="22"/>
      <c r="AE326" s="22"/>
      <c r="AF326" s="43"/>
      <c r="AG326" s="43"/>
      <c r="AH326" s="43" t="s">
        <v>4889</v>
      </c>
      <c r="AI326" s="22" t="s">
        <v>3945</v>
      </c>
      <c r="AJ326" s="22" t="s">
        <v>4891</v>
      </c>
      <c r="AK326" s="22" t="s">
        <v>4892</v>
      </c>
      <c r="AL326" s="43"/>
      <c r="AM326" s="43"/>
      <c r="AN326" s="43"/>
      <c r="AO326" s="43"/>
      <c r="AP326" s="46" t="s">
        <v>4893</v>
      </c>
      <c r="AQ326" s="46" t="s">
        <v>4894</v>
      </c>
      <c r="AR326" s="46" t="s">
        <v>4895</v>
      </c>
      <c r="AS326" s="43"/>
      <c r="AT326" s="43"/>
      <c r="AU326" s="43"/>
      <c r="AV326" s="43"/>
      <c r="AW326" s="22" t="s">
        <v>594</v>
      </c>
      <c r="AX326" s="22" t="s">
        <v>4891</v>
      </c>
      <c r="AY326" s="22" t="s">
        <v>2672</v>
      </c>
      <c r="AZ326" s="43"/>
      <c r="BA326" s="43"/>
      <c r="BB326" s="43"/>
      <c r="BC326" s="43"/>
      <c r="BD326" s="43" t="s">
        <v>2673</v>
      </c>
      <c r="BE326" s="59" t="s">
        <v>2755</v>
      </c>
      <c r="BF326" s="22" t="s">
        <v>131</v>
      </c>
      <c r="BG326" s="22" t="s">
        <v>132</v>
      </c>
      <c r="BH326" s="22" t="s">
        <v>132</v>
      </c>
      <c r="BI326" s="22" t="s">
        <v>132</v>
      </c>
      <c r="BJ326" s="43"/>
      <c r="BK326" s="43"/>
      <c r="BL326" s="22">
        <v>4.631143681571E12</v>
      </c>
      <c r="BM326" s="22">
        <v>3.30499E9</v>
      </c>
      <c r="BN326" s="22" t="s">
        <v>3950</v>
      </c>
      <c r="BO326" s="22"/>
      <c r="BP326" s="22" t="s">
        <v>2676</v>
      </c>
      <c r="BQ326" s="43"/>
      <c r="BR326" s="43"/>
      <c r="BS326" s="22" t="s">
        <v>3951</v>
      </c>
      <c r="BT326" s="22" t="s">
        <v>4896</v>
      </c>
      <c r="BU326" s="22" t="s">
        <v>3609</v>
      </c>
      <c r="BV326" s="22" t="s">
        <v>2777</v>
      </c>
      <c r="BW326" s="22" t="s">
        <v>2778</v>
      </c>
      <c r="BX326" s="22">
        <v>30.0</v>
      </c>
      <c r="BY326" s="22" t="s">
        <v>139</v>
      </c>
      <c r="BZ326" s="22"/>
      <c r="CA326" s="22" t="s">
        <v>3960</v>
      </c>
      <c r="CB326" s="22" t="s">
        <v>307</v>
      </c>
      <c r="CC326" s="45" t="s">
        <v>401</v>
      </c>
      <c r="CD326" s="43"/>
      <c r="CE326" s="43"/>
      <c r="CF326" s="45" t="s">
        <v>401</v>
      </c>
      <c r="CG326" s="43"/>
      <c r="CH326" s="43"/>
      <c r="CI326" s="43"/>
      <c r="CJ326" s="43"/>
      <c r="CK326" s="43"/>
      <c r="CL326" s="43"/>
      <c r="CM326" s="49">
        <f>IFERROR(VLOOKUP(B326,CC!A:D,4,0)," ")</f>
        <v>116.36</v>
      </c>
      <c r="CN326" s="22" t="s">
        <v>2681</v>
      </c>
      <c r="CO326" s="22"/>
      <c r="CP326" s="43"/>
      <c r="CQ326" s="22" t="s">
        <v>401</v>
      </c>
      <c r="CR326" s="43"/>
      <c r="CS326" s="22">
        <v>1.0</v>
      </c>
      <c r="CT326" s="22" t="s">
        <v>145</v>
      </c>
      <c r="CU326" s="43"/>
      <c r="CV326" s="43"/>
      <c r="CW326" s="43"/>
      <c r="CX326" s="43"/>
      <c r="CY326" s="43" t="b">
        <v>0</v>
      </c>
      <c r="CZ326" s="43" t="b">
        <v>0</v>
      </c>
      <c r="DA326" s="43" t="b">
        <v>0</v>
      </c>
      <c r="DB326" s="43" t="b">
        <v>0</v>
      </c>
      <c r="DC326" s="43"/>
      <c r="DD326" s="43"/>
      <c r="DE326" s="43"/>
      <c r="DF326" s="43"/>
      <c r="DG326" s="43"/>
      <c r="DH326" s="43"/>
      <c r="DI326" s="43"/>
      <c r="DJ326" s="22">
        <f>IFERROR(VLOOKUP($B326,'Лист4'!$D:$AI,27,0)," ")</f>
        <v>10</v>
      </c>
      <c r="DK326" s="22">
        <f>IFERROR(VLOOKUP($B326,'Лист4'!$D:$AI,28,0)," ")</f>
        <v>3</v>
      </c>
      <c r="DL326" s="22">
        <f>IFERROR(VLOOKUP($B326,'Лист4'!$D:$AI,29,0)," ")</f>
        <v>10</v>
      </c>
      <c r="DM326" s="22">
        <f t="shared" si="3"/>
        <v>300</v>
      </c>
      <c r="DN326" s="22">
        <f>IFERROR(VLOOKUP($B326,'Лист4'!$D:$AI,32,0)," ")</f>
        <v>0.045</v>
      </c>
      <c r="DO326" s="22"/>
      <c r="DP326" s="22"/>
      <c r="DQ326" s="22"/>
      <c r="DR326" s="22"/>
      <c r="DS326" s="22"/>
      <c r="DT326" s="22"/>
      <c r="DU326" s="22"/>
      <c r="DV326" s="22"/>
      <c r="DW326" s="22"/>
      <c r="DX326" s="22"/>
      <c r="DY326" s="22"/>
      <c r="DZ326" s="22"/>
      <c r="EA326" s="22"/>
      <c r="EB326" s="22"/>
      <c r="EC326" s="22"/>
      <c r="ED326" s="22"/>
      <c r="EE326" s="22"/>
      <c r="EF326" s="22"/>
      <c r="EG326" s="22"/>
      <c r="EH326" s="22"/>
      <c r="EI326" s="22"/>
      <c r="EJ326" s="22"/>
      <c r="EK326" s="22"/>
      <c r="EL326" s="22"/>
      <c r="EM326" s="22"/>
      <c r="EN326" s="22"/>
      <c r="EO326" s="22"/>
      <c r="EP326" s="22"/>
      <c r="EQ326" s="22"/>
      <c r="ER326" s="22"/>
      <c r="ES326" s="43"/>
      <c r="ET326" s="43"/>
      <c r="EU326" s="43"/>
      <c r="EV326" s="43"/>
      <c r="EW326" s="43"/>
      <c r="EX326" s="43"/>
      <c r="EY326" s="43"/>
      <c r="EZ326" s="43"/>
      <c r="FA326" s="43"/>
      <c r="FB326" s="43"/>
      <c r="FC326" s="43"/>
      <c r="FD326" s="43"/>
      <c r="FE326" s="43"/>
      <c r="FF326" s="43"/>
      <c r="FG326" s="43"/>
      <c r="FH326" s="43"/>
      <c r="FI326" s="43"/>
    </row>
    <row r="327" ht="18.0" customHeight="1">
      <c r="A327" s="22" t="s">
        <v>2659</v>
      </c>
      <c r="B327" s="43" t="s">
        <v>4897</v>
      </c>
      <c r="C327" s="22" t="s">
        <v>2741</v>
      </c>
      <c r="D327" s="22" t="s">
        <v>119</v>
      </c>
      <c r="E327" s="43"/>
      <c r="F327" s="22" t="s">
        <v>4898</v>
      </c>
      <c r="G327" s="22" t="s">
        <v>2743</v>
      </c>
      <c r="H327" s="22" t="s">
        <v>3158</v>
      </c>
      <c r="I327" s="43"/>
      <c r="J327" s="43"/>
      <c r="K327" s="22" t="b">
        <v>1</v>
      </c>
      <c r="L327" s="22" t="b">
        <v>1</v>
      </c>
      <c r="M327" s="22" t="b">
        <v>1</v>
      </c>
      <c r="N327" s="22" t="b">
        <v>1</v>
      </c>
      <c r="O327" s="22" t="b">
        <v>1</v>
      </c>
      <c r="P327" s="22" t="b">
        <v>0</v>
      </c>
      <c r="Q327" s="22" t="b">
        <v>1</v>
      </c>
      <c r="R327" s="43"/>
      <c r="S327" s="43" t="s">
        <v>4899</v>
      </c>
      <c r="T327" s="22" t="s">
        <v>4897</v>
      </c>
      <c r="U327" s="22" t="s">
        <v>4897</v>
      </c>
      <c r="V327" s="22" t="s">
        <v>4897</v>
      </c>
      <c r="W327" s="43" t="s">
        <v>4897</v>
      </c>
      <c r="X327" s="43"/>
      <c r="Y327" s="22" t="s">
        <v>4897</v>
      </c>
      <c r="Z327" s="43"/>
      <c r="AA327" s="22">
        <v>4.84548663E8</v>
      </c>
      <c r="AB327" s="22">
        <v>2.58310045E9</v>
      </c>
      <c r="AC327" s="22">
        <v>4.600676003E9</v>
      </c>
      <c r="AD327" s="22">
        <v>9.900013168E10</v>
      </c>
      <c r="AE327" s="22"/>
      <c r="AF327" s="22" t="s">
        <v>4900</v>
      </c>
      <c r="AG327" s="43"/>
      <c r="AH327" s="43" t="s">
        <v>4898</v>
      </c>
      <c r="AI327" s="22" t="s">
        <v>4901</v>
      </c>
      <c r="AJ327" s="22" t="s">
        <v>4902</v>
      </c>
      <c r="AK327" s="22" t="s">
        <v>4903</v>
      </c>
      <c r="AL327" s="22" t="s">
        <v>4904</v>
      </c>
      <c r="AM327" s="43"/>
      <c r="AN327" s="22" t="s">
        <v>4902</v>
      </c>
      <c r="AO327" s="43"/>
      <c r="AP327" s="46" t="s">
        <v>4905</v>
      </c>
      <c r="AQ327" s="46" t="s">
        <v>4906</v>
      </c>
      <c r="AR327" s="46" t="s">
        <v>4907</v>
      </c>
      <c r="AS327" s="43"/>
      <c r="AT327" s="43"/>
      <c r="AU327" s="46" t="s">
        <v>4908</v>
      </c>
      <c r="AV327" s="43"/>
      <c r="AW327" s="22" t="s">
        <v>1832</v>
      </c>
      <c r="AX327" s="22" t="s">
        <v>4902</v>
      </c>
      <c r="AY327" s="22" t="s">
        <v>4909</v>
      </c>
      <c r="AZ327" s="22" t="s">
        <v>1447</v>
      </c>
      <c r="BA327" s="43"/>
      <c r="BB327" s="22" t="s">
        <v>4910</v>
      </c>
      <c r="BC327" s="22"/>
      <c r="BD327" s="43" t="s">
        <v>1449</v>
      </c>
      <c r="BE327" s="59" t="s">
        <v>2674</v>
      </c>
      <c r="BF327" s="22" t="s">
        <v>131</v>
      </c>
      <c r="BG327" s="22" t="s">
        <v>132</v>
      </c>
      <c r="BH327" s="22" t="s">
        <v>132</v>
      </c>
      <c r="BI327" s="22" t="s">
        <v>132</v>
      </c>
      <c r="BJ327" s="43"/>
      <c r="BK327" s="43"/>
      <c r="BL327" s="22">
        <v>4.603320465458E12</v>
      </c>
      <c r="BM327" s="22">
        <v>3.3071E9</v>
      </c>
      <c r="BN327" s="22" t="s">
        <v>4911</v>
      </c>
      <c r="BO327" s="22"/>
      <c r="BP327" s="22" t="s">
        <v>145</v>
      </c>
      <c r="BQ327" s="43"/>
      <c r="BR327" s="43"/>
      <c r="BS327" s="22" t="s">
        <v>4912</v>
      </c>
      <c r="BT327" s="43"/>
      <c r="BU327" s="22" t="s">
        <v>4913</v>
      </c>
      <c r="BV327" s="43" t="s">
        <v>3061</v>
      </c>
      <c r="BW327" s="22" t="s">
        <v>4914</v>
      </c>
      <c r="BX327" s="22">
        <v>300.0</v>
      </c>
      <c r="BY327" s="22" t="s">
        <v>139</v>
      </c>
      <c r="BZ327" s="22"/>
      <c r="CA327" s="22" t="s">
        <v>726</v>
      </c>
      <c r="CB327" s="22" t="s">
        <v>727</v>
      </c>
      <c r="CC327" s="45" t="s">
        <v>4915</v>
      </c>
      <c r="CD327" s="43"/>
      <c r="CE327" s="43"/>
      <c r="CF327" s="45"/>
      <c r="CG327" s="43"/>
      <c r="CH327" s="43"/>
      <c r="CI327" s="43"/>
      <c r="CJ327" s="43"/>
      <c r="CK327" s="43"/>
      <c r="CL327" s="43"/>
      <c r="CM327" s="49">
        <f>IFERROR(VLOOKUP(B327,CC!A:D,4,0)," ")</f>
        <v>125.68</v>
      </c>
      <c r="CN327" s="22" t="s">
        <v>4114</v>
      </c>
      <c r="CO327" s="22"/>
      <c r="CP327" s="22" t="s">
        <v>2944</v>
      </c>
      <c r="CQ327" s="22">
        <v>60.0</v>
      </c>
      <c r="CR327" s="43"/>
      <c r="CS327" s="22">
        <v>3.0</v>
      </c>
      <c r="CT327" s="22" t="s">
        <v>145</v>
      </c>
      <c r="CU327" s="43"/>
      <c r="CV327" s="43"/>
      <c r="CW327" s="43"/>
      <c r="CX327" s="43"/>
      <c r="CY327" s="43" t="b">
        <v>0</v>
      </c>
      <c r="CZ327" s="43" t="b">
        <v>0</v>
      </c>
      <c r="DA327" s="43" t="b">
        <v>0</v>
      </c>
      <c r="DB327" s="43" t="b">
        <v>0</v>
      </c>
      <c r="DC327" s="43"/>
      <c r="DD327" s="43"/>
      <c r="DE327" s="43"/>
      <c r="DF327" s="43"/>
      <c r="DG327" s="43"/>
      <c r="DH327" s="43"/>
      <c r="DI327" s="43"/>
      <c r="DJ327" s="22">
        <f>IFERROR(VLOOKUP($B327,'Лист4'!$D:$AI,27,0)," ")</f>
        <v>6</v>
      </c>
      <c r="DK327" s="22">
        <f>IFERROR(VLOOKUP($B327,'Лист4'!$D:$AI,28,0)," ")</f>
        <v>16</v>
      </c>
      <c r="DL327" s="22">
        <f>IFERROR(VLOOKUP($B327,'Лист4'!$D:$AI,29,0)," ")</f>
        <v>6</v>
      </c>
      <c r="DM327" s="22">
        <f t="shared" si="3"/>
        <v>576</v>
      </c>
      <c r="DN327" s="22">
        <f>IFERROR(VLOOKUP($B327,'Лист4'!$D:$AI,32,0)," ")</f>
        <v>0.317</v>
      </c>
      <c r="DO327" s="22"/>
      <c r="DP327" s="22"/>
      <c r="DQ327" s="22"/>
      <c r="DR327" s="22"/>
      <c r="DS327" s="22"/>
      <c r="DT327" s="22"/>
      <c r="DU327" s="22"/>
      <c r="DV327" s="22"/>
      <c r="DW327" s="22"/>
      <c r="DX327" s="22"/>
      <c r="DY327" s="22"/>
      <c r="DZ327" s="22"/>
      <c r="EA327" s="22"/>
      <c r="EB327" s="22"/>
      <c r="EC327" s="22"/>
      <c r="ED327" s="22"/>
      <c r="EE327" s="22"/>
      <c r="EF327" s="22"/>
      <c r="EG327" s="22"/>
      <c r="EH327" s="22"/>
      <c r="EI327" s="22"/>
      <c r="EJ327" s="22"/>
      <c r="EK327" s="22"/>
      <c r="EL327" s="22"/>
      <c r="EM327" s="22"/>
      <c r="EN327" s="22"/>
      <c r="EO327" s="22"/>
      <c r="EP327" s="22"/>
      <c r="EQ327" s="22"/>
      <c r="ER327" s="22"/>
      <c r="ES327" s="43"/>
      <c r="ET327" s="43"/>
      <c r="EU327" s="43"/>
      <c r="EV327" s="43"/>
      <c r="EW327" s="43"/>
      <c r="EX327" s="43"/>
      <c r="EY327" s="43"/>
      <c r="EZ327" s="43"/>
      <c r="FA327" s="43"/>
      <c r="FB327" s="43"/>
      <c r="FC327" s="43"/>
      <c r="FD327" s="43"/>
      <c r="FE327" s="43"/>
      <c r="FF327" s="43"/>
      <c r="FG327" s="43"/>
      <c r="FH327" s="43"/>
      <c r="FI327" s="43"/>
    </row>
    <row r="328" ht="18.0" customHeight="1">
      <c r="A328" s="22" t="s">
        <v>2659</v>
      </c>
      <c r="B328" s="43" t="s">
        <v>4916</v>
      </c>
      <c r="C328" s="22" t="s">
        <v>2741</v>
      </c>
      <c r="D328" s="22" t="s">
        <v>358</v>
      </c>
      <c r="E328" s="43"/>
      <c r="F328" s="22" t="s">
        <v>4917</v>
      </c>
      <c r="G328" s="22" t="s">
        <v>361</v>
      </c>
      <c r="H328" s="22" t="s">
        <v>4045</v>
      </c>
      <c r="I328" s="43"/>
      <c r="J328" s="43"/>
      <c r="K328" s="22" t="b">
        <v>1</v>
      </c>
      <c r="L328" s="22" t="b">
        <v>1</v>
      </c>
      <c r="M328" s="22" t="b">
        <v>1</v>
      </c>
      <c r="N328" s="22" t="b">
        <v>1</v>
      </c>
      <c r="O328" s="22" t="b">
        <v>0</v>
      </c>
      <c r="P328" s="22" t="b">
        <v>0</v>
      </c>
      <c r="Q328" s="22" t="b">
        <v>0</v>
      </c>
      <c r="R328" s="43"/>
      <c r="S328" s="43" t="s">
        <v>4918</v>
      </c>
      <c r="T328" s="22" t="s">
        <v>4916</v>
      </c>
      <c r="U328" s="22" t="s">
        <v>4916</v>
      </c>
      <c r="V328" s="22" t="s">
        <v>4916</v>
      </c>
      <c r="W328" s="43"/>
      <c r="X328" s="43"/>
      <c r="Y328" s="43"/>
      <c r="Z328" s="43"/>
      <c r="AA328" s="22">
        <v>2.76258805E8</v>
      </c>
      <c r="AB328" s="22">
        <v>1.745055145E9</v>
      </c>
      <c r="AC328" s="22">
        <v>1.0359944665E11</v>
      </c>
      <c r="AD328" s="22"/>
      <c r="AE328" s="22"/>
      <c r="AF328" s="43"/>
      <c r="AG328" s="43"/>
      <c r="AH328" s="43" t="s">
        <v>4917</v>
      </c>
      <c r="AI328" s="22" t="s">
        <v>4919</v>
      </c>
      <c r="AJ328" s="22" t="s">
        <v>4920</v>
      </c>
      <c r="AK328" s="22" t="s">
        <v>4921</v>
      </c>
      <c r="AL328" s="43"/>
      <c r="AM328" s="43"/>
      <c r="AN328" s="43"/>
      <c r="AO328" s="43"/>
      <c r="AP328" s="46" t="s">
        <v>4922</v>
      </c>
      <c r="AQ328" s="46" t="s">
        <v>4923</v>
      </c>
      <c r="AR328" s="46" t="s">
        <v>4924</v>
      </c>
      <c r="AS328" s="43"/>
      <c r="AT328" s="43"/>
      <c r="AU328" s="43"/>
      <c r="AV328" s="43"/>
      <c r="AW328" s="22" t="s">
        <v>361</v>
      </c>
      <c r="AX328" s="22" t="s">
        <v>4920</v>
      </c>
      <c r="AY328" s="22" t="s">
        <v>372</v>
      </c>
      <c r="AZ328" s="43"/>
      <c r="BA328" s="43"/>
      <c r="BB328" s="43"/>
      <c r="BC328" s="43"/>
      <c r="BD328" s="43" t="s">
        <v>2993</v>
      </c>
      <c r="BE328" s="59" t="s">
        <v>2674</v>
      </c>
      <c r="BF328" s="22" t="s">
        <v>131</v>
      </c>
      <c r="BG328" s="22" t="s">
        <v>132</v>
      </c>
      <c r="BH328" s="22" t="s">
        <v>132</v>
      </c>
      <c r="BI328" s="22" t="s">
        <v>132</v>
      </c>
      <c r="BJ328" s="43"/>
      <c r="BK328" s="43"/>
      <c r="BL328" s="22">
        <v>4.610030631943E12</v>
      </c>
      <c r="BM328" s="22">
        <v>2.106909803E9</v>
      </c>
      <c r="BN328" s="22" t="s">
        <v>4925</v>
      </c>
      <c r="BO328" s="22"/>
      <c r="BP328" s="22" t="s">
        <v>496</v>
      </c>
      <c r="BQ328" s="43"/>
      <c r="BR328" s="43"/>
      <c r="BS328" s="22" t="s">
        <v>4926</v>
      </c>
      <c r="BT328" s="43"/>
      <c r="BU328" s="22" t="s">
        <v>4927</v>
      </c>
      <c r="BV328" s="43" t="s">
        <v>3671</v>
      </c>
      <c r="BW328" s="22" t="s">
        <v>4928</v>
      </c>
      <c r="BX328" s="22">
        <v>30.0</v>
      </c>
      <c r="BY328" s="22" t="s">
        <v>492</v>
      </c>
      <c r="BZ328" s="22"/>
      <c r="CA328" s="22" t="s">
        <v>355</v>
      </c>
      <c r="CB328" s="22" t="s">
        <v>307</v>
      </c>
      <c r="CC328" s="45" t="s">
        <v>4929</v>
      </c>
      <c r="CD328" s="43"/>
      <c r="CE328" s="43"/>
      <c r="CF328" s="45"/>
      <c r="CG328" s="43"/>
      <c r="CH328" s="43"/>
      <c r="CI328" s="43"/>
      <c r="CJ328" s="43"/>
      <c r="CK328" s="43"/>
      <c r="CL328" s="43"/>
      <c r="CM328" s="49">
        <f>IFERROR(VLOOKUP(B328,CC!A:D,4,0)," ")</f>
        <v>136.03</v>
      </c>
      <c r="CN328" s="22" t="s">
        <v>3674</v>
      </c>
      <c r="CO328" s="22"/>
      <c r="CP328" s="22" t="s">
        <v>805</v>
      </c>
      <c r="CQ328" s="22">
        <v>90.0</v>
      </c>
      <c r="CR328" s="43"/>
      <c r="CS328" s="22">
        <v>1.0</v>
      </c>
      <c r="CT328" s="22" t="s">
        <v>145</v>
      </c>
      <c r="CU328" s="43"/>
      <c r="CV328" s="43"/>
      <c r="CW328" s="43"/>
      <c r="CX328" s="43"/>
      <c r="CY328" s="43" t="b">
        <v>0</v>
      </c>
      <c r="CZ328" s="43" t="b">
        <v>0</v>
      </c>
      <c r="DA328" s="43" t="b">
        <v>0</v>
      </c>
      <c r="DB328" s="43" t="b">
        <v>0</v>
      </c>
      <c r="DC328" s="43"/>
      <c r="DD328" s="43"/>
      <c r="DE328" s="43"/>
      <c r="DF328" s="43"/>
      <c r="DG328" s="43"/>
      <c r="DH328" s="43"/>
      <c r="DI328" s="43"/>
      <c r="DJ328" s="22">
        <f>IFERROR(VLOOKUP($B328,'Лист4'!$D:$AI,27,0)," ")</f>
        <v>8</v>
      </c>
      <c r="DK328" s="22">
        <f>IFERROR(VLOOKUP($B328,'Лист4'!$D:$AI,28,0)," ")</f>
        <v>4</v>
      </c>
      <c r="DL328" s="22">
        <f>IFERROR(VLOOKUP($B328,'Лист4'!$D:$AI,29,0)," ")</f>
        <v>8</v>
      </c>
      <c r="DM328" s="22">
        <f t="shared" si="3"/>
        <v>256</v>
      </c>
      <c r="DN328" s="22">
        <f>IFERROR(VLOOKUP($B328,'Лист4'!$D:$AI,32,0)," ")</f>
        <v>0.035</v>
      </c>
      <c r="DO328" s="22"/>
      <c r="DP328" s="22"/>
      <c r="DQ328" s="22"/>
      <c r="DR328" s="22"/>
      <c r="DS328" s="22"/>
      <c r="DT328" s="22"/>
      <c r="DU328" s="22"/>
      <c r="DV328" s="22"/>
      <c r="DW328" s="22"/>
      <c r="DX328" s="22"/>
      <c r="DY328" s="22"/>
      <c r="DZ328" s="22"/>
      <c r="EA328" s="22"/>
      <c r="EB328" s="22"/>
      <c r="EC328" s="22"/>
      <c r="ED328" s="22"/>
      <c r="EE328" s="22"/>
      <c r="EF328" s="22"/>
      <c r="EG328" s="22"/>
      <c r="EH328" s="22"/>
      <c r="EI328" s="22"/>
      <c r="EJ328" s="22"/>
      <c r="EK328" s="22"/>
      <c r="EL328" s="22"/>
      <c r="EM328" s="22"/>
      <c r="EN328" s="22"/>
      <c r="EO328" s="22"/>
      <c r="EP328" s="22"/>
      <c r="EQ328" s="22"/>
      <c r="ER328" s="22"/>
      <c r="ES328" s="43"/>
      <c r="ET328" s="43"/>
      <c r="EU328" s="43"/>
      <c r="EV328" s="43"/>
      <c r="EW328" s="43"/>
      <c r="EX328" s="43"/>
      <c r="EY328" s="43"/>
      <c r="EZ328" s="43"/>
      <c r="FA328" s="43"/>
      <c r="FB328" s="43"/>
      <c r="FC328" s="43"/>
      <c r="FD328" s="43"/>
      <c r="FE328" s="43"/>
      <c r="FF328" s="43"/>
      <c r="FG328" s="43"/>
      <c r="FH328" s="43"/>
      <c r="FI328" s="43"/>
    </row>
    <row r="329" ht="18.0" customHeight="1">
      <c r="A329" s="22" t="s">
        <v>2659</v>
      </c>
      <c r="B329" s="43" t="s">
        <v>4930</v>
      </c>
      <c r="C329" s="22" t="s">
        <v>2661</v>
      </c>
      <c r="D329" s="22" t="s">
        <v>119</v>
      </c>
      <c r="E329" s="43"/>
      <c r="F329" s="22" t="s">
        <v>4931</v>
      </c>
      <c r="G329" s="22" t="s">
        <v>2663</v>
      </c>
      <c r="H329" s="22" t="s">
        <v>3697</v>
      </c>
      <c r="I329" s="43"/>
      <c r="J329" s="43"/>
      <c r="K329" s="22" t="b">
        <v>1</v>
      </c>
      <c r="L329" s="22" t="b">
        <v>1</v>
      </c>
      <c r="M329" s="22" t="b">
        <v>1</v>
      </c>
      <c r="N329" s="22" t="b">
        <v>1</v>
      </c>
      <c r="O329" s="22" t="b">
        <v>0</v>
      </c>
      <c r="P329" s="22" t="b">
        <v>0</v>
      </c>
      <c r="Q329" s="22" t="b">
        <v>0</v>
      </c>
      <c r="R329" s="43"/>
      <c r="S329" s="43" t="s">
        <v>4932</v>
      </c>
      <c r="T329" s="22" t="s">
        <v>4930</v>
      </c>
      <c r="U329" s="22" t="s">
        <v>4930</v>
      </c>
      <c r="V329" s="22" t="s">
        <v>4930</v>
      </c>
      <c r="W329" s="43"/>
      <c r="X329" s="43"/>
      <c r="Y329" s="43"/>
      <c r="Z329" s="43"/>
      <c r="AA329" s="22">
        <v>1.7898843E7</v>
      </c>
      <c r="AB329" s="22">
        <v>2.91860206E8</v>
      </c>
      <c r="AC329" s="22">
        <v>1.03515413326E11</v>
      </c>
      <c r="AD329" s="22"/>
      <c r="AE329" s="22"/>
      <c r="AF329" s="43"/>
      <c r="AG329" s="43"/>
      <c r="AH329" s="43" t="s">
        <v>4931</v>
      </c>
      <c r="AI329" s="22" t="s">
        <v>4933</v>
      </c>
      <c r="AJ329" s="22" t="s">
        <v>4934</v>
      </c>
      <c r="AK329" s="22" t="s">
        <v>4935</v>
      </c>
      <c r="AL329" s="43"/>
      <c r="AM329" s="43"/>
      <c r="AN329" s="43"/>
      <c r="AO329" s="43"/>
      <c r="AP329" s="46" t="s">
        <v>4936</v>
      </c>
      <c r="AQ329" s="46" t="s">
        <v>4937</v>
      </c>
      <c r="AR329" s="46" t="s">
        <v>4938</v>
      </c>
      <c r="AS329" s="43"/>
      <c r="AT329" s="43"/>
      <c r="AU329" s="43"/>
      <c r="AV329" s="43"/>
      <c r="AW329" s="22" t="s">
        <v>649</v>
      </c>
      <c r="AX329" s="22" t="s">
        <v>4934</v>
      </c>
      <c r="AY329" s="22" t="s">
        <v>372</v>
      </c>
      <c r="AZ329" s="43"/>
      <c r="BA329" s="43"/>
      <c r="BB329" s="43"/>
      <c r="BC329" s="43"/>
      <c r="BD329" s="43" t="s">
        <v>1449</v>
      </c>
      <c r="BE329" s="59" t="s">
        <v>2755</v>
      </c>
      <c r="BF329" s="22" t="s">
        <v>131</v>
      </c>
      <c r="BG329" s="22" t="s">
        <v>132</v>
      </c>
      <c r="BH329" s="22" t="s">
        <v>132</v>
      </c>
      <c r="BI329" s="22" t="s">
        <v>132</v>
      </c>
      <c r="BJ329" s="43"/>
      <c r="BK329" s="43"/>
      <c r="BL329" s="22">
        <v>4.631136905394E12</v>
      </c>
      <c r="BM329" s="22">
        <v>2.103909009E9</v>
      </c>
      <c r="BN329" s="22" t="s">
        <v>4939</v>
      </c>
      <c r="BO329" s="22"/>
      <c r="BP329" s="22" t="s">
        <v>2802</v>
      </c>
      <c r="BQ329" s="43"/>
      <c r="BR329" s="43"/>
      <c r="BS329" s="22" t="s">
        <v>4940</v>
      </c>
      <c r="BT329" s="22"/>
      <c r="BU329" s="22" t="s">
        <v>4941</v>
      </c>
      <c r="BV329" s="22" t="s">
        <v>2777</v>
      </c>
      <c r="BW329" s="22" t="s">
        <v>4942</v>
      </c>
      <c r="BX329" s="22">
        <v>7.0</v>
      </c>
      <c r="BY329" s="22" t="s">
        <v>4337</v>
      </c>
      <c r="BZ329" s="22"/>
      <c r="CA329" s="22" t="s">
        <v>307</v>
      </c>
      <c r="CB329" s="22" t="s">
        <v>307</v>
      </c>
      <c r="CC329" s="45" t="s">
        <v>401</v>
      </c>
      <c r="CD329" s="43"/>
      <c r="CE329" s="43"/>
      <c r="CF329" s="45" t="s">
        <v>401</v>
      </c>
      <c r="CG329" s="43"/>
      <c r="CH329" s="43"/>
      <c r="CI329" s="43"/>
      <c r="CJ329" s="43"/>
      <c r="CK329" s="43"/>
      <c r="CL329" s="43"/>
      <c r="CM329" s="49">
        <f>IFERROR(VLOOKUP(B329,CC!A:D,4,0)," ")</f>
        <v>117.37</v>
      </c>
      <c r="CN329" s="22" t="s">
        <v>2681</v>
      </c>
      <c r="CO329" s="22"/>
      <c r="CP329" s="43"/>
      <c r="CQ329" s="22" t="s">
        <v>401</v>
      </c>
      <c r="CR329" s="43"/>
      <c r="CS329" s="22">
        <v>1.0</v>
      </c>
      <c r="CT329" s="22" t="s">
        <v>145</v>
      </c>
      <c r="CU329" s="43"/>
      <c r="CV329" s="43"/>
      <c r="CW329" s="43"/>
      <c r="CX329" s="43"/>
      <c r="CY329" s="43" t="b">
        <v>0</v>
      </c>
      <c r="CZ329" s="43" t="b">
        <v>0</v>
      </c>
      <c r="DA329" s="43" t="b">
        <v>0</v>
      </c>
      <c r="DB329" s="43" t="b">
        <v>0</v>
      </c>
      <c r="DC329" s="43"/>
      <c r="DD329" s="43"/>
      <c r="DE329" s="43"/>
      <c r="DF329" s="43"/>
      <c r="DG329" s="43"/>
      <c r="DH329" s="43"/>
      <c r="DI329" s="43"/>
      <c r="DJ329" s="22">
        <f>IFERROR(VLOOKUP($B329,'Лист4'!$D:$AI,27,0)," ")</f>
        <v>12</v>
      </c>
      <c r="DK329" s="22">
        <f>IFERROR(VLOOKUP($B329,'Лист4'!$D:$AI,28,0)," ")</f>
        <v>1</v>
      </c>
      <c r="DL329" s="22">
        <f>IFERROR(VLOOKUP($B329,'Лист4'!$D:$AI,29,0)," ")</f>
        <v>12</v>
      </c>
      <c r="DM329" s="22">
        <f t="shared" si="3"/>
        <v>144</v>
      </c>
      <c r="DN329" s="22">
        <f>IFERROR(VLOOKUP($B329,'Лист4'!$D:$AI,32,0)," ")</f>
        <v>0.034</v>
      </c>
      <c r="DO329" s="22"/>
      <c r="DP329" s="22"/>
      <c r="DQ329" s="22"/>
      <c r="DR329" s="22"/>
      <c r="DS329" s="22"/>
      <c r="DT329" s="22"/>
      <c r="DU329" s="22"/>
      <c r="DV329" s="22"/>
      <c r="DW329" s="22"/>
      <c r="DX329" s="22"/>
      <c r="DY329" s="22"/>
      <c r="DZ329" s="22"/>
      <c r="EA329" s="22"/>
      <c r="EB329" s="22"/>
      <c r="EC329" s="22"/>
      <c r="ED329" s="22"/>
      <c r="EE329" s="22"/>
      <c r="EF329" s="22"/>
      <c r="EG329" s="22"/>
      <c r="EH329" s="22"/>
      <c r="EI329" s="22"/>
      <c r="EJ329" s="22"/>
      <c r="EK329" s="22"/>
      <c r="EL329" s="22"/>
      <c r="EM329" s="22"/>
      <c r="EN329" s="22"/>
      <c r="EO329" s="22"/>
      <c r="EP329" s="22"/>
      <c r="EQ329" s="22"/>
      <c r="ER329" s="22"/>
      <c r="ES329" s="43"/>
      <c r="ET329" s="43"/>
      <c r="EU329" s="43"/>
      <c r="EV329" s="43"/>
      <c r="EW329" s="43"/>
      <c r="EX329" s="43"/>
      <c r="EY329" s="43"/>
      <c r="EZ329" s="43"/>
      <c r="FA329" s="43"/>
      <c r="FB329" s="43"/>
      <c r="FC329" s="43"/>
      <c r="FD329" s="43"/>
      <c r="FE329" s="43"/>
      <c r="FF329" s="43"/>
      <c r="FG329" s="43"/>
      <c r="FH329" s="43"/>
      <c r="FI329" s="43"/>
    </row>
    <row r="330" ht="18.0" customHeight="1">
      <c r="A330" s="22" t="s">
        <v>2659</v>
      </c>
      <c r="B330" s="43" t="s">
        <v>4943</v>
      </c>
      <c r="C330" s="22" t="s">
        <v>2661</v>
      </c>
      <c r="D330" s="22" t="s">
        <v>119</v>
      </c>
      <c r="E330" s="43"/>
      <c r="F330" s="22" t="s">
        <v>4944</v>
      </c>
      <c r="G330" s="22" t="s">
        <v>2663</v>
      </c>
      <c r="H330" s="22" t="s">
        <v>2718</v>
      </c>
      <c r="I330" s="43"/>
      <c r="J330" s="43"/>
      <c r="K330" s="22" t="b">
        <v>1</v>
      </c>
      <c r="L330" s="22" t="b">
        <v>1</v>
      </c>
      <c r="M330" s="22" t="b">
        <v>1</v>
      </c>
      <c r="N330" s="22" t="b">
        <v>1</v>
      </c>
      <c r="O330" s="22" t="b">
        <v>0</v>
      </c>
      <c r="P330" s="22" t="b">
        <v>0</v>
      </c>
      <c r="Q330" s="22" t="b">
        <v>0</v>
      </c>
      <c r="R330" s="43"/>
      <c r="S330" s="43" t="s">
        <v>4945</v>
      </c>
      <c r="T330" s="22" t="s">
        <v>4943</v>
      </c>
      <c r="U330" s="22" t="s">
        <v>4943</v>
      </c>
      <c r="V330" s="22" t="s">
        <v>4943</v>
      </c>
      <c r="W330" s="43"/>
      <c r="X330" s="43"/>
      <c r="Y330" s="43"/>
      <c r="Z330" s="43"/>
      <c r="AA330" s="22">
        <v>1.50790885E8</v>
      </c>
      <c r="AB330" s="22">
        <v>8.89458318E8</v>
      </c>
      <c r="AC330" s="22">
        <v>1.03340892602E11</v>
      </c>
      <c r="AD330" s="22"/>
      <c r="AE330" s="22"/>
      <c r="AF330" s="43"/>
      <c r="AG330" s="43"/>
      <c r="AH330" s="43" t="s">
        <v>4944</v>
      </c>
      <c r="AI330" s="22" t="s">
        <v>4646</v>
      </c>
      <c r="AJ330" s="22" t="s">
        <v>4946</v>
      </c>
      <c r="AK330" s="22" t="s">
        <v>4947</v>
      </c>
      <c r="AL330" s="43"/>
      <c r="AM330" s="43"/>
      <c r="AN330" s="43"/>
      <c r="AO330" s="43"/>
      <c r="AP330" s="46" t="s">
        <v>4948</v>
      </c>
      <c r="AQ330" s="46" t="s">
        <v>4949</v>
      </c>
      <c r="AR330" s="46" t="s">
        <v>4950</v>
      </c>
      <c r="AS330" s="43"/>
      <c r="AT330" s="43"/>
      <c r="AU330" s="43"/>
      <c r="AV330" s="43"/>
      <c r="AW330" s="22" t="s">
        <v>4845</v>
      </c>
      <c r="AX330" s="22" t="s">
        <v>4946</v>
      </c>
      <c r="AY330" s="22" t="s">
        <v>2692</v>
      </c>
      <c r="AZ330" s="43"/>
      <c r="BA330" s="43"/>
      <c r="BB330" s="43"/>
      <c r="BC330" s="43"/>
      <c r="BD330" s="43" t="s">
        <v>2993</v>
      </c>
      <c r="BE330" s="59" t="s">
        <v>2755</v>
      </c>
      <c r="BF330" s="22" t="s">
        <v>131</v>
      </c>
      <c r="BG330" s="22" t="s">
        <v>132</v>
      </c>
      <c r="BH330" s="22" t="s">
        <v>132</v>
      </c>
      <c r="BI330" s="22" t="s">
        <v>132</v>
      </c>
      <c r="BJ330" s="43"/>
      <c r="BK330" s="43"/>
      <c r="BL330" s="22">
        <v>4.627144543048E12</v>
      </c>
      <c r="BM330" s="22">
        <v>2.106909809E9</v>
      </c>
      <c r="BN330" s="22" t="s">
        <v>4951</v>
      </c>
      <c r="BO330" s="22"/>
      <c r="BP330" s="22" t="s">
        <v>145</v>
      </c>
      <c r="BQ330" s="43"/>
      <c r="BR330" s="43"/>
      <c r="BS330" s="22" t="s">
        <v>4952</v>
      </c>
      <c r="BT330" s="22"/>
      <c r="BU330" s="22" t="s">
        <v>4953</v>
      </c>
      <c r="BV330" s="22" t="s">
        <v>4954</v>
      </c>
      <c r="BW330" s="22" t="s">
        <v>3709</v>
      </c>
      <c r="BX330" s="22">
        <v>10.0</v>
      </c>
      <c r="BY330" s="22" t="s">
        <v>492</v>
      </c>
      <c r="BZ330" s="22"/>
      <c r="CA330" s="22"/>
      <c r="CB330" s="22"/>
      <c r="CC330" s="45" t="s">
        <v>4955</v>
      </c>
      <c r="CD330" s="43"/>
      <c r="CE330" s="43"/>
      <c r="CF330" s="45"/>
      <c r="CG330" s="43"/>
      <c r="CH330" s="43"/>
      <c r="CI330" s="43"/>
      <c r="CJ330" s="43"/>
      <c r="CK330" s="43"/>
      <c r="CL330" s="43"/>
      <c r="CM330" s="49">
        <f>IFERROR(VLOOKUP(B330,CC!A:D,4,0)," ")</f>
        <v>115.41</v>
      </c>
      <c r="CN330" s="22" t="s">
        <v>2681</v>
      </c>
      <c r="CO330" s="22"/>
      <c r="CP330" s="43"/>
      <c r="CQ330" s="22">
        <v>45.0</v>
      </c>
      <c r="CR330" s="43"/>
      <c r="CS330" s="22">
        <v>1.0</v>
      </c>
      <c r="CT330" s="22" t="s">
        <v>145</v>
      </c>
      <c r="CU330" s="43"/>
      <c r="CV330" s="43"/>
      <c r="CW330" s="43"/>
      <c r="CX330" s="43"/>
      <c r="CY330" s="43" t="b">
        <v>0</v>
      </c>
      <c r="CZ330" s="43" t="b">
        <v>0</v>
      </c>
      <c r="DA330" s="43" t="b">
        <v>0</v>
      </c>
      <c r="DB330" s="43" t="b">
        <v>0</v>
      </c>
      <c r="DC330" s="43"/>
      <c r="DD330" s="43"/>
      <c r="DE330" s="43"/>
      <c r="DF330" s="43"/>
      <c r="DG330" s="43"/>
      <c r="DH330" s="43"/>
      <c r="DI330" s="43"/>
      <c r="DJ330" s="22">
        <f>IFERROR(VLOOKUP($B330,'Лист4'!$D:$AI,27,0)," ")</f>
        <v>10</v>
      </c>
      <c r="DK330" s="22">
        <f>IFERROR(VLOOKUP($B330,'Лист4'!$D:$AI,28,0)," ")</f>
        <v>1</v>
      </c>
      <c r="DL330" s="22">
        <f>IFERROR(VLOOKUP($B330,'Лист4'!$D:$AI,29,0)," ")</f>
        <v>10</v>
      </c>
      <c r="DM330" s="22">
        <f t="shared" si="3"/>
        <v>100</v>
      </c>
      <c r="DN330" s="22">
        <f>IFERROR(VLOOKUP($B330,'Лист4'!$D:$AI,32,0)," ")</f>
        <v>0.015</v>
      </c>
      <c r="DO330" s="22"/>
      <c r="DP330" s="22"/>
      <c r="DQ330" s="22"/>
      <c r="DR330" s="22"/>
      <c r="DS330" s="22"/>
      <c r="DT330" s="22"/>
      <c r="DU330" s="22"/>
      <c r="DV330" s="22"/>
      <c r="DW330" s="22"/>
      <c r="DX330" s="22"/>
      <c r="DY330" s="22"/>
      <c r="DZ330" s="22"/>
      <c r="EA330" s="22"/>
      <c r="EB330" s="22"/>
      <c r="EC330" s="22"/>
      <c r="ED330" s="22"/>
      <c r="EE330" s="22"/>
      <c r="EF330" s="22"/>
      <c r="EG330" s="22"/>
      <c r="EH330" s="22"/>
      <c r="EI330" s="22"/>
      <c r="EJ330" s="22"/>
      <c r="EK330" s="22"/>
      <c r="EL330" s="22"/>
      <c r="EM330" s="22"/>
      <c r="EN330" s="22"/>
      <c r="EO330" s="22"/>
      <c r="EP330" s="22"/>
      <c r="EQ330" s="22"/>
      <c r="ER330" s="22"/>
      <c r="ES330" s="43"/>
      <c r="ET330" s="43"/>
      <c r="EU330" s="43"/>
      <c r="EV330" s="43"/>
      <c r="EW330" s="43"/>
      <c r="EX330" s="43"/>
      <c r="EY330" s="43"/>
      <c r="EZ330" s="43"/>
      <c r="FA330" s="43"/>
      <c r="FB330" s="43"/>
      <c r="FC330" s="43"/>
      <c r="FD330" s="43"/>
      <c r="FE330" s="43"/>
      <c r="FF330" s="43"/>
      <c r="FG330" s="43"/>
      <c r="FH330" s="43"/>
      <c r="FI330" s="43"/>
    </row>
    <row r="331" ht="18.0" customHeight="1">
      <c r="A331" s="22" t="s">
        <v>2659</v>
      </c>
      <c r="B331" s="43" t="s">
        <v>4956</v>
      </c>
      <c r="C331" s="22" t="s">
        <v>2661</v>
      </c>
      <c r="D331" s="22" t="s">
        <v>119</v>
      </c>
      <c r="E331" s="43"/>
      <c r="F331" s="22" t="s">
        <v>4957</v>
      </c>
      <c r="G331" s="22" t="s">
        <v>2663</v>
      </c>
      <c r="H331" s="22" t="s">
        <v>3697</v>
      </c>
      <c r="I331" s="43"/>
      <c r="J331" s="43"/>
      <c r="K331" s="22" t="b">
        <v>1</v>
      </c>
      <c r="L331" s="22" t="b">
        <v>1</v>
      </c>
      <c r="M331" s="22" t="b">
        <v>1</v>
      </c>
      <c r="N331" s="22" t="b">
        <v>1</v>
      </c>
      <c r="O331" s="22" t="b">
        <v>0</v>
      </c>
      <c r="P331" s="22" t="b">
        <v>0</v>
      </c>
      <c r="Q331" s="22" t="b">
        <v>0</v>
      </c>
      <c r="R331" s="43"/>
      <c r="S331" s="43" t="s">
        <v>4958</v>
      </c>
      <c r="T331" s="22" t="s">
        <v>4956</v>
      </c>
      <c r="U331" s="22" t="s">
        <v>4956</v>
      </c>
      <c r="V331" s="22" t="s">
        <v>4956</v>
      </c>
      <c r="W331" s="43"/>
      <c r="X331" s="43"/>
      <c r="Y331" s="43"/>
      <c r="Z331" s="43"/>
      <c r="AA331" s="22">
        <v>4.9570192E7</v>
      </c>
      <c r="AB331" s="22">
        <v>3.99457649E8</v>
      </c>
      <c r="AC331" s="22">
        <v>1.0325787057E11</v>
      </c>
      <c r="AD331" s="22"/>
      <c r="AE331" s="22"/>
      <c r="AF331" s="43"/>
      <c r="AG331" s="43"/>
      <c r="AH331" s="43" t="s">
        <v>4957</v>
      </c>
      <c r="AI331" s="22" t="s">
        <v>4959</v>
      </c>
      <c r="AJ331" s="22" t="s">
        <v>4960</v>
      </c>
      <c r="AK331" s="22" t="s">
        <v>4961</v>
      </c>
      <c r="AL331" s="43"/>
      <c r="AM331" s="43"/>
      <c r="AN331" s="43"/>
      <c r="AO331" s="43"/>
      <c r="AP331" s="46" t="s">
        <v>4962</v>
      </c>
      <c r="AQ331" s="46" t="s">
        <v>4963</v>
      </c>
      <c r="AR331" s="46" t="s">
        <v>4964</v>
      </c>
      <c r="AS331" s="43"/>
      <c r="AT331" s="43"/>
      <c r="AU331" s="43"/>
      <c r="AV331" s="43"/>
      <c r="AW331" s="22" t="s">
        <v>649</v>
      </c>
      <c r="AX331" s="22" t="s">
        <v>4960</v>
      </c>
      <c r="AY331" s="22" t="s">
        <v>372</v>
      </c>
      <c r="AZ331" s="43"/>
      <c r="BA331" s="43"/>
      <c r="BB331" s="43"/>
      <c r="BC331" s="43"/>
      <c r="BD331" s="43" t="s">
        <v>1449</v>
      </c>
      <c r="BE331" s="59" t="s">
        <v>2755</v>
      </c>
      <c r="BF331" s="22" t="s">
        <v>131</v>
      </c>
      <c r="BG331" s="22" t="s">
        <v>132</v>
      </c>
      <c r="BH331" s="22" t="s">
        <v>132</v>
      </c>
      <c r="BI331" s="22" t="s">
        <v>132</v>
      </c>
      <c r="BJ331" s="43"/>
      <c r="BK331" s="43"/>
      <c r="BL331" s="22">
        <v>4.631144115358E12</v>
      </c>
      <c r="BM331" s="22">
        <v>2.103909009E9</v>
      </c>
      <c r="BN331" s="22" t="s">
        <v>3459</v>
      </c>
      <c r="BO331" s="22"/>
      <c r="BP331" s="22" t="s">
        <v>145</v>
      </c>
      <c r="BQ331" s="43"/>
      <c r="BR331" s="43"/>
      <c r="BS331" s="22" t="s">
        <v>4965</v>
      </c>
      <c r="BT331" s="22"/>
      <c r="BU331" s="22" t="s">
        <v>4966</v>
      </c>
      <c r="BV331" s="22" t="s">
        <v>2777</v>
      </c>
      <c r="BW331" s="22" t="s">
        <v>4967</v>
      </c>
      <c r="BX331" s="22">
        <v>7.0</v>
      </c>
      <c r="BY331" s="22" t="s">
        <v>2918</v>
      </c>
      <c r="BZ331" s="22"/>
      <c r="CA331" s="22"/>
      <c r="CB331" s="22"/>
      <c r="CC331" s="45" t="s">
        <v>4968</v>
      </c>
      <c r="CD331" s="43"/>
      <c r="CE331" s="43"/>
      <c r="CF331" s="45"/>
      <c r="CG331" s="43"/>
      <c r="CH331" s="43"/>
      <c r="CI331" s="43"/>
      <c r="CJ331" s="43"/>
      <c r="CK331" s="43"/>
      <c r="CL331" s="43"/>
      <c r="CM331" s="49">
        <f>IFERROR(VLOOKUP(B331,CC!A:D,4,0)," ")</f>
        <v>125.28</v>
      </c>
      <c r="CN331" s="22" t="s">
        <v>2873</v>
      </c>
      <c r="CO331" s="22"/>
      <c r="CP331" s="43"/>
      <c r="CQ331" s="22">
        <v>45.0</v>
      </c>
      <c r="CR331" s="43"/>
      <c r="CS331" s="22">
        <v>1.0</v>
      </c>
      <c r="CT331" s="22" t="s">
        <v>145</v>
      </c>
      <c r="CU331" s="43"/>
      <c r="CV331" s="43"/>
      <c r="CW331" s="43"/>
      <c r="CX331" s="43"/>
      <c r="CY331" s="43" t="b">
        <v>0</v>
      </c>
      <c r="CZ331" s="43" t="b">
        <v>0</v>
      </c>
      <c r="DA331" s="43" t="b">
        <v>0</v>
      </c>
      <c r="DB331" s="43" t="b">
        <v>0</v>
      </c>
      <c r="DC331" s="43"/>
      <c r="DD331" s="43"/>
      <c r="DE331" s="43"/>
      <c r="DF331" s="43"/>
      <c r="DG331" s="43"/>
      <c r="DH331" s="43"/>
      <c r="DI331" s="43"/>
      <c r="DJ331" s="22">
        <f>IFERROR(VLOOKUP($B331,'Лист4'!$D:$AI,27,0)," ")</f>
        <v>13</v>
      </c>
      <c r="DK331" s="22">
        <f>IFERROR(VLOOKUP($B331,'Лист4'!$D:$AI,28,0)," ")</f>
        <v>5</v>
      </c>
      <c r="DL331" s="22">
        <f>IFERROR(VLOOKUP($B331,'Лист4'!$D:$AI,29,0)," ")</f>
        <v>13</v>
      </c>
      <c r="DM331" s="22">
        <f t="shared" si="3"/>
        <v>845</v>
      </c>
      <c r="DN331" s="22">
        <f>IFERROR(VLOOKUP($B331,'Лист4'!$D:$AI,32,0)," ")</f>
        <v>0.046</v>
      </c>
      <c r="DO331" s="22"/>
      <c r="DP331" s="22"/>
      <c r="DQ331" s="22"/>
      <c r="DR331" s="22"/>
      <c r="DS331" s="22"/>
      <c r="DT331" s="22"/>
      <c r="DU331" s="22"/>
      <c r="DV331" s="22"/>
      <c r="DW331" s="22"/>
      <c r="DX331" s="22"/>
      <c r="DY331" s="22"/>
      <c r="DZ331" s="22"/>
      <c r="EA331" s="22"/>
      <c r="EB331" s="22"/>
      <c r="EC331" s="22"/>
      <c r="ED331" s="22"/>
      <c r="EE331" s="22"/>
      <c r="EF331" s="22"/>
      <c r="EG331" s="22"/>
      <c r="EH331" s="22"/>
      <c r="EI331" s="22"/>
      <c r="EJ331" s="22"/>
      <c r="EK331" s="22"/>
      <c r="EL331" s="22"/>
      <c r="EM331" s="22"/>
      <c r="EN331" s="22"/>
      <c r="EO331" s="22"/>
      <c r="EP331" s="22"/>
      <c r="EQ331" s="22"/>
      <c r="ER331" s="22"/>
      <c r="ES331" s="43"/>
      <c r="ET331" s="43"/>
      <c r="EU331" s="43"/>
      <c r="EV331" s="43"/>
      <c r="EW331" s="43"/>
      <c r="EX331" s="43"/>
      <c r="EY331" s="43"/>
      <c r="EZ331" s="43"/>
      <c r="FA331" s="43"/>
      <c r="FB331" s="43"/>
      <c r="FC331" s="43"/>
      <c r="FD331" s="43"/>
      <c r="FE331" s="43"/>
      <c r="FF331" s="43"/>
      <c r="FG331" s="43"/>
      <c r="FH331" s="43"/>
      <c r="FI331" s="43"/>
    </row>
    <row r="332" ht="18.0" customHeight="1">
      <c r="A332" s="22" t="s">
        <v>2659</v>
      </c>
      <c r="B332" s="43" t="s">
        <v>4969</v>
      </c>
      <c r="C332" s="22" t="s">
        <v>2661</v>
      </c>
      <c r="D332" s="22" t="s">
        <v>119</v>
      </c>
      <c r="E332" s="43"/>
      <c r="F332" s="22" t="s">
        <v>4970</v>
      </c>
      <c r="G332" s="22" t="s">
        <v>2663</v>
      </c>
      <c r="H332" s="22" t="s">
        <v>2664</v>
      </c>
      <c r="I332" s="43"/>
      <c r="J332" s="43"/>
      <c r="K332" s="22" t="b">
        <v>1</v>
      </c>
      <c r="L332" s="22" t="b">
        <v>1</v>
      </c>
      <c r="M332" s="22" t="b">
        <v>1</v>
      </c>
      <c r="N332" s="22" t="b">
        <v>1</v>
      </c>
      <c r="O332" s="22" t="b">
        <v>0</v>
      </c>
      <c r="P332" s="22" t="b">
        <v>0</v>
      </c>
      <c r="Q332" s="22" t="b">
        <v>0</v>
      </c>
      <c r="R332" s="43"/>
      <c r="S332" s="43" t="s">
        <v>4971</v>
      </c>
      <c r="T332" s="22" t="s">
        <v>4969</v>
      </c>
      <c r="U332" s="22" t="s">
        <v>4969</v>
      </c>
      <c r="V332" s="22" t="s">
        <v>4969</v>
      </c>
      <c r="W332" s="43"/>
      <c r="X332" s="43"/>
      <c r="Y332" s="43"/>
      <c r="Z332" s="43"/>
      <c r="AA332" s="22">
        <v>1.86784742E8</v>
      </c>
      <c r="AB332" s="22">
        <v>1.271273685E9</v>
      </c>
      <c r="AC332" s="22">
        <v>1.02662269728E11</v>
      </c>
      <c r="AD332" s="22"/>
      <c r="AE332" s="22"/>
      <c r="AF332" s="43"/>
      <c r="AG332" s="43"/>
      <c r="AH332" s="43" t="s">
        <v>4970</v>
      </c>
      <c r="AI332" s="22" t="s">
        <v>4972</v>
      </c>
      <c r="AJ332" s="22" t="s">
        <v>4973</v>
      </c>
      <c r="AK332" s="22" t="s">
        <v>4974</v>
      </c>
      <c r="AL332" s="43"/>
      <c r="AM332" s="43"/>
      <c r="AN332" s="43"/>
      <c r="AO332" s="43"/>
      <c r="AP332" s="46" t="s">
        <v>4975</v>
      </c>
      <c r="AQ332" s="46" t="s">
        <v>4976</v>
      </c>
      <c r="AR332" s="46" t="s">
        <v>4977</v>
      </c>
      <c r="AS332" s="43"/>
      <c r="AT332" s="43"/>
      <c r="AU332" s="43"/>
      <c r="AV332" s="43"/>
      <c r="AW332" s="22" t="s">
        <v>594</v>
      </c>
      <c r="AX332" s="22" t="s">
        <v>4973</v>
      </c>
      <c r="AY332" s="22" t="s">
        <v>3123</v>
      </c>
      <c r="AZ332" s="43"/>
      <c r="BA332" s="43"/>
      <c r="BB332" s="43"/>
      <c r="BC332" s="43"/>
      <c r="BD332" s="43" t="s">
        <v>2673</v>
      </c>
      <c r="BE332" s="59" t="s">
        <v>2755</v>
      </c>
      <c r="BF332" s="22" t="s">
        <v>131</v>
      </c>
      <c r="BG332" s="22" t="s">
        <v>132</v>
      </c>
      <c r="BH332" s="22" t="s">
        <v>132</v>
      </c>
      <c r="BI332" s="22" t="s">
        <v>132</v>
      </c>
      <c r="BJ332" s="43"/>
      <c r="BK332" s="43"/>
      <c r="BL332" s="22" t="s">
        <v>4978</v>
      </c>
      <c r="BM332" s="22">
        <v>3.30499E9</v>
      </c>
      <c r="BN332" s="22" t="s">
        <v>3950</v>
      </c>
      <c r="BO332" s="22"/>
      <c r="BP332" s="22" t="s">
        <v>496</v>
      </c>
      <c r="BQ332" s="43"/>
      <c r="BR332" s="43"/>
      <c r="BS332" s="22" t="s">
        <v>3951</v>
      </c>
      <c r="BT332" s="22"/>
      <c r="BU332" s="22" t="s">
        <v>3609</v>
      </c>
      <c r="BV332" s="22" t="s">
        <v>2777</v>
      </c>
      <c r="BW332" s="22" t="s">
        <v>2778</v>
      </c>
      <c r="BX332" s="22">
        <v>30.0</v>
      </c>
      <c r="BY332" s="22" t="s">
        <v>139</v>
      </c>
      <c r="BZ332" s="22"/>
      <c r="CA332" s="22"/>
      <c r="CB332" s="22"/>
      <c r="CC332" s="45" t="s">
        <v>4979</v>
      </c>
      <c r="CD332" s="43"/>
      <c r="CE332" s="43"/>
      <c r="CF332" s="45"/>
      <c r="CG332" s="43"/>
      <c r="CH332" s="43"/>
      <c r="CI332" s="43"/>
      <c r="CJ332" s="43"/>
      <c r="CK332" s="43"/>
      <c r="CL332" s="43"/>
      <c r="CM332" s="49">
        <f>IFERROR(VLOOKUP(B332,CC!A:D,4,0)," ")</f>
        <v>179.33</v>
      </c>
      <c r="CN332" s="22" t="s">
        <v>594</v>
      </c>
      <c r="CO332" s="22"/>
      <c r="CP332" s="43"/>
      <c r="CQ332" s="22">
        <v>45.0</v>
      </c>
      <c r="CR332" s="43"/>
      <c r="CS332" s="43"/>
      <c r="CT332" s="22" t="s">
        <v>145</v>
      </c>
      <c r="CU332" s="43"/>
      <c r="CV332" s="43"/>
      <c r="CW332" s="43"/>
      <c r="CX332" s="43"/>
      <c r="CY332" s="43" t="b">
        <v>0</v>
      </c>
      <c r="CZ332" s="43" t="b">
        <v>0</v>
      </c>
      <c r="DA332" s="43" t="b">
        <v>0</v>
      </c>
      <c r="DB332" s="43" t="b">
        <v>0</v>
      </c>
      <c r="DC332" s="43"/>
      <c r="DD332" s="43"/>
      <c r="DE332" s="43"/>
      <c r="DF332" s="43"/>
      <c r="DG332" s="43"/>
      <c r="DH332" s="43"/>
      <c r="DI332" s="43"/>
      <c r="DJ332" s="22">
        <f>IFERROR(VLOOKUP($B332,'Лист4'!$D:$AI,27,0)," ")</f>
        <v>4</v>
      </c>
      <c r="DK332" s="22">
        <f>IFERROR(VLOOKUP($B332,'Лист4'!$D:$AI,28,0)," ")</f>
        <v>5</v>
      </c>
      <c r="DL332" s="22">
        <f>IFERROR(VLOOKUP($B332,'Лист4'!$D:$AI,29,0)," ")</f>
        <v>4</v>
      </c>
      <c r="DM332" s="22">
        <f t="shared" si="3"/>
        <v>80</v>
      </c>
      <c r="DN332" s="22">
        <f>IFERROR(VLOOKUP($B332,'Лист4'!$D:$AI,32,0)," ")</f>
        <v>0.08</v>
      </c>
      <c r="DO332" s="22"/>
      <c r="DP332" s="22"/>
      <c r="DQ332" s="22"/>
      <c r="DR332" s="22"/>
      <c r="DS332" s="22"/>
      <c r="DT332" s="22"/>
      <c r="DU332" s="22"/>
      <c r="DV332" s="22"/>
      <c r="DW332" s="22"/>
      <c r="DX332" s="22"/>
      <c r="DY332" s="22"/>
      <c r="DZ332" s="22"/>
      <c r="EA332" s="22"/>
      <c r="EB332" s="22"/>
      <c r="EC332" s="22"/>
      <c r="ED332" s="22"/>
      <c r="EE332" s="22"/>
      <c r="EF332" s="22"/>
      <c r="EG332" s="22"/>
      <c r="EH332" s="22"/>
      <c r="EI332" s="22"/>
      <c r="EJ332" s="22"/>
      <c r="EK332" s="22"/>
      <c r="EL332" s="22"/>
      <c r="EM332" s="22"/>
      <c r="EN332" s="22"/>
      <c r="EO332" s="22"/>
      <c r="EP332" s="22"/>
      <c r="EQ332" s="22"/>
      <c r="ER332" s="22"/>
      <c r="ES332" s="43"/>
      <c r="ET332" s="43"/>
      <c r="EU332" s="43"/>
      <c r="EV332" s="43"/>
      <c r="EW332" s="43"/>
      <c r="EX332" s="43"/>
      <c r="EY332" s="43"/>
      <c r="EZ332" s="43"/>
      <c r="FA332" s="43"/>
      <c r="FB332" s="43"/>
      <c r="FC332" s="43"/>
      <c r="FD332" s="43"/>
      <c r="FE332" s="43"/>
      <c r="FF332" s="43"/>
      <c r="FG332" s="43"/>
      <c r="FH332" s="43"/>
      <c r="FI332" s="43"/>
    </row>
    <row r="333" ht="18.0" customHeight="1">
      <c r="A333" s="22" t="s">
        <v>2659</v>
      </c>
      <c r="B333" s="43" t="s">
        <v>4980</v>
      </c>
      <c r="C333" s="22" t="s">
        <v>2661</v>
      </c>
      <c r="D333" s="22" t="s">
        <v>119</v>
      </c>
      <c r="E333" s="43"/>
      <c r="F333" s="22" t="s">
        <v>4439</v>
      </c>
      <c r="G333" s="22" t="s">
        <v>2663</v>
      </c>
      <c r="H333" s="22" t="s">
        <v>2684</v>
      </c>
      <c r="I333" s="43"/>
      <c r="J333" s="43"/>
      <c r="K333" s="22" t="b">
        <v>1</v>
      </c>
      <c r="L333" s="22" t="b">
        <v>1</v>
      </c>
      <c r="M333" s="22" t="b">
        <v>1</v>
      </c>
      <c r="N333" s="22" t="b">
        <v>0</v>
      </c>
      <c r="O333" s="22" t="b">
        <v>0</v>
      </c>
      <c r="P333" s="22" t="b">
        <v>0</v>
      </c>
      <c r="Q333" s="22" t="b">
        <v>0</v>
      </c>
      <c r="R333" s="43"/>
      <c r="S333" s="43" t="s">
        <v>4981</v>
      </c>
      <c r="T333" s="22" t="s">
        <v>4980</v>
      </c>
      <c r="U333" s="22" t="s">
        <v>4980</v>
      </c>
      <c r="V333" s="22"/>
      <c r="W333" s="43"/>
      <c r="X333" s="43"/>
      <c r="Y333" s="43"/>
      <c r="Z333" s="43"/>
      <c r="AA333" s="22">
        <v>3.429865E7</v>
      </c>
      <c r="AB333" s="22">
        <v>2.96818197E8</v>
      </c>
      <c r="AC333" s="22"/>
      <c r="AD333" s="22"/>
      <c r="AE333" s="22"/>
      <c r="AF333" s="43"/>
      <c r="AG333" s="43"/>
      <c r="AH333" s="43" t="s">
        <v>4439</v>
      </c>
      <c r="AI333" s="22" t="s">
        <v>4982</v>
      </c>
      <c r="AJ333" s="22" t="s">
        <v>4983</v>
      </c>
      <c r="AK333" s="43"/>
      <c r="AL333" s="43"/>
      <c r="AM333" s="43"/>
      <c r="AN333" s="43"/>
      <c r="AO333" s="43"/>
      <c r="AP333" s="46" t="s">
        <v>4984</v>
      </c>
      <c r="AQ333" s="46" t="s">
        <v>4985</v>
      </c>
      <c r="AR333" s="43"/>
      <c r="AS333" s="43"/>
      <c r="AT333" s="43"/>
      <c r="AU333" s="43"/>
      <c r="AV333" s="43"/>
      <c r="AW333" s="22" t="s">
        <v>4667</v>
      </c>
      <c r="AX333" s="22" t="s">
        <v>4983</v>
      </c>
      <c r="AY333" s="43"/>
      <c r="AZ333" s="43"/>
      <c r="BA333" s="43"/>
      <c r="BB333" s="43"/>
      <c r="BC333" s="43"/>
      <c r="BD333" s="43" t="s">
        <v>301</v>
      </c>
      <c r="BE333" s="59" t="s">
        <v>2755</v>
      </c>
      <c r="BF333" s="22" t="s">
        <v>131</v>
      </c>
      <c r="BG333" s="22" t="s">
        <v>132</v>
      </c>
      <c r="BH333" s="22" t="s">
        <v>132</v>
      </c>
      <c r="BI333" s="22" t="s">
        <v>132</v>
      </c>
      <c r="BJ333" s="43"/>
      <c r="BK333" s="43"/>
      <c r="BL333" s="22">
        <v>4.631155494015E12</v>
      </c>
      <c r="BM333" s="22">
        <v>2.106909809E9</v>
      </c>
      <c r="BN333" s="22" t="s">
        <v>4447</v>
      </c>
      <c r="BO333" s="22"/>
      <c r="BP333" s="22" t="s">
        <v>145</v>
      </c>
      <c r="BQ333" s="43"/>
      <c r="BR333" s="43"/>
      <c r="BS333" s="22" t="s">
        <v>4986</v>
      </c>
      <c r="BT333" s="22"/>
      <c r="BU333" s="22" t="s">
        <v>4987</v>
      </c>
      <c r="BV333" s="22" t="s">
        <v>2777</v>
      </c>
      <c r="BW333" s="22" t="s">
        <v>4988</v>
      </c>
      <c r="BX333" s="22">
        <v>20.0</v>
      </c>
      <c r="BY333" s="22" t="s">
        <v>492</v>
      </c>
      <c r="BZ333" s="22"/>
      <c r="CA333" s="22" t="s">
        <v>3960</v>
      </c>
      <c r="CB333" s="22" t="s">
        <v>307</v>
      </c>
      <c r="CC333" s="45" t="s">
        <v>4989</v>
      </c>
      <c r="CD333" s="43"/>
      <c r="CE333" s="43"/>
      <c r="CF333" s="45"/>
      <c r="CG333" s="43"/>
      <c r="CH333" s="43"/>
      <c r="CI333" s="43"/>
      <c r="CJ333" s="43"/>
      <c r="CK333" s="43"/>
      <c r="CL333" s="43"/>
      <c r="CM333" s="49">
        <f>IFERROR(VLOOKUP(B333,CC!A:D,4,0)," ")</f>
        <v>100</v>
      </c>
      <c r="CN333" s="22" t="s">
        <v>4452</v>
      </c>
      <c r="CO333" s="22"/>
      <c r="CP333" s="43"/>
      <c r="CQ333" s="22" t="s">
        <v>401</v>
      </c>
      <c r="CR333" s="43"/>
      <c r="CS333" s="43"/>
      <c r="CT333" s="22" t="s">
        <v>145</v>
      </c>
      <c r="CU333" s="43"/>
      <c r="CV333" s="43"/>
      <c r="CW333" s="43"/>
      <c r="CX333" s="43"/>
      <c r="CY333" s="43" t="b">
        <v>0</v>
      </c>
      <c r="CZ333" s="43" t="b">
        <v>0</v>
      </c>
      <c r="DA333" s="43" t="b">
        <v>0</v>
      </c>
      <c r="DB333" s="43" t="b">
        <v>0</v>
      </c>
      <c r="DC333" s="43"/>
      <c r="DD333" s="43"/>
      <c r="DE333" s="43"/>
      <c r="DF333" s="43"/>
      <c r="DG333" s="43"/>
      <c r="DH333" s="43"/>
      <c r="DI333" s="43"/>
      <c r="DJ333" s="22">
        <f>IFERROR(VLOOKUP($B333,'Лист4'!$D:$AI,27,0)," ")</f>
        <v>11</v>
      </c>
      <c r="DK333" s="22">
        <f>IFERROR(VLOOKUP($B333,'Лист4'!$D:$AI,28,0)," ")</f>
        <v>3</v>
      </c>
      <c r="DL333" s="22">
        <f>IFERROR(VLOOKUP($B333,'Лист4'!$D:$AI,29,0)," ")</f>
        <v>11</v>
      </c>
      <c r="DM333" s="22">
        <f t="shared" si="3"/>
        <v>363</v>
      </c>
      <c r="DN333" s="22">
        <f>IFERROR(VLOOKUP($B333,'Лист4'!$D:$AI,32,0)," ")</f>
        <v>0.02</v>
      </c>
      <c r="DO333" s="22"/>
      <c r="DP333" s="22"/>
      <c r="DQ333" s="22"/>
      <c r="DR333" s="22"/>
      <c r="DS333" s="22"/>
      <c r="DT333" s="22"/>
      <c r="DU333" s="22"/>
      <c r="DV333" s="22"/>
      <c r="DW333" s="22"/>
      <c r="DX333" s="22"/>
      <c r="DY333" s="22"/>
      <c r="DZ333" s="22"/>
      <c r="EA333" s="22"/>
      <c r="EB333" s="22"/>
      <c r="EC333" s="22"/>
      <c r="ED333" s="22"/>
      <c r="EE333" s="22"/>
      <c r="EF333" s="22"/>
      <c r="EG333" s="22"/>
      <c r="EH333" s="22"/>
      <c r="EI333" s="22"/>
      <c r="EJ333" s="22"/>
      <c r="EK333" s="22"/>
      <c r="EL333" s="22"/>
      <c r="EM333" s="22"/>
      <c r="EN333" s="22"/>
      <c r="EO333" s="22"/>
      <c r="EP333" s="22"/>
      <c r="EQ333" s="22"/>
      <c r="ER333" s="22"/>
      <c r="ES333" s="43"/>
      <c r="ET333" s="43"/>
      <c r="EU333" s="43"/>
      <c r="EV333" s="43"/>
      <c r="EW333" s="43"/>
      <c r="EX333" s="43"/>
      <c r="EY333" s="43"/>
      <c r="EZ333" s="43"/>
      <c r="FA333" s="43"/>
      <c r="FB333" s="43"/>
      <c r="FC333" s="43"/>
      <c r="FD333" s="43"/>
      <c r="FE333" s="43"/>
      <c r="FF333" s="43"/>
      <c r="FG333" s="43"/>
      <c r="FH333" s="43"/>
      <c r="FI333" s="43"/>
    </row>
    <row r="334" ht="18.0" customHeight="1">
      <c r="A334" s="22" t="s">
        <v>2659</v>
      </c>
      <c r="B334" s="43" t="s">
        <v>4990</v>
      </c>
      <c r="C334" s="22" t="s">
        <v>2661</v>
      </c>
      <c r="D334" s="22" t="s">
        <v>119</v>
      </c>
      <c r="E334" s="43"/>
      <c r="F334" s="22" t="s">
        <v>4991</v>
      </c>
      <c r="G334" s="22" t="s">
        <v>2663</v>
      </c>
      <c r="H334" s="22" t="s">
        <v>3437</v>
      </c>
      <c r="I334" s="43"/>
      <c r="J334" s="43"/>
      <c r="K334" s="22" t="b">
        <v>1</v>
      </c>
      <c r="L334" s="22" t="b">
        <v>1</v>
      </c>
      <c r="M334" s="22" t="b">
        <v>1</v>
      </c>
      <c r="N334" s="22" t="b">
        <v>1</v>
      </c>
      <c r="O334" s="22" t="b">
        <v>0</v>
      </c>
      <c r="P334" s="22" t="b">
        <v>0</v>
      </c>
      <c r="Q334" s="22" t="b">
        <v>0</v>
      </c>
      <c r="R334" s="43"/>
      <c r="S334" s="43" t="s">
        <v>4992</v>
      </c>
      <c r="T334" s="22" t="s">
        <v>4990</v>
      </c>
      <c r="U334" s="22" t="s">
        <v>4990</v>
      </c>
      <c r="V334" s="22" t="s">
        <v>4990</v>
      </c>
      <c r="W334" s="43"/>
      <c r="X334" s="43"/>
      <c r="Y334" s="43"/>
      <c r="Z334" s="43"/>
      <c r="AA334" s="22">
        <v>1.97567632E8</v>
      </c>
      <c r="AB334" s="22">
        <v>1.350973968E9</v>
      </c>
      <c r="AC334" s="22">
        <v>1.02622361536E11</v>
      </c>
      <c r="AD334" s="22"/>
      <c r="AE334" s="22"/>
      <c r="AF334" s="43"/>
      <c r="AG334" s="43"/>
      <c r="AH334" s="43" t="s">
        <v>4991</v>
      </c>
      <c r="AI334" s="22" t="s">
        <v>4993</v>
      </c>
      <c r="AJ334" s="22" t="s">
        <v>4994</v>
      </c>
      <c r="AK334" s="22" t="s">
        <v>4995</v>
      </c>
      <c r="AL334" s="43"/>
      <c r="AM334" s="43"/>
      <c r="AN334" s="43"/>
      <c r="AO334" s="43"/>
      <c r="AP334" s="46" t="s">
        <v>4996</v>
      </c>
      <c r="AQ334" s="46" t="s">
        <v>4997</v>
      </c>
      <c r="AR334" s="46" t="s">
        <v>4998</v>
      </c>
      <c r="AS334" s="43"/>
      <c r="AT334" s="43"/>
      <c r="AU334" s="43"/>
      <c r="AV334" s="43"/>
      <c r="AW334" s="22" t="s">
        <v>3445</v>
      </c>
      <c r="AX334" s="22" t="s">
        <v>4994</v>
      </c>
      <c r="AY334" s="22" t="s">
        <v>2672</v>
      </c>
      <c r="AZ334" s="43"/>
      <c r="BA334" s="43"/>
      <c r="BB334" s="43"/>
      <c r="BC334" s="43"/>
      <c r="BD334" s="43" t="s">
        <v>301</v>
      </c>
      <c r="BE334" s="59" t="s">
        <v>2755</v>
      </c>
      <c r="BF334" s="22" t="s">
        <v>131</v>
      </c>
      <c r="BG334" s="22" t="s">
        <v>132</v>
      </c>
      <c r="BH334" s="22" t="s">
        <v>132</v>
      </c>
      <c r="BI334" s="22" t="s">
        <v>132</v>
      </c>
      <c r="BJ334" s="43"/>
      <c r="BK334" s="43"/>
      <c r="BL334" s="22">
        <v>4.670142965268E12</v>
      </c>
      <c r="BM334" s="22">
        <v>3.30499E9</v>
      </c>
      <c r="BN334" s="22" t="s">
        <v>4999</v>
      </c>
      <c r="BO334" s="22"/>
      <c r="BP334" s="22" t="s">
        <v>496</v>
      </c>
      <c r="BQ334" s="43"/>
      <c r="BR334" s="43"/>
      <c r="BS334" s="22" t="s">
        <v>4322</v>
      </c>
      <c r="BT334" s="22"/>
      <c r="BU334" s="22" t="s">
        <v>4323</v>
      </c>
      <c r="BV334" s="22" t="s">
        <v>2777</v>
      </c>
      <c r="BW334" s="22" t="s">
        <v>4324</v>
      </c>
      <c r="BX334" s="22">
        <v>100.0</v>
      </c>
      <c r="BY334" s="22" t="s">
        <v>139</v>
      </c>
      <c r="BZ334" s="22"/>
      <c r="CA334" s="22"/>
      <c r="CB334" s="22"/>
      <c r="CC334" s="45"/>
      <c r="CD334" s="43"/>
      <c r="CE334" s="43"/>
      <c r="CF334" s="45"/>
      <c r="CG334" s="43"/>
      <c r="CH334" s="43"/>
      <c r="CI334" s="43"/>
      <c r="CJ334" s="43"/>
      <c r="CK334" s="43"/>
      <c r="CL334" s="43"/>
      <c r="CM334" s="49">
        <f>IFERROR(VLOOKUP(B334,CC!A:D,4,0)," ")</f>
        <v>125</v>
      </c>
      <c r="CN334" s="22" t="s">
        <v>2681</v>
      </c>
      <c r="CO334" s="22"/>
      <c r="CP334" s="22" t="s">
        <v>3819</v>
      </c>
      <c r="CQ334" s="22">
        <v>60.0</v>
      </c>
      <c r="CR334" s="43"/>
      <c r="CS334" s="22">
        <v>1.0</v>
      </c>
      <c r="CT334" s="22" t="s">
        <v>145</v>
      </c>
      <c r="CU334" s="43"/>
      <c r="CV334" s="43"/>
      <c r="CW334" s="43"/>
      <c r="CX334" s="43"/>
      <c r="CY334" s="43" t="b">
        <v>0</v>
      </c>
      <c r="CZ334" s="43" t="b">
        <v>0</v>
      </c>
      <c r="DA334" s="43" t="b">
        <v>0</v>
      </c>
      <c r="DB334" s="43" t="b">
        <v>0</v>
      </c>
      <c r="DC334" s="43"/>
      <c r="DD334" s="43"/>
      <c r="DE334" s="43"/>
      <c r="DF334" s="43"/>
      <c r="DG334" s="43"/>
      <c r="DH334" s="43"/>
      <c r="DI334" s="43"/>
      <c r="DJ334" s="22">
        <f>IFERROR(VLOOKUP($B334,'Лист4'!$D:$AI,27,0)," ")</f>
        <v>1</v>
      </c>
      <c r="DK334" s="22">
        <f>IFERROR(VLOOKUP($B334,'Лист4'!$D:$AI,28,0)," ")</f>
        <v>6</v>
      </c>
      <c r="DL334" s="22">
        <f>IFERROR(VLOOKUP($B334,'Лист4'!$D:$AI,29,0)," ")</f>
        <v>1</v>
      </c>
      <c r="DM334" s="22">
        <f t="shared" si="3"/>
        <v>6</v>
      </c>
      <c r="DN334" s="22">
        <f>IFERROR(VLOOKUP($B334,'Лист4'!$D:$AI,32,0)," ")</f>
        <v>0.1</v>
      </c>
      <c r="DO334" s="22"/>
      <c r="DP334" s="22"/>
      <c r="DQ334" s="22"/>
      <c r="DR334" s="22"/>
      <c r="DS334" s="22"/>
      <c r="DT334" s="22"/>
      <c r="DU334" s="22"/>
      <c r="DV334" s="22"/>
      <c r="DW334" s="22"/>
      <c r="DX334" s="22"/>
      <c r="DY334" s="22"/>
      <c r="DZ334" s="22"/>
      <c r="EA334" s="22"/>
      <c r="EB334" s="22"/>
      <c r="EC334" s="22"/>
      <c r="ED334" s="22"/>
      <c r="EE334" s="22"/>
      <c r="EF334" s="22"/>
      <c r="EG334" s="22"/>
      <c r="EH334" s="22"/>
      <c r="EI334" s="22"/>
      <c r="EJ334" s="22"/>
      <c r="EK334" s="22"/>
      <c r="EL334" s="22"/>
      <c r="EM334" s="22"/>
      <c r="EN334" s="22"/>
      <c r="EO334" s="22"/>
      <c r="EP334" s="22"/>
      <c r="EQ334" s="22"/>
      <c r="ER334" s="22"/>
      <c r="ES334" s="43"/>
      <c r="ET334" s="43"/>
      <c r="EU334" s="43"/>
      <c r="EV334" s="43"/>
      <c r="EW334" s="43"/>
      <c r="EX334" s="43"/>
      <c r="EY334" s="43"/>
      <c r="EZ334" s="43"/>
      <c r="FA334" s="43"/>
      <c r="FB334" s="43"/>
      <c r="FC334" s="43"/>
      <c r="FD334" s="43"/>
      <c r="FE334" s="43"/>
      <c r="FF334" s="43"/>
      <c r="FG334" s="43"/>
      <c r="FH334" s="43"/>
      <c r="FI334" s="43"/>
    </row>
    <row r="335" ht="18.0" customHeight="1">
      <c r="A335" s="22" t="s">
        <v>2659</v>
      </c>
      <c r="B335" s="43" t="s">
        <v>5000</v>
      </c>
      <c r="C335" s="22" t="s">
        <v>2661</v>
      </c>
      <c r="D335" s="22" t="s">
        <v>119</v>
      </c>
      <c r="E335" s="43"/>
      <c r="F335" s="22" t="s">
        <v>5001</v>
      </c>
      <c r="G335" s="22" t="s">
        <v>2663</v>
      </c>
      <c r="H335" s="22" t="s">
        <v>2664</v>
      </c>
      <c r="I335" s="43"/>
      <c r="J335" s="43"/>
      <c r="K335" s="22" t="b">
        <v>1</v>
      </c>
      <c r="L335" s="22" t="b">
        <v>1</v>
      </c>
      <c r="M335" s="22" t="b">
        <v>1</v>
      </c>
      <c r="N335" s="22" t="b">
        <v>1</v>
      </c>
      <c r="O335" s="22" t="b">
        <v>0</v>
      </c>
      <c r="P335" s="22" t="b">
        <v>0</v>
      </c>
      <c r="Q335" s="22" t="b">
        <v>0</v>
      </c>
      <c r="R335" s="43"/>
      <c r="S335" s="43" t="s">
        <v>5002</v>
      </c>
      <c r="T335" s="22" t="s">
        <v>5000</v>
      </c>
      <c r="U335" s="22" t="s">
        <v>5000</v>
      </c>
      <c r="V335" s="22" t="s">
        <v>5000</v>
      </c>
      <c r="W335" s="43"/>
      <c r="X335" s="43"/>
      <c r="Y335" s="43"/>
      <c r="Z335" s="43"/>
      <c r="AA335" s="22">
        <v>3.18414683E8</v>
      </c>
      <c r="AB335" s="22">
        <v>1.851902167E9</v>
      </c>
      <c r="AC335" s="22">
        <v>1.03816798171E11</v>
      </c>
      <c r="AD335" s="22"/>
      <c r="AE335" s="22"/>
      <c r="AF335" s="43"/>
      <c r="AG335" s="43"/>
      <c r="AH335" s="43" t="s">
        <v>5001</v>
      </c>
      <c r="AI335" s="22" t="s">
        <v>3874</v>
      </c>
      <c r="AJ335" s="22" t="s">
        <v>5003</v>
      </c>
      <c r="AK335" s="22" t="s">
        <v>5004</v>
      </c>
      <c r="AL335" s="43"/>
      <c r="AM335" s="43"/>
      <c r="AN335" s="43"/>
      <c r="AO335" s="43"/>
      <c r="AP335" s="46" t="s">
        <v>5005</v>
      </c>
      <c r="AQ335" s="46" t="s">
        <v>5006</v>
      </c>
      <c r="AR335" s="46" t="s">
        <v>5007</v>
      </c>
      <c r="AS335" s="43"/>
      <c r="AT335" s="43"/>
      <c r="AU335" s="43"/>
      <c r="AV335" s="43"/>
      <c r="AW335" s="22" t="s">
        <v>594</v>
      </c>
      <c r="AX335" s="22" t="s">
        <v>5003</v>
      </c>
      <c r="AY335" s="22" t="s">
        <v>2672</v>
      </c>
      <c r="AZ335" s="43"/>
      <c r="BA335" s="43"/>
      <c r="BB335" s="43"/>
      <c r="BC335" s="43"/>
      <c r="BD335" s="43" t="s">
        <v>2673</v>
      </c>
      <c r="BE335" s="59" t="s">
        <v>2755</v>
      </c>
      <c r="BF335" s="22" t="s">
        <v>131</v>
      </c>
      <c r="BG335" s="22" t="s">
        <v>132</v>
      </c>
      <c r="BH335" s="22" t="s">
        <v>132</v>
      </c>
      <c r="BI335" s="22" t="s">
        <v>132</v>
      </c>
      <c r="BJ335" s="43"/>
      <c r="BK335" s="43"/>
      <c r="BL335" s="22">
        <v>4.603312714069E12</v>
      </c>
      <c r="BM335" s="22">
        <v>3.30499E9</v>
      </c>
      <c r="BN335" s="22" t="s">
        <v>5008</v>
      </c>
      <c r="BO335" s="22"/>
      <c r="BP335" s="22" t="s">
        <v>145</v>
      </c>
      <c r="BQ335" s="43"/>
      <c r="BR335" s="43"/>
      <c r="BS335" s="22" t="s">
        <v>5009</v>
      </c>
      <c r="BT335" s="22" t="s">
        <v>5010</v>
      </c>
      <c r="BU335" s="22" t="s">
        <v>5011</v>
      </c>
      <c r="BV335" s="22" t="s">
        <v>2777</v>
      </c>
      <c r="BW335" s="22" t="s">
        <v>2778</v>
      </c>
      <c r="BX335" s="22"/>
      <c r="BY335" s="58" t="s">
        <v>5012</v>
      </c>
      <c r="BZ335" s="58"/>
      <c r="CA335" s="22"/>
      <c r="CB335" s="22"/>
      <c r="CC335" s="45"/>
      <c r="CD335" s="43"/>
      <c r="CE335" s="43"/>
      <c r="CF335" s="45"/>
      <c r="CG335" s="43"/>
      <c r="CH335" s="43"/>
      <c r="CI335" s="43"/>
      <c r="CJ335" s="43"/>
      <c r="CK335" s="43"/>
      <c r="CL335" s="43"/>
      <c r="CM335" s="49">
        <f>IFERROR(VLOOKUP(B335,CC!A:D,4,0)," ")</f>
        <v>247.56</v>
      </c>
      <c r="CN335" s="22" t="s">
        <v>2681</v>
      </c>
      <c r="CO335" s="22"/>
      <c r="CP335" s="43"/>
      <c r="CQ335" s="22">
        <v>45.0</v>
      </c>
      <c r="CR335" s="43"/>
      <c r="CS335" s="22">
        <v>1.0</v>
      </c>
      <c r="CT335" s="22" t="s">
        <v>145</v>
      </c>
      <c r="CU335" s="43"/>
      <c r="CV335" s="43"/>
      <c r="CW335" s="43"/>
      <c r="CX335" s="43"/>
      <c r="CY335" s="43" t="b">
        <v>0</v>
      </c>
      <c r="CZ335" s="43" t="b">
        <v>0</v>
      </c>
      <c r="DA335" s="43" t="b">
        <v>0</v>
      </c>
      <c r="DB335" s="43" t="b">
        <v>0</v>
      </c>
      <c r="DC335" s="43"/>
      <c r="DD335" s="43"/>
      <c r="DE335" s="43"/>
      <c r="DF335" s="43"/>
      <c r="DG335" s="43"/>
      <c r="DH335" s="43"/>
      <c r="DI335" s="43"/>
      <c r="DJ335" s="22">
        <f>IFERROR(VLOOKUP($B335,'Лист4'!$D:$AI,27,0)," ")</f>
        <v>9</v>
      </c>
      <c r="DK335" s="22">
        <f>IFERROR(VLOOKUP($B335,'Лист4'!$D:$AI,28,0)," ")</f>
        <v>15</v>
      </c>
      <c r="DL335" s="22">
        <f>IFERROR(VLOOKUP($B335,'Лист4'!$D:$AI,29,0)," ")</f>
        <v>9</v>
      </c>
      <c r="DM335" s="22">
        <f t="shared" si="3"/>
        <v>1215</v>
      </c>
      <c r="DN335" s="22">
        <f>IFERROR(VLOOKUP($B335,'Лист4'!$D:$AI,32,0)," ")</f>
        <v>0.124</v>
      </c>
      <c r="DO335" s="22"/>
      <c r="DP335" s="22"/>
      <c r="DQ335" s="22"/>
      <c r="DR335" s="22"/>
      <c r="DS335" s="22"/>
      <c r="DT335" s="22"/>
      <c r="DU335" s="22"/>
      <c r="DV335" s="22"/>
      <c r="DW335" s="22"/>
      <c r="DX335" s="22"/>
      <c r="DY335" s="22"/>
      <c r="DZ335" s="22"/>
      <c r="EA335" s="22"/>
      <c r="EB335" s="22"/>
      <c r="EC335" s="22"/>
      <c r="ED335" s="22"/>
      <c r="EE335" s="22"/>
      <c r="EF335" s="22"/>
      <c r="EG335" s="22"/>
      <c r="EH335" s="22"/>
      <c r="EI335" s="22"/>
      <c r="EJ335" s="22"/>
      <c r="EK335" s="22"/>
      <c r="EL335" s="22"/>
      <c r="EM335" s="22"/>
      <c r="EN335" s="22"/>
      <c r="EO335" s="22"/>
      <c r="EP335" s="22"/>
      <c r="EQ335" s="22"/>
      <c r="ER335" s="22"/>
      <c r="ES335" s="43"/>
      <c r="ET335" s="43"/>
      <c r="EU335" s="43"/>
      <c r="EV335" s="43"/>
      <c r="EW335" s="43"/>
      <c r="EX335" s="43"/>
      <c r="EY335" s="43"/>
      <c r="EZ335" s="43"/>
      <c r="FA335" s="43"/>
      <c r="FB335" s="43"/>
      <c r="FC335" s="43"/>
      <c r="FD335" s="43"/>
      <c r="FE335" s="43"/>
      <c r="FF335" s="43"/>
      <c r="FG335" s="43"/>
      <c r="FH335" s="43"/>
      <c r="FI335" s="43"/>
    </row>
    <row r="336" ht="18.0" customHeight="1">
      <c r="A336" s="22" t="s">
        <v>2659</v>
      </c>
      <c r="B336" s="43" t="s">
        <v>5013</v>
      </c>
      <c r="C336" s="22" t="s">
        <v>2661</v>
      </c>
      <c r="D336" s="22" t="s">
        <v>119</v>
      </c>
      <c r="E336" s="43"/>
      <c r="F336" s="22" t="s">
        <v>5014</v>
      </c>
      <c r="G336" s="22" t="s">
        <v>2663</v>
      </c>
      <c r="H336" s="22" t="s">
        <v>2664</v>
      </c>
      <c r="I336" s="43"/>
      <c r="J336" s="43"/>
      <c r="K336" s="22" t="b">
        <v>1</v>
      </c>
      <c r="L336" s="22" t="b">
        <v>1</v>
      </c>
      <c r="M336" s="22" t="b">
        <v>1</v>
      </c>
      <c r="N336" s="22" t="b">
        <v>1</v>
      </c>
      <c r="O336" s="22" t="b">
        <v>0</v>
      </c>
      <c r="P336" s="22" t="b">
        <v>0</v>
      </c>
      <c r="Q336" s="22" t="b">
        <v>0</v>
      </c>
      <c r="R336" s="43"/>
      <c r="S336" s="43" t="s">
        <v>5015</v>
      </c>
      <c r="T336" s="22" t="s">
        <v>5013</v>
      </c>
      <c r="U336" s="22" t="s">
        <v>5013</v>
      </c>
      <c r="V336" s="22" t="s">
        <v>5013</v>
      </c>
      <c r="W336" s="43"/>
      <c r="X336" s="43"/>
      <c r="Y336" s="43"/>
      <c r="Z336" s="43"/>
      <c r="AA336" s="22">
        <v>1.72161836E8</v>
      </c>
      <c r="AB336" s="22">
        <v>1.15456532E9</v>
      </c>
      <c r="AC336" s="22">
        <v>1.03544230414E11</v>
      </c>
      <c r="AD336" s="22"/>
      <c r="AE336" s="22"/>
      <c r="AF336" s="43"/>
      <c r="AG336" s="43"/>
      <c r="AH336" s="43" t="s">
        <v>5014</v>
      </c>
      <c r="AI336" s="22" t="s">
        <v>3945</v>
      </c>
      <c r="AJ336" s="22" t="s">
        <v>5016</v>
      </c>
      <c r="AK336" s="22" t="s">
        <v>5016</v>
      </c>
      <c r="AL336" s="43"/>
      <c r="AM336" s="43"/>
      <c r="AN336" s="43"/>
      <c r="AO336" s="43"/>
      <c r="AP336" s="46" t="s">
        <v>5017</v>
      </c>
      <c r="AQ336" s="46" t="s">
        <v>5018</v>
      </c>
      <c r="AR336" s="46" t="s">
        <v>5019</v>
      </c>
      <c r="AS336" s="43"/>
      <c r="AT336" s="43"/>
      <c r="AU336" s="43"/>
      <c r="AV336" s="43"/>
      <c r="AW336" s="22" t="s">
        <v>594</v>
      </c>
      <c r="AX336" s="22" t="s">
        <v>5016</v>
      </c>
      <c r="AY336" s="22" t="s">
        <v>2672</v>
      </c>
      <c r="AZ336" s="43"/>
      <c r="BA336" s="43"/>
      <c r="BB336" s="43"/>
      <c r="BC336" s="43"/>
      <c r="BD336" s="43" t="s">
        <v>2673</v>
      </c>
      <c r="BE336" s="59" t="s">
        <v>2755</v>
      </c>
      <c r="BF336" s="22" t="s">
        <v>131</v>
      </c>
      <c r="BG336" s="22" t="s">
        <v>132</v>
      </c>
      <c r="BH336" s="22" t="s">
        <v>132</v>
      </c>
      <c r="BI336" s="22" t="s">
        <v>132</v>
      </c>
      <c r="BJ336" s="43"/>
      <c r="BK336" s="43"/>
      <c r="BL336" s="22">
        <v>2.038301429006E12</v>
      </c>
      <c r="BM336" s="22">
        <v>3.30499E9</v>
      </c>
      <c r="BN336" s="22" t="s">
        <v>3950</v>
      </c>
      <c r="BO336" s="22"/>
      <c r="BP336" s="22" t="s">
        <v>145</v>
      </c>
      <c r="BQ336" s="43"/>
      <c r="BR336" s="43"/>
      <c r="BS336" s="22" t="s">
        <v>3951</v>
      </c>
      <c r="BT336" s="22" t="s">
        <v>4896</v>
      </c>
      <c r="BU336" s="22" t="s">
        <v>3609</v>
      </c>
      <c r="BV336" s="22" t="s">
        <v>2777</v>
      </c>
      <c r="BW336" s="22" t="s">
        <v>2778</v>
      </c>
      <c r="BX336" s="22"/>
      <c r="BY336" s="43"/>
      <c r="BZ336" s="43"/>
      <c r="CA336" s="22"/>
      <c r="CB336" s="22"/>
      <c r="CC336" s="45"/>
      <c r="CD336" s="43"/>
      <c r="CE336" s="43"/>
      <c r="CF336" s="45"/>
      <c r="CG336" s="43"/>
      <c r="CH336" s="43"/>
      <c r="CI336" s="43"/>
      <c r="CJ336" s="43"/>
      <c r="CK336" s="43"/>
      <c r="CL336" s="43"/>
      <c r="CM336" s="49">
        <f>IFERROR(VLOOKUP(B336,CC!A:D,4,0)," ")</f>
        <v>232.72</v>
      </c>
      <c r="CN336" s="22" t="s">
        <v>2681</v>
      </c>
      <c r="CO336" s="22"/>
      <c r="CP336" s="43"/>
      <c r="CQ336" s="22">
        <v>45.0</v>
      </c>
      <c r="CR336" s="43"/>
      <c r="CS336" s="22">
        <v>1.0</v>
      </c>
      <c r="CT336" s="22" t="s">
        <v>145</v>
      </c>
      <c r="CU336" s="43"/>
      <c r="CV336" s="43"/>
      <c r="CW336" s="43"/>
      <c r="CX336" s="43"/>
      <c r="CY336" s="43" t="b">
        <v>0</v>
      </c>
      <c r="CZ336" s="43" t="b">
        <v>0</v>
      </c>
      <c r="DA336" s="43" t="b">
        <v>0</v>
      </c>
      <c r="DB336" s="43" t="b">
        <v>0</v>
      </c>
      <c r="DC336" s="43"/>
      <c r="DD336" s="43"/>
      <c r="DE336" s="43"/>
      <c r="DF336" s="43"/>
      <c r="DG336" s="43"/>
      <c r="DH336" s="43"/>
      <c r="DI336" s="43"/>
      <c r="DJ336" s="22">
        <f>IFERROR(VLOOKUP($B336,'Лист4'!$D:$AI,27,0)," ")</f>
        <v>15</v>
      </c>
      <c r="DK336" s="22">
        <f>IFERROR(VLOOKUP($B336,'Лист4'!$D:$AI,28,0)," ")</f>
        <v>6</v>
      </c>
      <c r="DL336" s="22">
        <f>IFERROR(VLOOKUP($B336,'Лист4'!$D:$AI,29,0)," ")</f>
        <v>15</v>
      </c>
      <c r="DM336" s="22">
        <f t="shared" si="3"/>
        <v>1350</v>
      </c>
      <c r="DN336" s="22">
        <f>IFERROR(VLOOKUP($B336,'Лист4'!$D:$AI,32,0)," ")</f>
        <v>0.152</v>
      </c>
      <c r="DO336" s="22"/>
      <c r="DP336" s="22"/>
      <c r="DQ336" s="22"/>
      <c r="DR336" s="22"/>
      <c r="DS336" s="22"/>
      <c r="DT336" s="22"/>
      <c r="DU336" s="22"/>
      <c r="DV336" s="22"/>
      <c r="DW336" s="22"/>
      <c r="DX336" s="22"/>
      <c r="DY336" s="22"/>
      <c r="DZ336" s="22"/>
      <c r="EA336" s="22"/>
      <c r="EB336" s="22"/>
      <c r="EC336" s="22"/>
      <c r="ED336" s="22"/>
      <c r="EE336" s="22"/>
      <c r="EF336" s="22"/>
      <c r="EG336" s="22"/>
      <c r="EH336" s="22"/>
      <c r="EI336" s="22"/>
      <c r="EJ336" s="22"/>
      <c r="EK336" s="22"/>
      <c r="EL336" s="22"/>
      <c r="EM336" s="22"/>
      <c r="EN336" s="22"/>
      <c r="EO336" s="22"/>
      <c r="EP336" s="22"/>
      <c r="EQ336" s="22"/>
      <c r="ER336" s="22"/>
      <c r="ES336" s="43"/>
      <c r="ET336" s="43"/>
      <c r="EU336" s="43"/>
      <c r="EV336" s="43"/>
      <c r="EW336" s="43"/>
      <c r="EX336" s="43"/>
      <c r="EY336" s="43"/>
      <c r="EZ336" s="43"/>
      <c r="FA336" s="43"/>
      <c r="FB336" s="43"/>
      <c r="FC336" s="43"/>
      <c r="FD336" s="43"/>
      <c r="FE336" s="43"/>
      <c r="FF336" s="43"/>
      <c r="FG336" s="43"/>
      <c r="FH336" s="43"/>
      <c r="FI336" s="43"/>
    </row>
    <row r="337" ht="18.0" customHeight="1">
      <c r="A337" s="22" t="s">
        <v>2659</v>
      </c>
      <c r="B337" s="43" t="s">
        <v>5020</v>
      </c>
      <c r="C337" s="22" t="s">
        <v>2661</v>
      </c>
      <c r="D337" s="22" t="s">
        <v>119</v>
      </c>
      <c r="E337" s="43"/>
      <c r="F337" s="22" t="s">
        <v>5021</v>
      </c>
      <c r="G337" s="22" t="s">
        <v>4660</v>
      </c>
      <c r="H337" s="22" t="s">
        <v>5022</v>
      </c>
      <c r="I337" s="43"/>
      <c r="J337" s="43"/>
      <c r="K337" s="22" t="b">
        <v>1</v>
      </c>
      <c r="L337" s="22" t="b">
        <v>1</v>
      </c>
      <c r="M337" s="22" t="b">
        <v>1</v>
      </c>
      <c r="N337" s="22" t="b">
        <v>1</v>
      </c>
      <c r="O337" s="22" t="b">
        <v>1</v>
      </c>
      <c r="P337" s="22" t="b">
        <v>1</v>
      </c>
      <c r="Q337" s="22" t="b">
        <v>0</v>
      </c>
      <c r="R337" s="43"/>
      <c r="S337" s="43" t="s">
        <v>5023</v>
      </c>
      <c r="T337" s="22" t="s">
        <v>5020</v>
      </c>
      <c r="U337" s="22" t="s">
        <v>5020</v>
      </c>
      <c r="V337" s="22" t="s">
        <v>5020</v>
      </c>
      <c r="W337" s="43" t="s">
        <v>401</v>
      </c>
      <c r="X337" s="43" t="s">
        <v>401</v>
      </c>
      <c r="Y337" s="43"/>
      <c r="Z337" s="43"/>
      <c r="AA337" s="22">
        <v>1.789162E7</v>
      </c>
      <c r="AB337" s="22">
        <v>2.88346567E8</v>
      </c>
      <c r="AC337" s="22">
        <v>1.03515446251E11</v>
      </c>
      <c r="AD337" s="22"/>
      <c r="AE337" s="22"/>
      <c r="AF337" s="43"/>
      <c r="AG337" s="43"/>
      <c r="AH337" s="43" t="s">
        <v>5021</v>
      </c>
      <c r="AI337" s="22" t="s">
        <v>5024</v>
      </c>
      <c r="AJ337" s="22" t="s">
        <v>5025</v>
      </c>
      <c r="AK337" s="22" t="s">
        <v>5026</v>
      </c>
      <c r="AL337" s="43"/>
      <c r="AM337" s="43"/>
      <c r="AN337" s="43"/>
      <c r="AO337" s="43"/>
      <c r="AP337" s="46" t="s">
        <v>5027</v>
      </c>
      <c r="AQ337" s="46" t="s">
        <v>4332</v>
      </c>
      <c r="AR337" s="46" t="s">
        <v>5028</v>
      </c>
      <c r="AS337" s="43"/>
      <c r="AT337" s="43"/>
      <c r="AU337" s="43"/>
      <c r="AV337" s="43"/>
      <c r="AW337" s="22" t="s">
        <v>4667</v>
      </c>
      <c r="AX337" s="22" t="s">
        <v>5025</v>
      </c>
      <c r="AY337" s="22" t="s">
        <v>5029</v>
      </c>
      <c r="AZ337" s="43"/>
      <c r="BA337" s="43"/>
      <c r="BB337" s="43"/>
      <c r="BC337" s="43"/>
      <c r="BD337" s="43" t="s">
        <v>301</v>
      </c>
      <c r="BE337" s="59" t="s">
        <v>2755</v>
      </c>
      <c r="BF337" s="22" t="s">
        <v>131</v>
      </c>
      <c r="BG337" s="22" t="s">
        <v>132</v>
      </c>
      <c r="BH337" s="22" t="s">
        <v>132</v>
      </c>
      <c r="BI337" s="22" t="s">
        <v>132</v>
      </c>
      <c r="BJ337" s="43"/>
      <c r="BK337" s="43"/>
      <c r="BL337" s="22">
        <v>4.631146952982E12</v>
      </c>
      <c r="BM337" s="22">
        <v>3.30499E9</v>
      </c>
      <c r="BN337" s="22" t="s">
        <v>4309</v>
      </c>
      <c r="BO337" s="22"/>
      <c r="BP337" s="22" t="s">
        <v>496</v>
      </c>
      <c r="BQ337" s="43"/>
      <c r="BR337" s="43"/>
      <c r="BS337" s="22" t="s">
        <v>4669</v>
      </c>
      <c r="BT337" s="43"/>
      <c r="BU337" s="22" t="s">
        <v>4670</v>
      </c>
      <c r="BV337" s="43" t="s">
        <v>2777</v>
      </c>
      <c r="BW337" s="22" t="s">
        <v>4671</v>
      </c>
      <c r="BX337" s="22">
        <v>30.0</v>
      </c>
      <c r="BY337" s="22" t="s">
        <v>139</v>
      </c>
      <c r="BZ337" s="22"/>
      <c r="CA337" s="22" t="s">
        <v>3960</v>
      </c>
      <c r="CB337" s="22" t="s">
        <v>307</v>
      </c>
      <c r="CC337" s="45" t="s">
        <v>5030</v>
      </c>
      <c r="CD337" s="43"/>
      <c r="CE337" s="43"/>
      <c r="CF337" s="45"/>
      <c r="CG337" s="43"/>
      <c r="CH337" s="43"/>
      <c r="CI337" s="43"/>
      <c r="CJ337" s="43"/>
      <c r="CK337" s="43"/>
      <c r="CL337" s="43"/>
      <c r="CM337" s="49">
        <f>IFERROR(VLOOKUP(B337,CC!A:D,4,0)," ")</f>
        <v>85.5</v>
      </c>
      <c r="CN337" s="22" t="s">
        <v>2681</v>
      </c>
      <c r="CO337" s="22"/>
      <c r="CP337" s="43"/>
      <c r="CQ337" s="22" t="s">
        <v>401</v>
      </c>
      <c r="CR337" s="43"/>
      <c r="CS337" s="22">
        <v>1.0</v>
      </c>
      <c r="CT337" s="22" t="s">
        <v>145</v>
      </c>
      <c r="CU337" s="43"/>
      <c r="CV337" s="43"/>
      <c r="CW337" s="43"/>
      <c r="CX337" s="43"/>
      <c r="CY337" s="43" t="b">
        <v>0</v>
      </c>
      <c r="CZ337" s="43" t="b">
        <v>0</v>
      </c>
      <c r="DA337" s="43" t="b">
        <v>0</v>
      </c>
      <c r="DB337" s="43" t="b">
        <v>0</v>
      </c>
      <c r="DC337" s="43"/>
      <c r="DD337" s="43"/>
      <c r="DE337" s="43"/>
      <c r="DF337" s="43"/>
      <c r="DG337" s="43"/>
      <c r="DH337" s="43"/>
      <c r="DI337" s="43"/>
      <c r="DJ337" s="22">
        <f>IFERROR(VLOOKUP($B337,'Лист4'!$D:$AI,27,0)," ")</f>
        <v>22</v>
      </c>
      <c r="DK337" s="22">
        <f>IFERROR(VLOOKUP($B337,'Лист4'!$D:$AI,28,0)," ")</f>
        <v>6</v>
      </c>
      <c r="DL337" s="22">
        <f>IFERROR(VLOOKUP($B337,'Лист4'!$D:$AI,29,0)," ")</f>
        <v>22</v>
      </c>
      <c r="DM337" s="22">
        <f t="shared" si="3"/>
        <v>2904</v>
      </c>
      <c r="DN337" s="22">
        <f>IFERROR(VLOOKUP($B337,'Лист4'!$D:$AI,32,0)," ")</f>
        <v>0.048</v>
      </c>
      <c r="DO337" s="22"/>
      <c r="DP337" s="22"/>
      <c r="DQ337" s="22"/>
      <c r="DR337" s="22"/>
      <c r="DS337" s="22"/>
      <c r="DT337" s="22"/>
      <c r="DU337" s="22"/>
      <c r="DV337" s="22"/>
      <c r="DW337" s="22"/>
      <c r="DX337" s="22"/>
      <c r="DY337" s="22"/>
      <c r="DZ337" s="22"/>
      <c r="EA337" s="22"/>
      <c r="EB337" s="22"/>
      <c r="EC337" s="22"/>
      <c r="ED337" s="22"/>
      <c r="EE337" s="22"/>
      <c r="EF337" s="22"/>
      <c r="EG337" s="22"/>
      <c r="EH337" s="22"/>
      <c r="EI337" s="22"/>
      <c r="EJ337" s="22"/>
      <c r="EK337" s="22"/>
      <c r="EL337" s="22"/>
      <c r="EM337" s="22"/>
      <c r="EN337" s="22"/>
      <c r="EO337" s="22"/>
      <c r="EP337" s="22"/>
      <c r="EQ337" s="22"/>
      <c r="ER337" s="22"/>
      <c r="ES337" s="43"/>
      <c r="ET337" s="43"/>
      <c r="EU337" s="43"/>
      <c r="EV337" s="43"/>
      <c r="EW337" s="43"/>
      <c r="EX337" s="43"/>
      <c r="EY337" s="43"/>
      <c r="EZ337" s="43"/>
      <c r="FA337" s="43"/>
      <c r="FB337" s="43"/>
      <c r="FC337" s="43"/>
      <c r="FD337" s="43"/>
      <c r="FE337" s="43"/>
      <c r="FF337" s="43"/>
      <c r="FG337" s="43"/>
      <c r="FH337" s="43"/>
      <c r="FI337" s="43"/>
    </row>
    <row r="338" ht="18.0" customHeight="1">
      <c r="A338" s="22" t="s">
        <v>2659</v>
      </c>
      <c r="B338" s="43" t="s">
        <v>5031</v>
      </c>
      <c r="C338" s="22" t="s">
        <v>2661</v>
      </c>
      <c r="D338" s="22" t="s">
        <v>119</v>
      </c>
      <c r="E338" s="43"/>
      <c r="F338" s="22" t="s">
        <v>5032</v>
      </c>
      <c r="G338" s="22" t="s">
        <v>2663</v>
      </c>
      <c r="H338" s="22" t="s">
        <v>3697</v>
      </c>
      <c r="I338" s="43"/>
      <c r="J338" s="43"/>
      <c r="K338" s="22" t="b">
        <v>1</v>
      </c>
      <c r="L338" s="22" t="b">
        <v>1</v>
      </c>
      <c r="M338" s="22" t="b">
        <v>1</v>
      </c>
      <c r="N338" s="22" t="b">
        <v>1</v>
      </c>
      <c r="O338" s="22" t="b">
        <v>0</v>
      </c>
      <c r="P338" s="22" t="b">
        <v>0</v>
      </c>
      <c r="Q338" s="22" t="b">
        <v>0</v>
      </c>
      <c r="R338" s="43"/>
      <c r="S338" s="43" t="s">
        <v>5033</v>
      </c>
      <c r="T338" s="22" t="s">
        <v>5031</v>
      </c>
      <c r="U338" s="22" t="s">
        <v>5031</v>
      </c>
      <c r="V338" s="22" t="s">
        <v>5031</v>
      </c>
      <c r="W338" s="43"/>
      <c r="X338" s="43"/>
      <c r="Y338" s="43"/>
      <c r="Z338" s="43"/>
      <c r="AA338" s="22">
        <v>4.13496E7</v>
      </c>
      <c r="AB338" s="22">
        <v>3.27231771E8</v>
      </c>
      <c r="AC338" s="22">
        <v>4.666601948E9</v>
      </c>
      <c r="AD338" s="22"/>
      <c r="AE338" s="22"/>
      <c r="AF338" s="43"/>
      <c r="AG338" s="43"/>
      <c r="AH338" s="43" t="s">
        <v>5032</v>
      </c>
      <c r="AI338" s="22" t="s">
        <v>5034</v>
      </c>
      <c r="AJ338" s="22" t="s">
        <v>5035</v>
      </c>
      <c r="AK338" s="22" t="s">
        <v>5036</v>
      </c>
      <c r="AL338" s="43"/>
      <c r="AM338" s="43"/>
      <c r="AN338" s="43"/>
      <c r="AO338" s="43"/>
      <c r="AP338" s="46" t="s">
        <v>5037</v>
      </c>
      <c r="AQ338" s="46" t="s">
        <v>5038</v>
      </c>
      <c r="AR338" s="43"/>
      <c r="AS338" s="43"/>
      <c r="AT338" s="43"/>
      <c r="AU338" s="43"/>
      <c r="AV338" s="43"/>
      <c r="AW338" s="22" t="s">
        <v>649</v>
      </c>
      <c r="AX338" s="22" t="s">
        <v>5035</v>
      </c>
      <c r="AY338" s="22" t="s">
        <v>372</v>
      </c>
      <c r="AZ338" s="43"/>
      <c r="BA338" s="43"/>
      <c r="BB338" s="43"/>
      <c r="BC338" s="43"/>
      <c r="BD338" s="43" t="s">
        <v>1449</v>
      </c>
      <c r="BE338" s="59" t="s">
        <v>2755</v>
      </c>
      <c r="BF338" s="22" t="s">
        <v>131</v>
      </c>
      <c r="BG338" s="22" t="s">
        <v>132</v>
      </c>
      <c r="BH338" s="22" t="s">
        <v>132</v>
      </c>
      <c r="BI338" s="22" t="s">
        <v>132</v>
      </c>
      <c r="BJ338" s="43"/>
      <c r="BK338" s="43"/>
      <c r="BL338" s="22">
        <v>4.63113799355E12</v>
      </c>
      <c r="BM338" s="22">
        <v>2.103909009E9</v>
      </c>
      <c r="BN338" s="22" t="s">
        <v>5039</v>
      </c>
      <c r="BO338" s="22"/>
      <c r="BP338" s="22" t="s">
        <v>145</v>
      </c>
      <c r="BQ338" s="43"/>
      <c r="BR338" s="43"/>
      <c r="BS338" s="22" t="s">
        <v>5040</v>
      </c>
      <c r="BT338" s="43"/>
      <c r="BU338" s="22" t="s">
        <v>5041</v>
      </c>
      <c r="BV338" s="43" t="s">
        <v>3724</v>
      </c>
      <c r="BW338" s="22" t="s">
        <v>5042</v>
      </c>
      <c r="BX338" s="22">
        <v>10.0</v>
      </c>
      <c r="BY338" s="22" t="s">
        <v>139</v>
      </c>
      <c r="BZ338" s="22"/>
      <c r="CA338" s="22" t="s">
        <v>3960</v>
      </c>
      <c r="CB338" s="22" t="s">
        <v>307</v>
      </c>
      <c r="CC338" s="45" t="s">
        <v>5043</v>
      </c>
      <c r="CD338" s="43"/>
      <c r="CE338" s="43"/>
      <c r="CF338" s="45"/>
      <c r="CG338" s="43"/>
      <c r="CH338" s="43"/>
      <c r="CI338" s="43"/>
      <c r="CJ338" s="43"/>
      <c r="CK338" s="43"/>
      <c r="CL338" s="43"/>
      <c r="CM338" s="49">
        <f>IFERROR(VLOOKUP(B338,CC!A:D,4,0)," ")</f>
        <v>114.31</v>
      </c>
      <c r="CN338" s="22" t="s">
        <v>2681</v>
      </c>
      <c r="CO338" s="22"/>
      <c r="CP338" s="43"/>
      <c r="CQ338" s="22" t="s">
        <v>401</v>
      </c>
      <c r="CR338" s="43"/>
      <c r="CS338" s="22">
        <v>1.0</v>
      </c>
      <c r="CT338" s="22" t="s">
        <v>145</v>
      </c>
      <c r="CU338" s="43"/>
      <c r="CV338" s="43"/>
      <c r="CW338" s="43"/>
      <c r="CX338" s="43"/>
      <c r="CY338" s="43" t="b">
        <v>0</v>
      </c>
      <c r="CZ338" s="43" t="b">
        <v>0</v>
      </c>
      <c r="DA338" s="43" t="b">
        <v>0</v>
      </c>
      <c r="DB338" s="43" t="b">
        <v>0</v>
      </c>
      <c r="DC338" s="43"/>
      <c r="DD338" s="43"/>
      <c r="DE338" s="43"/>
      <c r="DF338" s="43"/>
      <c r="DG338" s="43"/>
      <c r="DH338" s="43"/>
      <c r="DI338" s="43"/>
      <c r="DJ338" s="22">
        <f>IFERROR(VLOOKUP($B338,'Лист4'!$D:$AI,27,0)," ")</f>
        <v>3</v>
      </c>
      <c r="DK338" s="22">
        <f>IFERROR(VLOOKUP($B338,'Лист4'!$D:$AI,28,0)," ")</f>
        <v>7</v>
      </c>
      <c r="DL338" s="22">
        <f>IFERROR(VLOOKUP($B338,'Лист4'!$D:$AI,29,0)," ")</f>
        <v>3</v>
      </c>
      <c r="DM338" s="22">
        <f t="shared" si="3"/>
        <v>63</v>
      </c>
      <c r="DN338" s="22">
        <f>IFERROR(VLOOKUP($B338,'Лист4'!$D:$AI,32,0)," ")</f>
        <v>0.042</v>
      </c>
      <c r="DO338" s="22"/>
      <c r="DP338" s="22"/>
      <c r="DQ338" s="22"/>
      <c r="DR338" s="22"/>
      <c r="DS338" s="22"/>
      <c r="DT338" s="22"/>
      <c r="DU338" s="22"/>
      <c r="DV338" s="22"/>
      <c r="DW338" s="22"/>
      <c r="DX338" s="22"/>
      <c r="DY338" s="22"/>
      <c r="DZ338" s="22"/>
      <c r="EA338" s="22"/>
      <c r="EB338" s="22"/>
      <c r="EC338" s="22"/>
      <c r="ED338" s="22"/>
      <c r="EE338" s="22"/>
      <c r="EF338" s="22"/>
      <c r="EG338" s="22"/>
      <c r="EH338" s="22"/>
      <c r="EI338" s="22"/>
      <c r="EJ338" s="22"/>
      <c r="EK338" s="22"/>
      <c r="EL338" s="22"/>
      <c r="EM338" s="22"/>
      <c r="EN338" s="22"/>
      <c r="EO338" s="22"/>
      <c r="EP338" s="22"/>
      <c r="EQ338" s="22"/>
      <c r="ER338" s="22"/>
      <c r="ES338" s="43"/>
      <c r="ET338" s="43"/>
      <c r="EU338" s="43"/>
      <c r="EV338" s="43"/>
      <c r="EW338" s="43"/>
      <c r="EX338" s="43"/>
      <c r="EY338" s="43"/>
      <c r="EZ338" s="43"/>
      <c r="FA338" s="43"/>
      <c r="FB338" s="43"/>
      <c r="FC338" s="43"/>
      <c r="FD338" s="43"/>
      <c r="FE338" s="43"/>
      <c r="FF338" s="43"/>
      <c r="FG338" s="43"/>
      <c r="FH338" s="43"/>
      <c r="FI338" s="43"/>
    </row>
    <row r="339" ht="18.0" customHeight="1">
      <c r="A339" s="22" t="s">
        <v>2659</v>
      </c>
      <c r="B339" s="43" t="s">
        <v>5044</v>
      </c>
      <c r="C339" s="22" t="s">
        <v>2661</v>
      </c>
      <c r="D339" s="22" t="s">
        <v>119</v>
      </c>
      <c r="E339" s="43"/>
      <c r="F339" s="22" t="s">
        <v>5045</v>
      </c>
      <c r="G339" s="22" t="s">
        <v>2663</v>
      </c>
      <c r="H339" s="22" t="s">
        <v>3888</v>
      </c>
      <c r="I339" s="43"/>
      <c r="J339" s="43"/>
      <c r="K339" s="22" t="b">
        <v>1</v>
      </c>
      <c r="L339" s="22" t="b">
        <v>1</v>
      </c>
      <c r="M339" s="22" t="b">
        <v>1</v>
      </c>
      <c r="N339" s="22" t="b">
        <v>1</v>
      </c>
      <c r="O339" s="22" t="b">
        <v>0</v>
      </c>
      <c r="P339" s="22" t="b">
        <v>0</v>
      </c>
      <c r="Q339" s="22" t="b">
        <v>0</v>
      </c>
      <c r="R339" s="43"/>
      <c r="S339" s="43" t="s">
        <v>5046</v>
      </c>
      <c r="T339" s="22" t="s">
        <v>5044</v>
      </c>
      <c r="U339" s="22" t="s">
        <v>5044</v>
      </c>
      <c r="V339" s="22" t="s">
        <v>5044</v>
      </c>
      <c r="W339" s="43"/>
      <c r="X339" s="43"/>
      <c r="Y339" s="43"/>
      <c r="Z339" s="43"/>
      <c r="AA339" s="22">
        <v>3.5422984E7</v>
      </c>
      <c r="AB339" s="22">
        <v>2.99140637E8</v>
      </c>
      <c r="AC339" s="22"/>
      <c r="AD339" s="22"/>
      <c r="AE339" s="22"/>
      <c r="AF339" s="43"/>
      <c r="AG339" s="43"/>
      <c r="AH339" s="43" t="s">
        <v>5045</v>
      </c>
      <c r="AI339" s="22" t="s">
        <v>5047</v>
      </c>
      <c r="AJ339" s="22" t="s">
        <v>5048</v>
      </c>
      <c r="AK339" s="43"/>
      <c r="AL339" s="43"/>
      <c r="AM339" s="43"/>
      <c r="AN339" s="43"/>
      <c r="AO339" s="43"/>
      <c r="AP339" s="46" t="s">
        <v>5049</v>
      </c>
      <c r="AQ339" s="46" t="s">
        <v>5050</v>
      </c>
      <c r="AR339" s="43"/>
      <c r="AS339" s="43"/>
      <c r="AT339" s="43"/>
      <c r="AU339" s="43"/>
      <c r="AV339" s="43"/>
      <c r="AW339" s="22" t="s">
        <v>649</v>
      </c>
      <c r="AX339" s="22" t="s">
        <v>5048</v>
      </c>
      <c r="AY339" s="43"/>
      <c r="AZ339" s="43"/>
      <c r="BA339" s="43"/>
      <c r="BB339" s="43"/>
      <c r="BC339" s="43"/>
      <c r="BD339" s="43" t="s">
        <v>1449</v>
      </c>
      <c r="BE339" s="59" t="s">
        <v>2755</v>
      </c>
      <c r="BF339" s="22" t="s">
        <v>131</v>
      </c>
      <c r="BG339" s="22" t="s">
        <v>132</v>
      </c>
      <c r="BH339" s="22" t="s">
        <v>132</v>
      </c>
      <c r="BI339" s="22" t="s">
        <v>132</v>
      </c>
      <c r="BJ339" s="43"/>
      <c r="BK339" s="43"/>
      <c r="BL339" s="22">
        <v>4.631136905127E12</v>
      </c>
      <c r="BM339" s="22">
        <v>2.103909009E9</v>
      </c>
      <c r="BN339" s="22" t="s">
        <v>4575</v>
      </c>
      <c r="BO339" s="22"/>
      <c r="BP339" s="22" t="s">
        <v>145</v>
      </c>
      <c r="BQ339" s="43"/>
      <c r="BR339" s="43"/>
      <c r="BS339" s="22" t="s">
        <v>5051</v>
      </c>
      <c r="BT339" s="43"/>
      <c r="BU339" s="22" t="s">
        <v>5052</v>
      </c>
      <c r="BV339" s="43" t="s">
        <v>2777</v>
      </c>
      <c r="BW339" s="22" t="s">
        <v>5053</v>
      </c>
      <c r="BX339" s="22">
        <v>10.0</v>
      </c>
      <c r="BY339" s="22" t="s">
        <v>139</v>
      </c>
      <c r="BZ339" s="22"/>
      <c r="CA339" s="22" t="s">
        <v>3960</v>
      </c>
      <c r="CB339" s="22" t="s">
        <v>307</v>
      </c>
      <c r="CC339" s="45" t="s">
        <v>5054</v>
      </c>
      <c r="CD339" s="43"/>
      <c r="CE339" s="43"/>
      <c r="CF339" s="45"/>
      <c r="CG339" s="43"/>
      <c r="CH339" s="43"/>
      <c r="CI339" s="43"/>
      <c r="CJ339" s="43"/>
      <c r="CK339" s="43"/>
      <c r="CL339" s="43"/>
      <c r="CM339" s="49">
        <f>IFERROR(VLOOKUP(B339,CC!A:D,4,0)," ")</f>
        <v>98.2</v>
      </c>
      <c r="CN339" s="22"/>
      <c r="CO339" s="22"/>
      <c r="CP339" s="43"/>
      <c r="CQ339" s="22" t="s">
        <v>401</v>
      </c>
      <c r="CR339" s="43"/>
      <c r="CS339" s="43"/>
      <c r="CT339" s="22" t="s">
        <v>145</v>
      </c>
      <c r="CU339" s="43"/>
      <c r="CV339" s="43"/>
      <c r="CW339" s="43"/>
      <c r="CX339" s="43"/>
      <c r="CY339" s="43" t="b">
        <v>0</v>
      </c>
      <c r="CZ339" s="43" t="b">
        <v>0</v>
      </c>
      <c r="DA339" s="43" t="b">
        <v>0</v>
      </c>
      <c r="DB339" s="43" t="b">
        <v>0</v>
      </c>
      <c r="DC339" s="43"/>
      <c r="DD339" s="43"/>
      <c r="DE339" s="43"/>
      <c r="DF339" s="43"/>
      <c r="DG339" s="43"/>
      <c r="DH339" s="43"/>
      <c r="DI339" s="43"/>
      <c r="DJ339" s="22">
        <f>IFERROR(VLOOKUP($B339,'Лист4'!$D:$AI,27,0)," ")</f>
        <v>10</v>
      </c>
      <c r="DK339" s="22">
        <f>IFERROR(VLOOKUP($B339,'Лист4'!$D:$AI,28,0)," ")</f>
        <v>3</v>
      </c>
      <c r="DL339" s="22">
        <f>IFERROR(VLOOKUP($B339,'Лист4'!$D:$AI,29,0)," ")</f>
        <v>10</v>
      </c>
      <c r="DM339" s="22">
        <f t="shared" si="3"/>
        <v>300</v>
      </c>
      <c r="DN339" s="22">
        <f>IFERROR(VLOOKUP($B339,'Лист4'!$D:$AI,32,0)," ")</f>
        <v>0.044</v>
      </c>
      <c r="DO339" s="22"/>
      <c r="DP339" s="22"/>
      <c r="DQ339" s="22"/>
      <c r="DR339" s="22"/>
      <c r="DS339" s="22"/>
      <c r="DT339" s="22"/>
      <c r="DU339" s="22"/>
      <c r="DV339" s="22"/>
      <c r="DW339" s="22"/>
      <c r="DX339" s="22"/>
      <c r="DY339" s="22"/>
      <c r="DZ339" s="22"/>
      <c r="EA339" s="22"/>
      <c r="EB339" s="22"/>
      <c r="EC339" s="22"/>
      <c r="ED339" s="22"/>
      <c r="EE339" s="22"/>
      <c r="EF339" s="22"/>
      <c r="EG339" s="22"/>
      <c r="EH339" s="22"/>
      <c r="EI339" s="22"/>
      <c r="EJ339" s="22"/>
      <c r="EK339" s="22"/>
      <c r="EL339" s="22"/>
      <c r="EM339" s="22"/>
      <c r="EN339" s="22"/>
      <c r="EO339" s="22"/>
      <c r="EP339" s="22"/>
      <c r="EQ339" s="22"/>
      <c r="ER339" s="22"/>
      <c r="ES339" s="43"/>
      <c r="ET339" s="43"/>
      <c r="EU339" s="43"/>
      <c r="EV339" s="43"/>
      <c r="EW339" s="43"/>
      <c r="EX339" s="43"/>
      <c r="EY339" s="43"/>
      <c r="EZ339" s="43"/>
      <c r="FA339" s="43"/>
      <c r="FB339" s="43"/>
      <c r="FC339" s="43"/>
      <c r="FD339" s="43"/>
      <c r="FE339" s="43"/>
      <c r="FF339" s="43"/>
      <c r="FG339" s="43"/>
      <c r="FH339" s="43"/>
      <c r="FI339" s="43"/>
    </row>
    <row r="340" ht="18.0" customHeight="1">
      <c r="A340" s="22" t="s">
        <v>2659</v>
      </c>
      <c r="B340" s="43" t="s">
        <v>5055</v>
      </c>
      <c r="C340" s="22" t="s">
        <v>2661</v>
      </c>
      <c r="D340" s="22" t="s">
        <v>119</v>
      </c>
      <c r="E340" s="43"/>
      <c r="F340" s="22" t="s">
        <v>5056</v>
      </c>
      <c r="G340" s="22" t="s">
        <v>2663</v>
      </c>
      <c r="H340" s="22" t="s">
        <v>4045</v>
      </c>
      <c r="I340" s="43"/>
      <c r="J340" s="43"/>
      <c r="K340" s="22" t="b">
        <v>1</v>
      </c>
      <c r="L340" s="22" t="b">
        <v>1</v>
      </c>
      <c r="M340" s="22" t="b">
        <v>1</v>
      </c>
      <c r="N340" s="22" t="b">
        <v>1</v>
      </c>
      <c r="O340" s="22" t="b">
        <v>0</v>
      </c>
      <c r="P340" s="22" t="b">
        <v>0</v>
      </c>
      <c r="Q340" s="22" t="b">
        <v>0</v>
      </c>
      <c r="R340" s="43"/>
      <c r="S340" s="43" t="s">
        <v>5057</v>
      </c>
      <c r="T340" s="22" t="s">
        <v>5055</v>
      </c>
      <c r="U340" s="22" t="s">
        <v>5055</v>
      </c>
      <c r="V340" s="22" t="s">
        <v>5055</v>
      </c>
      <c r="W340" s="43"/>
      <c r="X340" s="43"/>
      <c r="Y340" s="43"/>
      <c r="Z340" s="43"/>
      <c r="AA340" s="22">
        <v>1.11902604E8</v>
      </c>
      <c r="AB340" s="22">
        <v>6.36852972E8</v>
      </c>
      <c r="AC340" s="22">
        <v>1.01806792616E11</v>
      </c>
      <c r="AD340" s="22"/>
      <c r="AE340" s="22"/>
      <c r="AF340" s="43"/>
      <c r="AG340" s="43"/>
      <c r="AH340" s="43" t="s">
        <v>5056</v>
      </c>
      <c r="AI340" s="22" t="s">
        <v>4633</v>
      </c>
      <c r="AJ340" s="22" t="s">
        <v>5058</v>
      </c>
      <c r="AK340" s="22" t="s">
        <v>5059</v>
      </c>
      <c r="AL340" s="43"/>
      <c r="AM340" s="43"/>
      <c r="AN340" s="43"/>
      <c r="AO340" s="43"/>
      <c r="AP340" s="46" t="s">
        <v>5060</v>
      </c>
      <c r="AQ340" s="46" t="s">
        <v>5061</v>
      </c>
      <c r="AR340" s="46" t="s">
        <v>5062</v>
      </c>
      <c r="AS340" s="43"/>
      <c r="AT340" s="43"/>
      <c r="AU340" s="43"/>
      <c r="AV340" s="43"/>
      <c r="AW340" s="22" t="s">
        <v>528</v>
      </c>
      <c r="AX340" s="22" t="s">
        <v>5058</v>
      </c>
      <c r="AY340" s="22" t="s">
        <v>2534</v>
      </c>
      <c r="AZ340" s="43"/>
      <c r="BA340" s="43"/>
      <c r="BB340" s="43"/>
      <c r="BC340" s="43"/>
      <c r="BD340" s="43" t="s">
        <v>2993</v>
      </c>
      <c r="BE340" s="59" t="s">
        <v>2755</v>
      </c>
      <c r="BF340" s="22" t="s">
        <v>131</v>
      </c>
      <c r="BG340" s="22" t="s">
        <v>132</v>
      </c>
      <c r="BH340" s="22" t="s">
        <v>132</v>
      </c>
      <c r="BI340" s="22" t="s">
        <v>132</v>
      </c>
      <c r="BJ340" s="43"/>
      <c r="BK340" s="43"/>
      <c r="BL340" s="22">
        <v>4.631144115839E12</v>
      </c>
      <c r="BM340" s="22">
        <v>2106.0</v>
      </c>
      <c r="BN340" s="22" t="s">
        <v>4637</v>
      </c>
      <c r="BO340" s="22"/>
      <c r="BP340" s="22" t="s">
        <v>145</v>
      </c>
      <c r="BQ340" s="43"/>
      <c r="BR340" s="43"/>
      <c r="BS340" s="22" t="s">
        <v>4638</v>
      </c>
      <c r="BT340" s="43"/>
      <c r="BU340" s="22" t="s">
        <v>5063</v>
      </c>
      <c r="BV340" s="43" t="s">
        <v>4640</v>
      </c>
      <c r="BW340" s="22" t="s">
        <v>4641</v>
      </c>
      <c r="BX340" s="22">
        <v>10.0</v>
      </c>
      <c r="BY340" s="22" t="s">
        <v>5064</v>
      </c>
      <c r="BZ340" s="22"/>
      <c r="CA340" s="22"/>
      <c r="CB340" s="22"/>
      <c r="CC340" s="45" t="s">
        <v>5065</v>
      </c>
      <c r="CD340" s="43"/>
      <c r="CE340" s="43"/>
      <c r="CF340" s="45"/>
      <c r="CG340" s="43"/>
      <c r="CH340" s="43"/>
      <c r="CI340" s="43"/>
      <c r="CJ340" s="43"/>
      <c r="CK340" s="43"/>
      <c r="CL340" s="43"/>
      <c r="CM340" s="49">
        <f>IFERROR(VLOOKUP(B340,CC!A:D,4,0)," ")</f>
        <v>138.42</v>
      </c>
      <c r="CN340" s="22" t="s">
        <v>2700</v>
      </c>
      <c r="CO340" s="22"/>
      <c r="CP340" s="43"/>
      <c r="CQ340" s="22">
        <v>45.0</v>
      </c>
      <c r="CR340" s="43"/>
      <c r="CS340" s="22">
        <v>1.0</v>
      </c>
      <c r="CT340" s="22" t="s">
        <v>145</v>
      </c>
      <c r="CU340" s="43"/>
      <c r="CV340" s="43"/>
      <c r="CW340" s="43"/>
      <c r="CX340" s="43"/>
      <c r="CY340" s="43" t="b">
        <v>0</v>
      </c>
      <c r="CZ340" s="43" t="b">
        <v>0</v>
      </c>
      <c r="DA340" s="43" t="b">
        <v>0</v>
      </c>
      <c r="DB340" s="43" t="b">
        <v>0</v>
      </c>
      <c r="DC340" s="43"/>
      <c r="DD340" s="43"/>
      <c r="DE340" s="43"/>
      <c r="DF340" s="43"/>
      <c r="DG340" s="43"/>
      <c r="DH340" s="43"/>
      <c r="DI340" s="43"/>
      <c r="DJ340" s="22">
        <f>IFERROR(VLOOKUP($B340,'Лист4'!$D:$AI,27,0)," ")</f>
        <v>10</v>
      </c>
      <c r="DK340" s="22">
        <f>IFERROR(VLOOKUP($B340,'Лист4'!$D:$AI,28,0)," ")</f>
        <v>13</v>
      </c>
      <c r="DL340" s="22">
        <f>IFERROR(VLOOKUP($B340,'Лист4'!$D:$AI,29,0)," ")</f>
        <v>10</v>
      </c>
      <c r="DM340" s="22">
        <f t="shared" si="3"/>
        <v>1300</v>
      </c>
      <c r="DN340" s="22">
        <f>IFERROR(VLOOKUP($B340,'Лист4'!$D:$AI,32,0)," ")</f>
        <v>0.04</v>
      </c>
      <c r="DO340" s="22"/>
      <c r="DP340" s="22"/>
      <c r="DQ340" s="22"/>
      <c r="DR340" s="22"/>
      <c r="DS340" s="22"/>
      <c r="DT340" s="22"/>
      <c r="DU340" s="22"/>
      <c r="DV340" s="22"/>
      <c r="DW340" s="22"/>
      <c r="DX340" s="22"/>
      <c r="DY340" s="22"/>
      <c r="DZ340" s="22"/>
      <c r="EA340" s="22"/>
      <c r="EB340" s="22"/>
      <c r="EC340" s="22"/>
      <c r="ED340" s="22"/>
      <c r="EE340" s="22"/>
      <c r="EF340" s="22"/>
      <c r="EG340" s="22"/>
      <c r="EH340" s="22"/>
      <c r="EI340" s="22"/>
      <c r="EJ340" s="22"/>
      <c r="EK340" s="22"/>
      <c r="EL340" s="22"/>
      <c r="EM340" s="22"/>
      <c r="EN340" s="22"/>
      <c r="EO340" s="22"/>
      <c r="EP340" s="22"/>
      <c r="EQ340" s="22"/>
      <c r="ER340" s="22"/>
      <c r="ES340" s="43"/>
      <c r="ET340" s="43"/>
      <c r="EU340" s="43"/>
      <c r="EV340" s="43"/>
      <c r="EW340" s="43"/>
      <c r="EX340" s="43"/>
      <c r="EY340" s="43"/>
      <c r="EZ340" s="43"/>
      <c r="FA340" s="43"/>
      <c r="FB340" s="43"/>
      <c r="FC340" s="43"/>
      <c r="FD340" s="43"/>
      <c r="FE340" s="43"/>
      <c r="FF340" s="43"/>
      <c r="FG340" s="43"/>
      <c r="FH340" s="43"/>
      <c r="FI340" s="43"/>
    </row>
    <row r="341" ht="18.0" customHeight="1">
      <c r="A341" s="22" t="s">
        <v>2659</v>
      </c>
      <c r="B341" s="43" t="s">
        <v>5066</v>
      </c>
      <c r="C341" s="22" t="s">
        <v>2661</v>
      </c>
      <c r="D341" s="22" t="s">
        <v>119</v>
      </c>
      <c r="E341" s="43"/>
      <c r="F341" s="22" t="s">
        <v>5067</v>
      </c>
      <c r="G341" s="22" t="s">
        <v>361</v>
      </c>
      <c r="H341" s="22" t="s">
        <v>4676</v>
      </c>
      <c r="I341" s="43"/>
      <c r="J341" s="43"/>
      <c r="K341" s="22" t="b">
        <v>1</v>
      </c>
      <c r="L341" s="22" t="b">
        <v>1</v>
      </c>
      <c r="M341" s="22" t="b">
        <v>1</v>
      </c>
      <c r="N341" s="22" t="b">
        <v>1</v>
      </c>
      <c r="O341" s="22" t="b">
        <v>0</v>
      </c>
      <c r="P341" s="22" t="b">
        <v>0</v>
      </c>
      <c r="Q341" s="22" t="b">
        <v>0</v>
      </c>
      <c r="R341" s="43"/>
      <c r="S341" s="43" t="s">
        <v>5068</v>
      </c>
      <c r="T341" s="22" t="s">
        <v>5066</v>
      </c>
      <c r="U341" s="22" t="s">
        <v>5066</v>
      </c>
      <c r="V341" s="22" t="s">
        <v>5066</v>
      </c>
      <c r="W341" s="43"/>
      <c r="X341" s="43"/>
      <c r="Y341" s="43"/>
      <c r="Z341" s="43"/>
      <c r="AA341" s="22">
        <v>3.4283989E7</v>
      </c>
      <c r="AB341" s="22">
        <v>3.01630774E8</v>
      </c>
      <c r="AC341" s="22">
        <v>1.02174014381E11</v>
      </c>
      <c r="AD341" s="22"/>
      <c r="AE341" s="22"/>
      <c r="AF341" s="43"/>
      <c r="AG341" s="43"/>
      <c r="AH341" s="43" t="s">
        <v>5067</v>
      </c>
      <c r="AI341" s="22" t="s">
        <v>5069</v>
      </c>
      <c r="AJ341" s="22" t="s">
        <v>5070</v>
      </c>
      <c r="AK341" s="22" t="s">
        <v>5071</v>
      </c>
      <c r="AL341" s="43"/>
      <c r="AM341" s="43"/>
      <c r="AN341" s="43"/>
      <c r="AO341" s="43"/>
      <c r="AP341" s="46" t="s">
        <v>5072</v>
      </c>
      <c r="AQ341" s="46" t="s">
        <v>5073</v>
      </c>
      <c r="AR341" s="46" t="s">
        <v>5074</v>
      </c>
      <c r="AS341" s="43"/>
      <c r="AT341" s="43"/>
      <c r="AU341" s="43"/>
      <c r="AV341" s="43"/>
      <c r="AW341" s="22" t="s">
        <v>528</v>
      </c>
      <c r="AX341" s="22" t="s">
        <v>5070</v>
      </c>
      <c r="AY341" s="22" t="s">
        <v>2534</v>
      </c>
      <c r="AZ341" s="43"/>
      <c r="BA341" s="43"/>
      <c r="BB341" s="43"/>
      <c r="BC341" s="43"/>
      <c r="BD341" s="43" t="s">
        <v>2993</v>
      </c>
      <c r="BE341" s="59" t="s">
        <v>2755</v>
      </c>
      <c r="BF341" s="22" t="s">
        <v>131</v>
      </c>
      <c r="BG341" s="22" t="s">
        <v>132</v>
      </c>
      <c r="BH341" s="22" t="s">
        <v>132</v>
      </c>
      <c r="BI341" s="22" t="s">
        <v>132</v>
      </c>
      <c r="BJ341" s="43"/>
      <c r="BK341" s="43"/>
      <c r="BL341" s="22">
        <v>4.631157255768E12</v>
      </c>
      <c r="BM341" s="22">
        <v>2106.0</v>
      </c>
      <c r="BN341" s="22" t="s">
        <v>5075</v>
      </c>
      <c r="BO341" s="22"/>
      <c r="BP341" s="22" t="s">
        <v>145</v>
      </c>
      <c r="BQ341" s="43"/>
      <c r="BR341" s="43"/>
      <c r="BS341" s="22" t="s">
        <v>5076</v>
      </c>
      <c r="BT341" s="43"/>
      <c r="BU341" s="22" t="s">
        <v>5077</v>
      </c>
      <c r="BV341" s="43" t="s">
        <v>2777</v>
      </c>
      <c r="BW341" s="22" t="s">
        <v>5078</v>
      </c>
      <c r="BX341" s="22">
        <v>10.0</v>
      </c>
      <c r="BY341" s="22" t="s">
        <v>492</v>
      </c>
      <c r="BZ341" s="22"/>
      <c r="CA341" s="22" t="s">
        <v>3960</v>
      </c>
      <c r="CB341" s="22" t="s">
        <v>307</v>
      </c>
      <c r="CC341" s="45" t="s">
        <v>5079</v>
      </c>
      <c r="CD341" s="43"/>
      <c r="CE341" s="43"/>
      <c r="CF341" s="45"/>
      <c r="CG341" s="43"/>
      <c r="CH341" s="43"/>
      <c r="CI341" s="43"/>
      <c r="CJ341" s="43"/>
      <c r="CK341" s="43"/>
      <c r="CL341" s="43"/>
      <c r="CM341" s="49">
        <f>IFERROR(VLOOKUP(B341,CC!A:D,4,0)," ")</f>
        <v>94.21</v>
      </c>
      <c r="CN341" s="22" t="s">
        <v>5080</v>
      </c>
      <c r="CO341" s="22"/>
      <c r="CP341" s="43"/>
      <c r="CQ341" s="22" t="s">
        <v>401</v>
      </c>
      <c r="CR341" s="43"/>
      <c r="CS341" s="22">
        <v>1.0</v>
      </c>
      <c r="CT341" s="22" t="s">
        <v>145</v>
      </c>
      <c r="CU341" s="43"/>
      <c r="CV341" s="43"/>
      <c r="CW341" s="43"/>
      <c r="CX341" s="43"/>
      <c r="CY341" s="43" t="b">
        <v>0</v>
      </c>
      <c r="CZ341" s="43" t="b">
        <v>0</v>
      </c>
      <c r="DA341" s="43" t="b">
        <v>0</v>
      </c>
      <c r="DB341" s="43" t="b">
        <v>0</v>
      </c>
      <c r="DC341" s="43"/>
      <c r="DD341" s="43"/>
      <c r="DE341" s="43"/>
      <c r="DF341" s="43"/>
      <c r="DG341" s="43"/>
      <c r="DH341" s="43"/>
      <c r="DI341" s="43"/>
      <c r="DJ341" s="22">
        <f>IFERROR(VLOOKUP($B341,'Лист4'!$D:$AI,27,0)," ")</f>
        <v>12</v>
      </c>
      <c r="DK341" s="22">
        <f>IFERROR(VLOOKUP($B341,'Лист4'!$D:$AI,28,0)," ")</f>
        <v>2</v>
      </c>
      <c r="DL341" s="22">
        <f>IFERROR(VLOOKUP($B341,'Лист4'!$D:$AI,29,0)," ")</f>
        <v>12</v>
      </c>
      <c r="DM341" s="22">
        <f t="shared" si="3"/>
        <v>288</v>
      </c>
      <c r="DN341" s="22">
        <f>IFERROR(VLOOKUP($B341,'Лист4'!$D:$AI,32,0)," ")</f>
        <v>0.046</v>
      </c>
      <c r="DO341" s="22"/>
      <c r="DP341" s="22"/>
      <c r="DQ341" s="22"/>
      <c r="DR341" s="22"/>
      <c r="DS341" s="22"/>
      <c r="DT341" s="22"/>
      <c r="DU341" s="22"/>
      <c r="DV341" s="22"/>
      <c r="DW341" s="22"/>
      <c r="DX341" s="22"/>
      <c r="DY341" s="22"/>
      <c r="DZ341" s="22"/>
      <c r="EA341" s="22"/>
      <c r="EB341" s="22"/>
      <c r="EC341" s="22"/>
      <c r="ED341" s="22"/>
      <c r="EE341" s="22"/>
      <c r="EF341" s="22"/>
      <c r="EG341" s="22"/>
      <c r="EH341" s="22"/>
      <c r="EI341" s="22"/>
      <c r="EJ341" s="22"/>
      <c r="EK341" s="22"/>
      <c r="EL341" s="22"/>
      <c r="EM341" s="22"/>
      <c r="EN341" s="22"/>
      <c r="EO341" s="22"/>
      <c r="EP341" s="22"/>
      <c r="EQ341" s="22"/>
      <c r="ER341" s="22"/>
      <c r="ES341" s="43"/>
      <c r="ET341" s="43"/>
      <c r="EU341" s="43"/>
      <c r="EV341" s="43"/>
      <c r="EW341" s="43"/>
      <c r="EX341" s="43"/>
      <c r="EY341" s="43"/>
      <c r="EZ341" s="43"/>
      <c r="FA341" s="43"/>
      <c r="FB341" s="43"/>
      <c r="FC341" s="43"/>
      <c r="FD341" s="43"/>
      <c r="FE341" s="43"/>
      <c r="FF341" s="43"/>
      <c r="FG341" s="43"/>
      <c r="FH341" s="43"/>
      <c r="FI341" s="43"/>
    </row>
    <row r="342" ht="18.0" customHeight="1">
      <c r="A342" s="22" t="s">
        <v>2659</v>
      </c>
      <c r="B342" s="43" t="s">
        <v>5081</v>
      </c>
      <c r="C342" s="22" t="s">
        <v>2661</v>
      </c>
      <c r="D342" s="22" t="s">
        <v>119</v>
      </c>
      <c r="E342" s="43"/>
      <c r="F342" s="22" t="s">
        <v>5082</v>
      </c>
      <c r="G342" s="22" t="s">
        <v>2663</v>
      </c>
      <c r="H342" s="22" t="s">
        <v>5083</v>
      </c>
      <c r="I342" s="43"/>
      <c r="J342" s="43"/>
      <c r="K342" s="22" t="b">
        <v>1</v>
      </c>
      <c r="L342" s="22" t="b">
        <v>1</v>
      </c>
      <c r="M342" s="22" t="b">
        <v>1</v>
      </c>
      <c r="N342" s="22" t="b">
        <v>1</v>
      </c>
      <c r="O342" s="22" t="b">
        <v>0</v>
      </c>
      <c r="P342" s="22" t="b">
        <v>0</v>
      </c>
      <c r="Q342" s="22" t="b">
        <v>0</v>
      </c>
      <c r="R342" s="43"/>
      <c r="S342" s="43" t="s">
        <v>5084</v>
      </c>
      <c r="T342" s="22" t="s">
        <v>5085</v>
      </c>
      <c r="U342" s="22" t="s">
        <v>5081</v>
      </c>
      <c r="V342" s="22" t="s">
        <v>5081</v>
      </c>
      <c r="W342" s="43"/>
      <c r="X342" s="43"/>
      <c r="Y342" s="43"/>
      <c r="Z342" s="43"/>
      <c r="AA342" s="22">
        <v>4.1351094E7</v>
      </c>
      <c r="AB342" s="22">
        <v>3.27232798E8</v>
      </c>
      <c r="AC342" s="22">
        <v>1.01436838678E11</v>
      </c>
      <c r="AD342" s="22"/>
      <c r="AE342" s="22"/>
      <c r="AF342" s="43"/>
      <c r="AG342" s="43"/>
      <c r="AH342" s="43" t="s">
        <v>5082</v>
      </c>
      <c r="AI342" s="22" t="s">
        <v>5086</v>
      </c>
      <c r="AJ342" s="22" t="s">
        <v>5087</v>
      </c>
      <c r="AK342" s="22" t="s">
        <v>5087</v>
      </c>
      <c r="AL342" s="43"/>
      <c r="AM342" s="43"/>
      <c r="AN342" s="43"/>
      <c r="AO342" s="43"/>
      <c r="AP342" s="46" t="s">
        <v>5088</v>
      </c>
      <c r="AQ342" s="46" t="s">
        <v>5089</v>
      </c>
      <c r="AR342" s="46" t="s">
        <v>5090</v>
      </c>
      <c r="AS342" s="43"/>
      <c r="AT342" s="43"/>
      <c r="AU342" s="43"/>
      <c r="AV342" s="43"/>
      <c r="AW342" s="22" t="s">
        <v>649</v>
      </c>
      <c r="AX342" s="22" t="s">
        <v>5087</v>
      </c>
      <c r="AY342" s="22" t="s">
        <v>2692</v>
      </c>
      <c r="AZ342" s="43"/>
      <c r="BA342" s="43"/>
      <c r="BB342" s="43"/>
      <c r="BC342" s="43"/>
      <c r="BD342" s="43" t="s">
        <v>401</v>
      </c>
      <c r="BE342" s="59" t="s">
        <v>2755</v>
      </c>
      <c r="BF342" s="22" t="s">
        <v>131</v>
      </c>
      <c r="BG342" s="22" t="s">
        <v>132</v>
      </c>
      <c r="BH342" s="22" t="s">
        <v>132</v>
      </c>
      <c r="BI342" s="22" t="s">
        <v>132</v>
      </c>
      <c r="BJ342" s="43"/>
      <c r="BK342" s="43"/>
      <c r="BL342" s="22">
        <v>4.631136905165E12</v>
      </c>
      <c r="BM342" s="22">
        <v>2.103909009E9</v>
      </c>
      <c r="BN342" s="22" t="s">
        <v>4575</v>
      </c>
      <c r="BO342" s="22"/>
      <c r="BP342" s="22" t="s">
        <v>496</v>
      </c>
      <c r="BQ342" s="43"/>
      <c r="BR342" s="43"/>
      <c r="BS342" s="22" t="s">
        <v>5091</v>
      </c>
      <c r="BT342" s="43"/>
      <c r="BU342" s="22" t="s">
        <v>5092</v>
      </c>
      <c r="BV342" s="43" t="s">
        <v>2777</v>
      </c>
      <c r="BW342" s="22" t="s">
        <v>4848</v>
      </c>
      <c r="BX342" s="22"/>
      <c r="BY342" s="43"/>
      <c r="BZ342" s="43"/>
      <c r="CA342" s="22" t="s">
        <v>3960</v>
      </c>
      <c r="CB342" s="22" t="s">
        <v>401</v>
      </c>
      <c r="CC342" s="45" t="s">
        <v>5093</v>
      </c>
      <c r="CD342" s="43"/>
      <c r="CE342" s="43"/>
      <c r="CF342" s="45"/>
      <c r="CG342" s="43"/>
      <c r="CH342" s="43"/>
      <c r="CI342" s="43"/>
      <c r="CJ342" s="43"/>
      <c r="CK342" s="43"/>
      <c r="CL342" s="43"/>
      <c r="CM342" s="49">
        <f>IFERROR(VLOOKUP(B342,CC!A:D,4,0)," ")</f>
        <v>99.28</v>
      </c>
      <c r="CN342" s="22" t="s">
        <v>5094</v>
      </c>
      <c r="CO342" s="22"/>
      <c r="CP342" s="43"/>
      <c r="CQ342" s="22">
        <v>45.0</v>
      </c>
      <c r="CR342" s="43"/>
      <c r="CS342" s="22">
        <v>1.0</v>
      </c>
      <c r="CT342" s="22" t="s">
        <v>145</v>
      </c>
      <c r="CU342" s="43"/>
      <c r="CV342" s="43"/>
      <c r="CW342" s="43"/>
      <c r="CX342" s="43"/>
      <c r="CY342" s="43" t="b">
        <v>0</v>
      </c>
      <c r="CZ342" s="43" t="b">
        <v>0</v>
      </c>
      <c r="DA342" s="43" t="b">
        <v>0</v>
      </c>
      <c r="DB342" s="43" t="b">
        <v>0</v>
      </c>
      <c r="DC342" s="43"/>
      <c r="DD342" s="43"/>
      <c r="DE342" s="43"/>
      <c r="DF342" s="43"/>
      <c r="DG342" s="43"/>
      <c r="DH342" s="43"/>
      <c r="DI342" s="43"/>
      <c r="DJ342" s="22">
        <f>IFERROR(VLOOKUP($B342,'Лист4'!$D:$AI,27,0)," ")</f>
        <v>4</v>
      </c>
      <c r="DK342" s="22">
        <f>IFERROR(VLOOKUP($B342,'Лист4'!$D:$AI,28,0)," ")</f>
        <v>9</v>
      </c>
      <c r="DL342" s="22">
        <f>IFERROR(VLOOKUP($B342,'Лист4'!$D:$AI,29,0)," ")</f>
        <v>4</v>
      </c>
      <c r="DM342" s="22">
        <f t="shared" si="3"/>
        <v>144</v>
      </c>
      <c r="DN342" s="22">
        <f>IFERROR(VLOOKUP($B342,'Лист4'!$D:$AI,32,0)," ")</f>
        <v>0.046</v>
      </c>
      <c r="DO342" s="22"/>
      <c r="DP342" s="22"/>
      <c r="DQ342" s="22"/>
      <c r="DR342" s="22"/>
      <c r="DS342" s="22"/>
      <c r="DT342" s="22"/>
      <c r="DU342" s="22"/>
      <c r="DV342" s="22"/>
      <c r="DW342" s="22"/>
      <c r="DX342" s="22"/>
      <c r="DY342" s="22"/>
      <c r="DZ342" s="22"/>
      <c r="EA342" s="22"/>
      <c r="EB342" s="22"/>
      <c r="EC342" s="22"/>
      <c r="ED342" s="22"/>
      <c r="EE342" s="22"/>
      <c r="EF342" s="22"/>
      <c r="EG342" s="22"/>
      <c r="EH342" s="22"/>
      <c r="EI342" s="22"/>
      <c r="EJ342" s="22"/>
      <c r="EK342" s="22"/>
      <c r="EL342" s="22"/>
      <c r="EM342" s="22"/>
      <c r="EN342" s="22"/>
      <c r="EO342" s="22"/>
      <c r="EP342" s="22"/>
      <c r="EQ342" s="22"/>
      <c r="ER342" s="22"/>
      <c r="ES342" s="43"/>
      <c r="ET342" s="43"/>
      <c r="EU342" s="43"/>
      <c r="EV342" s="43"/>
      <c r="EW342" s="43"/>
      <c r="EX342" s="43"/>
      <c r="EY342" s="43"/>
      <c r="EZ342" s="43"/>
      <c r="FA342" s="43"/>
      <c r="FB342" s="43"/>
      <c r="FC342" s="43"/>
      <c r="FD342" s="43"/>
      <c r="FE342" s="43"/>
      <c r="FF342" s="43"/>
      <c r="FG342" s="43"/>
      <c r="FH342" s="43"/>
      <c r="FI342" s="43"/>
    </row>
    <row r="343" ht="18.0" customHeight="1">
      <c r="A343" s="22" t="s">
        <v>2659</v>
      </c>
      <c r="B343" s="43" t="s">
        <v>5095</v>
      </c>
      <c r="C343" s="22" t="s">
        <v>2661</v>
      </c>
      <c r="D343" s="22" t="s">
        <v>119</v>
      </c>
      <c r="E343" s="43"/>
      <c r="F343" s="22" t="s">
        <v>5096</v>
      </c>
      <c r="G343" s="22" t="s">
        <v>2663</v>
      </c>
      <c r="H343" s="22" t="s">
        <v>2718</v>
      </c>
      <c r="I343" s="43"/>
      <c r="J343" s="43"/>
      <c r="K343" s="22" t="b">
        <v>1</v>
      </c>
      <c r="L343" s="22" t="b">
        <v>1</v>
      </c>
      <c r="M343" s="22" t="b">
        <v>1</v>
      </c>
      <c r="N343" s="22" t="b">
        <v>1</v>
      </c>
      <c r="O343" s="22" t="b">
        <v>0</v>
      </c>
      <c r="P343" s="22" t="b">
        <v>0</v>
      </c>
      <c r="Q343" s="22" t="b">
        <v>0</v>
      </c>
      <c r="R343" s="43"/>
      <c r="S343" s="43" t="s">
        <v>5097</v>
      </c>
      <c r="T343" s="22" t="s">
        <v>5095</v>
      </c>
      <c r="U343" s="22" t="s">
        <v>5095</v>
      </c>
      <c r="V343" s="22" t="s">
        <v>5095</v>
      </c>
      <c r="W343" s="43"/>
      <c r="X343" s="43"/>
      <c r="Y343" s="43"/>
      <c r="Z343" s="43"/>
      <c r="AA343" s="22">
        <v>1.7902935E7</v>
      </c>
      <c r="AB343" s="22">
        <v>2.95356614E8</v>
      </c>
      <c r="AC343" s="22">
        <v>1.03515619478E11</v>
      </c>
      <c r="AD343" s="22"/>
      <c r="AE343" s="22"/>
      <c r="AF343" s="43"/>
      <c r="AG343" s="43"/>
      <c r="AH343" s="43" t="s">
        <v>5096</v>
      </c>
      <c r="AI343" s="22" t="s">
        <v>5098</v>
      </c>
      <c r="AJ343" s="22" t="s">
        <v>5099</v>
      </c>
      <c r="AK343" s="22" t="s">
        <v>5100</v>
      </c>
      <c r="AL343" s="43"/>
      <c r="AM343" s="43"/>
      <c r="AN343" s="43"/>
      <c r="AO343" s="43"/>
      <c r="AP343" s="46" t="s">
        <v>5101</v>
      </c>
      <c r="AQ343" s="46" t="s">
        <v>5102</v>
      </c>
      <c r="AR343" s="46" t="s">
        <v>5103</v>
      </c>
      <c r="AS343" s="43"/>
      <c r="AT343" s="43"/>
      <c r="AU343" s="43"/>
      <c r="AV343" s="43"/>
      <c r="AW343" s="22" t="s">
        <v>4667</v>
      </c>
      <c r="AX343" s="22" t="s">
        <v>5099</v>
      </c>
      <c r="AY343" s="22" t="s">
        <v>2692</v>
      </c>
      <c r="AZ343" s="43"/>
      <c r="BA343" s="43"/>
      <c r="BB343" s="43"/>
      <c r="BC343" s="43"/>
      <c r="BD343" s="43" t="s">
        <v>301</v>
      </c>
      <c r="BE343" s="59" t="s">
        <v>2755</v>
      </c>
      <c r="BF343" s="22" t="s">
        <v>131</v>
      </c>
      <c r="BG343" s="22" t="s">
        <v>132</v>
      </c>
      <c r="BH343" s="22" t="s">
        <v>132</v>
      </c>
      <c r="BI343" s="22" t="s">
        <v>132</v>
      </c>
      <c r="BJ343" s="43"/>
      <c r="BK343" s="43"/>
      <c r="BL343" s="22">
        <v>4.631148520929E12</v>
      </c>
      <c r="BM343" s="22">
        <v>2.106909808E9</v>
      </c>
      <c r="BN343" s="22" t="s">
        <v>5104</v>
      </c>
      <c r="BO343" s="22"/>
      <c r="BP343" s="22" t="s">
        <v>145</v>
      </c>
      <c r="BQ343" s="43"/>
      <c r="BR343" s="43"/>
      <c r="BS343" s="22" t="s">
        <v>5105</v>
      </c>
      <c r="BT343" s="43"/>
      <c r="BU343" s="22" t="s">
        <v>5106</v>
      </c>
      <c r="BV343" s="43" t="s">
        <v>5107</v>
      </c>
      <c r="BW343" s="22" t="s">
        <v>5108</v>
      </c>
      <c r="BX343" s="22">
        <v>10.0</v>
      </c>
      <c r="BY343" s="22" t="s">
        <v>492</v>
      </c>
      <c r="BZ343" s="22"/>
      <c r="CA343" s="22" t="s">
        <v>3960</v>
      </c>
      <c r="CB343" s="22" t="s">
        <v>307</v>
      </c>
      <c r="CC343" s="45" t="s">
        <v>5109</v>
      </c>
      <c r="CD343" s="43"/>
      <c r="CE343" s="43"/>
      <c r="CF343" s="45"/>
      <c r="CG343" s="43"/>
      <c r="CH343" s="43"/>
      <c r="CI343" s="43"/>
      <c r="CJ343" s="43"/>
      <c r="CK343" s="43"/>
      <c r="CL343" s="43"/>
      <c r="CM343" s="49">
        <f>IFERROR(VLOOKUP(B343,CC!A:D,4,0)," ")</f>
        <v>109.19</v>
      </c>
      <c r="CN343" s="22" t="s">
        <v>2681</v>
      </c>
      <c r="CO343" s="22"/>
      <c r="CP343" s="43"/>
      <c r="CQ343" s="22" t="s">
        <v>401</v>
      </c>
      <c r="CR343" s="43"/>
      <c r="CS343" s="22">
        <v>1.0</v>
      </c>
      <c r="CT343" s="22" t="s">
        <v>145</v>
      </c>
      <c r="CU343" s="43"/>
      <c r="CV343" s="43"/>
      <c r="CW343" s="43"/>
      <c r="CX343" s="43"/>
      <c r="CY343" s="43" t="b">
        <v>0</v>
      </c>
      <c r="CZ343" s="43" t="b">
        <v>0</v>
      </c>
      <c r="DA343" s="43" t="b">
        <v>0</v>
      </c>
      <c r="DB343" s="43" t="b">
        <v>0</v>
      </c>
      <c r="DC343" s="43"/>
      <c r="DD343" s="43"/>
      <c r="DE343" s="43"/>
      <c r="DF343" s="43"/>
      <c r="DG343" s="43"/>
      <c r="DH343" s="43"/>
      <c r="DI343" s="43"/>
      <c r="DJ343" s="22">
        <f>IFERROR(VLOOKUP($B343,'Лист4'!$D:$AI,27,0)," ")</f>
        <v>6</v>
      </c>
      <c r="DK343" s="22">
        <f>IFERROR(VLOOKUP($B343,'Лист4'!$D:$AI,28,0)," ")</f>
        <v>4</v>
      </c>
      <c r="DL343" s="22">
        <f>IFERROR(VLOOKUP($B343,'Лист4'!$D:$AI,29,0)," ")</f>
        <v>6</v>
      </c>
      <c r="DM343" s="22">
        <f t="shared" si="3"/>
        <v>144</v>
      </c>
      <c r="DN343" s="22">
        <f>IFERROR(VLOOKUP($B343,'Лист4'!$D:$AI,32,0)," ")</f>
        <v>0.05</v>
      </c>
      <c r="DO343" s="22"/>
      <c r="DP343" s="22"/>
      <c r="DQ343" s="22"/>
      <c r="DR343" s="22"/>
      <c r="DS343" s="22"/>
      <c r="DT343" s="22"/>
      <c r="DU343" s="22"/>
      <c r="DV343" s="22"/>
      <c r="DW343" s="22"/>
      <c r="DX343" s="22"/>
      <c r="DY343" s="22"/>
      <c r="DZ343" s="22"/>
      <c r="EA343" s="22"/>
      <c r="EB343" s="22"/>
      <c r="EC343" s="22"/>
      <c r="ED343" s="22"/>
      <c r="EE343" s="22"/>
      <c r="EF343" s="22"/>
      <c r="EG343" s="22"/>
      <c r="EH343" s="22"/>
      <c r="EI343" s="22"/>
      <c r="EJ343" s="22"/>
      <c r="EK343" s="22"/>
      <c r="EL343" s="22"/>
      <c r="EM343" s="22"/>
      <c r="EN343" s="22"/>
      <c r="EO343" s="22"/>
      <c r="EP343" s="22"/>
      <c r="EQ343" s="22"/>
      <c r="ER343" s="22"/>
      <c r="ES343" s="43"/>
      <c r="ET343" s="43"/>
      <c r="EU343" s="43"/>
      <c r="EV343" s="43"/>
      <c r="EW343" s="43"/>
      <c r="EX343" s="43"/>
      <c r="EY343" s="43"/>
      <c r="EZ343" s="43"/>
      <c r="FA343" s="43"/>
      <c r="FB343" s="43"/>
      <c r="FC343" s="43"/>
      <c r="FD343" s="43"/>
      <c r="FE343" s="43"/>
      <c r="FF343" s="43"/>
      <c r="FG343" s="43"/>
      <c r="FH343" s="43"/>
      <c r="FI343" s="43"/>
    </row>
    <row r="344" ht="18.0" customHeight="1">
      <c r="A344" s="22" t="s">
        <v>2659</v>
      </c>
      <c r="B344" s="43" t="s">
        <v>5110</v>
      </c>
      <c r="C344" s="22" t="s">
        <v>2661</v>
      </c>
      <c r="D344" s="22" t="s">
        <v>119</v>
      </c>
      <c r="E344" s="43"/>
      <c r="F344" s="22" t="s">
        <v>5111</v>
      </c>
      <c r="G344" s="22" t="s">
        <v>2663</v>
      </c>
      <c r="H344" s="22" t="s">
        <v>2684</v>
      </c>
      <c r="I344" s="43"/>
      <c r="J344" s="43"/>
      <c r="K344" s="22" t="b">
        <v>1</v>
      </c>
      <c r="L344" s="22" t="b">
        <v>1</v>
      </c>
      <c r="M344" s="22" t="b">
        <v>1</v>
      </c>
      <c r="N344" s="22" t="b">
        <v>1</v>
      </c>
      <c r="O344" s="22" t="b">
        <v>0</v>
      </c>
      <c r="P344" s="22" t="b">
        <v>0</v>
      </c>
      <c r="Q344" s="22" t="b">
        <v>0</v>
      </c>
      <c r="R344" s="43"/>
      <c r="S344" s="43" t="s">
        <v>5112</v>
      </c>
      <c r="T344" s="22" t="s">
        <v>5110</v>
      </c>
      <c r="U344" s="22" t="s">
        <v>5110</v>
      </c>
      <c r="V344" s="22" t="s">
        <v>5110</v>
      </c>
      <c r="W344" s="43"/>
      <c r="X344" s="43"/>
      <c r="Y344" s="43"/>
      <c r="Z344" s="43"/>
      <c r="AA344" s="22">
        <v>2.23155748E8</v>
      </c>
      <c r="AB344" s="22">
        <v>1.541839778E9</v>
      </c>
      <c r="AC344" s="22">
        <v>1.03515423988E11</v>
      </c>
      <c r="AD344" s="22"/>
      <c r="AE344" s="22"/>
      <c r="AF344" s="43"/>
      <c r="AG344" s="43"/>
      <c r="AH344" s="43" t="s">
        <v>5111</v>
      </c>
      <c r="AI344" s="22" t="s">
        <v>5113</v>
      </c>
      <c r="AJ344" s="22" t="s">
        <v>5114</v>
      </c>
      <c r="AK344" s="22" t="s">
        <v>5115</v>
      </c>
      <c r="AL344" s="43"/>
      <c r="AM344" s="43"/>
      <c r="AN344" s="43"/>
      <c r="AO344" s="43"/>
      <c r="AP344" s="46" t="s">
        <v>5116</v>
      </c>
      <c r="AQ344" s="46" t="s">
        <v>5117</v>
      </c>
      <c r="AR344" s="46" t="s">
        <v>5118</v>
      </c>
      <c r="AS344" s="43"/>
      <c r="AT344" s="43"/>
      <c r="AU344" s="43"/>
      <c r="AV344" s="43"/>
      <c r="AW344" s="22" t="s">
        <v>649</v>
      </c>
      <c r="AX344" s="22" t="s">
        <v>5114</v>
      </c>
      <c r="AY344" s="22" t="s">
        <v>372</v>
      </c>
      <c r="AZ344" s="43"/>
      <c r="BA344" s="43"/>
      <c r="BB344" s="43"/>
      <c r="BC344" s="43"/>
      <c r="BD344" s="43" t="s">
        <v>1449</v>
      </c>
      <c r="BE344" s="59" t="s">
        <v>2755</v>
      </c>
      <c r="BF344" s="22" t="s">
        <v>131</v>
      </c>
      <c r="BG344" s="22" t="s">
        <v>132</v>
      </c>
      <c r="BH344" s="22" t="s">
        <v>132</v>
      </c>
      <c r="BI344" s="22" t="s">
        <v>132</v>
      </c>
      <c r="BJ344" s="43"/>
      <c r="BK344" s="43"/>
      <c r="BL344" s="22">
        <v>4.610030632629E12</v>
      </c>
      <c r="BM344" s="22">
        <v>2.106909809E9</v>
      </c>
      <c r="BN344" s="22" t="s">
        <v>5119</v>
      </c>
      <c r="BO344" s="22"/>
      <c r="BP344" s="22" t="s">
        <v>145</v>
      </c>
      <c r="BQ344" s="43"/>
      <c r="BR344" s="43"/>
      <c r="BS344" s="22" t="s">
        <v>5120</v>
      </c>
      <c r="BT344" s="43"/>
      <c r="BU344" s="22" t="s">
        <v>5121</v>
      </c>
      <c r="BV344" s="43" t="s">
        <v>2697</v>
      </c>
      <c r="BW344" s="22" t="s">
        <v>4034</v>
      </c>
      <c r="BX344" s="22">
        <v>10.0</v>
      </c>
      <c r="BY344" s="22" t="s">
        <v>139</v>
      </c>
      <c r="BZ344" s="22"/>
      <c r="CA344" s="22" t="s">
        <v>355</v>
      </c>
      <c r="CB344" s="22" t="s">
        <v>307</v>
      </c>
      <c r="CC344" s="45" t="s">
        <v>5122</v>
      </c>
      <c r="CD344" s="43"/>
      <c r="CE344" s="43"/>
      <c r="CF344" s="45"/>
      <c r="CG344" s="43"/>
      <c r="CH344" s="43"/>
      <c r="CI344" s="43"/>
      <c r="CJ344" s="43"/>
      <c r="CK344" s="43"/>
      <c r="CL344" s="43"/>
      <c r="CM344" s="49">
        <f>IFERROR(VLOOKUP(B344,CC!A:D,4,0)," ")</f>
        <v>93.13</v>
      </c>
      <c r="CN344" s="22" t="s">
        <v>2715</v>
      </c>
      <c r="CO344" s="22"/>
      <c r="CP344" s="43"/>
      <c r="CQ344" s="22">
        <v>45.0</v>
      </c>
      <c r="CR344" s="43"/>
      <c r="CS344" s="22">
        <v>1.0</v>
      </c>
      <c r="CT344" s="22" t="s">
        <v>145</v>
      </c>
      <c r="CU344" s="43"/>
      <c r="CV344" s="43"/>
      <c r="CW344" s="43"/>
      <c r="CX344" s="43"/>
      <c r="CY344" s="43" t="b">
        <v>0</v>
      </c>
      <c r="CZ344" s="43" t="b">
        <v>0</v>
      </c>
      <c r="DA344" s="43" t="b">
        <v>0</v>
      </c>
      <c r="DB344" s="43" t="b">
        <v>0</v>
      </c>
      <c r="DC344" s="43"/>
      <c r="DD344" s="43"/>
      <c r="DE344" s="43"/>
      <c r="DF344" s="43"/>
      <c r="DG344" s="43"/>
      <c r="DH344" s="43"/>
      <c r="DI344" s="43"/>
      <c r="DJ344" s="22">
        <f>IFERROR(VLOOKUP($B344,'Лист4'!$D:$AI,27,0)," ")</f>
        <v>4</v>
      </c>
      <c r="DK344" s="22">
        <f>IFERROR(VLOOKUP($B344,'Лист4'!$D:$AI,28,0)," ")</f>
        <v>8</v>
      </c>
      <c r="DL344" s="22">
        <f>IFERROR(VLOOKUP($B344,'Лист4'!$D:$AI,29,0)," ")</f>
        <v>4</v>
      </c>
      <c r="DM344" s="22">
        <f t="shared" si="3"/>
        <v>128</v>
      </c>
      <c r="DN344" s="22">
        <f>IFERROR(VLOOKUP($B344,'Лист4'!$D:$AI,32,0)," ")</f>
        <v>0.046</v>
      </c>
      <c r="DO344" s="22"/>
      <c r="DP344" s="22"/>
      <c r="DQ344" s="22"/>
      <c r="DR344" s="22"/>
      <c r="DS344" s="22"/>
      <c r="DT344" s="22"/>
      <c r="DU344" s="22"/>
      <c r="DV344" s="22"/>
      <c r="DW344" s="22"/>
      <c r="DX344" s="22"/>
      <c r="DY344" s="22"/>
      <c r="DZ344" s="22"/>
      <c r="EA344" s="22"/>
      <c r="EB344" s="22"/>
      <c r="EC344" s="22"/>
      <c r="ED344" s="22"/>
      <c r="EE344" s="22"/>
      <c r="EF344" s="22"/>
      <c r="EG344" s="22"/>
      <c r="EH344" s="22"/>
      <c r="EI344" s="22"/>
      <c r="EJ344" s="22"/>
      <c r="EK344" s="22"/>
      <c r="EL344" s="22"/>
      <c r="EM344" s="22"/>
      <c r="EN344" s="22"/>
      <c r="EO344" s="22"/>
      <c r="EP344" s="22"/>
      <c r="EQ344" s="22"/>
      <c r="ER344" s="22"/>
      <c r="ES344" s="43"/>
      <c r="ET344" s="43"/>
      <c r="EU344" s="43"/>
      <c r="EV344" s="43"/>
      <c r="EW344" s="43"/>
      <c r="EX344" s="43"/>
      <c r="EY344" s="43"/>
      <c r="EZ344" s="43"/>
      <c r="FA344" s="43"/>
      <c r="FB344" s="43"/>
      <c r="FC344" s="43"/>
      <c r="FD344" s="43"/>
      <c r="FE344" s="43"/>
      <c r="FF344" s="43"/>
      <c r="FG344" s="43"/>
      <c r="FH344" s="43"/>
      <c r="FI344" s="43"/>
    </row>
    <row r="345" ht="18.0" customHeight="1">
      <c r="A345" s="22" t="s">
        <v>2659</v>
      </c>
      <c r="B345" s="43" t="s">
        <v>5123</v>
      </c>
      <c r="C345" s="22" t="s">
        <v>2661</v>
      </c>
      <c r="D345" s="22" t="s">
        <v>119</v>
      </c>
      <c r="E345" s="43"/>
      <c r="F345" s="22" t="s">
        <v>5124</v>
      </c>
      <c r="G345" s="22" t="s">
        <v>2663</v>
      </c>
      <c r="H345" s="22" t="s">
        <v>2718</v>
      </c>
      <c r="I345" s="43"/>
      <c r="J345" s="43"/>
      <c r="K345" s="22" t="b">
        <v>1</v>
      </c>
      <c r="L345" s="22" t="b">
        <v>1</v>
      </c>
      <c r="M345" s="22" t="b">
        <v>1</v>
      </c>
      <c r="N345" s="22" t="b">
        <v>0</v>
      </c>
      <c r="O345" s="22" t="b">
        <v>0</v>
      </c>
      <c r="P345" s="22" t="b">
        <v>0</v>
      </c>
      <c r="Q345" s="22" t="b">
        <v>0</v>
      </c>
      <c r="R345" s="43"/>
      <c r="S345" s="43" t="s">
        <v>5125</v>
      </c>
      <c r="T345" s="22" t="s">
        <v>5123</v>
      </c>
      <c r="U345" s="22" t="s">
        <v>5123</v>
      </c>
      <c r="V345" s="22"/>
      <c r="W345" s="43"/>
      <c r="X345" s="43"/>
      <c r="Y345" s="43"/>
      <c r="Z345" s="43"/>
      <c r="AA345" s="22">
        <v>4.5641409E7</v>
      </c>
      <c r="AB345" s="22">
        <v>2.91910198E8</v>
      </c>
      <c r="AC345" s="22"/>
      <c r="AD345" s="22"/>
      <c r="AE345" s="22"/>
      <c r="AF345" s="43"/>
      <c r="AG345" s="43"/>
      <c r="AH345" s="43" t="s">
        <v>5124</v>
      </c>
      <c r="AI345" s="22" t="s">
        <v>5126</v>
      </c>
      <c r="AJ345" s="22" t="s">
        <v>5127</v>
      </c>
      <c r="AK345" s="43"/>
      <c r="AL345" s="43"/>
      <c r="AM345" s="43"/>
      <c r="AN345" s="43"/>
      <c r="AO345" s="43"/>
      <c r="AP345" s="46" t="s">
        <v>5128</v>
      </c>
      <c r="AQ345" s="46" t="s">
        <v>5129</v>
      </c>
      <c r="AR345" s="43"/>
      <c r="AS345" s="43"/>
      <c r="AT345" s="43"/>
      <c r="AU345" s="43"/>
      <c r="AV345" s="43"/>
      <c r="AW345" s="22" t="s">
        <v>4667</v>
      </c>
      <c r="AX345" s="22" t="s">
        <v>5127</v>
      </c>
      <c r="AY345" s="43"/>
      <c r="AZ345" s="43"/>
      <c r="BA345" s="43"/>
      <c r="BB345" s="43"/>
      <c r="BC345" s="43"/>
      <c r="BD345" s="43" t="s">
        <v>301</v>
      </c>
      <c r="BE345" s="59" t="s">
        <v>2674</v>
      </c>
      <c r="BF345" s="22" t="s">
        <v>131</v>
      </c>
      <c r="BG345" s="22" t="s">
        <v>132</v>
      </c>
      <c r="BH345" s="22" t="s">
        <v>132</v>
      </c>
      <c r="BI345" s="22" t="s">
        <v>132</v>
      </c>
      <c r="BJ345" s="43"/>
      <c r="BK345" s="43"/>
      <c r="BL345" s="22">
        <v>4.631148520912E12</v>
      </c>
      <c r="BM345" s="22">
        <v>2.106909808E9</v>
      </c>
      <c r="BN345" s="22" t="s">
        <v>5130</v>
      </c>
      <c r="BO345" s="22"/>
      <c r="BP345" s="22" t="s">
        <v>145</v>
      </c>
      <c r="BQ345" s="43"/>
      <c r="BR345" s="43"/>
      <c r="BS345" s="22" t="s">
        <v>5131</v>
      </c>
      <c r="BT345" s="43"/>
      <c r="BU345" s="22" t="s">
        <v>5106</v>
      </c>
      <c r="BV345" s="43" t="s">
        <v>5107</v>
      </c>
      <c r="BW345" s="22" t="s">
        <v>4848</v>
      </c>
      <c r="BX345" s="22">
        <v>10.0</v>
      </c>
      <c r="BY345" s="60" t="s">
        <v>5132</v>
      </c>
      <c r="BZ345" s="60"/>
      <c r="CA345" s="22" t="s">
        <v>3960</v>
      </c>
      <c r="CB345" s="22" t="s">
        <v>307</v>
      </c>
      <c r="CC345" s="45" t="s">
        <v>5133</v>
      </c>
      <c r="CD345" s="43"/>
      <c r="CE345" s="43"/>
      <c r="CF345" s="45"/>
      <c r="CG345" s="43"/>
      <c r="CH345" s="43"/>
      <c r="CI345" s="43"/>
      <c r="CJ345" s="43"/>
      <c r="CK345" s="43"/>
      <c r="CL345" s="43"/>
      <c r="CM345" s="49">
        <f>IFERROR(VLOOKUP(B345,CC!A:D,4,0)," ")</f>
        <v>166.98</v>
      </c>
      <c r="CN345" s="22" t="s">
        <v>3330</v>
      </c>
      <c r="CO345" s="22"/>
      <c r="CP345" s="43"/>
      <c r="CQ345" s="22" t="s">
        <v>401</v>
      </c>
      <c r="CR345" s="43"/>
      <c r="CS345" s="22">
        <v>1.0</v>
      </c>
      <c r="CT345" s="22" t="s">
        <v>145</v>
      </c>
      <c r="CU345" s="43"/>
      <c r="CV345" s="43"/>
      <c r="CW345" s="43"/>
      <c r="CX345" s="43"/>
      <c r="CY345" s="43" t="b">
        <v>0</v>
      </c>
      <c r="CZ345" s="43" t="b">
        <v>0</v>
      </c>
      <c r="DA345" s="43" t="b">
        <v>0</v>
      </c>
      <c r="DB345" s="43" t="b">
        <v>0</v>
      </c>
      <c r="DC345" s="43"/>
      <c r="DD345" s="43"/>
      <c r="DE345" s="43"/>
      <c r="DF345" s="43"/>
      <c r="DG345" s="43"/>
      <c r="DH345" s="43"/>
      <c r="DI345" s="43"/>
      <c r="DJ345" s="22">
        <f>IFERROR(VLOOKUP($B345,'Лист4'!$D:$AI,27,0)," ")</f>
        <v>6</v>
      </c>
      <c r="DK345" s="22">
        <f>IFERROR(VLOOKUP($B345,'Лист4'!$D:$AI,28,0)," ")</f>
        <v>4</v>
      </c>
      <c r="DL345" s="22">
        <f>IFERROR(VLOOKUP($B345,'Лист4'!$D:$AI,29,0)," ")</f>
        <v>6</v>
      </c>
      <c r="DM345" s="22">
        <f t="shared" si="3"/>
        <v>144</v>
      </c>
      <c r="DN345" s="22">
        <f>IFERROR(VLOOKUP($B345,'Лист4'!$D:$AI,32,0)," ")</f>
        <v>0.038</v>
      </c>
      <c r="DO345" s="22"/>
      <c r="DP345" s="22"/>
      <c r="DQ345" s="22"/>
      <c r="DR345" s="22"/>
      <c r="DS345" s="22"/>
      <c r="DT345" s="22"/>
      <c r="DU345" s="22"/>
      <c r="DV345" s="22"/>
      <c r="DW345" s="22"/>
      <c r="DX345" s="22"/>
      <c r="DY345" s="22"/>
      <c r="DZ345" s="22"/>
      <c r="EA345" s="22"/>
      <c r="EB345" s="22"/>
      <c r="EC345" s="22"/>
      <c r="ED345" s="22"/>
      <c r="EE345" s="22"/>
      <c r="EF345" s="22"/>
      <c r="EG345" s="22"/>
      <c r="EH345" s="22"/>
      <c r="EI345" s="22"/>
      <c r="EJ345" s="22"/>
      <c r="EK345" s="22"/>
      <c r="EL345" s="22"/>
      <c r="EM345" s="22"/>
      <c r="EN345" s="22"/>
      <c r="EO345" s="22"/>
      <c r="EP345" s="22"/>
      <c r="EQ345" s="22"/>
      <c r="ER345" s="22"/>
      <c r="ES345" s="43"/>
      <c r="ET345" s="43"/>
      <c r="EU345" s="43"/>
      <c r="EV345" s="43"/>
      <c r="EW345" s="43"/>
      <c r="EX345" s="43"/>
      <c r="EY345" s="43"/>
      <c r="EZ345" s="43"/>
      <c r="FA345" s="43"/>
      <c r="FB345" s="43"/>
      <c r="FC345" s="43"/>
      <c r="FD345" s="43"/>
      <c r="FE345" s="43"/>
      <c r="FF345" s="43"/>
      <c r="FG345" s="43"/>
      <c r="FH345" s="43"/>
      <c r="FI345" s="43"/>
    </row>
    <row r="346" ht="18.0" customHeight="1">
      <c r="A346" s="22" t="s">
        <v>2659</v>
      </c>
      <c r="B346" s="43" t="s">
        <v>5134</v>
      </c>
      <c r="C346" s="22" t="s">
        <v>2741</v>
      </c>
      <c r="D346" s="22" t="s">
        <v>187</v>
      </c>
      <c r="E346" s="43" t="s">
        <v>3821</v>
      </c>
      <c r="F346" s="22" t="s">
        <v>5135</v>
      </c>
      <c r="G346" s="22" t="s">
        <v>361</v>
      </c>
      <c r="H346" s="22" t="s">
        <v>4676</v>
      </c>
      <c r="I346" s="43"/>
      <c r="J346" s="43"/>
      <c r="K346" s="22" t="b">
        <v>1</v>
      </c>
      <c r="L346" s="22" t="b">
        <v>1</v>
      </c>
      <c r="M346" s="22" t="b">
        <v>1</v>
      </c>
      <c r="N346" s="22" t="b">
        <v>1</v>
      </c>
      <c r="O346" s="22" t="b">
        <v>0</v>
      </c>
      <c r="P346" s="22" t="b">
        <v>0</v>
      </c>
      <c r="Q346" s="22" t="b">
        <v>0</v>
      </c>
      <c r="R346" s="43"/>
      <c r="S346" s="43" t="s">
        <v>5136</v>
      </c>
      <c r="T346" s="22" t="s">
        <v>5134</v>
      </c>
      <c r="U346" s="22" t="s">
        <v>5134</v>
      </c>
      <c r="V346" s="22" t="s">
        <v>5134</v>
      </c>
      <c r="W346" s="43"/>
      <c r="X346" s="43"/>
      <c r="Y346" s="43"/>
      <c r="Z346" s="43"/>
      <c r="AA346" s="22">
        <v>2.23763016E8</v>
      </c>
      <c r="AB346" s="22">
        <v>1.548063119E9</v>
      </c>
      <c r="AC346" s="22">
        <v>1.0351541241E11</v>
      </c>
      <c r="AD346" s="22"/>
      <c r="AE346" s="22"/>
      <c r="AF346" s="43"/>
      <c r="AG346" s="43"/>
      <c r="AH346" s="43" t="s">
        <v>5135</v>
      </c>
      <c r="AI346" s="22" t="s">
        <v>5137</v>
      </c>
      <c r="AJ346" s="22" t="s">
        <v>5138</v>
      </c>
      <c r="AK346" s="22" t="s">
        <v>5138</v>
      </c>
      <c r="AL346" s="43"/>
      <c r="AM346" s="43"/>
      <c r="AN346" s="43"/>
      <c r="AO346" s="43"/>
      <c r="AP346" s="46" t="s">
        <v>5139</v>
      </c>
      <c r="AQ346" s="46" t="s">
        <v>5140</v>
      </c>
      <c r="AR346" s="46" t="s">
        <v>5141</v>
      </c>
      <c r="AS346" s="43"/>
      <c r="AT346" s="43"/>
      <c r="AU346" s="43"/>
      <c r="AV346" s="43"/>
      <c r="AW346" s="22" t="s">
        <v>361</v>
      </c>
      <c r="AX346" s="22" t="s">
        <v>5138</v>
      </c>
      <c r="AY346" s="22" t="s">
        <v>2534</v>
      </c>
      <c r="AZ346" s="43"/>
      <c r="BA346" s="43"/>
      <c r="BB346" s="43"/>
      <c r="BC346" s="43"/>
      <c r="BD346" s="43" t="s">
        <v>2993</v>
      </c>
      <c r="BE346" s="59" t="s">
        <v>2755</v>
      </c>
      <c r="BF346" s="22" t="s">
        <v>131</v>
      </c>
      <c r="BG346" s="22" t="s">
        <v>132</v>
      </c>
      <c r="BH346" s="22" t="s">
        <v>132</v>
      </c>
      <c r="BI346" s="22" t="s">
        <v>132</v>
      </c>
      <c r="BJ346" s="43"/>
      <c r="BK346" s="43"/>
      <c r="BL346" s="22">
        <v>4.627193453695E12</v>
      </c>
      <c r="BM346" s="22">
        <v>2.106909808E9</v>
      </c>
      <c r="BN346" s="22" t="s">
        <v>5142</v>
      </c>
      <c r="BO346" s="22"/>
      <c r="BP346" s="22" t="s">
        <v>496</v>
      </c>
      <c r="BQ346" s="43"/>
      <c r="BR346" s="43"/>
      <c r="BS346" s="22" t="s">
        <v>5143</v>
      </c>
      <c r="BT346" s="43"/>
      <c r="BU346" s="22" t="s">
        <v>5144</v>
      </c>
      <c r="BV346" s="43" t="s">
        <v>3272</v>
      </c>
      <c r="BW346" s="22" t="s">
        <v>3273</v>
      </c>
      <c r="BX346" s="22">
        <v>60.0</v>
      </c>
      <c r="BY346" s="22" t="s">
        <v>492</v>
      </c>
      <c r="BZ346" s="22"/>
      <c r="CA346" s="22" t="s">
        <v>355</v>
      </c>
      <c r="CB346" s="22" t="s">
        <v>307</v>
      </c>
      <c r="CC346" s="45" t="s">
        <v>5145</v>
      </c>
      <c r="CD346" s="43"/>
      <c r="CE346" s="43"/>
      <c r="CF346" s="45"/>
      <c r="CG346" s="43"/>
      <c r="CH346" s="43"/>
      <c r="CI346" s="43"/>
      <c r="CJ346" s="43"/>
      <c r="CK346" s="43"/>
      <c r="CL346" s="43"/>
      <c r="CM346" s="49">
        <f>IFERROR(VLOOKUP(B346,CC!A:D,4,0)," ")</f>
        <v>152.69</v>
      </c>
      <c r="CN346" s="22" t="s">
        <v>4690</v>
      </c>
      <c r="CO346" s="22"/>
      <c r="CP346" s="22" t="s">
        <v>805</v>
      </c>
      <c r="CQ346" s="22">
        <v>90.0</v>
      </c>
      <c r="CR346" s="43"/>
      <c r="CS346" s="22">
        <v>1.0</v>
      </c>
      <c r="CT346" s="22" t="s">
        <v>145</v>
      </c>
      <c r="CU346" s="43"/>
      <c r="CV346" s="43"/>
      <c r="CW346" s="43"/>
      <c r="CX346" s="43"/>
      <c r="CY346" s="43" t="b">
        <v>0</v>
      </c>
      <c r="CZ346" s="43" t="b">
        <v>0</v>
      </c>
      <c r="DA346" s="43" t="b">
        <v>0</v>
      </c>
      <c r="DB346" s="43" t="b">
        <v>0</v>
      </c>
      <c r="DC346" s="43"/>
      <c r="DD346" s="43"/>
      <c r="DE346" s="43"/>
      <c r="DF346" s="43"/>
      <c r="DG346" s="43"/>
      <c r="DH346" s="43"/>
      <c r="DI346" s="43"/>
      <c r="DJ346" s="22">
        <f>IFERROR(VLOOKUP($B346,'Лист4'!$D:$AI,27,0)," ")</f>
        <v>3</v>
      </c>
      <c r="DK346" s="22">
        <f>IFERROR(VLOOKUP($B346,'Лист4'!$D:$AI,28,0)," ")</f>
        <v>9</v>
      </c>
      <c r="DL346" s="22">
        <f>IFERROR(VLOOKUP($B346,'Лист4'!$D:$AI,29,0)," ")</f>
        <v>3</v>
      </c>
      <c r="DM346" s="22">
        <f t="shared" si="3"/>
        <v>81</v>
      </c>
      <c r="DN346" s="22">
        <f>IFERROR(VLOOKUP($B346,'Лист4'!$D:$AI,32,0)," ")</f>
        <v>0.03</v>
      </c>
      <c r="DO346" s="22"/>
      <c r="DP346" s="22"/>
      <c r="DQ346" s="22"/>
      <c r="DR346" s="22"/>
      <c r="DS346" s="22"/>
      <c r="DT346" s="22"/>
      <c r="DU346" s="22"/>
      <c r="DV346" s="22"/>
      <c r="DW346" s="22"/>
      <c r="DX346" s="22"/>
      <c r="DY346" s="22"/>
      <c r="DZ346" s="22"/>
      <c r="EA346" s="22"/>
      <c r="EB346" s="22"/>
      <c r="EC346" s="22"/>
      <c r="ED346" s="22"/>
      <c r="EE346" s="22"/>
      <c r="EF346" s="22"/>
      <c r="EG346" s="22"/>
      <c r="EH346" s="22"/>
      <c r="EI346" s="22"/>
      <c r="EJ346" s="22"/>
      <c r="EK346" s="22"/>
      <c r="EL346" s="22"/>
      <c r="EM346" s="22"/>
      <c r="EN346" s="22"/>
      <c r="EO346" s="22"/>
      <c r="EP346" s="22"/>
      <c r="EQ346" s="22"/>
      <c r="ER346" s="22"/>
      <c r="ES346" s="43"/>
      <c r="ET346" s="43"/>
      <c r="EU346" s="43"/>
      <c r="EV346" s="43"/>
      <c r="EW346" s="43"/>
      <c r="EX346" s="43"/>
      <c r="EY346" s="43"/>
      <c r="EZ346" s="43"/>
      <c r="FA346" s="43"/>
      <c r="FB346" s="43"/>
      <c r="FC346" s="43"/>
      <c r="FD346" s="43"/>
      <c r="FE346" s="43"/>
      <c r="FF346" s="43"/>
      <c r="FG346" s="43"/>
      <c r="FH346" s="43"/>
      <c r="FI346" s="43"/>
    </row>
    <row r="347" ht="18.0" customHeight="1">
      <c r="A347" s="22" t="s">
        <v>2659</v>
      </c>
      <c r="B347" s="43" t="s">
        <v>5146</v>
      </c>
      <c r="C347" s="22" t="s">
        <v>2741</v>
      </c>
      <c r="D347" s="22" t="s">
        <v>187</v>
      </c>
      <c r="E347" s="43" t="s">
        <v>3821</v>
      </c>
      <c r="F347" s="22" t="s">
        <v>5147</v>
      </c>
      <c r="G347" s="22" t="s">
        <v>361</v>
      </c>
      <c r="H347" s="22" t="s">
        <v>4676</v>
      </c>
      <c r="I347" s="43"/>
      <c r="J347" s="43"/>
      <c r="K347" s="22" t="b">
        <v>1</v>
      </c>
      <c r="L347" s="22" t="b">
        <v>1</v>
      </c>
      <c r="M347" s="22" t="b">
        <v>1</v>
      </c>
      <c r="N347" s="22" t="b">
        <v>1</v>
      </c>
      <c r="O347" s="22" t="b">
        <v>0</v>
      </c>
      <c r="P347" s="22" t="b">
        <v>0</v>
      </c>
      <c r="Q347" s="22" t="b">
        <v>0</v>
      </c>
      <c r="R347" s="43"/>
      <c r="S347" s="43" t="s">
        <v>5148</v>
      </c>
      <c r="T347" s="22" t="s">
        <v>5146</v>
      </c>
      <c r="U347" s="22" t="s">
        <v>5146</v>
      </c>
      <c r="V347" s="22" t="s">
        <v>5146</v>
      </c>
      <c r="W347" s="43"/>
      <c r="X347" s="43"/>
      <c r="Y347" s="43"/>
      <c r="Z347" s="43"/>
      <c r="AA347" s="22">
        <v>1.67208205E8</v>
      </c>
      <c r="AB347" s="22">
        <v>1.08225213E9</v>
      </c>
      <c r="AC347" s="22">
        <v>1.0207657167E11</v>
      </c>
      <c r="AD347" s="22"/>
      <c r="AE347" s="22"/>
      <c r="AF347" s="43"/>
      <c r="AG347" s="43"/>
      <c r="AH347" s="43" t="s">
        <v>5147</v>
      </c>
      <c r="AI347" s="22" t="s">
        <v>5149</v>
      </c>
      <c r="AJ347" s="22" t="s">
        <v>5150</v>
      </c>
      <c r="AK347" s="22" t="s">
        <v>5150</v>
      </c>
      <c r="AL347" s="43"/>
      <c r="AM347" s="43"/>
      <c r="AN347" s="43"/>
      <c r="AO347" s="43"/>
      <c r="AP347" s="46" t="s">
        <v>5151</v>
      </c>
      <c r="AQ347" s="46" t="s">
        <v>5152</v>
      </c>
      <c r="AR347" s="46" t="s">
        <v>5153</v>
      </c>
      <c r="AS347" s="43"/>
      <c r="AT347" s="43"/>
      <c r="AU347" s="43"/>
      <c r="AV347" s="43"/>
      <c r="AW347" s="22" t="s">
        <v>528</v>
      </c>
      <c r="AX347" s="22" t="s">
        <v>5150</v>
      </c>
      <c r="AY347" s="22" t="s">
        <v>2534</v>
      </c>
      <c r="AZ347" s="43"/>
      <c r="BA347" s="43"/>
      <c r="BB347" s="43"/>
      <c r="BC347" s="43"/>
      <c r="BD347" s="43" t="s">
        <v>2993</v>
      </c>
      <c r="BE347" s="59" t="s">
        <v>2755</v>
      </c>
      <c r="BF347" s="22" t="s">
        <v>131</v>
      </c>
      <c r="BG347" s="22" t="s">
        <v>132</v>
      </c>
      <c r="BH347" s="22" t="s">
        <v>132</v>
      </c>
      <c r="BI347" s="22" t="s">
        <v>132</v>
      </c>
      <c r="BJ347" s="43"/>
      <c r="BK347" s="43"/>
      <c r="BL347" s="22">
        <v>4.610030631134E12</v>
      </c>
      <c r="BM347" s="22">
        <v>2.106909809E9</v>
      </c>
      <c r="BN347" s="22" t="s">
        <v>5154</v>
      </c>
      <c r="BO347" s="22"/>
      <c r="BP347" s="22" t="s">
        <v>496</v>
      </c>
      <c r="BQ347" s="43"/>
      <c r="BR347" s="43"/>
      <c r="BS347" s="22" t="s">
        <v>5155</v>
      </c>
      <c r="BT347" s="43"/>
      <c r="BU347" s="22" t="s">
        <v>4434</v>
      </c>
      <c r="BV347" s="43" t="s">
        <v>675</v>
      </c>
      <c r="BW347" s="22" t="s">
        <v>4436</v>
      </c>
      <c r="BX347" s="22">
        <v>60.0</v>
      </c>
      <c r="BY347" s="22" t="s">
        <v>492</v>
      </c>
      <c r="BZ347" s="22"/>
      <c r="CA347" s="22" t="s">
        <v>355</v>
      </c>
      <c r="CB347" s="22" t="s">
        <v>307</v>
      </c>
      <c r="CC347" s="45" t="s">
        <v>5156</v>
      </c>
      <c r="CD347" s="43"/>
      <c r="CE347" s="43"/>
      <c r="CF347" s="45"/>
      <c r="CG347" s="43"/>
      <c r="CH347" s="43"/>
      <c r="CI347" s="43"/>
      <c r="CJ347" s="43"/>
      <c r="CK347" s="43"/>
      <c r="CL347" s="43"/>
      <c r="CM347" s="49">
        <f>IFERROR(VLOOKUP(B347,CC!A:D,4,0)," ")</f>
        <v>145</v>
      </c>
      <c r="CN347" s="22" t="s">
        <v>4690</v>
      </c>
      <c r="CO347" s="22"/>
      <c r="CP347" s="22" t="s">
        <v>5157</v>
      </c>
      <c r="CQ347" s="22">
        <v>90.0</v>
      </c>
      <c r="CR347" s="43"/>
      <c r="CS347" s="22">
        <v>1.0</v>
      </c>
      <c r="CT347" s="22" t="s">
        <v>145</v>
      </c>
      <c r="CU347" s="43"/>
      <c r="CV347" s="43"/>
      <c r="CW347" s="43"/>
      <c r="CX347" s="43"/>
      <c r="CY347" s="43" t="b">
        <v>0</v>
      </c>
      <c r="CZ347" s="43" t="b">
        <v>0</v>
      </c>
      <c r="DA347" s="43" t="b">
        <v>0</v>
      </c>
      <c r="DB347" s="43" t="b">
        <v>0</v>
      </c>
      <c r="DC347" s="43"/>
      <c r="DD347" s="43"/>
      <c r="DE347" s="43"/>
      <c r="DF347" s="43"/>
      <c r="DG347" s="43"/>
      <c r="DH347" s="43"/>
      <c r="DI347" s="43"/>
      <c r="DJ347" s="22">
        <f>IFERROR(VLOOKUP($B347,'Лист4'!$D:$AI,27,0)," ")</f>
        <v>5</v>
      </c>
      <c r="DK347" s="22">
        <f>IFERROR(VLOOKUP($B347,'Лист4'!$D:$AI,28,0)," ")</f>
        <v>13</v>
      </c>
      <c r="DL347" s="22">
        <f>IFERROR(VLOOKUP($B347,'Лист4'!$D:$AI,29,0)," ")</f>
        <v>5</v>
      </c>
      <c r="DM347" s="22">
        <f t="shared" si="3"/>
        <v>325</v>
      </c>
      <c r="DN347" s="22">
        <f>IFERROR(VLOOKUP($B347,'Лист4'!$D:$AI,32,0)," ")</f>
        <v>0.03</v>
      </c>
      <c r="DO347" s="22"/>
      <c r="DP347" s="22"/>
      <c r="DQ347" s="22"/>
      <c r="DR347" s="22"/>
      <c r="DS347" s="22"/>
      <c r="DT347" s="22"/>
      <c r="DU347" s="22"/>
      <c r="DV347" s="22"/>
      <c r="DW347" s="22"/>
      <c r="DX347" s="22"/>
      <c r="DY347" s="22"/>
      <c r="DZ347" s="22"/>
      <c r="EA347" s="22"/>
      <c r="EB347" s="22"/>
      <c r="EC347" s="22"/>
      <c r="ED347" s="22"/>
      <c r="EE347" s="22"/>
      <c r="EF347" s="22"/>
      <c r="EG347" s="22"/>
      <c r="EH347" s="22"/>
      <c r="EI347" s="22"/>
      <c r="EJ347" s="22"/>
      <c r="EK347" s="22"/>
      <c r="EL347" s="22"/>
      <c r="EM347" s="22"/>
      <c r="EN347" s="22"/>
      <c r="EO347" s="22"/>
      <c r="EP347" s="22"/>
      <c r="EQ347" s="22"/>
      <c r="ER347" s="22"/>
      <c r="ES347" s="43"/>
      <c r="ET347" s="43"/>
      <c r="EU347" s="43"/>
      <c r="EV347" s="43"/>
      <c r="EW347" s="43"/>
      <c r="EX347" s="43"/>
      <c r="EY347" s="43"/>
      <c r="EZ347" s="43"/>
      <c r="FA347" s="43"/>
      <c r="FB347" s="43"/>
      <c r="FC347" s="43"/>
      <c r="FD347" s="43"/>
      <c r="FE347" s="43"/>
      <c r="FF347" s="43"/>
      <c r="FG347" s="43"/>
      <c r="FH347" s="43"/>
      <c r="FI347" s="43"/>
    </row>
    <row r="348" ht="18.0" customHeight="1">
      <c r="A348" s="22" t="s">
        <v>2659</v>
      </c>
      <c r="B348" s="43" t="s">
        <v>5158</v>
      </c>
      <c r="C348" s="22" t="s">
        <v>2661</v>
      </c>
      <c r="D348" s="22" t="s">
        <v>119</v>
      </c>
      <c r="E348" s="43"/>
      <c r="F348" s="22" t="s">
        <v>5159</v>
      </c>
      <c r="G348" s="22" t="s">
        <v>2663</v>
      </c>
      <c r="H348" s="22" t="s">
        <v>2860</v>
      </c>
      <c r="I348" s="43"/>
      <c r="J348" s="43"/>
      <c r="K348" s="22" t="b">
        <v>1</v>
      </c>
      <c r="L348" s="22" t="b">
        <v>1</v>
      </c>
      <c r="M348" s="22" t="b">
        <v>1</v>
      </c>
      <c r="N348" s="22" t="b">
        <v>1</v>
      </c>
      <c r="O348" s="22" t="b">
        <v>0</v>
      </c>
      <c r="P348" s="22" t="b">
        <v>0</v>
      </c>
      <c r="Q348" s="22" t="b">
        <v>0</v>
      </c>
      <c r="R348" s="43"/>
      <c r="S348" s="43" t="s">
        <v>5160</v>
      </c>
      <c r="T348" s="22" t="s">
        <v>5158</v>
      </c>
      <c r="U348" s="22" t="s">
        <v>5158</v>
      </c>
      <c r="V348" s="22" t="s">
        <v>5158</v>
      </c>
      <c r="W348" s="43"/>
      <c r="X348" s="43"/>
      <c r="Y348" s="43"/>
      <c r="Z348" s="43"/>
      <c r="AA348" s="22">
        <v>1.895363E7</v>
      </c>
      <c r="AB348" s="22">
        <v>2.90413438E8</v>
      </c>
      <c r="AC348" s="22">
        <v>1.03340894535E11</v>
      </c>
      <c r="AD348" s="22"/>
      <c r="AE348" s="22"/>
      <c r="AF348" s="43"/>
      <c r="AG348" s="43"/>
      <c r="AH348" s="43" t="s">
        <v>5159</v>
      </c>
      <c r="AI348" s="22" t="s">
        <v>5161</v>
      </c>
      <c r="AJ348" s="22" t="s">
        <v>5162</v>
      </c>
      <c r="AK348" s="22" t="s">
        <v>5163</v>
      </c>
      <c r="AL348" s="43"/>
      <c r="AM348" s="43"/>
      <c r="AN348" s="43"/>
      <c r="AO348" s="43"/>
      <c r="AP348" s="46" t="s">
        <v>5164</v>
      </c>
      <c r="AQ348" s="46" t="s">
        <v>5165</v>
      </c>
      <c r="AR348" s="46" t="s">
        <v>5166</v>
      </c>
      <c r="AS348" s="43"/>
      <c r="AT348" s="43"/>
      <c r="AU348" s="43"/>
      <c r="AV348" s="43"/>
      <c r="AW348" s="22" t="s">
        <v>594</v>
      </c>
      <c r="AX348" s="22" t="s">
        <v>5162</v>
      </c>
      <c r="AY348" s="22" t="s">
        <v>2672</v>
      </c>
      <c r="AZ348" s="43"/>
      <c r="BA348" s="43"/>
      <c r="BB348" s="43"/>
      <c r="BC348" s="43"/>
      <c r="BD348" s="43" t="s">
        <v>2673</v>
      </c>
      <c r="BE348" s="59" t="s">
        <v>2755</v>
      </c>
      <c r="BF348" s="22" t="s">
        <v>131</v>
      </c>
      <c r="BG348" s="22" t="s">
        <v>132</v>
      </c>
      <c r="BH348" s="22" t="s">
        <v>132</v>
      </c>
      <c r="BI348" s="22" t="s">
        <v>132</v>
      </c>
      <c r="BJ348" s="43"/>
      <c r="BK348" s="43"/>
      <c r="BL348" s="22">
        <v>4.631153669927E12</v>
      </c>
      <c r="BM348" s="22">
        <v>3.30499E9</v>
      </c>
      <c r="BN348" s="22" t="s">
        <v>4309</v>
      </c>
      <c r="BO348" s="22"/>
      <c r="BP348" s="22" t="s">
        <v>496</v>
      </c>
      <c r="BQ348" s="43"/>
      <c r="BR348" s="43"/>
      <c r="BS348" s="22" t="s">
        <v>4827</v>
      </c>
      <c r="BT348" s="43"/>
      <c r="BU348" s="22" t="s">
        <v>5167</v>
      </c>
      <c r="BV348" s="43" t="s">
        <v>2777</v>
      </c>
      <c r="BW348" s="22" t="s">
        <v>5168</v>
      </c>
      <c r="BX348" s="22">
        <v>15.0</v>
      </c>
      <c r="BY348" s="22" t="s">
        <v>139</v>
      </c>
      <c r="BZ348" s="22"/>
      <c r="CA348" s="22" t="s">
        <v>3960</v>
      </c>
      <c r="CB348" s="22" t="s">
        <v>307</v>
      </c>
      <c r="CC348" s="45" t="s">
        <v>5169</v>
      </c>
      <c r="CD348" s="43"/>
      <c r="CE348" s="43"/>
      <c r="CF348" s="45"/>
      <c r="CG348" s="43"/>
      <c r="CH348" s="43"/>
      <c r="CI348" s="43"/>
      <c r="CJ348" s="43"/>
      <c r="CK348" s="43"/>
      <c r="CL348" s="43"/>
      <c r="CM348" s="49">
        <f>IFERROR(VLOOKUP(B348,CC!A:D,4,0)," ")</f>
        <v>99.55</v>
      </c>
      <c r="CN348" s="22" t="s">
        <v>3330</v>
      </c>
      <c r="CO348" s="22"/>
      <c r="CP348" s="43"/>
      <c r="CQ348" s="22">
        <v>45.0</v>
      </c>
      <c r="CR348" s="43"/>
      <c r="CS348" s="22">
        <v>1.0</v>
      </c>
      <c r="CT348" s="22" t="s">
        <v>145</v>
      </c>
      <c r="CU348" s="43"/>
      <c r="CV348" s="43"/>
      <c r="CW348" s="43"/>
      <c r="CX348" s="43"/>
      <c r="CY348" s="43" t="b">
        <v>0</v>
      </c>
      <c r="CZ348" s="43" t="b">
        <v>0</v>
      </c>
      <c r="DA348" s="43" t="b">
        <v>0</v>
      </c>
      <c r="DB348" s="43" t="b">
        <v>0</v>
      </c>
      <c r="DC348" s="43"/>
      <c r="DD348" s="43"/>
      <c r="DE348" s="43"/>
      <c r="DF348" s="43"/>
      <c r="DG348" s="43"/>
      <c r="DH348" s="43"/>
      <c r="DI348" s="43"/>
      <c r="DJ348" s="22">
        <f>IFERROR(VLOOKUP($B348,'Лист4'!$D:$AI,27,0)," ")</f>
        <v>3</v>
      </c>
      <c r="DK348" s="22">
        <f>IFERROR(VLOOKUP($B348,'Лист4'!$D:$AI,28,0)," ")</f>
        <v>3</v>
      </c>
      <c r="DL348" s="22">
        <f>IFERROR(VLOOKUP($B348,'Лист4'!$D:$AI,29,0)," ")</f>
        <v>3</v>
      </c>
      <c r="DM348" s="22">
        <f t="shared" si="3"/>
        <v>27</v>
      </c>
      <c r="DN348" s="22">
        <f>IFERROR(VLOOKUP($B348,'Лист4'!$D:$AI,32,0)," ")</f>
        <v>0.065</v>
      </c>
      <c r="DO348" s="22"/>
      <c r="DP348" s="22"/>
      <c r="DQ348" s="22"/>
      <c r="DR348" s="22"/>
      <c r="DS348" s="22"/>
      <c r="DT348" s="22"/>
      <c r="DU348" s="22"/>
      <c r="DV348" s="22"/>
      <c r="DW348" s="22"/>
      <c r="DX348" s="22"/>
      <c r="DY348" s="22"/>
      <c r="DZ348" s="22"/>
      <c r="EA348" s="22"/>
      <c r="EB348" s="22"/>
      <c r="EC348" s="22"/>
      <c r="ED348" s="22"/>
      <c r="EE348" s="22"/>
      <c r="EF348" s="22"/>
      <c r="EG348" s="22"/>
      <c r="EH348" s="22"/>
      <c r="EI348" s="22"/>
      <c r="EJ348" s="22"/>
      <c r="EK348" s="22"/>
      <c r="EL348" s="22"/>
      <c r="EM348" s="22"/>
      <c r="EN348" s="22"/>
      <c r="EO348" s="22"/>
      <c r="EP348" s="22"/>
      <c r="EQ348" s="22"/>
      <c r="ER348" s="22"/>
      <c r="ES348" s="43"/>
      <c r="ET348" s="43"/>
      <c r="EU348" s="43"/>
      <c r="EV348" s="43"/>
      <c r="EW348" s="43"/>
      <c r="EX348" s="43"/>
      <c r="EY348" s="43"/>
      <c r="EZ348" s="43"/>
      <c r="FA348" s="43"/>
      <c r="FB348" s="43"/>
      <c r="FC348" s="43"/>
      <c r="FD348" s="43"/>
      <c r="FE348" s="43"/>
      <c r="FF348" s="43"/>
      <c r="FG348" s="43"/>
      <c r="FH348" s="43"/>
      <c r="FI348" s="43"/>
    </row>
    <row r="349" ht="18.0" customHeight="1">
      <c r="A349" s="22" t="s">
        <v>2659</v>
      </c>
      <c r="B349" s="43" t="s">
        <v>5170</v>
      </c>
      <c r="C349" s="22" t="s">
        <v>2741</v>
      </c>
      <c r="D349" s="22" t="s">
        <v>187</v>
      </c>
      <c r="E349" s="43" t="s">
        <v>971</v>
      </c>
      <c r="F349" s="22" t="s">
        <v>5171</v>
      </c>
      <c r="G349" s="22" t="s">
        <v>2743</v>
      </c>
      <c r="H349" s="22" t="s">
        <v>1821</v>
      </c>
      <c r="I349" s="43"/>
      <c r="J349" s="43"/>
      <c r="K349" s="22" t="b">
        <v>1</v>
      </c>
      <c r="L349" s="22" t="b">
        <v>1</v>
      </c>
      <c r="M349" s="22" t="b">
        <v>1</v>
      </c>
      <c r="N349" s="22" t="b">
        <v>1</v>
      </c>
      <c r="O349" s="22" t="b">
        <v>1</v>
      </c>
      <c r="P349" s="22" t="b">
        <v>1</v>
      </c>
      <c r="Q349" s="22" t="b">
        <v>1</v>
      </c>
      <c r="R349" s="43"/>
      <c r="S349" s="43" t="s">
        <v>5172</v>
      </c>
      <c r="T349" s="22" t="s">
        <v>5170</v>
      </c>
      <c r="U349" s="22" t="s">
        <v>5170</v>
      </c>
      <c r="V349" s="22" t="s">
        <v>5170</v>
      </c>
      <c r="W349" s="43" t="s">
        <v>5170</v>
      </c>
      <c r="X349" s="43" t="s">
        <v>5170</v>
      </c>
      <c r="Y349" s="22" t="s">
        <v>5170</v>
      </c>
      <c r="Z349" s="43"/>
      <c r="AA349" s="22">
        <v>3.02594163E8</v>
      </c>
      <c r="AB349" s="22">
        <v>1.793172927E9</v>
      </c>
      <c r="AC349" s="22">
        <v>1.03701553227E11</v>
      </c>
      <c r="AD349" s="22">
        <v>9.9000081276E10</v>
      </c>
      <c r="AE349" s="22" t="s">
        <v>5173</v>
      </c>
      <c r="AF349" s="22" t="s">
        <v>5174</v>
      </c>
      <c r="AG349" s="43"/>
      <c r="AH349" s="43" t="s">
        <v>5171</v>
      </c>
      <c r="AI349" s="22" t="s">
        <v>5175</v>
      </c>
      <c r="AJ349" s="22" t="s">
        <v>5176</v>
      </c>
      <c r="AK349" s="22" t="s">
        <v>5176</v>
      </c>
      <c r="AL349" s="22" t="s">
        <v>5177</v>
      </c>
      <c r="AM349" s="22" t="s">
        <v>5178</v>
      </c>
      <c r="AN349" s="22" t="s">
        <v>5179</v>
      </c>
      <c r="AO349" s="43"/>
      <c r="AP349" s="46" t="s">
        <v>5180</v>
      </c>
      <c r="AQ349" s="46" t="s">
        <v>5181</v>
      </c>
      <c r="AR349" s="46" t="s">
        <v>5182</v>
      </c>
      <c r="AS349" s="46" t="s">
        <v>5183</v>
      </c>
      <c r="AT349" s="46" t="s">
        <v>5184</v>
      </c>
      <c r="AU349" s="46" t="s">
        <v>5185</v>
      </c>
      <c r="AV349" s="43"/>
      <c r="AW349" s="22" t="s">
        <v>1832</v>
      </c>
      <c r="AX349" s="22" t="s">
        <v>5176</v>
      </c>
      <c r="AY349" s="22" t="s">
        <v>1833</v>
      </c>
      <c r="AZ349" s="22" t="s">
        <v>1834</v>
      </c>
      <c r="BA349" s="22" t="s">
        <v>1835</v>
      </c>
      <c r="BB349" s="22" t="s">
        <v>5186</v>
      </c>
      <c r="BC349" s="22"/>
      <c r="BD349" s="43" t="s">
        <v>1449</v>
      </c>
      <c r="BE349" s="59" t="s">
        <v>2755</v>
      </c>
      <c r="BF349" s="22" t="s">
        <v>131</v>
      </c>
      <c r="BG349" s="22" t="s">
        <v>132</v>
      </c>
      <c r="BH349" s="22" t="s">
        <v>132</v>
      </c>
      <c r="BI349" s="22" t="s">
        <v>132</v>
      </c>
      <c r="BJ349" s="43"/>
      <c r="BK349" s="43"/>
      <c r="BL349" s="22">
        <v>4.603320465267E12</v>
      </c>
      <c r="BM349" s="22">
        <v>3305.0</v>
      </c>
      <c r="BN349" s="22" t="s">
        <v>3383</v>
      </c>
      <c r="BO349" s="22"/>
      <c r="BP349" s="22" t="s">
        <v>145</v>
      </c>
      <c r="BQ349" s="43"/>
      <c r="BR349" s="43"/>
      <c r="BS349" s="22" t="s">
        <v>5187</v>
      </c>
      <c r="BT349" s="43"/>
      <c r="BU349" s="22" t="s">
        <v>5188</v>
      </c>
      <c r="BV349" s="43" t="s">
        <v>5189</v>
      </c>
      <c r="BW349" s="22" t="s">
        <v>5190</v>
      </c>
      <c r="BX349" s="22">
        <v>450.0</v>
      </c>
      <c r="BY349" s="22" t="s">
        <v>139</v>
      </c>
      <c r="BZ349" s="22"/>
      <c r="CA349" s="22" t="s">
        <v>726</v>
      </c>
      <c r="CB349" s="22" t="s">
        <v>727</v>
      </c>
      <c r="CC349" s="45" t="s">
        <v>5191</v>
      </c>
      <c r="CD349" s="43"/>
      <c r="CE349" s="43"/>
      <c r="CF349" s="45"/>
      <c r="CG349" s="43"/>
      <c r="CH349" s="43"/>
      <c r="CI349" s="43"/>
      <c r="CJ349" s="43"/>
      <c r="CK349" s="43"/>
      <c r="CL349" s="43"/>
      <c r="CM349" s="49">
        <f>IFERROR(VLOOKUP(B349,CC!A:D,4,0)," ")</f>
        <v>114.2</v>
      </c>
      <c r="CN349" s="22" t="s">
        <v>4114</v>
      </c>
      <c r="CO349" s="22"/>
      <c r="CP349" s="22" t="s">
        <v>2944</v>
      </c>
      <c r="CQ349" s="22">
        <v>60.0</v>
      </c>
      <c r="CR349" s="43"/>
      <c r="CS349" s="22">
        <v>3.0</v>
      </c>
      <c r="CT349" s="22" t="s">
        <v>145</v>
      </c>
      <c r="CU349" s="43"/>
      <c r="CV349" s="43"/>
      <c r="CW349" s="43"/>
      <c r="CX349" s="43"/>
      <c r="CY349" s="43" t="b">
        <v>0</v>
      </c>
      <c r="CZ349" s="43" t="b">
        <v>0</v>
      </c>
      <c r="DA349" s="43" t="b">
        <v>0</v>
      </c>
      <c r="DB349" s="43" t="b">
        <v>0</v>
      </c>
      <c r="DC349" s="43"/>
      <c r="DD349" s="43"/>
      <c r="DE349" s="43"/>
      <c r="DF349" s="43"/>
      <c r="DG349" s="43"/>
      <c r="DH349" s="43"/>
      <c r="DI349" s="43"/>
      <c r="DJ349" s="22">
        <f>IFERROR(VLOOKUP($B349,'Лист4'!$D:$AI,27,0)," ")</f>
        <v>6</v>
      </c>
      <c r="DK349" s="22">
        <f>IFERROR(VLOOKUP($B349,'Лист4'!$D:$AI,28,0)," ")</f>
        <v>21</v>
      </c>
      <c r="DL349" s="22">
        <f>IFERROR(VLOOKUP($B349,'Лист4'!$D:$AI,29,0)," ")</f>
        <v>6</v>
      </c>
      <c r="DM349" s="22">
        <f t="shared" si="3"/>
        <v>756</v>
      </c>
      <c r="DN349" s="22">
        <f>IFERROR(VLOOKUP($B349,'Лист4'!$D:$AI,32,0)," ")</f>
        <v>0.476</v>
      </c>
      <c r="DO349" s="22"/>
      <c r="DP349" s="22"/>
      <c r="DQ349" s="22"/>
      <c r="DR349" s="22"/>
      <c r="DS349" s="22"/>
      <c r="DT349" s="22"/>
      <c r="DU349" s="22"/>
      <c r="DV349" s="22"/>
      <c r="DW349" s="22"/>
      <c r="DX349" s="22"/>
      <c r="DY349" s="22"/>
      <c r="DZ349" s="22"/>
      <c r="EA349" s="22"/>
      <c r="EB349" s="22"/>
      <c r="EC349" s="22"/>
      <c r="ED349" s="22"/>
      <c r="EE349" s="22"/>
      <c r="EF349" s="22"/>
      <c r="EG349" s="22"/>
      <c r="EH349" s="22"/>
      <c r="EI349" s="22"/>
      <c r="EJ349" s="22"/>
      <c r="EK349" s="22"/>
      <c r="EL349" s="22"/>
      <c r="EM349" s="22"/>
      <c r="EN349" s="22"/>
      <c r="EO349" s="22"/>
      <c r="EP349" s="22"/>
      <c r="EQ349" s="22"/>
      <c r="ER349" s="22"/>
      <c r="ES349" s="43"/>
      <c r="ET349" s="43"/>
      <c r="EU349" s="43"/>
      <c r="EV349" s="43"/>
      <c r="EW349" s="43"/>
      <c r="EX349" s="43"/>
      <c r="EY349" s="43"/>
      <c r="EZ349" s="43"/>
      <c r="FA349" s="43"/>
      <c r="FB349" s="43"/>
      <c r="FC349" s="43"/>
      <c r="FD349" s="43"/>
      <c r="FE349" s="43"/>
      <c r="FF349" s="43"/>
      <c r="FG349" s="43"/>
      <c r="FH349" s="43"/>
      <c r="FI349" s="43"/>
    </row>
    <row r="350" ht="18.0" customHeight="1">
      <c r="A350" s="22" t="s">
        <v>2659</v>
      </c>
      <c r="B350" s="43" t="s">
        <v>5192</v>
      </c>
      <c r="C350" s="22" t="s">
        <v>2661</v>
      </c>
      <c r="D350" s="22" t="s">
        <v>119</v>
      </c>
      <c r="E350" s="43"/>
      <c r="F350" s="22" t="s">
        <v>4314</v>
      </c>
      <c r="G350" s="22" t="s">
        <v>2663</v>
      </c>
      <c r="H350" s="22" t="s">
        <v>3437</v>
      </c>
      <c r="I350" s="43"/>
      <c r="J350" s="43"/>
      <c r="K350" s="22" t="b">
        <v>1</v>
      </c>
      <c r="L350" s="22" t="b">
        <v>1</v>
      </c>
      <c r="M350" s="22" t="b">
        <v>1</v>
      </c>
      <c r="N350" s="22" t="b">
        <v>1</v>
      </c>
      <c r="O350" s="22" t="b">
        <v>1</v>
      </c>
      <c r="P350" s="22" t="b">
        <v>1</v>
      </c>
      <c r="Q350" s="22" t="b">
        <v>0</v>
      </c>
      <c r="R350" s="43"/>
      <c r="S350" s="43" t="s">
        <v>5193</v>
      </c>
      <c r="T350" s="22" t="s">
        <v>401</v>
      </c>
      <c r="U350" s="22" t="s">
        <v>401</v>
      </c>
      <c r="V350" s="22" t="s">
        <v>401</v>
      </c>
      <c r="W350" s="43" t="s">
        <v>401</v>
      </c>
      <c r="X350" s="43" t="s">
        <v>401</v>
      </c>
      <c r="Y350" s="43"/>
      <c r="Z350" s="43"/>
      <c r="AA350" s="22">
        <v>4.4552189E7</v>
      </c>
      <c r="AB350" s="22">
        <v>3.59068917E8</v>
      </c>
      <c r="AC350" s="22">
        <v>1.01736417809E11</v>
      </c>
      <c r="AD350" s="22"/>
      <c r="AE350" s="22"/>
      <c r="AF350" s="43"/>
      <c r="AG350" s="43"/>
      <c r="AH350" s="43" t="s">
        <v>4314</v>
      </c>
      <c r="AI350" s="22" t="s">
        <v>5194</v>
      </c>
      <c r="AJ350" s="22" t="s">
        <v>3601</v>
      </c>
      <c r="AK350" s="22" t="s">
        <v>3602</v>
      </c>
      <c r="AL350" s="43"/>
      <c r="AM350" s="43"/>
      <c r="AN350" s="43"/>
      <c r="AO350" s="43"/>
      <c r="AP350" s="46" t="s">
        <v>5195</v>
      </c>
      <c r="AQ350" s="46" t="s">
        <v>3604</v>
      </c>
      <c r="AR350" s="46" t="s">
        <v>3605</v>
      </c>
      <c r="AS350" s="43"/>
      <c r="AT350" s="43"/>
      <c r="AU350" s="43"/>
      <c r="AV350" s="43"/>
      <c r="AW350" s="22" t="s">
        <v>3445</v>
      </c>
      <c r="AX350" s="22" t="s">
        <v>3601</v>
      </c>
      <c r="AY350" s="22" t="s">
        <v>2672</v>
      </c>
      <c r="AZ350" s="43"/>
      <c r="BA350" s="43"/>
      <c r="BB350" s="43"/>
      <c r="BC350" s="43"/>
      <c r="BD350" s="43" t="s">
        <v>401</v>
      </c>
      <c r="BE350" s="66"/>
      <c r="BF350" s="22" t="s">
        <v>131</v>
      </c>
      <c r="BG350" s="22" t="s">
        <v>132</v>
      </c>
      <c r="BH350" s="22" t="s">
        <v>132</v>
      </c>
      <c r="BI350" s="22" t="s">
        <v>132</v>
      </c>
      <c r="BJ350" s="43"/>
      <c r="BK350" s="43"/>
      <c r="BL350" s="22" t="s">
        <v>5196</v>
      </c>
      <c r="BM350" s="22">
        <v>3.30499E9</v>
      </c>
      <c r="BN350" s="22" t="s">
        <v>3607</v>
      </c>
      <c r="BO350" s="22"/>
      <c r="BP350" s="22" t="s">
        <v>496</v>
      </c>
      <c r="BQ350" s="43"/>
      <c r="BR350" s="43"/>
      <c r="BS350" s="22" t="s">
        <v>4322</v>
      </c>
      <c r="BT350" s="43"/>
      <c r="BU350" s="22" t="s">
        <v>4323</v>
      </c>
      <c r="BV350" s="43" t="s">
        <v>2777</v>
      </c>
      <c r="BW350" s="22" t="s">
        <v>4324</v>
      </c>
      <c r="BX350" s="22">
        <v>30.0</v>
      </c>
      <c r="BY350" s="22" t="s">
        <v>139</v>
      </c>
      <c r="BZ350" s="22"/>
      <c r="CA350" s="22"/>
      <c r="CB350" s="22"/>
      <c r="CC350" s="45" t="s">
        <v>5197</v>
      </c>
      <c r="CD350" s="43"/>
      <c r="CE350" s="43"/>
      <c r="CF350" s="45"/>
      <c r="CG350" s="43"/>
      <c r="CH350" s="43"/>
      <c r="CI350" s="43"/>
      <c r="CJ350" s="43"/>
      <c r="CK350" s="43"/>
      <c r="CL350" s="43"/>
      <c r="CM350" s="49">
        <f>IFERROR(VLOOKUP(B350,CC!A:D,4,0)," ")</f>
        <v>116.75</v>
      </c>
      <c r="CN350" s="22" t="s">
        <v>2681</v>
      </c>
      <c r="CO350" s="22"/>
      <c r="CP350" s="43"/>
      <c r="CQ350" s="22">
        <v>45.0</v>
      </c>
      <c r="CR350" s="43"/>
      <c r="CS350" s="22">
        <v>1.0</v>
      </c>
      <c r="CT350" s="22" t="s">
        <v>145</v>
      </c>
      <c r="CU350" s="43"/>
      <c r="CV350" s="43"/>
      <c r="CW350" s="43"/>
      <c r="CX350" s="43"/>
      <c r="CY350" s="43" t="b">
        <v>0</v>
      </c>
      <c r="CZ350" s="43" t="b">
        <v>0</v>
      </c>
      <c r="DA350" s="43" t="b">
        <v>0</v>
      </c>
      <c r="DB350" s="43" t="b">
        <v>0</v>
      </c>
      <c r="DC350" s="43"/>
      <c r="DD350" s="43"/>
      <c r="DE350" s="43"/>
      <c r="DF350" s="43"/>
      <c r="DG350" s="43"/>
      <c r="DH350" s="43"/>
      <c r="DI350" s="43"/>
      <c r="DJ350" s="22">
        <f>IFERROR(VLOOKUP($B350,'Лист4'!$D:$AI,27,0)," ")</f>
        <v>4</v>
      </c>
      <c r="DK350" s="22">
        <f>IFERROR(VLOOKUP($B350,'Лист4'!$D:$AI,28,0)," ")</f>
        <v>6</v>
      </c>
      <c r="DL350" s="22">
        <f>IFERROR(VLOOKUP($B350,'Лист4'!$D:$AI,29,0)," ")</f>
        <v>4</v>
      </c>
      <c r="DM350" s="22">
        <f t="shared" si="3"/>
        <v>96</v>
      </c>
      <c r="DN350" s="22">
        <f>IFERROR(VLOOKUP($B350,'Лист4'!$D:$AI,32,0)," ")</f>
        <v>0.053</v>
      </c>
      <c r="DO350" s="22"/>
      <c r="DP350" s="22"/>
      <c r="DQ350" s="22"/>
      <c r="DR350" s="22"/>
      <c r="DS350" s="22"/>
      <c r="DT350" s="22"/>
      <c r="DU350" s="22"/>
      <c r="DV350" s="22"/>
      <c r="DW350" s="22"/>
      <c r="DX350" s="22"/>
      <c r="DY350" s="22"/>
      <c r="DZ350" s="22"/>
      <c r="EA350" s="22"/>
      <c r="EB350" s="22"/>
      <c r="EC350" s="22"/>
      <c r="ED350" s="22"/>
      <c r="EE350" s="22"/>
      <c r="EF350" s="22"/>
      <c r="EG350" s="22"/>
      <c r="EH350" s="22"/>
      <c r="EI350" s="22"/>
      <c r="EJ350" s="22"/>
      <c r="EK350" s="22"/>
      <c r="EL350" s="22"/>
      <c r="EM350" s="22"/>
      <c r="EN350" s="22"/>
      <c r="EO350" s="22"/>
      <c r="EP350" s="22"/>
      <c r="EQ350" s="22"/>
      <c r="ER350" s="22"/>
      <c r="ES350" s="43"/>
      <c r="ET350" s="43"/>
      <c r="EU350" s="43"/>
      <c r="EV350" s="43"/>
      <c r="EW350" s="43"/>
      <c r="EX350" s="43"/>
      <c r="EY350" s="43"/>
      <c r="EZ350" s="43"/>
      <c r="FA350" s="43"/>
      <c r="FB350" s="43"/>
      <c r="FC350" s="43"/>
      <c r="FD350" s="43"/>
      <c r="FE350" s="43"/>
      <c r="FF350" s="43"/>
      <c r="FG350" s="43"/>
      <c r="FH350" s="43"/>
      <c r="FI350" s="43"/>
    </row>
    <row r="351" ht="18.0" customHeight="1">
      <c r="A351" s="22" t="s">
        <v>2659</v>
      </c>
      <c r="B351" s="43" t="s">
        <v>5198</v>
      </c>
      <c r="C351" s="22" t="s">
        <v>2741</v>
      </c>
      <c r="D351" s="22" t="s">
        <v>119</v>
      </c>
      <c r="E351" s="43"/>
      <c r="F351" s="22" t="s">
        <v>5199</v>
      </c>
      <c r="G351" s="22" t="s">
        <v>2743</v>
      </c>
      <c r="H351" s="22" t="s">
        <v>2744</v>
      </c>
      <c r="I351" s="43"/>
      <c r="J351" s="43"/>
      <c r="K351" s="22" t="b">
        <v>1</v>
      </c>
      <c r="L351" s="22" t="b">
        <v>1</v>
      </c>
      <c r="M351" s="22" t="b">
        <v>1</v>
      </c>
      <c r="N351" s="22" t="b">
        <v>1</v>
      </c>
      <c r="O351" s="22" t="b">
        <v>1</v>
      </c>
      <c r="P351" s="22" t="b">
        <v>0</v>
      </c>
      <c r="Q351" s="22" t="b">
        <v>0</v>
      </c>
      <c r="R351" s="43"/>
      <c r="S351" s="43" t="s">
        <v>5200</v>
      </c>
      <c r="T351" s="22" t="s">
        <v>5198</v>
      </c>
      <c r="U351" s="22" t="s">
        <v>5198</v>
      </c>
      <c r="V351" s="22" t="s">
        <v>5198</v>
      </c>
      <c r="W351" s="55" t="s">
        <v>5198</v>
      </c>
      <c r="X351" s="43"/>
      <c r="Y351" s="43"/>
      <c r="Z351" s="43"/>
      <c r="AA351" s="22">
        <v>5.80359518E8</v>
      </c>
      <c r="AB351" s="22">
        <v>3.043803801E9</v>
      </c>
      <c r="AC351" s="22">
        <v>4.737519927E9</v>
      </c>
      <c r="AD351" s="22">
        <v>9.9000137436E10</v>
      </c>
      <c r="AE351" s="22"/>
      <c r="AF351" s="43"/>
      <c r="AG351" s="43"/>
      <c r="AH351" s="43" t="s">
        <v>5199</v>
      </c>
      <c r="AI351" s="22" t="s">
        <v>5201</v>
      </c>
      <c r="AJ351" s="22" t="s">
        <v>5201</v>
      </c>
      <c r="AK351" s="22" t="s">
        <v>5202</v>
      </c>
      <c r="AL351" s="22" t="s">
        <v>5203</v>
      </c>
      <c r="AM351" s="43"/>
      <c r="AN351" s="43"/>
      <c r="AO351" s="43"/>
      <c r="AP351" s="46" t="s">
        <v>5204</v>
      </c>
      <c r="AQ351" s="46" t="s">
        <v>5205</v>
      </c>
      <c r="AR351" s="46" t="s">
        <v>5206</v>
      </c>
      <c r="AS351" s="43"/>
      <c r="AT351" s="43"/>
      <c r="AU351" s="43"/>
      <c r="AV351" s="43"/>
      <c r="AW351" s="22" t="s">
        <v>594</v>
      </c>
      <c r="AX351" s="22" t="s">
        <v>5201</v>
      </c>
      <c r="AY351" s="22" t="s">
        <v>595</v>
      </c>
      <c r="AZ351" s="22" t="s">
        <v>1447</v>
      </c>
      <c r="BA351" s="43"/>
      <c r="BB351" s="43"/>
      <c r="BC351" s="43"/>
      <c r="BD351" s="43" t="s">
        <v>2673</v>
      </c>
      <c r="BE351" s="59" t="s">
        <v>2755</v>
      </c>
      <c r="BF351" s="22" t="s">
        <v>131</v>
      </c>
      <c r="BG351" s="22" t="s">
        <v>132</v>
      </c>
      <c r="BH351" s="22" t="s">
        <v>132</v>
      </c>
      <c r="BI351" s="22" t="s">
        <v>132</v>
      </c>
      <c r="BJ351" s="43"/>
      <c r="BK351" s="43"/>
      <c r="BL351" s="22">
        <v>4.660417421629E12</v>
      </c>
      <c r="BM351" s="22">
        <v>3.30499E9</v>
      </c>
      <c r="BN351" s="22" t="s">
        <v>5207</v>
      </c>
      <c r="BO351" s="22"/>
      <c r="BP351" s="22" t="s">
        <v>145</v>
      </c>
      <c r="BQ351" s="43"/>
      <c r="BR351" s="43"/>
      <c r="BS351" s="22" t="s">
        <v>5208</v>
      </c>
      <c r="BT351" s="43"/>
      <c r="BU351" s="22" t="s">
        <v>5209</v>
      </c>
      <c r="BV351" s="43" t="s">
        <v>2759</v>
      </c>
      <c r="BW351" s="22" t="s">
        <v>2760</v>
      </c>
      <c r="BX351" s="22">
        <v>50.0</v>
      </c>
      <c r="BY351" s="22" t="s">
        <v>139</v>
      </c>
      <c r="BZ351" s="22"/>
      <c r="CA351" s="22" t="s">
        <v>726</v>
      </c>
      <c r="CB351" s="22" t="s">
        <v>727</v>
      </c>
      <c r="CC351" s="45" t="s">
        <v>5210</v>
      </c>
      <c r="CD351" s="43"/>
      <c r="CE351" s="43"/>
      <c r="CF351" s="45"/>
      <c r="CG351" s="54">
        <v>46072.0</v>
      </c>
      <c r="CH351" s="46" t="s">
        <v>5211</v>
      </c>
      <c r="CI351" s="43"/>
      <c r="CJ351" s="43"/>
      <c r="CK351" s="43"/>
      <c r="CL351" s="43"/>
      <c r="CM351" s="49">
        <f>IFERROR(VLOOKUP(B351,CC!A:D,4,0)," ")</f>
        <v>112.39</v>
      </c>
      <c r="CN351" s="22" t="s">
        <v>2681</v>
      </c>
      <c r="CO351" s="22"/>
      <c r="CP351" s="22"/>
      <c r="CQ351" s="22">
        <v>45.0</v>
      </c>
      <c r="CR351" s="43"/>
      <c r="CS351" s="22">
        <v>1.0</v>
      </c>
      <c r="CT351" s="22" t="s">
        <v>145</v>
      </c>
      <c r="CU351" s="43"/>
      <c r="CV351" s="43"/>
      <c r="CW351" s="43"/>
      <c r="CX351" s="43"/>
      <c r="CY351" s="43" t="b">
        <v>0</v>
      </c>
      <c r="CZ351" s="43" t="b">
        <v>0</v>
      </c>
      <c r="DA351" s="43" t="b">
        <v>0</v>
      </c>
      <c r="DB351" s="43" t="b">
        <v>0</v>
      </c>
      <c r="DC351" s="43"/>
      <c r="DD351" s="43"/>
      <c r="DE351" s="43"/>
      <c r="DF351" s="43"/>
      <c r="DG351" s="43"/>
      <c r="DH351" s="43"/>
      <c r="DI351" s="43"/>
      <c r="DJ351" s="22">
        <f>IFERROR(VLOOKUP($B351,'Лист4'!$D:$AI,27,0)," ")</f>
        <v>11</v>
      </c>
      <c r="DK351" s="22">
        <f>IFERROR(VLOOKUP($B351,'Лист4'!$D:$AI,28,0)," ")</f>
        <v>4</v>
      </c>
      <c r="DL351" s="22">
        <f>IFERROR(VLOOKUP($B351,'Лист4'!$D:$AI,29,0)," ")</f>
        <v>11</v>
      </c>
      <c r="DM351" s="22">
        <f t="shared" si="3"/>
        <v>484</v>
      </c>
      <c r="DN351" s="22">
        <f>IFERROR(VLOOKUP($B351,'Лист4'!$D:$AI,32,0)," ")</f>
        <v>0.064</v>
      </c>
      <c r="DO351" s="22"/>
      <c r="DP351" s="22"/>
      <c r="DQ351" s="22"/>
      <c r="DR351" s="22"/>
      <c r="DS351" s="22"/>
      <c r="DT351" s="22"/>
      <c r="DU351" s="22"/>
      <c r="DV351" s="22"/>
      <c r="DW351" s="22"/>
      <c r="DX351" s="22"/>
      <c r="DY351" s="22"/>
      <c r="DZ351" s="22"/>
      <c r="EA351" s="22"/>
      <c r="EB351" s="22"/>
      <c r="EC351" s="22"/>
      <c r="ED351" s="22"/>
      <c r="EE351" s="22"/>
      <c r="EF351" s="22"/>
      <c r="EG351" s="22"/>
      <c r="EH351" s="22"/>
      <c r="EI351" s="22"/>
      <c r="EJ351" s="22"/>
      <c r="EK351" s="22"/>
      <c r="EL351" s="22"/>
      <c r="EM351" s="22"/>
      <c r="EN351" s="22"/>
      <c r="EO351" s="22"/>
      <c r="EP351" s="22"/>
      <c r="EQ351" s="22"/>
      <c r="ER351" s="22"/>
      <c r="ES351" s="43"/>
      <c r="ET351" s="43"/>
      <c r="EU351" s="43"/>
      <c r="EV351" s="43"/>
      <c r="EW351" s="43"/>
      <c r="EX351" s="43"/>
      <c r="EY351" s="43"/>
      <c r="EZ351" s="43"/>
      <c r="FA351" s="43"/>
      <c r="FB351" s="43"/>
      <c r="FC351" s="43"/>
      <c r="FD351" s="43"/>
      <c r="FE351" s="43"/>
      <c r="FF351" s="43"/>
      <c r="FG351" s="43"/>
      <c r="FH351" s="43"/>
      <c r="FI351" s="43"/>
    </row>
    <row r="352" ht="18.0" customHeight="1">
      <c r="A352" s="22" t="s">
        <v>2659</v>
      </c>
      <c r="B352" s="43" t="s">
        <v>5212</v>
      </c>
      <c r="C352" s="22" t="s">
        <v>2741</v>
      </c>
      <c r="D352" s="22" t="s">
        <v>187</v>
      </c>
      <c r="E352" s="43" t="s">
        <v>5213</v>
      </c>
      <c r="F352" s="22" t="s">
        <v>5214</v>
      </c>
      <c r="G352" s="22" t="s">
        <v>2743</v>
      </c>
      <c r="H352" s="22" t="s">
        <v>5215</v>
      </c>
      <c r="I352" s="43"/>
      <c r="J352" s="43"/>
      <c r="K352" s="22" t="b">
        <v>1</v>
      </c>
      <c r="L352" s="22" t="b">
        <v>1</v>
      </c>
      <c r="M352" s="22" t="b">
        <v>1</v>
      </c>
      <c r="N352" s="22" t="b">
        <v>1</v>
      </c>
      <c r="O352" s="22" t="b">
        <v>0</v>
      </c>
      <c r="P352" s="22" t="b">
        <v>0</v>
      </c>
      <c r="Q352" s="22" t="b">
        <v>0</v>
      </c>
      <c r="R352" s="43"/>
      <c r="S352" s="43" t="s">
        <v>5216</v>
      </c>
      <c r="T352" s="22" t="s">
        <v>5212</v>
      </c>
      <c r="U352" s="22" t="s">
        <v>5212</v>
      </c>
      <c r="V352" s="22" t="s">
        <v>5212</v>
      </c>
      <c r="W352" s="43"/>
      <c r="X352" s="43"/>
      <c r="Y352" s="43"/>
      <c r="Z352" s="43"/>
      <c r="AA352" s="22">
        <v>3.02460733E8</v>
      </c>
      <c r="AB352" s="22">
        <v>1.805976932E9</v>
      </c>
      <c r="AC352" s="22">
        <v>1.03710293979E11</v>
      </c>
      <c r="AD352" s="22"/>
      <c r="AE352" s="22"/>
      <c r="AF352" s="43"/>
      <c r="AG352" s="43"/>
      <c r="AH352" s="43" t="s">
        <v>5214</v>
      </c>
      <c r="AI352" s="22" t="s">
        <v>5217</v>
      </c>
      <c r="AJ352" s="22" t="s">
        <v>5218</v>
      </c>
      <c r="AK352" s="22" t="s">
        <v>5219</v>
      </c>
      <c r="AL352" s="43"/>
      <c r="AM352" s="43"/>
      <c r="AN352" s="43"/>
      <c r="AO352" s="43"/>
      <c r="AP352" s="46" t="s">
        <v>5220</v>
      </c>
      <c r="AQ352" s="46" t="s">
        <v>5221</v>
      </c>
      <c r="AR352" s="46" t="s">
        <v>5222</v>
      </c>
      <c r="AS352" s="43"/>
      <c r="AT352" s="43"/>
      <c r="AU352" s="43"/>
      <c r="AV352" s="43"/>
      <c r="AW352" s="22" t="s">
        <v>325</v>
      </c>
      <c r="AX352" s="22" t="s">
        <v>5218</v>
      </c>
      <c r="AY352" s="22" t="s">
        <v>4263</v>
      </c>
      <c r="AZ352" s="43"/>
      <c r="BA352" s="43"/>
      <c r="BB352" s="43"/>
      <c r="BC352" s="43"/>
      <c r="BD352" s="43" t="s">
        <v>2673</v>
      </c>
      <c r="BE352" s="59" t="s">
        <v>2755</v>
      </c>
      <c r="BF352" s="22" t="s">
        <v>131</v>
      </c>
      <c r="BG352" s="22" t="s">
        <v>132</v>
      </c>
      <c r="BH352" s="22" t="s">
        <v>132</v>
      </c>
      <c r="BI352" s="22" t="s">
        <v>132</v>
      </c>
      <c r="BJ352" s="43"/>
      <c r="BK352" s="43"/>
      <c r="BL352" s="22">
        <v>4.656784976558E12</v>
      </c>
      <c r="BM352" s="22">
        <v>3.30499E9</v>
      </c>
      <c r="BN352" s="22" t="s">
        <v>145</v>
      </c>
      <c r="BO352" s="22"/>
      <c r="BP352" s="22" t="s">
        <v>145</v>
      </c>
      <c r="BQ352" s="43"/>
      <c r="BR352" s="43"/>
      <c r="BS352" s="22" t="s">
        <v>5223</v>
      </c>
      <c r="BT352" s="43"/>
      <c r="BU352" s="22" t="s">
        <v>5224</v>
      </c>
      <c r="BV352" s="43" t="s">
        <v>2759</v>
      </c>
      <c r="BW352" s="22" t="s">
        <v>2760</v>
      </c>
      <c r="BX352" s="22">
        <v>2.0</v>
      </c>
      <c r="BY352" s="22" t="s">
        <v>421</v>
      </c>
      <c r="BZ352" s="43"/>
      <c r="CA352" s="22" t="s">
        <v>355</v>
      </c>
      <c r="CB352" s="22" t="s">
        <v>307</v>
      </c>
      <c r="CC352" s="45" t="s">
        <v>4400</v>
      </c>
      <c r="CD352" s="43"/>
      <c r="CE352" s="43"/>
      <c r="CF352" s="45"/>
      <c r="CG352" s="43"/>
      <c r="CH352" s="43"/>
      <c r="CI352" s="43"/>
      <c r="CJ352" s="43"/>
      <c r="CK352" s="43"/>
      <c r="CL352" s="43"/>
      <c r="CM352" s="49">
        <f>IFERROR(VLOOKUP(B352,CC!A:D,4,0)," ")</f>
        <v>241.53</v>
      </c>
      <c r="CN352" s="22"/>
      <c r="CO352" s="22"/>
      <c r="CP352" s="22"/>
      <c r="CQ352" s="22">
        <v>90.0</v>
      </c>
      <c r="CR352" s="43"/>
      <c r="CS352" s="43"/>
      <c r="CT352" s="22" t="s">
        <v>145</v>
      </c>
      <c r="CU352" s="43"/>
      <c r="CV352" s="43"/>
      <c r="CW352" s="43"/>
      <c r="CX352" s="43"/>
      <c r="CY352" s="43" t="b">
        <v>0</v>
      </c>
      <c r="CZ352" s="43" t="b">
        <v>0</v>
      </c>
      <c r="DA352" s="43" t="b">
        <v>0</v>
      </c>
      <c r="DB352" s="43" t="b">
        <v>0</v>
      </c>
      <c r="DC352" s="43"/>
      <c r="DD352" s="43"/>
      <c r="DE352" s="43"/>
      <c r="DF352" s="43"/>
      <c r="DG352" s="43"/>
      <c r="DH352" s="43"/>
      <c r="DI352" s="43"/>
      <c r="DJ352" s="22">
        <f>IFERROR(VLOOKUP($B352,'Лист4'!$D:$AI,27,0)," ")</f>
        <v>9</v>
      </c>
      <c r="DK352" s="22">
        <f>IFERROR(VLOOKUP($B352,'Лист4'!$D:$AI,28,0)," ")</f>
        <v>15</v>
      </c>
      <c r="DL352" s="22">
        <f>IFERROR(VLOOKUP($B352,'Лист4'!$D:$AI,29,0)," ")</f>
        <v>9</v>
      </c>
      <c r="DM352" s="22">
        <f t="shared" si="3"/>
        <v>1215</v>
      </c>
      <c r="DN352" s="22">
        <f>IFERROR(VLOOKUP($B352,'Лист4'!$D:$AI,32,0)," ")</f>
        <v>0.14</v>
      </c>
      <c r="DO352" s="22"/>
      <c r="DP352" s="22"/>
      <c r="DQ352" s="22"/>
      <c r="DR352" s="22"/>
      <c r="DS352" s="22"/>
      <c r="DT352" s="22"/>
      <c r="DU352" s="22"/>
      <c r="DV352" s="22"/>
      <c r="DW352" s="22"/>
      <c r="DX352" s="22"/>
      <c r="DY352" s="22"/>
      <c r="DZ352" s="22"/>
      <c r="EA352" s="22"/>
      <c r="EB352" s="22"/>
      <c r="EC352" s="22"/>
      <c r="ED352" s="22"/>
      <c r="EE352" s="22"/>
      <c r="EF352" s="22"/>
      <c r="EG352" s="22"/>
      <c r="EH352" s="22"/>
      <c r="EI352" s="22"/>
      <c r="EJ352" s="22"/>
      <c r="EK352" s="22"/>
      <c r="EL352" s="22"/>
      <c r="EM352" s="22"/>
      <c r="EN352" s="22"/>
      <c r="EO352" s="22"/>
      <c r="EP352" s="22"/>
      <c r="EQ352" s="22"/>
      <c r="ER352" s="22"/>
      <c r="ES352" s="43"/>
      <c r="ET352" s="43"/>
      <c r="EU352" s="43"/>
      <c r="EV352" s="43"/>
      <c r="EW352" s="43"/>
      <c r="EX352" s="43"/>
      <c r="EY352" s="43"/>
      <c r="EZ352" s="43"/>
      <c r="FA352" s="43"/>
      <c r="FB352" s="43"/>
      <c r="FC352" s="43"/>
      <c r="FD352" s="43"/>
      <c r="FE352" s="43"/>
      <c r="FF352" s="43"/>
      <c r="FG352" s="43"/>
      <c r="FH352" s="43"/>
      <c r="FI352" s="43"/>
    </row>
    <row r="353" ht="18.0" customHeight="1">
      <c r="A353" s="22" t="s">
        <v>2659</v>
      </c>
      <c r="B353" s="43" t="s">
        <v>5225</v>
      </c>
      <c r="C353" s="22" t="s">
        <v>2741</v>
      </c>
      <c r="D353" s="22" t="s">
        <v>119</v>
      </c>
      <c r="E353" s="43"/>
      <c r="F353" s="22" t="s">
        <v>5226</v>
      </c>
      <c r="G353" s="22" t="s">
        <v>2743</v>
      </c>
      <c r="H353" s="22" t="s">
        <v>565</v>
      </c>
      <c r="I353" s="43"/>
      <c r="J353" s="43"/>
      <c r="K353" s="22" t="b">
        <v>1</v>
      </c>
      <c r="L353" s="22" t="b">
        <v>1</v>
      </c>
      <c r="M353" s="22" t="b">
        <v>1</v>
      </c>
      <c r="N353" s="22" t="b">
        <v>1</v>
      </c>
      <c r="O353" s="22" t="b">
        <v>1</v>
      </c>
      <c r="P353" s="22" t="b">
        <v>1</v>
      </c>
      <c r="Q353" s="22" t="b">
        <v>0</v>
      </c>
      <c r="R353" s="43"/>
      <c r="S353" s="43" t="s">
        <v>5227</v>
      </c>
      <c r="T353" s="22" t="s">
        <v>5225</v>
      </c>
      <c r="U353" s="22" t="s">
        <v>5225</v>
      </c>
      <c r="V353" s="22" t="s">
        <v>5225</v>
      </c>
      <c r="W353" s="43" t="s">
        <v>5225</v>
      </c>
      <c r="X353" s="43" t="s">
        <v>5225</v>
      </c>
      <c r="Y353" s="43"/>
      <c r="Z353" s="43"/>
      <c r="AA353" s="22">
        <v>2.23763841E8</v>
      </c>
      <c r="AB353" s="22">
        <v>1.548065919E9</v>
      </c>
      <c r="AC353" s="22">
        <v>1.03515402868E11</v>
      </c>
      <c r="AD353" s="22">
        <v>9.9000076211E10</v>
      </c>
      <c r="AE353" s="22" t="s">
        <v>5228</v>
      </c>
      <c r="AF353" s="43"/>
      <c r="AG353" s="43"/>
      <c r="AH353" s="43" t="s">
        <v>5226</v>
      </c>
      <c r="AI353" s="22" t="s">
        <v>5229</v>
      </c>
      <c r="AJ353" s="22" t="s">
        <v>5230</v>
      </c>
      <c r="AK353" s="22" t="s">
        <v>5230</v>
      </c>
      <c r="AL353" s="22" t="s">
        <v>5231</v>
      </c>
      <c r="AM353" s="22" t="s">
        <v>5232</v>
      </c>
      <c r="AN353" s="43"/>
      <c r="AO353" s="43"/>
      <c r="AP353" s="46" t="s">
        <v>5233</v>
      </c>
      <c r="AQ353" s="46" t="s">
        <v>5234</v>
      </c>
      <c r="AR353" s="46" t="s">
        <v>5235</v>
      </c>
      <c r="AS353" s="43"/>
      <c r="AT353" s="46" t="s">
        <v>5236</v>
      </c>
      <c r="AU353" s="43"/>
      <c r="AV353" s="43"/>
      <c r="AW353" s="22" t="s">
        <v>594</v>
      </c>
      <c r="AX353" s="22" t="s">
        <v>5230</v>
      </c>
      <c r="AY353" s="22" t="s">
        <v>3546</v>
      </c>
      <c r="AZ353" s="22" t="s">
        <v>1447</v>
      </c>
      <c r="BA353" s="22" t="s">
        <v>596</v>
      </c>
      <c r="BB353" s="43"/>
      <c r="BC353" s="43"/>
      <c r="BD353" s="43" t="s">
        <v>2673</v>
      </c>
      <c r="BE353" s="59" t="s">
        <v>2755</v>
      </c>
      <c r="BF353" s="22" t="s">
        <v>131</v>
      </c>
      <c r="BG353" s="22" t="s">
        <v>132</v>
      </c>
      <c r="BH353" s="22" t="s">
        <v>132</v>
      </c>
      <c r="BI353" s="22" t="s">
        <v>132</v>
      </c>
      <c r="BJ353" s="43"/>
      <c r="BK353" s="43"/>
      <c r="BL353" s="22">
        <v>4.657786831418E12</v>
      </c>
      <c r="BM353" s="22">
        <v>3.30499E9</v>
      </c>
      <c r="BN353" s="22" t="s">
        <v>5237</v>
      </c>
      <c r="BO353" s="22"/>
      <c r="BP353" s="69" t="s">
        <v>145</v>
      </c>
      <c r="BQ353" s="43"/>
      <c r="BR353" s="43"/>
      <c r="BS353" s="22" t="s">
        <v>5238</v>
      </c>
      <c r="BT353" s="43"/>
      <c r="BU353" s="22" t="s">
        <v>5239</v>
      </c>
      <c r="BV353" s="22" t="s">
        <v>5240</v>
      </c>
      <c r="BW353" s="22" t="s">
        <v>2760</v>
      </c>
      <c r="BX353" s="22">
        <v>15.0</v>
      </c>
      <c r="BY353" s="22" t="s">
        <v>139</v>
      </c>
      <c r="BZ353" s="43"/>
      <c r="CA353" s="22" t="s">
        <v>355</v>
      </c>
      <c r="CB353" s="22" t="s">
        <v>307</v>
      </c>
      <c r="CC353" s="44" t="s">
        <v>5241</v>
      </c>
      <c r="CD353" s="43"/>
      <c r="CE353" s="43"/>
      <c r="CF353" s="45" t="s">
        <v>401</v>
      </c>
      <c r="CG353" s="43"/>
      <c r="CH353" s="43"/>
      <c r="CI353" s="43"/>
      <c r="CJ353" s="43"/>
      <c r="CK353" s="43"/>
      <c r="CL353" s="43"/>
      <c r="CM353" s="49">
        <f>IFERROR(VLOOKUP(B353,CC!A:D,4,0)," ")</f>
        <v>156.52</v>
      </c>
      <c r="CN353" s="22" t="s">
        <v>4778</v>
      </c>
      <c r="CO353" s="22"/>
      <c r="CP353" s="43"/>
      <c r="CQ353" s="22">
        <v>90.0</v>
      </c>
      <c r="CR353" s="43"/>
      <c r="CS353" s="22">
        <v>3.0</v>
      </c>
      <c r="CT353" s="22" t="s">
        <v>145</v>
      </c>
      <c r="CU353" s="43"/>
      <c r="CV353" s="43"/>
      <c r="CW353" s="43"/>
      <c r="CX353" s="43"/>
      <c r="CY353" s="43" t="b">
        <v>0</v>
      </c>
      <c r="CZ353" s="43" t="b">
        <v>0</v>
      </c>
      <c r="DA353" s="43" t="b">
        <v>0</v>
      </c>
      <c r="DB353" s="43" t="b">
        <v>0</v>
      </c>
      <c r="DC353" s="43"/>
      <c r="DD353" s="43"/>
      <c r="DE353" s="43"/>
      <c r="DF353" s="43"/>
      <c r="DG353" s="43"/>
      <c r="DH353" s="43"/>
      <c r="DI353" s="43"/>
      <c r="DJ353" s="22">
        <f>IFERROR(VLOOKUP($B353,'Лист4'!$D:$AI,27,0)," ")</f>
        <v>8</v>
      </c>
      <c r="DK353" s="22">
        <f>IFERROR(VLOOKUP($B353,'Лист4'!$D:$AI,28,0)," ")</f>
        <v>2</v>
      </c>
      <c r="DL353" s="22">
        <f>IFERROR(VLOOKUP($B353,'Лист4'!$D:$AI,29,0)," ")</f>
        <v>8</v>
      </c>
      <c r="DM353" s="22">
        <f t="shared" si="3"/>
        <v>128</v>
      </c>
      <c r="DN353" s="22">
        <f>IFERROR(VLOOKUP($B353,'Лист4'!$D:$AI,32,0)," ")</f>
        <v>0.1</v>
      </c>
      <c r="DO353" s="22"/>
      <c r="DP353" s="22"/>
      <c r="DQ353" s="22"/>
      <c r="DR353" s="22"/>
      <c r="DS353" s="22"/>
      <c r="DT353" s="22"/>
      <c r="DU353" s="22"/>
      <c r="DV353" s="22"/>
      <c r="DW353" s="22"/>
      <c r="DX353" s="22"/>
      <c r="DY353" s="22"/>
      <c r="DZ353" s="22"/>
      <c r="EA353" s="22"/>
      <c r="EB353" s="22"/>
      <c r="EC353" s="22"/>
      <c r="ED353" s="22"/>
      <c r="EE353" s="22"/>
      <c r="EF353" s="22"/>
      <c r="EG353" s="22"/>
      <c r="EH353" s="22"/>
      <c r="EI353" s="22"/>
      <c r="EJ353" s="22"/>
      <c r="EK353" s="22"/>
      <c r="EL353" s="22"/>
      <c r="EM353" s="22"/>
      <c r="EN353" s="22"/>
      <c r="EO353" s="22"/>
      <c r="EP353" s="22"/>
      <c r="EQ353" s="22"/>
      <c r="ER353" s="22"/>
      <c r="ES353" s="43"/>
      <c r="ET353" s="43"/>
      <c r="EU353" s="43"/>
      <c r="EV353" s="43"/>
      <c r="EW353" s="43"/>
      <c r="EX353" s="43"/>
      <c r="EY353" s="43"/>
      <c r="EZ353" s="43"/>
      <c r="FA353" s="43"/>
      <c r="FB353" s="43"/>
      <c r="FC353" s="43"/>
      <c r="FD353" s="43"/>
      <c r="FE353" s="43"/>
      <c r="FF353" s="43"/>
      <c r="FG353" s="43"/>
      <c r="FH353" s="43"/>
      <c r="FI353" s="43"/>
    </row>
    <row r="354" ht="27.0" customHeight="1">
      <c r="A354" s="22" t="s">
        <v>2659</v>
      </c>
      <c r="B354" s="43" t="s">
        <v>5242</v>
      </c>
      <c r="C354" s="22" t="s">
        <v>2741</v>
      </c>
      <c r="D354" s="22" t="s">
        <v>119</v>
      </c>
      <c r="E354" s="43"/>
      <c r="F354" s="22" t="s">
        <v>5243</v>
      </c>
      <c r="G354" s="22" t="s">
        <v>2743</v>
      </c>
      <c r="H354" s="22" t="s">
        <v>287</v>
      </c>
      <c r="I354" s="43"/>
      <c r="J354" s="43"/>
      <c r="K354" s="22" t="b">
        <v>1</v>
      </c>
      <c r="L354" s="22" t="b">
        <v>1</v>
      </c>
      <c r="M354" s="22" t="b">
        <v>1</v>
      </c>
      <c r="N354" s="22" t="b">
        <v>1</v>
      </c>
      <c r="O354" s="22" t="b">
        <v>1</v>
      </c>
      <c r="P354" s="22" t="b">
        <v>1</v>
      </c>
      <c r="Q354" s="22" t="b">
        <v>0</v>
      </c>
      <c r="R354" s="43"/>
      <c r="S354" s="43" t="s">
        <v>5244</v>
      </c>
      <c r="T354" s="22" t="s">
        <v>5242</v>
      </c>
      <c r="U354" s="22" t="s">
        <v>5242</v>
      </c>
      <c r="V354" s="22" t="s">
        <v>5242</v>
      </c>
      <c r="W354" s="55" t="s">
        <v>5242</v>
      </c>
      <c r="X354" s="43" t="s">
        <v>5242</v>
      </c>
      <c r="Y354" s="43"/>
      <c r="Z354" s="43"/>
      <c r="AA354" s="22">
        <v>5.38087651E8</v>
      </c>
      <c r="AB354" s="22">
        <v>2.860142614E9</v>
      </c>
      <c r="AC354" s="22">
        <v>4.737518234E9</v>
      </c>
      <c r="AD354" s="22">
        <v>9.9000131672E10</v>
      </c>
      <c r="AE354" s="22" t="s">
        <v>5245</v>
      </c>
      <c r="AF354" s="43"/>
      <c r="AG354" s="43"/>
      <c r="AH354" s="43" t="s">
        <v>5243</v>
      </c>
      <c r="AI354" s="22" t="s">
        <v>5246</v>
      </c>
      <c r="AJ354" s="22" t="s">
        <v>5246</v>
      </c>
      <c r="AK354" s="22" t="s">
        <v>5247</v>
      </c>
      <c r="AL354" s="22" t="s">
        <v>5248</v>
      </c>
      <c r="AM354" s="22" t="s">
        <v>5246</v>
      </c>
      <c r="AN354" s="43"/>
      <c r="AO354" s="43"/>
      <c r="AP354" s="46" t="s">
        <v>5249</v>
      </c>
      <c r="AQ354" s="46" t="s">
        <v>5250</v>
      </c>
      <c r="AR354" s="46" t="s">
        <v>5251</v>
      </c>
      <c r="AS354" s="43"/>
      <c r="AT354" s="46" t="s">
        <v>5252</v>
      </c>
      <c r="AU354" s="43"/>
      <c r="AV354" s="43"/>
      <c r="AW354" s="22" t="s">
        <v>3482</v>
      </c>
      <c r="AX354" s="22" t="s">
        <v>5246</v>
      </c>
      <c r="AY354" s="22" t="s">
        <v>3483</v>
      </c>
      <c r="AZ354" s="22" t="s">
        <v>1493</v>
      </c>
      <c r="BA354" s="22" t="s">
        <v>3484</v>
      </c>
      <c r="BB354" s="43"/>
      <c r="BC354" s="43"/>
      <c r="BD354" s="43" t="s">
        <v>1449</v>
      </c>
      <c r="BE354" s="59" t="s">
        <v>2755</v>
      </c>
      <c r="BF354" s="22" t="s">
        <v>131</v>
      </c>
      <c r="BG354" s="22" t="s">
        <v>132</v>
      </c>
      <c r="BH354" s="22" t="s">
        <v>132</v>
      </c>
      <c r="BI354" s="22" t="s">
        <v>132</v>
      </c>
      <c r="BJ354" s="43"/>
      <c r="BK354" s="43"/>
      <c r="BL354" s="22">
        <v>4.670207150196E12</v>
      </c>
      <c r="BM354" s="22">
        <v>3.3051E9</v>
      </c>
      <c r="BN354" s="22" t="s">
        <v>5253</v>
      </c>
      <c r="BO354" s="22"/>
      <c r="BP354" s="69" t="s">
        <v>496</v>
      </c>
      <c r="BQ354" s="43"/>
      <c r="BR354" s="43"/>
      <c r="BS354" s="22" t="s">
        <v>5254</v>
      </c>
      <c r="BT354" s="43"/>
      <c r="BU354" s="22" t="s">
        <v>5255</v>
      </c>
      <c r="BV354" s="22" t="s">
        <v>5256</v>
      </c>
      <c r="BW354" s="22" t="s">
        <v>5257</v>
      </c>
      <c r="BX354" s="22">
        <v>15.0</v>
      </c>
      <c r="BY354" s="22" t="s">
        <v>139</v>
      </c>
      <c r="BZ354" s="22"/>
      <c r="CA354" s="22" t="s">
        <v>355</v>
      </c>
      <c r="CB354" s="22" t="s">
        <v>307</v>
      </c>
      <c r="CC354" s="45" t="s">
        <v>5258</v>
      </c>
      <c r="CD354" s="43"/>
      <c r="CE354" s="43"/>
      <c r="CF354" s="45"/>
      <c r="CG354" s="43"/>
      <c r="CH354" s="43"/>
      <c r="CI354" s="43"/>
      <c r="CJ354" s="43"/>
      <c r="CK354" s="43"/>
      <c r="CL354" s="43"/>
      <c r="CM354" s="49">
        <f>IFERROR(VLOOKUP(B354,CC!A:D,4,0)," ")</f>
        <v>84.17</v>
      </c>
      <c r="CN354" s="22" t="s">
        <v>5259</v>
      </c>
      <c r="CO354" s="22" t="s">
        <v>5260</v>
      </c>
      <c r="CP354" s="22"/>
      <c r="CQ354" s="22"/>
      <c r="CR354" s="43"/>
      <c r="CS354" s="22">
        <v>3.0</v>
      </c>
      <c r="CT354" s="22" t="s">
        <v>145</v>
      </c>
      <c r="CU354" s="43"/>
      <c r="CV354" s="43"/>
      <c r="CW354" s="43"/>
      <c r="CX354" s="43"/>
      <c r="CY354" s="43" t="b">
        <v>0</v>
      </c>
      <c r="CZ354" s="43" t="b">
        <v>0</v>
      </c>
      <c r="DA354" s="43" t="b">
        <v>0</v>
      </c>
      <c r="DB354" s="43" t="b">
        <v>0</v>
      </c>
      <c r="DC354" s="43"/>
      <c r="DD354" s="43"/>
      <c r="DE354" s="43"/>
      <c r="DF354" s="43"/>
      <c r="DG354" s="43"/>
      <c r="DH354" s="43"/>
      <c r="DI354" s="43"/>
      <c r="DJ354" s="22">
        <f>IFERROR(VLOOKUP($B354,'Лист4'!$D:$AI,27,0)," ")</f>
        <v>1</v>
      </c>
      <c r="DK354" s="22">
        <f>IFERROR(VLOOKUP($B354,'Лист4'!$D:$AI,28,0)," ")</f>
        <v>1</v>
      </c>
      <c r="DL354" s="22">
        <f>IFERROR(VLOOKUP($B354,'Лист4'!$D:$AI,29,0)," ")</f>
        <v>1</v>
      </c>
      <c r="DM354" s="22">
        <f t="shared" si="3"/>
        <v>1</v>
      </c>
      <c r="DN354" s="22">
        <f>IFERROR(VLOOKUP($B354,'Лист4'!$D:$AI,32,0)," ")</f>
        <v>1</v>
      </c>
      <c r="DO354" s="22"/>
      <c r="DP354" s="22"/>
      <c r="DQ354" s="22"/>
      <c r="DR354" s="22"/>
      <c r="DS354" s="22"/>
      <c r="DT354" s="22"/>
      <c r="DU354" s="22"/>
      <c r="DV354" s="22"/>
      <c r="DW354" s="22"/>
      <c r="DX354" s="22"/>
      <c r="DY354" s="22"/>
      <c r="DZ354" s="22"/>
      <c r="EA354" s="22"/>
      <c r="EB354" s="22"/>
      <c r="EC354" s="22"/>
      <c r="ED354" s="22"/>
      <c r="EE354" s="22"/>
      <c r="EF354" s="22"/>
      <c r="EG354" s="22"/>
      <c r="EH354" s="22"/>
      <c r="EI354" s="22"/>
      <c r="EJ354" s="22"/>
      <c r="EK354" s="22"/>
      <c r="EL354" s="22"/>
      <c r="EM354" s="22"/>
      <c r="EN354" s="22"/>
      <c r="EO354" s="22"/>
      <c r="EP354" s="22"/>
      <c r="EQ354" s="22"/>
      <c r="ER354" s="22"/>
      <c r="ES354" s="43"/>
      <c r="ET354" s="43"/>
      <c r="EU354" s="43"/>
      <c r="EV354" s="43"/>
      <c r="EW354" s="43"/>
      <c r="EX354" s="43"/>
      <c r="EY354" s="43"/>
      <c r="EZ354" s="43"/>
      <c r="FA354" s="43"/>
      <c r="FB354" s="43"/>
      <c r="FC354" s="43"/>
      <c r="FD354" s="43"/>
      <c r="FE354" s="43"/>
      <c r="FF354" s="43"/>
      <c r="FG354" s="43"/>
      <c r="FH354" s="43"/>
      <c r="FI354" s="43"/>
    </row>
    <row r="355" ht="18.0" customHeight="1">
      <c r="A355" s="22" t="s">
        <v>2659</v>
      </c>
      <c r="B355" s="43" t="s">
        <v>5261</v>
      </c>
      <c r="C355" s="22" t="s">
        <v>2741</v>
      </c>
      <c r="D355" s="22" t="s">
        <v>119</v>
      </c>
      <c r="E355" s="43"/>
      <c r="F355" s="22" t="s">
        <v>5262</v>
      </c>
      <c r="G355" s="22" t="s">
        <v>2743</v>
      </c>
      <c r="H355" s="22" t="s">
        <v>2744</v>
      </c>
      <c r="I355" s="43"/>
      <c r="J355" s="43"/>
      <c r="K355" s="22" t="b">
        <v>1</v>
      </c>
      <c r="L355" s="22" t="b">
        <v>1</v>
      </c>
      <c r="M355" s="22" t="b">
        <v>1</v>
      </c>
      <c r="N355" s="22" t="b">
        <v>1</v>
      </c>
      <c r="O355" s="22" t="b">
        <v>0</v>
      </c>
      <c r="P355" s="22" t="b">
        <v>0</v>
      </c>
      <c r="Q355" s="22" t="b">
        <v>0</v>
      </c>
      <c r="R355" s="43"/>
      <c r="S355" s="43" t="s">
        <v>5263</v>
      </c>
      <c r="T355" s="64" t="s">
        <v>5261</v>
      </c>
      <c r="U355" s="22" t="s">
        <v>5261</v>
      </c>
      <c r="V355" s="55" t="s">
        <v>5261</v>
      </c>
      <c r="W355" s="43"/>
      <c r="X355" s="43"/>
      <c r="Y355" s="43"/>
      <c r="Z355" s="43"/>
      <c r="AA355" s="22">
        <v>7.27028589E8</v>
      </c>
      <c r="AB355" s="22">
        <v>3.285665744E9</v>
      </c>
      <c r="AC355" s="22">
        <v>4.928672266E9</v>
      </c>
      <c r="AD355" s="22"/>
      <c r="AE355" s="22"/>
      <c r="AF355" s="43"/>
      <c r="AG355" s="43"/>
      <c r="AH355" s="43" t="s">
        <v>5262</v>
      </c>
      <c r="AI355" s="22" t="s">
        <v>5264</v>
      </c>
      <c r="AJ355" s="22" t="s">
        <v>5264</v>
      </c>
      <c r="AK355" s="22" t="s">
        <v>5265</v>
      </c>
      <c r="AL355" s="43"/>
      <c r="AM355" s="43"/>
      <c r="AN355" s="43"/>
      <c r="AO355" s="43"/>
      <c r="AP355" s="46" t="s">
        <v>5266</v>
      </c>
      <c r="AQ355" s="43"/>
      <c r="AR355" s="46" t="s">
        <v>5267</v>
      </c>
      <c r="AS355" s="43"/>
      <c r="AT355" s="43"/>
      <c r="AU355" s="43"/>
      <c r="AV355" s="43"/>
      <c r="AW355" s="22" t="s">
        <v>594</v>
      </c>
      <c r="AX355" s="22" t="s">
        <v>5264</v>
      </c>
      <c r="AY355" s="22" t="s">
        <v>595</v>
      </c>
      <c r="AZ355" s="43"/>
      <c r="BA355" s="43"/>
      <c r="BB355" s="43"/>
      <c r="BC355" s="43"/>
      <c r="BD355" s="43" t="s">
        <v>2673</v>
      </c>
      <c r="BE355" s="59" t="s">
        <v>2755</v>
      </c>
      <c r="BF355" s="22" t="s">
        <v>131</v>
      </c>
      <c r="BG355" s="22" t="s">
        <v>132</v>
      </c>
      <c r="BH355" s="22" t="s">
        <v>132</v>
      </c>
      <c r="BI355" s="22" t="s">
        <v>132</v>
      </c>
      <c r="BJ355" s="43"/>
      <c r="BK355" s="43"/>
      <c r="BL355" s="22">
        <v>4.660417421827E12</v>
      </c>
      <c r="BM355" s="22">
        <v>3.30499E9</v>
      </c>
      <c r="BN355" s="22" t="s">
        <v>5268</v>
      </c>
      <c r="BO355" s="22"/>
      <c r="BP355" s="69" t="s">
        <v>496</v>
      </c>
      <c r="BQ355" s="43"/>
      <c r="BR355" s="43"/>
      <c r="BS355" s="22" t="s">
        <v>5269</v>
      </c>
      <c r="BT355" s="43"/>
      <c r="BU355" s="22" t="s">
        <v>2758</v>
      </c>
      <c r="BV355" s="22" t="s">
        <v>3061</v>
      </c>
      <c r="BW355" s="22" t="s">
        <v>4914</v>
      </c>
      <c r="BX355" s="22">
        <v>50.0</v>
      </c>
      <c r="BY355" s="22" t="s">
        <v>139</v>
      </c>
      <c r="BZ355" s="43"/>
      <c r="CA355" s="22" t="s">
        <v>726</v>
      </c>
      <c r="CB355" s="22" t="s">
        <v>5270</v>
      </c>
      <c r="CC355" s="44" t="s">
        <v>3064</v>
      </c>
      <c r="CD355" s="43"/>
      <c r="CE355" s="43"/>
      <c r="CF355" s="45" t="s">
        <v>401</v>
      </c>
      <c r="CG355" s="54">
        <v>46072.0</v>
      </c>
      <c r="CH355" s="46" t="s">
        <v>5271</v>
      </c>
      <c r="CI355" s="43"/>
      <c r="CJ355" s="43"/>
      <c r="CK355" s="43"/>
      <c r="CL355" s="43"/>
      <c r="CM355" s="49">
        <f>IFERROR(VLOOKUP(B355,CC!A:D,4,0)," ")</f>
        <v>121</v>
      </c>
      <c r="CN355" s="22" t="s">
        <v>2681</v>
      </c>
      <c r="CO355" s="22"/>
      <c r="CP355" s="43"/>
      <c r="CQ355" s="22" t="s">
        <v>401</v>
      </c>
      <c r="CR355" s="43"/>
      <c r="CS355" s="22">
        <v>1.0</v>
      </c>
      <c r="CT355" s="22" t="s">
        <v>145</v>
      </c>
      <c r="CU355" s="43"/>
      <c r="CV355" s="43"/>
      <c r="CW355" s="43"/>
      <c r="CX355" s="43"/>
      <c r="CY355" s="43" t="b">
        <v>0</v>
      </c>
      <c r="CZ355" s="43" t="b">
        <v>0</v>
      </c>
      <c r="DA355" s="43" t="b">
        <v>0</v>
      </c>
      <c r="DB355" s="43" t="b">
        <v>0</v>
      </c>
      <c r="DC355" s="43"/>
      <c r="DD355" s="43"/>
      <c r="DE355" s="43"/>
      <c r="DF355" s="43"/>
      <c r="DG355" s="43"/>
      <c r="DH355" s="43"/>
      <c r="DI355" s="43"/>
      <c r="DJ355" s="22" t="str">
        <f>IFERROR(VLOOKUP($B355,'Лист4'!$D:$AI,27,0)," ")</f>
        <v/>
      </c>
      <c r="DK355" s="22" t="str">
        <f>IFERROR(VLOOKUP($B355,'Лист4'!$D:$AI,28,0)," ")</f>
        <v/>
      </c>
      <c r="DL355" s="22" t="str">
        <f>IFERROR(VLOOKUP($B355,'Лист4'!$D:$AI,29,0)," ")</f>
        <v/>
      </c>
      <c r="DM355" s="22">
        <f t="shared" si="3"/>
        <v>0</v>
      </c>
      <c r="DN355" s="22" t="str">
        <f>IFERROR(VLOOKUP($B355,'Лист4'!$D:$AI,32,0)," ")</f>
        <v/>
      </c>
      <c r="DO355" s="22"/>
      <c r="DP355" s="22"/>
      <c r="DQ355" s="22"/>
      <c r="DR355" s="22"/>
      <c r="DS355" s="22"/>
      <c r="DT355" s="22"/>
      <c r="DU355" s="22"/>
      <c r="DV355" s="22"/>
      <c r="DW355" s="22"/>
      <c r="DX355" s="22"/>
      <c r="DY355" s="22"/>
      <c r="DZ355" s="22"/>
      <c r="EA355" s="22"/>
      <c r="EB355" s="22"/>
      <c r="EC355" s="22"/>
      <c r="ED355" s="22"/>
      <c r="EE355" s="22"/>
      <c r="EF355" s="22"/>
      <c r="EG355" s="22"/>
      <c r="EH355" s="22"/>
      <c r="EI355" s="22"/>
      <c r="EJ355" s="22"/>
      <c r="EK355" s="22"/>
      <c r="EL355" s="22"/>
      <c r="EM355" s="22"/>
      <c r="EN355" s="22"/>
      <c r="EO355" s="22"/>
      <c r="EP355" s="22"/>
      <c r="EQ355" s="22"/>
      <c r="ER355" s="22"/>
      <c r="ES355" s="43"/>
      <c r="ET355" s="43"/>
      <c r="EU355" s="43"/>
      <c r="EV355" s="43"/>
      <c r="EW355" s="43"/>
      <c r="EX355" s="43"/>
      <c r="EY355" s="43"/>
      <c r="EZ355" s="43"/>
      <c r="FA355" s="43"/>
      <c r="FB355" s="43"/>
      <c r="FC355" s="43"/>
      <c r="FD355" s="43"/>
      <c r="FE355" s="43"/>
      <c r="FF355" s="43"/>
      <c r="FG355" s="43"/>
      <c r="FH355" s="43"/>
      <c r="FI355" s="43"/>
    </row>
    <row r="356" ht="18.0" customHeight="1">
      <c r="A356" s="22" t="s">
        <v>2659</v>
      </c>
      <c r="B356" s="43" t="s">
        <v>5272</v>
      </c>
      <c r="C356" s="22" t="s">
        <v>2661</v>
      </c>
      <c r="D356" s="22" t="s">
        <v>119</v>
      </c>
      <c r="E356" s="43"/>
      <c r="F356" s="22" t="s">
        <v>5273</v>
      </c>
      <c r="G356" s="22"/>
      <c r="H356" s="22"/>
      <c r="I356" s="43"/>
      <c r="J356" s="43"/>
      <c r="K356" s="22" t="b">
        <v>1</v>
      </c>
      <c r="L356" s="22" t="b">
        <v>1</v>
      </c>
      <c r="M356" s="22" t="b">
        <v>1</v>
      </c>
      <c r="N356" s="22" t="b">
        <v>0</v>
      </c>
      <c r="O356" s="22" t="b">
        <v>0</v>
      </c>
      <c r="P356" s="22" t="b">
        <v>0</v>
      </c>
      <c r="Q356" s="22" t="b">
        <v>0</v>
      </c>
      <c r="R356" s="43"/>
      <c r="S356" s="43" t="s">
        <v>5274</v>
      </c>
      <c r="T356" s="22" t="s">
        <v>5272</v>
      </c>
      <c r="U356" s="22" t="s">
        <v>5272</v>
      </c>
      <c r="V356" s="22"/>
      <c r="W356" s="43"/>
      <c r="X356" s="43"/>
      <c r="Y356" s="43"/>
      <c r="Z356" s="43"/>
      <c r="AA356" s="22">
        <v>1.7908721E7</v>
      </c>
      <c r="AB356" s="22">
        <v>2.90029361E8</v>
      </c>
      <c r="AC356" s="22"/>
      <c r="AD356" s="22"/>
      <c r="AE356" s="22"/>
      <c r="AF356" s="43"/>
      <c r="AG356" s="43"/>
      <c r="AH356" s="43" t="s">
        <v>5273</v>
      </c>
      <c r="AI356" s="22" t="s">
        <v>5275</v>
      </c>
      <c r="AJ356" s="22" t="s">
        <v>5276</v>
      </c>
      <c r="AK356" s="43"/>
      <c r="AL356" s="43"/>
      <c r="AM356" s="43"/>
      <c r="AN356" s="43"/>
      <c r="AO356" s="43"/>
      <c r="AP356" s="46" t="s">
        <v>5277</v>
      </c>
      <c r="AQ356" s="46" t="s">
        <v>5278</v>
      </c>
      <c r="AR356" s="43"/>
      <c r="AS356" s="43"/>
      <c r="AT356" s="43"/>
      <c r="AU356" s="43"/>
      <c r="AV356" s="43"/>
      <c r="AW356" s="22" t="s">
        <v>4667</v>
      </c>
      <c r="AX356" s="22" t="s">
        <v>5276</v>
      </c>
      <c r="AY356" s="43"/>
      <c r="AZ356" s="43"/>
      <c r="BA356" s="43"/>
      <c r="BB356" s="43"/>
      <c r="BC356" s="43"/>
      <c r="BD356" s="43"/>
      <c r="BE356" s="43"/>
      <c r="BF356" s="22" t="s">
        <v>131</v>
      </c>
      <c r="BG356" s="22" t="s">
        <v>132</v>
      </c>
      <c r="BH356" s="22" t="s">
        <v>132</v>
      </c>
      <c r="BI356" s="22" t="s">
        <v>132</v>
      </c>
      <c r="BJ356" s="43"/>
      <c r="BK356" s="43"/>
      <c r="BL356" s="22">
        <v>2.25209655626E12</v>
      </c>
      <c r="BM356" s="22">
        <v>3.926909709E9</v>
      </c>
      <c r="BN356" s="22" t="s">
        <v>5279</v>
      </c>
      <c r="BO356" s="22"/>
      <c r="BP356" s="22" t="s">
        <v>2802</v>
      </c>
      <c r="BQ356" s="43"/>
      <c r="BR356" s="43"/>
      <c r="BS356" s="70" t="s">
        <v>5280</v>
      </c>
      <c r="BT356" s="71"/>
      <c r="BU356" s="22" t="s">
        <v>4670</v>
      </c>
      <c r="BV356" s="22" t="s">
        <v>2777</v>
      </c>
      <c r="BW356" s="22" t="s">
        <v>4671</v>
      </c>
      <c r="BX356" s="22">
        <v>1.0</v>
      </c>
      <c r="BY356" s="60" t="s">
        <v>5281</v>
      </c>
      <c r="BZ356" s="60"/>
      <c r="CA356" s="22" t="s">
        <v>5282</v>
      </c>
      <c r="CB356" s="22" t="s">
        <v>5283</v>
      </c>
      <c r="CC356" s="45" t="s">
        <v>401</v>
      </c>
      <c r="CD356" s="43"/>
      <c r="CE356" s="43"/>
      <c r="CF356" s="45" t="s">
        <v>401</v>
      </c>
      <c r="CG356" s="43"/>
      <c r="CH356" s="43"/>
      <c r="CI356" s="43"/>
      <c r="CJ356" s="43"/>
      <c r="CK356" s="43"/>
      <c r="CL356" s="43"/>
      <c r="CM356" s="49">
        <f>IFERROR(VLOOKUP(B356,CC!A:D,4,0)," ")</f>
        <v>480</v>
      </c>
      <c r="CN356" s="22" t="s">
        <v>2681</v>
      </c>
      <c r="CO356" s="22"/>
      <c r="CP356" s="43"/>
      <c r="CQ356" s="22">
        <v>45.0</v>
      </c>
      <c r="CR356" s="43"/>
      <c r="CS356" s="22">
        <v>1.0</v>
      </c>
      <c r="CT356" s="22" t="s">
        <v>145</v>
      </c>
      <c r="CU356" s="43"/>
      <c r="CV356" s="43"/>
      <c r="CW356" s="43"/>
      <c r="CX356" s="43"/>
      <c r="CY356" s="43" t="b">
        <v>0</v>
      </c>
      <c r="CZ356" s="43" t="b">
        <v>0</v>
      </c>
      <c r="DA356" s="43" t="b">
        <v>0</v>
      </c>
      <c r="DB356" s="43" t="b">
        <v>0</v>
      </c>
      <c r="DC356" s="43"/>
      <c r="DD356" s="43"/>
      <c r="DE356" s="43"/>
      <c r="DF356" s="43"/>
      <c r="DG356" s="43"/>
      <c r="DH356" s="43"/>
      <c r="DI356" s="43"/>
      <c r="DJ356" s="22">
        <f>IFERROR(VLOOKUP($B356,'Лист4'!$D:$AI,27,0)," ")</f>
        <v>22</v>
      </c>
      <c r="DK356" s="22">
        <f>IFERROR(VLOOKUP($B356,'Лист4'!$D:$AI,28,0)," ")</f>
        <v>6</v>
      </c>
      <c r="DL356" s="22">
        <f>IFERROR(VLOOKUP($B356,'Лист4'!$D:$AI,29,0)," ")</f>
        <v>22</v>
      </c>
      <c r="DM356" s="22">
        <f t="shared" si="3"/>
        <v>2904</v>
      </c>
      <c r="DN356" s="22">
        <f>IFERROR(VLOOKUP($B356,'Лист4'!$D:$AI,32,0)," ")</f>
        <v>0.242</v>
      </c>
      <c r="DO356" s="22"/>
      <c r="DP356" s="22"/>
      <c r="DQ356" s="22"/>
      <c r="DR356" s="22"/>
      <c r="DS356" s="22"/>
      <c r="DT356" s="22"/>
      <c r="DU356" s="22"/>
      <c r="DV356" s="22"/>
      <c r="DW356" s="22"/>
      <c r="DX356" s="22"/>
      <c r="DY356" s="22"/>
      <c r="DZ356" s="22"/>
      <c r="EA356" s="22"/>
      <c r="EB356" s="22"/>
      <c r="EC356" s="22"/>
      <c r="ED356" s="22"/>
      <c r="EE356" s="22"/>
      <c r="EF356" s="22"/>
      <c r="EG356" s="22"/>
      <c r="EH356" s="22"/>
      <c r="EI356" s="22"/>
      <c r="EJ356" s="22"/>
      <c r="EK356" s="22"/>
      <c r="EL356" s="22"/>
      <c r="EM356" s="22"/>
      <c r="EN356" s="22"/>
      <c r="EO356" s="22"/>
      <c r="EP356" s="22"/>
      <c r="EQ356" s="22"/>
      <c r="ER356" s="22"/>
      <c r="ES356" s="43"/>
      <c r="ET356" s="43"/>
      <c r="EU356" s="43"/>
      <c r="EV356" s="43"/>
      <c r="EW356" s="43"/>
      <c r="EX356" s="43"/>
      <c r="EY356" s="43"/>
      <c r="EZ356" s="43"/>
      <c r="FA356" s="43"/>
      <c r="FB356" s="43"/>
      <c r="FC356" s="43"/>
      <c r="FD356" s="43"/>
      <c r="FE356" s="43"/>
      <c r="FF356" s="43"/>
      <c r="FG356" s="43"/>
      <c r="FH356" s="43"/>
      <c r="FI356" s="43"/>
    </row>
    <row r="357" ht="18.0" customHeight="1">
      <c r="A357" s="22" t="s">
        <v>2659</v>
      </c>
      <c r="B357" s="43" t="s">
        <v>5284</v>
      </c>
      <c r="C357" s="22" t="s">
        <v>2661</v>
      </c>
      <c r="D357" s="22" t="s">
        <v>119</v>
      </c>
      <c r="E357" s="43"/>
      <c r="F357" s="22" t="s">
        <v>5285</v>
      </c>
      <c r="G357" s="22"/>
      <c r="H357" s="22"/>
      <c r="I357" s="43"/>
      <c r="J357" s="43"/>
      <c r="K357" s="22" t="b">
        <v>1</v>
      </c>
      <c r="L357" s="22" t="b">
        <v>1</v>
      </c>
      <c r="M357" s="22" t="b">
        <v>1</v>
      </c>
      <c r="N357" s="22" t="b">
        <v>0</v>
      </c>
      <c r="O357" s="22" t="b">
        <v>0</v>
      </c>
      <c r="P357" s="22" t="b">
        <v>0</v>
      </c>
      <c r="Q357" s="22" t="b">
        <v>0</v>
      </c>
      <c r="R357" s="43"/>
      <c r="S357" s="43" t="s">
        <v>5286</v>
      </c>
      <c r="T357" s="22" t="s">
        <v>5284</v>
      </c>
      <c r="U357" s="22" t="s">
        <v>5284</v>
      </c>
      <c r="V357" s="22"/>
      <c r="W357" s="43"/>
      <c r="X357" s="43"/>
      <c r="Y357" s="43"/>
      <c r="Z357" s="43"/>
      <c r="AA357" s="22">
        <v>4.1327376E7</v>
      </c>
      <c r="AB357" s="22">
        <v>3.27231451E8</v>
      </c>
      <c r="AC357" s="22"/>
      <c r="AD357" s="22"/>
      <c r="AE357" s="22"/>
      <c r="AF357" s="43"/>
      <c r="AG357" s="43"/>
      <c r="AH357" s="43" t="s">
        <v>5285</v>
      </c>
      <c r="AI357" s="22" t="s">
        <v>5287</v>
      </c>
      <c r="AJ357" s="22" t="s">
        <v>5288</v>
      </c>
      <c r="AK357" s="43"/>
      <c r="AL357" s="43"/>
      <c r="AM357" s="43"/>
      <c r="AN357" s="43"/>
      <c r="AO357" s="43"/>
      <c r="AP357" s="46" t="s">
        <v>5289</v>
      </c>
      <c r="AQ357" s="46" t="s">
        <v>5290</v>
      </c>
      <c r="AR357" s="43"/>
      <c r="AS357" s="43"/>
      <c r="AT357" s="43"/>
      <c r="AU357" s="43"/>
      <c r="AV357" s="43"/>
      <c r="AW357" s="22" t="s">
        <v>594</v>
      </c>
      <c r="AX357" s="22" t="s">
        <v>5288</v>
      </c>
      <c r="AY357" s="43"/>
      <c r="AZ357" s="43"/>
      <c r="BA357" s="43"/>
      <c r="BB357" s="43"/>
      <c r="BC357" s="43"/>
      <c r="BD357" s="43"/>
      <c r="BE357" s="43"/>
      <c r="BF357" s="22" t="s">
        <v>131</v>
      </c>
      <c r="BG357" s="22" t="s">
        <v>132</v>
      </c>
      <c r="BH357" s="22" t="s">
        <v>132</v>
      </c>
      <c r="BI357" s="22" t="s">
        <v>132</v>
      </c>
      <c r="BJ357" s="43"/>
      <c r="BK357" s="43"/>
      <c r="BL357" s="22">
        <v>4.63113690508E12</v>
      </c>
      <c r="BM357" s="22">
        <v>3.30499E9</v>
      </c>
      <c r="BN357" s="22" t="s">
        <v>5291</v>
      </c>
      <c r="BO357" s="22"/>
      <c r="BP357" s="22" t="s">
        <v>496</v>
      </c>
      <c r="BQ357" s="43"/>
      <c r="BR357" s="43"/>
      <c r="BS357" s="22" t="s">
        <v>5292</v>
      </c>
      <c r="BT357" s="43"/>
      <c r="BU357" s="22" t="s">
        <v>5293</v>
      </c>
      <c r="BV357" s="43" t="s">
        <v>2777</v>
      </c>
      <c r="BW357" s="22" t="s">
        <v>5294</v>
      </c>
      <c r="BX357" s="22">
        <v>10.0</v>
      </c>
      <c r="BY357" s="22" t="s">
        <v>139</v>
      </c>
      <c r="BZ357" s="22"/>
      <c r="CA357" s="22" t="s">
        <v>3960</v>
      </c>
      <c r="CB357" s="22" t="s">
        <v>307</v>
      </c>
      <c r="CC357" s="45" t="s">
        <v>5295</v>
      </c>
      <c r="CD357" s="43"/>
      <c r="CE357" s="43"/>
      <c r="CF357" s="45"/>
      <c r="CG357" s="43"/>
      <c r="CH357" s="43"/>
      <c r="CI357" s="43"/>
      <c r="CJ357" s="43"/>
      <c r="CK357" s="43"/>
      <c r="CL357" s="43"/>
      <c r="CM357" s="49">
        <f>IFERROR(VLOOKUP(B357,CC!A:D,4,0)," ")</f>
        <v>97.98</v>
      </c>
      <c r="CN357" s="22" t="s">
        <v>3330</v>
      </c>
      <c r="CO357" s="22"/>
      <c r="CP357" s="43"/>
      <c r="CQ357" s="22" t="s">
        <v>401</v>
      </c>
      <c r="CR357" s="43"/>
      <c r="CS357" s="22">
        <v>1.0</v>
      </c>
      <c r="CT357" s="22" t="s">
        <v>145</v>
      </c>
      <c r="CU357" s="43"/>
      <c r="CV357" s="43"/>
      <c r="CW357" s="43"/>
      <c r="CX357" s="43"/>
      <c r="CY357" s="43" t="b">
        <v>0</v>
      </c>
      <c r="CZ357" s="43" t="b">
        <v>0</v>
      </c>
      <c r="DA357" s="43" t="b">
        <v>0</v>
      </c>
      <c r="DB357" s="43" t="b">
        <v>0</v>
      </c>
      <c r="DC357" s="43"/>
      <c r="DD357" s="43"/>
      <c r="DE357" s="43"/>
      <c r="DF357" s="43"/>
      <c r="DG357" s="43"/>
      <c r="DH357" s="43"/>
      <c r="DI357" s="43"/>
      <c r="DJ357" s="22">
        <f>IFERROR(VLOOKUP($B357,'Лист4'!$D:$AI,27,0)," ")</f>
        <v>9</v>
      </c>
      <c r="DK357" s="22">
        <f>IFERROR(VLOOKUP($B357,'Лист4'!$D:$AI,28,0)," ")</f>
        <v>3</v>
      </c>
      <c r="DL357" s="22">
        <f>IFERROR(VLOOKUP($B357,'Лист4'!$D:$AI,29,0)," ")</f>
        <v>9</v>
      </c>
      <c r="DM357" s="22">
        <f t="shared" si="3"/>
        <v>243</v>
      </c>
      <c r="DN357" s="22">
        <f>IFERROR(VLOOKUP($B357,'Лист4'!$D:$AI,32,0)," ")</f>
        <v>0.046</v>
      </c>
      <c r="DO357" s="22"/>
      <c r="DP357" s="22"/>
      <c r="DQ357" s="22"/>
      <c r="DR357" s="22"/>
      <c r="DS357" s="22"/>
      <c r="DT357" s="22"/>
      <c r="DU357" s="22"/>
      <c r="DV357" s="22"/>
      <c r="DW357" s="22"/>
      <c r="DX357" s="22"/>
      <c r="DY357" s="22"/>
      <c r="DZ357" s="22"/>
      <c r="EA357" s="22"/>
      <c r="EB357" s="22"/>
      <c r="EC357" s="22"/>
      <c r="ED357" s="22"/>
      <c r="EE357" s="22"/>
      <c r="EF357" s="22"/>
      <c r="EG357" s="22"/>
      <c r="EH357" s="22"/>
      <c r="EI357" s="22"/>
      <c r="EJ357" s="22"/>
      <c r="EK357" s="22"/>
      <c r="EL357" s="22"/>
      <c r="EM357" s="22"/>
      <c r="EN357" s="22"/>
      <c r="EO357" s="22"/>
      <c r="EP357" s="22"/>
      <c r="EQ357" s="22"/>
      <c r="ER357" s="22"/>
      <c r="ES357" s="43"/>
      <c r="ET357" s="43"/>
      <c r="EU357" s="43"/>
      <c r="EV357" s="43"/>
      <c r="EW357" s="43"/>
      <c r="EX357" s="43"/>
      <c r="EY357" s="43"/>
      <c r="EZ357" s="43"/>
      <c r="FA357" s="43"/>
      <c r="FB357" s="43"/>
      <c r="FC357" s="43"/>
      <c r="FD357" s="43"/>
      <c r="FE357" s="43"/>
      <c r="FF357" s="43"/>
      <c r="FG357" s="43"/>
      <c r="FH357" s="43"/>
      <c r="FI357" s="43"/>
    </row>
    <row r="358" ht="18.0" customHeight="1">
      <c r="A358" s="22" t="s">
        <v>2659</v>
      </c>
      <c r="B358" s="43" t="s">
        <v>5296</v>
      </c>
      <c r="C358" s="22" t="s">
        <v>2661</v>
      </c>
      <c r="D358" s="22" t="s">
        <v>119</v>
      </c>
      <c r="E358" s="43"/>
      <c r="F358" s="22" t="s">
        <v>5297</v>
      </c>
      <c r="G358" s="22"/>
      <c r="H358" s="22"/>
      <c r="I358" s="43"/>
      <c r="J358" s="43"/>
      <c r="K358" s="22" t="b">
        <v>1</v>
      </c>
      <c r="L358" s="22" t="b">
        <v>1</v>
      </c>
      <c r="M358" s="22" t="b">
        <v>1</v>
      </c>
      <c r="N358" s="22" t="b">
        <v>1</v>
      </c>
      <c r="O358" s="22" t="b">
        <v>0</v>
      </c>
      <c r="P358" s="22" t="b">
        <v>0</v>
      </c>
      <c r="Q358" s="22" t="b">
        <v>0</v>
      </c>
      <c r="R358" s="43"/>
      <c r="S358" s="43" t="s">
        <v>5298</v>
      </c>
      <c r="T358" s="22" t="s">
        <v>5296</v>
      </c>
      <c r="U358" s="22" t="s">
        <v>5296</v>
      </c>
      <c r="V358" s="22" t="s">
        <v>5296</v>
      </c>
      <c r="W358" s="43"/>
      <c r="X358" s="43"/>
      <c r="Y358" s="43"/>
      <c r="Z358" s="43"/>
      <c r="AA358" s="22">
        <v>1.09014186E8</v>
      </c>
      <c r="AB358" s="22">
        <v>7.43548429E8</v>
      </c>
      <c r="AC358" s="22">
        <v>1.03340884504E11</v>
      </c>
      <c r="AD358" s="22"/>
      <c r="AE358" s="22"/>
      <c r="AF358" s="43"/>
      <c r="AG358" s="43"/>
      <c r="AH358" s="43" t="s">
        <v>5297</v>
      </c>
      <c r="AI358" s="22" t="s">
        <v>5299</v>
      </c>
      <c r="AJ358" s="22" t="s">
        <v>5300</v>
      </c>
      <c r="AK358" s="22" t="s">
        <v>5301</v>
      </c>
      <c r="AL358" s="43"/>
      <c r="AM358" s="43"/>
      <c r="AN358" s="43"/>
      <c r="AO358" s="43"/>
      <c r="AP358" s="46" t="s">
        <v>5302</v>
      </c>
      <c r="AQ358" s="46" t="s">
        <v>5303</v>
      </c>
      <c r="AR358" s="46" t="s">
        <v>5304</v>
      </c>
      <c r="AS358" s="43"/>
      <c r="AT358" s="43"/>
      <c r="AU358" s="43"/>
      <c r="AV358" s="43"/>
      <c r="AW358" s="22" t="s">
        <v>594</v>
      </c>
      <c r="AX358" s="22" t="s">
        <v>5300</v>
      </c>
      <c r="AY358" s="22" t="s">
        <v>2672</v>
      </c>
      <c r="AZ358" s="43"/>
      <c r="BA358" s="43"/>
      <c r="BB358" s="43"/>
      <c r="BC358" s="43"/>
      <c r="BD358" s="43" t="s">
        <v>2673</v>
      </c>
      <c r="BE358" s="43"/>
      <c r="BF358" s="22" t="s">
        <v>131</v>
      </c>
      <c r="BG358" s="22" t="s">
        <v>132</v>
      </c>
      <c r="BH358" s="22" t="s">
        <v>132</v>
      </c>
      <c r="BI358" s="22" t="s">
        <v>132</v>
      </c>
      <c r="BJ358" s="43"/>
      <c r="BK358" s="43"/>
      <c r="BL358" s="22">
        <v>4.640012268409E12</v>
      </c>
      <c r="BM358" s="22">
        <v>3.30499E9</v>
      </c>
      <c r="BN358" s="22" t="s">
        <v>3124</v>
      </c>
      <c r="BO358" s="22"/>
      <c r="BP358" s="22" t="s">
        <v>496</v>
      </c>
      <c r="BQ358" s="43"/>
      <c r="BR358" s="43"/>
      <c r="BS358" s="22" t="s">
        <v>5305</v>
      </c>
      <c r="BT358" s="43"/>
      <c r="BU358" s="22" t="s">
        <v>5306</v>
      </c>
      <c r="BV358" s="43" t="s">
        <v>5307</v>
      </c>
      <c r="BW358" s="22" t="s">
        <v>2778</v>
      </c>
      <c r="BX358" s="22">
        <v>30.0</v>
      </c>
      <c r="BY358" s="22" t="s">
        <v>139</v>
      </c>
      <c r="BZ358" s="22"/>
      <c r="CA358" s="22"/>
      <c r="CB358" s="22"/>
      <c r="CC358" s="45" t="s">
        <v>5308</v>
      </c>
      <c r="CD358" s="43"/>
      <c r="CE358" s="43"/>
      <c r="CF358" s="45"/>
      <c r="CG358" s="43"/>
      <c r="CH358" s="43"/>
      <c r="CI358" s="43"/>
      <c r="CJ358" s="43"/>
      <c r="CK358" s="43"/>
      <c r="CL358" s="43"/>
      <c r="CM358" s="49">
        <f>IFERROR(VLOOKUP(B358,CC!A:D,4,0)," ")</f>
        <v>125.88</v>
      </c>
      <c r="CN358" s="22" t="s">
        <v>5309</v>
      </c>
      <c r="CO358" s="22"/>
      <c r="CP358" s="43"/>
      <c r="CQ358" s="22" t="s">
        <v>401</v>
      </c>
      <c r="CR358" s="43"/>
      <c r="CS358" s="22">
        <v>1.0</v>
      </c>
      <c r="CT358" s="22" t="s">
        <v>145</v>
      </c>
      <c r="CU358" s="43"/>
      <c r="CV358" s="43"/>
      <c r="CW358" s="43"/>
      <c r="CX358" s="43"/>
      <c r="CY358" s="43" t="b">
        <v>0</v>
      </c>
      <c r="CZ358" s="43" t="b">
        <v>0</v>
      </c>
      <c r="DA358" s="43" t="b">
        <v>0</v>
      </c>
      <c r="DB358" s="43" t="b">
        <v>0</v>
      </c>
      <c r="DC358" s="43"/>
      <c r="DD358" s="43"/>
      <c r="DE358" s="43"/>
      <c r="DF358" s="43"/>
      <c r="DG358" s="43"/>
      <c r="DH358" s="43"/>
      <c r="DI358" s="43"/>
      <c r="DJ358" s="22">
        <f>IFERROR(VLOOKUP($B358,'Лист4'!$D:$AI,27,0)," ")</f>
        <v>10</v>
      </c>
      <c r="DK358" s="22">
        <f>IFERROR(VLOOKUP($B358,'Лист4'!$D:$AI,28,0)," ")</f>
        <v>3</v>
      </c>
      <c r="DL358" s="22">
        <f>IFERROR(VLOOKUP($B358,'Лист4'!$D:$AI,29,0)," ")</f>
        <v>10</v>
      </c>
      <c r="DM358" s="22">
        <f t="shared" si="3"/>
        <v>300</v>
      </c>
      <c r="DN358" s="22">
        <f>IFERROR(VLOOKUP($B358,'Лист4'!$D:$AI,32,0)," ")</f>
        <v>0.06</v>
      </c>
      <c r="DO358" s="22"/>
      <c r="DP358" s="22"/>
      <c r="DQ358" s="22"/>
      <c r="DR358" s="22"/>
      <c r="DS358" s="22"/>
      <c r="DT358" s="22"/>
      <c r="DU358" s="22"/>
      <c r="DV358" s="22"/>
      <c r="DW358" s="22"/>
      <c r="DX358" s="22"/>
      <c r="DY358" s="22"/>
      <c r="DZ358" s="22"/>
      <c r="EA358" s="22"/>
      <c r="EB358" s="22"/>
      <c r="EC358" s="22"/>
      <c r="ED358" s="22"/>
      <c r="EE358" s="22"/>
      <c r="EF358" s="22"/>
      <c r="EG358" s="22"/>
      <c r="EH358" s="22"/>
      <c r="EI358" s="22"/>
      <c r="EJ358" s="22"/>
      <c r="EK358" s="22"/>
      <c r="EL358" s="22"/>
      <c r="EM358" s="22"/>
      <c r="EN358" s="22"/>
      <c r="EO358" s="22"/>
      <c r="EP358" s="22"/>
      <c r="EQ358" s="22"/>
      <c r="ER358" s="22"/>
      <c r="ES358" s="43"/>
      <c r="ET358" s="43"/>
      <c r="EU358" s="43"/>
      <c r="EV358" s="43"/>
      <c r="EW358" s="43"/>
      <c r="EX358" s="43"/>
      <c r="EY358" s="43"/>
      <c r="EZ358" s="43"/>
      <c r="FA358" s="43"/>
      <c r="FB358" s="43"/>
      <c r="FC358" s="43"/>
      <c r="FD358" s="43"/>
      <c r="FE358" s="43"/>
      <c r="FF358" s="43"/>
      <c r="FG358" s="43"/>
      <c r="FH358" s="43"/>
      <c r="FI358" s="43"/>
    </row>
    <row r="359" ht="18.0" customHeight="1">
      <c r="A359" s="22" t="s">
        <v>2659</v>
      </c>
      <c r="B359" s="43" t="s">
        <v>5310</v>
      </c>
      <c r="C359" s="22" t="s">
        <v>2661</v>
      </c>
      <c r="D359" s="22" t="s">
        <v>187</v>
      </c>
      <c r="E359" s="43"/>
      <c r="F359" s="22" t="s">
        <v>5311</v>
      </c>
      <c r="G359" s="22"/>
      <c r="H359" s="22"/>
      <c r="I359" s="43"/>
      <c r="J359" s="43"/>
      <c r="K359" s="22" t="b">
        <v>1</v>
      </c>
      <c r="L359" s="22" t="b">
        <v>1</v>
      </c>
      <c r="M359" s="22" t="b">
        <v>1</v>
      </c>
      <c r="N359" s="22" t="b">
        <v>0</v>
      </c>
      <c r="O359" s="22" t="b">
        <v>0</v>
      </c>
      <c r="P359" s="22" t="b">
        <v>0</v>
      </c>
      <c r="Q359" s="22" t="b">
        <v>0</v>
      </c>
      <c r="R359" s="43"/>
      <c r="S359" s="43" t="s">
        <v>5312</v>
      </c>
      <c r="T359" s="22" t="s">
        <v>5310</v>
      </c>
      <c r="U359" s="22" t="s">
        <v>5310</v>
      </c>
      <c r="V359" s="22"/>
      <c r="W359" s="43"/>
      <c r="X359" s="43"/>
      <c r="Y359" s="43"/>
      <c r="Z359" s="43"/>
      <c r="AA359" s="22">
        <v>1.81469548E8</v>
      </c>
      <c r="AB359" s="22">
        <v>1.235751364E9</v>
      </c>
      <c r="AC359" s="22"/>
      <c r="AD359" s="22"/>
      <c r="AE359" s="22"/>
      <c r="AF359" s="43"/>
      <c r="AG359" s="43"/>
      <c r="AH359" s="43" t="s">
        <v>5311</v>
      </c>
      <c r="AI359" s="22" t="s">
        <v>5313</v>
      </c>
      <c r="AJ359" s="22" t="s">
        <v>5314</v>
      </c>
      <c r="AK359" s="43"/>
      <c r="AL359" s="43"/>
      <c r="AM359" s="43"/>
      <c r="AN359" s="43"/>
      <c r="AO359" s="43"/>
      <c r="AP359" s="46" t="s">
        <v>5315</v>
      </c>
      <c r="AQ359" s="46" t="s">
        <v>5316</v>
      </c>
      <c r="AR359" s="43"/>
      <c r="AS359" s="43"/>
      <c r="AT359" s="43"/>
      <c r="AU359" s="43"/>
      <c r="AV359" s="43"/>
      <c r="AW359" s="22" t="s">
        <v>594</v>
      </c>
      <c r="AX359" s="22" t="s">
        <v>5314</v>
      </c>
      <c r="AY359" s="43"/>
      <c r="AZ359" s="43"/>
      <c r="BA359" s="43"/>
      <c r="BB359" s="43"/>
      <c r="BC359" s="43"/>
      <c r="BD359" s="43"/>
      <c r="BE359" s="43"/>
      <c r="BF359" s="22" t="s">
        <v>131</v>
      </c>
      <c r="BG359" s="22" t="s">
        <v>132</v>
      </c>
      <c r="BH359" s="22" t="s">
        <v>132</v>
      </c>
      <c r="BI359" s="22" t="s">
        <v>132</v>
      </c>
      <c r="BJ359" s="43"/>
      <c r="BK359" s="43"/>
      <c r="BL359" s="22">
        <v>4.670017991798E12</v>
      </c>
      <c r="BM359" s="22">
        <v>3.30499E9</v>
      </c>
      <c r="BN359" s="22" t="s">
        <v>5317</v>
      </c>
      <c r="BO359" s="22"/>
      <c r="BP359" s="22" t="s">
        <v>145</v>
      </c>
      <c r="BQ359" s="43"/>
      <c r="BR359" s="43"/>
      <c r="BS359" s="22" t="s">
        <v>5318</v>
      </c>
      <c r="BT359" s="43"/>
      <c r="BU359" s="22" t="s">
        <v>5319</v>
      </c>
      <c r="BV359" s="22" t="s">
        <v>5317</v>
      </c>
      <c r="BW359" s="22" t="s">
        <v>5320</v>
      </c>
      <c r="BX359" s="22">
        <v>75.0</v>
      </c>
      <c r="BY359" s="22" t="s">
        <v>139</v>
      </c>
      <c r="BZ359" s="22"/>
      <c r="CA359" s="22" t="s">
        <v>726</v>
      </c>
      <c r="CB359" s="22" t="s">
        <v>727</v>
      </c>
      <c r="CC359" s="45" t="s">
        <v>5321</v>
      </c>
      <c r="CD359" s="43"/>
      <c r="CE359" s="43"/>
      <c r="CF359" s="45"/>
      <c r="CG359" s="43"/>
      <c r="CH359" s="43"/>
      <c r="CI359" s="43"/>
      <c r="CJ359" s="43"/>
      <c r="CK359" s="43"/>
      <c r="CL359" s="43"/>
      <c r="CM359" s="49">
        <f>IFERROR(VLOOKUP(B359,CC!A:D,4,0)," ")</f>
        <v>280</v>
      </c>
      <c r="CN359" s="22" t="s">
        <v>5322</v>
      </c>
      <c r="CO359" s="22"/>
      <c r="CP359" s="43"/>
      <c r="CQ359" s="22">
        <v>90.0</v>
      </c>
      <c r="CR359" s="43"/>
      <c r="CS359" s="43"/>
      <c r="CT359" s="22" t="s">
        <v>145</v>
      </c>
      <c r="CU359" s="43"/>
      <c r="CV359" s="43"/>
      <c r="CW359" s="43"/>
      <c r="CX359" s="43"/>
      <c r="CY359" s="43" t="b">
        <v>0</v>
      </c>
      <c r="CZ359" s="43" t="b">
        <v>0</v>
      </c>
      <c r="DA359" s="43" t="b">
        <v>0</v>
      </c>
      <c r="DB359" s="43" t="b">
        <v>0</v>
      </c>
      <c r="DC359" s="43"/>
      <c r="DD359" s="43"/>
      <c r="DE359" s="43"/>
      <c r="DF359" s="43"/>
      <c r="DG359" s="43"/>
      <c r="DH359" s="43"/>
      <c r="DI359" s="43"/>
      <c r="DJ359" s="22">
        <f>IFERROR(VLOOKUP($B359,'Лист4'!$D:$AI,27,0)," ")</f>
        <v>14</v>
      </c>
      <c r="DK359" s="22">
        <f>IFERROR(VLOOKUP($B359,'Лист4'!$D:$AI,28,0)," ")</f>
        <v>14</v>
      </c>
      <c r="DL359" s="22">
        <f>IFERROR(VLOOKUP($B359,'Лист4'!$D:$AI,29,0)," ")</f>
        <v>14</v>
      </c>
      <c r="DM359" s="22">
        <f t="shared" si="3"/>
        <v>2744</v>
      </c>
      <c r="DN359" s="22">
        <f>IFERROR(VLOOKUP($B359,'Лист4'!$D:$AI,32,0)," ")</f>
        <v>0.055</v>
      </c>
      <c r="DO359" s="22"/>
      <c r="DP359" s="22"/>
      <c r="DQ359" s="22"/>
      <c r="DR359" s="22"/>
      <c r="DS359" s="22"/>
      <c r="DT359" s="22"/>
      <c r="DU359" s="22"/>
      <c r="DV359" s="22"/>
      <c r="DW359" s="22"/>
      <c r="DX359" s="22"/>
      <c r="DY359" s="22"/>
      <c r="DZ359" s="22"/>
      <c r="EA359" s="22"/>
      <c r="EB359" s="22"/>
      <c r="EC359" s="22"/>
      <c r="ED359" s="22"/>
      <c r="EE359" s="22"/>
      <c r="EF359" s="22"/>
      <c r="EG359" s="22"/>
      <c r="EH359" s="22"/>
      <c r="EI359" s="22"/>
      <c r="EJ359" s="22"/>
      <c r="EK359" s="22"/>
      <c r="EL359" s="22"/>
      <c r="EM359" s="22"/>
      <c r="EN359" s="22"/>
      <c r="EO359" s="22"/>
      <c r="EP359" s="22"/>
      <c r="EQ359" s="22"/>
      <c r="ER359" s="22"/>
      <c r="ES359" s="43"/>
      <c r="ET359" s="43"/>
      <c r="EU359" s="43"/>
      <c r="EV359" s="43"/>
      <c r="EW359" s="43"/>
      <c r="EX359" s="43"/>
      <c r="EY359" s="43"/>
      <c r="EZ359" s="43"/>
      <c r="FA359" s="43"/>
      <c r="FB359" s="43"/>
      <c r="FC359" s="43"/>
      <c r="FD359" s="43"/>
      <c r="FE359" s="43"/>
      <c r="FF359" s="43"/>
      <c r="FG359" s="43"/>
      <c r="FH359" s="43"/>
      <c r="FI359" s="43"/>
    </row>
    <row r="360" ht="18.0" customHeight="1">
      <c r="A360" s="22" t="s">
        <v>2659</v>
      </c>
      <c r="B360" s="43" t="s">
        <v>5323</v>
      </c>
      <c r="C360" s="22" t="s">
        <v>2661</v>
      </c>
      <c r="D360" s="22" t="s">
        <v>119</v>
      </c>
      <c r="E360" s="43"/>
      <c r="F360" s="22" t="s">
        <v>5324</v>
      </c>
      <c r="G360" s="22" t="s">
        <v>361</v>
      </c>
      <c r="H360" s="22"/>
      <c r="I360" s="43"/>
      <c r="J360" s="43"/>
      <c r="K360" s="22" t="b">
        <v>1</v>
      </c>
      <c r="L360" s="22" t="b">
        <v>1</v>
      </c>
      <c r="M360" s="22" t="b">
        <v>1</v>
      </c>
      <c r="N360" s="22" t="b">
        <v>1</v>
      </c>
      <c r="O360" s="22" t="b">
        <v>0</v>
      </c>
      <c r="P360" s="22" t="b">
        <v>0</v>
      </c>
      <c r="Q360" s="22" t="b">
        <v>0</v>
      </c>
      <c r="R360" s="43"/>
      <c r="S360" s="43" t="s">
        <v>5325</v>
      </c>
      <c r="T360" s="22" t="s">
        <v>5323</v>
      </c>
      <c r="U360" s="22" t="s">
        <v>5323</v>
      </c>
      <c r="V360" s="22" t="s">
        <v>5323</v>
      </c>
      <c r="W360" s="43"/>
      <c r="X360" s="43"/>
      <c r="Y360" s="43"/>
      <c r="Z360" s="43"/>
      <c r="AA360" s="22">
        <v>1.86787859E8</v>
      </c>
      <c r="AB360" s="22">
        <v>1.271264152E9</v>
      </c>
      <c r="AC360" s="22">
        <v>1.03340888401E11</v>
      </c>
      <c r="AD360" s="22"/>
      <c r="AE360" s="22"/>
      <c r="AF360" s="43"/>
      <c r="AG360" s="43"/>
      <c r="AH360" s="43" t="s">
        <v>5324</v>
      </c>
      <c r="AI360" s="22" t="s">
        <v>5326</v>
      </c>
      <c r="AJ360" s="22" t="s">
        <v>5327</v>
      </c>
      <c r="AK360" s="22" t="s">
        <v>5327</v>
      </c>
      <c r="AL360" s="43"/>
      <c r="AM360" s="43"/>
      <c r="AN360" s="43"/>
      <c r="AO360" s="43"/>
      <c r="AP360" s="46" t="s">
        <v>5328</v>
      </c>
      <c r="AQ360" s="46" t="s">
        <v>5329</v>
      </c>
      <c r="AR360" s="46" t="s">
        <v>5330</v>
      </c>
      <c r="AS360" s="43"/>
      <c r="AT360" s="43"/>
      <c r="AU360" s="43"/>
      <c r="AV360" s="43"/>
      <c r="AW360" s="22" t="s">
        <v>361</v>
      </c>
      <c r="AX360" s="22" t="s">
        <v>5327</v>
      </c>
      <c r="AY360" s="22" t="s">
        <v>2692</v>
      </c>
      <c r="AZ360" s="43"/>
      <c r="BA360" s="43"/>
      <c r="BB360" s="43"/>
      <c r="BC360" s="43"/>
      <c r="BD360" s="43"/>
      <c r="BE360" s="43"/>
      <c r="BF360" s="22" t="s">
        <v>131</v>
      </c>
      <c r="BG360" s="22" t="s">
        <v>132</v>
      </c>
      <c r="BH360" s="22" t="s">
        <v>132</v>
      </c>
      <c r="BI360" s="22" t="s">
        <v>132</v>
      </c>
      <c r="BJ360" s="43"/>
      <c r="BK360" s="43"/>
      <c r="BL360" s="22">
        <v>4.620153905647E12</v>
      </c>
      <c r="BM360" s="22">
        <v>2.106909808E9</v>
      </c>
      <c r="BN360" s="22" t="s">
        <v>5331</v>
      </c>
      <c r="BO360" s="22"/>
      <c r="BP360" s="22" t="s">
        <v>496</v>
      </c>
      <c r="BQ360" s="43"/>
      <c r="BR360" s="43"/>
      <c r="BS360" s="22" t="s">
        <v>5332</v>
      </c>
      <c r="BT360" s="43"/>
      <c r="BU360" s="22" t="s">
        <v>5333</v>
      </c>
      <c r="BV360" s="43" t="s">
        <v>557</v>
      </c>
      <c r="BW360" s="22" t="s">
        <v>1791</v>
      </c>
      <c r="BX360" s="22">
        <v>60.0</v>
      </c>
      <c r="BY360" s="22" t="s">
        <v>492</v>
      </c>
      <c r="BZ360" s="22"/>
      <c r="CA360" s="22" t="s">
        <v>2375</v>
      </c>
      <c r="CB360" s="22" t="s">
        <v>165</v>
      </c>
      <c r="CC360" s="45" t="s">
        <v>5334</v>
      </c>
      <c r="CD360" s="43"/>
      <c r="CE360" s="43"/>
      <c r="CF360" s="45"/>
      <c r="CG360" s="43"/>
      <c r="CH360" s="43"/>
      <c r="CI360" s="43"/>
      <c r="CJ360" s="43"/>
      <c r="CK360" s="43"/>
      <c r="CL360" s="43"/>
      <c r="CM360" s="49">
        <f>IFERROR(VLOOKUP(B360,CC!A:D,4,0)," ")</f>
        <v>162.47</v>
      </c>
      <c r="CN360" s="22" t="s">
        <v>5335</v>
      </c>
      <c r="CO360" s="22"/>
      <c r="CP360" s="22" t="s">
        <v>5336</v>
      </c>
      <c r="CQ360" s="22">
        <v>90.0</v>
      </c>
      <c r="CR360" s="43"/>
      <c r="CS360" s="22">
        <v>10.0</v>
      </c>
      <c r="CT360" s="22" t="s">
        <v>145</v>
      </c>
      <c r="CU360" s="43"/>
      <c r="CV360" s="43"/>
      <c r="CW360" s="43"/>
      <c r="CX360" s="43"/>
      <c r="CY360" s="43" t="b">
        <v>0</v>
      </c>
      <c r="CZ360" s="43" t="b">
        <v>0</v>
      </c>
      <c r="DA360" s="43" t="b">
        <v>0</v>
      </c>
      <c r="DB360" s="43" t="b">
        <v>0</v>
      </c>
      <c r="DC360" s="43"/>
      <c r="DD360" s="43"/>
      <c r="DE360" s="43"/>
      <c r="DF360" s="43"/>
      <c r="DG360" s="43"/>
      <c r="DH360" s="43"/>
      <c r="DI360" s="43"/>
      <c r="DJ360" s="22">
        <f>IFERROR(VLOOKUP($B360,'Лист4'!$D:$AI,27,0)," ")</f>
        <v>6</v>
      </c>
      <c r="DK360" s="22">
        <f>IFERROR(VLOOKUP($B360,'Лист4'!$D:$AI,28,0)," ")</f>
        <v>10</v>
      </c>
      <c r="DL360" s="22">
        <f>IFERROR(VLOOKUP($B360,'Лист4'!$D:$AI,29,0)," ")</f>
        <v>6</v>
      </c>
      <c r="DM360" s="22">
        <f t="shared" si="3"/>
        <v>360</v>
      </c>
      <c r="DN360" s="22">
        <f>IFERROR(VLOOKUP($B360,'Лист4'!$D:$AI,32,0)," ")</f>
        <v>0.065</v>
      </c>
      <c r="DO360" s="22"/>
      <c r="DP360" s="22"/>
      <c r="DQ360" s="22"/>
      <c r="DR360" s="22"/>
      <c r="DS360" s="22"/>
      <c r="DT360" s="22"/>
      <c r="DU360" s="22"/>
      <c r="DV360" s="22"/>
      <c r="DW360" s="22"/>
      <c r="DX360" s="22"/>
      <c r="DY360" s="22"/>
      <c r="DZ360" s="22"/>
      <c r="EA360" s="22"/>
      <c r="EB360" s="22"/>
      <c r="EC360" s="22"/>
      <c r="ED360" s="22"/>
      <c r="EE360" s="22"/>
      <c r="EF360" s="22"/>
      <c r="EG360" s="22"/>
      <c r="EH360" s="22"/>
      <c r="EI360" s="22"/>
      <c r="EJ360" s="22"/>
      <c r="EK360" s="22"/>
      <c r="EL360" s="22"/>
      <c r="EM360" s="22"/>
      <c r="EN360" s="22"/>
      <c r="EO360" s="22"/>
      <c r="EP360" s="22"/>
      <c r="EQ360" s="22"/>
      <c r="ER360" s="22"/>
      <c r="ES360" s="43"/>
      <c r="ET360" s="43"/>
      <c r="EU360" s="43"/>
      <c r="EV360" s="43"/>
      <c r="EW360" s="43"/>
      <c r="EX360" s="43"/>
      <c r="EY360" s="43"/>
      <c r="EZ360" s="43"/>
      <c r="FA360" s="43"/>
      <c r="FB360" s="43"/>
      <c r="FC360" s="43"/>
      <c r="FD360" s="43"/>
      <c r="FE360" s="43"/>
      <c r="FF360" s="43"/>
      <c r="FG360" s="43"/>
      <c r="FH360" s="43"/>
      <c r="FI360" s="43"/>
    </row>
    <row r="361" ht="18.0" customHeight="1">
      <c r="A361" s="22" t="s">
        <v>2659</v>
      </c>
      <c r="B361" s="43" t="s">
        <v>5337</v>
      </c>
      <c r="C361" s="22" t="s">
        <v>2661</v>
      </c>
      <c r="D361" s="22" t="s">
        <v>187</v>
      </c>
      <c r="E361" s="43"/>
      <c r="F361" s="22" t="s">
        <v>5338</v>
      </c>
      <c r="G361" s="22"/>
      <c r="H361" s="22"/>
      <c r="I361" s="43"/>
      <c r="J361" s="43"/>
      <c r="K361" s="22" t="b">
        <v>1</v>
      </c>
      <c r="L361" s="22" t="b">
        <v>1</v>
      </c>
      <c r="M361" s="22" t="b">
        <v>1</v>
      </c>
      <c r="N361" s="22" t="b">
        <v>1</v>
      </c>
      <c r="O361" s="22" t="b">
        <v>0</v>
      </c>
      <c r="P361" s="22" t="b">
        <v>0</v>
      </c>
      <c r="Q361" s="22" t="b">
        <v>0</v>
      </c>
      <c r="R361" s="43"/>
      <c r="S361" s="43" t="s">
        <v>5339</v>
      </c>
      <c r="T361" s="22" t="s">
        <v>5337</v>
      </c>
      <c r="U361" s="22" t="s">
        <v>5337</v>
      </c>
      <c r="V361" s="22" t="s">
        <v>5337</v>
      </c>
      <c r="W361" s="43"/>
      <c r="X361" s="43"/>
      <c r="Y361" s="43"/>
      <c r="Z361" s="43"/>
      <c r="AA361" s="22">
        <v>1.88613392E8</v>
      </c>
      <c r="AB361" s="22">
        <v>1.283151299E9</v>
      </c>
      <c r="AC361" s="22">
        <v>1.03515434782E11</v>
      </c>
      <c r="AD361" s="22"/>
      <c r="AE361" s="22"/>
      <c r="AF361" s="43"/>
      <c r="AG361" s="43"/>
      <c r="AH361" s="43" t="s">
        <v>5338</v>
      </c>
      <c r="AI361" s="22" t="s">
        <v>5340</v>
      </c>
      <c r="AJ361" s="22" t="s">
        <v>5341</v>
      </c>
      <c r="AK361" s="22" t="s">
        <v>5341</v>
      </c>
      <c r="AL361" s="43"/>
      <c r="AM361" s="43"/>
      <c r="AN361" s="43"/>
      <c r="AO361" s="43"/>
      <c r="AP361" s="46" t="s">
        <v>5342</v>
      </c>
      <c r="AQ361" s="46" t="s">
        <v>5343</v>
      </c>
      <c r="AR361" s="46" t="s">
        <v>5344</v>
      </c>
      <c r="AS361" s="43"/>
      <c r="AT361" s="43"/>
      <c r="AU361" s="43"/>
      <c r="AV361" s="43"/>
      <c r="AW361" s="22" t="s">
        <v>361</v>
      </c>
      <c r="AX361" s="22" t="s">
        <v>5341</v>
      </c>
      <c r="AY361" s="22" t="s">
        <v>372</v>
      </c>
      <c r="AZ361" s="43"/>
      <c r="BA361" s="43"/>
      <c r="BB361" s="43"/>
      <c r="BC361" s="43"/>
      <c r="BD361" s="43"/>
      <c r="BE361" s="43"/>
      <c r="BF361" s="22" t="s">
        <v>131</v>
      </c>
      <c r="BG361" s="22" t="s">
        <v>132</v>
      </c>
      <c r="BH361" s="22" t="s">
        <v>132</v>
      </c>
      <c r="BI361" s="22" t="s">
        <v>132</v>
      </c>
      <c r="BJ361" s="43"/>
      <c r="BK361" s="43"/>
      <c r="BL361" s="22" t="s">
        <v>5345</v>
      </c>
      <c r="BM361" s="22" t="s">
        <v>5345</v>
      </c>
      <c r="BN361" s="22" t="s">
        <v>5345</v>
      </c>
      <c r="BO361" s="22" t="s">
        <v>5345</v>
      </c>
      <c r="BP361" s="22" t="s">
        <v>5345</v>
      </c>
      <c r="BQ361" s="22" t="s">
        <v>5345</v>
      </c>
      <c r="BR361" s="22" t="s">
        <v>5345</v>
      </c>
      <c r="BS361" s="22" t="s">
        <v>5345</v>
      </c>
      <c r="BT361" s="22" t="s">
        <v>5345</v>
      </c>
      <c r="BU361" s="22" t="s">
        <v>5345</v>
      </c>
      <c r="BV361" s="22" t="s">
        <v>5345</v>
      </c>
      <c r="BW361" s="22" t="s">
        <v>5345</v>
      </c>
      <c r="BX361" s="22" t="s">
        <v>5345</v>
      </c>
      <c r="BY361" s="22" t="s">
        <v>5345</v>
      </c>
      <c r="BZ361" s="22" t="s">
        <v>5345</v>
      </c>
      <c r="CA361" s="22" t="s">
        <v>5345</v>
      </c>
      <c r="CB361" s="22" t="s">
        <v>5345</v>
      </c>
      <c r="CC361" s="22" t="s">
        <v>5345</v>
      </c>
      <c r="CD361" s="22" t="s">
        <v>5345</v>
      </c>
      <c r="CE361" s="22" t="s">
        <v>5345</v>
      </c>
      <c r="CF361" s="22" t="s">
        <v>5345</v>
      </c>
      <c r="CG361" s="22" t="s">
        <v>5345</v>
      </c>
      <c r="CH361" s="22" t="s">
        <v>5345</v>
      </c>
      <c r="CI361" s="22" t="s">
        <v>5345</v>
      </c>
      <c r="CJ361" s="22" t="s">
        <v>5345</v>
      </c>
      <c r="CK361" s="22" t="s">
        <v>5345</v>
      </c>
      <c r="CL361" s="22" t="s">
        <v>5345</v>
      </c>
      <c r="CM361" s="49">
        <f>IFERROR(VLOOKUP(B361,CC!A:D,4,0)," ")</f>
        <v>217.72</v>
      </c>
      <c r="CN361" s="22" t="s">
        <v>5345</v>
      </c>
      <c r="CO361" s="22"/>
      <c r="CP361" s="43"/>
      <c r="CQ361" s="22" t="s">
        <v>401</v>
      </c>
      <c r="CR361" s="43"/>
      <c r="CS361" s="43"/>
      <c r="CT361" s="22" t="s">
        <v>145</v>
      </c>
      <c r="CU361" s="43"/>
      <c r="CV361" s="43"/>
      <c r="CW361" s="43"/>
      <c r="CX361" s="43"/>
      <c r="CY361" s="43" t="b">
        <v>0</v>
      </c>
      <c r="CZ361" s="43" t="b">
        <v>0</v>
      </c>
      <c r="DA361" s="43" t="b">
        <v>0</v>
      </c>
      <c r="DB361" s="43" t="b">
        <v>0</v>
      </c>
      <c r="DC361" s="43"/>
      <c r="DD361" s="43"/>
      <c r="DE361" s="43"/>
      <c r="DF361" s="43"/>
      <c r="DG361" s="43"/>
      <c r="DH361" s="43"/>
      <c r="DI361" s="43"/>
      <c r="DJ361" s="22">
        <f>IFERROR(VLOOKUP($B361,'Лист4'!$D:$AI,27,0)," ")</f>
        <v>4</v>
      </c>
      <c r="DK361" s="22">
        <f>IFERROR(VLOOKUP($B361,'Лист4'!$D:$AI,28,0)," ")</f>
        <v>9</v>
      </c>
      <c r="DL361" s="22">
        <f>IFERROR(VLOOKUP($B361,'Лист4'!$D:$AI,29,0)," ")</f>
        <v>4</v>
      </c>
      <c r="DM361" s="22">
        <f t="shared" si="3"/>
        <v>144</v>
      </c>
      <c r="DN361" s="22">
        <f>IFERROR(VLOOKUP($B361,'Лист4'!$D:$AI,32,0)," ")</f>
        <v>0.068</v>
      </c>
      <c r="DO361" s="22"/>
      <c r="DP361" s="22"/>
      <c r="DQ361" s="22"/>
      <c r="DR361" s="22"/>
      <c r="DS361" s="22"/>
      <c r="DT361" s="22"/>
      <c r="DU361" s="22"/>
      <c r="DV361" s="22"/>
      <c r="DW361" s="22"/>
      <c r="DX361" s="22"/>
      <c r="DY361" s="22"/>
      <c r="DZ361" s="22"/>
      <c r="EA361" s="22"/>
      <c r="EB361" s="22"/>
      <c r="EC361" s="22"/>
      <c r="ED361" s="22"/>
      <c r="EE361" s="22"/>
      <c r="EF361" s="22"/>
      <c r="EG361" s="22"/>
      <c r="EH361" s="22"/>
      <c r="EI361" s="22"/>
      <c r="EJ361" s="22"/>
      <c r="EK361" s="22"/>
      <c r="EL361" s="22"/>
      <c r="EM361" s="22"/>
      <c r="EN361" s="22"/>
      <c r="EO361" s="22"/>
      <c r="EP361" s="22"/>
      <c r="EQ361" s="22"/>
      <c r="ER361" s="22"/>
      <c r="ES361" s="43"/>
      <c r="ET361" s="43"/>
      <c r="EU361" s="43"/>
      <c r="EV361" s="43"/>
      <c r="EW361" s="43"/>
      <c r="EX361" s="43"/>
      <c r="EY361" s="43"/>
      <c r="EZ361" s="43"/>
      <c r="FA361" s="43"/>
      <c r="FB361" s="43"/>
      <c r="FC361" s="43"/>
      <c r="FD361" s="43"/>
      <c r="FE361" s="43"/>
      <c r="FF361" s="43"/>
      <c r="FG361" s="43"/>
      <c r="FH361" s="43"/>
      <c r="FI361" s="43"/>
    </row>
    <row r="362" ht="18.0" customHeight="1">
      <c r="A362" s="22" t="s">
        <v>2659</v>
      </c>
      <c r="B362" s="43" t="s">
        <v>5346</v>
      </c>
      <c r="C362" s="22" t="s">
        <v>2741</v>
      </c>
      <c r="D362" s="22" t="s">
        <v>187</v>
      </c>
      <c r="E362" s="43" t="s">
        <v>5347</v>
      </c>
      <c r="F362" s="43"/>
      <c r="G362" s="22"/>
      <c r="H362" s="22"/>
      <c r="I362" s="43"/>
      <c r="J362" s="43"/>
      <c r="K362" s="22" t="b">
        <v>1</v>
      </c>
      <c r="L362" s="22" t="b">
        <v>1</v>
      </c>
      <c r="M362" s="22" t="b">
        <v>1</v>
      </c>
      <c r="N362" s="22" t="b">
        <v>1</v>
      </c>
      <c r="O362" s="22" t="b">
        <v>1</v>
      </c>
      <c r="P362" s="22" t="b">
        <v>1</v>
      </c>
      <c r="Q362" s="22" t="b">
        <v>0</v>
      </c>
      <c r="R362" s="43"/>
      <c r="S362" s="43" t="s">
        <v>401</v>
      </c>
      <c r="T362" s="22" t="s">
        <v>401</v>
      </c>
      <c r="U362" s="22" t="s">
        <v>5346</v>
      </c>
      <c r="V362" s="22" t="s">
        <v>401</v>
      </c>
      <c r="W362" s="43" t="s">
        <v>401</v>
      </c>
      <c r="X362" s="43" t="s">
        <v>401</v>
      </c>
      <c r="Y362" s="43"/>
      <c r="Z362" s="43"/>
      <c r="AA362" s="22"/>
      <c r="AB362" s="22">
        <v>1.32499107E9</v>
      </c>
      <c r="AC362" s="22"/>
      <c r="AD362" s="22"/>
      <c r="AE362" s="22"/>
      <c r="AF362" s="43"/>
      <c r="AG362" s="43"/>
      <c r="AH362" s="43" t="s">
        <v>401</v>
      </c>
      <c r="AI362" s="43"/>
      <c r="AJ362" s="22" t="s">
        <v>5348</v>
      </c>
      <c r="AK362" s="43"/>
      <c r="AL362" s="43"/>
      <c r="AM362" s="43"/>
      <c r="AN362" s="43"/>
      <c r="AO362" s="43"/>
      <c r="AP362" s="43"/>
      <c r="AQ362" s="43"/>
      <c r="AR362" s="43"/>
      <c r="AS362" s="43"/>
      <c r="AT362" s="43"/>
      <c r="AU362" s="43"/>
      <c r="AV362" s="43"/>
      <c r="AW362" s="22"/>
      <c r="AX362" s="22" t="s">
        <v>5348</v>
      </c>
      <c r="AY362" s="43"/>
      <c r="AZ362" s="43"/>
      <c r="BA362" s="43"/>
      <c r="BB362" s="43"/>
      <c r="BC362" s="43"/>
      <c r="BD362" s="43" t="s">
        <v>401</v>
      </c>
      <c r="BE362" s="43"/>
      <c r="BF362" s="22" t="s">
        <v>131</v>
      </c>
      <c r="BG362" s="22" t="s">
        <v>132</v>
      </c>
      <c r="BH362" s="22" t="s">
        <v>132</v>
      </c>
      <c r="BI362" s="22" t="s">
        <v>132</v>
      </c>
      <c r="BJ362" s="43"/>
      <c r="BK362" s="43"/>
      <c r="BL362" s="22" t="s">
        <v>401</v>
      </c>
      <c r="BM362" s="22"/>
      <c r="BN362" s="22" t="s">
        <v>401</v>
      </c>
      <c r="BO362" s="22"/>
      <c r="BP362" s="22" t="s">
        <v>401</v>
      </c>
      <c r="BQ362" s="43"/>
      <c r="BR362" s="43"/>
      <c r="BS362" s="22" t="s">
        <v>401</v>
      </c>
      <c r="BT362" s="43"/>
      <c r="BU362" s="22" t="s">
        <v>401</v>
      </c>
      <c r="BV362" s="43" t="s">
        <v>401</v>
      </c>
      <c r="BW362" s="22" t="s">
        <v>401</v>
      </c>
      <c r="BX362" s="22"/>
      <c r="BY362" s="43"/>
      <c r="BZ362" s="43"/>
      <c r="CA362" s="22" t="s">
        <v>401</v>
      </c>
      <c r="CB362" s="22" t="s">
        <v>401</v>
      </c>
      <c r="CC362" s="45" t="s">
        <v>401</v>
      </c>
      <c r="CD362" s="43"/>
      <c r="CE362" s="43"/>
      <c r="CF362" s="45" t="s">
        <v>401</v>
      </c>
      <c r="CG362" s="43"/>
      <c r="CH362" s="43"/>
      <c r="CI362" s="43"/>
      <c r="CJ362" s="43"/>
      <c r="CK362" s="43"/>
      <c r="CL362" s="43"/>
      <c r="CM362" s="49">
        <f>IFERROR(VLOOKUP(B362,CC!A:D,4,0)," ")</f>
        <v>115.8</v>
      </c>
      <c r="CN362" s="22" t="s">
        <v>2681</v>
      </c>
      <c r="CO362" s="22"/>
      <c r="CP362" s="43"/>
      <c r="CQ362" s="22">
        <v>30.0</v>
      </c>
      <c r="CR362" s="43"/>
      <c r="CS362" s="22">
        <v>1.0</v>
      </c>
      <c r="CT362" s="22" t="s">
        <v>145</v>
      </c>
      <c r="CU362" s="43"/>
      <c r="CV362" s="43"/>
      <c r="CW362" s="43"/>
      <c r="CX362" s="43"/>
      <c r="CY362" s="43" t="b">
        <v>0</v>
      </c>
      <c r="CZ362" s="43" t="b">
        <v>0</v>
      </c>
      <c r="DA362" s="43" t="b">
        <v>0</v>
      </c>
      <c r="DB362" s="43" t="b">
        <v>0</v>
      </c>
      <c r="DC362" s="43"/>
      <c r="DD362" s="43"/>
      <c r="DE362" s="43"/>
      <c r="DF362" s="43"/>
      <c r="DG362" s="43"/>
      <c r="DH362" s="43"/>
      <c r="DI362" s="43"/>
      <c r="DJ362" s="22" t="str">
        <f>IFERROR(VLOOKUP($B362,'Лист4'!$D:$AI,27,0)," ")</f>
        <v> </v>
      </c>
      <c r="DK362" s="22" t="str">
        <f>IFERROR(VLOOKUP($B362,'Лист4'!$D:$AI,28,0)," ")</f>
        <v> </v>
      </c>
      <c r="DL362" s="22" t="str">
        <f>IFERROR(VLOOKUP($B362,'Лист4'!$D:$AI,29,0)," ")</f>
        <v> </v>
      </c>
      <c r="DM362" s="22" t="str">
        <f t="shared" si="3"/>
        <v> </v>
      </c>
      <c r="DN362" s="22" t="str">
        <f>IFERROR(VLOOKUP($B362,'Лист4'!$D:$AI,32,0)," ")</f>
        <v> </v>
      </c>
      <c r="DO362" s="22"/>
      <c r="DP362" s="22"/>
      <c r="DQ362" s="22"/>
      <c r="DR362" s="22"/>
      <c r="DS362" s="22"/>
      <c r="DT362" s="22"/>
      <c r="DU362" s="22"/>
      <c r="DV362" s="22"/>
      <c r="DW362" s="22"/>
      <c r="DX362" s="22"/>
      <c r="DY362" s="22"/>
      <c r="DZ362" s="22"/>
      <c r="EA362" s="22"/>
      <c r="EB362" s="22"/>
      <c r="EC362" s="22"/>
      <c r="ED362" s="22"/>
      <c r="EE362" s="22"/>
      <c r="EF362" s="22"/>
      <c r="EG362" s="22"/>
      <c r="EH362" s="22"/>
      <c r="EI362" s="22"/>
      <c r="EJ362" s="22"/>
      <c r="EK362" s="22"/>
      <c r="EL362" s="22"/>
      <c r="EM362" s="22"/>
      <c r="EN362" s="22"/>
      <c r="EO362" s="22"/>
      <c r="EP362" s="22"/>
      <c r="EQ362" s="22"/>
      <c r="ER362" s="22"/>
      <c r="ES362" s="43"/>
      <c r="ET362" s="43"/>
      <c r="EU362" s="43"/>
      <c r="EV362" s="43"/>
      <c r="EW362" s="43"/>
      <c r="EX362" s="43"/>
      <c r="EY362" s="43"/>
      <c r="EZ362" s="43"/>
      <c r="FA362" s="43"/>
      <c r="FB362" s="43"/>
      <c r="FC362" s="43"/>
      <c r="FD362" s="43"/>
      <c r="FE362" s="43"/>
      <c r="FF362" s="43"/>
      <c r="FG362" s="43"/>
      <c r="FH362" s="43"/>
      <c r="FI362" s="43"/>
    </row>
    <row r="363" ht="18.0" customHeight="1">
      <c r="A363" s="22" t="s">
        <v>2659</v>
      </c>
      <c r="B363" s="43" t="s">
        <v>5349</v>
      </c>
      <c r="C363" s="22" t="s">
        <v>2741</v>
      </c>
      <c r="D363" s="22" t="s">
        <v>187</v>
      </c>
      <c r="E363" s="43" t="s">
        <v>5350</v>
      </c>
      <c r="F363" s="22" t="s">
        <v>5351</v>
      </c>
      <c r="G363" s="22"/>
      <c r="H363" s="22"/>
      <c r="I363" s="43"/>
      <c r="J363" s="43"/>
      <c r="K363" s="22" t="b">
        <v>1</v>
      </c>
      <c r="L363" s="22" t="b">
        <v>1</v>
      </c>
      <c r="M363" s="22" t="b">
        <v>1</v>
      </c>
      <c r="N363" s="22" t="b">
        <v>1</v>
      </c>
      <c r="O363" s="22" t="b">
        <v>0</v>
      </c>
      <c r="P363" s="22" t="b">
        <v>1</v>
      </c>
      <c r="Q363" s="22" t="b">
        <v>0</v>
      </c>
      <c r="R363" s="43"/>
      <c r="S363" s="43" t="s">
        <v>5352</v>
      </c>
      <c r="T363" s="22" t="s">
        <v>5349</v>
      </c>
      <c r="U363" s="22" t="s">
        <v>5349</v>
      </c>
      <c r="V363" s="22" t="s">
        <v>5349</v>
      </c>
      <c r="W363" s="43"/>
      <c r="X363" s="72" t="s">
        <v>5349</v>
      </c>
      <c r="Y363" s="43"/>
      <c r="Z363" s="43"/>
      <c r="AA363" s="22">
        <v>2.32481242E8</v>
      </c>
      <c r="AB363" s="22">
        <v>1.581991716E9</v>
      </c>
      <c r="AC363" s="22">
        <v>1.03515446782E11</v>
      </c>
      <c r="AD363" s="22"/>
      <c r="AE363" s="72" t="s">
        <v>5353</v>
      </c>
      <c r="AF363" s="43"/>
      <c r="AG363" s="43"/>
      <c r="AH363" s="43" t="s">
        <v>5351</v>
      </c>
      <c r="AI363" s="22" t="s">
        <v>3512</v>
      </c>
      <c r="AJ363" s="22" t="s">
        <v>5354</v>
      </c>
      <c r="AK363" s="22" t="s">
        <v>5354</v>
      </c>
      <c r="AL363" s="43"/>
      <c r="AM363" s="22" t="s">
        <v>5355</v>
      </c>
      <c r="AN363" s="43"/>
      <c r="AO363" s="43"/>
      <c r="AP363" s="46" t="s">
        <v>5356</v>
      </c>
      <c r="AQ363" s="46" t="s">
        <v>5357</v>
      </c>
      <c r="AR363" s="46" t="s">
        <v>5358</v>
      </c>
      <c r="AS363" s="43"/>
      <c r="AT363" s="46" t="s">
        <v>5359</v>
      </c>
      <c r="AU363" s="43"/>
      <c r="AV363" s="43"/>
      <c r="AW363" s="22" t="s">
        <v>1832</v>
      </c>
      <c r="AX363" s="22" t="s">
        <v>5354</v>
      </c>
      <c r="AY363" s="22" t="s">
        <v>3524</v>
      </c>
      <c r="AZ363" s="43"/>
      <c r="BA363" s="22" t="s">
        <v>3526</v>
      </c>
      <c r="BB363" s="43"/>
      <c r="BC363" s="43"/>
      <c r="BD363" s="43" t="s">
        <v>1449</v>
      </c>
      <c r="BE363" s="43"/>
      <c r="BF363" s="22" t="s">
        <v>131</v>
      </c>
      <c r="BG363" s="22" t="s">
        <v>132</v>
      </c>
      <c r="BH363" s="22" t="s">
        <v>132</v>
      </c>
      <c r="BI363" s="22" t="s">
        <v>132</v>
      </c>
      <c r="BJ363" s="43"/>
      <c r="BK363" s="43"/>
      <c r="BL363" s="22">
        <v>4.630084864616E12</v>
      </c>
      <c r="BM363" s="22">
        <v>3.4013E9</v>
      </c>
      <c r="BN363" s="22" t="s">
        <v>5360</v>
      </c>
      <c r="BO363" s="22"/>
      <c r="BP363" s="22" t="s">
        <v>496</v>
      </c>
      <c r="BQ363" s="43"/>
      <c r="BR363" s="43"/>
      <c r="BS363" s="22" t="s">
        <v>5361</v>
      </c>
      <c r="BT363" s="43"/>
      <c r="BU363" s="22" t="s">
        <v>3530</v>
      </c>
      <c r="BV363" s="22" t="s">
        <v>145</v>
      </c>
      <c r="BW363" s="22" t="s">
        <v>2832</v>
      </c>
      <c r="BX363" s="22">
        <v>200.0</v>
      </c>
      <c r="BY363" s="22" t="s">
        <v>139</v>
      </c>
      <c r="BZ363" s="43"/>
      <c r="CA363" s="22" t="s">
        <v>355</v>
      </c>
      <c r="CB363" s="22" t="s">
        <v>5362</v>
      </c>
      <c r="CC363" s="44" t="s">
        <v>5363</v>
      </c>
      <c r="CD363" s="43"/>
      <c r="CE363" s="43"/>
      <c r="CF363" s="45" t="s">
        <v>401</v>
      </c>
      <c r="CG363" s="43"/>
      <c r="CH363" s="43"/>
      <c r="CI363" s="43"/>
      <c r="CJ363" s="43"/>
      <c r="CK363" s="43"/>
      <c r="CL363" s="43"/>
      <c r="CM363" s="49">
        <f>IFERROR(VLOOKUP(B363,CC!A:D,4,0)," ")</f>
        <v>87.5</v>
      </c>
      <c r="CN363" s="22" t="s">
        <v>4387</v>
      </c>
      <c r="CO363" s="22"/>
      <c r="CP363" s="43"/>
      <c r="CQ363" s="22">
        <v>90.0</v>
      </c>
      <c r="CR363" s="43"/>
      <c r="CS363" s="22">
        <v>5.0</v>
      </c>
      <c r="CT363" s="22" t="s">
        <v>145</v>
      </c>
      <c r="CU363" s="43"/>
      <c r="CV363" s="43"/>
      <c r="CW363" s="43"/>
      <c r="CX363" s="43"/>
      <c r="CY363" s="43" t="b">
        <v>0</v>
      </c>
      <c r="CZ363" s="43" t="b">
        <v>0</v>
      </c>
      <c r="DA363" s="43" t="b">
        <v>0</v>
      </c>
      <c r="DB363" s="43" t="b">
        <v>0</v>
      </c>
      <c r="DC363" s="43"/>
      <c r="DD363" s="43"/>
      <c r="DE363" s="43"/>
      <c r="DF363" s="43"/>
      <c r="DG363" s="43"/>
      <c r="DH363" s="43"/>
      <c r="DI363" s="43"/>
      <c r="DJ363" s="22">
        <f>IFERROR(VLOOKUP($B363,'Лист4'!$D:$AI,27,0)," ")</f>
        <v>7</v>
      </c>
      <c r="DK363" s="22">
        <f>IFERROR(VLOOKUP($B363,'Лист4'!$D:$AI,28,0)," ")</f>
        <v>4</v>
      </c>
      <c r="DL363" s="22">
        <f>IFERROR(VLOOKUP($B363,'Лист4'!$D:$AI,29,0)," ")</f>
        <v>7</v>
      </c>
      <c r="DM363" s="22">
        <f t="shared" si="3"/>
        <v>196</v>
      </c>
      <c r="DN363" s="22">
        <f>IFERROR(VLOOKUP($B363,'Лист4'!$D:$AI,32,0)," ")</f>
        <v>0.24</v>
      </c>
      <c r="DO363" s="22"/>
      <c r="DP363" s="22"/>
      <c r="DQ363" s="22"/>
      <c r="DR363" s="22"/>
      <c r="DS363" s="22"/>
      <c r="DT363" s="22"/>
      <c r="DU363" s="22"/>
      <c r="DV363" s="22"/>
      <c r="DW363" s="22"/>
      <c r="DX363" s="22"/>
      <c r="DY363" s="22"/>
      <c r="DZ363" s="22"/>
      <c r="EA363" s="22"/>
      <c r="EB363" s="22"/>
      <c r="EC363" s="22"/>
      <c r="ED363" s="22"/>
      <c r="EE363" s="22"/>
      <c r="EF363" s="22"/>
      <c r="EG363" s="22"/>
      <c r="EH363" s="22"/>
      <c r="EI363" s="22"/>
      <c r="EJ363" s="22"/>
      <c r="EK363" s="22"/>
      <c r="EL363" s="22"/>
      <c r="EM363" s="22"/>
      <c r="EN363" s="22"/>
      <c r="EO363" s="22"/>
      <c r="EP363" s="22"/>
      <c r="EQ363" s="22"/>
      <c r="ER363" s="22"/>
      <c r="ES363" s="43"/>
      <c r="ET363" s="43"/>
      <c r="EU363" s="43"/>
      <c r="EV363" s="43"/>
      <c r="EW363" s="43"/>
      <c r="EX363" s="43"/>
      <c r="EY363" s="43"/>
      <c r="EZ363" s="43"/>
      <c r="FA363" s="43"/>
      <c r="FB363" s="43"/>
      <c r="FC363" s="43"/>
      <c r="FD363" s="43"/>
      <c r="FE363" s="43"/>
      <c r="FF363" s="43"/>
      <c r="FG363" s="43"/>
      <c r="FH363" s="43"/>
      <c r="FI363" s="43"/>
    </row>
    <row r="364" ht="18.0" customHeight="1">
      <c r="A364" s="22" t="s">
        <v>2659</v>
      </c>
      <c r="B364" s="22" t="s">
        <v>5364</v>
      </c>
      <c r="C364" s="22" t="s">
        <v>2661</v>
      </c>
      <c r="D364" s="22" t="s">
        <v>187</v>
      </c>
      <c r="E364" s="43" t="s">
        <v>5365</v>
      </c>
      <c r="F364" s="43"/>
      <c r="G364" s="22" t="s">
        <v>401</v>
      </c>
      <c r="H364" s="22" t="s">
        <v>401</v>
      </c>
      <c r="I364" s="43"/>
      <c r="J364" s="43"/>
      <c r="K364" s="22" t="b">
        <v>1</v>
      </c>
      <c r="L364" s="22" t="b">
        <v>1</v>
      </c>
      <c r="M364" s="22" t="b">
        <v>1</v>
      </c>
      <c r="N364" s="22" t="b">
        <v>1</v>
      </c>
      <c r="O364" s="22" t="b">
        <v>1</v>
      </c>
      <c r="P364" s="22" t="b">
        <v>1</v>
      </c>
      <c r="Q364" s="22" t="b">
        <v>0</v>
      </c>
      <c r="R364" s="43"/>
      <c r="S364" s="43" t="s">
        <v>401</v>
      </c>
      <c r="T364" s="22" t="s">
        <v>401</v>
      </c>
      <c r="U364" s="22" t="s">
        <v>5364</v>
      </c>
      <c r="V364" s="22" t="s">
        <v>401</v>
      </c>
      <c r="W364" s="43" t="s">
        <v>401</v>
      </c>
      <c r="X364" s="43" t="s">
        <v>401</v>
      </c>
      <c r="Y364" s="43"/>
      <c r="Z364" s="43"/>
      <c r="AA364" s="22"/>
      <c r="AB364" s="22">
        <v>3.098935949E9</v>
      </c>
      <c r="AC364" s="22"/>
      <c r="AD364" s="22"/>
      <c r="AE364" s="22"/>
      <c r="AF364" s="43"/>
      <c r="AG364" s="43"/>
      <c r="AH364" s="43" t="s">
        <v>401</v>
      </c>
      <c r="AI364" s="43"/>
      <c r="AJ364" s="22" t="s">
        <v>4973</v>
      </c>
      <c r="AK364" s="43"/>
      <c r="AL364" s="43"/>
      <c r="AM364" s="43"/>
      <c r="AN364" s="43"/>
      <c r="AO364" s="43"/>
      <c r="AP364" s="43"/>
      <c r="AQ364" s="43"/>
      <c r="AR364" s="43"/>
      <c r="AS364" s="43"/>
      <c r="AT364" s="43"/>
      <c r="AU364" s="43"/>
      <c r="AV364" s="43"/>
      <c r="AW364" s="22"/>
      <c r="AX364" s="22" t="s">
        <v>4973</v>
      </c>
      <c r="AY364" s="43"/>
      <c r="AZ364" s="43"/>
      <c r="BA364" s="43"/>
      <c r="BB364" s="43"/>
      <c r="BC364" s="43"/>
      <c r="BD364" s="43" t="s">
        <v>401</v>
      </c>
      <c r="BE364" s="43" t="s">
        <v>401</v>
      </c>
      <c r="BF364" s="22" t="s">
        <v>131</v>
      </c>
      <c r="BG364" s="22" t="s">
        <v>132</v>
      </c>
      <c r="BH364" s="22" t="s">
        <v>132</v>
      </c>
      <c r="BI364" s="22" t="s">
        <v>132</v>
      </c>
      <c r="BJ364" s="43"/>
      <c r="BK364" s="43"/>
      <c r="BL364" s="22" t="s">
        <v>401</v>
      </c>
      <c r="BM364" s="22"/>
      <c r="BN364" s="22" t="s">
        <v>401</v>
      </c>
      <c r="BO364" s="22"/>
      <c r="BP364" s="22" t="s">
        <v>401</v>
      </c>
      <c r="BQ364" s="43"/>
      <c r="BR364" s="43"/>
      <c r="BS364" s="22" t="s">
        <v>401</v>
      </c>
      <c r="BT364" s="43"/>
      <c r="BU364" s="22" t="s">
        <v>401</v>
      </c>
      <c r="BV364" s="43" t="s">
        <v>401</v>
      </c>
      <c r="BW364" s="22" t="s">
        <v>401</v>
      </c>
      <c r="BX364" s="22"/>
      <c r="BY364" s="43"/>
      <c r="BZ364" s="43"/>
      <c r="CA364" s="22" t="s">
        <v>401</v>
      </c>
      <c r="CB364" s="22" t="s">
        <v>401</v>
      </c>
      <c r="CC364" s="45" t="s">
        <v>401</v>
      </c>
      <c r="CD364" s="43"/>
      <c r="CE364" s="43"/>
      <c r="CF364" s="45" t="s">
        <v>401</v>
      </c>
      <c r="CG364" s="43"/>
      <c r="CH364" s="43"/>
      <c r="CI364" s="43"/>
      <c r="CJ364" s="43"/>
      <c r="CK364" s="43"/>
      <c r="CL364" s="43"/>
      <c r="CM364" s="49" t="str">
        <f>IFERROR(VLOOKUP(B364,CC!A:D,4,0)," ")</f>
        <v> </v>
      </c>
      <c r="CN364" s="22" t="s">
        <v>2681</v>
      </c>
      <c r="CO364" s="22"/>
      <c r="CP364" s="43"/>
      <c r="CQ364" s="22" t="s">
        <v>401</v>
      </c>
      <c r="CR364" s="43"/>
      <c r="CS364" s="22">
        <v>1.0</v>
      </c>
      <c r="CT364" s="22" t="s">
        <v>145</v>
      </c>
      <c r="CU364" s="43"/>
      <c r="CV364" s="43"/>
      <c r="CW364" s="43"/>
      <c r="CX364" s="43"/>
      <c r="CY364" s="43" t="b">
        <v>0</v>
      </c>
      <c r="CZ364" s="43" t="b">
        <v>0</v>
      </c>
      <c r="DA364" s="43" t="b">
        <v>0</v>
      </c>
      <c r="DB364" s="43" t="b">
        <v>0</v>
      </c>
      <c r="DC364" s="43"/>
      <c r="DD364" s="43"/>
      <c r="DE364" s="43"/>
      <c r="DF364" s="43"/>
      <c r="DG364" s="43"/>
      <c r="DH364" s="43"/>
      <c r="DI364" s="43"/>
      <c r="DJ364" s="22" t="str">
        <f>IFERROR(VLOOKUP($B364,'Лист4'!$D:$AI,27,0)," ")</f>
        <v> </v>
      </c>
      <c r="DK364" s="22" t="str">
        <f>IFERROR(VLOOKUP($B364,'Лист4'!$D:$AI,28,0)," ")</f>
        <v> </v>
      </c>
      <c r="DL364" s="22" t="str">
        <f>IFERROR(VLOOKUP($B364,'Лист4'!$D:$AI,29,0)," ")</f>
        <v> </v>
      </c>
      <c r="DM364" s="22" t="str">
        <f t="shared" si="3"/>
        <v> </v>
      </c>
      <c r="DN364" s="22" t="str">
        <f>IFERROR(VLOOKUP($B364,'Лист4'!$D:$AI,32,0)," ")</f>
        <v> </v>
      </c>
      <c r="DO364" s="22"/>
      <c r="DP364" s="22"/>
      <c r="DQ364" s="22"/>
      <c r="DR364" s="22"/>
      <c r="DS364" s="22"/>
      <c r="DT364" s="22"/>
      <c r="DU364" s="22"/>
      <c r="DV364" s="22"/>
      <c r="DW364" s="22"/>
      <c r="DX364" s="22"/>
      <c r="DY364" s="22"/>
      <c r="DZ364" s="22"/>
      <c r="EA364" s="22"/>
      <c r="EB364" s="22"/>
      <c r="EC364" s="22"/>
      <c r="ED364" s="22"/>
      <c r="EE364" s="22"/>
      <c r="EF364" s="22"/>
      <c r="EG364" s="22"/>
      <c r="EH364" s="22"/>
      <c r="EI364" s="22"/>
      <c r="EJ364" s="22"/>
      <c r="EK364" s="22"/>
      <c r="EL364" s="22"/>
      <c r="EM364" s="22"/>
      <c r="EN364" s="22"/>
      <c r="EO364" s="22"/>
      <c r="EP364" s="22"/>
      <c r="EQ364" s="22"/>
      <c r="ER364" s="22"/>
      <c r="ES364" s="43"/>
      <c r="ET364" s="43"/>
      <c r="EU364" s="43"/>
      <c r="EV364" s="43"/>
      <c r="EW364" s="43"/>
      <c r="EX364" s="43"/>
      <c r="EY364" s="43"/>
      <c r="EZ364" s="43"/>
      <c r="FA364" s="43"/>
      <c r="FB364" s="43"/>
      <c r="FC364" s="43"/>
      <c r="FD364" s="43"/>
      <c r="FE364" s="43"/>
      <c r="FF364" s="43"/>
      <c r="FG364" s="43"/>
      <c r="FH364" s="43"/>
      <c r="FI364" s="43"/>
    </row>
    <row r="365" ht="18.0" customHeight="1">
      <c r="A365" s="22" t="s">
        <v>116</v>
      </c>
      <c r="B365" s="22" t="s">
        <v>5366</v>
      </c>
      <c r="C365" s="22" t="s">
        <v>283</v>
      </c>
      <c r="D365" s="22" t="s">
        <v>119</v>
      </c>
      <c r="E365" s="43"/>
      <c r="F365" s="43"/>
      <c r="G365" s="22" t="s">
        <v>5367</v>
      </c>
      <c r="H365" s="22" t="s">
        <v>401</v>
      </c>
      <c r="I365" s="43"/>
      <c r="J365" s="43"/>
      <c r="K365" s="22" t="b">
        <v>1</v>
      </c>
      <c r="L365" s="22" t="b">
        <v>1</v>
      </c>
      <c r="M365" s="22" t="b">
        <v>1</v>
      </c>
      <c r="N365" s="22" t="b">
        <v>1</v>
      </c>
      <c r="O365" s="22" t="b">
        <v>1</v>
      </c>
      <c r="P365" s="22" t="b">
        <v>1</v>
      </c>
      <c r="Q365" s="22" t="b">
        <v>0</v>
      </c>
      <c r="R365" s="43"/>
      <c r="S365" s="43" t="s">
        <v>401</v>
      </c>
      <c r="T365" s="64" t="s">
        <v>5366</v>
      </c>
      <c r="U365" s="22" t="s">
        <v>5366</v>
      </c>
      <c r="V365" s="55" t="s">
        <v>5366</v>
      </c>
      <c r="W365" s="43" t="s">
        <v>401</v>
      </c>
      <c r="X365" s="43" t="s">
        <v>401</v>
      </c>
      <c r="Y365" s="43"/>
      <c r="Z365" s="43"/>
      <c r="AA365" s="22">
        <v>7.16103412E8</v>
      </c>
      <c r="AB365" s="22">
        <v>3.276605917E9</v>
      </c>
      <c r="AC365" s="22">
        <v>4.914680343E9</v>
      </c>
      <c r="AD365" s="22"/>
      <c r="AE365" s="22"/>
      <c r="AF365" s="43"/>
      <c r="AG365" s="43"/>
      <c r="AH365" s="43" t="s">
        <v>401</v>
      </c>
      <c r="AI365" s="22" t="s">
        <v>5368</v>
      </c>
      <c r="AJ365" s="22" t="s">
        <v>5368</v>
      </c>
      <c r="AK365" s="22" t="s">
        <v>5369</v>
      </c>
      <c r="AL365" s="43"/>
      <c r="AM365" s="43"/>
      <c r="AN365" s="43"/>
      <c r="AO365" s="43"/>
      <c r="AP365" s="46" t="s">
        <v>5370</v>
      </c>
      <c r="AQ365" s="43"/>
      <c r="AR365" s="46" t="s">
        <v>5371</v>
      </c>
      <c r="AS365" s="43"/>
      <c r="AT365" s="43"/>
      <c r="AU365" s="43"/>
      <c r="AV365" s="43"/>
      <c r="AW365" s="22" t="s">
        <v>594</v>
      </c>
      <c r="AX365" s="22" t="s">
        <v>5368</v>
      </c>
      <c r="AY365" s="22" t="s">
        <v>3361</v>
      </c>
      <c r="AZ365" s="43"/>
      <c r="BA365" s="43"/>
      <c r="BB365" s="43"/>
      <c r="BC365" s="43"/>
      <c r="BD365" s="43" t="s">
        <v>301</v>
      </c>
      <c r="BE365" s="43" t="s">
        <v>130</v>
      </c>
      <c r="BF365" s="22" t="s">
        <v>131</v>
      </c>
      <c r="BG365" s="22" t="s">
        <v>132</v>
      </c>
      <c r="BH365" s="22" t="s">
        <v>132</v>
      </c>
      <c r="BI365" s="22" t="s">
        <v>132</v>
      </c>
      <c r="BJ365" s="43"/>
      <c r="BK365" s="43"/>
      <c r="BL365" s="22">
        <v>4.670020499809E12</v>
      </c>
      <c r="BM365" s="22"/>
      <c r="BN365" s="22" t="s">
        <v>401</v>
      </c>
      <c r="BO365" s="22"/>
      <c r="BP365" s="22" t="s">
        <v>245</v>
      </c>
      <c r="BQ365" s="43"/>
      <c r="BR365" s="43"/>
      <c r="BS365" s="22" t="s">
        <v>5372</v>
      </c>
      <c r="BT365" s="43"/>
      <c r="BU365" s="22" t="s">
        <v>401</v>
      </c>
      <c r="BV365" s="43" t="s">
        <v>401</v>
      </c>
      <c r="BW365" s="22" t="s">
        <v>401</v>
      </c>
      <c r="BX365" s="22">
        <v>200.0</v>
      </c>
      <c r="BY365" s="43"/>
      <c r="BZ365" s="43"/>
      <c r="CA365" s="22" t="s">
        <v>355</v>
      </c>
      <c r="CB365" s="22" t="s">
        <v>401</v>
      </c>
      <c r="CC365" s="44" t="s">
        <v>5373</v>
      </c>
      <c r="CD365" s="43"/>
      <c r="CE365" s="43"/>
      <c r="CF365" s="45" t="s">
        <v>401</v>
      </c>
      <c r="CG365" s="43"/>
      <c r="CH365" s="43"/>
      <c r="CI365" s="43"/>
      <c r="CJ365" s="43"/>
      <c r="CK365" s="43"/>
      <c r="CL365" s="43"/>
      <c r="CM365" s="49">
        <f>IFERROR(VLOOKUP(B365,CC!A:D,4,0)," ")</f>
        <v>157.1</v>
      </c>
      <c r="CN365" s="22" t="s">
        <v>4387</v>
      </c>
      <c r="CO365" s="22"/>
      <c r="CP365" s="43"/>
      <c r="CQ365" s="22">
        <v>90.0</v>
      </c>
      <c r="CR365" s="43"/>
      <c r="CS365" s="22">
        <v>5.0</v>
      </c>
      <c r="CT365" s="22" t="s">
        <v>145</v>
      </c>
      <c r="CU365" s="43"/>
      <c r="CV365" s="43"/>
      <c r="CW365" s="43"/>
      <c r="CX365" s="43"/>
      <c r="CY365" s="43" t="b">
        <v>0</v>
      </c>
      <c r="CZ365" s="43" t="b">
        <v>0</v>
      </c>
      <c r="DA365" s="43" t="b">
        <v>0</v>
      </c>
      <c r="DB365" s="43" t="b">
        <v>0</v>
      </c>
      <c r="DC365" s="43"/>
      <c r="DD365" s="43"/>
      <c r="DE365" s="43"/>
      <c r="DF365" s="43"/>
      <c r="DG365" s="43"/>
      <c r="DH365" s="43"/>
      <c r="DI365" s="43"/>
      <c r="DJ365" s="22" t="str">
        <f>IFERROR(VLOOKUP($B365,'Лист4'!$D:$AI,27,0)," ")</f>
        <v> </v>
      </c>
      <c r="DK365" s="22" t="str">
        <f>IFERROR(VLOOKUP($B365,'Лист4'!$D:$AI,28,0)," ")</f>
        <v> </v>
      </c>
      <c r="DL365" s="22" t="str">
        <f>IFERROR(VLOOKUP($B365,'Лист4'!$D:$AI,29,0)," ")</f>
        <v> </v>
      </c>
      <c r="DM365" s="22" t="str">
        <f t="shared" si="3"/>
        <v> </v>
      </c>
      <c r="DN365" s="22" t="str">
        <f>IFERROR(VLOOKUP($B365,'Лист4'!$D:$AI,32,0)," ")</f>
        <v> </v>
      </c>
      <c r="DO365" s="22"/>
      <c r="DP365" s="22"/>
      <c r="DQ365" s="22"/>
      <c r="DR365" s="22"/>
      <c r="DS365" s="22"/>
      <c r="DT365" s="22"/>
      <c r="DU365" s="22"/>
      <c r="DV365" s="22"/>
      <c r="DW365" s="22"/>
      <c r="DX365" s="22"/>
      <c r="DY365" s="22"/>
      <c r="DZ365" s="22"/>
      <c r="EA365" s="22"/>
      <c r="EB365" s="22"/>
      <c r="EC365" s="22"/>
      <c r="ED365" s="22"/>
      <c r="EE365" s="22"/>
      <c r="EF365" s="22"/>
      <c r="EG365" s="22"/>
      <c r="EH365" s="22"/>
      <c r="EI365" s="22"/>
      <c r="EJ365" s="22"/>
      <c r="EK365" s="22"/>
      <c r="EL365" s="22"/>
      <c r="EM365" s="22"/>
      <c r="EN365" s="22"/>
      <c r="EO365" s="22"/>
      <c r="EP365" s="22"/>
      <c r="EQ365" s="22"/>
      <c r="ER365" s="22"/>
      <c r="ES365" s="43"/>
      <c r="ET365" s="43"/>
      <c r="EU365" s="43"/>
      <c r="EV365" s="43"/>
      <c r="EW365" s="43"/>
      <c r="EX365" s="43"/>
      <c r="EY365" s="43"/>
      <c r="EZ365" s="43"/>
      <c r="FA365" s="43"/>
      <c r="FB365" s="43"/>
      <c r="FC365" s="43"/>
      <c r="FD365" s="43"/>
      <c r="FE365" s="43"/>
      <c r="FF365" s="43"/>
      <c r="FG365" s="43"/>
      <c r="FH365" s="43"/>
      <c r="FI365" s="43"/>
    </row>
    <row r="366" ht="18.0" customHeight="1">
      <c r="A366" s="22" t="s">
        <v>2659</v>
      </c>
      <c r="B366" s="22" t="s">
        <v>5374</v>
      </c>
      <c r="C366" s="22" t="s">
        <v>283</v>
      </c>
      <c r="D366" s="22" t="s">
        <v>119</v>
      </c>
      <c r="E366" s="43"/>
      <c r="F366" s="43"/>
      <c r="G366" s="22" t="s">
        <v>361</v>
      </c>
      <c r="H366" s="22" t="s">
        <v>401</v>
      </c>
      <c r="I366" s="43"/>
      <c r="J366" s="43"/>
      <c r="K366" s="22" t="b">
        <v>1</v>
      </c>
      <c r="L366" s="22" t="b">
        <v>1</v>
      </c>
      <c r="M366" s="22" t="b">
        <v>1</v>
      </c>
      <c r="N366" s="22" t="b">
        <v>1</v>
      </c>
      <c r="O366" s="22" t="b">
        <v>1</v>
      </c>
      <c r="P366" s="22" t="b">
        <v>1</v>
      </c>
      <c r="Q366" s="22" t="b">
        <v>0</v>
      </c>
      <c r="R366" s="43"/>
      <c r="S366" s="43" t="s">
        <v>401</v>
      </c>
      <c r="T366" s="64" t="s">
        <v>5374</v>
      </c>
      <c r="U366" s="22" t="s">
        <v>5374</v>
      </c>
      <c r="V366" s="55" t="s">
        <v>5374</v>
      </c>
      <c r="W366" s="43" t="s">
        <v>401</v>
      </c>
      <c r="X366" s="43" t="s">
        <v>401</v>
      </c>
      <c r="Y366" s="43"/>
      <c r="Z366" s="43"/>
      <c r="AA366" s="22">
        <v>7.23135494E8</v>
      </c>
      <c r="AB366" s="22">
        <v>3.276896413E9</v>
      </c>
      <c r="AC366" s="22">
        <v>4.914700613E9</v>
      </c>
      <c r="AD366" s="22"/>
      <c r="AE366" s="22"/>
      <c r="AF366" s="43"/>
      <c r="AG366" s="43"/>
      <c r="AH366" s="43" t="s">
        <v>401</v>
      </c>
      <c r="AI366" s="22" t="s">
        <v>5375</v>
      </c>
      <c r="AJ366" s="22" t="s">
        <v>5375</v>
      </c>
      <c r="AK366" s="22" t="s">
        <v>5375</v>
      </c>
      <c r="AL366" s="43"/>
      <c r="AM366" s="43"/>
      <c r="AN366" s="43"/>
      <c r="AO366" s="43"/>
      <c r="AP366" s="46" t="s">
        <v>5376</v>
      </c>
      <c r="AQ366" s="43"/>
      <c r="AR366" s="46" t="s">
        <v>5377</v>
      </c>
      <c r="AS366" s="43"/>
      <c r="AT366" s="43"/>
      <c r="AU366" s="43"/>
      <c r="AV366" s="43"/>
      <c r="AW366" s="22" t="s">
        <v>361</v>
      </c>
      <c r="AX366" s="22" t="s">
        <v>5375</v>
      </c>
      <c r="AY366" s="22" t="s">
        <v>372</v>
      </c>
      <c r="AZ366" s="43"/>
      <c r="BA366" s="43"/>
      <c r="BB366" s="43"/>
      <c r="BC366" s="43"/>
      <c r="BD366" s="43" t="s">
        <v>401</v>
      </c>
      <c r="BE366" s="43" t="s">
        <v>401</v>
      </c>
      <c r="BF366" s="22" t="s">
        <v>131</v>
      </c>
      <c r="BG366" s="22" t="s">
        <v>132</v>
      </c>
      <c r="BH366" s="22" t="s">
        <v>132</v>
      </c>
      <c r="BI366" s="22" t="s">
        <v>132</v>
      </c>
      <c r="BJ366" s="43"/>
      <c r="BK366" s="43"/>
      <c r="BL366" s="22" t="s">
        <v>401</v>
      </c>
      <c r="BM366" s="22"/>
      <c r="BN366" s="22" t="s">
        <v>401</v>
      </c>
      <c r="BO366" s="22"/>
      <c r="BP366" s="22" t="s">
        <v>401</v>
      </c>
      <c r="BQ366" s="43"/>
      <c r="BR366" s="43"/>
      <c r="BS366" s="22" t="s">
        <v>401</v>
      </c>
      <c r="BT366" s="43"/>
      <c r="BU366" s="22" t="s">
        <v>401</v>
      </c>
      <c r="BV366" s="43" t="s">
        <v>401</v>
      </c>
      <c r="BW366" s="22" t="s">
        <v>401</v>
      </c>
      <c r="BX366" s="22"/>
      <c r="BY366" s="43"/>
      <c r="BZ366" s="43"/>
      <c r="CA366" s="22" t="s">
        <v>401</v>
      </c>
      <c r="CB366" s="22" t="s">
        <v>401</v>
      </c>
      <c r="CC366" s="45" t="s">
        <v>401</v>
      </c>
      <c r="CD366" s="43"/>
      <c r="CE366" s="43"/>
      <c r="CF366" s="45" t="s">
        <v>401</v>
      </c>
      <c r="CG366" s="43"/>
      <c r="CH366" s="43"/>
      <c r="CI366" s="43"/>
      <c r="CJ366" s="43"/>
      <c r="CK366" s="43"/>
      <c r="CL366" s="43"/>
      <c r="CM366" s="49" t="str">
        <f>IFERROR(VLOOKUP(B366,CC!A:D,4,0)," ")</f>
        <v> </v>
      </c>
      <c r="CN366" s="22" t="s">
        <v>401</v>
      </c>
      <c r="CO366" s="22"/>
      <c r="CP366" s="43"/>
      <c r="CQ366" s="22" t="s">
        <v>401</v>
      </c>
      <c r="CR366" s="43"/>
      <c r="CS366" s="43"/>
      <c r="CT366" s="22" t="s">
        <v>145</v>
      </c>
      <c r="CU366" s="43"/>
      <c r="CV366" s="43"/>
      <c r="CW366" s="43"/>
      <c r="CX366" s="43"/>
      <c r="CY366" s="43" t="b">
        <v>0</v>
      </c>
      <c r="CZ366" s="43" t="b">
        <v>0</v>
      </c>
      <c r="DA366" s="43" t="b">
        <v>0</v>
      </c>
      <c r="DB366" s="43" t="b">
        <v>0</v>
      </c>
      <c r="DC366" s="43"/>
      <c r="DD366" s="43"/>
      <c r="DE366" s="43"/>
      <c r="DF366" s="43"/>
      <c r="DG366" s="43"/>
      <c r="DH366" s="43"/>
      <c r="DI366" s="43"/>
      <c r="DJ366" s="22" t="str">
        <f>IFERROR(VLOOKUP($B366,'Лист4'!$D:$AI,27,0)," ")</f>
        <v> </v>
      </c>
      <c r="DK366" s="22" t="str">
        <f>IFERROR(VLOOKUP($B366,'Лист4'!$D:$AI,28,0)," ")</f>
        <v> </v>
      </c>
      <c r="DL366" s="22" t="str">
        <f>IFERROR(VLOOKUP($B366,'Лист4'!$D:$AI,29,0)," ")</f>
        <v> </v>
      </c>
      <c r="DM366" s="22" t="str">
        <f t="shared" si="3"/>
        <v> </v>
      </c>
      <c r="DN366" s="22" t="str">
        <f>IFERROR(VLOOKUP($B366,'Лист4'!$D:$AI,32,0)," ")</f>
        <v> </v>
      </c>
      <c r="DO366" s="22"/>
      <c r="DP366" s="22"/>
      <c r="DQ366" s="22"/>
      <c r="DR366" s="22"/>
      <c r="DS366" s="22"/>
      <c r="DT366" s="22"/>
      <c r="DU366" s="22"/>
      <c r="DV366" s="22"/>
      <c r="DW366" s="22"/>
      <c r="DX366" s="22"/>
      <c r="DY366" s="22"/>
      <c r="DZ366" s="22"/>
      <c r="EA366" s="22"/>
      <c r="EB366" s="22"/>
      <c r="EC366" s="22"/>
      <c r="ED366" s="22"/>
      <c r="EE366" s="22"/>
      <c r="EF366" s="22"/>
      <c r="EG366" s="22"/>
      <c r="EH366" s="22"/>
      <c r="EI366" s="22"/>
      <c r="EJ366" s="22"/>
      <c r="EK366" s="22"/>
      <c r="EL366" s="22"/>
      <c r="EM366" s="22"/>
      <c r="EN366" s="22"/>
      <c r="EO366" s="22"/>
      <c r="EP366" s="22"/>
      <c r="EQ366" s="22"/>
      <c r="ER366" s="22"/>
      <c r="ES366" s="43"/>
      <c r="ET366" s="43"/>
      <c r="EU366" s="43"/>
      <c r="EV366" s="43"/>
      <c r="EW366" s="43"/>
      <c r="EX366" s="43"/>
      <c r="EY366" s="43"/>
      <c r="EZ366" s="43"/>
      <c r="FA366" s="43"/>
      <c r="FB366" s="43"/>
      <c r="FC366" s="43"/>
      <c r="FD366" s="43"/>
      <c r="FE366" s="43"/>
      <c r="FF366" s="43"/>
      <c r="FG366" s="43"/>
      <c r="FH366" s="43"/>
      <c r="FI366" s="43"/>
    </row>
    <row r="367" ht="18.0" customHeight="1">
      <c r="A367" s="22" t="s">
        <v>2659</v>
      </c>
      <c r="B367" s="22" t="s">
        <v>5378</v>
      </c>
      <c r="C367" s="22" t="s">
        <v>283</v>
      </c>
      <c r="D367" s="22" t="s">
        <v>119</v>
      </c>
      <c r="E367" s="43"/>
      <c r="F367" s="43"/>
      <c r="G367" s="22" t="s">
        <v>361</v>
      </c>
      <c r="H367" s="22" t="s">
        <v>401</v>
      </c>
      <c r="I367" s="43"/>
      <c r="J367" s="43"/>
      <c r="K367" s="22" t="b">
        <v>1</v>
      </c>
      <c r="L367" s="22" t="b">
        <v>1</v>
      </c>
      <c r="M367" s="22" t="b">
        <v>1</v>
      </c>
      <c r="N367" s="22" t="b">
        <v>1</v>
      </c>
      <c r="O367" s="22" t="b">
        <v>1</v>
      </c>
      <c r="P367" s="22" t="b">
        <v>1</v>
      </c>
      <c r="Q367" s="22" t="b">
        <v>0</v>
      </c>
      <c r="R367" s="43"/>
      <c r="S367" s="43" t="s">
        <v>401</v>
      </c>
      <c r="T367" s="64" t="s">
        <v>5378</v>
      </c>
      <c r="U367" s="22" t="s">
        <v>5378</v>
      </c>
      <c r="V367" s="55" t="s">
        <v>5378</v>
      </c>
      <c r="W367" s="43" t="s">
        <v>401</v>
      </c>
      <c r="X367" s="43" t="s">
        <v>401</v>
      </c>
      <c r="Y367" s="43"/>
      <c r="Z367" s="43"/>
      <c r="AA367" s="22">
        <v>7.23220708E8</v>
      </c>
      <c r="AB367" s="22">
        <v>3.277309599E9</v>
      </c>
      <c r="AC367" s="22">
        <v>4.914676196E9</v>
      </c>
      <c r="AD367" s="22"/>
      <c r="AE367" s="22"/>
      <c r="AF367" s="43"/>
      <c r="AG367" s="43"/>
      <c r="AH367" s="43" t="s">
        <v>401</v>
      </c>
      <c r="AI367" s="22" t="s">
        <v>5379</v>
      </c>
      <c r="AJ367" s="22" t="s">
        <v>5379</v>
      </c>
      <c r="AK367" s="22" t="s">
        <v>5379</v>
      </c>
      <c r="AL367" s="43"/>
      <c r="AM367" s="43"/>
      <c r="AN367" s="43"/>
      <c r="AO367" s="43"/>
      <c r="AP367" s="46" t="s">
        <v>5380</v>
      </c>
      <c r="AQ367" s="43"/>
      <c r="AR367" s="46" t="s">
        <v>5381</v>
      </c>
      <c r="AS367" s="43"/>
      <c r="AT367" s="43"/>
      <c r="AU367" s="43"/>
      <c r="AV367" s="43"/>
      <c r="AW367" s="22" t="s">
        <v>361</v>
      </c>
      <c r="AX367" s="22" t="s">
        <v>5379</v>
      </c>
      <c r="AY367" s="22" t="s">
        <v>372</v>
      </c>
      <c r="AZ367" s="43"/>
      <c r="BA367" s="43"/>
      <c r="BB367" s="43"/>
      <c r="BC367" s="43"/>
      <c r="BD367" s="43" t="s">
        <v>401</v>
      </c>
      <c r="BE367" s="43" t="s">
        <v>401</v>
      </c>
      <c r="BF367" s="22" t="s">
        <v>131</v>
      </c>
      <c r="BG367" s="22" t="s">
        <v>132</v>
      </c>
      <c r="BH367" s="22" t="s">
        <v>132</v>
      </c>
      <c r="BI367" s="22" t="s">
        <v>132</v>
      </c>
      <c r="BJ367" s="43"/>
      <c r="BK367" s="43"/>
      <c r="BL367" s="22" t="s">
        <v>401</v>
      </c>
      <c r="BM367" s="22"/>
      <c r="BN367" s="22" t="s">
        <v>401</v>
      </c>
      <c r="BO367" s="22"/>
      <c r="BP367" s="22" t="s">
        <v>401</v>
      </c>
      <c r="BQ367" s="43"/>
      <c r="BR367" s="43"/>
      <c r="BS367" s="22" t="s">
        <v>401</v>
      </c>
      <c r="BT367" s="43"/>
      <c r="BU367" s="22" t="s">
        <v>401</v>
      </c>
      <c r="BV367" s="43" t="s">
        <v>401</v>
      </c>
      <c r="BW367" s="22" t="s">
        <v>401</v>
      </c>
      <c r="BX367" s="22"/>
      <c r="BY367" s="43"/>
      <c r="BZ367" s="43"/>
      <c r="CA367" s="22" t="s">
        <v>401</v>
      </c>
      <c r="CB367" s="22" t="s">
        <v>401</v>
      </c>
      <c r="CC367" s="45" t="s">
        <v>401</v>
      </c>
      <c r="CD367" s="43"/>
      <c r="CE367" s="43"/>
      <c r="CF367" s="45" t="s">
        <v>401</v>
      </c>
      <c r="CG367" s="43"/>
      <c r="CH367" s="43"/>
      <c r="CI367" s="43"/>
      <c r="CJ367" s="43"/>
      <c r="CK367" s="43"/>
      <c r="CL367" s="43"/>
      <c r="CM367" s="49" t="str">
        <f>IFERROR(VLOOKUP(B367,CC!A:D,4,0)," ")</f>
        <v> </v>
      </c>
      <c r="CN367" s="22" t="s">
        <v>401</v>
      </c>
      <c r="CO367" s="22"/>
      <c r="CP367" s="43"/>
      <c r="CQ367" s="22" t="s">
        <v>401</v>
      </c>
      <c r="CR367" s="43"/>
      <c r="CS367" s="43"/>
      <c r="CT367" s="22" t="s">
        <v>145</v>
      </c>
      <c r="CU367" s="43"/>
      <c r="CV367" s="43"/>
      <c r="CW367" s="43"/>
      <c r="CX367" s="43"/>
      <c r="CY367" s="43" t="b">
        <v>0</v>
      </c>
      <c r="CZ367" s="43" t="b">
        <v>0</v>
      </c>
      <c r="DA367" s="43" t="b">
        <v>0</v>
      </c>
      <c r="DB367" s="43" t="b">
        <v>0</v>
      </c>
      <c r="DC367" s="43"/>
      <c r="DD367" s="43"/>
      <c r="DE367" s="43"/>
      <c r="DF367" s="43"/>
      <c r="DG367" s="43"/>
      <c r="DH367" s="43"/>
      <c r="DI367" s="43"/>
      <c r="DJ367" s="22" t="str">
        <f>IFERROR(VLOOKUP($B367,'Лист4'!$D:$AI,27,0)," ")</f>
        <v> </v>
      </c>
      <c r="DK367" s="22" t="str">
        <f>IFERROR(VLOOKUP($B367,'Лист4'!$D:$AI,28,0)," ")</f>
        <v> </v>
      </c>
      <c r="DL367" s="22" t="str">
        <f>IFERROR(VLOOKUP($B367,'Лист4'!$D:$AI,29,0)," ")</f>
        <v> </v>
      </c>
      <c r="DM367" s="22" t="str">
        <f t="shared" si="3"/>
        <v> </v>
      </c>
      <c r="DN367" s="22" t="str">
        <f>IFERROR(VLOOKUP($B367,'Лист4'!$D:$AI,32,0)," ")</f>
        <v> </v>
      </c>
      <c r="DO367" s="22"/>
      <c r="DP367" s="22"/>
      <c r="DQ367" s="22"/>
      <c r="DR367" s="22"/>
      <c r="DS367" s="22"/>
      <c r="DT367" s="22"/>
      <c r="DU367" s="22"/>
      <c r="DV367" s="22"/>
      <c r="DW367" s="22"/>
      <c r="DX367" s="22"/>
      <c r="DY367" s="22"/>
      <c r="DZ367" s="22"/>
      <c r="EA367" s="22"/>
      <c r="EB367" s="22"/>
      <c r="EC367" s="22"/>
      <c r="ED367" s="22"/>
      <c r="EE367" s="22"/>
      <c r="EF367" s="22"/>
      <c r="EG367" s="22"/>
      <c r="EH367" s="22"/>
      <c r="EI367" s="22"/>
      <c r="EJ367" s="22"/>
      <c r="EK367" s="22"/>
      <c r="EL367" s="22"/>
      <c r="EM367" s="22"/>
      <c r="EN367" s="22"/>
      <c r="EO367" s="22"/>
      <c r="EP367" s="22"/>
      <c r="EQ367" s="22"/>
      <c r="ER367" s="22"/>
      <c r="ES367" s="43"/>
      <c r="ET367" s="43"/>
      <c r="EU367" s="43"/>
      <c r="EV367" s="43"/>
      <c r="EW367" s="43"/>
      <c r="EX367" s="43"/>
      <c r="EY367" s="43"/>
      <c r="EZ367" s="43"/>
      <c r="FA367" s="43"/>
      <c r="FB367" s="43"/>
      <c r="FC367" s="43"/>
      <c r="FD367" s="43"/>
      <c r="FE367" s="43"/>
      <c r="FF367" s="43"/>
      <c r="FG367" s="43"/>
      <c r="FH367" s="43"/>
      <c r="FI367" s="43"/>
    </row>
    <row r="368" ht="18.0" customHeight="1">
      <c r="A368" s="22" t="s">
        <v>2659</v>
      </c>
      <c r="B368" s="22" t="s">
        <v>5382</v>
      </c>
      <c r="C368" s="22" t="s">
        <v>283</v>
      </c>
      <c r="D368" s="22" t="s">
        <v>119</v>
      </c>
      <c r="E368" s="43"/>
      <c r="F368" s="43"/>
      <c r="G368" s="22" t="s">
        <v>361</v>
      </c>
      <c r="H368" s="22" t="s">
        <v>401</v>
      </c>
      <c r="I368" s="43"/>
      <c r="J368" s="43"/>
      <c r="K368" s="22" t="b">
        <v>1</v>
      </c>
      <c r="L368" s="22" t="b">
        <v>1</v>
      </c>
      <c r="M368" s="22" t="b">
        <v>1</v>
      </c>
      <c r="N368" s="22" t="b">
        <v>1</v>
      </c>
      <c r="O368" s="22" t="b">
        <v>1</v>
      </c>
      <c r="P368" s="22" t="b">
        <v>1</v>
      </c>
      <c r="Q368" s="22" t="b">
        <v>0</v>
      </c>
      <c r="R368" s="43"/>
      <c r="S368" s="43" t="s">
        <v>401</v>
      </c>
      <c r="T368" s="64" t="s">
        <v>5382</v>
      </c>
      <c r="U368" s="22" t="s">
        <v>5382</v>
      </c>
      <c r="V368" s="55" t="s">
        <v>5382</v>
      </c>
      <c r="W368" s="43" t="s">
        <v>401</v>
      </c>
      <c r="X368" s="43" t="s">
        <v>401</v>
      </c>
      <c r="Y368" s="43"/>
      <c r="Z368" s="43"/>
      <c r="AA368" s="22">
        <v>7.23490719E8</v>
      </c>
      <c r="AB368" s="22">
        <v>3.277342774E9</v>
      </c>
      <c r="AC368" s="22">
        <v>4.914732726E9</v>
      </c>
      <c r="AD368" s="22"/>
      <c r="AE368" s="22"/>
      <c r="AF368" s="43"/>
      <c r="AG368" s="43"/>
      <c r="AH368" s="43" t="s">
        <v>401</v>
      </c>
      <c r="AI368" s="22" t="s">
        <v>5383</v>
      </c>
      <c r="AJ368" s="22" t="s">
        <v>5383</v>
      </c>
      <c r="AK368" s="22" t="s">
        <v>5383</v>
      </c>
      <c r="AL368" s="43"/>
      <c r="AM368" s="43"/>
      <c r="AN368" s="43"/>
      <c r="AO368" s="43"/>
      <c r="AP368" s="46" t="s">
        <v>5384</v>
      </c>
      <c r="AQ368" s="43"/>
      <c r="AR368" s="46" t="s">
        <v>5385</v>
      </c>
      <c r="AS368" s="43"/>
      <c r="AT368" s="43"/>
      <c r="AU368" s="43"/>
      <c r="AV368" s="43"/>
      <c r="AW368" s="22" t="s">
        <v>361</v>
      </c>
      <c r="AX368" s="22" t="s">
        <v>5383</v>
      </c>
      <c r="AY368" s="22" t="s">
        <v>372</v>
      </c>
      <c r="AZ368" s="43"/>
      <c r="BA368" s="43"/>
      <c r="BB368" s="43"/>
      <c r="BC368" s="43"/>
      <c r="BD368" s="43" t="s">
        <v>401</v>
      </c>
      <c r="BE368" s="43" t="s">
        <v>401</v>
      </c>
      <c r="BF368" s="22" t="s">
        <v>131</v>
      </c>
      <c r="BG368" s="22" t="s">
        <v>132</v>
      </c>
      <c r="BH368" s="22" t="s">
        <v>132</v>
      </c>
      <c r="BI368" s="22" t="s">
        <v>132</v>
      </c>
      <c r="BJ368" s="43"/>
      <c r="BK368" s="43"/>
      <c r="BL368" s="22" t="s">
        <v>401</v>
      </c>
      <c r="BM368" s="22"/>
      <c r="BN368" s="22" t="s">
        <v>401</v>
      </c>
      <c r="BO368" s="22"/>
      <c r="BP368" s="22" t="s">
        <v>401</v>
      </c>
      <c r="BQ368" s="43"/>
      <c r="BR368" s="43"/>
      <c r="BS368" s="22" t="s">
        <v>401</v>
      </c>
      <c r="BT368" s="43"/>
      <c r="BU368" s="22" t="s">
        <v>401</v>
      </c>
      <c r="BV368" s="43" t="s">
        <v>401</v>
      </c>
      <c r="BW368" s="22" t="s">
        <v>401</v>
      </c>
      <c r="BX368" s="22"/>
      <c r="BY368" s="43"/>
      <c r="BZ368" s="43"/>
      <c r="CA368" s="22" t="s">
        <v>401</v>
      </c>
      <c r="CB368" s="22" t="s">
        <v>401</v>
      </c>
      <c r="CC368" s="45" t="s">
        <v>401</v>
      </c>
      <c r="CD368" s="43"/>
      <c r="CE368" s="43"/>
      <c r="CF368" s="45" t="s">
        <v>401</v>
      </c>
      <c r="CG368" s="43"/>
      <c r="CH368" s="43"/>
      <c r="CI368" s="43"/>
      <c r="CJ368" s="43"/>
      <c r="CK368" s="43"/>
      <c r="CL368" s="43"/>
      <c r="CM368" s="49" t="str">
        <f>IFERROR(VLOOKUP(B368,CC!A:D,4,0)," ")</f>
        <v> </v>
      </c>
      <c r="CN368" s="22" t="s">
        <v>401</v>
      </c>
      <c r="CO368" s="22"/>
      <c r="CP368" s="43"/>
      <c r="CQ368" s="22" t="s">
        <v>401</v>
      </c>
      <c r="CR368" s="43"/>
      <c r="CS368" s="43"/>
      <c r="CT368" s="22" t="s">
        <v>145</v>
      </c>
      <c r="CU368" s="43"/>
      <c r="CV368" s="43"/>
      <c r="CW368" s="43"/>
      <c r="CX368" s="43"/>
      <c r="CY368" s="43" t="b">
        <v>0</v>
      </c>
      <c r="CZ368" s="43" t="b">
        <v>0</v>
      </c>
      <c r="DA368" s="43" t="b">
        <v>0</v>
      </c>
      <c r="DB368" s="43" t="b">
        <v>0</v>
      </c>
      <c r="DC368" s="43"/>
      <c r="DD368" s="43"/>
      <c r="DE368" s="43"/>
      <c r="DF368" s="43"/>
      <c r="DG368" s="43"/>
      <c r="DH368" s="43"/>
      <c r="DI368" s="43"/>
      <c r="DJ368" s="22" t="str">
        <f>IFERROR(VLOOKUP($B368,'Лист4'!$D:$AI,27,0)," ")</f>
        <v> </v>
      </c>
      <c r="DK368" s="22" t="str">
        <f>IFERROR(VLOOKUP($B368,'Лист4'!$D:$AI,28,0)," ")</f>
        <v> </v>
      </c>
      <c r="DL368" s="22" t="str">
        <f>IFERROR(VLOOKUP($B368,'Лист4'!$D:$AI,29,0)," ")</f>
        <v> </v>
      </c>
      <c r="DM368" s="22" t="str">
        <f t="shared" si="3"/>
        <v> </v>
      </c>
      <c r="DN368" s="22" t="str">
        <f>IFERROR(VLOOKUP($B368,'Лист4'!$D:$AI,32,0)," ")</f>
        <v> </v>
      </c>
      <c r="DO368" s="22"/>
      <c r="DP368" s="22"/>
      <c r="DQ368" s="22"/>
      <c r="DR368" s="22"/>
      <c r="DS368" s="22"/>
      <c r="DT368" s="22"/>
      <c r="DU368" s="22"/>
      <c r="DV368" s="22"/>
      <c r="DW368" s="22"/>
      <c r="DX368" s="22"/>
      <c r="DY368" s="22"/>
      <c r="DZ368" s="22"/>
      <c r="EA368" s="22"/>
      <c r="EB368" s="22"/>
      <c r="EC368" s="22"/>
      <c r="ED368" s="22"/>
      <c r="EE368" s="22"/>
      <c r="EF368" s="22"/>
      <c r="EG368" s="22"/>
      <c r="EH368" s="22"/>
      <c r="EI368" s="22"/>
      <c r="EJ368" s="22"/>
      <c r="EK368" s="22"/>
      <c r="EL368" s="22"/>
      <c r="EM368" s="22"/>
      <c r="EN368" s="22"/>
      <c r="EO368" s="22"/>
      <c r="EP368" s="22"/>
      <c r="EQ368" s="22"/>
      <c r="ER368" s="22"/>
      <c r="ES368" s="43"/>
      <c r="ET368" s="43"/>
      <c r="EU368" s="43"/>
      <c r="EV368" s="43"/>
      <c r="EW368" s="43"/>
      <c r="EX368" s="43"/>
      <c r="EY368" s="43"/>
      <c r="EZ368" s="43"/>
      <c r="FA368" s="43"/>
      <c r="FB368" s="43"/>
      <c r="FC368" s="43"/>
      <c r="FD368" s="43"/>
      <c r="FE368" s="43"/>
      <c r="FF368" s="43"/>
      <c r="FG368" s="43"/>
      <c r="FH368" s="43"/>
      <c r="FI368" s="43"/>
    </row>
    <row r="369" ht="18.0" customHeight="1">
      <c r="A369" s="22" t="s">
        <v>2659</v>
      </c>
      <c r="B369" s="22" t="s">
        <v>5386</v>
      </c>
      <c r="C369" s="22" t="s">
        <v>2661</v>
      </c>
      <c r="D369" s="22" t="s">
        <v>187</v>
      </c>
      <c r="E369" s="43" t="s">
        <v>5347</v>
      </c>
      <c r="F369" s="43"/>
      <c r="G369" s="22" t="s">
        <v>401</v>
      </c>
      <c r="H369" s="22" t="s">
        <v>401</v>
      </c>
      <c r="I369" s="43"/>
      <c r="J369" s="43"/>
      <c r="K369" s="22" t="b">
        <v>1</v>
      </c>
      <c r="L369" s="22" t="b">
        <v>1</v>
      </c>
      <c r="M369" s="22" t="b">
        <v>0</v>
      </c>
      <c r="N369" s="22" t="b">
        <v>1</v>
      </c>
      <c r="O369" s="22" t="b">
        <v>1</v>
      </c>
      <c r="P369" s="22" t="b">
        <v>1</v>
      </c>
      <c r="Q369" s="22" t="b">
        <v>0</v>
      </c>
      <c r="R369" s="43"/>
      <c r="S369" s="43" t="s">
        <v>401</v>
      </c>
      <c r="T369" s="64" t="s">
        <v>5386</v>
      </c>
      <c r="U369" s="22"/>
      <c r="V369" s="55" t="s">
        <v>5387</v>
      </c>
      <c r="W369" s="43" t="s">
        <v>401</v>
      </c>
      <c r="X369" s="43" t="s">
        <v>401</v>
      </c>
      <c r="Y369" s="43"/>
      <c r="Z369" s="43"/>
      <c r="AA369" s="22">
        <v>2.1422127E8</v>
      </c>
      <c r="AB369" s="22"/>
      <c r="AC369" s="22">
        <v>1.01453487277E11</v>
      </c>
      <c r="AD369" s="22"/>
      <c r="AE369" s="22"/>
      <c r="AF369" s="43"/>
      <c r="AG369" s="43"/>
      <c r="AH369" s="43" t="s">
        <v>401</v>
      </c>
      <c r="AI369" s="22" t="s">
        <v>5275</v>
      </c>
      <c r="AJ369" s="43"/>
      <c r="AK369" s="22" t="s">
        <v>5388</v>
      </c>
      <c r="AL369" s="43"/>
      <c r="AM369" s="43"/>
      <c r="AN369" s="43"/>
      <c r="AO369" s="43"/>
      <c r="AP369" s="46" t="s">
        <v>5389</v>
      </c>
      <c r="AQ369" s="43"/>
      <c r="AR369" s="43"/>
      <c r="AS369" s="43"/>
      <c r="AT369" s="43"/>
      <c r="AU369" s="43"/>
      <c r="AV369" s="43"/>
      <c r="AW369" s="22" t="s">
        <v>5390</v>
      </c>
      <c r="AX369" s="22"/>
      <c r="AY369" s="22" t="s">
        <v>5391</v>
      </c>
      <c r="AZ369" s="43"/>
      <c r="BA369" s="43"/>
      <c r="BB369" s="43"/>
      <c r="BC369" s="43"/>
      <c r="BD369" s="43" t="s">
        <v>401</v>
      </c>
      <c r="BE369" s="43" t="s">
        <v>401</v>
      </c>
      <c r="BF369" s="22" t="s">
        <v>131</v>
      </c>
      <c r="BG369" s="22" t="s">
        <v>132</v>
      </c>
      <c r="BH369" s="22" t="s">
        <v>132</v>
      </c>
      <c r="BI369" s="22" t="s">
        <v>132</v>
      </c>
      <c r="BJ369" s="43"/>
      <c r="BK369" s="43"/>
      <c r="BL369" s="22">
        <v>2.25209655626E12</v>
      </c>
      <c r="BM369" s="22"/>
      <c r="BN369" s="22" t="s">
        <v>4309</v>
      </c>
      <c r="BO369" s="22"/>
      <c r="BP369" s="22"/>
      <c r="BQ369" s="43"/>
      <c r="BR369" s="43"/>
      <c r="BS369" s="22" t="s">
        <v>5280</v>
      </c>
      <c r="BT369" s="43"/>
      <c r="BU369" s="22"/>
      <c r="BV369" s="43" t="s">
        <v>2777</v>
      </c>
      <c r="BW369" s="22" t="s">
        <v>4671</v>
      </c>
      <c r="BX369" s="22"/>
      <c r="BY369" s="43"/>
      <c r="BZ369" s="43"/>
      <c r="CA369" s="22" t="s">
        <v>5282</v>
      </c>
      <c r="CB369" s="22" t="s">
        <v>401</v>
      </c>
      <c r="CC369" s="45" t="s">
        <v>5030</v>
      </c>
      <c r="CD369" s="43"/>
      <c r="CE369" s="43"/>
      <c r="CF369" s="45"/>
      <c r="CG369" s="43"/>
      <c r="CH369" s="43"/>
      <c r="CI369" s="43"/>
      <c r="CJ369" s="43"/>
      <c r="CK369" s="43"/>
      <c r="CL369" s="43"/>
      <c r="CM369" s="49" t="str">
        <f>IFERROR(VLOOKUP(B369,CC!A:D,4,0)," ")</f>
        <v/>
      </c>
      <c r="CN369" s="22" t="s">
        <v>2681</v>
      </c>
      <c r="CO369" s="22"/>
      <c r="CP369" s="43"/>
      <c r="CQ369" s="22">
        <v>45.0</v>
      </c>
      <c r="CR369" s="43"/>
      <c r="CS369" s="22">
        <v>1.0</v>
      </c>
      <c r="CT369" s="22" t="s">
        <v>145</v>
      </c>
      <c r="CU369" s="43"/>
      <c r="CV369" s="43"/>
      <c r="CW369" s="43"/>
      <c r="CX369" s="43"/>
      <c r="CY369" s="43" t="b">
        <v>0</v>
      </c>
      <c r="CZ369" s="43" t="b">
        <v>0</v>
      </c>
      <c r="DA369" s="43" t="b">
        <v>0</v>
      </c>
      <c r="DB369" s="43" t="b">
        <v>0</v>
      </c>
      <c r="DC369" s="43"/>
      <c r="DD369" s="43"/>
      <c r="DE369" s="43"/>
      <c r="DF369" s="43"/>
      <c r="DG369" s="43"/>
      <c r="DH369" s="43"/>
      <c r="DI369" s="43"/>
      <c r="DJ369" s="22">
        <f>IFERROR(VLOOKUP($B369,'Лист4'!$D:$AI,27,0)," ")</f>
        <v>1</v>
      </c>
      <c r="DK369" s="22">
        <f>IFERROR(VLOOKUP($B369,'Лист4'!$D:$AI,28,0)," ")</f>
        <v>1</v>
      </c>
      <c r="DL369" s="22">
        <f>IFERROR(VLOOKUP($B369,'Лист4'!$D:$AI,29,0)," ")</f>
        <v>1</v>
      </c>
      <c r="DM369" s="22">
        <f t="shared" si="3"/>
        <v>1</v>
      </c>
      <c r="DN369" s="22">
        <f>IFERROR(VLOOKUP($B369,'Лист4'!$D:$AI,32,0)," ")</f>
        <v>1</v>
      </c>
      <c r="DO369" s="22"/>
      <c r="DP369" s="22"/>
      <c r="DQ369" s="22"/>
      <c r="DR369" s="22"/>
      <c r="DS369" s="22"/>
      <c r="DT369" s="22"/>
      <c r="DU369" s="22"/>
      <c r="DV369" s="22"/>
      <c r="DW369" s="22"/>
      <c r="DX369" s="22"/>
      <c r="DY369" s="22"/>
      <c r="DZ369" s="22"/>
      <c r="EA369" s="22"/>
      <c r="EB369" s="22"/>
      <c r="EC369" s="22"/>
      <c r="ED369" s="22"/>
      <c r="EE369" s="22"/>
      <c r="EF369" s="22"/>
      <c r="EG369" s="22"/>
      <c r="EH369" s="22"/>
      <c r="EI369" s="22"/>
      <c r="EJ369" s="22"/>
      <c r="EK369" s="22"/>
      <c r="EL369" s="22"/>
      <c r="EM369" s="22"/>
      <c r="EN369" s="22"/>
      <c r="EO369" s="22"/>
      <c r="EP369" s="22"/>
      <c r="EQ369" s="22"/>
      <c r="ER369" s="22"/>
      <c r="ES369" s="43"/>
      <c r="ET369" s="43"/>
      <c r="EU369" s="43"/>
      <c r="EV369" s="43"/>
      <c r="EW369" s="43"/>
      <c r="EX369" s="43"/>
      <c r="EY369" s="43"/>
      <c r="EZ369" s="43"/>
      <c r="FA369" s="43"/>
      <c r="FB369" s="43"/>
      <c r="FC369" s="43"/>
      <c r="FD369" s="43"/>
      <c r="FE369" s="43"/>
      <c r="FF369" s="43"/>
      <c r="FG369" s="43"/>
      <c r="FH369" s="43"/>
      <c r="FI369" s="43"/>
    </row>
    <row r="370" ht="18.0" customHeight="1">
      <c r="A370" s="22" t="s">
        <v>2659</v>
      </c>
      <c r="B370" s="22" t="s">
        <v>5392</v>
      </c>
      <c r="C370" s="22" t="s">
        <v>2661</v>
      </c>
      <c r="D370" s="22" t="s">
        <v>119</v>
      </c>
      <c r="E370" s="43"/>
      <c r="F370" s="22" t="s">
        <v>5297</v>
      </c>
      <c r="G370" s="22" t="s">
        <v>401</v>
      </c>
      <c r="H370" s="22" t="s">
        <v>401</v>
      </c>
      <c r="I370" s="43"/>
      <c r="J370" s="43"/>
      <c r="K370" s="22" t="b">
        <v>1</v>
      </c>
      <c r="L370" s="22" t="b">
        <v>1</v>
      </c>
      <c r="M370" s="22" t="b">
        <v>0</v>
      </c>
      <c r="N370" s="22" t="b">
        <v>0</v>
      </c>
      <c r="O370" s="22" t="b">
        <v>0</v>
      </c>
      <c r="P370" s="22" t="b">
        <v>0</v>
      </c>
      <c r="Q370" s="22" t="b">
        <v>0</v>
      </c>
      <c r="R370" s="43"/>
      <c r="S370" s="43" t="s">
        <v>5393</v>
      </c>
      <c r="T370" s="64" t="s">
        <v>5392</v>
      </c>
      <c r="U370" s="22"/>
      <c r="V370" s="22"/>
      <c r="W370" s="43"/>
      <c r="X370" s="43"/>
      <c r="Y370" s="43"/>
      <c r="Z370" s="43"/>
      <c r="AA370" s="22">
        <v>3.18415062E8</v>
      </c>
      <c r="AB370" s="22"/>
      <c r="AC370" s="22"/>
      <c r="AD370" s="22"/>
      <c r="AE370" s="22"/>
      <c r="AF370" s="43"/>
      <c r="AG370" s="43"/>
      <c r="AH370" s="43" t="s">
        <v>5297</v>
      </c>
      <c r="AI370" s="22" t="s">
        <v>5299</v>
      </c>
      <c r="AJ370" s="43"/>
      <c r="AK370" s="43"/>
      <c r="AL370" s="43"/>
      <c r="AM370" s="43"/>
      <c r="AN370" s="43"/>
      <c r="AO370" s="43"/>
      <c r="AP370" s="46" t="s">
        <v>5394</v>
      </c>
      <c r="AQ370" s="43"/>
      <c r="AR370" s="43"/>
      <c r="AS370" s="43"/>
      <c r="AT370" s="43"/>
      <c r="AU370" s="43"/>
      <c r="AV370" s="43"/>
      <c r="AW370" s="22" t="s">
        <v>594</v>
      </c>
      <c r="AX370" s="22"/>
      <c r="AY370" s="43"/>
      <c r="AZ370" s="43"/>
      <c r="BA370" s="43"/>
      <c r="BB370" s="43"/>
      <c r="BC370" s="43"/>
      <c r="BD370" s="43" t="s">
        <v>401</v>
      </c>
      <c r="BE370" s="43" t="s">
        <v>401</v>
      </c>
      <c r="BF370" s="22" t="s">
        <v>131</v>
      </c>
      <c r="BG370" s="22" t="s">
        <v>132</v>
      </c>
      <c r="BH370" s="22" t="s">
        <v>132</v>
      </c>
      <c r="BI370" s="22" t="s">
        <v>132</v>
      </c>
      <c r="BJ370" s="43"/>
      <c r="BK370" s="43"/>
      <c r="BL370" s="22">
        <v>2.042608334598E12</v>
      </c>
      <c r="BM370" s="22">
        <v>3.30499E9</v>
      </c>
      <c r="BN370" s="22" t="s">
        <v>3124</v>
      </c>
      <c r="BO370" s="22"/>
      <c r="BP370" s="22" t="s">
        <v>145</v>
      </c>
      <c r="BQ370" s="43"/>
      <c r="BR370" s="43"/>
      <c r="BS370" s="22" t="s">
        <v>5395</v>
      </c>
      <c r="BT370" s="22"/>
      <c r="BU370" s="22" t="s">
        <v>5306</v>
      </c>
      <c r="BV370" s="22" t="s">
        <v>5307</v>
      </c>
      <c r="BW370" s="22" t="s">
        <v>5396</v>
      </c>
      <c r="BX370" s="22">
        <v>30.0</v>
      </c>
      <c r="BY370" s="58" t="s">
        <v>5012</v>
      </c>
      <c r="BZ370" s="58"/>
      <c r="CA370" s="22"/>
      <c r="CB370" s="22"/>
      <c r="CC370" s="45"/>
      <c r="CD370" s="43"/>
      <c r="CE370" s="43"/>
      <c r="CF370" s="45"/>
      <c r="CG370" s="43"/>
      <c r="CH370" s="43"/>
      <c r="CI370" s="43"/>
      <c r="CJ370" s="43"/>
      <c r="CK370" s="43"/>
      <c r="CL370" s="43"/>
      <c r="CM370" s="49">
        <f>IFERROR(VLOOKUP(B370,CC!A:D,4,0)," ")</f>
        <v>251.76</v>
      </c>
      <c r="CN370" s="22" t="s">
        <v>2681</v>
      </c>
      <c r="CO370" s="22"/>
      <c r="CP370" s="43"/>
      <c r="CQ370" s="22">
        <v>45.0</v>
      </c>
      <c r="CR370" s="43"/>
      <c r="CS370" s="22">
        <v>1.0</v>
      </c>
      <c r="CT370" s="22" t="s">
        <v>145</v>
      </c>
      <c r="CU370" s="43"/>
      <c r="CV370" s="43"/>
      <c r="CW370" s="43"/>
      <c r="CX370" s="43"/>
      <c r="CY370" s="43" t="b">
        <v>0</v>
      </c>
      <c r="CZ370" s="43" t="b">
        <v>0</v>
      </c>
      <c r="DA370" s="43" t="b">
        <v>0</v>
      </c>
      <c r="DB370" s="43" t="b">
        <v>0</v>
      </c>
      <c r="DC370" s="43"/>
      <c r="DD370" s="43"/>
      <c r="DE370" s="43"/>
      <c r="DF370" s="43"/>
      <c r="DG370" s="43"/>
      <c r="DH370" s="43"/>
      <c r="DI370" s="43"/>
      <c r="DJ370" s="22">
        <f>IFERROR(VLOOKUP($B370,'Лист4'!$D:$AI,27,0)," ")</f>
        <v>9</v>
      </c>
      <c r="DK370" s="22">
        <f>IFERROR(VLOOKUP($B370,'Лист4'!$D:$AI,28,0)," ")</f>
        <v>15</v>
      </c>
      <c r="DL370" s="22">
        <f>IFERROR(VLOOKUP($B370,'Лист4'!$D:$AI,29,0)," ")</f>
        <v>9</v>
      </c>
      <c r="DM370" s="22">
        <f t="shared" si="3"/>
        <v>1215</v>
      </c>
      <c r="DN370" s="22">
        <f>IFERROR(VLOOKUP($B370,'Лист4'!$D:$AI,32,0)," ")</f>
        <v>0.121</v>
      </c>
      <c r="DO370" s="22"/>
      <c r="DP370" s="22"/>
      <c r="DQ370" s="22"/>
      <c r="DR370" s="22"/>
      <c r="DS370" s="22"/>
      <c r="DT370" s="22"/>
      <c r="DU370" s="22"/>
      <c r="DV370" s="22"/>
      <c r="DW370" s="22"/>
      <c r="DX370" s="22"/>
      <c r="DY370" s="22"/>
      <c r="DZ370" s="22"/>
      <c r="EA370" s="22"/>
      <c r="EB370" s="22"/>
      <c r="EC370" s="22"/>
      <c r="ED370" s="22"/>
      <c r="EE370" s="22"/>
      <c r="EF370" s="22"/>
      <c r="EG370" s="22"/>
      <c r="EH370" s="22"/>
      <c r="EI370" s="22"/>
      <c r="EJ370" s="22"/>
      <c r="EK370" s="22"/>
      <c r="EL370" s="22"/>
      <c r="EM370" s="22"/>
      <c r="EN370" s="22"/>
      <c r="EO370" s="22"/>
      <c r="EP370" s="22"/>
      <c r="EQ370" s="22"/>
      <c r="ER370" s="22"/>
      <c r="ES370" s="43"/>
      <c r="ET370" s="43"/>
      <c r="EU370" s="43"/>
      <c r="EV370" s="43"/>
      <c r="EW370" s="43"/>
      <c r="EX370" s="43"/>
      <c r="EY370" s="43"/>
      <c r="EZ370" s="43"/>
      <c r="FA370" s="43"/>
      <c r="FB370" s="43"/>
      <c r="FC370" s="43"/>
      <c r="FD370" s="43"/>
      <c r="FE370" s="43"/>
      <c r="FF370" s="43"/>
      <c r="FG370" s="43"/>
      <c r="FH370" s="43"/>
      <c r="FI370" s="43"/>
    </row>
    <row r="371" ht="18.0" customHeight="1">
      <c r="A371" s="22" t="s">
        <v>2659</v>
      </c>
      <c r="B371" s="22" t="s">
        <v>5397</v>
      </c>
      <c r="C371" s="22" t="s">
        <v>2661</v>
      </c>
      <c r="D371" s="22" t="s">
        <v>119</v>
      </c>
      <c r="E371" s="43"/>
      <c r="F371" s="22" t="s">
        <v>4023</v>
      </c>
      <c r="G371" s="22" t="s">
        <v>361</v>
      </c>
      <c r="H371" s="22" t="s">
        <v>401</v>
      </c>
      <c r="I371" s="43"/>
      <c r="J371" s="43"/>
      <c r="K371" s="22" t="b">
        <v>1</v>
      </c>
      <c r="L371" s="22" t="b">
        <v>1</v>
      </c>
      <c r="M371" s="22" t="b">
        <v>0</v>
      </c>
      <c r="N371" s="22" t="b">
        <v>0</v>
      </c>
      <c r="O371" s="22" t="b">
        <v>0</v>
      </c>
      <c r="P371" s="22" t="b">
        <v>0</v>
      </c>
      <c r="Q371" s="22" t="b">
        <v>0</v>
      </c>
      <c r="R371" s="43"/>
      <c r="S371" s="43" t="s">
        <v>5398</v>
      </c>
      <c r="T371" s="64" t="s">
        <v>5397</v>
      </c>
      <c r="U371" s="22"/>
      <c r="V371" s="22"/>
      <c r="W371" s="43"/>
      <c r="X371" s="43"/>
      <c r="Y371" s="43"/>
      <c r="Z371" s="43"/>
      <c r="AA371" s="22">
        <v>5.2533687E8</v>
      </c>
      <c r="AB371" s="22"/>
      <c r="AC371" s="22"/>
      <c r="AD371" s="22"/>
      <c r="AE371" s="22"/>
      <c r="AF371" s="43"/>
      <c r="AG371" s="43"/>
      <c r="AH371" s="43" t="s">
        <v>4023</v>
      </c>
      <c r="AI371" s="22" t="s">
        <v>4025</v>
      </c>
      <c r="AJ371" s="43"/>
      <c r="AK371" s="43"/>
      <c r="AL371" s="43"/>
      <c r="AM371" s="43"/>
      <c r="AN371" s="43"/>
      <c r="AO371" s="43"/>
      <c r="AP371" s="46" t="s">
        <v>5399</v>
      </c>
      <c r="AQ371" s="43"/>
      <c r="AR371" s="43"/>
      <c r="AS371" s="43"/>
      <c r="AT371" s="43"/>
      <c r="AU371" s="43"/>
      <c r="AV371" s="43"/>
      <c r="AW371" s="22" t="s">
        <v>649</v>
      </c>
      <c r="AX371" s="22"/>
      <c r="AY371" s="43"/>
      <c r="AZ371" s="43"/>
      <c r="BA371" s="43"/>
      <c r="BB371" s="43"/>
      <c r="BC371" s="43"/>
      <c r="BD371" s="43" t="s">
        <v>401</v>
      </c>
      <c r="BE371" s="43" t="s">
        <v>401</v>
      </c>
      <c r="BF371" s="22" t="s">
        <v>131</v>
      </c>
      <c r="BG371" s="22" t="s">
        <v>132</v>
      </c>
      <c r="BH371" s="22" t="s">
        <v>132</v>
      </c>
      <c r="BI371" s="22" t="s">
        <v>132</v>
      </c>
      <c r="BJ371" s="43"/>
      <c r="BK371" s="43"/>
      <c r="BL371" s="22">
        <v>4.683857637894E12</v>
      </c>
      <c r="BM371" s="22">
        <v>2.103909009E9</v>
      </c>
      <c r="BN371" s="22" t="s">
        <v>4031</v>
      </c>
      <c r="BO371" s="22"/>
      <c r="BP371" s="22" t="s">
        <v>145</v>
      </c>
      <c r="BQ371" s="43"/>
      <c r="BR371" s="43"/>
      <c r="BS371" s="22" t="s">
        <v>4032</v>
      </c>
      <c r="BT371" s="22"/>
      <c r="BU371" s="22" t="s">
        <v>4033</v>
      </c>
      <c r="BV371" s="22" t="s">
        <v>2697</v>
      </c>
      <c r="BW371" s="22" t="s">
        <v>4034</v>
      </c>
      <c r="BX371" s="22"/>
      <c r="BY371" s="43"/>
      <c r="BZ371" s="43"/>
      <c r="CA371" s="22"/>
      <c r="CB371" s="22"/>
      <c r="CC371" s="45"/>
      <c r="CD371" s="43"/>
      <c r="CE371" s="43"/>
      <c r="CF371" s="45"/>
      <c r="CG371" s="43"/>
      <c r="CH371" s="43"/>
      <c r="CI371" s="43"/>
      <c r="CJ371" s="43"/>
      <c r="CK371" s="43"/>
      <c r="CL371" s="43"/>
      <c r="CM371" s="49">
        <f>IFERROR(VLOOKUP(B371,CC!A:D,4,0)," ")</f>
        <v>234.64</v>
      </c>
      <c r="CN371" s="22" t="s">
        <v>2873</v>
      </c>
      <c r="CO371" s="22"/>
      <c r="CP371" s="22" t="s">
        <v>5400</v>
      </c>
      <c r="CQ371" s="22">
        <v>45.0</v>
      </c>
      <c r="CR371" s="43"/>
      <c r="CS371" s="22">
        <v>1.0</v>
      </c>
      <c r="CT371" s="22" t="s">
        <v>145</v>
      </c>
      <c r="CU371" s="43"/>
      <c r="CV371" s="43"/>
      <c r="CW371" s="43"/>
      <c r="CX371" s="43"/>
      <c r="CY371" s="43" t="b">
        <v>0</v>
      </c>
      <c r="CZ371" s="43" t="b">
        <v>0</v>
      </c>
      <c r="DA371" s="43" t="b">
        <v>0</v>
      </c>
      <c r="DB371" s="43" t="b">
        <v>0</v>
      </c>
      <c r="DC371" s="43"/>
      <c r="DD371" s="43"/>
      <c r="DE371" s="43"/>
      <c r="DF371" s="43"/>
      <c r="DG371" s="43"/>
      <c r="DH371" s="43"/>
      <c r="DI371" s="43"/>
      <c r="DJ371" s="22">
        <f>IFERROR(VLOOKUP($B371,'Лист4'!$D:$AI,27,0)," ")</f>
        <v>1</v>
      </c>
      <c r="DK371" s="22">
        <f>IFERROR(VLOOKUP($B371,'Лист4'!$D:$AI,28,0)," ")</f>
        <v>1</v>
      </c>
      <c r="DL371" s="22">
        <f>IFERROR(VLOOKUP($B371,'Лист4'!$D:$AI,29,0)," ")</f>
        <v>1</v>
      </c>
      <c r="DM371" s="22">
        <f t="shared" si="3"/>
        <v>1</v>
      </c>
      <c r="DN371" s="22">
        <f>IFERROR(VLOOKUP($B371,'Лист4'!$D:$AI,32,0)," ")</f>
        <v>1</v>
      </c>
      <c r="DO371" s="22"/>
      <c r="DP371" s="22"/>
      <c r="DQ371" s="22"/>
      <c r="DR371" s="22"/>
      <c r="DS371" s="22"/>
      <c r="DT371" s="22"/>
      <c r="DU371" s="22"/>
      <c r="DV371" s="22"/>
      <c r="DW371" s="22"/>
      <c r="DX371" s="22"/>
      <c r="DY371" s="22"/>
      <c r="DZ371" s="22"/>
      <c r="EA371" s="22"/>
      <c r="EB371" s="22"/>
      <c r="EC371" s="22"/>
      <c r="ED371" s="22"/>
      <c r="EE371" s="22"/>
      <c r="EF371" s="22"/>
      <c r="EG371" s="22"/>
      <c r="EH371" s="22"/>
      <c r="EI371" s="22"/>
      <c r="EJ371" s="22"/>
      <c r="EK371" s="22"/>
      <c r="EL371" s="22"/>
      <c r="EM371" s="22"/>
      <c r="EN371" s="22"/>
      <c r="EO371" s="22"/>
      <c r="EP371" s="22"/>
      <c r="EQ371" s="22"/>
      <c r="ER371" s="22"/>
      <c r="ES371" s="43"/>
      <c r="ET371" s="43"/>
      <c r="EU371" s="43"/>
      <c r="EV371" s="43"/>
      <c r="EW371" s="43"/>
      <c r="EX371" s="43"/>
      <c r="EY371" s="43"/>
      <c r="EZ371" s="43"/>
      <c r="FA371" s="43"/>
      <c r="FB371" s="43"/>
      <c r="FC371" s="43"/>
      <c r="FD371" s="43"/>
      <c r="FE371" s="43"/>
      <c r="FF371" s="43"/>
      <c r="FG371" s="43"/>
      <c r="FH371" s="43"/>
      <c r="FI371" s="43"/>
    </row>
    <row r="372" ht="18.0" customHeight="1">
      <c r="A372" s="22" t="s">
        <v>116</v>
      </c>
      <c r="B372" s="22" t="s">
        <v>5401</v>
      </c>
      <c r="C372" s="22" t="s">
        <v>283</v>
      </c>
      <c r="D372" s="22" t="s">
        <v>119</v>
      </c>
      <c r="E372" s="43"/>
      <c r="F372" s="22" t="s">
        <v>5402</v>
      </c>
      <c r="G372" s="22" t="s">
        <v>361</v>
      </c>
      <c r="H372" s="22" t="s">
        <v>401</v>
      </c>
      <c r="I372" s="43"/>
      <c r="J372" s="43"/>
      <c r="K372" s="22" t="b">
        <v>1</v>
      </c>
      <c r="L372" s="22" t="b">
        <v>1</v>
      </c>
      <c r="M372" s="22" t="b">
        <v>0</v>
      </c>
      <c r="N372" s="22" t="b">
        <v>0</v>
      </c>
      <c r="O372" s="22" t="b">
        <v>0</v>
      </c>
      <c r="P372" s="22" t="b">
        <v>0</v>
      </c>
      <c r="Q372" s="22" t="b">
        <v>0</v>
      </c>
      <c r="R372" s="43"/>
      <c r="S372" s="43" t="s">
        <v>5403</v>
      </c>
      <c r="T372" s="64" t="s">
        <v>5401</v>
      </c>
      <c r="U372" s="22"/>
      <c r="V372" s="22"/>
      <c r="W372" s="43"/>
      <c r="X372" s="43"/>
      <c r="Y372" s="43"/>
      <c r="Z372" s="43"/>
      <c r="AA372" s="22">
        <v>1.72647498E8</v>
      </c>
      <c r="AB372" s="22"/>
      <c r="AC372" s="22"/>
      <c r="AD372" s="22"/>
      <c r="AE372" s="22"/>
      <c r="AF372" s="43"/>
      <c r="AG372" s="43"/>
      <c r="AH372" s="43" t="s">
        <v>5402</v>
      </c>
      <c r="AI372" s="22" t="s">
        <v>2339</v>
      </c>
      <c r="AJ372" s="43"/>
      <c r="AK372" s="43"/>
      <c r="AL372" s="43"/>
      <c r="AM372" s="43"/>
      <c r="AN372" s="43"/>
      <c r="AO372" s="43"/>
      <c r="AP372" s="46" t="s">
        <v>5404</v>
      </c>
      <c r="AQ372" s="43"/>
      <c r="AR372" s="43"/>
      <c r="AS372" s="43"/>
      <c r="AT372" s="43"/>
      <c r="AU372" s="43"/>
      <c r="AV372" s="43"/>
      <c r="AW372" s="22" t="s">
        <v>361</v>
      </c>
      <c r="AX372" s="22"/>
      <c r="AY372" s="43"/>
      <c r="AZ372" s="43"/>
      <c r="BA372" s="43"/>
      <c r="BB372" s="43"/>
      <c r="BC372" s="43"/>
      <c r="BD372" s="43" t="s">
        <v>401</v>
      </c>
      <c r="BE372" s="43" t="s">
        <v>401</v>
      </c>
      <c r="BF372" s="22" t="s">
        <v>131</v>
      </c>
      <c r="BG372" s="22" t="s">
        <v>132</v>
      </c>
      <c r="BH372" s="22" t="s">
        <v>132</v>
      </c>
      <c r="BI372" s="22" t="s">
        <v>132</v>
      </c>
      <c r="BJ372" s="43"/>
      <c r="BK372" s="43"/>
      <c r="BL372" s="22" t="s">
        <v>5405</v>
      </c>
      <c r="BM372" s="22">
        <v>2.106909808E9</v>
      </c>
      <c r="BN372" s="22"/>
      <c r="BO372" s="22"/>
      <c r="BP372" s="22" t="s">
        <v>245</v>
      </c>
      <c r="BQ372" s="43"/>
      <c r="BR372" s="43"/>
      <c r="BS372" s="22"/>
      <c r="BT372" s="43"/>
      <c r="BU372" s="22"/>
      <c r="BV372" s="43"/>
      <c r="BW372" s="22"/>
      <c r="BX372" s="22"/>
      <c r="BY372" s="43"/>
      <c r="BZ372" s="43"/>
      <c r="CA372" s="22"/>
      <c r="CB372" s="22"/>
      <c r="CC372" s="45"/>
      <c r="CD372" s="43"/>
      <c r="CE372" s="43"/>
      <c r="CF372" s="45"/>
      <c r="CG372" s="43"/>
      <c r="CH372" s="43"/>
      <c r="CI372" s="43"/>
      <c r="CJ372" s="43"/>
      <c r="CK372" s="43"/>
      <c r="CL372" s="43"/>
      <c r="CM372" s="49" t="str">
        <f>IFERROR(VLOOKUP(B372,CC!A:D,4,0)," ")</f>
        <v> </v>
      </c>
      <c r="CN372" s="22"/>
      <c r="CO372" s="22"/>
      <c r="CP372" s="43"/>
      <c r="CQ372" s="22">
        <v>90.0</v>
      </c>
      <c r="CR372" s="43"/>
      <c r="CS372" s="43"/>
      <c r="CT372" s="22" t="s">
        <v>145</v>
      </c>
      <c r="CU372" s="43"/>
      <c r="CV372" s="43"/>
      <c r="CW372" s="43"/>
      <c r="CX372" s="43"/>
      <c r="CY372" s="43" t="b">
        <v>0</v>
      </c>
      <c r="CZ372" s="43" t="b">
        <v>0</v>
      </c>
      <c r="DA372" s="43" t="b">
        <v>0</v>
      </c>
      <c r="DB372" s="43" t="b">
        <v>0</v>
      </c>
      <c r="DC372" s="43"/>
      <c r="DD372" s="43"/>
      <c r="DE372" s="43"/>
      <c r="DF372" s="43"/>
      <c r="DG372" s="43"/>
      <c r="DH372" s="43"/>
      <c r="DI372" s="43"/>
      <c r="DJ372" s="22" t="str">
        <f>IFERROR(VLOOKUP($B372,'Лист4'!$D:$AI,27,0)," ")</f>
        <v/>
      </c>
      <c r="DK372" s="22" t="str">
        <f>IFERROR(VLOOKUP($B372,'Лист4'!$D:$AI,28,0)," ")</f>
        <v/>
      </c>
      <c r="DL372" s="22" t="str">
        <f>IFERROR(VLOOKUP($B372,'Лист4'!$D:$AI,29,0)," ")</f>
        <v/>
      </c>
      <c r="DM372" s="22">
        <f t="shared" si="3"/>
        <v>0</v>
      </c>
      <c r="DN372" s="22" t="str">
        <f>IFERROR(VLOOKUP($B372,'Лист4'!$D:$AI,32,0)," ")</f>
        <v/>
      </c>
      <c r="DO372" s="22"/>
      <c r="DP372" s="22"/>
      <c r="DQ372" s="22"/>
      <c r="DR372" s="22"/>
      <c r="DS372" s="22"/>
      <c r="DT372" s="22"/>
      <c r="DU372" s="22"/>
      <c r="DV372" s="22"/>
      <c r="DW372" s="22"/>
      <c r="DX372" s="22"/>
      <c r="DY372" s="22"/>
      <c r="DZ372" s="22"/>
      <c r="EA372" s="22"/>
      <c r="EB372" s="22"/>
      <c r="EC372" s="22"/>
      <c r="ED372" s="22"/>
      <c r="EE372" s="22"/>
      <c r="EF372" s="22"/>
      <c r="EG372" s="22"/>
      <c r="EH372" s="22"/>
      <c r="EI372" s="22"/>
      <c r="EJ372" s="22"/>
      <c r="EK372" s="22"/>
      <c r="EL372" s="22"/>
      <c r="EM372" s="22"/>
      <c r="EN372" s="22"/>
      <c r="EO372" s="22"/>
      <c r="EP372" s="22"/>
      <c r="EQ372" s="22"/>
      <c r="ER372" s="22"/>
      <c r="ES372" s="43"/>
      <c r="ET372" s="43"/>
      <c r="EU372" s="43"/>
      <c r="EV372" s="43"/>
      <c r="EW372" s="43"/>
      <c r="EX372" s="43"/>
      <c r="EY372" s="43"/>
      <c r="EZ372" s="43"/>
      <c r="FA372" s="43"/>
      <c r="FB372" s="43"/>
      <c r="FC372" s="43"/>
      <c r="FD372" s="43"/>
      <c r="FE372" s="43"/>
      <c r="FF372" s="43"/>
      <c r="FG372" s="43"/>
      <c r="FH372" s="43"/>
      <c r="FI372" s="43"/>
    </row>
    <row r="373" ht="18.0" customHeight="1">
      <c r="A373" s="22" t="s">
        <v>116</v>
      </c>
      <c r="B373" s="22" t="s">
        <v>5406</v>
      </c>
      <c r="C373" s="22" t="s">
        <v>283</v>
      </c>
      <c r="D373" s="22" t="s">
        <v>119</v>
      </c>
      <c r="E373" s="43"/>
      <c r="F373" s="22" t="s">
        <v>5407</v>
      </c>
      <c r="G373" s="22" t="s">
        <v>361</v>
      </c>
      <c r="H373" s="22" t="s">
        <v>401</v>
      </c>
      <c r="I373" s="43"/>
      <c r="J373" s="43"/>
      <c r="K373" s="22" t="b">
        <v>1</v>
      </c>
      <c r="L373" s="22" t="b">
        <v>1</v>
      </c>
      <c r="M373" s="22" t="b">
        <v>0</v>
      </c>
      <c r="N373" s="22" t="b">
        <v>0</v>
      </c>
      <c r="O373" s="22" t="b">
        <v>0</v>
      </c>
      <c r="P373" s="22" t="b">
        <v>0</v>
      </c>
      <c r="Q373" s="22" t="b">
        <v>0</v>
      </c>
      <c r="R373" s="43"/>
      <c r="S373" s="43" t="s">
        <v>5408</v>
      </c>
      <c r="T373" s="64" t="s">
        <v>5406</v>
      </c>
      <c r="U373" s="22"/>
      <c r="V373" s="22"/>
      <c r="W373" s="43"/>
      <c r="X373" s="43"/>
      <c r="Y373" s="43"/>
      <c r="Z373" s="43"/>
      <c r="AA373" s="22">
        <v>1.72647794E8</v>
      </c>
      <c r="AB373" s="22"/>
      <c r="AC373" s="22"/>
      <c r="AD373" s="22"/>
      <c r="AE373" s="22"/>
      <c r="AF373" s="43"/>
      <c r="AG373" s="43"/>
      <c r="AH373" s="43" t="s">
        <v>5407</v>
      </c>
      <c r="AI373" s="22" t="s">
        <v>5409</v>
      </c>
      <c r="AJ373" s="43"/>
      <c r="AK373" s="43"/>
      <c r="AL373" s="43"/>
      <c r="AM373" s="43"/>
      <c r="AN373" s="43"/>
      <c r="AO373" s="43"/>
      <c r="AP373" s="46" t="s">
        <v>5410</v>
      </c>
      <c r="AQ373" s="43"/>
      <c r="AR373" s="43"/>
      <c r="AS373" s="43"/>
      <c r="AT373" s="43"/>
      <c r="AU373" s="43"/>
      <c r="AV373" s="43"/>
      <c r="AW373" s="22" t="s">
        <v>361</v>
      </c>
      <c r="AX373" s="22"/>
      <c r="AY373" s="43"/>
      <c r="AZ373" s="43"/>
      <c r="BA373" s="43"/>
      <c r="BB373" s="43"/>
      <c r="BC373" s="43"/>
      <c r="BD373" s="43" t="s">
        <v>401</v>
      </c>
      <c r="BE373" s="43" t="s">
        <v>401</v>
      </c>
      <c r="BF373" s="22" t="s">
        <v>131</v>
      </c>
      <c r="BG373" s="22" t="s">
        <v>132</v>
      </c>
      <c r="BH373" s="22" t="s">
        <v>132</v>
      </c>
      <c r="BI373" s="22" t="s">
        <v>132</v>
      </c>
      <c r="BJ373" s="43"/>
      <c r="BK373" s="43"/>
      <c r="BL373" s="22" t="s">
        <v>5411</v>
      </c>
      <c r="BM373" s="22">
        <v>2.106909808E9</v>
      </c>
      <c r="BN373" s="22"/>
      <c r="BO373" s="22"/>
      <c r="BP373" s="22" t="s">
        <v>245</v>
      </c>
      <c r="BQ373" s="43"/>
      <c r="BR373" s="43"/>
      <c r="BS373" s="22"/>
      <c r="BT373" s="43"/>
      <c r="BU373" s="22"/>
      <c r="BV373" s="43"/>
      <c r="BW373" s="22"/>
      <c r="BX373" s="22"/>
      <c r="BY373" s="43"/>
      <c r="BZ373" s="43"/>
      <c r="CA373" s="22"/>
      <c r="CB373" s="22"/>
      <c r="CC373" s="45"/>
      <c r="CD373" s="43"/>
      <c r="CE373" s="43"/>
      <c r="CF373" s="45"/>
      <c r="CG373" s="43"/>
      <c r="CH373" s="43"/>
      <c r="CI373" s="43"/>
      <c r="CJ373" s="43"/>
      <c r="CK373" s="43"/>
      <c r="CL373" s="43"/>
      <c r="CM373" s="49" t="str">
        <f>IFERROR(VLOOKUP(B373,CC!A:D,4,0)," ")</f>
        <v> </v>
      </c>
      <c r="CN373" s="22"/>
      <c r="CO373" s="22"/>
      <c r="CP373" s="43"/>
      <c r="CQ373" s="22">
        <v>90.0</v>
      </c>
      <c r="CR373" s="43"/>
      <c r="CS373" s="43"/>
      <c r="CT373" s="22" t="s">
        <v>145</v>
      </c>
      <c r="CU373" s="43"/>
      <c r="CV373" s="43"/>
      <c r="CW373" s="43"/>
      <c r="CX373" s="43"/>
      <c r="CY373" s="43" t="b">
        <v>0</v>
      </c>
      <c r="CZ373" s="43" t="b">
        <v>0</v>
      </c>
      <c r="DA373" s="43" t="b">
        <v>0</v>
      </c>
      <c r="DB373" s="43" t="b">
        <v>0</v>
      </c>
      <c r="DC373" s="43"/>
      <c r="DD373" s="43"/>
      <c r="DE373" s="43"/>
      <c r="DF373" s="43"/>
      <c r="DG373" s="43"/>
      <c r="DH373" s="43"/>
      <c r="DI373" s="43"/>
      <c r="DJ373" s="22" t="str">
        <f>IFERROR(VLOOKUP($B373,'Лист4'!$D:$AI,27,0)," ")</f>
        <v/>
      </c>
      <c r="DK373" s="22" t="str">
        <f>IFERROR(VLOOKUP($B373,'Лист4'!$D:$AI,28,0)," ")</f>
        <v/>
      </c>
      <c r="DL373" s="22" t="str">
        <f>IFERROR(VLOOKUP($B373,'Лист4'!$D:$AI,29,0)," ")</f>
        <v/>
      </c>
      <c r="DM373" s="22">
        <f t="shared" si="3"/>
        <v>0</v>
      </c>
      <c r="DN373" s="22" t="str">
        <f>IFERROR(VLOOKUP($B373,'Лист4'!$D:$AI,32,0)," ")</f>
        <v/>
      </c>
      <c r="DO373" s="22"/>
      <c r="DP373" s="22"/>
      <c r="DQ373" s="22"/>
      <c r="DR373" s="22"/>
      <c r="DS373" s="22"/>
      <c r="DT373" s="22"/>
      <c r="DU373" s="22"/>
      <c r="DV373" s="22"/>
      <c r="DW373" s="22"/>
      <c r="DX373" s="22"/>
      <c r="DY373" s="22"/>
      <c r="DZ373" s="22"/>
      <c r="EA373" s="22"/>
      <c r="EB373" s="22"/>
      <c r="EC373" s="22"/>
      <c r="ED373" s="22"/>
      <c r="EE373" s="22"/>
      <c r="EF373" s="22"/>
      <c r="EG373" s="22"/>
      <c r="EH373" s="22"/>
      <c r="EI373" s="22"/>
      <c r="EJ373" s="22"/>
      <c r="EK373" s="22"/>
      <c r="EL373" s="22"/>
      <c r="EM373" s="22"/>
      <c r="EN373" s="22"/>
      <c r="EO373" s="22"/>
      <c r="EP373" s="22"/>
      <c r="EQ373" s="22"/>
      <c r="ER373" s="22"/>
      <c r="ES373" s="43"/>
      <c r="ET373" s="43"/>
      <c r="EU373" s="43"/>
      <c r="EV373" s="43"/>
      <c r="EW373" s="43"/>
      <c r="EX373" s="43"/>
      <c r="EY373" s="43"/>
      <c r="EZ373" s="43"/>
      <c r="FA373" s="43"/>
      <c r="FB373" s="43"/>
      <c r="FC373" s="43"/>
      <c r="FD373" s="43"/>
      <c r="FE373" s="43"/>
      <c r="FF373" s="43"/>
      <c r="FG373" s="43"/>
      <c r="FH373" s="43"/>
      <c r="FI373" s="43"/>
    </row>
    <row r="374" ht="18.0" customHeight="1">
      <c r="A374" s="22" t="s">
        <v>116</v>
      </c>
      <c r="B374" s="22" t="s">
        <v>5412</v>
      </c>
      <c r="C374" s="22" t="s">
        <v>283</v>
      </c>
      <c r="D374" s="22" t="s">
        <v>119</v>
      </c>
      <c r="E374" s="43"/>
      <c r="F374" s="22" t="s">
        <v>5413</v>
      </c>
      <c r="G374" s="22" t="s">
        <v>361</v>
      </c>
      <c r="H374" s="22" t="s">
        <v>401</v>
      </c>
      <c r="I374" s="43"/>
      <c r="J374" s="43"/>
      <c r="K374" s="22" t="b">
        <v>1</v>
      </c>
      <c r="L374" s="22" t="b">
        <v>1</v>
      </c>
      <c r="M374" s="22" t="b">
        <v>0</v>
      </c>
      <c r="N374" s="22" t="b">
        <v>0</v>
      </c>
      <c r="O374" s="22" t="b">
        <v>0</v>
      </c>
      <c r="P374" s="22" t="b">
        <v>0</v>
      </c>
      <c r="Q374" s="22" t="b">
        <v>0</v>
      </c>
      <c r="R374" s="43"/>
      <c r="S374" s="43" t="s">
        <v>5414</v>
      </c>
      <c r="T374" s="64" t="s">
        <v>5412</v>
      </c>
      <c r="U374" s="22"/>
      <c r="V374" s="22"/>
      <c r="W374" s="43"/>
      <c r="X374" s="43"/>
      <c r="Y374" s="43"/>
      <c r="Z374" s="43"/>
      <c r="AA374" s="22">
        <v>1.7264828E8</v>
      </c>
      <c r="AB374" s="22"/>
      <c r="AC374" s="22"/>
      <c r="AD374" s="22"/>
      <c r="AE374" s="22"/>
      <c r="AF374" s="43"/>
      <c r="AG374" s="43"/>
      <c r="AH374" s="43" t="s">
        <v>5413</v>
      </c>
      <c r="AI374" s="22" t="s">
        <v>5415</v>
      </c>
      <c r="AJ374" s="43"/>
      <c r="AK374" s="43"/>
      <c r="AL374" s="43"/>
      <c r="AM374" s="43"/>
      <c r="AN374" s="43"/>
      <c r="AO374" s="43"/>
      <c r="AP374" s="46" t="s">
        <v>5416</v>
      </c>
      <c r="AQ374" s="43"/>
      <c r="AR374" s="43"/>
      <c r="AS374" s="43"/>
      <c r="AT374" s="43"/>
      <c r="AU374" s="43"/>
      <c r="AV374" s="43"/>
      <c r="AW374" s="22" t="s">
        <v>361</v>
      </c>
      <c r="AX374" s="22"/>
      <c r="AY374" s="43"/>
      <c r="AZ374" s="43"/>
      <c r="BA374" s="43"/>
      <c r="BB374" s="43"/>
      <c r="BC374" s="43"/>
      <c r="BD374" s="43" t="s">
        <v>401</v>
      </c>
      <c r="BE374" s="43" t="s">
        <v>401</v>
      </c>
      <c r="BF374" s="22" t="s">
        <v>131</v>
      </c>
      <c r="BG374" s="22" t="s">
        <v>132</v>
      </c>
      <c r="BH374" s="22" t="s">
        <v>132</v>
      </c>
      <c r="BI374" s="22" t="s">
        <v>132</v>
      </c>
      <c r="BJ374" s="43"/>
      <c r="BK374" s="43"/>
      <c r="BL374" s="22" t="s">
        <v>5417</v>
      </c>
      <c r="BM374" s="22">
        <v>2.106909808E9</v>
      </c>
      <c r="BN374" s="22"/>
      <c r="BO374" s="22"/>
      <c r="BP374" s="22" t="s">
        <v>245</v>
      </c>
      <c r="BQ374" s="43"/>
      <c r="BR374" s="43"/>
      <c r="BS374" s="22" t="s">
        <v>5418</v>
      </c>
      <c r="BT374" s="43"/>
      <c r="BU374" s="22" t="s">
        <v>5419</v>
      </c>
      <c r="BV374" s="43" t="s">
        <v>2228</v>
      </c>
      <c r="BW374" s="22" t="s">
        <v>1042</v>
      </c>
      <c r="BX374" s="22"/>
      <c r="BY374" s="43"/>
      <c r="BZ374" s="43"/>
      <c r="CA374" s="22"/>
      <c r="CB374" s="22"/>
      <c r="CC374" s="45"/>
      <c r="CD374" s="43"/>
      <c r="CE374" s="43"/>
      <c r="CF374" s="45" t="s">
        <v>883</v>
      </c>
      <c r="CG374" s="43"/>
      <c r="CH374" s="43"/>
      <c r="CI374" s="43"/>
      <c r="CJ374" s="43"/>
      <c r="CK374" s="43"/>
      <c r="CL374" s="43"/>
      <c r="CM374" s="49" t="str">
        <f>IFERROR(VLOOKUP(B374,CC!A:D,4,0)," ")</f>
        <v> </v>
      </c>
      <c r="CN374" s="22"/>
      <c r="CO374" s="22"/>
      <c r="CP374" s="43"/>
      <c r="CQ374" s="22">
        <v>90.0</v>
      </c>
      <c r="CR374" s="43"/>
      <c r="CS374" s="43"/>
      <c r="CT374" s="22" t="s">
        <v>145</v>
      </c>
      <c r="CU374" s="43"/>
      <c r="CV374" s="43"/>
      <c r="CW374" s="43"/>
      <c r="CX374" s="43"/>
      <c r="CY374" s="43" t="b">
        <v>0</v>
      </c>
      <c r="CZ374" s="43" t="b">
        <v>0</v>
      </c>
      <c r="DA374" s="43" t="b">
        <v>0</v>
      </c>
      <c r="DB374" s="43" t="b">
        <v>0</v>
      </c>
      <c r="DC374" s="43"/>
      <c r="DD374" s="43"/>
      <c r="DE374" s="43"/>
      <c r="DF374" s="43"/>
      <c r="DG374" s="43"/>
      <c r="DH374" s="43"/>
      <c r="DI374" s="43"/>
      <c r="DJ374" s="22" t="str">
        <f>IFERROR(VLOOKUP($B374,'Лист4'!$D:$AI,27,0)," ")</f>
        <v/>
      </c>
      <c r="DK374" s="22" t="str">
        <f>IFERROR(VLOOKUP($B374,'Лист4'!$D:$AI,28,0)," ")</f>
        <v/>
      </c>
      <c r="DL374" s="22" t="str">
        <f>IFERROR(VLOOKUP($B374,'Лист4'!$D:$AI,29,0)," ")</f>
        <v/>
      </c>
      <c r="DM374" s="22">
        <f t="shared" si="3"/>
        <v>0</v>
      </c>
      <c r="DN374" s="22" t="str">
        <f>IFERROR(VLOOKUP($B374,'Лист4'!$D:$AI,32,0)," ")</f>
        <v/>
      </c>
      <c r="DO374" s="22"/>
      <c r="DP374" s="22"/>
      <c r="DQ374" s="22"/>
      <c r="DR374" s="22"/>
      <c r="DS374" s="22"/>
      <c r="DT374" s="22"/>
      <c r="DU374" s="22"/>
      <c r="DV374" s="22"/>
      <c r="DW374" s="22"/>
      <c r="DX374" s="22"/>
      <c r="DY374" s="22"/>
      <c r="DZ374" s="22"/>
      <c r="EA374" s="22"/>
      <c r="EB374" s="22"/>
      <c r="EC374" s="22"/>
      <c r="ED374" s="22"/>
      <c r="EE374" s="22"/>
      <c r="EF374" s="22"/>
      <c r="EG374" s="22"/>
      <c r="EH374" s="22"/>
      <c r="EI374" s="22"/>
      <c r="EJ374" s="22"/>
      <c r="EK374" s="22"/>
      <c r="EL374" s="22"/>
      <c r="EM374" s="22"/>
      <c r="EN374" s="22"/>
      <c r="EO374" s="22"/>
      <c r="EP374" s="22"/>
      <c r="EQ374" s="22"/>
      <c r="ER374" s="22"/>
      <c r="ES374" s="43"/>
      <c r="ET374" s="43"/>
      <c r="EU374" s="43"/>
      <c r="EV374" s="43"/>
      <c r="EW374" s="43"/>
      <c r="EX374" s="43"/>
      <c r="EY374" s="43"/>
      <c r="EZ374" s="43"/>
      <c r="FA374" s="43"/>
      <c r="FB374" s="43"/>
      <c r="FC374" s="43"/>
      <c r="FD374" s="43"/>
      <c r="FE374" s="43"/>
      <c r="FF374" s="43"/>
      <c r="FG374" s="43"/>
      <c r="FH374" s="43"/>
      <c r="FI374" s="43"/>
    </row>
    <row r="375" ht="18.0" customHeight="1">
      <c r="A375" s="22" t="s">
        <v>116</v>
      </c>
      <c r="B375" s="22" t="s">
        <v>5420</v>
      </c>
      <c r="C375" s="22" t="s">
        <v>283</v>
      </c>
      <c r="D375" s="22" t="s">
        <v>119</v>
      </c>
      <c r="E375" s="43"/>
      <c r="F375" s="22" t="s">
        <v>5421</v>
      </c>
      <c r="G375" s="22" t="s">
        <v>361</v>
      </c>
      <c r="H375" s="22" t="s">
        <v>401</v>
      </c>
      <c r="I375" s="43"/>
      <c r="J375" s="43"/>
      <c r="K375" s="22" t="b">
        <v>1</v>
      </c>
      <c r="L375" s="22" t="b">
        <v>1</v>
      </c>
      <c r="M375" s="22" t="b">
        <v>0</v>
      </c>
      <c r="N375" s="22" t="b">
        <v>0</v>
      </c>
      <c r="O375" s="22" t="b">
        <v>0</v>
      </c>
      <c r="P375" s="22" t="b">
        <v>0</v>
      </c>
      <c r="Q375" s="22" t="b">
        <v>0</v>
      </c>
      <c r="R375" s="43"/>
      <c r="S375" s="43" t="s">
        <v>5422</v>
      </c>
      <c r="T375" s="64" t="s">
        <v>5420</v>
      </c>
      <c r="U375" s="22"/>
      <c r="V375" s="22"/>
      <c r="W375" s="43"/>
      <c r="X375" s="43"/>
      <c r="Y375" s="43"/>
      <c r="Z375" s="43"/>
      <c r="AA375" s="22">
        <v>1.7264847E8</v>
      </c>
      <c r="AB375" s="22"/>
      <c r="AC375" s="22"/>
      <c r="AD375" s="22"/>
      <c r="AE375" s="22"/>
      <c r="AF375" s="43"/>
      <c r="AG375" s="43"/>
      <c r="AH375" s="43" t="s">
        <v>5421</v>
      </c>
      <c r="AI375" s="22" t="s">
        <v>5423</v>
      </c>
      <c r="AJ375" s="43"/>
      <c r="AK375" s="43"/>
      <c r="AL375" s="43"/>
      <c r="AM375" s="43"/>
      <c r="AN375" s="43"/>
      <c r="AO375" s="43"/>
      <c r="AP375" s="46" t="s">
        <v>5424</v>
      </c>
      <c r="AQ375" s="43"/>
      <c r="AR375" s="43"/>
      <c r="AS375" s="43"/>
      <c r="AT375" s="43"/>
      <c r="AU375" s="43"/>
      <c r="AV375" s="43"/>
      <c r="AW375" s="22" t="s">
        <v>361</v>
      </c>
      <c r="AX375" s="22"/>
      <c r="AY375" s="43"/>
      <c r="AZ375" s="43"/>
      <c r="BA375" s="43"/>
      <c r="BB375" s="43"/>
      <c r="BC375" s="43"/>
      <c r="BD375" s="43" t="s">
        <v>401</v>
      </c>
      <c r="BE375" s="43" t="s">
        <v>401</v>
      </c>
      <c r="BF375" s="22" t="s">
        <v>131</v>
      </c>
      <c r="BG375" s="22" t="s">
        <v>132</v>
      </c>
      <c r="BH375" s="22" t="s">
        <v>132</v>
      </c>
      <c r="BI375" s="22" t="s">
        <v>132</v>
      </c>
      <c r="BJ375" s="43"/>
      <c r="BK375" s="43"/>
      <c r="BL375" s="22" t="s">
        <v>5425</v>
      </c>
      <c r="BM375" s="22">
        <v>2.106909808E9</v>
      </c>
      <c r="BN375" s="22"/>
      <c r="BO375" s="22"/>
      <c r="BP375" s="22" t="s">
        <v>245</v>
      </c>
      <c r="BQ375" s="43"/>
      <c r="BR375" s="43"/>
      <c r="BS375" s="22" t="s">
        <v>5418</v>
      </c>
      <c r="BT375" s="43"/>
      <c r="BU375" s="22" t="s">
        <v>5419</v>
      </c>
      <c r="BV375" s="43" t="s">
        <v>2228</v>
      </c>
      <c r="BW375" s="22" t="s">
        <v>1042</v>
      </c>
      <c r="BX375" s="22"/>
      <c r="BY375" s="43"/>
      <c r="BZ375" s="43"/>
      <c r="CA375" s="22"/>
      <c r="CB375" s="22"/>
      <c r="CC375" s="45"/>
      <c r="CD375" s="43"/>
      <c r="CE375" s="43"/>
      <c r="CF375" s="45"/>
      <c r="CG375" s="43"/>
      <c r="CH375" s="43"/>
      <c r="CI375" s="43"/>
      <c r="CJ375" s="43"/>
      <c r="CK375" s="43"/>
      <c r="CL375" s="43"/>
      <c r="CM375" s="49" t="str">
        <f>IFERROR(VLOOKUP(B375,CC!A:D,4,0)," ")</f>
        <v> </v>
      </c>
      <c r="CN375" s="22"/>
      <c r="CO375" s="22"/>
      <c r="CP375" s="43"/>
      <c r="CQ375" s="22">
        <v>90.0</v>
      </c>
      <c r="CR375" s="43"/>
      <c r="CS375" s="43"/>
      <c r="CT375" s="22" t="s">
        <v>145</v>
      </c>
      <c r="CU375" s="43"/>
      <c r="CV375" s="43"/>
      <c r="CW375" s="43"/>
      <c r="CX375" s="43"/>
      <c r="CY375" s="43" t="b">
        <v>0</v>
      </c>
      <c r="CZ375" s="43" t="b">
        <v>0</v>
      </c>
      <c r="DA375" s="43" t="b">
        <v>0</v>
      </c>
      <c r="DB375" s="43" t="b">
        <v>0</v>
      </c>
      <c r="DC375" s="43"/>
      <c r="DD375" s="43"/>
      <c r="DE375" s="43"/>
      <c r="DF375" s="43"/>
      <c r="DG375" s="43"/>
      <c r="DH375" s="43"/>
      <c r="DI375" s="43"/>
      <c r="DJ375" s="22" t="str">
        <f>IFERROR(VLOOKUP($B375,'Лист4'!$D:$AI,27,0)," ")</f>
        <v/>
      </c>
      <c r="DK375" s="22" t="str">
        <f>IFERROR(VLOOKUP($B375,'Лист4'!$D:$AI,28,0)," ")</f>
        <v/>
      </c>
      <c r="DL375" s="22" t="str">
        <f>IFERROR(VLOOKUP($B375,'Лист4'!$D:$AI,29,0)," ")</f>
        <v/>
      </c>
      <c r="DM375" s="22">
        <f t="shared" si="3"/>
        <v>0</v>
      </c>
      <c r="DN375" s="22" t="str">
        <f>IFERROR(VLOOKUP($B375,'Лист4'!$D:$AI,32,0)," ")</f>
        <v/>
      </c>
      <c r="DO375" s="22"/>
      <c r="DP375" s="22"/>
      <c r="DQ375" s="22"/>
      <c r="DR375" s="22"/>
      <c r="DS375" s="22"/>
      <c r="DT375" s="22"/>
      <c r="DU375" s="22"/>
      <c r="DV375" s="22"/>
      <c r="DW375" s="22"/>
      <c r="DX375" s="22"/>
      <c r="DY375" s="22"/>
      <c r="DZ375" s="22"/>
      <c r="EA375" s="22"/>
      <c r="EB375" s="22"/>
      <c r="EC375" s="22"/>
      <c r="ED375" s="22"/>
      <c r="EE375" s="22"/>
      <c r="EF375" s="22"/>
      <c r="EG375" s="22"/>
      <c r="EH375" s="22"/>
      <c r="EI375" s="22"/>
      <c r="EJ375" s="22"/>
      <c r="EK375" s="22"/>
      <c r="EL375" s="22"/>
      <c r="EM375" s="22"/>
      <c r="EN375" s="22"/>
      <c r="EO375" s="22"/>
      <c r="EP375" s="22"/>
      <c r="EQ375" s="22"/>
      <c r="ER375" s="22"/>
      <c r="ES375" s="43"/>
      <c r="ET375" s="43"/>
      <c r="EU375" s="43"/>
      <c r="EV375" s="43"/>
      <c r="EW375" s="43"/>
      <c r="EX375" s="43"/>
      <c r="EY375" s="43"/>
      <c r="EZ375" s="43"/>
      <c r="FA375" s="43"/>
      <c r="FB375" s="43"/>
      <c r="FC375" s="43"/>
      <c r="FD375" s="43"/>
      <c r="FE375" s="43"/>
      <c r="FF375" s="43"/>
      <c r="FG375" s="43"/>
      <c r="FH375" s="43"/>
      <c r="FI375" s="43"/>
    </row>
    <row r="376" ht="18.0" customHeight="1">
      <c r="A376" s="22" t="s">
        <v>116</v>
      </c>
      <c r="B376" s="22" t="s">
        <v>5426</v>
      </c>
      <c r="C376" s="22" t="s">
        <v>283</v>
      </c>
      <c r="D376" s="22" t="s">
        <v>119</v>
      </c>
      <c r="E376" s="43"/>
      <c r="F376" s="22" t="s">
        <v>5427</v>
      </c>
      <c r="G376" s="22" t="s">
        <v>361</v>
      </c>
      <c r="H376" s="22" t="s">
        <v>401</v>
      </c>
      <c r="I376" s="43"/>
      <c r="J376" s="43"/>
      <c r="K376" s="22" t="b">
        <v>1</v>
      </c>
      <c r="L376" s="22" t="b">
        <v>1</v>
      </c>
      <c r="M376" s="22" t="b">
        <v>0</v>
      </c>
      <c r="N376" s="22" t="b">
        <v>0</v>
      </c>
      <c r="O376" s="22" t="b">
        <v>0</v>
      </c>
      <c r="P376" s="22" t="b">
        <v>0</v>
      </c>
      <c r="Q376" s="22" t="b">
        <v>0</v>
      </c>
      <c r="R376" s="43"/>
      <c r="S376" s="43" t="s">
        <v>5428</v>
      </c>
      <c r="T376" s="64" t="s">
        <v>5426</v>
      </c>
      <c r="U376" s="22"/>
      <c r="V376" s="22"/>
      <c r="W376" s="43"/>
      <c r="X376" s="43"/>
      <c r="Y376" s="43"/>
      <c r="Z376" s="43"/>
      <c r="AA376" s="22">
        <v>1.74090982E8</v>
      </c>
      <c r="AB376" s="22"/>
      <c r="AC376" s="22"/>
      <c r="AD376" s="22"/>
      <c r="AE376" s="22"/>
      <c r="AF376" s="43"/>
      <c r="AG376" s="43"/>
      <c r="AH376" s="43" t="s">
        <v>5427</v>
      </c>
      <c r="AI376" s="22" t="s">
        <v>5429</v>
      </c>
      <c r="AJ376" s="43"/>
      <c r="AK376" s="43"/>
      <c r="AL376" s="43"/>
      <c r="AM376" s="43"/>
      <c r="AN376" s="43"/>
      <c r="AO376" s="43"/>
      <c r="AP376" s="46" t="s">
        <v>5430</v>
      </c>
      <c r="AQ376" s="43"/>
      <c r="AR376" s="43"/>
      <c r="AS376" s="43"/>
      <c r="AT376" s="43"/>
      <c r="AU376" s="43"/>
      <c r="AV376" s="43"/>
      <c r="AW376" s="22" t="s">
        <v>669</v>
      </c>
      <c r="AX376" s="22"/>
      <c r="AY376" s="43"/>
      <c r="AZ376" s="43"/>
      <c r="BA376" s="43"/>
      <c r="BB376" s="43"/>
      <c r="BC376" s="43"/>
      <c r="BD376" s="43" t="s">
        <v>401</v>
      </c>
      <c r="BE376" s="43" t="s">
        <v>401</v>
      </c>
      <c r="BF376" s="22" t="s">
        <v>131</v>
      </c>
      <c r="BG376" s="22" t="s">
        <v>132</v>
      </c>
      <c r="BH376" s="22" t="s">
        <v>132</v>
      </c>
      <c r="BI376" s="22" t="s">
        <v>132</v>
      </c>
      <c r="BJ376" s="43"/>
      <c r="BK376" s="43"/>
      <c r="BL376" s="22" t="s">
        <v>5431</v>
      </c>
      <c r="BM376" s="22"/>
      <c r="BN376" s="22"/>
      <c r="BO376" s="22"/>
      <c r="BP376" s="22" t="s">
        <v>245</v>
      </c>
      <c r="BQ376" s="43"/>
      <c r="BR376" s="43"/>
      <c r="BS376" s="22" t="s">
        <v>5432</v>
      </c>
      <c r="BT376" s="43"/>
      <c r="BU376" s="22" t="s">
        <v>5433</v>
      </c>
      <c r="BV376" s="43" t="s">
        <v>5434</v>
      </c>
      <c r="BW376" s="22" t="s">
        <v>5435</v>
      </c>
      <c r="BX376" s="22"/>
      <c r="BY376" s="43"/>
      <c r="BZ376" s="43"/>
      <c r="CA376" s="22" t="s">
        <v>355</v>
      </c>
      <c r="CB376" s="22" t="s">
        <v>307</v>
      </c>
      <c r="CC376" s="45"/>
      <c r="CD376" s="43"/>
      <c r="CE376" s="43"/>
      <c r="CF376" s="45"/>
      <c r="CG376" s="43"/>
      <c r="CH376" s="43"/>
      <c r="CI376" s="43"/>
      <c r="CJ376" s="43"/>
      <c r="CK376" s="43"/>
      <c r="CL376" s="43"/>
      <c r="CM376" s="49">
        <f>IFERROR(VLOOKUP(B376,CC!A:D,4,0)," ")</f>
        <v>226</v>
      </c>
      <c r="CN376" s="22" t="s">
        <v>5436</v>
      </c>
      <c r="CO376" s="22"/>
      <c r="CP376" s="43"/>
      <c r="CQ376" s="22">
        <v>60.0</v>
      </c>
      <c r="CR376" s="43"/>
      <c r="CS376" s="22">
        <v>5.0</v>
      </c>
      <c r="CT376" s="22" t="s">
        <v>145</v>
      </c>
      <c r="CU376" s="43"/>
      <c r="CV376" s="43"/>
      <c r="CW376" s="43"/>
      <c r="CX376" s="43"/>
      <c r="CY376" s="43" t="b">
        <v>0</v>
      </c>
      <c r="CZ376" s="43" t="b">
        <v>0</v>
      </c>
      <c r="DA376" s="43" t="b">
        <v>0</v>
      </c>
      <c r="DB376" s="43" t="b">
        <v>0</v>
      </c>
      <c r="DC376" s="43"/>
      <c r="DD376" s="43"/>
      <c r="DE376" s="43"/>
      <c r="DF376" s="43"/>
      <c r="DG376" s="43"/>
      <c r="DH376" s="43"/>
      <c r="DI376" s="43"/>
      <c r="DJ376" s="22">
        <f>IFERROR(VLOOKUP($B376,'Лист4'!$D:$AI,27,0)," ")</f>
        <v>7</v>
      </c>
      <c r="DK376" s="22">
        <f>IFERROR(VLOOKUP($B376,'Лист4'!$D:$AI,28,0)," ")</f>
        <v>12</v>
      </c>
      <c r="DL376" s="22">
        <f>IFERROR(VLOOKUP($B376,'Лист4'!$D:$AI,29,0)," ")</f>
        <v>7</v>
      </c>
      <c r="DM376" s="22">
        <f t="shared" si="3"/>
        <v>588</v>
      </c>
      <c r="DN376" s="22">
        <f>IFERROR(VLOOKUP($B376,'Лист4'!$D:$AI,32,0)," ")</f>
        <v>0.1</v>
      </c>
      <c r="DO376" s="22"/>
      <c r="DP376" s="22"/>
      <c r="DQ376" s="22"/>
      <c r="DR376" s="22"/>
      <c r="DS376" s="22"/>
      <c r="DT376" s="22"/>
      <c r="DU376" s="22"/>
      <c r="DV376" s="22"/>
      <c r="DW376" s="22"/>
      <c r="DX376" s="22"/>
      <c r="DY376" s="22"/>
      <c r="DZ376" s="22"/>
      <c r="EA376" s="22"/>
      <c r="EB376" s="22"/>
      <c r="EC376" s="22"/>
      <c r="ED376" s="22"/>
      <c r="EE376" s="22"/>
      <c r="EF376" s="22"/>
      <c r="EG376" s="22"/>
      <c r="EH376" s="22"/>
      <c r="EI376" s="22"/>
      <c r="EJ376" s="22"/>
      <c r="EK376" s="22"/>
      <c r="EL376" s="22"/>
      <c r="EM376" s="22"/>
      <c r="EN376" s="22"/>
      <c r="EO376" s="22"/>
      <c r="EP376" s="22"/>
      <c r="EQ376" s="22"/>
      <c r="ER376" s="22"/>
      <c r="ES376" s="43"/>
      <c r="ET376" s="43"/>
      <c r="EU376" s="43"/>
      <c r="EV376" s="43"/>
      <c r="EW376" s="43"/>
      <c r="EX376" s="43"/>
      <c r="EY376" s="43"/>
      <c r="EZ376" s="43"/>
      <c r="FA376" s="43"/>
      <c r="FB376" s="43"/>
      <c r="FC376" s="43"/>
      <c r="FD376" s="43"/>
      <c r="FE376" s="43"/>
      <c r="FF376" s="43"/>
      <c r="FG376" s="43"/>
      <c r="FH376" s="43"/>
      <c r="FI376" s="43"/>
    </row>
    <row r="377" ht="18.0" customHeight="1">
      <c r="A377" s="22" t="s">
        <v>116</v>
      </c>
      <c r="B377" s="22" t="s">
        <v>5437</v>
      </c>
      <c r="C377" s="22" t="s">
        <v>283</v>
      </c>
      <c r="D377" s="22" t="s">
        <v>119</v>
      </c>
      <c r="E377" s="43"/>
      <c r="F377" s="22" t="s">
        <v>5438</v>
      </c>
      <c r="G377" s="22" t="s">
        <v>361</v>
      </c>
      <c r="H377" s="22" t="s">
        <v>401</v>
      </c>
      <c r="I377" s="43"/>
      <c r="J377" s="43"/>
      <c r="K377" s="22" t="b">
        <v>1</v>
      </c>
      <c r="L377" s="22" t="b">
        <v>1</v>
      </c>
      <c r="M377" s="22" t="b">
        <v>0</v>
      </c>
      <c r="N377" s="22" t="b">
        <v>0</v>
      </c>
      <c r="O377" s="22" t="b">
        <v>0</v>
      </c>
      <c r="P377" s="22" t="b">
        <v>0</v>
      </c>
      <c r="Q377" s="22" t="b">
        <v>0</v>
      </c>
      <c r="R377" s="43"/>
      <c r="S377" s="43" t="s">
        <v>5439</v>
      </c>
      <c r="T377" s="64" t="s">
        <v>5437</v>
      </c>
      <c r="U377" s="22"/>
      <c r="V377" s="22"/>
      <c r="W377" s="43"/>
      <c r="X377" s="43"/>
      <c r="Y377" s="43"/>
      <c r="Z377" s="43"/>
      <c r="AA377" s="22">
        <v>5.67074424E8</v>
      </c>
      <c r="AB377" s="22"/>
      <c r="AC377" s="22"/>
      <c r="AD377" s="22"/>
      <c r="AE377" s="22"/>
      <c r="AF377" s="43"/>
      <c r="AG377" s="43"/>
      <c r="AH377" s="43" t="s">
        <v>5438</v>
      </c>
      <c r="AI377" s="22" t="s">
        <v>5440</v>
      </c>
      <c r="AJ377" s="43"/>
      <c r="AK377" s="43"/>
      <c r="AL377" s="43"/>
      <c r="AM377" s="43"/>
      <c r="AN377" s="43"/>
      <c r="AO377" s="43"/>
      <c r="AP377" s="46" t="s">
        <v>5441</v>
      </c>
      <c r="AQ377" s="43"/>
      <c r="AR377" s="43"/>
      <c r="AS377" s="43"/>
      <c r="AT377" s="43"/>
      <c r="AU377" s="43"/>
      <c r="AV377" s="43"/>
      <c r="AW377" s="22" t="s">
        <v>669</v>
      </c>
      <c r="AX377" s="22"/>
      <c r="AY377" s="43"/>
      <c r="AZ377" s="43"/>
      <c r="BA377" s="43"/>
      <c r="BB377" s="43"/>
      <c r="BC377" s="43"/>
      <c r="BD377" s="43" t="s">
        <v>401</v>
      </c>
      <c r="BE377" s="43" t="s">
        <v>401</v>
      </c>
      <c r="BF377" s="22" t="s">
        <v>131</v>
      </c>
      <c r="BG377" s="22" t="s">
        <v>132</v>
      </c>
      <c r="BH377" s="22" t="s">
        <v>132</v>
      </c>
      <c r="BI377" s="22" t="s">
        <v>132</v>
      </c>
      <c r="BJ377" s="43"/>
      <c r="BK377" s="43"/>
      <c r="BL377" s="22">
        <v>4.670227419051E12</v>
      </c>
      <c r="BM377" s="22"/>
      <c r="BN377" s="22"/>
      <c r="BO377" s="22"/>
      <c r="BP377" s="22" t="s">
        <v>303</v>
      </c>
      <c r="BQ377" s="43"/>
      <c r="BR377" s="43"/>
      <c r="BS377" s="22" t="s">
        <v>5442</v>
      </c>
      <c r="BT377" s="43"/>
      <c r="BU377" s="22"/>
      <c r="BV377" s="43"/>
      <c r="BW377" s="22"/>
      <c r="BX377" s="22">
        <v>60.0</v>
      </c>
      <c r="BY377" s="43"/>
      <c r="BZ377" s="43"/>
      <c r="CA377" s="22" t="s">
        <v>355</v>
      </c>
      <c r="CB377" s="22" t="s">
        <v>307</v>
      </c>
      <c r="CC377" s="45" t="s">
        <v>5443</v>
      </c>
      <c r="CD377" s="43"/>
      <c r="CE377" s="43"/>
      <c r="CF377" s="45"/>
      <c r="CG377" s="43"/>
      <c r="CH377" s="43"/>
      <c r="CI377" s="43"/>
      <c r="CJ377" s="43"/>
      <c r="CK377" s="43"/>
      <c r="CL377" s="43"/>
      <c r="CM377" s="49">
        <f>IFERROR(VLOOKUP(B377,CC!A:D,4,0)," ")</f>
        <v>0</v>
      </c>
      <c r="CN377" s="22" t="s">
        <v>494</v>
      </c>
      <c r="CO377" s="22"/>
      <c r="CP377" s="22" t="s">
        <v>495</v>
      </c>
      <c r="CQ377" s="22"/>
      <c r="CR377" s="43"/>
      <c r="CS377" s="22">
        <v>5.0</v>
      </c>
      <c r="CT377" s="22" t="s">
        <v>496</v>
      </c>
      <c r="CU377" s="43"/>
      <c r="CV377" s="43"/>
      <c r="CW377" s="43"/>
      <c r="CX377" s="43"/>
      <c r="CY377" s="43" t="b">
        <v>0</v>
      </c>
      <c r="CZ377" s="43" t="b">
        <v>0</v>
      </c>
      <c r="DA377" s="43" t="b">
        <v>0</v>
      </c>
      <c r="DB377" s="43" t="b">
        <v>0</v>
      </c>
      <c r="DC377" s="43"/>
      <c r="DD377" s="43"/>
      <c r="DE377" s="43"/>
      <c r="DF377" s="43"/>
      <c r="DG377" s="43"/>
      <c r="DH377" s="43"/>
      <c r="DI377" s="43"/>
      <c r="DJ377" s="22">
        <f>IFERROR(VLOOKUP($B377,'Лист4'!$D:$AI,27,0)," ")</f>
        <v>6</v>
      </c>
      <c r="DK377" s="22">
        <f>IFERROR(VLOOKUP($B377,'Лист4'!$D:$AI,28,0)," ")</f>
        <v>12</v>
      </c>
      <c r="DL377" s="22">
        <f>IFERROR(VLOOKUP($B377,'Лист4'!$D:$AI,29,0)," ")</f>
        <v>6</v>
      </c>
      <c r="DM377" s="22">
        <f t="shared" si="3"/>
        <v>432</v>
      </c>
      <c r="DN377" s="22">
        <f>IFERROR(VLOOKUP($B377,'Лист4'!$D:$AI,32,0)," ")</f>
        <v>0.086</v>
      </c>
      <c r="DO377" s="22"/>
      <c r="DP377" s="22"/>
      <c r="DQ377" s="22"/>
      <c r="DR377" s="22"/>
      <c r="DS377" s="22"/>
      <c r="DT377" s="22"/>
      <c r="DU377" s="22"/>
      <c r="DV377" s="22"/>
      <c r="DW377" s="22"/>
      <c r="DX377" s="22"/>
      <c r="DY377" s="22"/>
      <c r="DZ377" s="22"/>
      <c r="EA377" s="22"/>
      <c r="EB377" s="22"/>
      <c r="EC377" s="22"/>
      <c r="ED377" s="22"/>
      <c r="EE377" s="22"/>
      <c r="EF377" s="22"/>
      <c r="EG377" s="22"/>
      <c r="EH377" s="22"/>
      <c r="EI377" s="22"/>
      <c r="EJ377" s="22"/>
      <c r="EK377" s="22"/>
      <c r="EL377" s="22"/>
      <c r="EM377" s="22"/>
      <c r="EN377" s="22"/>
      <c r="EO377" s="22"/>
      <c r="EP377" s="22"/>
      <c r="EQ377" s="22"/>
      <c r="ER377" s="22"/>
      <c r="ES377" s="43"/>
      <c r="ET377" s="43"/>
      <c r="EU377" s="43"/>
      <c r="EV377" s="43"/>
      <c r="EW377" s="43"/>
      <c r="EX377" s="43"/>
      <c r="EY377" s="43"/>
      <c r="EZ377" s="43"/>
      <c r="FA377" s="43"/>
      <c r="FB377" s="43"/>
      <c r="FC377" s="43"/>
      <c r="FD377" s="43"/>
      <c r="FE377" s="43"/>
      <c r="FF377" s="43"/>
      <c r="FG377" s="43"/>
      <c r="FH377" s="43"/>
      <c r="FI377" s="43"/>
    </row>
    <row r="378" ht="18.0" customHeight="1">
      <c r="A378" s="22" t="s">
        <v>2659</v>
      </c>
      <c r="B378" s="22" t="s">
        <v>5444</v>
      </c>
      <c r="C378" s="22" t="s">
        <v>2661</v>
      </c>
      <c r="D378" s="22" t="s">
        <v>119</v>
      </c>
      <c r="E378" s="43"/>
      <c r="F378" s="43"/>
      <c r="G378" s="22" t="s">
        <v>401</v>
      </c>
      <c r="H378" s="22" t="s">
        <v>401</v>
      </c>
      <c r="I378" s="43"/>
      <c r="J378" s="43"/>
      <c r="K378" s="22" t="b">
        <v>1</v>
      </c>
      <c r="L378" s="22" t="b">
        <v>0</v>
      </c>
      <c r="M378" s="22" t="b">
        <v>0</v>
      </c>
      <c r="N378" s="22" t="b">
        <v>1</v>
      </c>
      <c r="O378" s="22" t="b">
        <v>0</v>
      </c>
      <c r="P378" s="22" t="b">
        <v>0</v>
      </c>
      <c r="Q378" s="22" t="b">
        <v>0</v>
      </c>
      <c r="R378" s="43"/>
      <c r="S378" s="43" t="s">
        <v>401</v>
      </c>
      <c r="T378" s="64"/>
      <c r="U378" s="22"/>
      <c r="V378" s="55" t="s">
        <v>5444</v>
      </c>
      <c r="W378" s="43"/>
      <c r="X378" s="43"/>
      <c r="Y378" s="43"/>
      <c r="Z378" s="43"/>
      <c r="AA378" s="22"/>
      <c r="AB378" s="22"/>
      <c r="AC378" s="22">
        <v>1.01864001748E11</v>
      </c>
      <c r="AD378" s="22"/>
      <c r="AE378" s="22"/>
      <c r="AF378" s="43"/>
      <c r="AG378" s="43"/>
      <c r="AH378" s="43" t="s">
        <v>401</v>
      </c>
      <c r="AI378" s="43"/>
      <c r="AJ378" s="43"/>
      <c r="AK378" s="22" t="s">
        <v>5445</v>
      </c>
      <c r="AL378" s="43"/>
      <c r="AM378" s="43"/>
      <c r="AN378" s="43"/>
      <c r="AO378" s="43"/>
      <c r="AP378" s="43"/>
      <c r="AQ378" s="43"/>
      <c r="AR378" s="46" t="s">
        <v>4895</v>
      </c>
      <c r="AS378" s="43"/>
      <c r="AT378" s="43"/>
      <c r="AU378" s="43"/>
      <c r="AV378" s="43"/>
      <c r="AW378" s="22"/>
      <c r="AX378" s="22" t="s">
        <v>4979</v>
      </c>
      <c r="AY378" s="22" t="s">
        <v>2672</v>
      </c>
      <c r="AZ378" s="43"/>
      <c r="BA378" s="43"/>
      <c r="BB378" s="43"/>
      <c r="BC378" s="43"/>
      <c r="BD378" s="43" t="s">
        <v>401</v>
      </c>
      <c r="BE378" s="43" t="s">
        <v>401</v>
      </c>
      <c r="BF378" s="22" t="s">
        <v>131</v>
      </c>
      <c r="BG378" s="22" t="s">
        <v>132</v>
      </c>
      <c r="BH378" s="22" t="s">
        <v>132</v>
      </c>
      <c r="BI378" s="22" t="s">
        <v>132</v>
      </c>
      <c r="BJ378" s="43"/>
      <c r="BK378" s="43"/>
      <c r="BL378" s="22">
        <v>4.631143681571E12</v>
      </c>
      <c r="BM378" s="22">
        <v>3.30499E9</v>
      </c>
      <c r="BN378" s="22" t="s">
        <v>3950</v>
      </c>
      <c r="BO378" s="22"/>
      <c r="BP378" s="22"/>
      <c r="BQ378" s="43"/>
      <c r="BR378" s="43"/>
      <c r="BS378" s="22" t="s">
        <v>3951</v>
      </c>
      <c r="BT378" s="43"/>
      <c r="BU378" s="22"/>
      <c r="BV378" s="43" t="s">
        <v>2777</v>
      </c>
      <c r="BW378" s="22" t="s">
        <v>2778</v>
      </c>
      <c r="BX378" s="22"/>
      <c r="BY378" s="43"/>
      <c r="BZ378" s="43"/>
      <c r="CA378" s="22" t="s">
        <v>3960</v>
      </c>
      <c r="CB378" s="22" t="s">
        <v>401</v>
      </c>
      <c r="CC378" s="45" t="s">
        <v>5446</v>
      </c>
      <c r="CD378" s="43"/>
      <c r="CE378" s="43"/>
      <c r="CF378" s="45"/>
      <c r="CG378" s="43"/>
      <c r="CH378" s="43"/>
      <c r="CI378" s="43"/>
      <c r="CJ378" s="43"/>
      <c r="CK378" s="43"/>
      <c r="CL378" s="43"/>
      <c r="CM378" s="49" t="str">
        <f>IFERROR(VLOOKUP(B378,CC!A:D,4,0)," ")</f>
        <v> </v>
      </c>
      <c r="CN378" s="22" t="s">
        <v>2681</v>
      </c>
      <c r="CO378" s="22"/>
      <c r="CP378" s="43"/>
      <c r="CQ378" s="22">
        <v>45.0</v>
      </c>
      <c r="CR378" s="43"/>
      <c r="CS378" s="22">
        <v>1.0</v>
      </c>
      <c r="CT378" s="22" t="s">
        <v>145</v>
      </c>
      <c r="CU378" s="43"/>
      <c r="CV378" s="43"/>
      <c r="CW378" s="43"/>
      <c r="CX378" s="43"/>
      <c r="CY378" s="43" t="b">
        <v>0</v>
      </c>
      <c r="CZ378" s="43" t="b">
        <v>0</v>
      </c>
      <c r="DA378" s="43" t="b">
        <v>0</v>
      </c>
      <c r="DB378" s="43" t="b">
        <v>0</v>
      </c>
      <c r="DC378" s="43"/>
      <c r="DD378" s="43"/>
      <c r="DE378" s="43"/>
      <c r="DF378" s="43"/>
      <c r="DG378" s="43"/>
      <c r="DH378" s="43"/>
      <c r="DI378" s="43"/>
      <c r="DJ378" s="22" t="str">
        <f>IFERROR(VLOOKUP($B378,'Лист4'!$D:$AI,27,0)," ")</f>
        <v> </v>
      </c>
      <c r="DK378" s="22" t="str">
        <f>IFERROR(VLOOKUP($B378,'Лист4'!$D:$AI,28,0)," ")</f>
        <v> </v>
      </c>
      <c r="DL378" s="22" t="str">
        <f>IFERROR(VLOOKUP($B378,'Лист4'!$D:$AI,29,0)," ")</f>
        <v> </v>
      </c>
      <c r="DM378" s="22" t="str">
        <f t="shared" si="3"/>
        <v> </v>
      </c>
      <c r="DN378" s="22" t="str">
        <f>IFERROR(VLOOKUP($B378,'Лист4'!$D:$AI,32,0)," ")</f>
        <v> </v>
      </c>
      <c r="DO378" s="22"/>
      <c r="DP378" s="22"/>
      <c r="DQ378" s="22"/>
      <c r="DR378" s="22"/>
      <c r="DS378" s="22"/>
      <c r="DT378" s="22"/>
      <c r="DU378" s="22"/>
      <c r="DV378" s="22"/>
      <c r="DW378" s="22"/>
      <c r="DX378" s="22"/>
      <c r="DY378" s="22"/>
      <c r="DZ378" s="22"/>
      <c r="EA378" s="22"/>
      <c r="EB378" s="22"/>
      <c r="EC378" s="22"/>
      <c r="ED378" s="22"/>
      <c r="EE378" s="22"/>
      <c r="EF378" s="22"/>
      <c r="EG378" s="22"/>
      <c r="EH378" s="22"/>
      <c r="EI378" s="22"/>
      <c r="EJ378" s="22"/>
      <c r="EK378" s="22"/>
      <c r="EL378" s="22"/>
      <c r="EM378" s="22"/>
      <c r="EN378" s="22"/>
      <c r="EO378" s="22"/>
      <c r="EP378" s="22"/>
      <c r="EQ378" s="22"/>
      <c r="ER378" s="22"/>
      <c r="ES378" s="43"/>
      <c r="ET378" s="43"/>
      <c r="EU378" s="43"/>
      <c r="EV378" s="43"/>
      <c r="EW378" s="43"/>
      <c r="EX378" s="43"/>
      <c r="EY378" s="43"/>
      <c r="EZ378" s="43"/>
      <c r="FA378" s="43"/>
      <c r="FB378" s="43"/>
      <c r="FC378" s="43"/>
      <c r="FD378" s="43"/>
      <c r="FE378" s="43"/>
      <c r="FF378" s="43"/>
      <c r="FG378" s="43"/>
      <c r="FH378" s="43"/>
      <c r="FI378" s="43"/>
    </row>
    <row r="379" ht="18.0" customHeight="1">
      <c r="A379" s="22" t="s">
        <v>2659</v>
      </c>
      <c r="B379" s="22" t="s">
        <v>5447</v>
      </c>
      <c r="C379" s="22" t="s">
        <v>2661</v>
      </c>
      <c r="D379" s="22" t="s">
        <v>119</v>
      </c>
      <c r="E379" s="43"/>
      <c r="F379" s="43"/>
      <c r="G379" s="22" t="s">
        <v>401</v>
      </c>
      <c r="H379" s="22" t="s">
        <v>401</v>
      </c>
      <c r="I379" s="43"/>
      <c r="J379" s="43"/>
      <c r="K379" s="22" t="b">
        <v>1</v>
      </c>
      <c r="L379" s="22" t="b">
        <v>0</v>
      </c>
      <c r="M379" s="22" t="b">
        <v>0</v>
      </c>
      <c r="N379" s="22" t="b">
        <v>1</v>
      </c>
      <c r="O379" s="22" t="b">
        <v>0</v>
      </c>
      <c r="P379" s="22" t="b">
        <v>0</v>
      </c>
      <c r="Q379" s="22" t="b">
        <v>0</v>
      </c>
      <c r="R379" s="43"/>
      <c r="S379" s="43" t="s">
        <v>401</v>
      </c>
      <c r="T379" s="64"/>
      <c r="U379" s="22"/>
      <c r="V379" s="55" t="s">
        <v>5447</v>
      </c>
      <c r="W379" s="43"/>
      <c r="X379" s="43"/>
      <c r="Y379" s="43"/>
      <c r="Z379" s="43"/>
      <c r="AA379" s="22"/>
      <c r="AB379" s="22"/>
      <c r="AC379" s="22">
        <v>1.03515429013E11</v>
      </c>
      <c r="AD379" s="22"/>
      <c r="AE379" s="22"/>
      <c r="AF379" s="43"/>
      <c r="AG379" s="43"/>
      <c r="AH379" s="43" t="s">
        <v>401</v>
      </c>
      <c r="AI379" s="43"/>
      <c r="AJ379" s="43"/>
      <c r="AK379" s="22" t="s">
        <v>5448</v>
      </c>
      <c r="AL379" s="43"/>
      <c r="AM379" s="43"/>
      <c r="AN379" s="43"/>
      <c r="AO379" s="43"/>
      <c r="AP379" s="43"/>
      <c r="AQ379" s="43"/>
      <c r="AR379" s="46" t="s">
        <v>5449</v>
      </c>
      <c r="AS379" s="43"/>
      <c r="AT379" s="43"/>
      <c r="AU379" s="43"/>
      <c r="AV379" s="43"/>
      <c r="AW379" s="22"/>
      <c r="AX379" s="22" t="s">
        <v>401</v>
      </c>
      <c r="AY379" s="22" t="s">
        <v>2534</v>
      </c>
      <c r="AZ379" s="43"/>
      <c r="BA379" s="43"/>
      <c r="BB379" s="43"/>
      <c r="BC379" s="43"/>
      <c r="BD379" s="43" t="s">
        <v>401</v>
      </c>
      <c r="BE379" s="43" t="s">
        <v>401</v>
      </c>
      <c r="BF379" s="22" t="s">
        <v>131</v>
      </c>
      <c r="BG379" s="22" t="s">
        <v>132</v>
      </c>
      <c r="BH379" s="22" t="s">
        <v>132</v>
      </c>
      <c r="BI379" s="22" t="s">
        <v>132</v>
      </c>
      <c r="BJ379" s="43"/>
      <c r="BK379" s="43"/>
      <c r="BL379" s="22" t="s">
        <v>401</v>
      </c>
      <c r="BM379" s="22" t="s">
        <v>401</v>
      </c>
      <c r="BN379" s="22" t="s">
        <v>401</v>
      </c>
      <c r="BO379" s="22"/>
      <c r="BP379" s="22" t="s">
        <v>401</v>
      </c>
      <c r="BQ379" s="43"/>
      <c r="BR379" s="43"/>
      <c r="BS379" s="22" t="s">
        <v>401</v>
      </c>
      <c r="BT379" s="43"/>
      <c r="BU379" s="22" t="s">
        <v>401</v>
      </c>
      <c r="BV379" s="43" t="s">
        <v>401</v>
      </c>
      <c r="BW379" s="22" t="s">
        <v>401</v>
      </c>
      <c r="BX379" s="22"/>
      <c r="BY379" s="43"/>
      <c r="BZ379" s="43"/>
      <c r="CA379" s="22" t="s">
        <v>401</v>
      </c>
      <c r="CB379" s="22" t="s">
        <v>401</v>
      </c>
      <c r="CC379" s="45" t="s">
        <v>401</v>
      </c>
      <c r="CD379" s="43"/>
      <c r="CE379" s="43"/>
      <c r="CF379" s="45" t="s">
        <v>401</v>
      </c>
      <c r="CG379" s="43"/>
      <c r="CH379" s="43"/>
      <c r="CI379" s="43"/>
      <c r="CJ379" s="43"/>
      <c r="CK379" s="43"/>
      <c r="CL379" s="43"/>
      <c r="CM379" s="49">
        <f>IFERROR(VLOOKUP(B379,CC!A:D,4,0)," ")</f>
        <v>256</v>
      </c>
      <c r="CN379" s="22" t="s">
        <v>2873</v>
      </c>
      <c r="CO379" s="22"/>
      <c r="CP379" s="43"/>
      <c r="CQ379" s="22">
        <v>45.0</v>
      </c>
      <c r="CR379" s="43"/>
      <c r="CS379" s="22">
        <v>1.0</v>
      </c>
      <c r="CT379" s="22" t="s">
        <v>145</v>
      </c>
      <c r="CU379" s="43"/>
      <c r="CV379" s="43"/>
      <c r="CW379" s="43"/>
      <c r="CX379" s="43"/>
      <c r="CY379" s="43" t="b">
        <v>0</v>
      </c>
      <c r="CZ379" s="43" t="b">
        <v>0</v>
      </c>
      <c r="DA379" s="43" t="b">
        <v>0</v>
      </c>
      <c r="DB379" s="43" t="b">
        <v>0</v>
      </c>
      <c r="DC379" s="43"/>
      <c r="DD379" s="43"/>
      <c r="DE379" s="43"/>
      <c r="DF379" s="43"/>
      <c r="DG379" s="43"/>
      <c r="DH379" s="43"/>
      <c r="DI379" s="43"/>
      <c r="DJ379" s="22" t="str">
        <f>IFERROR(VLOOKUP($B379,'Лист4'!$D:$AI,27,0)," ")</f>
        <v> </v>
      </c>
      <c r="DK379" s="22" t="str">
        <f>IFERROR(VLOOKUP($B379,'Лист4'!$D:$AI,28,0)," ")</f>
        <v> </v>
      </c>
      <c r="DL379" s="22" t="str">
        <f>IFERROR(VLOOKUP($B379,'Лист4'!$D:$AI,29,0)," ")</f>
        <v> </v>
      </c>
      <c r="DM379" s="22" t="str">
        <f t="shared" si="3"/>
        <v> </v>
      </c>
      <c r="DN379" s="22" t="str">
        <f>IFERROR(VLOOKUP($B379,'Лист4'!$D:$AI,32,0)," ")</f>
        <v> </v>
      </c>
      <c r="DO379" s="22"/>
      <c r="DP379" s="22"/>
      <c r="DQ379" s="22"/>
      <c r="DR379" s="22"/>
      <c r="DS379" s="22"/>
      <c r="DT379" s="22"/>
      <c r="DU379" s="22"/>
      <c r="DV379" s="22"/>
      <c r="DW379" s="22"/>
      <c r="DX379" s="22"/>
      <c r="DY379" s="22"/>
      <c r="DZ379" s="22"/>
      <c r="EA379" s="22"/>
      <c r="EB379" s="22"/>
      <c r="EC379" s="22"/>
      <c r="ED379" s="22"/>
      <c r="EE379" s="22"/>
      <c r="EF379" s="22"/>
      <c r="EG379" s="22"/>
      <c r="EH379" s="22"/>
      <c r="EI379" s="22"/>
      <c r="EJ379" s="22"/>
      <c r="EK379" s="22"/>
      <c r="EL379" s="22"/>
      <c r="EM379" s="22"/>
      <c r="EN379" s="22"/>
      <c r="EO379" s="22"/>
      <c r="EP379" s="22"/>
      <c r="EQ379" s="22"/>
      <c r="ER379" s="22"/>
      <c r="ES379" s="43"/>
      <c r="ET379" s="43"/>
      <c r="EU379" s="43"/>
      <c r="EV379" s="43"/>
      <c r="EW379" s="43"/>
      <c r="EX379" s="43"/>
      <c r="EY379" s="43"/>
      <c r="EZ379" s="43"/>
      <c r="FA379" s="43"/>
      <c r="FB379" s="43"/>
      <c r="FC379" s="43"/>
      <c r="FD379" s="43"/>
      <c r="FE379" s="43"/>
      <c r="FF379" s="43"/>
      <c r="FG379" s="43"/>
      <c r="FH379" s="43"/>
      <c r="FI379" s="43"/>
    </row>
    <row r="380" ht="18.0" customHeight="1">
      <c r="A380" s="22" t="s">
        <v>2659</v>
      </c>
      <c r="B380" s="22" t="s">
        <v>5450</v>
      </c>
      <c r="C380" s="22" t="s">
        <v>2661</v>
      </c>
      <c r="D380" s="22" t="s">
        <v>187</v>
      </c>
      <c r="E380" s="43" t="s">
        <v>5347</v>
      </c>
      <c r="F380" s="43"/>
      <c r="G380" s="22" t="s">
        <v>401</v>
      </c>
      <c r="H380" s="22" t="s">
        <v>401</v>
      </c>
      <c r="I380" s="43"/>
      <c r="J380" s="43"/>
      <c r="K380" s="22" t="b">
        <v>1</v>
      </c>
      <c r="L380" s="22" t="b">
        <v>0</v>
      </c>
      <c r="M380" s="22" t="b">
        <v>0</v>
      </c>
      <c r="N380" s="22" t="b">
        <v>1</v>
      </c>
      <c r="O380" s="22" t="b">
        <v>0</v>
      </c>
      <c r="P380" s="22" t="b">
        <v>0</v>
      </c>
      <c r="Q380" s="22" t="b">
        <v>0</v>
      </c>
      <c r="R380" s="43"/>
      <c r="S380" s="43" t="s">
        <v>401</v>
      </c>
      <c r="T380" s="64"/>
      <c r="U380" s="22"/>
      <c r="V380" s="55" t="s">
        <v>5450</v>
      </c>
      <c r="W380" s="43"/>
      <c r="X380" s="43"/>
      <c r="Y380" s="43"/>
      <c r="Z380" s="43"/>
      <c r="AA380" s="22"/>
      <c r="AB380" s="22"/>
      <c r="AC380" s="22">
        <v>1.03632605064E11</v>
      </c>
      <c r="AD380" s="22"/>
      <c r="AE380" s="22"/>
      <c r="AF380" s="43"/>
      <c r="AG380" s="43"/>
      <c r="AH380" s="43" t="s">
        <v>401</v>
      </c>
      <c r="AI380" s="43"/>
      <c r="AJ380" s="43"/>
      <c r="AK380" s="22" t="s">
        <v>5451</v>
      </c>
      <c r="AL380" s="43"/>
      <c r="AM380" s="43"/>
      <c r="AN380" s="43"/>
      <c r="AO380" s="43"/>
      <c r="AP380" s="43"/>
      <c r="AQ380" s="43"/>
      <c r="AR380" s="46" t="s">
        <v>5452</v>
      </c>
      <c r="AS380" s="43"/>
      <c r="AT380" s="43"/>
      <c r="AU380" s="43"/>
      <c r="AV380" s="43"/>
      <c r="AW380" s="22"/>
      <c r="AX380" s="22" t="s">
        <v>5453</v>
      </c>
      <c r="AY380" s="22" t="s">
        <v>4668</v>
      </c>
      <c r="AZ380" s="43"/>
      <c r="BA380" s="43"/>
      <c r="BB380" s="43"/>
      <c r="BC380" s="43"/>
      <c r="BD380" s="43" t="s">
        <v>401</v>
      </c>
      <c r="BE380" s="43" t="s">
        <v>401</v>
      </c>
      <c r="BF380" s="22" t="s">
        <v>131</v>
      </c>
      <c r="BG380" s="22" t="s">
        <v>132</v>
      </c>
      <c r="BH380" s="22" t="s">
        <v>132</v>
      </c>
      <c r="BI380" s="22" t="s">
        <v>132</v>
      </c>
      <c r="BJ380" s="43"/>
      <c r="BK380" s="43"/>
      <c r="BL380" s="22">
        <v>4.631146952975E12</v>
      </c>
      <c r="BM380" s="22"/>
      <c r="BN380" s="22" t="s">
        <v>5454</v>
      </c>
      <c r="BO380" s="22"/>
      <c r="BP380" s="22"/>
      <c r="BQ380" s="43"/>
      <c r="BR380" s="43"/>
      <c r="BS380" s="22" t="s">
        <v>5455</v>
      </c>
      <c r="BT380" s="43"/>
      <c r="BU380" s="22"/>
      <c r="BV380" s="43" t="s">
        <v>2831</v>
      </c>
      <c r="BW380" s="22" t="s">
        <v>4671</v>
      </c>
      <c r="BX380" s="22"/>
      <c r="BY380" s="43"/>
      <c r="BZ380" s="43"/>
      <c r="CA380" s="22" t="s">
        <v>4672</v>
      </c>
      <c r="CB380" s="22" t="s">
        <v>401</v>
      </c>
      <c r="CC380" s="45" t="s">
        <v>5030</v>
      </c>
      <c r="CD380" s="43"/>
      <c r="CE380" s="43"/>
      <c r="CF380" s="45"/>
      <c r="CG380" s="43"/>
      <c r="CH380" s="43"/>
      <c r="CI380" s="43"/>
      <c r="CJ380" s="43"/>
      <c r="CK380" s="43"/>
      <c r="CL380" s="43"/>
      <c r="CM380" s="49" t="str">
        <f>IFERROR(VLOOKUP(B380,CC!A:D,4,0)," ")</f>
        <v> </v>
      </c>
      <c r="CN380" s="22" t="s">
        <v>2681</v>
      </c>
      <c r="CO380" s="22"/>
      <c r="CP380" s="43"/>
      <c r="CQ380" s="22">
        <v>45.0</v>
      </c>
      <c r="CR380" s="43"/>
      <c r="CS380" s="22">
        <v>1.0</v>
      </c>
      <c r="CT380" s="22" t="s">
        <v>145</v>
      </c>
      <c r="CU380" s="43"/>
      <c r="CV380" s="43"/>
      <c r="CW380" s="43"/>
      <c r="CX380" s="43"/>
      <c r="CY380" s="43" t="b">
        <v>0</v>
      </c>
      <c r="CZ380" s="43" t="b">
        <v>0</v>
      </c>
      <c r="DA380" s="43" t="b">
        <v>0</v>
      </c>
      <c r="DB380" s="43" t="b">
        <v>0</v>
      </c>
      <c r="DC380" s="43"/>
      <c r="DD380" s="43"/>
      <c r="DE380" s="43"/>
      <c r="DF380" s="43"/>
      <c r="DG380" s="43"/>
      <c r="DH380" s="43"/>
      <c r="DI380" s="43"/>
      <c r="DJ380" s="22" t="str">
        <f>IFERROR(VLOOKUP($B380,'Лист4'!$D:$AI,27,0)," ")</f>
        <v> </v>
      </c>
      <c r="DK380" s="22" t="str">
        <f>IFERROR(VLOOKUP($B380,'Лист4'!$D:$AI,28,0)," ")</f>
        <v> </v>
      </c>
      <c r="DL380" s="22" t="str">
        <f>IFERROR(VLOOKUP($B380,'Лист4'!$D:$AI,29,0)," ")</f>
        <v> </v>
      </c>
      <c r="DM380" s="22" t="str">
        <f t="shared" si="3"/>
        <v> </v>
      </c>
      <c r="DN380" s="22" t="str">
        <f>IFERROR(VLOOKUP($B380,'Лист4'!$D:$AI,32,0)," ")</f>
        <v> </v>
      </c>
      <c r="DO380" s="22"/>
      <c r="DP380" s="22"/>
      <c r="DQ380" s="22"/>
      <c r="DR380" s="22"/>
      <c r="DS380" s="22"/>
      <c r="DT380" s="22"/>
      <c r="DU380" s="22"/>
      <c r="DV380" s="22"/>
      <c r="DW380" s="22"/>
      <c r="DX380" s="22"/>
      <c r="DY380" s="22"/>
      <c r="DZ380" s="22"/>
      <c r="EA380" s="22"/>
      <c r="EB380" s="22"/>
      <c r="EC380" s="22"/>
      <c r="ED380" s="22"/>
      <c r="EE380" s="22"/>
      <c r="EF380" s="22"/>
      <c r="EG380" s="22"/>
      <c r="EH380" s="22"/>
      <c r="EI380" s="22"/>
      <c r="EJ380" s="22"/>
      <c r="EK380" s="22"/>
      <c r="EL380" s="22"/>
      <c r="EM380" s="22"/>
      <c r="EN380" s="22"/>
      <c r="EO380" s="22"/>
      <c r="EP380" s="22"/>
      <c r="EQ380" s="22"/>
      <c r="ER380" s="22"/>
      <c r="ES380" s="43"/>
      <c r="ET380" s="43"/>
      <c r="EU380" s="43"/>
      <c r="EV380" s="43"/>
      <c r="EW380" s="43"/>
      <c r="EX380" s="43"/>
      <c r="EY380" s="43"/>
      <c r="EZ380" s="43"/>
      <c r="FA380" s="43"/>
      <c r="FB380" s="43"/>
      <c r="FC380" s="43"/>
      <c r="FD380" s="43"/>
      <c r="FE380" s="43"/>
      <c r="FF380" s="43"/>
      <c r="FG380" s="43"/>
      <c r="FH380" s="43"/>
      <c r="FI380" s="43"/>
    </row>
    <row r="381" ht="18.0" customHeight="1">
      <c r="A381" s="22" t="s">
        <v>2659</v>
      </c>
      <c r="B381" s="22" t="s">
        <v>5456</v>
      </c>
      <c r="C381" s="22" t="s">
        <v>2661</v>
      </c>
      <c r="D381" s="22" t="s">
        <v>119</v>
      </c>
      <c r="E381" s="43"/>
      <c r="F381" s="43"/>
      <c r="G381" s="22" t="s">
        <v>401</v>
      </c>
      <c r="H381" s="22" t="s">
        <v>401</v>
      </c>
      <c r="I381" s="43"/>
      <c r="J381" s="43"/>
      <c r="K381" s="22" t="b">
        <v>1</v>
      </c>
      <c r="L381" s="22" t="b">
        <v>0</v>
      </c>
      <c r="M381" s="22" t="b">
        <v>0</v>
      </c>
      <c r="N381" s="22" t="b">
        <v>1</v>
      </c>
      <c r="O381" s="22" t="b">
        <v>0</v>
      </c>
      <c r="P381" s="22" t="b">
        <v>0</v>
      </c>
      <c r="Q381" s="22" t="b">
        <v>0</v>
      </c>
      <c r="R381" s="43"/>
      <c r="S381" s="43" t="s">
        <v>401</v>
      </c>
      <c r="T381" s="64"/>
      <c r="U381" s="22"/>
      <c r="V381" s="55" t="s">
        <v>5456</v>
      </c>
      <c r="W381" s="43"/>
      <c r="X381" s="43"/>
      <c r="Y381" s="43"/>
      <c r="Z381" s="43"/>
      <c r="AA381" s="22"/>
      <c r="AB381" s="22"/>
      <c r="AC381" s="22">
        <v>1.01862544762E11</v>
      </c>
      <c r="AD381" s="22"/>
      <c r="AE381" s="22"/>
      <c r="AF381" s="43"/>
      <c r="AG381" s="43"/>
      <c r="AH381" s="43" t="s">
        <v>401</v>
      </c>
      <c r="AI381" s="43"/>
      <c r="AJ381" s="43"/>
      <c r="AK381" s="22" t="s">
        <v>5457</v>
      </c>
      <c r="AL381" s="43"/>
      <c r="AM381" s="43"/>
      <c r="AN381" s="43"/>
      <c r="AO381" s="43"/>
      <c r="AP381" s="43"/>
      <c r="AQ381" s="43"/>
      <c r="AR381" s="46" t="s">
        <v>5458</v>
      </c>
      <c r="AS381" s="43"/>
      <c r="AT381" s="43"/>
      <c r="AU381" s="43"/>
      <c r="AV381" s="43"/>
      <c r="AW381" s="22"/>
      <c r="AX381" s="22" t="s">
        <v>5459</v>
      </c>
      <c r="AY381" s="22" t="s">
        <v>372</v>
      </c>
      <c r="AZ381" s="43"/>
      <c r="BA381" s="43"/>
      <c r="BB381" s="43"/>
      <c r="BC381" s="43"/>
      <c r="BD381" s="43" t="s">
        <v>401</v>
      </c>
      <c r="BE381" s="43" t="s">
        <v>401</v>
      </c>
      <c r="BF381" s="22" t="s">
        <v>131</v>
      </c>
      <c r="BG381" s="22" t="s">
        <v>132</v>
      </c>
      <c r="BH381" s="22" t="s">
        <v>132</v>
      </c>
      <c r="BI381" s="22" t="s">
        <v>132</v>
      </c>
      <c r="BJ381" s="43"/>
      <c r="BK381" s="43"/>
      <c r="BL381" s="22">
        <v>4.631146328114E12</v>
      </c>
      <c r="BM381" s="22">
        <v>2.103909009E9</v>
      </c>
      <c r="BN381" s="22" t="s">
        <v>3459</v>
      </c>
      <c r="BO381" s="22"/>
      <c r="BP381" s="22"/>
      <c r="BQ381" s="43"/>
      <c r="BR381" s="43"/>
      <c r="BS381" s="22" t="s">
        <v>2916</v>
      </c>
      <c r="BT381" s="43"/>
      <c r="BU381" s="22"/>
      <c r="BV381" s="43" t="s">
        <v>2777</v>
      </c>
      <c r="BW381" s="22" t="s">
        <v>2778</v>
      </c>
      <c r="BX381" s="22"/>
      <c r="BY381" s="43"/>
      <c r="BZ381" s="43"/>
      <c r="CA381" s="22" t="s">
        <v>3960</v>
      </c>
      <c r="CB381" s="22" t="s">
        <v>401</v>
      </c>
      <c r="CC381" s="45" t="s">
        <v>4587</v>
      </c>
      <c r="CD381" s="43"/>
      <c r="CE381" s="43"/>
      <c r="CF381" s="45"/>
      <c r="CG381" s="43"/>
      <c r="CH381" s="43"/>
      <c r="CI381" s="43"/>
      <c r="CJ381" s="43"/>
      <c r="CK381" s="43"/>
      <c r="CL381" s="43"/>
      <c r="CM381" s="49" t="str">
        <f>IFERROR(VLOOKUP(B381,CC!A:D,4,0)," ")</f>
        <v> </v>
      </c>
      <c r="CN381" s="22" t="s">
        <v>2681</v>
      </c>
      <c r="CO381" s="22"/>
      <c r="CP381" s="43"/>
      <c r="CQ381" s="22">
        <v>45.0</v>
      </c>
      <c r="CR381" s="43"/>
      <c r="CS381" s="22">
        <v>1.0</v>
      </c>
      <c r="CT381" s="22" t="s">
        <v>145</v>
      </c>
      <c r="CU381" s="43"/>
      <c r="CV381" s="43"/>
      <c r="CW381" s="43"/>
      <c r="CX381" s="43"/>
      <c r="CY381" s="43" t="b">
        <v>0</v>
      </c>
      <c r="CZ381" s="43" t="b">
        <v>0</v>
      </c>
      <c r="DA381" s="43" t="b">
        <v>0</v>
      </c>
      <c r="DB381" s="43" t="b">
        <v>0</v>
      </c>
      <c r="DC381" s="43"/>
      <c r="DD381" s="43"/>
      <c r="DE381" s="43"/>
      <c r="DF381" s="43"/>
      <c r="DG381" s="43"/>
      <c r="DH381" s="43"/>
      <c r="DI381" s="43"/>
      <c r="DJ381" s="22" t="str">
        <f>IFERROR(VLOOKUP($B381,'Лист4'!$D:$AI,27,0)," ")</f>
        <v> </v>
      </c>
      <c r="DK381" s="22" t="str">
        <f>IFERROR(VLOOKUP($B381,'Лист4'!$D:$AI,28,0)," ")</f>
        <v> </v>
      </c>
      <c r="DL381" s="22" t="str">
        <f>IFERROR(VLOOKUP($B381,'Лист4'!$D:$AI,29,0)," ")</f>
        <v> </v>
      </c>
      <c r="DM381" s="22" t="str">
        <f t="shared" si="3"/>
        <v> </v>
      </c>
      <c r="DN381" s="22" t="str">
        <f>IFERROR(VLOOKUP($B381,'Лист4'!$D:$AI,32,0)," ")</f>
        <v> </v>
      </c>
      <c r="DO381" s="22"/>
      <c r="DP381" s="22"/>
      <c r="DQ381" s="22"/>
      <c r="DR381" s="22"/>
      <c r="DS381" s="22"/>
      <c r="DT381" s="22"/>
      <c r="DU381" s="22"/>
      <c r="DV381" s="22"/>
      <c r="DW381" s="22"/>
      <c r="DX381" s="22"/>
      <c r="DY381" s="22"/>
      <c r="DZ381" s="22"/>
      <c r="EA381" s="22"/>
      <c r="EB381" s="22"/>
      <c r="EC381" s="22"/>
      <c r="ED381" s="22"/>
      <c r="EE381" s="22"/>
      <c r="EF381" s="22"/>
      <c r="EG381" s="22"/>
      <c r="EH381" s="22"/>
      <c r="EI381" s="22"/>
      <c r="EJ381" s="22"/>
      <c r="EK381" s="22"/>
      <c r="EL381" s="22"/>
      <c r="EM381" s="22"/>
      <c r="EN381" s="22"/>
      <c r="EO381" s="22"/>
      <c r="EP381" s="22"/>
      <c r="EQ381" s="22"/>
      <c r="ER381" s="22"/>
      <c r="ES381" s="43"/>
      <c r="ET381" s="43"/>
      <c r="EU381" s="43"/>
      <c r="EV381" s="43"/>
      <c r="EW381" s="43"/>
      <c r="EX381" s="43"/>
      <c r="EY381" s="43"/>
      <c r="EZ381" s="43"/>
      <c r="FA381" s="43"/>
      <c r="FB381" s="43"/>
      <c r="FC381" s="43"/>
      <c r="FD381" s="43"/>
      <c r="FE381" s="43"/>
      <c r="FF381" s="43"/>
      <c r="FG381" s="43"/>
      <c r="FH381" s="43"/>
      <c r="FI381" s="43"/>
    </row>
    <row r="382" ht="18.0" customHeight="1">
      <c r="A382" s="22" t="s">
        <v>2659</v>
      </c>
      <c r="B382" s="22" t="s">
        <v>5460</v>
      </c>
      <c r="C382" s="22" t="s">
        <v>2661</v>
      </c>
      <c r="D382" s="22" t="s">
        <v>119</v>
      </c>
      <c r="E382" s="43"/>
      <c r="F382" s="43"/>
      <c r="G382" s="22" t="s">
        <v>401</v>
      </c>
      <c r="H382" s="22" t="s">
        <v>401</v>
      </c>
      <c r="I382" s="43"/>
      <c r="J382" s="43"/>
      <c r="K382" s="22" t="b">
        <v>1</v>
      </c>
      <c r="L382" s="22" t="b">
        <v>0</v>
      </c>
      <c r="M382" s="22" t="b">
        <v>0</v>
      </c>
      <c r="N382" s="22" t="b">
        <v>1</v>
      </c>
      <c r="O382" s="22" t="b">
        <v>0</v>
      </c>
      <c r="P382" s="22" t="b">
        <v>0</v>
      </c>
      <c r="Q382" s="22" t="b">
        <v>0</v>
      </c>
      <c r="R382" s="43"/>
      <c r="S382" s="43" t="s">
        <v>401</v>
      </c>
      <c r="T382" s="64"/>
      <c r="U382" s="22"/>
      <c r="V382" s="55" t="s">
        <v>5460</v>
      </c>
      <c r="W382" s="43"/>
      <c r="X382" s="43"/>
      <c r="Y382" s="43"/>
      <c r="Z382" s="43"/>
      <c r="AA382" s="22"/>
      <c r="AB382" s="22"/>
      <c r="AC382" s="22">
        <v>1.01436838679E11</v>
      </c>
      <c r="AD382" s="22"/>
      <c r="AE382" s="22"/>
      <c r="AF382" s="43"/>
      <c r="AG382" s="43"/>
      <c r="AH382" s="43" t="s">
        <v>401</v>
      </c>
      <c r="AI382" s="43"/>
      <c r="AJ382" s="43"/>
      <c r="AK382" s="22" t="s">
        <v>5461</v>
      </c>
      <c r="AL382" s="43"/>
      <c r="AM382" s="43"/>
      <c r="AN382" s="43"/>
      <c r="AO382" s="43"/>
      <c r="AP382" s="43"/>
      <c r="AQ382" s="43"/>
      <c r="AR382" s="46" t="s">
        <v>5462</v>
      </c>
      <c r="AS382" s="43"/>
      <c r="AT382" s="43"/>
      <c r="AU382" s="43"/>
      <c r="AV382" s="43"/>
      <c r="AW382" s="22"/>
      <c r="AX382" s="22" t="s">
        <v>5463</v>
      </c>
      <c r="AY382" s="22" t="s">
        <v>372</v>
      </c>
      <c r="AZ382" s="43"/>
      <c r="BA382" s="43"/>
      <c r="BB382" s="43"/>
      <c r="BC382" s="43"/>
      <c r="BD382" s="43" t="s">
        <v>401</v>
      </c>
      <c r="BE382" s="43" t="s">
        <v>401</v>
      </c>
      <c r="BF382" s="22" t="s">
        <v>131</v>
      </c>
      <c r="BG382" s="22" t="s">
        <v>132</v>
      </c>
      <c r="BH382" s="22" t="s">
        <v>132</v>
      </c>
      <c r="BI382" s="22" t="s">
        <v>132</v>
      </c>
      <c r="BJ382" s="43"/>
      <c r="BK382" s="43"/>
      <c r="BL382" s="22" t="s">
        <v>5464</v>
      </c>
      <c r="BM382" s="22">
        <v>2.103909009E9</v>
      </c>
      <c r="BN382" s="22" t="s">
        <v>4939</v>
      </c>
      <c r="BO382" s="22"/>
      <c r="BP382" s="22"/>
      <c r="BQ382" s="43"/>
      <c r="BR382" s="43"/>
      <c r="BS382" s="22" t="s">
        <v>4940</v>
      </c>
      <c r="BT382" s="43"/>
      <c r="BU382" s="22"/>
      <c r="BV382" s="43" t="s">
        <v>2777</v>
      </c>
      <c r="BW382" s="22" t="s">
        <v>4942</v>
      </c>
      <c r="BX382" s="22"/>
      <c r="BY382" s="43"/>
      <c r="BZ382" s="43"/>
      <c r="CA382" s="22" t="s">
        <v>3960</v>
      </c>
      <c r="CB382" s="22" t="s">
        <v>401</v>
      </c>
      <c r="CC382" s="45" t="s">
        <v>5465</v>
      </c>
      <c r="CD382" s="43"/>
      <c r="CE382" s="43"/>
      <c r="CF382" s="45"/>
      <c r="CG382" s="43"/>
      <c r="CH382" s="43"/>
      <c r="CI382" s="43"/>
      <c r="CJ382" s="43"/>
      <c r="CK382" s="43"/>
      <c r="CL382" s="43"/>
      <c r="CM382" s="49" t="str">
        <f>IFERROR(VLOOKUP(B382,CC!A:D,4,0)," ")</f>
        <v> </v>
      </c>
      <c r="CN382" s="22" t="s">
        <v>5466</v>
      </c>
      <c r="CO382" s="22"/>
      <c r="CP382" s="43"/>
      <c r="CQ382" s="22" t="s">
        <v>401</v>
      </c>
      <c r="CR382" s="43"/>
      <c r="CS382" s="22">
        <v>1.0</v>
      </c>
      <c r="CT382" s="22" t="s">
        <v>145</v>
      </c>
      <c r="CU382" s="43"/>
      <c r="CV382" s="43"/>
      <c r="CW382" s="43"/>
      <c r="CX382" s="43"/>
      <c r="CY382" s="43" t="b">
        <v>0</v>
      </c>
      <c r="CZ382" s="43" t="b">
        <v>0</v>
      </c>
      <c r="DA382" s="43" t="b">
        <v>0</v>
      </c>
      <c r="DB382" s="43" t="b">
        <v>0</v>
      </c>
      <c r="DC382" s="43"/>
      <c r="DD382" s="43"/>
      <c r="DE382" s="43"/>
      <c r="DF382" s="43"/>
      <c r="DG382" s="43"/>
      <c r="DH382" s="43"/>
      <c r="DI382" s="43"/>
      <c r="DJ382" s="22" t="str">
        <f>IFERROR(VLOOKUP($B382,'Лист4'!$D:$AI,27,0)," ")</f>
        <v> </v>
      </c>
      <c r="DK382" s="22" t="str">
        <f>IFERROR(VLOOKUP($B382,'Лист4'!$D:$AI,28,0)," ")</f>
        <v> </v>
      </c>
      <c r="DL382" s="22" t="str">
        <f>IFERROR(VLOOKUP($B382,'Лист4'!$D:$AI,29,0)," ")</f>
        <v> </v>
      </c>
      <c r="DM382" s="22" t="str">
        <f t="shared" si="3"/>
        <v> </v>
      </c>
      <c r="DN382" s="22" t="str">
        <f>IFERROR(VLOOKUP($B382,'Лист4'!$D:$AI,32,0)," ")</f>
        <v> </v>
      </c>
      <c r="DO382" s="22"/>
      <c r="DP382" s="22"/>
      <c r="DQ382" s="22"/>
      <c r="DR382" s="22"/>
      <c r="DS382" s="22"/>
      <c r="DT382" s="22"/>
      <c r="DU382" s="22"/>
      <c r="DV382" s="22"/>
      <c r="DW382" s="22"/>
      <c r="DX382" s="22"/>
      <c r="DY382" s="22"/>
      <c r="DZ382" s="22"/>
      <c r="EA382" s="22"/>
      <c r="EB382" s="22"/>
      <c r="EC382" s="22"/>
      <c r="ED382" s="22"/>
      <c r="EE382" s="22"/>
      <c r="EF382" s="22"/>
      <c r="EG382" s="22"/>
      <c r="EH382" s="22"/>
      <c r="EI382" s="22"/>
      <c r="EJ382" s="22"/>
      <c r="EK382" s="22"/>
      <c r="EL382" s="22"/>
      <c r="EM382" s="22"/>
      <c r="EN382" s="22"/>
      <c r="EO382" s="22"/>
      <c r="EP382" s="22"/>
      <c r="EQ382" s="22"/>
      <c r="ER382" s="22"/>
      <c r="ES382" s="43"/>
      <c r="ET382" s="43"/>
      <c r="EU382" s="43"/>
      <c r="EV382" s="43"/>
      <c r="EW382" s="43"/>
      <c r="EX382" s="43"/>
      <c r="EY382" s="43"/>
      <c r="EZ382" s="43"/>
      <c r="FA382" s="43"/>
      <c r="FB382" s="43"/>
      <c r="FC382" s="43"/>
      <c r="FD382" s="43"/>
      <c r="FE382" s="43"/>
      <c r="FF382" s="43"/>
      <c r="FG382" s="43"/>
      <c r="FH382" s="43"/>
      <c r="FI382" s="43"/>
    </row>
    <row r="383" ht="18.0" customHeight="1">
      <c r="A383" s="22" t="s">
        <v>2659</v>
      </c>
      <c r="B383" s="22" t="s">
        <v>5467</v>
      </c>
      <c r="C383" s="22" t="s">
        <v>2741</v>
      </c>
      <c r="D383" s="22" t="s">
        <v>187</v>
      </c>
      <c r="E383" s="43" t="s">
        <v>5347</v>
      </c>
      <c r="F383" s="43"/>
      <c r="G383" s="22" t="s">
        <v>2743</v>
      </c>
      <c r="H383" s="22" t="s">
        <v>401</v>
      </c>
      <c r="I383" s="43"/>
      <c r="J383" s="43"/>
      <c r="K383" s="22" t="b">
        <v>1</v>
      </c>
      <c r="L383" s="22" t="b">
        <v>0</v>
      </c>
      <c r="M383" s="22" t="b">
        <v>0</v>
      </c>
      <c r="N383" s="22" t="b">
        <v>1</v>
      </c>
      <c r="O383" s="22" t="b">
        <v>0</v>
      </c>
      <c r="P383" s="22" t="b">
        <v>0</v>
      </c>
      <c r="Q383" s="22" t="b">
        <v>0</v>
      </c>
      <c r="R383" s="43"/>
      <c r="S383" s="43" t="s">
        <v>401</v>
      </c>
      <c r="T383" s="64"/>
      <c r="U383" s="22"/>
      <c r="V383" s="55" t="s">
        <v>5467</v>
      </c>
      <c r="W383" s="43"/>
      <c r="X383" s="43"/>
      <c r="Y383" s="43"/>
      <c r="Z383" s="43"/>
      <c r="AA383" s="22"/>
      <c r="AB383" s="22"/>
      <c r="AC383" s="22">
        <v>1.03745682453E11</v>
      </c>
      <c r="AD383" s="22"/>
      <c r="AE383" s="22"/>
      <c r="AF383" s="43"/>
      <c r="AG383" s="43"/>
      <c r="AH383" s="43" t="s">
        <v>401</v>
      </c>
      <c r="AI383" s="43"/>
      <c r="AJ383" s="43"/>
      <c r="AK383" s="22" t="s">
        <v>5468</v>
      </c>
      <c r="AL383" s="43"/>
      <c r="AM383" s="43"/>
      <c r="AN383" s="43"/>
      <c r="AO383" s="43"/>
      <c r="AP383" s="43"/>
      <c r="AQ383" s="43"/>
      <c r="AR383" s="46" t="s">
        <v>4622</v>
      </c>
      <c r="AS383" s="43"/>
      <c r="AT383" s="43"/>
      <c r="AU383" s="43"/>
      <c r="AV383" s="43"/>
      <c r="AW383" s="22"/>
      <c r="AX383" s="22" t="s">
        <v>5469</v>
      </c>
      <c r="AY383" s="22" t="s">
        <v>1643</v>
      </c>
      <c r="AZ383" s="43"/>
      <c r="BA383" s="43"/>
      <c r="BB383" s="43"/>
      <c r="BC383" s="43"/>
      <c r="BD383" s="43" t="s">
        <v>401</v>
      </c>
      <c r="BE383" s="43" t="s">
        <v>401</v>
      </c>
      <c r="BF383" s="22" t="s">
        <v>131</v>
      </c>
      <c r="BG383" s="22" t="s">
        <v>132</v>
      </c>
      <c r="BH383" s="22" t="s">
        <v>132</v>
      </c>
      <c r="BI383" s="22" t="s">
        <v>132</v>
      </c>
      <c r="BJ383" s="43"/>
      <c r="BK383" s="43"/>
      <c r="BL383" s="22">
        <v>4.607050974747E12</v>
      </c>
      <c r="BM383" s="22"/>
      <c r="BN383" s="22"/>
      <c r="BO383" s="22"/>
      <c r="BP383" s="22" t="s">
        <v>145</v>
      </c>
      <c r="BQ383" s="43"/>
      <c r="BR383" s="43"/>
      <c r="BS383" s="22" t="s">
        <v>1648</v>
      </c>
      <c r="BT383" s="43"/>
      <c r="BU383" s="22" t="s">
        <v>1649</v>
      </c>
      <c r="BV383" s="43" t="s">
        <v>1650</v>
      </c>
      <c r="BW383" s="22" t="s">
        <v>1651</v>
      </c>
      <c r="BX383" s="22"/>
      <c r="BY383" s="43"/>
      <c r="BZ383" s="43"/>
      <c r="CA383" s="22" t="s">
        <v>726</v>
      </c>
      <c r="CB383" s="22" t="s">
        <v>401</v>
      </c>
      <c r="CC383" s="45" t="s">
        <v>4701</v>
      </c>
      <c r="CD383" s="43"/>
      <c r="CE383" s="43"/>
      <c r="CF383" s="45"/>
      <c r="CG383" s="43"/>
      <c r="CH383" s="43"/>
      <c r="CI383" s="43"/>
      <c r="CJ383" s="43"/>
      <c r="CK383" s="43"/>
      <c r="CL383" s="43"/>
      <c r="CM383" s="49">
        <f>IFERROR(VLOOKUP(B383,CC!A:D,4,0)," ")</f>
        <v>49.5</v>
      </c>
      <c r="CN383" s="22" t="s">
        <v>1653</v>
      </c>
      <c r="CO383" s="22"/>
      <c r="CP383" s="43"/>
      <c r="CQ383" s="22">
        <v>30.0</v>
      </c>
      <c r="CR383" s="43"/>
      <c r="CS383" s="22">
        <v>1.0</v>
      </c>
      <c r="CT383" s="22" t="s">
        <v>145</v>
      </c>
      <c r="CU383" s="43"/>
      <c r="CV383" s="43"/>
      <c r="CW383" s="43"/>
      <c r="CX383" s="43"/>
      <c r="CY383" s="43" t="b">
        <v>0</v>
      </c>
      <c r="CZ383" s="43" t="b">
        <v>0</v>
      </c>
      <c r="DA383" s="43" t="b">
        <v>0</v>
      </c>
      <c r="DB383" s="43" t="b">
        <v>0</v>
      </c>
      <c r="DC383" s="43"/>
      <c r="DD383" s="43"/>
      <c r="DE383" s="43"/>
      <c r="DF383" s="43"/>
      <c r="DG383" s="43"/>
      <c r="DH383" s="43"/>
      <c r="DI383" s="43"/>
      <c r="DJ383" s="22" t="str">
        <f>IFERROR(VLOOKUP($B383,'Лист4'!$D:$AI,27,0)," ")</f>
        <v> </v>
      </c>
      <c r="DK383" s="22" t="str">
        <f>IFERROR(VLOOKUP($B383,'Лист4'!$D:$AI,28,0)," ")</f>
        <v> </v>
      </c>
      <c r="DL383" s="22" t="str">
        <f>IFERROR(VLOOKUP($B383,'Лист4'!$D:$AI,29,0)," ")</f>
        <v> </v>
      </c>
      <c r="DM383" s="22" t="str">
        <f t="shared" si="3"/>
        <v> </v>
      </c>
      <c r="DN383" s="22" t="str">
        <f>IFERROR(VLOOKUP($B383,'Лист4'!$D:$AI,32,0)," ")</f>
        <v> </v>
      </c>
      <c r="DO383" s="22"/>
      <c r="DP383" s="22"/>
      <c r="DQ383" s="22"/>
      <c r="DR383" s="22"/>
      <c r="DS383" s="22"/>
      <c r="DT383" s="22"/>
      <c r="DU383" s="22"/>
      <c r="DV383" s="22"/>
      <c r="DW383" s="22"/>
      <c r="DX383" s="22"/>
      <c r="DY383" s="22"/>
      <c r="DZ383" s="22"/>
      <c r="EA383" s="22"/>
      <c r="EB383" s="22"/>
      <c r="EC383" s="22"/>
      <c r="ED383" s="22"/>
      <c r="EE383" s="22"/>
      <c r="EF383" s="22"/>
      <c r="EG383" s="22"/>
      <c r="EH383" s="22"/>
      <c r="EI383" s="22"/>
      <c r="EJ383" s="22"/>
      <c r="EK383" s="22"/>
      <c r="EL383" s="22"/>
      <c r="EM383" s="22"/>
      <c r="EN383" s="22"/>
      <c r="EO383" s="22"/>
      <c r="EP383" s="22"/>
      <c r="EQ383" s="22"/>
      <c r="ER383" s="22"/>
      <c r="ES383" s="43"/>
      <c r="ET383" s="43"/>
      <c r="EU383" s="43"/>
      <c r="EV383" s="43"/>
      <c r="EW383" s="43"/>
      <c r="EX383" s="43"/>
      <c r="EY383" s="43"/>
      <c r="EZ383" s="43"/>
      <c r="FA383" s="43"/>
      <c r="FB383" s="43"/>
      <c r="FC383" s="43"/>
      <c r="FD383" s="43"/>
      <c r="FE383" s="43"/>
      <c r="FF383" s="43"/>
      <c r="FG383" s="43"/>
      <c r="FH383" s="43"/>
      <c r="FI383" s="43"/>
    </row>
    <row r="384" ht="18.0" customHeight="1">
      <c r="A384" s="22" t="s">
        <v>2659</v>
      </c>
      <c r="B384" s="22" t="s">
        <v>5470</v>
      </c>
      <c r="C384" s="22" t="s">
        <v>2661</v>
      </c>
      <c r="D384" s="22" t="s">
        <v>119</v>
      </c>
      <c r="E384" s="43"/>
      <c r="F384" s="43"/>
      <c r="G384" s="22" t="s">
        <v>401</v>
      </c>
      <c r="H384" s="22" t="s">
        <v>401</v>
      </c>
      <c r="I384" s="43"/>
      <c r="J384" s="43"/>
      <c r="K384" s="22" t="b">
        <v>1</v>
      </c>
      <c r="L384" s="22" t="b">
        <v>0</v>
      </c>
      <c r="M384" s="22" t="b">
        <v>0</v>
      </c>
      <c r="N384" s="22" t="b">
        <v>1</v>
      </c>
      <c r="O384" s="22" t="b">
        <v>0</v>
      </c>
      <c r="P384" s="22" t="b">
        <v>0</v>
      </c>
      <c r="Q384" s="22" t="b">
        <v>0</v>
      </c>
      <c r="R384" s="43"/>
      <c r="S384" s="43" t="s">
        <v>401</v>
      </c>
      <c r="T384" s="64"/>
      <c r="U384" s="22"/>
      <c r="V384" s="55" t="s">
        <v>5470</v>
      </c>
      <c r="W384" s="43"/>
      <c r="X384" s="43"/>
      <c r="Y384" s="43"/>
      <c r="Z384" s="43"/>
      <c r="AA384" s="22"/>
      <c r="AB384" s="22"/>
      <c r="AC384" s="22">
        <v>1.0186400175E11</v>
      </c>
      <c r="AD384" s="22"/>
      <c r="AE384" s="22"/>
      <c r="AF384" s="43"/>
      <c r="AG384" s="43"/>
      <c r="AH384" s="43" t="s">
        <v>401</v>
      </c>
      <c r="AI384" s="43"/>
      <c r="AJ384" s="43"/>
      <c r="AK384" s="22" t="s">
        <v>5471</v>
      </c>
      <c r="AL384" s="43"/>
      <c r="AM384" s="43"/>
      <c r="AN384" s="43"/>
      <c r="AO384" s="43"/>
      <c r="AP384" s="43"/>
      <c r="AQ384" s="43"/>
      <c r="AR384" s="46" t="s">
        <v>5472</v>
      </c>
      <c r="AS384" s="43"/>
      <c r="AT384" s="43"/>
      <c r="AU384" s="43"/>
      <c r="AV384" s="43"/>
      <c r="AW384" s="22"/>
      <c r="AX384" s="22" t="s">
        <v>4979</v>
      </c>
      <c r="AY384" s="22" t="s">
        <v>2672</v>
      </c>
      <c r="AZ384" s="43"/>
      <c r="BA384" s="43"/>
      <c r="BB384" s="43"/>
      <c r="BC384" s="43"/>
      <c r="BD384" s="43" t="s">
        <v>401</v>
      </c>
      <c r="BE384" s="43" t="s">
        <v>401</v>
      </c>
      <c r="BF384" s="22" t="s">
        <v>131</v>
      </c>
      <c r="BG384" s="22" t="s">
        <v>132</v>
      </c>
      <c r="BH384" s="22" t="s">
        <v>132</v>
      </c>
      <c r="BI384" s="22" t="s">
        <v>132</v>
      </c>
      <c r="BJ384" s="43"/>
      <c r="BK384" s="43"/>
      <c r="BL384" s="22">
        <v>4.63115187855E12</v>
      </c>
      <c r="BM384" s="22">
        <v>3.30499E9</v>
      </c>
      <c r="BN384" s="22" t="s">
        <v>5008</v>
      </c>
      <c r="BO384" s="22"/>
      <c r="BP384" s="22"/>
      <c r="BQ384" s="43"/>
      <c r="BR384" s="43"/>
      <c r="BS384" s="22" t="s">
        <v>5009</v>
      </c>
      <c r="BT384" s="43"/>
      <c r="BU384" s="22"/>
      <c r="BV384" s="43" t="s">
        <v>2777</v>
      </c>
      <c r="BW384" s="22" t="s">
        <v>2778</v>
      </c>
      <c r="BX384" s="22"/>
      <c r="BY384" s="43"/>
      <c r="BZ384" s="43"/>
      <c r="CA384" s="22" t="s">
        <v>3960</v>
      </c>
      <c r="CB384" s="22" t="s">
        <v>401</v>
      </c>
      <c r="CC384" s="45" t="s">
        <v>5473</v>
      </c>
      <c r="CD384" s="43"/>
      <c r="CE384" s="43"/>
      <c r="CF384" s="45"/>
      <c r="CG384" s="43"/>
      <c r="CH384" s="43"/>
      <c r="CI384" s="43"/>
      <c r="CJ384" s="43"/>
      <c r="CK384" s="43"/>
      <c r="CL384" s="43"/>
      <c r="CM384" s="49" t="str">
        <f>IFERROR(VLOOKUP(B384,CC!A:D,4,0)," ")</f>
        <v> </v>
      </c>
      <c r="CN384" s="22" t="s">
        <v>2681</v>
      </c>
      <c r="CO384" s="22"/>
      <c r="CP384" s="43"/>
      <c r="CQ384" s="22">
        <v>45.0</v>
      </c>
      <c r="CR384" s="43"/>
      <c r="CS384" s="22">
        <v>1.0</v>
      </c>
      <c r="CT384" s="22" t="s">
        <v>145</v>
      </c>
      <c r="CU384" s="43"/>
      <c r="CV384" s="43"/>
      <c r="CW384" s="43"/>
      <c r="CX384" s="43"/>
      <c r="CY384" s="43" t="b">
        <v>0</v>
      </c>
      <c r="CZ384" s="43" t="b">
        <v>0</v>
      </c>
      <c r="DA384" s="43" t="b">
        <v>0</v>
      </c>
      <c r="DB384" s="43" t="b">
        <v>0</v>
      </c>
      <c r="DC384" s="43"/>
      <c r="DD384" s="43"/>
      <c r="DE384" s="43"/>
      <c r="DF384" s="43"/>
      <c r="DG384" s="43"/>
      <c r="DH384" s="43"/>
      <c r="DI384" s="43"/>
      <c r="DJ384" s="22" t="str">
        <f>IFERROR(VLOOKUP($B384,'Лист4'!$D:$AI,27,0)," ")</f>
        <v> </v>
      </c>
      <c r="DK384" s="22" t="str">
        <f>IFERROR(VLOOKUP($B384,'Лист4'!$D:$AI,28,0)," ")</f>
        <v> </v>
      </c>
      <c r="DL384" s="22" t="str">
        <f>IFERROR(VLOOKUP($B384,'Лист4'!$D:$AI,29,0)," ")</f>
        <v> </v>
      </c>
      <c r="DM384" s="22" t="str">
        <f t="shared" si="3"/>
        <v> </v>
      </c>
      <c r="DN384" s="22" t="str">
        <f>IFERROR(VLOOKUP($B384,'Лист4'!$D:$AI,32,0)," ")</f>
        <v> </v>
      </c>
      <c r="DO384" s="22"/>
      <c r="DP384" s="22"/>
      <c r="DQ384" s="22"/>
      <c r="DR384" s="22"/>
      <c r="DS384" s="22"/>
      <c r="DT384" s="22"/>
      <c r="DU384" s="22"/>
      <c r="DV384" s="22"/>
      <c r="DW384" s="22"/>
      <c r="DX384" s="22"/>
      <c r="DY384" s="22"/>
      <c r="DZ384" s="22"/>
      <c r="EA384" s="22"/>
      <c r="EB384" s="22"/>
      <c r="EC384" s="22"/>
      <c r="ED384" s="22"/>
      <c r="EE384" s="22"/>
      <c r="EF384" s="22"/>
      <c r="EG384" s="22"/>
      <c r="EH384" s="22"/>
      <c r="EI384" s="22"/>
      <c r="EJ384" s="22"/>
      <c r="EK384" s="22"/>
      <c r="EL384" s="22"/>
      <c r="EM384" s="22"/>
      <c r="EN384" s="22"/>
      <c r="EO384" s="22"/>
      <c r="EP384" s="22"/>
      <c r="EQ384" s="22"/>
      <c r="ER384" s="22"/>
      <c r="ES384" s="43"/>
      <c r="ET384" s="43"/>
      <c r="EU384" s="43"/>
      <c r="EV384" s="43"/>
      <c r="EW384" s="43"/>
      <c r="EX384" s="43"/>
      <c r="EY384" s="43"/>
      <c r="EZ384" s="43"/>
      <c r="FA384" s="43"/>
      <c r="FB384" s="43"/>
      <c r="FC384" s="43"/>
      <c r="FD384" s="43"/>
      <c r="FE384" s="43"/>
      <c r="FF384" s="43"/>
      <c r="FG384" s="43"/>
      <c r="FH384" s="43"/>
      <c r="FI384" s="43"/>
    </row>
    <row r="385" ht="18.0" customHeight="1">
      <c r="A385" s="22" t="s">
        <v>2659</v>
      </c>
      <c r="B385" s="22" t="s">
        <v>5474</v>
      </c>
      <c r="C385" s="22" t="s">
        <v>2661</v>
      </c>
      <c r="D385" s="22" t="s">
        <v>119</v>
      </c>
      <c r="E385" s="43"/>
      <c r="F385" s="43"/>
      <c r="G385" s="22" t="s">
        <v>401</v>
      </c>
      <c r="H385" s="22" t="s">
        <v>401</v>
      </c>
      <c r="I385" s="43"/>
      <c r="J385" s="43"/>
      <c r="K385" s="22" t="b">
        <v>1</v>
      </c>
      <c r="L385" s="22" t="b">
        <v>0</v>
      </c>
      <c r="M385" s="22" t="b">
        <v>0</v>
      </c>
      <c r="N385" s="22" t="b">
        <v>1</v>
      </c>
      <c r="O385" s="22" t="b">
        <v>0</v>
      </c>
      <c r="P385" s="22" t="b">
        <v>0</v>
      </c>
      <c r="Q385" s="22" t="b">
        <v>0</v>
      </c>
      <c r="R385" s="43"/>
      <c r="S385" s="43" t="s">
        <v>401</v>
      </c>
      <c r="T385" s="22"/>
      <c r="U385" s="22"/>
      <c r="V385" s="55" t="s">
        <v>5474</v>
      </c>
      <c r="W385" s="43"/>
      <c r="X385" s="43"/>
      <c r="Y385" s="43"/>
      <c r="Z385" s="43"/>
      <c r="AA385" s="22"/>
      <c r="AB385" s="22"/>
      <c r="AC385" s="22">
        <v>1.03543849805E11</v>
      </c>
      <c r="AD385" s="22"/>
      <c r="AE385" s="22"/>
      <c r="AF385" s="43"/>
      <c r="AG385" s="43"/>
      <c r="AH385" s="43" t="s">
        <v>401</v>
      </c>
      <c r="AI385" s="43"/>
      <c r="AJ385" s="43"/>
      <c r="AK385" s="22" t="s">
        <v>5475</v>
      </c>
      <c r="AL385" s="43"/>
      <c r="AM385" s="43"/>
      <c r="AN385" s="43"/>
      <c r="AO385" s="43"/>
      <c r="AP385" s="43"/>
      <c r="AQ385" s="43"/>
      <c r="AR385" s="46" t="s">
        <v>5476</v>
      </c>
      <c r="AS385" s="43"/>
      <c r="AT385" s="43"/>
      <c r="AU385" s="43"/>
      <c r="AV385" s="43"/>
      <c r="AW385" s="22"/>
      <c r="AX385" s="22" t="s">
        <v>4979</v>
      </c>
      <c r="AY385" s="22" t="s">
        <v>4360</v>
      </c>
      <c r="AZ385" s="43"/>
      <c r="BA385" s="43"/>
      <c r="BB385" s="43"/>
      <c r="BC385" s="43"/>
      <c r="BD385" s="43" t="s">
        <v>401</v>
      </c>
      <c r="BE385" s="43" t="s">
        <v>401</v>
      </c>
      <c r="BF385" s="22" t="s">
        <v>131</v>
      </c>
      <c r="BG385" s="22" t="s">
        <v>132</v>
      </c>
      <c r="BH385" s="22" t="s">
        <v>132</v>
      </c>
      <c r="BI385" s="22" t="s">
        <v>132</v>
      </c>
      <c r="BJ385" s="43"/>
      <c r="BK385" s="43"/>
      <c r="BL385" s="22">
        <v>4.631137125906E12</v>
      </c>
      <c r="BM385" s="22">
        <v>3.30499E9</v>
      </c>
      <c r="BN385" s="22" t="s">
        <v>4309</v>
      </c>
      <c r="BO385" s="22"/>
      <c r="BP385" s="22"/>
      <c r="BQ385" s="43"/>
      <c r="BR385" s="43"/>
      <c r="BS385" s="22" t="s">
        <v>4564</v>
      </c>
      <c r="BT385" s="43"/>
      <c r="BU385" s="22"/>
      <c r="BV385" s="43" t="s">
        <v>2777</v>
      </c>
      <c r="BW385" s="22" t="s">
        <v>4566</v>
      </c>
      <c r="BX385" s="22"/>
      <c r="BY385" s="43"/>
      <c r="BZ385" s="43"/>
      <c r="CA385" s="22" t="s">
        <v>3960</v>
      </c>
      <c r="CB385" s="22" t="s">
        <v>401</v>
      </c>
      <c r="CC385" s="45" t="s">
        <v>5477</v>
      </c>
      <c r="CD385" s="43"/>
      <c r="CE385" s="43"/>
      <c r="CF385" s="45"/>
      <c r="CG385" s="43"/>
      <c r="CH385" s="43"/>
      <c r="CI385" s="43"/>
      <c r="CJ385" s="43"/>
      <c r="CK385" s="43"/>
      <c r="CL385" s="43"/>
      <c r="CM385" s="49" t="str">
        <f>IFERROR(VLOOKUP(B385,CC!A:D,4,0)," ")</f>
        <v> </v>
      </c>
      <c r="CN385" s="22" t="s">
        <v>3330</v>
      </c>
      <c r="CO385" s="22"/>
      <c r="CP385" s="43"/>
      <c r="CQ385" s="22" t="s">
        <v>401</v>
      </c>
      <c r="CR385" s="43"/>
      <c r="CS385" s="22">
        <v>1.0</v>
      </c>
      <c r="CT385" s="22" t="s">
        <v>145</v>
      </c>
      <c r="CU385" s="43"/>
      <c r="CV385" s="43"/>
      <c r="CW385" s="43"/>
      <c r="CX385" s="43"/>
      <c r="CY385" s="43" t="b">
        <v>0</v>
      </c>
      <c r="CZ385" s="43" t="b">
        <v>0</v>
      </c>
      <c r="DA385" s="43" t="b">
        <v>0</v>
      </c>
      <c r="DB385" s="43" t="b">
        <v>0</v>
      </c>
      <c r="DC385" s="43"/>
      <c r="DD385" s="43"/>
      <c r="DE385" s="43"/>
      <c r="DF385" s="43"/>
      <c r="DG385" s="43"/>
      <c r="DH385" s="43"/>
      <c r="DI385" s="43"/>
      <c r="DJ385" s="22" t="str">
        <f>IFERROR(VLOOKUP($B385,'Лист4'!$D:$AI,27,0)," ")</f>
        <v> </v>
      </c>
      <c r="DK385" s="22" t="str">
        <f>IFERROR(VLOOKUP($B385,'Лист4'!$D:$AI,28,0)," ")</f>
        <v> </v>
      </c>
      <c r="DL385" s="22" t="str">
        <f>IFERROR(VLOOKUP($B385,'Лист4'!$D:$AI,29,0)," ")</f>
        <v> </v>
      </c>
      <c r="DM385" s="22" t="str">
        <f t="shared" si="3"/>
        <v> </v>
      </c>
      <c r="DN385" s="22" t="str">
        <f>IFERROR(VLOOKUP($B385,'Лист4'!$D:$AI,32,0)," ")</f>
        <v> </v>
      </c>
      <c r="DO385" s="22"/>
      <c r="DP385" s="22"/>
      <c r="DQ385" s="22"/>
      <c r="DR385" s="22"/>
      <c r="DS385" s="22"/>
      <c r="DT385" s="22"/>
      <c r="DU385" s="22"/>
      <c r="DV385" s="22"/>
      <c r="DW385" s="22"/>
      <c r="DX385" s="22"/>
      <c r="DY385" s="22"/>
      <c r="DZ385" s="22"/>
      <c r="EA385" s="22"/>
      <c r="EB385" s="22"/>
      <c r="EC385" s="22"/>
      <c r="ED385" s="22"/>
      <c r="EE385" s="22"/>
      <c r="EF385" s="22"/>
      <c r="EG385" s="22"/>
      <c r="EH385" s="22"/>
      <c r="EI385" s="22"/>
      <c r="EJ385" s="22"/>
      <c r="EK385" s="22"/>
      <c r="EL385" s="22"/>
      <c r="EM385" s="22"/>
      <c r="EN385" s="22"/>
      <c r="EO385" s="22"/>
      <c r="EP385" s="22"/>
      <c r="EQ385" s="22"/>
      <c r="ER385" s="22"/>
      <c r="ES385" s="43"/>
      <c r="ET385" s="43"/>
      <c r="EU385" s="43"/>
      <c r="EV385" s="43"/>
      <c r="EW385" s="43"/>
      <c r="EX385" s="43"/>
      <c r="EY385" s="43"/>
      <c r="EZ385" s="43"/>
      <c r="FA385" s="43"/>
      <c r="FB385" s="43"/>
      <c r="FC385" s="43"/>
      <c r="FD385" s="43"/>
      <c r="FE385" s="43"/>
      <c r="FF385" s="43"/>
      <c r="FG385" s="43"/>
      <c r="FH385" s="43"/>
      <c r="FI385" s="43"/>
    </row>
    <row r="386" ht="18.0" customHeight="1">
      <c r="A386" s="22" t="s">
        <v>116</v>
      </c>
      <c r="B386" s="22" t="s">
        <v>5478</v>
      </c>
      <c r="C386" s="22" t="s">
        <v>283</v>
      </c>
      <c r="D386" s="22" t="s">
        <v>241</v>
      </c>
      <c r="E386" s="43"/>
      <c r="F386" s="43"/>
      <c r="G386" s="22" t="s">
        <v>5367</v>
      </c>
      <c r="H386" s="22" t="s">
        <v>565</v>
      </c>
      <c r="I386" s="43"/>
      <c r="J386" s="43"/>
      <c r="K386" s="22" t="b">
        <v>0</v>
      </c>
      <c r="L386" s="22" t="b">
        <v>1</v>
      </c>
      <c r="M386" s="22" t="b">
        <v>1</v>
      </c>
      <c r="N386" s="22" t="b">
        <v>0</v>
      </c>
      <c r="O386" s="22" t="b">
        <v>0</v>
      </c>
      <c r="P386" s="22" t="b">
        <v>0</v>
      </c>
      <c r="Q386" s="22" t="b">
        <v>0</v>
      </c>
      <c r="R386" s="43"/>
      <c r="S386" s="43"/>
      <c r="T386" s="22" t="s">
        <v>5478</v>
      </c>
      <c r="U386" s="22" t="s">
        <v>5478</v>
      </c>
      <c r="V386" s="55"/>
      <c r="W386" s="43" t="s">
        <v>401</v>
      </c>
      <c r="X386" s="43" t="s">
        <v>401</v>
      </c>
      <c r="Y386" s="43"/>
      <c r="Z386" s="43"/>
      <c r="AA386" s="22">
        <v>8.8424365E8</v>
      </c>
      <c r="AB386" s="22">
        <v>3.643895547E9</v>
      </c>
      <c r="AC386" s="22"/>
      <c r="AD386" s="22"/>
      <c r="AE386" s="22"/>
      <c r="AF386" s="43"/>
      <c r="AG386" s="43"/>
      <c r="AH386" s="43" t="s">
        <v>401</v>
      </c>
      <c r="AI386" s="43"/>
      <c r="AJ386" s="43"/>
      <c r="AK386" s="43"/>
      <c r="AL386" s="43"/>
      <c r="AM386" s="43"/>
      <c r="AN386" s="43"/>
      <c r="AO386" s="43"/>
      <c r="AP386" s="43"/>
      <c r="AQ386" s="43"/>
      <c r="AR386" s="43"/>
      <c r="AS386" s="43"/>
      <c r="AT386" s="43"/>
      <c r="AU386" s="43"/>
      <c r="AV386" s="43"/>
      <c r="AW386" s="22"/>
      <c r="AX386" s="22" t="s">
        <v>401</v>
      </c>
      <c r="AY386" s="43"/>
      <c r="AZ386" s="43"/>
      <c r="BA386" s="43"/>
      <c r="BB386" s="43"/>
      <c r="BC386" s="43"/>
      <c r="BD386" s="43" t="s">
        <v>401</v>
      </c>
      <c r="BE386" s="43" t="s">
        <v>401</v>
      </c>
      <c r="BF386" s="22" t="s">
        <v>131</v>
      </c>
      <c r="BG386" s="22" t="s">
        <v>132</v>
      </c>
      <c r="BH386" s="22" t="s">
        <v>132</v>
      </c>
      <c r="BI386" s="22" t="s">
        <v>132</v>
      </c>
      <c r="BJ386" s="43"/>
      <c r="BK386" s="43"/>
      <c r="BL386" s="22">
        <v>4.640523970068E12</v>
      </c>
      <c r="BM386" s="22">
        <v>3.30499E9</v>
      </c>
      <c r="BN386" s="22" t="s">
        <v>5479</v>
      </c>
      <c r="BO386" s="46" t="s">
        <v>5480</v>
      </c>
      <c r="BP386" s="22" t="s">
        <v>245</v>
      </c>
      <c r="BQ386" s="43"/>
      <c r="BR386" s="43"/>
      <c r="BS386" s="22" t="s">
        <v>5481</v>
      </c>
      <c r="BT386" s="43"/>
      <c r="BU386" s="22" t="s">
        <v>5482</v>
      </c>
      <c r="BV386" s="22" t="s">
        <v>5483</v>
      </c>
      <c r="BW386" s="22" t="s">
        <v>5484</v>
      </c>
      <c r="BX386" s="22"/>
      <c r="BY386" s="43"/>
      <c r="BZ386" s="43"/>
      <c r="CA386" s="22" t="s">
        <v>307</v>
      </c>
      <c r="CB386" s="22" t="s">
        <v>401</v>
      </c>
      <c r="CC386" s="44" t="s">
        <v>5485</v>
      </c>
      <c r="CD386" s="43"/>
      <c r="CE386" s="43"/>
      <c r="CF386" s="45" t="s">
        <v>401</v>
      </c>
      <c r="CG386" s="43"/>
      <c r="CH386" s="43"/>
      <c r="CI386" s="43"/>
      <c r="CJ386" s="43"/>
      <c r="CK386" s="43"/>
      <c r="CL386" s="43"/>
      <c r="CM386" s="49">
        <f>IFERROR(VLOOKUP(B386,CC!A:D,4,0)," ")</f>
        <v>160</v>
      </c>
      <c r="CN386" s="22" t="s">
        <v>4114</v>
      </c>
      <c r="CO386" s="22"/>
      <c r="CP386" s="43"/>
      <c r="CQ386" s="22" t="s">
        <v>401</v>
      </c>
      <c r="CR386" s="43"/>
      <c r="CS386" s="43"/>
      <c r="CT386" s="43"/>
      <c r="CU386" s="43"/>
      <c r="CV386" s="43"/>
      <c r="CW386" s="43"/>
      <c r="CX386" s="43"/>
      <c r="CY386" s="43" t="b">
        <v>0</v>
      </c>
      <c r="CZ386" s="43" t="b">
        <v>0</v>
      </c>
      <c r="DA386" s="43" t="b">
        <v>0</v>
      </c>
      <c r="DB386" s="43" t="b">
        <v>0</v>
      </c>
      <c r="DC386" s="43"/>
      <c r="DD386" s="43"/>
      <c r="DE386" s="43"/>
      <c r="DF386" s="43"/>
      <c r="DG386" s="43"/>
      <c r="DH386" s="43"/>
      <c r="DI386" s="43"/>
      <c r="DJ386" s="22" t="str">
        <f>IFERROR(VLOOKUP($B386,'Лист4'!$D:$AI,27,0)," ")</f>
        <v> </v>
      </c>
      <c r="DK386" s="22" t="str">
        <f>IFERROR(VLOOKUP($B386,'Лист4'!$D:$AI,28,0)," ")</f>
        <v> </v>
      </c>
      <c r="DL386" s="22" t="str">
        <f>IFERROR(VLOOKUP($B386,'Лист4'!$D:$AI,29,0)," ")</f>
        <v> </v>
      </c>
      <c r="DM386" s="22" t="str">
        <f t="shared" si="3"/>
        <v> </v>
      </c>
      <c r="DN386" s="22" t="str">
        <f>IFERROR(VLOOKUP($B386,'Лист4'!$D:$AI,32,0)," ")</f>
        <v> </v>
      </c>
      <c r="DO386" s="22"/>
      <c r="DP386" s="22"/>
      <c r="DQ386" s="22"/>
      <c r="DR386" s="22"/>
      <c r="DS386" s="22"/>
      <c r="DT386" s="22"/>
      <c r="DU386" s="22"/>
      <c r="DV386" s="22"/>
      <c r="DW386" s="22"/>
      <c r="DX386" s="22"/>
      <c r="DY386" s="22"/>
      <c r="DZ386" s="22"/>
      <c r="EA386" s="22"/>
      <c r="EB386" s="22"/>
      <c r="EC386" s="22"/>
      <c r="ED386" s="22"/>
      <c r="EE386" s="22"/>
      <c r="EF386" s="22"/>
      <c r="EG386" s="22"/>
      <c r="EH386" s="22"/>
      <c r="EI386" s="22"/>
      <c r="EJ386" s="22"/>
      <c r="EK386" s="22"/>
      <c r="EL386" s="22"/>
      <c r="EM386" s="22"/>
      <c r="EN386" s="22"/>
      <c r="EO386" s="22"/>
      <c r="EP386" s="22"/>
      <c r="EQ386" s="22"/>
      <c r="ER386" s="22"/>
      <c r="ES386" s="43"/>
      <c r="ET386" s="43"/>
      <c r="EU386" s="43"/>
      <c r="EV386" s="43"/>
      <c r="EW386" s="43"/>
      <c r="EX386" s="43"/>
      <c r="EY386" s="43"/>
      <c r="EZ386" s="43"/>
      <c r="FA386" s="43"/>
      <c r="FB386" s="43"/>
      <c r="FC386" s="43"/>
      <c r="FD386" s="43"/>
      <c r="FE386" s="43"/>
      <c r="FF386" s="43"/>
      <c r="FG386" s="43"/>
      <c r="FH386" s="43"/>
      <c r="FI386" s="43"/>
    </row>
    <row r="387" ht="18.0" customHeight="1">
      <c r="A387" s="22" t="s">
        <v>116</v>
      </c>
      <c r="B387" s="22" t="s">
        <v>5486</v>
      </c>
      <c r="C387" s="22" t="s">
        <v>283</v>
      </c>
      <c r="D387" s="22" t="s">
        <v>241</v>
      </c>
      <c r="E387" s="43"/>
      <c r="F387" s="43"/>
      <c r="G387" s="22" t="s">
        <v>361</v>
      </c>
      <c r="H387" s="22" t="s">
        <v>1557</v>
      </c>
      <c r="I387" s="43"/>
      <c r="J387" s="43"/>
      <c r="K387" s="22" t="b">
        <v>0</v>
      </c>
      <c r="L387" s="22" t="b">
        <v>1</v>
      </c>
      <c r="M387" s="22" t="b">
        <v>1</v>
      </c>
      <c r="N387" s="22" t="b">
        <v>0</v>
      </c>
      <c r="O387" s="22" t="b">
        <v>0</v>
      </c>
      <c r="P387" s="22" t="b">
        <v>0</v>
      </c>
      <c r="Q387" s="22" t="b">
        <v>0</v>
      </c>
      <c r="R387" s="43"/>
      <c r="S387" s="43"/>
      <c r="T387" s="22" t="s">
        <v>5486</v>
      </c>
      <c r="U387" s="22" t="s">
        <v>5486</v>
      </c>
      <c r="V387" s="55"/>
      <c r="W387" s="43" t="s">
        <v>401</v>
      </c>
      <c r="X387" s="43" t="s">
        <v>401</v>
      </c>
      <c r="Y387" s="43"/>
      <c r="Z387" s="43"/>
      <c r="AA387" s="22">
        <v>8.84690371E8</v>
      </c>
      <c r="AB387" s="22">
        <v>3.644217777E9</v>
      </c>
      <c r="AC387" s="22"/>
      <c r="AD387" s="22"/>
      <c r="AE387" s="22"/>
      <c r="AF387" s="43"/>
      <c r="AG387" s="43"/>
      <c r="AH387" s="43" t="s">
        <v>401</v>
      </c>
      <c r="AI387" s="43"/>
      <c r="AJ387" s="43"/>
      <c r="AK387" s="43"/>
      <c r="AL387" s="43"/>
      <c r="AM387" s="43"/>
      <c r="AN387" s="43"/>
      <c r="AO387" s="43"/>
      <c r="AP387" s="43"/>
      <c r="AQ387" s="43"/>
      <c r="AR387" s="43"/>
      <c r="AS387" s="43"/>
      <c r="AT387" s="43"/>
      <c r="AU387" s="43"/>
      <c r="AV387" s="43"/>
      <c r="AW387" s="22"/>
      <c r="AX387" s="22" t="s">
        <v>401</v>
      </c>
      <c r="AY387" s="43"/>
      <c r="AZ387" s="43"/>
      <c r="BA387" s="43"/>
      <c r="BB387" s="43"/>
      <c r="BC387" s="43"/>
      <c r="BD387" s="43"/>
      <c r="BE387" s="43"/>
      <c r="BF387" s="43"/>
      <c r="BG387" s="43"/>
      <c r="BH387" s="43"/>
      <c r="BI387" s="43"/>
      <c r="BJ387" s="43"/>
      <c r="BK387" s="43"/>
      <c r="BL387" s="22">
        <v>4.610030695648E12</v>
      </c>
      <c r="BM387" s="22">
        <v>2.106909808E9</v>
      </c>
      <c r="BN387" s="22" t="s">
        <v>5487</v>
      </c>
      <c r="BO387" s="46" t="s">
        <v>5488</v>
      </c>
      <c r="BP387" s="22" t="s">
        <v>245</v>
      </c>
      <c r="BQ387" s="43"/>
      <c r="BR387" s="43"/>
      <c r="BS387" s="22" t="s">
        <v>5489</v>
      </c>
      <c r="BT387" s="43"/>
      <c r="BU387" s="22" t="s">
        <v>5490</v>
      </c>
      <c r="BV387" s="22" t="s">
        <v>653</v>
      </c>
      <c r="BW387" s="22" t="s">
        <v>5491</v>
      </c>
      <c r="BX387" s="22"/>
      <c r="BY387" s="43"/>
      <c r="BZ387" s="43"/>
      <c r="CA387" s="22" t="s">
        <v>726</v>
      </c>
      <c r="CB387" s="22" t="s">
        <v>401</v>
      </c>
      <c r="CC387" s="44" t="s">
        <v>5492</v>
      </c>
      <c r="CD387" s="43"/>
      <c r="CE387" s="43"/>
      <c r="CF387" s="45" t="s">
        <v>401</v>
      </c>
      <c r="CG387" s="43"/>
      <c r="CH387" s="43"/>
      <c r="CI387" s="43"/>
      <c r="CJ387" s="43"/>
      <c r="CK387" s="43"/>
      <c r="CL387" s="43"/>
      <c r="CM387" s="49">
        <f>IFERROR(VLOOKUP(B387,CC!A:D,4,0)," ")</f>
        <v>210</v>
      </c>
      <c r="CN387" s="22" t="s">
        <v>5493</v>
      </c>
      <c r="CO387" s="22"/>
      <c r="CP387" s="43"/>
      <c r="CQ387" s="22">
        <v>45.0</v>
      </c>
      <c r="CR387" s="43"/>
      <c r="CS387" s="43"/>
      <c r="CT387" s="43"/>
      <c r="CU387" s="43"/>
      <c r="CV387" s="43"/>
      <c r="CW387" s="43"/>
      <c r="CX387" s="43"/>
      <c r="CY387" s="43" t="b">
        <v>0</v>
      </c>
      <c r="CZ387" s="43" t="b">
        <v>0</v>
      </c>
      <c r="DA387" s="43" t="b">
        <v>0</v>
      </c>
      <c r="DB387" s="43" t="b">
        <v>0</v>
      </c>
      <c r="DC387" s="43"/>
      <c r="DD387" s="43"/>
      <c r="DE387" s="43"/>
      <c r="DF387" s="43"/>
      <c r="DG387" s="43"/>
      <c r="DH387" s="43"/>
      <c r="DI387" s="43"/>
      <c r="DJ387" s="22" t="str">
        <f>IFERROR(VLOOKUP($B387,'Лист4'!$D:$AI,27,0)," ")</f>
        <v> </v>
      </c>
      <c r="DK387" s="22" t="str">
        <f>IFERROR(VLOOKUP($B387,'Лист4'!$D:$AI,28,0)," ")</f>
        <v> </v>
      </c>
      <c r="DL387" s="22" t="str">
        <f>IFERROR(VLOOKUP($B387,'Лист4'!$D:$AI,29,0)," ")</f>
        <v> </v>
      </c>
      <c r="DM387" s="22" t="str">
        <f t="shared" si="3"/>
        <v> </v>
      </c>
      <c r="DN387" s="22" t="str">
        <f>IFERROR(VLOOKUP($B387,'Лист4'!$D:$AI,32,0)," ")</f>
        <v> </v>
      </c>
      <c r="DO387" s="22"/>
      <c r="DP387" s="22"/>
      <c r="DQ387" s="22"/>
      <c r="DR387" s="22"/>
      <c r="DS387" s="22"/>
      <c r="DT387" s="22"/>
      <c r="DU387" s="22"/>
      <c r="DV387" s="22"/>
      <c r="DW387" s="22"/>
      <c r="DX387" s="22"/>
      <c r="DY387" s="22"/>
      <c r="DZ387" s="22"/>
      <c r="EA387" s="22"/>
      <c r="EB387" s="22"/>
      <c r="EC387" s="22"/>
      <c r="ED387" s="22"/>
      <c r="EE387" s="22"/>
      <c r="EF387" s="22"/>
      <c r="EG387" s="22"/>
      <c r="EH387" s="22"/>
      <c r="EI387" s="22"/>
      <c r="EJ387" s="22"/>
      <c r="EK387" s="22"/>
      <c r="EL387" s="22"/>
      <c r="EM387" s="22"/>
      <c r="EN387" s="22"/>
      <c r="EO387" s="22"/>
      <c r="EP387" s="22"/>
      <c r="EQ387" s="22"/>
      <c r="ER387" s="22"/>
      <c r="ES387" s="43"/>
      <c r="ET387" s="43"/>
      <c r="EU387" s="43"/>
      <c r="EV387" s="43"/>
      <c r="EW387" s="43"/>
      <c r="EX387" s="43"/>
      <c r="EY387" s="43"/>
      <c r="EZ387" s="43"/>
      <c r="FA387" s="43"/>
      <c r="FB387" s="43"/>
      <c r="FC387" s="43"/>
      <c r="FD387" s="43"/>
      <c r="FE387" s="43"/>
      <c r="FF387" s="43"/>
      <c r="FG387" s="43"/>
      <c r="FH387" s="43"/>
      <c r="FI387" s="43"/>
    </row>
    <row r="388" ht="18.0" customHeight="1">
      <c r="A388" s="22" t="s">
        <v>116</v>
      </c>
      <c r="B388" s="22" t="s">
        <v>5494</v>
      </c>
      <c r="C388" s="22" t="s">
        <v>283</v>
      </c>
      <c r="D388" s="22" t="s">
        <v>241</v>
      </c>
      <c r="E388" s="43"/>
      <c r="F388" s="43"/>
      <c r="G388" s="22" t="s">
        <v>361</v>
      </c>
      <c r="H388" s="22" t="s">
        <v>1557</v>
      </c>
      <c r="I388" s="43"/>
      <c r="J388" s="43"/>
      <c r="K388" s="22" t="b">
        <v>0</v>
      </c>
      <c r="L388" s="22" t="b">
        <v>1</v>
      </c>
      <c r="M388" s="22" t="b">
        <v>1</v>
      </c>
      <c r="N388" s="22" t="b">
        <v>0</v>
      </c>
      <c r="O388" s="22" t="b">
        <v>0</v>
      </c>
      <c r="P388" s="22" t="b">
        <v>0</v>
      </c>
      <c r="Q388" s="22" t="b">
        <v>0</v>
      </c>
      <c r="R388" s="43"/>
      <c r="S388" s="43"/>
      <c r="T388" s="22" t="s">
        <v>5494</v>
      </c>
      <c r="U388" s="22" t="s">
        <v>5494</v>
      </c>
      <c r="V388" s="55"/>
      <c r="W388" s="43" t="s">
        <v>401</v>
      </c>
      <c r="X388" s="43" t="s">
        <v>401</v>
      </c>
      <c r="Y388" s="43"/>
      <c r="Z388" s="43"/>
      <c r="AA388" s="22">
        <v>8.82241069E8</v>
      </c>
      <c r="AB388" s="22">
        <v>3.636259155E9</v>
      </c>
      <c r="AC388" s="22"/>
      <c r="AD388" s="22"/>
      <c r="AE388" s="22"/>
      <c r="AF388" s="43"/>
      <c r="AG388" s="43"/>
      <c r="AH388" s="43" t="s">
        <v>401</v>
      </c>
      <c r="AI388" s="43"/>
      <c r="AJ388" s="43"/>
      <c r="AK388" s="43"/>
      <c r="AL388" s="43"/>
      <c r="AM388" s="43"/>
      <c r="AN388" s="43"/>
      <c r="AO388" s="43"/>
      <c r="AP388" s="43"/>
      <c r="AQ388" s="43"/>
      <c r="AR388" s="43"/>
      <c r="AS388" s="43"/>
      <c r="AT388" s="43"/>
      <c r="AU388" s="43"/>
      <c r="AV388" s="43"/>
      <c r="AW388" s="22"/>
      <c r="AX388" s="22" t="s">
        <v>401</v>
      </c>
      <c r="AY388" s="43"/>
      <c r="AZ388" s="43"/>
      <c r="BA388" s="43"/>
      <c r="BB388" s="43"/>
      <c r="BC388" s="43"/>
      <c r="BD388" s="43"/>
      <c r="BE388" s="43"/>
      <c r="BF388" s="43"/>
      <c r="BG388" s="43"/>
      <c r="BH388" s="43"/>
      <c r="BI388" s="43"/>
      <c r="BJ388" s="43"/>
      <c r="BK388" s="43"/>
      <c r="BL388" s="22">
        <v>4.610030695679E12</v>
      </c>
      <c r="BM388" s="22">
        <v>2.106909808E9</v>
      </c>
      <c r="BN388" s="22" t="s">
        <v>5495</v>
      </c>
      <c r="BO388" s="46" t="s">
        <v>5496</v>
      </c>
      <c r="BP388" s="22" t="s">
        <v>245</v>
      </c>
      <c r="BQ388" s="43"/>
      <c r="BR388" s="43"/>
      <c r="BS388" s="22" t="s">
        <v>5497</v>
      </c>
      <c r="BT388" s="43"/>
      <c r="BU388" s="22" t="s">
        <v>5498</v>
      </c>
      <c r="BV388" s="22" t="s">
        <v>653</v>
      </c>
      <c r="BW388" s="22" t="s">
        <v>5491</v>
      </c>
      <c r="BX388" s="22"/>
      <c r="BY388" s="43"/>
      <c r="BZ388" s="43"/>
      <c r="CA388" s="22" t="s">
        <v>726</v>
      </c>
      <c r="CB388" s="22" t="s">
        <v>401</v>
      </c>
      <c r="CC388" s="44" t="s">
        <v>5499</v>
      </c>
      <c r="CD388" s="43"/>
      <c r="CE388" s="43"/>
      <c r="CF388" s="45" t="s">
        <v>401</v>
      </c>
      <c r="CG388" s="43"/>
      <c r="CH388" s="43"/>
      <c r="CI388" s="43"/>
      <c r="CJ388" s="43"/>
      <c r="CK388" s="43"/>
      <c r="CL388" s="43"/>
      <c r="CM388" s="49">
        <f>IFERROR(VLOOKUP(B388,CC!A:D,4,0)," ")</f>
        <v>432</v>
      </c>
      <c r="CN388" s="22" t="s">
        <v>5493</v>
      </c>
      <c r="CO388" s="22"/>
      <c r="CP388" s="43"/>
      <c r="CQ388" s="22">
        <v>45.0</v>
      </c>
      <c r="CR388" s="43"/>
      <c r="CS388" s="43"/>
      <c r="CT388" s="43"/>
      <c r="CU388" s="43"/>
      <c r="CV388" s="43"/>
      <c r="CW388" s="43"/>
      <c r="CX388" s="43"/>
      <c r="CY388" s="43" t="b">
        <v>0</v>
      </c>
      <c r="CZ388" s="43" t="b">
        <v>0</v>
      </c>
      <c r="DA388" s="43" t="b">
        <v>0</v>
      </c>
      <c r="DB388" s="43" t="b">
        <v>0</v>
      </c>
      <c r="DC388" s="43"/>
      <c r="DD388" s="43"/>
      <c r="DE388" s="43"/>
      <c r="DF388" s="43"/>
      <c r="DG388" s="43"/>
      <c r="DH388" s="43"/>
      <c r="DI388" s="43"/>
      <c r="DJ388" s="22" t="str">
        <f>IFERROR(VLOOKUP($B388,'Лист4'!$D:$AI,27,0)," ")</f>
        <v> </v>
      </c>
      <c r="DK388" s="22" t="str">
        <f>IFERROR(VLOOKUP($B388,'Лист4'!$D:$AI,28,0)," ")</f>
        <v> </v>
      </c>
      <c r="DL388" s="22" t="str">
        <f>IFERROR(VLOOKUP($B388,'Лист4'!$D:$AI,29,0)," ")</f>
        <v> </v>
      </c>
      <c r="DM388" s="22" t="str">
        <f t="shared" si="3"/>
        <v> </v>
      </c>
      <c r="DN388" s="22" t="str">
        <f>IFERROR(VLOOKUP($B388,'Лист4'!$D:$AI,32,0)," ")</f>
        <v> </v>
      </c>
      <c r="DO388" s="22"/>
      <c r="DP388" s="22"/>
      <c r="DQ388" s="22"/>
      <c r="DR388" s="22"/>
      <c r="DS388" s="22"/>
      <c r="DT388" s="22"/>
      <c r="DU388" s="22"/>
      <c r="DV388" s="22"/>
      <c r="DW388" s="22"/>
      <c r="DX388" s="22"/>
      <c r="DY388" s="22"/>
      <c r="DZ388" s="22"/>
      <c r="EA388" s="22"/>
      <c r="EB388" s="22"/>
      <c r="EC388" s="22"/>
      <c r="ED388" s="22"/>
      <c r="EE388" s="22"/>
      <c r="EF388" s="22"/>
      <c r="EG388" s="22"/>
      <c r="EH388" s="22"/>
      <c r="EI388" s="22"/>
      <c r="EJ388" s="22"/>
      <c r="EK388" s="22"/>
      <c r="EL388" s="22"/>
      <c r="EM388" s="22"/>
      <c r="EN388" s="22"/>
      <c r="EO388" s="22"/>
      <c r="EP388" s="22"/>
      <c r="EQ388" s="22"/>
      <c r="ER388" s="22"/>
      <c r="ES388" s="43"/>
      <c r="ET388" s="43"/>
      <c r="EU388" s="43"/>
      <c r="EV388" s="43"/>
      <c r="EW388" s="43"/>
      <c r="EX388" s="43"/>
      <c r="EY388" s="43"/>
      <c r="EZ388" s="43"/>
      <c r="FA388" s="43"/>
      <c r="FB388" s="43"/>
      <c r="FC388" s="43"/>
      <c r="FD388" s="43"/>
      <c r="FE388" s="43"/>
      <c r="FF388" s="43"/>
      <c r="FG388" s="43"/>
      <c r="FH388" s="43"/>
      <c r="FI388" s="43"/>
    </row>
    <row r="389" ht="18.0" customHeight="1">
      <c r="A389" s="22" t="s">
        <v>116</v>
      </c>
      <c r="B389" s="22" t="s">
        <v>5500</v>
      </c>
      <c r="C389" s="22" t="s">
        <v>283</v>
      </c>
      <c r="D389" s="22" t="s">
        <v>241</v>
      </c>
      <c r="E389" s="43"/>
      <c r="F389" s="43"/>
      <c r="G389" s="22" t="s">
        <v>361</v>
      </c>
      <c r="H389" s="22" t="s">
        <v>4045</v>
      </c>
      <c r="I389" s="43"/>
      <c r="J389" s="43"/>
      <c r="K389" s="22" t="b">
        <v>0</v>
      </c>
      <c r="L389" s="22" t="b">
        <v>0</v>
      </c>
      <c r="M389" s="22" t="b">
        <v>0</v>
      </c>
      <c r="N389" s="22" t="b">
        <v>0</v>
      </c>
      <c r="O389" s="22" t="b">
        <v>0</v>
      </c>
      <c r="P389" s="22" t="b">
        <v>0</v>
      </c>
      <c r="Q389" s="22" t="b">
        <v>0</v>
      </c>
      <c r="R389" s="43"/>
      <c r="S389" s="43"/>
      <c r="T389" s="22"/>
      <c r="U389" s="22" t="s">
        <v>401</v>
      </c>
      <c r="V389" s="55"/>
      <c r="W389" s="55"/>
      <c r="X389" s="43" t="s">
        <v>401</v>
      </c>
      <c r="Y389" s="43"/>
      <c r="Z389" s="43"/>
      <c r="AA389" s="22"/>
      <c r="AB389" s="22"/>
      <c r="AC389" s="22"/>
      <c r="AD389" s="22"/>
      <c r="AE389" s="22"/>
      <c r="AF389" s="43"/>
      <c r="AG389" s="43"/>
      <c r="AH389" s="43" t="s">
        <v>401</v>
      </c>
      <c r="AI389" s="43"/>
      <c r="AJ389" s="43"/>
      <c r="AK389" s="43"/>
      <c r="AL389" s="43"/>
      <c r="AM389" s="43"/>
      <c r="AN389" s="43"/>
      <c r="AO389" s="43"/>
      <c r="AP389" s="43"/>
      <c r="AQ389" s="43"/>
      <c r="AR389" s="43"/>
      <c r="AS389" s="43"/>
      <c r="AT389" s="43"/>
      <c r="AU389" s="43"/>
      <c r="AV389" s="43"/>
      <c r="AW389" s="22"/>
      <c r="AX389" s="22" t="s">
        <v>401</v>
      </c>
      <c r="AY389" s="43"/>
      <c r="AZ389" s="43"/>
      <c r="BA389" s="43"/>
      <c r="BB389" s="43"/>
      <c r="BC389" s="43"/>
      <c r="BD389" s="43"/>
      <c r="BE389" s="43"/>
      <c r="BF389" s="43"/>
      <c r="BG389" s="43"/>
      <c r="BH389" s="43"/>
      <c r="BI389" s="43"/>
      <c r="BJ389" s="43"/>
      <c r="BK389" s="43"/>
      <c r="BL389" s="22">
        <v>4.640257811293E12</v>
      </c>
      <c r="BM389" s="22">
        <v>2.106909808E9</v>
      </c>
      <c r="BN389" s="22" t="s">
        <v>401</v>
      </c>
      <c r="BO389" s="46" t="s">
        <v>5501</v>
      </c>
      <c r="BP389" s="22" t="s">
        <v>245</v>
      </c>
      <c r="BQ389" s="43"/>
      <c r="BR389" s="43"/>
      <c r="BS389" s="22" t="s">
        <v>5502</v>
      </c>
      <c r="BT389" s="43"/>
      <c r="BU389" s="22" t="s">
        <v>5503</v>
      </c>
      <c r="BV389" s="22" t="s">
        <v>653</v>
      </c>
      <c r="BW389" s="22" t="s">
        <v>5491</v>
      </c>
      <c r="BX389" s="22"/>
      <c r="BY389" s="43"/>
      <c r="BZ389" s="43"/>
      <c r="CA389" s="22" t="s">
        <v>355</v>
      </c>
      <c r="CB389" s="22" t="s">
        <v>401</v>
      </c>
      <c r="CC389" s="44" t="s">
        <v>5504</v>
      </c>
      <c r="CD389" s="43"/>
      <c r="CE389" s="43"/>
      <c r="CF389" s="45" t="s">
        <v>401</v>
      </c>
      <c r="CG389" s="43"/>
      <c r="CH389" s="43"/>
      <c r="CI389" s="43"/>
      <c r="CJ389" s="43"/>
      <c r="CK389" s="43"/>
      <c r="CL389" s="43"/>
      <c r="CM389" s="49">
        <f>IFERROR(VLOOKUP(B389,CC!A:D,4,0)," ")</f>
        <v>199.65</v>
      </c>
      <c r="CN389" s="22" t="s">
        <v>3929</v>
      </c>
      <c r="CO389" s="22"/>
      <c r="CP389" s="43"/>
      <c r="CQ389" s="22" t="s">
        <v>401</v>
      </c>
      <c r="CR389" s="43"/>
      <c r="CS389" s="43"/>
      <c r="CT389" s="43"/>
      <c r="CU389" s="43"/>
      <c r="CV389" s="43"/>
      <c r="CW389" s="43"/>
      <c r="CX389" s="43"/>
      <c r="CY389" s="43" t="b">
        <v>0</v>
      </c>
      <c r="CZ389" s="43" t="b">
        <v>0</v>
      </c>
      <c r="DA389" s="43" t="b">
        <v>0</v>
      </c>
      <c r="DB389" s="43" t="b">
        <v>0</v>
      </c>
      <c r="DC389" s="43"/>
      <c r="DD389" s="43"/>
      <c r="DE389" s="43"/>
      <c r="DF389" s="43"/>
      <c r="DG389" s="43"/>
      <c r="DH389" s="43"/>
      <c r="DI389" s="43"/>
      <c r="DJ389" s="22" t="str">
        <f>IFERROR(VLOOKUP($B389,'Лист4'!$D:$AI,27,0)," ")</f>
        <v> </v>
      </c>
      <c r="DK389" s="22" t="str">
        <f>IFERROR(VLOOKUP($B389,'Лист4'!$D:$AI,28,0)," ")</f>
        <v> </v>
      </c>
      <c r="DL389" s="22" t="str">
        <f>IFERROR(VLOOKUP($B389,'Лист4'!$D:$AI,29,0)," ")</f>
        <v> </v>
      </c>
      <c r="DM389" s="22" t="str">
        <f t="shared" si="3"/>
        <v> </v>
      </c>
      <c r="DN389" s="22" t="str">
        <f>IFERROR(VLOOKUP($B389,'Лист4'!$D:$AI,32,0)," ")</f>
        <v> </v>
      </c>
      <c r="DO389" s="22"/>
      <c r="DP389" s="22"/>
      <c r="DQ389" s="22"/>
      <c r="DR389" s="22"/>
      <c r="DS389" s="22"/>
      <c r="DT389" s="22"/>
      <c r="DU389" s="22"/>
      <c r="DV389" s="22"/>
      <c r="DW389" s="22"/>
      <c r="DX389" s="22"/>
      <c r="DY389" s="22"/>
      <c r="DZ389" s="22"/>
      <c r="EA389" s="22"/>
      <c r="EB389" s="22"/>
      <c r="EC389" s="22"/>
      <c r="ED389" s="22"/>
      <c r="EE389" s="22"/>
      <c r="EF389" s="22"/>
      <c r="EG389" s="22"/>
      <c r="EH389" s="22"/>
      <c r="EI389" s="22"/>
      <c r="EJ389" s="22"/>
      <c r="EK389" s="22"/>
      <c r="EL389" s="22"/>
      <c r="EM389" s="22"/>
      <c r="EN389" s="22"/>
      <c r="EO389" s="22"/>
      <c r="EP389" s="22"/>
      <c r="EQ389" s="22"/>
      <c r="ER389" s="22"/>
      <c r="ES389" s="43"/>
      <c r="ET389" s="43"/>
      <c r="EU389" s="43"/>
      <c r="EV389" s="43"/>
      <c r="EW389" s="43"/>
      <c r="EX389" s="43"/>
      <c r="EY389" s="43"/>
      <c r="EZ389" s="43"/>
      <c r="FA389" s="43"/>
      <c r="FB389" s="43"/>
      <c r="FC389" s="43"/>
      <c r="FD389" s="43"/>
      <c r="FE389" s="43"/>
      <c r="FF389" s="43"/>
      <c r="FG389" s="43"/>
      <c r="FH389" s="43"/>
      <c r="FI389" s="43"/>
    </row>
    <row r="390" ht="18.0" customHeight="1">
      <c r="A390" s="22" t="s">
        <v>116</v>
      </c>
      <c r="B390" s="22" t="s">
        <v>5505</v>
      </c>
      <c r="C390" s="22" t="s">
        <v>283</v>
      </c>
      <c r="D390" s="22" t="s">
        <v>241</v>
      </c>
      <c r="E390" s="43"/>
      <c r="F390" s="43"/>
      <c r="G390" s="22" t="s">
        <v>5367</v>
      </c>
      <c r="H390" s="22" t="s">
        <v>565</v>
      </c>
      <c r="I390" s="43"/>
      <c r="J390" s="43"/>
      <c r="K390" s="22" t="b">
        <v>0</v>
      </c>
      <c r="L390" s="22" t="b">
        <v>0</v>
      </c>
      <c r="M390" s="22" t="b">
        <v>0</v>
      </c>
      <c r="N390" s="22" t="b">
        <v>0</v>
      </c>
      <c r="O390" s="22" t="b">
        <v>0</v>
      </c>
      <c r="P390" s="22" t="b">
        <v>0</v>
      </c>
      <c r="Q390" s="22" t="b">
        <v>0</v>
      </c>
      <c r="R390" s="43"/>
      <c r="S390" s="43"/>
      <c r="T390" s="22"/>
      <c r="U390" s="22" t="s">
        <v>401</v>
      </c>
      <c r="V390" s="55"/>
      <c r="W390" s="55"/>
      <c r="X390" s="43" t="s">
        <v>401</v>
      </c>
      <c r="Y390" s="43"/>
      <c r="Z390" s="43"/>
      <c r="AA390" s="22"/>
      <c r="AB390" s="22"/>
      <c r="AC390" s="22"/>
      <c r="AD390" s="22"/>
      <c r="AE390" s="22"/>
      <c r="AF390" s="43"/>
      <c r="AG390" s="43"/>
      <c r="AH390" s="43" t="s">
        <v>401</v>
      </c>
      <c r="AI390" s="43"/>
      <c r="AJ390" s="43"/>
      <c r="AK390" s="43"/>
      <c r="AL390" s="43"/>
      <c r="AM390" s="43"/>
      <c r="AN390" s="43"/>
      <c r="AO390" s="43"/>
      <c r="AP390" s="43"/>
      <c r="AQ390" s="43"/>
      <c r="AR390" s="43"/>
      <c r="AS390" s="43"/>
      <c r="AT390" s="43"/>
      <c r="AU390" s="43"/>
      <c r="AV390" s="43"/>
      <c r="AW390" s="22"/>
      <c r="AX390" s="22" t="s">
        <v>401</v>
      </c>
      <c r="AY390" s="43"/>
      <c r="AZ390" s="43"/>
      <c r="BA390" s="43"/>
      <c r="BB390" s="43"/>
      <c r="BC390" s="43"/>
      <c r="BD390" s="43"/>
      <c r="BE390" s="43"/>
      <c r="BF390" s="43"/>
      <c r="BG390" s="43"/>
      <c r="BH390" s="43"/>
      <c r="BI390" s="43"/>
      <c r="BJ390" s="43"/>
      <c r="BK390" s="43"/>
      <c r="BL390" s="22">
        <v>4.630446231414E12</v>
      </c>
      <c r="BM390" s="22" t="s">
        <v>401</v>
      </c>
      <c r="BN390" s="22" t="s">
        <v>401</v>
      </c>
      <c r="BO390" s="22"/>
      <c r="BP390" s="22" t="s">
        <v>245</v>
      </c>
      <c r="BQ390" s="43"/>
      <c r="BR390" s="43"/>
      <c r="BS390" s="22" t="s">
        <v>5506</v>
      </c>
      <c r="BT390" s="43"/>
      <c r="BU390" s="22" t="s">
        <v>401</v>
      </c>
      <c r="BV390" s="43" t="s">
        <v>401</v>
      </c>
      <c r="BW390" s="22" t="s">
        <v>401</v>
      </c>
      <c r="BX390" s="22"/>
      <c r="BY390" s="43"/>
      <c r="BZ390" s="43"/>
      <c r="CA390" s="22"/>
      <c r="CB390" s="22" t="s">
        <v>401</v>
      </c>
      <c r="CC390" s="45" t="s">
        <v>401</v>
      </c>
      <c r="CD390" s="43"/>
      <c r="CE390" s="43"/>
      <c r="CF390" s="45" t="s">
        <v>401</v>
      </c>
      <c r="CG390" s="43"/>
      <c r="CH390" s="43"/>
      <c r="CI390" s="43"/>
      <c r="CJ390" s="43"/>
      <c r="CK390" s="43"/>
      <c r="CL390" s="43"/>
      <c r="CM390" s="49" t="str">
        <f>IFERROR(VLOOKUP(B390,CC!A:D,4,0)," ")</f>
        <v> </v>
      </c>
      <c r="CN390" s="22" t="s">
        <v>3412</v>
      </c>
      <c r="CO390" s="22"/>
      <c r="CP390" s="43"/>
      <c r="CQ390" s="22" t="s">
        <v>401</v>
      </c>
      <c r="CR390" s="43"/>
      <c r="CS390" s="43"/>
      <c r="CT390" s="43"/>
      <c r="CU390" s="43"/>
      <c r="CV390" s="43"/>
      <c r="CW390" s="43"/>
      <c r="CX390" s="43"/>
      <c r="CY390" s="43" t="b">
        <v>0</v>
      </c>
      <c r="CZ390" s="43" t="b">
        <v>0</v>
      </c>
      <c r="DA390" s="43" t="b">
        <v>0</v>
      </c>
      <c r="DB390" s="43" t="b">
        <v>0</v>
      </c>
      <c r="DC390" s="43"/>
      <c r="DD390" s="43"/>
      <c r="DE390" s="43"/>
      <c r="DF390" s="43"/>
      <c r="DG390" s="43"/>
      <c r="DH390" s="43"/>
      <c r="DI390" s="43"/>
      <c r="DJ390" s="22" t="str">
        <f>IFERROR(VLOOKUP($B390,'Лист4'!$D:$AI,27,0)," ")</f>
        <v> </v>
      </c>
      <c r="DK390" s="22" t="str">
        <f>IFERROR(VLOOKUP($B390,'Лист4'!$D:$AI,28,0)," ")</f>
        <v> </v>
      </c>
      <c r="DL390" s="22" t="str">
        <f>IFERROR(VLOOKUP($B390,'Лист4'!$D:$AI,29,0)," ")</f>
        <v> </v>
      </c>
      <c r="DM390" s="22" t="str">
        <f t="shared" si="3"/>
        <v> </v>
      </c>
      <c r="DN390" s="22" t="str">
        <f>IFERROR(VLOOKUP($B390,'Лист4'!$D:$AI,32,0)," ")</f>
        <v> </v>
      </c>
      <c r="DO390" s="22"/>
      <c r="DP390" s="22"/>
      <c r="DQ390" s="22"/>
      <c r="DR390" s="22"/>
      <c r="DS390" s="22"/>
      <c r="DT390" s="22"/>
      <c r="DU390" s="22"/>
      <c r="DV390" s="22"/>
      <c r="DW390" s="22"/>
      <c r="DX390" s="22"/>
      <c r="DY390" s="22"/>
      <c r="DZ390" s="22"/>
      <c r="EA390" s="22"/>
      <c r="EB390" s="22"/>
      <c r="EC390" s="22"/>
      <c r="ED390" s="22"/>
      <c r="EE390" s="22"/>
      <c r="EF390" s="22"/>
      <c r="EG390" s="22"/>
      <c r="EH390" s="22"/>
      <c r="EI390" s="22"/>
      <c r="EJ390" s="22"/>
      <c r="EK390" s="22"/>
      <c r="EL390" s="22"/>
      <c r="EM390" s="22"/>
      <c r="EN390" s="22"/>
      <c r="EO390" s="22"/>
      <c r="EP390" s="22"/>
      <c r="EQ390" s="22"/>
      <c r="ER390" s="22"/>
      <c r="ES390" s="43"/>
      <c r="ET390" s="43"/>
      <c r="EU390" s="43"/>
      <c r="EV390" s="43"/>
      <c r="EW390" s="43"/>
      <c r="EX390" s="43"/>
      <c r="EY390" s="43"/>
      <c r="EZ390" s="43"/>
      <c r="FA390" s="43"/>
      <c r="FB390" s="43"/>
      <c r="FC390" s="43"/>
      <c r="FD390" s="43"/>
      <c r="FE390" s="43"/>
      <c r="FF390" s="43"/>
      <c r="FG390" s="43"/>
      <c r="FH390" s="43"/>
      <c r="FI390" s="43"/>
    </row>
    <row r="391" ht="18.0" customHeight="1">
      <c r="A391" s="22" t="s">
        <v>116</v>
      </c>
      <c r="B391" s="22" t="s">
        <v>5507</v>
      </c>
      <c r="C391" s="22" t="s">
        <v>118</v>
      </c>
      <c r="D391" s="22" t="s">
        <v>241</v>
      </c>
      <c r="E391" s="43"/>
      <c r="F391" s="22" t="s">
        <v>5508</v>
      </c>
      <c r="G391" s="22" t="s">
        <v>1529</v>
      </c>
      <c r="H391" s="22" t="s">
        <v>1608</v>
      </c>
      <c r="I391" s="43"/>
      <c r="J391" s="43"/>
      <c r="K391" s="22" t="b">
        <v>0</v>
      </c>
      <c r="L391" s="22" t="b">
        <v>1</v>
      </c>
      <c r="M391" s="22" t="b">
        <v>1</v>
      </c>
      <c r="N391" s="22" t="b">
        <v>0</v>
      </c>
      <c r="O391" s="22" t="b">
        <v>0</v>
      </c>
      <c r="P391" s="22" t="b">
        <v>0</v>
      </c>
      <c r="Q391" s="22" t="b">
        <v>0</v>
      </c>
      <c r="R391" s="43"/>
      <c r="S391" s="43"/>
      <c r="T391" s="22" t="s">
        <v>5507</v>
      </c>
      <c r="U391" s="22" t="s">
        <v>5507</v>
      </c>
      <c r="V391" s="55"/>
      <c r="W391" s="55"/>
      <c r="X391" s="43" t="s">
        <v>401</v>
      </c>
      <c r="Y391" s="43"/>
      <c r="Z391" s="43"/>
      <c r="AA391" s="22">
        <v>8.69406151E8</v>
      </c>
      <c r="AB391" s="22">
        <v>3.620612667E9</v>
      </c>
      <c r="AC391" s="22"/>
      <c r="AD391" s="22"/>
      <c r="AE391" s="22"/>
      <c r="AF391" s="43"/>
      <c r="AG391" s="43"/>
      <c r="AH391" s="43"/>
      <c r="AI391" s="43"/>
      <c r="AJ391" s="43"/>
      <c r="AK391" s="43"/>
      <c r="AL391" s="43"/>
      <c r="AM391" s="43"/>
      <c r="AN391" s="43"/>
      <c r="AO391" s="43"/>
      <c r="AP391" s="43"/>
      <c r="AQ391" s="43"/>
      <c r="AR391" s="43"/>
      <c r="AS391" s="43"/>
      <c r="AT391" s="43"/>
      <c r="AU391" s="43"/>
      <c r="AV391" s="43"/>
      <c r="AW391" s="22"/>
      <c r="AX391" s="22" t="s">
        <v>401</v>
      </c>
      <c r="AY391" s="43"/>
      <c r="AZ391" s="43"/>
      <c r="BA391" s="43"/>
      <c r="BB391" s="43"/>
      <c r="BC391" s="43"/>
      <c r="BD391" s="43"/>
      <c r="BE391" s="43"/>
      <c r="BF391" s="43"/>
      <c r="BG391" s="43"/>
      <c r="BH391" s="43"/>
      <c r="BI391" s="43"/>
      <c r="BJ391" s="43"/>
      <c r="BK391" s="43"/>
      <c r="BL391" s="22">
        <v>4.650099659434E12</v>
      </c>
      <c r="BM391" s="22">
        <v>9.6190021E9</v>
      </c>
      <c r="BN391" s="22" t="s">
        <v>1618</v>
      </c>
      <c r="BO391" s="46" t="s">
        <v>1619</v>
      </c>
      <c r="BP391" s="22" t="s">
        <v>303</v>
      </c>
      <c r="BQ391" s="43"/>
      <c r="BR391" s="43"/>
      <c r="BS391" s="22" t="s">
        <v>1620</v>
      </c>
      <c r="BT391" s="43"/>
      <c r="BU391" s="22"/>
      <c r="BV391" s="43"/>
      <c r="BW391" s="22" t="s">
        <v>1621</v>
      </c>
      <c r="BX391" s="22"/>
      <c r="BY391" s="43"/>
      <c r="BZ391" s="43"/>
      <c r="CA391" s="22" t="s">
        <v>726</v>
      </c>
      <c r="CB391" s="22" t="s">
        <v>401</v>
      </c>
      <c r="CD391" s="43"/>
      <c r="CE391" s="43"/>
      <c r="CF391" s="45" t="s">
        <v>401</v>
      </c>
      <c r="CG391" s="43"/>
      <c r="CH391" s="43"/>
      <c r="CI391" s="43"/>
      <c r="CJ391" s="43"/>
      <c r="CK391" s="43"/>
      <c r="CL391" s="43"/>
      <c r="CM391" s="49">
        <f>IFERROR(VLOOKUP(B391,CC!A:D,4,0)," ")</f>
        <v>200</v>
      </c>
      <c r="CN391" s="22" t="s">
        <v>1626</v>
      </c>
      <c r="CO391" s="22"/>
      <c r="CP391" s="43"/>
      <c r="CQ391" s="22" t="s">
        <v>401</v>
      </c>
      <c r="CR391" s="43"/>
      <c r="CS391" s="43"/>
      <c r="CT391" s="43"/>
      <c r="CU391" s="43"/>
      <c r="CV391" s="43"/>
      <c r="CW391" s="43"/>
      <c r="CX391" s="43"/>
      <c r="CY391" s="43" t="b">
        <v>0</v>
      </c>
      <c r="CZ391" s="43" t="b">
        <v>0</v>
      </c>
      <c r="DA391" s="43" t="b">
        <v>0</v>
      </c>
      <c r="DB391" s="43" t="b">
        <v>0</v>
      </c>
      <c r="DC391" s="43"/>
      <c r="DD391" s="43"/>
      <c r="DE391" s="43"/>
      <c r="DF391" s="43"/>
      <c r="DG391" s="43"/>
      <c r="DH391" s="43"/>
      <c r="DI391" s="43"/>
      <c r="DJ391" s="22" t="str">
        <f>IFERROR(VLOOKUP($B391,'Лист4'!$D:$AI,27,0)," ")</f>
        <v> </v>
      </c>
      <c r="DK391" s="22" t="str">
        <f>IFERROR(VLOOKUP($B391,'Лист4'!$D:$AI,28,0)," ")</f>
        <v> </v>
      </c>
      <c r="DL391" s="22" t="str">
        <f>IFERROR(VLOOKUP($B391,'Лист4'!$D:$AI,29,0)," ")</f>
        <v> </v>
      </c>
      <c r="DM391" s="22" t="str">
        <f t="shared" si="3"/>
        <v> </v>
      </c>
      <c r="DN391" s="22" t="str">
        <f>IFERROR(VLOOKUP($B391,'Лист4'!$D:$AI,32,0)," ")</f>
        <v> </v>
      </c>
      <c r="DO391" s="22"/>
      <c r="DP391" s="22"/>
      <c r="DQ391" s="22"/>
      <c r="DR391" s="22"/>
      <c r="DS391" s="22"/>
      <c r="DT391" s="22"/>
      <c r="DU391" s="22"/>
      <c r="DV391" s="22"/>
      <c r="DW391" s="22"/>
      <c r="DX391" s="22"/>
      <c r="DY391" s="22"/>
      <c r="DZ391" s="22"/>
      <c r="EA391" s="22"/>
      <c r="EB391" s="22"/>
      <c r="EC391" s="22"/>
      <c r="ED391" s="22"/>
      <c r="EE391" s="22"/>
      <c r="EF391" s="22"/>
      <c r="EG391" s="22"/>
      <c r="EH391" s="22"/>
      <c r="EI391" s="22"/>
      <c r="EJ391" s="22"/>
      <c r="EK391" s="22"/>
      <c r="EL391" s="22"/>
      <c r="EM391" s="22"/>
      <c r="EN391" s="22"/>
      <c r="EO391" s="22"/>
      <c r="EP391" s="22"/>
      <c r="EQ391" s="22"/>
      <c r="ER391" s="22"/>
      <c r="ES391" s="43"/>
      <c r="ET391" s="43"/>
      <c r="EU391" s="43"/>
      <c r="EV391" s="43"/>
      <c r="EW391" s="43"/>
      <c r="EX391" s="43"/>
      <c r="EY391" s="43"/>
      <c r="EZ391" s="43"/>
      <c r="FA391" s="43"/>
      <c r="FB391" s="43"/>
      <c r="FC391" s="43"/>
      <c r="FD391" s="43"/>
      <c r="FE391" s="43"/>
      <c r="FF391" s="43"/>
      <c r="FG391" s="43"/>
      <c r="FH391" s="43"/>
      <c r="FI391" s="43"/>
    </row>
    <row r="392" ht="18.0" customHeight="1">
      <c r="A392" s="22" t="s">
        <v>116</v>
      </c>
      <c r="B392" s="22" t="s">
        <v>5509</v>
      </c>
      <c r="C392" s="22" t="s">
        <v>283</v>
      </c>
      <c r="D392" s="22" t="s">
        <v>241</v>
      </c>
      <c r="E392" s="43"/>
      <c r="F392" s="22" t="s">
        <v>5510</v>
      </c>
      <c r="G392" s="22" t="s">
        <v>5367</v>
      </c>
      <c r="H392" s="22" t="s">
        <v>565</v>
      </c>
      <c r="I392" s="43"/>
      <c r="J392" s="43"/>
      <c r="K392" s="22" t="b">
        <v>0</v>
      </c>
      <c r="L392" s="22" t="b">
        <v>0</v>
      </c>
      <c r="M392" s="22" t="b">
        <v>0</v>
      </c>
      <c r="N392" s="22" t="b">
        <v>0</v>
      </c>
      <c r="O392" s="22" t="b">
        <v>0</v>
      </c>
      <c r="P392" s="22" t="b">
        <v>0</v>
      </c>
      <c r="Q392" s="22" t="b">
        <v>0</v>
      </c>
      <c r="R392" s="43"/>
      <c r="S392" s="43"/>
      <c r="T392" s="22"/>
      <c r="U392" s="22" t="s">
        <v>401</v>
      </c>
      <c r="V392" s="55"/>
      <c r="W392" s="55"/>
      <c r="X392" s="43" t="s">
        <v>401</v>
      </c>
      <c r="Y392" s="43"/>
      <c r="Z392" s="43"/>
      <c r="AA392" s="22"/>
      <c r="AB392" s="22"/>
      <c r="AC392" s="22"/>
      <c r="AD392" s="22"/>
      <c r="AE392" s="22"/>
      <c r="AF392" s="43"/>
      <c r="AG392" s="43"/>
      <c r="AH392" s="43"/>
      <c r="AI392" s="43"/>
      <c r="AJ392" s="43"/>
      <c r="AK392" s="43"/>
      <c r="AL392" s="43"/>
      <c r="AM392" s="43"/>
      <c r="AN392" s="43"/>
      <c r="AO392" s="43"/>
      <c r="AP392" s="43"/>
      <c r="AQ392" s="43"/>
      <c r="AR392" s="43"/>
      <c r="AS392" s="43"/>
      <c r="AT392" s="43"/>
      <c r="AU392" s="43"/>
      <c r="AV392" s="43"/>
      <c r="AW392" s="22"/>
      <c r="AX392" s="22" t="s">
        <v>401</v>
      </c>
      <c r="AY392" s="43"/>
      <c r="AZ392" s="43"/>
      <c r="BA392" s="43"/>
      <c r="BB392" s="43"/>
      <c r="BC392" s="43"/>
      <c r="BD392" s="43"/>
      <c r="BE392" s="43"/>
      <c r="BF392" s="43"/>
      <c r="BG392" s="43"/>
      <c r="BH392" s="43"/>
      <c r="BI392" s="43"/>
      <c r="BJ392" s="43"/>
      <c r="BK392" s="43"/>
      <c r="BL392" s="22">
        <v>4.63044623149E12</v>
      </c>
      <c r="BM392" s="22">
        <v>3.305900009E9</v>
      </c>
      <c r="BN392" s="22" t="s">
        <v>401</v>
      </c>
      <c r="BO392" s="22"/>
      <c r="BP392" s="22" t="s">
        <v>245</v>
      </c>
      <c r="BQ392" s="43"/>
      <c r="BR392" s="43"/>
      <c r="BS392" s="22" t="s">
        <v>5511</v>
      </c>
      <c r="BT392" s="43"/>
      <c r="BU392" s="22" t="s">
        <v>5512</v>
      </c>
      <c r="BV392" s="22" t="s">
        <v>4276</v>
      </c>
      <c r="BW392" s="22" t="s">
        <v>5513</v>
      </c>
      <c r="BX392" s="22">
        <v>50.0</v>
      </c>
      <c r="BY392" s="22" t="s">
        <v>139</v>
      </c>
      <c r="BZ392" s="43"/>
      <c r="CA392" s="22" t="s">
        <v>726</v>
      </c>
      <c r="CB392" s="22" t="s">
        <v>401</v>
      </c>
      <c r="CC392" s="44" t="s">
        <v>5514</v>
      </c>
      <c r="CD392" s="43"/>
      <c r="CE392" s="43"/>
      <c r="CF392" s="45" t="s">
        <v>401</v>
      </c>
      <c r="CG392" s="43"/>
      <c r="CH392" s="43"/>
      <c r="CI392" s="43"/>
      <c r="CJ392" s="43"/>
      <c r="CK392" s="43"/>
      <c r="CL392" s="43"/>
      <c r="CM392" s="49" t="str">
        <f>IFERROR(VLOOKUP(B392,CC!A:D,4,0)," ")</f>
        <v> </v>
      </c>
      <c r="CN392" s="22" t="s">
        <v>3412</v>
      </c>
      <c r="CO392" s="22"/>
      <c r="CP392" s="43"/>
      <c r="CQ392" s="22" t="s">
        <v>401</v>
      </c>
      <c r="CR392" s="43"/>
      <c r="CS392" s="43"/>
      <c r="CT392" s="43"/>
      <c r="CU392" s="43"/>
      <c r="CV392" s="43"/>
      <c r="CW392" s="43"/>
      <c r="CX392" s="43"/>
      <c r="CY392" s="43" t="b">
        <v>0</v>
      </c>
      <c r="CZ392" s="43" t="b">
        <v>0</v>
      </c>
      <c r="DA392" s="43" t="b">
        <v>0</v>
      </c>
      <c r="DB392" s="43" t="b">
        <v>0</v>
      </c>
      <c r="DC392" s="43"/>
      <c r="DD392" s="43"/>
      <c r="DE392" s="43"/>
      <c r="DF392" s="43"/>
      <c r="DG392" s="43"/>
      <c r="DH392" s="43"/>
      <c r="DI392" s="43"/>
      <c r="DJ392" s="22" t="str">
        <f>IFERROR(VLOOKUP($B392,'Лист4'!$D:$AI,27,0)," ")</f>
        <v> </v>
      </c>
      <c r="DK392" s="22" t="str">
        <f>IFERROR(VLOOKUP($B392,'Лист4'!$D:$AI,28,0)," ")</f>
        <v> </v>
      </c>
      <c r="DL392" s="22" t="str">
        <f>IFERROR(VLOOKUP($B392,'Лист4'!$D:$AI,29,0)," ")</f>
        <v> </v>
      </c>
      <c r="DM392" s="22" t="str">
        <f t="shared" si="3"/>
        <v> </v>
      </c>
      <c r="DN392" s="22" t="str">
        <f>IFERROR(VLOOKUP($B392,'Лист4'!$D:$AI,32,0)," ")</f>
        <v> </v>
      </c>
      <c r="DO392" s="22"/>
      <c r="DP392" s="22"/>
      <c r="DQ392" s="22"/>
      <c r="DR392" s="22"/>
      <c r="DS392" s="22"/>
      <c r="DT392" s="22"/>
      <c r="DU392" s="22"/>
      <c r="DV392" s="22"/>
      <c r="DW392" s="22"/>
      <c r="DX392" s="22"/>
      <c r="DY392" s="22"/>
      <c r="DZ392" s="22"/>
      <c r="EA392" s="22"/>
      <c r="EB392" s="22"/>
      <c r="EC392" s="22"/>
      <c r="ED392" s="22"/>
      <c r="EE392" s="22"/>
      <c r="EF392" s="22"/>
      <c r="EG392" s="22"/>
      <c r="EH392" s="22"/>
      <c r="EI392" s="22"/>
      <c r="EJ392" s="22"/>
      <c r="EK392" s="22"/>
      <c r="EL392" s="22"/>
      <c r="EM392" s="22"/>
      <c r="EN392" s="22"/>
      <c r="EO392" s="22"/>
      <c r="EP392" s="22"/>
      <c r="EQ392" s="22"/>
      <c r="ER392" s="22"/>
      <c r="ES392" s="43"/>
      <c r="ET392" s="43"/>
      <c r="EU392" s="43"/>
      <c r="EV392" s="43"/>
      <c r="EW392" s="43"/>
      <c r="EX392" s="43"/>
      <c r="EY392" s="43"/>
      <c r="EZ392" s="43"/>
      <c r="FA392" s="43"/>
      <c r="FB392" s="43"/>
      <c r="FC392" s="43"/>
      <c r="FD392" s="43"/>
      <c r="FE392" s="43"/>
      <c r="FF392" s="43"/>
      <c r="FG392" s="43"/>
      <c r="FH392" s="43"/>
      <c r="FI392" s="43"/>
    </row>
    <row r="393" ht="18.0" customHeight="1">
      <c r="A393" s="22" t="s">
        <v>116</v>
      </c>
      <c r="B393" s="22" t="s">
        <v>5515</v>
      </c>
      <c r="C393" s="22" t="s">
        <v>283</v>
      </c>
      <c r="D393" s="22" t="s">
        <v>241</v>
      </c>
      <c r="E393" s="43"/>
      <c r="F393" s="22" t="s">
        <v>5516</v>
      </c>
      <c r="G393" s="22" t="s">
        <v>5367</v>
      </c>
      <c r="H393" s="22" t="s">
        <v>565</v>
      </c>
      <c r="I393" s="43"/>
      <c r="J393" s="43"/>
      <c r="K393" s="22" t="b">
        <v>0</v>
      </c>
      <c r="L393" s="22" t="b">
        <v>0</v>
      </c>
      <c r="M393" s="22" t="b">
        <v>0</v>
      </c>
      <c r="N393" s="22" t="b">
        <v>0</v>
      </c>
      <c r="O393" s="22" t="b">
        <v>0</v>
      </c>
      <c r="P393" s="22" t="b">
        <v>0</v>
      </c>
      <c r="Q393" s="22" t="b">
        <v>0</v>
      </c>
      <c r="R393" s="43"/>
      <c r="S393" s="43"/>
      <c r="T393" s="22"/>
      <c r="U393" s="22" t="s">
        <v>401</v>
      </c>
      <c r="V393" s="55"/>
      <c r="W393" s="73"/>
      <c r="X393" s="43" t="s">
        <v>401</v>
      </c>
      <c r="Y393" s="43"/>
      <c r="Z393" s="43"/>
      <c r="AA393" s="22"/>
      <c r="AB393" s="22"/>
      <c r="AC393" s="22"/>
      <c r="AD393" s="22"/>
      <c r="AE393" s="22"/>
      <c r="AF393" s="43"/>
      <c r="AG393" s="43"/>
      <c r="AH393" s="43"/>
      <c r="AI393" s="43"/>
      <c r="AJ393" s="43"/>
      <c r="AK393" s="43"/>
      <c r="AL393" s="43"/>
      <c r="AM393" s="43"/>
      <c r="AN393" s="43"/>
      <c r="AO393" s="43"/>
      <c r="AP393" s="43"/>
      <c r="AQ393" s="43"/>
      <c r="AR393" s="43"/>
      <c r="AS393" s="43"/>
      <c r="AT393" s="43"/>
      <c r="AU393" s="43"/>
      <c r="AV393" s="43"/>
      <c r="AW393" s="22"/>
      <c r="AX393" s="22" t="s">
        <v>401</v>
      </c>
      <c r="AY393" s="43"/>
      <c r="AZ393" s="43"/>
      <c r="BA393" s="43"/>
      <c r="BB393" s="43"/>
      <c r="BC393" s="43"/>
      <c r="BD393" s="43"/>
      <c r="BE393" s="43"/>
      <c r="BF393" s="43"/>
      <c r="BG393" s="43"/>
      <c r="BH393" s="43"/>
      <c r="BI393" s="43"/>
      <c r="BJ393" s="43"/>
      <c r="BK393" s="43"/>
      <c r="BL393" s="22">
        <v>4.630446231513E12</v>
      </c>
      <c r="BM393" s="22">
        <v>3.3051E9</v>
      </c>
      <c r="BN393" s="22" t="s">
        <v>401</v>
      </c>
      <c r="BO393" s="22"/>
      <c r="BP393" s="22" t="s">
        <v>245</v>
      </c>
      <c r="BQ393" s="43"/>
      <c r="BR393" s="43"/>
      <c r="BS393" s="22" t="s">
        <v>5517</v>
      </c>
      <c r="BT393" s="43"/>
      <c r="BU393" s="22" t="s">
        <v>5518</v>
      </c>
      <c r="BV393" s="22" t="s">
        <v>4276</v>
      </c>
      <c r="BW393" s="22" t="s">
        <v>5513</v>
      </c>
      <c r="BX393" s="22">
        <v>400.0</v>
      </c>
      <c r="BY393" s="22" t="s">
        <v>139</v>
      </c>
      <c r="BZ393" s="43"/>
      <c r="CA393" s="22" t="s">
        <v>726</v>
      </c>
      <c r="CB393" s="22" t="s">
        <v>401</v>
      </c>
      <c r="CC393" s="44" t="s">
        <v>5519</v>
      </c>
      <c r="CD393" s="43"/>
      <c r="CE393" s="43"/>
      <c r="CF393" s="45" t="s">
        <v>401</v>
      </c>
      <c r="CG393" s="43"/>
      <c r="CH393" s="43"/>
      <c r="CI393" s="43"/>
      <c r="CJ393" s="43"/>
      <c r="CK393" s="43"/>
      <c r="CL393" s="43"/>
      <c r="CM393" s="49" t="str">
        <f>IFERROR(VLOOKUP(B393,CC!A:D,4,0)," ")</f>
        <v> </v>
      </c>
      <c r="CN393" s="22" t="s">
        <v>3412</v>
      </c>
      <c r="CO393" s="22"/>
      <c r="CP393" s="43"/>
      <c r="CQ393" s="22" t="s">
        <v>401</v>
      </c>
      <c r="CR393" s="43"/>
      <c r="CS393" s="43"/>
      <c r="CT393" s="43"/>
      <c r="CU393" s="43"/>
      <c r="CV393" s="43"/>
      <c r="CW393" s="43"/>
      <c r="CX393" s="43"/>
      <c r="CY393" s="43" t="b">
        <v>0</v>
      </c>
      <c r="CZ393" s="43" t="b">
        <v>0</v>
      </c>
      <c r="DA393" s="43" t="b">
        <v>0</v>
      </c>
      <c r="DB393" s="43" t="b">
        <v>0</v>
      </c>
      <c r="DC393" s="43"/>
      <c r="DD393" s="43"/>
      <c r="DE393" s="43"/>
      <c r="DF393" s="43"/>
      <c r="DG393" s="43"/>
      <c r="DH393" s="43"/>
      <c r="DI393" s="43"/>
      <c r="DJ393" s="22" t="str">
        <f>IFERROR(VLOOKUP($B393,'Лист4'!$D:$AI,27,0)," ")</f>
        <v> </v>
      </c>
      <c r="DK393" s="22" t="str">
        <f>IFERROR(VLOOKUP($B393,'Лист4'!$D:$AI,28,0)," ")</f>
        <v> </v>
      </c>
      <c r="DL393" s="22" t="str">
        <f>IFERROR(VLOOKUP($B393,'Лист4'!$D:$AI,29,0)," ")</f>
        <v> </v>
      </c>
      <c r="DM393" s="22" t="str">
        <f t="shared" si="3"/>
        <v> </v>
      </c>
      <c r="DN393" s="22" t="str">
        <f>IFERROR(VLOOKUP($B393,'Лист4'!$D:$AI,32,0)," ")</f>
        <v> </v>
      </c>
      <c r="DO393" s="22"/>
      <c r="DP393" s="22"/>
      <c r="DQ393" s="22"/>
      <c r="DR393" s="22"/>
      <c r="DS393" s="22"/>
      <c r="DT393" s="22"/>
      <c r="DU393" s="22"/>
      <c r="DV393" s="22"/>
      <c r="DW393" s="22"/>
      <c r="DX393" s="22"/>
      <c r="DY393" s="22"/>
      <c r="DZ393" s="22"/>
      <c r="EA393" s="22"/>
      <c r="EB393" s="22"/>
      <c r="EC393" s="22"/>
      <c r="ED393" s="22"/>
      <c r="EE393" s="22"/>
      <c r="EF393" s="22"/>
      <c r="EG393" s="22"/>
      <c r="EH393" s="22"/>
      <c r="EI393" s="22"/>
      <c r="EJ393" s="22"/>
      <c r="EK393" s="22"/>
      <c r="EL393" s="22"/>
      <c r="EM393" s="22"/>
      <c r="EN393" s="22"/>
      <c r="EO393" s="22"/>
      <c r="EP393" s="22"/>
      <c r="EQ393" s="22"/>
      <c r="ER393" s="22"/>
      <c r="ES393" s="43"/>
      <c r="ET393" s="43"/>
      <c r="EU393" s="43"/>
      <c r="EV393" s="43"/>
      <c r="EW393" s="43"/>
      <c r="EX393" s="43"/>
      <c r="EY393" s="43"/>
      <c r="EZ393" s="43"/>
      <c r="FA393" s="43"/>
      <c r="FB393" s="43"/>
      <c r="FC393" s="43"/>
      <c r="FD393" s="43"/>
      <c r="FE393" s="43"/>
      <c r="FF393" s="43"/>
      <c r="FG393" s="43"/>
      <c r="FH393" s="43"/>
      <c r="FI393" s="43"/>
    </row>
    <row r="394" ht="18.0" customHeight="1">
      <c r="A394" s="22" t="s">
        <v>116</v>
      </c>
      <c r="B394" s="22" t="s">
        <v>5520</v>
      </c>
      <c r="C394" s="22" t="s">
        <v>283</v>
      </c>
      <c r="D394" s="22" t="s">
        <v>241</v>
      </c>
      <c r="E394" s="43"/>
      <c r="F394" s="22" t="s">
        <v>5521</v>
      </c>
      <c r="G394" s="22" t="s">
        <v>361</v>
      </c>
      <c r="H394" s="22" t="s">
        <v>4045</v>
      </c>
      <c r="I394" s="43"/>
      <c r="J394" s="43"/>
      <c r="K394" s="22" t="b">
        <v>0</v>
      </c>
      <c r="L394" s="74" t="b">
        <v>0</v>
      </c>
      <c r="M394" s="75" t="b">
        <v>0</v>
      </c>
      <c r="N394" s="75" t="b">
        <v>0</v>
      </c>
      <c r="O394" s="75" t="b">
        <v>0</v>
      </c>
      <c r="P394" s="75" t="b">
        <v>0</v>
      </c>
      <c r="Q394" s="75" t="b">
        <v>0</v>
      </c>
      <c r="R394" s="43"/>
      <c r="S394" s="43"/>
      <c r="T394" s="22"/>
      <c r="U394" s="22" t="s">
        <v>401</v>
      </c>
      <c r="V394" s="55"/>
      <c r="W394" s="73"/>
      <c r="X394" s="43" t="s">
        <v>401</v>
      </c>
      <c r="Y394" s="43"/>
      <c r="Z394" s="43"/>
      <c r="AA394" s="22"/>
      <c r="AB394" s="22"/>
      <c r="AC394" s="22"/>
      <c r="AD394" s="22"/>
      <c r="AE394" s="22"/>
      <c r="AF394" s="43"/>
      <c r="AG394" s="43"/>
      <c r="AH394" s="43"/>
      <c r="AI394" s="43"/>
      <c r="AJ394" s="43"/>
      <c r="AK394" s="43"/>
      <c r="AL394" s="43"/>
      <c r="AM394" s="43"/>
      <c r="AN394" s="43"/>
      <c r="AO394" s="43"/>
      <c r="AP394" s="43"/>
      <c r="AQ394" s="43"/>
      <c r="AR394" s="43"/>
      <c r="AS394" s="43"/>
      <c r="AT394" s="43"/>
      <c r="AU394" s="43"/>
      <c r="AV394" s="43"/>
      <c r="AW394" s="22"/>
      <c r="AX394" s="22" t="s">
        <v>401</v>
      </c>
      <c r="AY394" s="43"/>
      <c r="AZ394" s="43"/>
      <c r="BA394" s="43"/>
      <c r="BB394" s="43"/>
      <c r="BC394" s="43"/>
      <c r="BD394" s="43"/>
      <c r="BE394" s="43"/>
      <c r="BF394" s="43"/>
      <c r="BG394" s="43"/>
      <c r="BH394" s="43"/>
      <c r="BI394" s="43"/>
      <c r="BJ394" s="43"/>
      <c r="BK394" s="43"/>
      <c r="BL394" s="22">
        <v>4.650491647183E12</v>
      </c>
      <c r="BM394" s="22">
        <v>2.106909808E9</v>
      </c>
      <c r="BN394" s="22" t="s">
        <v>5522</v>
      </c>
      <c r="BO394" s="46" t="s">
        <v>5523</v>
      </c>
      <c r="BP394" s="22" t="s">
        <v>245</v>
      </c>
      <c r="BQ394" s="43"/>
      <c r="BR394" s="43"/>
      <c r="BS394" s="22" t="s">
        <v>5524</v>
      </c>
      <c r="BT394" s="43"/>
      <c r="BU394" s="22" t="s">
        <v>5525</v>
      </c>
      <c r="BV394" s="22" t="s">
        <v>490</v>
      </c>
      <c r="BW394" s="22" t="s">
        <v>5526</v>
      </c>
      <c r="BX394" s="22">
        <v>500.0</v>
      </c>
      <c r="BY394" s="22" t="s">
        <v>139</v>
      </c>
      <c r="BZ394" s="43"/>
      <c r="CA394" s="22" t="s">
        <v>165</v>
      </c>
      <c r="CB394" s="22" t="s">
        <v>401</v>
      </c>
      <c r="CC394" s="44" t="s">
        <v>5527</v>
      </c>
      <c r="CD394" s="43"/>
      <c r="CE394" s="43"/>
      <c r="CF394" s="45" t="s">
        <v>401</v>
      </c>
      <c r="CG394" s="43"/>
      <c r="CH394" s="43"/>
      <c r="CI394" s="43"/>
      <c r="CJ394" s="43"/>
      <c r="CK394" s="43"/>
      <c r="CL394" s="43"/>
      <c r="CM394" s="49" t="str">
        <f>IFERROR(VLOOKUP(B394,CC!A:D,4,0)," ")</f>
        <v> </v>
      </c>
      <c r="CN394" s="22" t="s">
        <v>494</v>
      </c>
      <c r="CO394" s="22"/>
      <c r="CP394" s="43"/>
      <c r="CQ394" s="22" t="s">
        <v>401</v>
      </c>
      <c r="CR394" s="43"/>
      <c r="CS394" s="43"/>
      <c r="CT394" s="43"/>
      <c r="CU394" s="43"/>
      <c r="CV394" s="43"/>
      <c r="CW394" s="43"/>
      <c r="CX394" s="43"/>
      <c r="CY394" s="43" t="b">
        <v>0</v>
      </c>
      <c r="CZ394" s="43" t="b">
        <v>0</v>
      </c>
      <c r="DA394" s="43" t="b">
        <v>0</v>
      </c>
      <c r="DB394" s="43" t="b">
        <v>0</v>
      </c>
      <c r="DC394" s="43"/>
      <c r="DD394" s="43"/>
      <c r="DE394" s="43"/>
      <c r="DF394" s="43"/>
      <c r="DG394" s="43"/>
      <c r="DH394" s="43"/>
      <c r="DI394" s="43"/>
      <c r="DJ394" s="22" t="str">
        <f>IFERROR(VLOOKUP($B394,'Лист4'!$D:$AI,27,0)," ")</f>
        <v> </v>
      </c>
      <c r="DK394" s="22" t="str">
        <f>IFERROR(VLOOKUP($B394,'Лист4'!$D:$AI,28,0)," ")</f>
        <v> </v>
      </c>
      <c r="DL394" s="22" t="str">
        <f>IFERROR(VLOOKUP($B394,'Лист4'!$D:$AI,29,0)," ")</f>
        <v> </v>
      </c>
      <c r="DM394" s="22" t="str">
        <f t="shared" si="3"/>
        <v> </v>
      </c>
      <c r="DN394" s="22" t="str">
        <f>IFERROR(VLOOKUP($B394,'Лист4'!$D:$AI,32,0)," ")</f>
        <v> </v>
      </c>
      <c r="DO394" s="22"/>
      <c r="DP394" s="22"/>
      <c r="DQ394" s="22"/>
      <c r="DR394" s="22"/>
      <c r="DS394" s="22"/>
      <c r="DT394" s="22"/>
      <c r="DU394" s="22"/>
      <c r="DV394" s="22"/>
      <c r="DW394" s="22"/>
      <c r="DX394" s="22"/>
      <c r="DY394" s="22"/>
      <c r="DZ394" s="22"/>
      <c r="EA394" s="22"/>
      <c r="EB394" s="22"/>
      <c r="EC394" s="22"/>
      <c r="ED394" s="22"/>
      <c r="EE394" s="22"/>
      <c r="EF394" s="22"/>
      <c r="EG394" s="22"/>
      <c r="EH394" s="22"/>
      <c r="EI394" s="22"/>
      <c r="EJ394" s="22"/>
      <c r="EK394" s="22"/>
      <c r="EL394" s="22"/>
      <c r="EM394" s="22"/>
      <c r="EN394" s="22"/>
      <c r="EO394" s="22"/>
      <c r="EP394" s="22"/>
      <c r="EQ394" s="22"/>
      <c r="ER394" s="22"/>
      <c r="ES394" s="43"/>
      <c r="ET394" s="43"/>
      <c r="EU394" s="43"/>
      <c r="EV394" s="43"/>
      <c r="EW394" s="43"/>
      <c r="EX394" s="43"/>
      <c r="EY394" s="43"/>
      <c r="EZ394" s="43"/>
      <c r="FA394" s="43"/>
      <c r="FB394" s="43"/>
      <c r="FC394" s="43"/>
      <c r="FD394" s="43"/>
      <c r="FE394" s="43"/>
      <c r="FF394" s="43"/>
      <c r="FG394" s="43"/>
      <c r="FH394" s="43"/>
      <c r="FI394" s="43"/>
    </row>
    <row r="395" ht="18.0" customHeight="1">
      <c r="A395" s="22" t="s">
        <v>116</v>
      </c>
      <c r="B395" s="22" t="s">
        <v>5528</v>
      </c>
      <c r="C395" s="22" t="s">
        <v>283</v>
      </c>
      <c r="D395" s="22" t="s">
        <v>241</v>
      </c>
      <c r="E395" s="43"/>
      <c r="F395" s="22" t="s">
        <v>5529</v>
      </c>
      <c r="G395" s="22" t="s">
        <v>361</v>
      </c>
      <c r="H395" s="22" t="s">
        <v>4045</v>
      </c>
      <c r="I395" s="43"/>
      <c r="J395" s="43"/>
      <c r="K395" s="22" t="b">
        <v>0</v>
      </c>
      <c r="L395" s="74" t="b">
        <v>0</v>
      </c>
      <c r="M395" s="75" t="b">
        <v>0</v>
      </c>
      <c r="N395" s="75" t="b">
        <v>0</v>
      </c>
      <c r="O395" s="75" t="b">
        <v>0</v>
      </c>
      <c r="P395" s="75" t="b">
        <v>0</v>
      </c>
      <c r="Q395" s="75" t="b">
        <v>0</v>
      </c>
      <c r="R395" s="43"/>
      <c r="S395" s="43"/>
      <c r="T395" s="22"/>
      <c r="U395" s="22" t="s">
        <v>401</v>
      </c>
      <c r="V395" s="55"/>
      <c r="W395" s="73"/>
      <c r="X395" s="43" t="s">
        <v>401</v>
      </c>
      <c r="Y395" s="43"/>
      <c r="Z395" s="43"/>
      <c r="AA395" s="22"/>
      <c r="AB395" s="22"/>
      <c r="AC395" s="22"/>
      <c r="AD395" s="22"/>
      <c r="AE395" s="22"/>
      <c r="AF395" s="43"/>
      <c r="AG395" s="43"/>
      <c r="AH395" s="43"/>
      <c r="AI395" s="43"/>
      <c r="AJ395" s="43"/>
      <c r="AK395" s="43"/>
      <c r="AL395" s="43"/>
      <c r="AM395" s="43"/>
      <c r="AN395" s="43"/>
      <c r="AO395" s="43"/>
      <c r="AP395" s="43"/>
      <c r="AQ395" s="43"/>
      <c r="AR395" s="43"/>
      <c r="AS395" s="43"/>
      <c r="AT395" s="43"/>
      <c r="AU395" s="43"/>
      <c r="AV395" s="43"/>
      <c r="AW395" s="22"/>
      <c r="AX395" s="22" t="s">
        <v>401</v>
      </c>
      <c r="AY395" s="43"/>
      <c r="AZ395" s="43"/>
      <c r="BA395" s="43"/>
      <c r="BB395" s="43"/>
      <c r="BC395" s="43"/>
      <c r="BD395" s="43"/>
      <c r="BE395" s="43"/>
      <c r="BF395" s="43"/>
      <c r="BG395" s="43"/>
      <c r="BH395" s="43"/>
      <c r="BI395" s="43"/>
      <c r="BJ395" s="43"/>
      <c r="BK395" s="43"/>
      <c r="BL395" s="22">
        <v>4.650491647176E12</v>
      </c>
      <c r="BM395" s="22">
        <v>2.106909808E9</v>
      </c>
      <c r="BN395" s="22" t="s">
        <v>5522</v>
      </c>
      <c r="BO395" s="46" t="s">
        <v>5530</v>
      </c>
      <c r="BP395" s="22" t="s">
        <v>245</v>
      </c>
      <c r="BQ395" s="43"/>
      <c r="BR395" s="43"/>
      <c r="BS395" s="22" t="s">
        <v>5524</v>
      </c>
      <c r="BT395" s="43"/>
      <c r="BU395" s="22" t="s">
        <v>5525</v>
      </c>
      <c r="BV395" s="22" t="s">
        <v>490</v>
      </c>
      <c r="BW395" s="22" t="s">
        <v>5526</v>
      </c>
      <c r="BX395" s="22">
        <v>500.0</v>
      </c>
      <c r="BY395" s="22" t="s">
        <v>139</v>
      </c>
      <c r="BZ395" s="43"/>
      <c r="CA395" s="22" t="s">
        <v>165</v>
      </c>
      <c r="CB395" s="22" t="s">
        <v>401</v>
      </c>
      <c r="CC395" s="44" t="s">
        <v>5531</v>
      </c>
      <c r="CD395" s="43"/>
      <c r="CE395" s="43"/>
      <c r="CF395" s="45" t="s">
        <v>401</v>
      </c>
      <c r="CG395" s="43"/>
      <c r="CH395" s="43"/>
      <c r="CI395" s="43"/>
      <c r="CJ395" s="43"/>
      <c r="CK395" s="43"/>
      <c r="CL395" s="43"/>
      <c r="CM395" s="49" t="str">
        <f>IFERROR(VLOOKUP(B395,CC!A:D,4,0)," ")</f>
        <v> </v>
      </c>
      <c r="CN395" s="22" t="s">
        <v>494</v>
      </c>
      <c r="CO395" s="22"/>
      <c r="CP395" s="43"/>
      <c r="CQ395" s="22" t="s">
        <v>401</v>
      </c>
      <c r="CR395" s="43"/>
      <c r="CS395" s="43"/>
      <c r="CT395" s="43"/>
      <c r="CU395" s="43"/>
      <c r="CV395" s="43"/>
      <c r="CW395" s="43"/>
      <c r="CX395" s="43"/>
      <c r="CY395" s="43" t="b">
        <v>0</v>
      </c>
      <c r="CZ395" s="43" t="b">
        <v>0</v>
      </c>
      <c r="DA395" s="43" t="b">
        <v>0</v>
      </c>
      <c r="DB395" s="43" t="b">
        <v>0</v>
      </c>
      <c r="DC395" s="43"/>
      <c r="DD395" s="43"/>
      <c r="DE395" s="43"/>
      <c r="DF395" s="43"/>
      <c r="DG395" s="43"/>
      <c r="DH395" s="43"/>
      <c r="DI395" s="43"/>
      <c r="DJ395" s="22" t="str">
        <f>IFERROR(VLOOKUP($B395,'Лист4'!$D:$AI,27,0)," ")</f>
        <v> </v>
      </c>
      <c r="DK395" s="22" t="str">
        <f>IFERROR(VLOOKUP($B395,'Лист4'!$D:$AI,28,0)," ")</f>
        <v> </v>
      </c>
      <c r="DL395" s="22" t="str">
        <f>IFERROR(VLOOKUP($B395,'Лист4'!$D:$AI,29,0)," ")</f>
        <v> </v>
      </c>
      <c r="DM395" s="22" t="str">
        <f t="shared" si="3"/>
        <v> </v>
      </c>
      <c r="DN395" s="22" t="str">
        <f>IFERROR(VLOOKUP($B395,'Лист4'!$D:$AI,32,0)," ")</f>
        <v> </v>
      </c>
      <c r="DO395" s="22"/>
      <c r="DP395" s="22"/>
      <c r="DQ395" s="22"/>
      <c r="DR395" s="22"/>
      <c r="DS395" s="22"/>
      <c r="DT395" s="22"/>
      <c r="DU395" s="22"/>
      <c r="DV395" s="22"/>
      <c r="DW395" s="22"/>
      <c r="DX395" s="22"/>
      <c r="DY395" s="22"/>
      <c r="DZ395" s="22"/>
      <c r="EA395" s="22"/>
      <c r="EB395" s="22"/>
      <c r="EC395" s="22"/>
      <c r="ED395" s="22"/>
      <c r="EE395" s="22"/>
      <c r="EF395" s="22"/>
      <c r="EG395" s="22"/>
      <c r="EH395" s="22"/>
      <c r="EI395" s="22"/>
      <c r="EJ395" s="22"/>
      <c r="EK395" s="22"/>
      <c r="EL395" s="22"/>
      <c r="EM395" s="22"/>
      <c r="EN395" s="22"/>
      <c r="EO395" s="22"/>
      <c r="EP395" s="22"/>
      <c r="EQ395" s="22"/>
      <c r="ER395" s="22"/>
      <c r="ES395" s="43"/>
      <c r="ET395" s="43"/>
      <c r="EU395" s="43"/>
      <c r="EV395" s="43"/>
      <c r="EW395" s="43"/>
      <c r="EX395" s="43"/>
      <c r="EY395" s="43"/>
      <c r="EZ395" s="43"/>
      <c r="FA395" s="43"/>
      <c r="FB395" s="43"/>
      <c r="FC395" s="43"/>
      <c r="FD395" s="43"/>
      <c r="FE395" s="43"/>
      <c r="FF395" s="43"/>
      <c r="FG395" s="43"/>
      <c r="FH395" s="43"/>
      <c r="FI395" s="43"/>
    </row>
    <row r="396" ht="18.0" customHeight="1">
      <c r="A396" s="76" t="s">
        <v>116</v>
      </c>
      <c r="B396" s="22" t="s">
        <v>5532</v>
      </c>
      <c r="C396" s="22" t="s">
        <v>283</v>
      </c>
      <c r="D396" s="22" t="s">
        <v>241</v>
      </c>
      <c r="E396" s="43"/>
      <c r="F396" s="22" t="s">
        <v>5533</v>
      </c>
      <c r="G396" s="22" t="s">
        <v>361</v>
      </c>
      <c r="H396" s="22" t="s">
        <v>3158</v>
      </c>
      <c r="I396" s="43"/>
      <c r="J396" s="43"/>
      <c r="K396" s="22" t="b">
        <v>0</v>
      </c>
      <c r="L396" s="74" t="b">
        <v>0</v>
      </c>
      <c r="M396" s="75" t="b">
        <v>0</v>
      </c>
      <c r="N396" s="75" t="b">
        <v>0</v>
      </c>
      <c r="O396" s="75" t="b">
        <v>0</v>
      </c>
      <c r="P396" s="75" t="b">
        <v>0</v>
      </c>
      <c r="Q396" s="75" t="b">
        <v>0</v>
      </c>
      <c r="R396" s="43"/>
      <c r="S396" s="43"/>
      <c r="T396" s="22" t="s">
        <v>401</v>
      </c>
      <c r="U396" s="22" t="s">
        <v>401</v>
      </c>
      <c r="V396" s="55"/>
      <c r="W396" s="73"/>
      <c r="X396" s="43" t="s">
        <v>401</v>
      </c>
      <c r="Y396" s="43"/>
      <c r="Z396" s="43"/>
      <c r="AA396" s="22"/>
      <c r="AB396" s="22"/>
      <c r="AC396" s="22"/>
      <c r="AD396" s="22"/>
      <c r="AE396" s="22"/>
      <c r="AF396" s="43"/>
      <c r="AG396" s="43"/>
      <c r="AH396" s="43"/>
      <c r="AI396" s="43"/>
      <c r="AJ396" s="43"/>
      <c r="AK396" s="43"/>
      <c r="AL396" s="43"/>
      <c r="AM396" s="43"/>
      <c r="AN396" s="43"/>
      <c r="AO396" s="43"/>
      <c r="AP396" s="43"/>
      <c r="AQ396" s="43"/>
      <c r="AR396" s="43"/>
      <c r="AS396" s="43"/>
      <c r="AT396" s="43"/>
      <c r="AU396" s="43"/>
      <c r="AV396" s="43"/>
      <c r="AW396" s="22"/>
      <c r="AX396" s="22" t="s">
        <v>401</v>
      </c>
      <c r="AY396" s="43"/>
      <c r="AZ396" s="43"/>
      <c r="BA396" s="43"/>
      <c r="BB396" s="43"/>
      <c r="BC396" s="43"/>
      <c r="BD396" s="43"/>
      <c r="BE396" s="43"/>
      <c r="BF396" s="43"/>
      <c r="BG396" s="43"/>
      <c r="BH396" s="43"/>
      <c r="BI396" s="43"/>
      <c r="BJ396" s="43"/>
      <c r="BK396" s="43"/>
      <c r="BL396" s="22">
        <v>4.630263907332E12</v>
      </c>
      <c r="BM396" s="22">
        <v>2.106909808E9</v>
      </c>
      <c r="BN396" s="22" t="s">
        <v>5534</v>
      </c>
      <c r="BO396" s="46" t="s">
        <v>5535</v>
      </c>
      <c r="BP396" s="22" t="s">
        <v>245</v>
      </c>
      <c r="BQ396" s="43"/>
      <c r="BR396" s="43"/>
      <c r="BS396" s="22" t="s">
        <v>5536</v>
      </c>
      <c r="BT396" s="43"/>
      <c r="BU396" s="22" t="s">
        <v>5537</v>
      </c>
      <c r="BV396" s="22" t="s">
        <v>619</v>
      </c>
      <c r="BW396" s="22" t="s">
        <v>620</v>
      </c>
      <c r="BX396" s="22">
        <v>90.0</v>
      </c>
      <c r="BY396" s="22" t="s">
        <v>492</v>
      </c>
      <c r="BZ396" s="22"/>
      <c r="CA396" s="22" t="s">
        <v>355</v>
      </c>
      <c r="CB396" s="22" t="s">
        <v>401</v>
      </c>
      <c r="CC396" s="44" t="s">
        <v>5538</v>
      </c>
      <c r="CD396" s="43"/>
      <c r="CE396" s="43"/>
      <c r="CF396" s="45" t="s">
        <v>401</v>
      </c>
      <c r="CG396" s="43"/>
      <c r="CH396" s="43"/>
      <c r="CI396" s="43"/>
      <c r="CJ396" s="43"/>
      <c r="CK396" s="43"/>
      <c r="CL396" s="43"/>
      <c r="CM396" s="49" t="str">
        <f>IFERROR(VLOOKUP(B396,CC!A:D,4,0)," ")</f>
        <v> </v>
      </c>
      <c r="CN396" s="22" t="s">
        <v>624</v>
      </c>
      <c r="CO396" s="22"/>
      <c r="CP396" s="43"/>
      <c r="CQ396" s="22" t="s">
        <v>401</v>
      </c>
      <c r="CR396" s="43"/>
      <c r="CS396" s="43"/>
      <c r="CT396" s="43"/>
      <c r="CU396" s="43"/>
      <c r="CV396" s="43"/>
      <c r="CW396" s="43"/>
      <c r="CX396" s="43"/>
      <c r="CY396" s="43" t="b">
        <v>0</v>
      </c>
      <c r="CZ396" s="43" t="b">
        <v>0</v>
      </c>
      <c r="DA396" s="43" t="b">
        <v>0</v>
      </c>
      <c r="DB396" s="43" t="b">
        <v>0</v>
      </c>
      <c r="DC396" s="43"/>
      <c r="DD396" s="43"/>
      <c r="DE396" s="43"/>
      <c r="DF396" s="43"/>
      <c r="DG396" s="43"/>
      <c r="DH396" s="43"/>
      <c r="DI396" s="43"/>
      <c r="DJ396" s="22" t="str">
        <f>IFERROR(VLOOKUP($B396,'Лист4'!$D:$AI,27,0)," ")</f>
        <v> </v>
      </c>
      <c r="DK396" s="22" t="str">
        <f>IFERROR(VLOOKUP($B396,'Лист4'!$D:$AI,28,0)," ")</f>
        <v> </v>
      </c>
      <c r="DL396" s="22" t="str">
        <f>IFERROR(VLOOKUP($B396,'Лист4'!$D:$AI,29,0)," ")</f>
        <v> </v>
      </c>
      <c r="DM396" s="22" t="str">
        <f t="shared" si="3"/>
        <v> </v>
      </c>
      <c r="DN396" s="22" t="str">
        <f>IFERROR(VLOOKUP($B396,'Лист4'!$D:$AI,32,0)," ")</f>
        <v> </v>
      </c>
      <c r="DO396" s="22"/>
      <c r="DP396" s="22"/>
      <c r="DQ396" s="22"/>
      <c r="DR396" s="22"/>
      <c r="DS396" s="22"/>
      <c r="DT396" s="22"/>
      <c r="DU396" s="22"/>
      <c r="DV396" s="22"/>
      <c r="DW396" s="22"/>
      <c r="DX396" s="22"/>
      <c r="DY396" s="22"/>
      <c r="DZ396" s="22"/>
      <c r="EA396" s="22"/>
      <c r="EB396" s="22"/>
      <c r="EC396" s="22"/>
      <c r="ED396" s="22"/>
      <c r="EE396" s="22"/>
      <c r="EF396" s="22"/>
      <c r="EG396" s="22"/>
      <c r="EH396" s="22"/>
      <c r="EI396" s="22"/>
      <c r="EJ396" s="22"/>
      <c r="EK396" s="22"/>
      <c r="EL396" s="22"/>
      <c r="EM396" s="22"/>
      <c r="EN396" s="22"/>
      <c r="EO396" s="22"/>
      <c r="EP396" s="22"/>
      <c r="EQ396" s="22"/>
      <c r="ER396" s="22"/>
      <c r="ES396" s="43"/>
      <c r="ET396" s="43"/>
      <c r="EU396" s="43"/>
      <c r="EV396" s="43"/>
      <c r="EW396" s="43"/>
      <c r="EX396" s="43"/>
      <c r="EY396" s="43"/>
      <c r="EZ396" s="43"/>
      <c r="FA396" s="43"/>
      <c r="FB396" s="43"/>
      <c r="FC396" s="43"/>
      <c r="FD396" s="43"/>
      <c r="FE396" s="43"/>
      <c r="FF396" s="43"/>
      <c r="FG396" s="43"/>
      <c r="FH396" s="43"/>
      <c r="FI396" s="43"/>
    </row>
    <row r="397" ht="18.0" customHeight="1">
      <c r="A397" s="22" t="s">
        <v>2659</v>
      </c>
      <c r="B397" s="22" t="s">
        <v>5539</v>
      </c>
      <c r="C397" s="22" t="s">
        <v>2741</v>
      </c>
      <c r="D397" s="22" t="s">
        <v>241</v>
      </c>
      <c r="E397" s="43"/>
      <c r="F397" s="22" t="s">
        <v>5540</v>
      </c>
      <c r="G397" s="22" t="s">
        <v>5367</v>
      </c>
      <c r="H397" s="22" t="s">
        <v>565</v>
      </c>
      <c r="I397" s="43"/>
      <c r="J397" s="43"/>
      <c r="K397" s="22" t="b">
        <v>0</v>
      </c>
      <c r="L397" s="74" t="b">
        <v>0</v>
      </c>
      <c r="M397" s="75" t="b">
        <v>0</v>
      </c>
      <c r="N397" s="75" t="b">
        <v>0</v>
      </c>
      <c r="O397" s="75" t="b">
        <v>0</v>
      </c>
      <c r="P397" s="75" t="b">
        <v>0</v>
      </c>
      <c r="Q397" s="75" t="b">
        <v>0</v>
      </c>
      <c r="R397" s="43"/>
      <c r="S397" s="43"/>
      <c r="T397" s="22" t="s">
        <v>401</v>
      </c>
      <c r="U397" s="22" t="s">
        <v>401</v>
      </c>
      <c r="V397" s="55"/>
      <c r="W397" s="73"/>
      <c r="X397" s="43" t="s">
        <v>401</v>
      </c>
      <c r="Y397" s="43"/>
      <c r="Z397" s="43"/>
      <c r="AA397" s="22"/>
      <c r="AB397" s="22"/>
      <c r="AC397" s="22"/>
      <c r="AD397" s="22"/>
      <c r="AE397" s="22"/>
      <c r="AF397" s="43"/>
      <c r="AG397" s="43"/>
      <c r="AH397" s="43"/>
      <c r="AI397" s="43"/>
      <c r="AJ397" s="43"/>
      <c r="AK397" s="43"/>
      <c r="AL397" s="43"/>
      <c r="AM397" s="43"/>
      <c r="AN397" s="43"/>
      <c r="AO397" s="43"/>
      <c r="AP397" s="43"/>
      <c r="AQ397" s="43"/>
      <c r="AR397" s="43"/>
      <c r="AS397" s="43"/>
      <c r="AT397" s="43"/>
      <c r="AU397" s="43"/>
      <c r="AV397" s="43"/>
      <c r="AW397" s="22"/>
      <c r="AX397" s="22" t="s">
        <v>401</v>
      </c>
      <c r="AY397" s="43"/>
      <c r="AZ397" s="43"/>
      <c r="BA397" s="43"/>
      <c r="BB397" s="43"/>
      <c r="BC397" s="43"/>
      <c r="BD397" s="43"/>
      <c r="BE397" s="43"/>
      <c r="BF397" s="43"/>
      <c r="BG397" s="43"/>
      <c r="BH397" s="43"/>
      <c r="BI397" s="43"/>
      <c r="BJ397" s="43"/>
      <c r="BK397" s="43"/>
      <c r="BL397" s="22">
        <v>4.660417421858E12</v>
      </c>
      <c r="BM397" s="22">
        <v>3.30499E9</v>
      </c>
      <c r="BN397" s="22" t="s">
        <v>401</v>
      </c>
      <c r="BO397" s="22"/>
      <c r="BP397" s="22" t="s">
        <v>245</v>
      </c>
      <c r="BQ397" s="43"/>
      <c r="BR397" s="43"/>
      <c r="BS397" s="22" t="s">
        <v>5541</v>
      </c>
      <c r="BT397" s="43"/>
      <c r="BU397" s="22" t="s">
        <v>5542</v>
      </c>
      <c r="BV397" s="22" t="s">
        <v>5543</v>
      </c>
      <c r="BW397" s="22" t="s">
        <v>5544</v>
      </c>
      <c r="BX397" s="22">
        <v>75.0</v>
      </c>
      <c r="BY397" s="22" t="s">
        <v>139</v>
      </c>
      <c r="BZ397" s="43"/>
      <c r="CA397" s="22" t="s">
        <v>726</v>
      </c>
      <c r="CB397" s="22" t="s">
        <v>401</v>
      </c>
      <c r="CC397" s="45" t="s">
        <v>401</v>
      </c>
      <c r="CD397" s="43"/>
      <c r="CE397" s="43"/>
      <c r="CF397" s="45" t="s">
        <v>401</v>
      </c>
      <c r="CG397" s="43"/>
      <c r="CH397" s="43"/>
      <c r="CI397" s="43"/>
      <c r="CJ397" s="43"/>
      <c r="CK397" s="43"/>
      <c r="CL397" s="43"/>
      <c r="CM397" s="49" t="str">
        <f>IFERROR(VLOOKUP(B397,CC!A:D,4,0)," ")</f>
        <v> </v>
      </c>
      <c r="CN397" s="22" t="s">
        <v>401</v>
      </c>
      <c r="CO397" s="22"/>
      <c r="CP397" s="43"/>
      <c r="CQ397" s="22" t="s">
        <v>401</v>
      </c>
      <c r="CR397" s="43"/>
      <c r="CS397" s="43"/>
      <c r="CT397" s="43"/>
      <c r="CU397" s="43"/>
      <c r="CV397" s="43"/>
      <c r="CW397" s="43"/>
      <c r="CX397" s="43"/>
      <c r="CY397" s="43" t="b">
        <v>0</v>
      </c>
      <c r="CZ397" s="43" t="b">
        <v>0</v>
      </c>
      <c r="DA397" s="43" t="b">
        <v>0</v>
      </c>
      <c r="DB397" s="43" t="b">
        <v>0</v>
      </c>
      <c r="DC397" s="43"/>
      <c r="DD397" s="43"/>
      <c r="DE397" s="43"/>
      <c r="DF397" s="43"/>
      <c r="DG397" s="43"/>
      <c r="DH397" s="43"/>
      <c r="DI397" s="43"/>
      <c r="DJ397" s="22" t="str">
        <f>IFERROR(VLOOKUP($B397,'Лист4'!$D:$AI,27,0)," ")</f>
        <v> </v>
      </c>
      <c r="DK397" s="22" t="str">
        <f>IFERROR(VLOOKUP($B397,'Лист4'!$D:$AI,28,0)," ")</f>
        <v> </v>
      </c>
      <c r="DL397" s="22" t="str">
        <f>IFERROR(VLOOKUP($B397,'Лист4'!$D:$AI,29,0)," ")</f>
        <v> </v>
      </c>
      <c r="DM397" s="22" t="str">
        <f t="shared" si="3"/>
        <v> </v>
      </c>
      <c r="DN397" s="22" t="str">
        <f>IFERROR(VLOOKUP($B397,'Лист4'!$D:$AI,32,0)," ")</f>
        <v> </v>
      </c>
      <c r="DO397" s="22"/>
      <c r="DP397" s="22"/>
      <c r="DQ397" s="22"/>
      <c r="DR397" s="22"/>
      <c r="DS397" s="22"/>
      <c r="DT397" s="22"/>
      <c r="DU397" s="22"/>
      <c r="DV397" s="22"/>
      <c r="DW397" s="22"/>
      <c r="DX397" s="22"/>
      <c r="DY397" s="22"/>
      <c r="DZ397" s="22"/>
      <c r="EA397" s="22"/>
      <c r="EB397" s="22"/>
      <c r="EC397" s="22"/>
      <c r="ED397" s="22"/>
      <c r="EE397" s="22"/>
      <c r="EF397" s="22"/>
      <c r="EG397" s="22"/>
      <c r="EH397" s="22"/>
      <c r="EI397" s="22"/>
      <c r="EJ397" s="22"/>
      <c r="EK397" s="22"/>
      <c r="EL397" s="22"/>
      <c r="EM397" s="22"/>
      <c r="EN397" s="22"/>
      <c r="EO397" s="22"/>
      <c r="EP397" s="22"/>
      <c r="EQ397" s="22"/>
      <c r="ER397" s="22"/>
      <c r="ES397" s="43"/>
      <c r="ET397" s="43"/>
      <c r="EU397" s="43"/>
      <c r="EV397" s="43"/>
      <c r="EW397" s="43"/>
      <c r="EX397" s="43"/>
      <c r="EY397" s="43"/>
      <c r="EZ397" s="43"/>
      <c r="FA397" s="43"/>
      <c r="FB397" s="43"/>
      <c r="FC397" s="43"/>
      <c r="FD397" s="43"/>
      <c r="FE397" s="43"/>
      <c r="FF397" s="43"/>
      <c r="FG397" s="43"/>
      <c r="FH397" s="43"/>
      <c r="FI397" s="43"/>
    </row>
    <row r="398" ht="18.0" customHeight="1">
      <c r="A398" s="22" t="s">
        <v>2659</v>
      </c>
      <c r="B398" s="77" t="s">
        <v>5198</v>
      </c>
      <c r="C398" s="22" t="s">
        <v>2741</v>
      </c>
      <c r="D398" s="22" t="s">
        <v>119</v>
      </c>
      <c r="E398" s="43"/>
      <c r="F398" s="77" t="s">
        <v>5199</v>
      </c>
      <c r="G398" s="22" t="s">
        <v>5367</v>
      </c>
      <c r="H398" s="22" t="s">
        <v>565</v>
      </c>
      <c r="I398" s="43"/>
      <c r="J398" s="43"/>
      <c r="K398" s="22" t="b">
        <v>0</v>
      </c>
      <c r="L398" s="74" t="b">
        <v>0</v>
      </c>
      <c r="M398" s="75" t="b">
        <v>0</v>
      </c>
      <c r="N398" s="75" t="b">
        <v>0</v>
      </c>
      <c r="O398" s="75" t="b">
        <v>0</v>
      </c>
      <c r="P398" s="75" t="b">
        <v>0</v>
      </c>
      <c r="Q398" s="75" t="b">
        <v>0</v>
      </c>
      <c r="R398" s="43"/>
      <c r="S398" s="43"/>
      <c r="T398" s="22" t="s">
        <v>401</v>
      </c>
      <c r="U398" s="22" t="s">
        <v>401</v>
      </c>
      <c r="V398" s="55"/>
      <c r="W398" s="43"/>
      <c r="X398" s="43" t="s">
        <v>401</v>
      </c>
      <c r="Y398" s="43"/>
      <c r="Z398" s="43"/>
      <c r="AA398" s="22"/>
      <c r="AB398" s="22"/>
      <c r="AC398" s="22"/>
      <c r="AD398" s="22"/>
      <c r="AE398" s="22"/>
      <c r="AF398" s="43"/>
      <c r="AG398" s="43"/>
      <c r="AH398" s="43"/>
      <c r="AI398" s="43"/>
      <c r="AJ398" s="43"/>
      <c r="AK398" s="43"/>
      <c r="AL398" s="43"/>
      <c r="AM398" s="43"/>
      <c r="AN398" s="43"/>
      <c r="AO398" s="43"/>
      <c r="AP398" s="43"/>
      <c r="AQ398" s="43"/>
      <c r="AR398" s="43"/>
      <c r="AS398" s="43"/>
      <c r="AT398" s="43"/>
      <c r="AU398" s="43"/>
      <c r="AV398" s="43"/>
      <c r="AW398" s="22"/>
      <c r="AX398" s="22" t="s">
        <v>401</v>
      </c>
      <c r="AY398" s="43"/>
      <c r="AZ398" s="43"/>
      <c r="BA398" s="43"/>
      <c r="BB398" s="43"/>
      <c r="BC398" s="43"/>
      <c r="BD398" s="43"/>
      <c r="BE398" s="43"/>
      <c r="BF398" s="43"/>
      <c r="BG398" s="43"/>
      <c r="BH398" s="43"/>
      <c r="BI398" s="43"/>
      <c r="BJ398" s="43"/>
      <c r="BK398" s="43"/>
      <c r="BL398" s="22">
        <v>4.660417421629E12</v>
      </c>
      <c r="BM398" s="65">
        <v>3.30499E9</v>
      </c>
      <c r="BN398" s="22" t="s">
        <v>401</v>
      </c>
      <c r="BO398" s="22"/>
      <c r="BP398" s="22" t="s">
        <v>245</v>
      </c>
      <c r="BQ398" s="43"/>
      <c r="BR398" s="43"/>
      <c r="BS398" s="22" t="s">
        <v>401</v>
      </c>
      <c r="BT398" s="43"/>
      <c r="BU398" s="22" t="s">
        <v>401</v>
      </c>
      <c r="BV398" s="43" t="s">
        <v>401</v>
      </c>
      <c r="BW398" s="22" t="s">
        <v>401</v>
      </c>
      <c r="BX398" s="22"/>
      <c r="BY398" s="43"/>
      <c r="BZ398" s="43"/>
      <c r="CA398" s="22"/>
      <c r="CB398" s="22" t="s">
        <v>401</v>
      </c>
      <c r="CC398" s="45" t="s">
        <v>401</v>
      </c>
      <c r="CD398" s="43"/>
      <c r="CE398" s="43"/>
      <c r="CF398" s="45" t="s">
        <v>401</v>
      </c>
      <c r="CG398" s="43"/>
      <c r="CH398" s="43"/>
      <c r="CI398" s="43"/>
      <c r="CJ398" s="43"/>
      <c r="CK398" s="43"/>
      <c r="CL398" s="43"/>
      <c r="CM398" s="49">
        <f>IFERROR(VLOOKUP(B398,CC!A:D,4,0)," ")</f>
        <v>112.39</v>
      </c>
      <c r="CN398" s="22" t="s">
        <v>401</v>
      </c>
      <c r="CO398" s="22"/>
      <c r="CP398" s="43"/>
      <c r="CQ398" s="22" t="s">
        <v>401</v>
      </c>
      <c r="CR398" s="43"/>
      <c r="CS398" s="43"/>
      <c r="CT398" s="43"/>
      <c r="CU398" s="43"/>
      <c r="CV398" s="43"/>
      <c r="CW398" s="43"/>
      <c r="CX398" s="43"/>
      <c r="CY398" s="43" t="b">
        <v>0</v>
      </c>
      <c r="CZ398" s="43" t="b">
        <v>0</v>
      </c>
      <c r="DA398" s="43" t="b">
        <v>0</v>
      </c>
      <c r="DB398" s="43" t="b">
        <v>0</v>
      </c>
      <c r="DC398" s="43"/>
      <c r="DD398" s="43"/>
      <c r="DE398" s="43"/>
      <c r="DF398" s="43"/>
      <c r="DG398" s="43"/>
      <c r="DH398" s="43"/>
      <c r="DI398" s="43"/>
      <c r="DJ398" s="22">
        <f>IFERROR(VLOOKUP($B398,'Лист4'!$D:$AI,27,0)," ")</f>
        <v>11</v>
      </c>
      <c r="DK398" s="22">
        <f>IFERROR(VLOOKUP($B398,'Лист4'!$D:$AI,28,0)," ")</f>
        <v>4</v>
      </c>
      <c r="DL398" s="22">
        <f>IFERROR(VLOOKUP($B398,'Лист4'!$D:$AI,29,0)," ")</f>
        <v>11</v>
      </c>
      <c r="DM398" s="22">
        <f t="shared" si="3"/>
        <v>484</v>
      </c>
      <c r="DN398" s="22">
        <f>IFERROR(VLOOKUP($B398,'Лист4'!$D:$AI,32,0)," ")</f>
        <v>0.064</v>
      </c>
      <c r="DO398" s="22"/>
      <c r="DP398" s="22"/>
      <c r="DQ398" s="22"/>
      <c r="DR398" s="22"/>
      <c r="DS398" s="22"/>
      <c r="DT398" s="22"/>
      <c r="DU398" s="22"/>
      <c r="DV398" s="22"/>
      <c r="DW398" s="22"/>
      <c r="DX398" s="22"/>
      <c r="DY398" s="22"/>
      <c r="DZ398" s="22"/>
      <c r="EA398" s="22"/>
      <c r="EB398" s="22"/>
      <c r="EC398" s="22"/>
      <c r="ED398" s="22"/>
      <c r="EE398" s="22"/>
      <c r="EF398" s="22"/>
      <c r="EG398" s="22"/>
      <c r="EH398" s="22"/>
      <c r="EI398" s="22"/>
      <c r="EJ398" s="22"/>
      <c r="EK398" s="22"/>
      <c r="EL398" s="22"/>
      <c r="EM398" s="22"/>
      <c r="EN398" s="22"/>
      <c r="EO398" s="22"/>
      <c r="EP398" s="22"/>
      <c r="EQ398" s="22"/>
      <c r="ER398" s="22"/>
      <c r="ES398" s="43"/>
      <c r="ET398" s="43"/>
      <c r="EU398" s="43"/>
      <c r="EV398" s="43"/>
      <c r="EW398" s="43"/>
      <c r="EX398" s="43"/>
      <c r="EY398" s="43"/>
      <c r="EZ398" s="43"/>
      <c r="FA398" s="43"/>
      <c r="FB398" s="43"/>
      <c r="FC398" s="43"/>
      <c r="FD398" s="43"/>
      <c r="FE398" s="43"/>
      <c r="FF398" s="43"/>
      <c r="FG398" s="43"/>
      <c r="FH398" s="43"/>
      <c r="FI398" s="43"/>
    </row>
    <row r="399" ht="18.0" customHeight="1">
      <c r="A399" s="22" t="s">
        <v>2659</v>
      </c>
      <c r="B399" s="77" t="s">
        <v>5261</v>
      </c>
      <c r="C399" s="22" t="s">
        <v>2741</v>
      </c>
      <c r="D399" s="22" t="s">
        <v>119</v>
      </c>
      <c r="E399" s="43"/>
      <c r="F399" s="77" t="s">
        <v>5262</v>
      </c>
      <c r="G399" s="22" t="s">
        <v>5367</v>
      </c>
      <c r="H399" s="22" t="s">
        <v>565</v>
      </c>
      <c r="I399" s="43"/>
      <c r="J399" s="43"/>
      <c r="K399" s="22" t="b">
        <v>0</v>
      </c>
      <c r="L399" s="74" t="b">
        <v>0</v>
      </c>
      <c r="M399" s="75" t="b">
        <v>0</v>
      </c>
      <c r="N399" s="75" t="b">
        <v>0</v>
      </c>
      <c r="O399" s="75" t="b">
        <v>0</v>
      </c>
      <c r="P399" s="75" t="b">
        <v>0</v>
      </c>
      <c r="Q399" s="75" t="b">
        <v>0</v>
      </c>
      <c r="R399" s="43"/>
      <c r="S399" s="43"/>
      <c r="T399" s="22" t="s">
        <v>401</v>
      </c>
      <c r="U399" s="22" t="s">
        <v>401</v>
      </c>
      <c r="V399" s="55"/>
      <c r="W399" s="43"/>
      <c r="X399" s="43" t="s">
        <v>401</v>
      </c>
      <c r="Y399" s="43"/>
      <c r="Z399" s="43"/>
      <c r="AA399" s="22"/>
      <c r="AB399" s="22"/>
      <c r="AC399" s="22"/>
      <c r="AD399" s="22"/>
      <c r="AE399" s="22"/>
      <c r="AF399" s="43"/>
      <c r="AG399" s="43"/>
      <c r="AH399" s="43"/>
      <c r="AI399" s="43"/>
      <c r="AJ399" s="43"/>
      <c r="AK399" s="43"/>
      <c r="AL399" s="43"/>
      <c r="AM399" s="43"/>
      <c r="AN399" s="43"/>
      <c r="AO399" s="43"/>
      <c r="AP399" s="43"/>
      <c r="AQ399" s="43"/>
      <c r="AR399" s="43"/>
      <c r="AS399" s="43"/>
      <c r="AT399" s="43"/>
      <c r="AU399" s="43"/>
      <c r="AV399" s="43"/>
      <c r="AW399" s="22"/>
      <c r="AX399" s="22" t="s">
        <v>401</v>
      </c>
      <c r="AY399" s="43"/>
      <c r="AZ399" s="43"/>
      <c r="BA399" s="43"/>
      <c r="BB399" s="43"/>
      <c r="BC399" s="43"/>
      <c r="BD399" s="43"/>
      <c r="BE399" s="43"/>
      <c r="BF399" s="43"/>
      <c r="BG399" s="43"/>
      <c r="BH399" s="43"/>
      <c r="BI399" s="43"/>
      <c r="BJ399" s="43"/>
      <c r="BK399" s="43"/>
      <c r="BL399" s="22">
        <v>4.660417421827E12</v>
      </c>
      <c r="BM399" s="65">
        <v>3.30499E9</v>
      </c>
      <c r="BN399" s="22" t="s">
        <v>401</v>
      </c>
      <c r="BO399" s="22"/>
      <c r="BP399" s="22" t="s">
        <v>245</v>
      </c>
      <c r="BQ399" s="43"/>
      <c r="BR399" s="43"/>
      <c r="BS399" s="22" t="s">
        <v>401</v>
      </c>
      <c r="BT399" s="43"/>
      <c r="BU399" s="22" t="s">
        <v>401</v>
      </c>
      <c r="BV399" s="43" t="s">
        <v>401</v>
      </c>
      <c r="BW399" s="22" t="s">
        <v>401</v>
      </c>
      <c r="BX399" s="22"/>
      <c r="BY399" s="43"/>
      <c r="BZ399" s="43"/>
      <c r="CA399" s="22"/>
      <c r="CB399" s="22" t="s">
        <v>401</v>
      </c>
      <c r="CC399" s="45" t="s">
        <v>401</v>
      </c>
      <c r="CD399" s="43"/>
      <c r="CE399" s="43"/>
      <c r="CF399" s="45" t="s">
        <v>401</v>
      </c>
      <c r="CG399" s="43"/>
      <c r="CH399" s="43"/>
      <c r="CI399" s="43"/>
      <c r="CJ399" s="43"/>
      <c r="CK399" s="43"/>
      <c r="CL399" s="43"/>
      <c r="CM399" s="49">
        <f>IFERROR(VLOOKUP(B399,CC!A:D,4,0)," ")</f>
        <v>121</v>
      </c>
      <c r="CN399" s="22" t="s">
        <v>401</v>
      </c>
      <c r="CO399" s="22"/>
      <c r="CP399" s="43"/>
      <c r="CQ399" s="22" t="s">
        <v>401</v>
      </c>
      <c r="CR399" s="43"/>
      <c r="CS399" s="43"/>
      <c r="CT399" s="43"/>
      <c r="CU399" s="43"/>
      <c r="CV399" s="43"/>
      <c r="CW399" s="43"/>
      <c r="CX399" s="43"/>
      <c r="CY399" s="43" t="b">
        <v>0</v>
      </c>
      <c r="CZ399" s="43" t="b">
        <v>0</v>
      </c>
      <c r="DA399" s="43" t="b">
        <v>0</v>
      </c>
      <c r="DB399" s="43" t="b">
        <v>0</v>
      </c>
      <c r="DC399" s="43"/>
      <c r="DD399" s="43"/>
      <c r="DE399" s="43"/>
      <c r="DF399" s="43"/>
      <c r="DG399" s="43"/>
      <c r="DH399" s="43"/>
      <c r="DI399" s="43"/>
      <c r="DJ399" s="22" t="str">
        <f>IFERROR(VLOOKUP($B399,'Лист4'!$D:$AI,27,0)," ")</f>
        <v/>
      </c>
      <c r="DK399" s="22" t="str">
        <f>IFERROR(VLOOKUP($B399,'Лист4'!$D:$AI,28,0)," ")</f>
        <v/>
      </c>
      <c r="DL399" s="22" t="str">
        <f>IFERROR(VLOOKUP($B399,'Лист4'!$D:$AI,29,0)," ")</f>
        <v/>
      </c>
      <c r="DM399" s="22">
        <f t="shared" si="3"/>
        <v>0</v>
      </c>
      <c r="DN399" s="22" t="str">
        <f>IFERROR(VLOOKUP($B399,'Лист4'!$D:$AI,32,0)," ")</f>
        <v/>
      </c>
      <c r="DO399" s="22"/>
      <c r="DP399" s="22"/>
      <c r="DQ399" s="22"/>
      <c r="DR399" s="22"/>
      <c r="DS399" s="22"/>
      <c r="DT399" s="22"/>
      <c r="DU399" s="22"/>
      <c r="DV399" s="22"/>
      <c r="DW399" s="22"/>
      <c r="DX399" s="22"/>
      <c r="DY399" s="22"/>
      <c r="DZ399" s="22"/>
      <c r="EA399" s="22"/>
      <c r="EB399" s="22"/>
      <c r="EC399" s="22"/>
      <c r="ED399" s="22"/>
      <c r="EE399" s="22"/>
      <c r="EF399" s="22"/>
      <c r="EG399" s="22"/>
      <c r="EH399" s="22"/>
      <c r="EI399" s="22"/>
      <c r="EJ399" s="22"/>
      <c r="EK399" s="22"/>
      <c r="EL399" s="22"/>
      <c r="EM399" s="22"/>
      <c r="EN399" s="22"/>
      <c r="EO399" s="22"/>
      <c r="EP399" s="22"/>
      <c r="EQ399" s="22"/>
      <c r="ER399" s="22"/>
      <c r="ES399" s="43"/>
      <c r="ET399" s="43"/>
      <c r="EU399" s="43"/>
      <c r="EV399" s="43"/>
      <c r="EW399" s="43"/>
      <c r="EX399" s="43"/>
      <c r="EY399" s="43"/>
      <c r="EZ399" s="43"/>
      <c r="FA399" s="43"/>
      <c r="FB399" s="43"/>
      <c r="FC399" s="43"/>
      <c r="FD399" s="43"/>
      <c r="FE399" s="43"/>
      <c r="FF399" s="43"/>
      <c r="FG399" s="43"/>
      <c r="FH399" s="43"/>
      <c r="FI399" s="43"/>
    </row>
    <row r="400" ht="18.0" customHeight="1">
      <c r="A400" s="22" t="s">
        <v>2659</v>
      </c>
      <c r="B400" s="78" t="s">
        <v>5545</v>
      </c>
      <c r="C400" s="22" t="s">
        <v>2661</v>
      </c>
      <c r="D400" s="22"/>
      <c r="E400" s="43"/>
      <c r="F400" s="77"/>
      <c r="G400" s="22"/>
      <c r="H400" s="22"/>
      <c r="I400" s="43"/>
      <c r="J400" s="43"/>
      <c r="K400" s="22" t="b">
        <v>0</v>
      </c>
      <c r="L400" s="74" t="b">
        <v>0</v>
      </c>
      <c r="M400" s="75" t="b">
        <v>0</v>
      </c>
      <c r="N400" s="75" t="b">
        <v>0</v>
      </c>
      <c r="O400" s="75" t="b">
        <v>0</v>
      </c>
      <c r="P400" s="75" t="b">
        <v>0</v>
      </c>
      <c r="Q400" s="75" t="b">
        <v>0</v>
      </c>
      <c r="R400" s="43"/>
      <c r="S400" s="43"/>
      <c r="T400" s="22"/>
      <c r="U400" s="22"/>
      <c r="V400" s="55"/>
      <c r="W400" s="43"/>
      <c r="X400" s="43"/>
      <c r="Y400" s="43"/>
      <c r="Z400" s="43"/>
      <c r="AA400" s="22"/>
      <c r="AB400" s="22"/>
      <c r="AC400" s="22"/>
      <c r="AD400" s="22"/>
      <c r="AE400" s="22"/>
      <c r="AF400" s="43"/>
      <c r="AG400" s="43"/>
      <c r="AH400" s="43"/>
      <c r="AI400" s="43"/>
      <c r="AJ400" s="43"/>
      <c r="AK400" s="43"/>
      <c r="AL400" s="43"/>
      <c r="AM400" s="43"/>
      <c r="AN400" s="43"/>
      <c r="AO400" s="43"/>
      <c r="AP400" s="43"/>
      <c r="AQ400" s="43"/>
      <c r="AR400" s="43"/>
      <c r="AS400" s="43"/>
      <c r="AT400" s="43"/>
      <c r="AU400" s="43"/>
      <c r="AV400" s="43"/>
      <c r="AW400" s="22"/>
      <c r="AX400" s="22"/>
      <c r="AY400" s="43"/>
      <c r="AZ400" s="43"/>
      <c r="BA400" s="43"/>
      <c r="BB400" s="43"/>
      <c r="BC400" s="43"/>
      <c r="BD400" s="43"/>
      <c r="BE400" s="43"/>
      <c r="BF400" s="43"/>
      <c r="BG400" s="43"/>
      <c r="BH400" s="43"/>
      <c r="BI400" s="43"/>
      <c r="BJ400" s="43"/>
      <c r="BK400" s="43"/>
      <c r="BL400" s="22"/>
      <c r="BM400" s="65"/>
      <c r="BN400" s="22"/>
      <c r="BO400" s="22"/>
      <c r="BP400" s="22"/>
      <c r="BQ400" s="43"/>
      <c r="BR400" s="43"/>
      <c r="BS400" s="22"/>
      <c r="BT400" s="43"/>
      <c r="BU400" s="22"/>
      <c r="BV400" s="43"/>
      <c r="BW400" s="22"/>
      <c r="BX400" s="22"/>
      <c r="BY400" s="43"/>
      <c r="BZ400" s="43"/>
      <c r="CA400" s="22"/>
      <c r="CB400" s="22"/>
      <c r="CC400" s="45"/>
      <c r="CD400" s="43"/>
      <c r="CE400" s="43"/>
      <c r="CF400" s="45"/>
      <c r="CG400" s="43"/>
      <c r="CH400" s="43"/>
      <c r="CI400" s="43"/>
      <c r="CJ400" s="43"/>
      <c r="CK400" s="43"/>
      <c r="CL400" s="43"/>
      <c r="CM400" s="49">
        <f>IFERROR(VLOOKUP(B400,CC!A:D,4,0)," ")</f>
        <v>225</v>
      </c>
      <c r="CN400" s="22"/>
      <c r="CO400" s="22"/>
      <c r="CP400" s="43"/>
      <c r="CQ400" s="22"/>
      <c r="CR400" s="43"/>
      <c r="CS400" s="43"/>
      <c r="CT400" s="43"/>
      <c r="CU400" s="43"/>
      <c r="CV400" s="43"/>
      <c r="CW400" s="43"/>
      <c r="CX400" s="43"/>
      <c r="CY400" s="43" t="b">
        <v>0</v>
      </c>
      <c r="CZ400" s="43" t="b">
        <v>0</v>
      </c>
      <c r="DA400" s="43" t="b">
        <v>0</v>
      </c>
      <c r="DB400" s="43" t="b">
        <v>0</v>
      </c>
      <c r="DC400" s="43"/>
      <c r="DD400" s="43"/>
      <c r="DE400" s="43"/>
      <c r="DF400" s="43"/>
      <c r="DG400" s="43"/>
      <c r="DH400" s="43"/>
      <c r="DI400" s="43"/>
      <c r="DJ400" s="22"/>
      <c r="DK400" s="22"/>
      <c r="DL400" s="22"/>
      <c r="DM400" s="22"/>
      <c r="DN400" s="22"/>
      <c r="DO400" s="22"/>
      <c r="DP400" s="22"/>
      <c r="DQ400" s="22"/>
      <c r="DR400" s="22"/>
      <c r="DS400" s="22"/>
      <c r="DT400" s="22"/>
      <c r="DU400" s="22"/>
      <c r="DV400" s="22"/>
      <c r="DW400" s="22"/>
      <c r="DX400" s="22"/>
      <c r="DY400" s="22"/>
      <c r="DZ400" s="22"/>
      <c r="EA400" s="22"/>
      <c r="EB400" s="22"/>
      <c r="EC400" s="22"/>
      <c r="ED400" s="22"/>
      <c r="EE400" s="22"/>
      <c r="EF400" s="22"/>
      <c r="EG400" s="22"/>
      <c r="EH400" s="22"/>
      <c r="EI400" s="22"/>
      <c r="EJ400" s="22"/>
      <c r="EK400" s="22"/>
      <c r="EL400" s="22"/>
      <c r="EM400" s="22"/>
      <c r="EN400" s="22"/>
      <c r="EO400" s="22"/>
      <c r="EP400" s="22"/>
      <c r="EQ400" s="22"/>
      <c r="ER400" s="22"/>
      <c r="ES400" s="43"/>
      <c r="ET400" s="43"/>
      <c r="EU400" s="43"/>
      <c r="EV400" s="43"/>
      <c r="EW400" s="43"/>
      <c r="EX400" s="43"/>
      <c r="EY400" s="43"/>
      <c r="EZ400" s="43"/>
      <c r="FA400" s="43"/>
      <c r="FB400" s="43"/>
      <c r="FC400" s="43"/>
      <c r="FD400" s="43"/>
      <c r="FE400" s="43"/>
      <c r="FF400" s="43"/>
      <c r="FG400" s="43"/>
      <c r="FH400" s="43"/>
      <c r="FI400" s="43"/>
    </row>
    <row r="401" ht="18.0" customHeight="1">
      <c r="A401" s="22" t="s">
        <v>2659</v>
      </c>
      <c r="B401" s="78" t="s">
        <v>5546</v>
      </c>
      <c r="C401" s="22" t="s">
        <v>2741</v>
      </c>
      <c r="D401" s="22"/>
      <c r="E401" s="43"/>
      <c r="F401" s="77"/>
      <c r="G401" s="22"/>
      <c r="H401" s="22"/>
      <c r="I401" s="43"/>
      <c r="J401" s="43"/>
      <c r="K401" s="22" t="b">
        <v>0</v>
      </c>
      <c r="L401" s="74" t="b">
        <v>0</v>
      </c>
      <c r="M401" s="75" t="b">
        <v>0</v>
      </c>
      <c r="N401" s="75" t="b">
        <v>0</v>
      </c>
      <c r="O401" s="75" t="b">
        <v>0</v>
      </c>
      <c r="P401" s="75" t="b">
        <v>0</v>
      </c>
      <c r="Q401" s="75" t="b">
        <v>0</v>
      </c>
      <c r="R401" s="43"/>
      <c r="S401" s="43"/>
      <c r="T401" s="22"/>
      <c r="U401" s="22"/>
      <c r="V401" s="55"/>
      <c r="W401" s="43"/>
      <c r="X401" s="43"/>
      <c r="Y401" s="43"/>
      <c r="Z401" s="43"/>
      <c r="AA401" s="22"/>
      <c r="AB401" s="22"/>
      <c r="AC401" s="22"/>
      <c r="AD401" s="22"/>
      <c r="AE401" s="22"/>
      <c r="AF401" s="43"/>
      <c r="AG401" s="43"/>
      <c r="AH401" s="43"/>
      <c r="AI401" s="43"/>
      <c r="AJ401" s="43"/>
      <c r="AK401" s="43"/>
      <c r="AL401" s="43"/>
      <c r="AM401" s="43"/>
      <c r="AN401" s="43"/>
      <c r="AO401" s="43"/>
      <c r="AP401" s="43"/>
      <c r="AQ401" s="43"/>
      <c r="AR401" s="43"/>
      <c r="AS401" s="43"/>
      <c r="AT401" s="43"/>
      <c r="AU401" s="43"/>
      <c r="AV401" s="43"/>
      <c r="AW401" s="22"/>
      <c r="AX401" s="22"/>
      <c r="AY401" s="43"/>
      <c r="AZ401" s="43"/>
      <c r="BA401" s="43"/>
      <c r="BB401" s="43"/>
      <c r="BC401" s="43"/>
      <c r="BD401" s="43"/>
      <c r="BE401" s="43"/>
      <c r="BF401" s="43"/>
      <c r="BG401" s="43"/>
      <c r="BH401" s="43"/>
      <c r="BI401" s="43"/>
      <c r="BJ401" s="43"/>
      <c r="BK401" s="43"/>
      <c r="BL401" s="22"/>
      <c r="BM401" s="65"/>
      <c r="BN401" s="22"/>
      <c r="BO401" s="22"/>
      <c r="BP401" s="22"/>
      <c r="BQ401" s="43"/>
      <c r="BR401" s="43"/>
      <c r="BS401" s="22"/>
      <c r="BT401" s="43"/>
      <c r="BU401" s="22"/>
      <c r="BV401" s="43"/>
      <c r="BW401" s="22"/>
      <c r="BX401" s="22"/>
      <c r="BY401" s="43"/>
      <c r="BZ401" s="43"/>
      <c r="CA401" s="22"/>
      <c r="CB401" s="22"/>
      <c r="CC401" s="45"/>
      <c r="CD401" s="43"/>
      <c r="CE401" s="43"/>
      <c r="CF401" s="45"/>
      <c r="CG401" s="43"/>
      <c r="CH401" s="43"/>
      <c r="CI401" s="43"/>
      <c r="CJ401" s="43"/>
      <c r="CK401" s="43"/>
      <c r="CL401" s="43"/>
      <c r="CM401" s="49">
        <f>IFERROR(VLOOKUP(B401,CC!A:D,4,0)," ")</f>
        <v>172.31</v>
      </c>
      <c r="CN401" s="22"/>
      <c r="CO401" s="22"/>
      <c r="CP401" s="43"/>
      <c r="CQ401" s="22"/>
      <c r="CR401" s="43"/>
      <c r="CS401" s="43"/>
      <c r="CT401" s="43"/>
      <c r="CU401" s="43"/>
      <c r="CV401" s="43"/>
      <c r="CW401" s="43"/>
      <c r="CX401" s="43"/>
      <c r="CY401" s="43" t="b">
        <v>0</v>
      </c>
      <c r="CZ401" s="43" t="b">
        <v>0</v>
      </c>
      <c r="DA401" s="43" t="b">
        <v>0</v>
      </c>
      <c r="DB401" s="43" t="b">
        <v>0</v>
      </c>
      <c r="DC401" s="43"/>
      <c r="DD401" s="43"/>
      <c r="DE401" s="43"/>
      <c r="DF401" s="43"/>
      <c r="DG401" s="43"/>
      <c r="DH401" s="43"/>
      <c r="DI401" s="43"/>
      <c r="DJ401" s="22"/>
      <c r="DK401" s="22"/>
      <c r="DL401" s="22"/>
      <c r="DM401" s="22"/>
      <c r="DN401" s="22"/>
      <c r="DO401" s="22"/>
      <c r="DP401" s="22"/>
      <c r="DQ401" s="22"/>
      <c r="DR401" s="22"/>
      <c r="DS401" s="22"/>
      <c r="DT401" s="22"/>
      <c r="DU401" s="22"/>
      <c r="DV401" s="22"/>
      <c r="DW401" s="22"/>
      <c r="DX401" s="22"/>
      <c r="DY401" s="22"/>
      <c r="DZ401" s="22"/>
      <c r="EA401" s="22"/>
      <c r="EB401" s="22"/>
      <c r="EC401" s="22"/>
      <c r="ED401" s="22"/>
      <c r="EE401" s="22"/>
      <c r="EF401" s="22"/>
      <c r="EG401" s="22"/>
      <c r="EH401" s="22"/>
      <c r="EI401" s="22"/>
      <c r="EJ401" s="22"/>
      <c r="EK401" s="22"/>
      <c r="EL401" s="22"/>
      <c r="EM401" s="22"/>
      <c r="EN401" s="22"/>
      <c r="EO401" s="22"/>
      <c r="EP401" s="22"/>
      <c r="EQ401" s="22"/>
      <c r="ER401" s="22"/>
      <c r="ES401" s="43"/>
      <c r="ET401" s="43"/>
      <c r="EU401" s="43"/>
      <c r="EV401" s="43"/>
      <c r="EW401" s="43"/>
      <c r="EX401" s="43"/>
      <c r="EY401" s="43"/>
      <c r="EZ401" s="43"/>
      <c r="FA401" s="43"/>
      <c r="FB401" s="43"/>
      <c r="FC401" s="43"/>
      <c r="FD401" s="43"/>
      <c r="FE401" s="43"/>
      <c r="FF401" s="43"/>
      <c r="FG401" s="43"/>
      <c r="FH401" s="43"/>
      <c r="FI401" s="43"/>
    </row>
    <row r="402" ht="18.0" customHeight="1">
      <c r="A402" s="22" t="s">
        <v>2659</v>
      </c>
      <c r="B402" s="77" t="s">
        <v>5547</v>
      </c>
      <c r="C402" s="22" t="s">
        <v>2741</v>
      </c>
      <c r="D402" s="22" t="s">
        <v>241</v>
      </c>
      <c r="E402" s="43"/>
      <c r="F402" s="62" t="s">
        <v>5548</v>
      </c>
      <c r="G402" s="22" t="s">
        <v>5367</v>
      </c>
      <c r="H402" s="22" t="s">
        <v>565</v>
      </c>
      <c r="I402" s="43"/>
      <c r="J402" s="43"/>
      <c r="K402" s="22" t="b">
        <v>0</v>
      </c>
      <c r="L402" s="74" t="b">
        <v>1</v>
      </c>
      <c r="M402" s="74" t="b">
        <v>1</v>
      </c>
      <c r="N402" s="75" t="b">
        <v>0</v>
      </c>
      <c r="O402" s="75" t="b">
        <v>0</v>
      </c>
      <c r="P402" s="75" t="b">
        <v>0</v>
      </c>
      <c r="Q402" s="75" t="b">
        <v>0</v>
      </c>
      <c r="R402" s="43"/>
      <c r="S402" s="43"/>
      <c r="T402" s="77" t="s">
        <v>5547</v>
      </c>
      <c r="U402" s="77" t="s">
        <v>5547</v>
      </c>
      <c r="V402" s="55"/>
      <c r="W402" s="43"/>
      <c r="X402" s="43" t="s">
        <v>401</v>
      </c>
      <c r="Y402" s="43"/>
      <c r="Z402" s="43"/>
      <c r="AA402" s="22">
        <v>8.99373456E8</v>
      </c>
      <c r="AB402" s="22">
        <v>3.693432789E9</v>
      </c>
      <c r="AC402" s="22"/>
      <c r="AD402" s="22"/>
      <c r="AE402" s="22"/>
      <c r="AF402" s="43"/>
      <c r="AG402" s="43"/>
      <c r="AH402" s="43"/>
      <c r="AI402" s="43"/>
      <c r="AJ402" s="43"/>
      <c r="AK402" s="43"/>
      <c r="AL402" s="43"/>
      <c r="AM402" s="43"/>
      <c r="AN402" s="43"/>
      <c r="AO402" s="43"/>
      <c r="AP402" s="43"/>
      <c r="AQ402" s="43"/>
      <c r="AR402" s="43"/>
      <c r="AS402" s="43"/>
      <c r="AT402" s="43"/>
      <c r="AU402" s="43"/>
      <c r="AV402" s="43"/>
      <c r="AW402" s="22"/>
      <c r="AX402" s="22" t="s">
        <v>401</v>
      </c>
      <c r="AY402" s="43"/>
      <c r="AZ402" s="43"/>
      <c r="BA402" s="43"/>
      <c r="BB402" s="43"/>
      <c r="BC402" s="43"/>
      <c r="BD402" s="43"/>
      <c r="BE402" s="43"/>
      <c r="BF402" s="43"/>
      <c r="BG402" s="43"/>
      <c r="BH402" s="43"/>
      <c r="BI402" s="43"/>
      <c r="BJ402" s="43"/>
      <c r="BK402" s="43"/>
      <c r="BL402" s="22">
        <v>4.630446231421E12</v>
      </c>
      <c r="BM402" s="65">
        <v>3.30499E9</v>
      </c>
      <c r="BN402" s="22" t="s">
        <v>401</v>
      </c>
      <c r="BO402" s="22"/>
      <c r="BP402" s="22" t="s">
        <v>245</v>
      </c>
      <c r="BQ402" s="43"/>
      <c r="BR402" s="43"/>
      <c r="BS402" s="22" t="s">
        <v>401</v>
      </c>
      <c r="BT402" s="43"/>
      <c r="BU402" s="22" t="s">
        <v>401</v>
      </c>
      <c r="BV402" s="43" t="s">
        <v>401</v>
      </c>
      <c r="BW402" s="22" t="s">
        <v>401</v>
      </c>
      <c r="BX402" s="22"/>
      <c r="BY402" s="43"/>
      <c r="BZ402" s="43"/>
      <c r="CA402" s="22"/>
      <c r="CB402" s="22" t="s">
        <v>401</v>
      </c>
      <c r="CC402" s="45" t="s">
        <v>401</v>
      </c>
      <c r="CD402" s="43"/>
      <c r="CE402" s="43"/>
      <c r="CF402" s="45" t="s">
        <v>401</v>
      </c>
      <c r="CG402" s="43"/>
      <c r="CH402" s="43"/>
      <c r="CI402" s="43"/>
      <c r="CJ402" s="43"/>
      <c r="CK402" s="43"/>
      <c r="CL402" s="43"/>
      <c r="CM402" s="49">
        <f>IFERROR(VLOOKUP(B402,CC!A:D,4,0)," ")</f>
        <v>166.63</v>
      </c>
      <c r="CN402" s="22" t="s">
        <v>401</v>
      </c>
      <c r="CO402" s="22"/>
      <c r="CP402" s="43"/>
      <c r="CQ402" s="22" t="s">
        <v>401</v>
      </c>
      <c r="CR402" s="43"/>
      <c r="CS402" s="43"/>
      <c r="CT402" s="43"/>
      <c r="CU402" s="43"/>
      <c r="CV402" s="43"/>
      <c r="CW402" s="43"/>
      <c r="CX402" s="43"/>
      <c r="CY402" s="43" t="b">
        <v>0</v>
      </c>
      <c r="CZ402" s="43" t="b">
        <v>0</v>
      </c>
      <c r="DA402" s="43" t="b">
        <v>0</v>
      </c>
      <c r="DB402" s="43" t="b">
        <v>0</v>
      </c>
      <c r="DC402" s="43"/>
      <c r="DD402" s="43"/>
      <c r="DE402" s="43"/>
      <c r="DF402" s="43"/>
      <c r="DG402" s="43"/>
      <c r="DH402" s="43"/>
      <c r="DI402" s="43"/>
      <c r="DJ402" s="22" t="str">
        <f>IFERROR(VLOOKUP($B402,'Лист4'!$D:$AI,27,0)," ")</f>
        <v/>
      </c>
      <c r="DK402" s="22" t="str">
        <f>IFERROR(VLOOKUP($B402,'Лист4'!$D:$AI,28,0)," ")</f>
        <v/>
      </c>
      <c r="DL402" s="22" t="str">
        <f>IFERROR(VLOOKUP($B402,'Лист4'!$D:$AI,29,0)," ")</f>
        <v/>
      </c>
      <c r="DM402" s="22">
        <f t="shared" ref="DM402:DM404" si="4">IFERROR(DJ402*DK402*DL402," ")</f>
        <v>0</v>
      </c>
      <c r="DN402" s="22" t="str">
        <f>IFERROR(VLOOKUP($B402,'Лист4'!$D:$AI,32,0)," ")</f>
        <v/>
      </c>
      <c r="DO402" s="22"/>
      <c r="DP402" s="22"/>
      <c r="DQ402" s="22"/>
      <c r="DR402" s="22"/>
      <c r="DS402" s="22"/>
      <c r="DT402" s="22"/>
      <c r="DU402" s="22"/>
      <c r="DV402" s="22"/>
      <c r="DW402" s="22"/>
      <c r="DX402" s="22"/>
      <c r="DY402" s="22"/>
      <c r="DZ402" s="22"/>
      <c r="EA402" s="22"/>
      <c r="EB402" s="22"/>
      <c r="EC402" s="22"/>
      <c r="ED402" s="22"/>
      <c r="EE402" s="22"/>
      <c r="EF402" s="22"/>
      <c r="EG402" s="22"/>
      <c r="EH402" s="22"/>
      <c r="EI402" s="22"/>
      <c r="EJ402" s="22"/>
      <c r="EK402" s="22"/>
      <c r="EL402" s="22"/>
      <c r="EM402" s="22"/>
      <c r="EN402" s="22"/>
      <c r="EO402" s="22"/>
      <c r="EP402" s="22"/>
      <c r="EQ402" s="22"/>
      <c r="ER402" s="22"/>
      <c r="ES402" s="43"/>
      <c r="ET402" s="43"/>
      <c r="EU402" s="43"/>
      <c r="EV402" s="43"/>
      <c r="EW402" s="43"/>
      <c r="EX402" s="43"/>
      <c r="EY402" s="43"/>
      <c r="EZ402" s="43"/>
      <c r="FA402" s="43"/>
      <c r="FB402" s="43"/>
      <c r="FC402" s="43"/>
      <c r="FD402" s="43"/>
      <c r="FE402" s="43"/>
      <c r="FF402" s="43"/>
      <c r="FG402" s="43"/>
      <c r="FH402" s="43"/>
      <c r="FI402" s="43"/>
    </row>
    <row r="403" ht="18.0" customHeight="1">
      <c r="A403" s="22" t="s">
        <v>2659</v>
      </c>
      <c r="B403" s="77" t="s">
        <v>5549</v>
      </c>
      <c r="C403" s="22" t="s">
        <v>2741</v>
      </c>
      <c r="D403" s="22" t="s">
        <v>241</v>
      </c>
      <c r="E403" s="43"/>
      <c r="F403" s="79" t="s">
        <v>5550</v>
      </c>
      <c r="G403" s="22" t="s">
        <v>5367</v>
      </c>
      <c r="H403" s="22" t="s">
        <v>5551</v>
      </c>
      <c r="I403" s="43"/>
      <c r="J403" s="43"/>
      <c r="K403" s="22" t="b">
        <v>0</v>
      </c>
      <c r="L403" s="74" t="b">
        <v>0</v>
      </c>
      <c r="M403" s="75" t="b">
        <v>0</v>
      </c>
      <c r="N403" s="75" t="b">
        <v>0</v>
      </c>
      <c r="O403" s="75" t="b">
        <v>0</v>
      </c>
      <c r="P403" s="75" t="b">
        <v>0</v>
      </c>
      <c r="Q403" s="75" t="b">
        <v>0</v>
      </c>
      <c r="R403" s="43"/>
      <c r="S403" s="43"/>
      <c r="T403" s="22" t="s">
        <v>401</v>
      </c>
      <c r="U403" s="22" t="s">
        <v>401</v>
      </c>
      <c r="V403" s="55"/>
      <c r="W403" s="43" t="s">
        <v>401</v>
      </c>
      <c r="X403" s="43" t="s">
        <v>401</v>
      </c>
      <c r="Y403" s="43"/>
      <c r="Z403" s="43"/>
      <c r="AA403" s="22"/>
      <c r="AB403" s="22"/>
      <c r="AC403" s="22"/>
      <c r="AD403" s="22"/>
      <c r="AE403" s="22"/>
      <c r="AF403" s="43"/>
      <c r="AG403" s="43"/>
      <c r="AH403" s="43"/>
      <c r="AI403" s="43"/>
      <c r="AJ403" s="43"/>
      <c r="AK403" s="43"/>
      <c r="AL403" s="43"/>
      <c r="AM403" s="43"/>
      <c r="AN403" s="43"/>
      <c r="AO403" s="43"/>
      <c r="AP403" s="43"/>
      <c r="AQ403" s="43"/>
      <c r="AR403" s="43"/>
      <c r="AS403" s="43"/>
      <c r="AT403" s="43"/>
      <c r="AU403" s="43"/>
      <c r="AV403" s="43"/>
      <c r="AW403" s="22"/>
      <c r="AX403" s="22" t="s">
        <v>401</v>
      </c>
      <c r="AY403" s="43"/>
      <c r="AZ403" s="43"/>
      <c r="BA403" s="43"/>
      <c r="BB403" s="43"/>
      <c r="BC403" s="43"/>
      <c r="BD403" s="43"/>
      <c r="BE403" s="43"/>
      <c r="BF403" s="43"/>
      <c r="BG403" s="43"/>
      <c r="BH403" s="43"/>
      <c r="BI403" s="43"/>
      <c r="BJ403" s="43"/>
      <c r="BK403" s="43"/>
      <c r="BL403" s="65">
        <v>4.660401460092E12</v>
      </c>
      <c r="BM403" s="65">
        <v>3.30499E9</v>
      </c>
      <c r="BN403" s="22" t="s">
        <v>401</v>
      </c>
      <c r="BO403" s="22"/>
      <c r="BP403" s="22" t="s">
        <v>245</v>
      </c>
      <c r="BQ403" s="43"/>
      <c r="BR403" s="43"/>
      <c r="BS403" s="22" t="s">
        <v>401</v>
      </c>
      <c r="BT403" s="43"/>
      <c r="BU403" s="22" t="s">
        <v>401</v>
      </c>
      <c r="BV403" s="43" t="s">
        <v>401</v>
      </c>
      <c r="BW403" s="22" t="s">
        <v>401</v>
      </c>
      <c r="BX403" s="22"/>
      <c r="BY403" s="43"/>
      <c r="BZ403" s="43"/>
      <c r="CA403" s="22"/>
      <c r="CB403" s="22" t="s">
        <v>401</v>
      </c>
      <c r="CC403" s="45" t="s">
        <v>401</v>
      </c>
      <c r="CD403" s="43"/>
      <c r="CE403" s="43"/>
      <c r="CF403" s="45" t="s">
        <v>401</v>
      </c>
      <c r="CG403" s="43"/>
      <c r="CH403" s="43"/>
      <c r="CI403" s="43"/>
      <c r="CJ403" s="43"/>
      <c r="CK403" s="43"/>
      <c r="CL403" s="43"/>
      <c r="CM403" s="49" t="str">
        <f>IFERROR(VLOOKUP(B403,CC!A:D,4,0)," ")</f>
        <v> </v>
      </c>
      <c r="CN403" s="22" t="s">
        <v>401</v>
      </c>
      <c r="CO403" s="22"/>
      <c r="CP403" s="43"/>
      <c r="CQ403" s="22" t="s">
        <v>401</v>
      </c>
      <c r="CR403" s="43"/>
      <c r="CS403" s="43"/>
      <c r="CT403" s="43"/>
      <c r="CU403" s="43"/>
      <c r="CV403" s="43"/>
      <c r="CW403" s="43"/>
      <c r="CX403" s="43"/>
      <c r="CY403" s="43" t="b">
        <v>0</v>
      </c>
      <c r="CZ403" s="43" t="b">
        <v>0</v>
      </c>
      <c r="DA403" s="43" t="b">
        <v>0</v>
      </c>
      <c r="DB403" s="43" t="b">
        <v>0</v>
      </c>
      <c r="DC403" s="43"/>
      <c r="DD403" s="43"/>
      <c r="DE403" s="43"/>
      <c r="DF403" s="43"/>
      <c r="DG403" s="43"/>
      <c r="DH403" s="43"/>
      <c r="DI403" s="43"/>
      <c r="DJ403" s="22" t="str">
        <f>IFERROR(VLOOKUP($B403,'Лист4'!$D:$AI,27,0)," ")</f>
        <v> </v>
      </c>
      <c r="DK403" s="22" t="str">
        <f>IFERROR(VLOOKUP($B403,'Лист4'!$D:$AI,28,0)," ")</f>
        <v> </v>
      </c>
      <c r="DL403" s="22" t="str">
        <f>IFERROR(VLOOKUP($B403,'Лист4'!$D:$AI,29,0)," ")</f>
        <v> </v>
      </c>
      <c r="DM403" s="22" t="str">
        <f t="shared" si="4"/>
        <v> </v>
      </c>
      <c r="DN403" s="22" t="str">
        <f>IFERROR(VLOOKUP($B403,'Лист4'!$D:$AI,32,0)," ")</f>
        <v> </v>
      </c>
      <c r="DO403" s="22"/>
      <c r="DP403" s="22"/>
      <c r="DQ403" s="22"/>
      <c r="DR403" s="22"/>
      <c r="DS403" s="22"/>
      <c r="DT403" s="22"/>
      <c r="DU403" s="22"/>
      <c r="DV403" s="22"/>
      <c r="DW403" s="22"/>
      <c r="DX403" s="22"/>
      <c r="DY403" s="22"/>
      <c r="DZ403" s="22"/>
      <c r="EA403" s="22"/>
      <c r="EB403" s="22"/>
      <c r="EC403" s="22"/>
      <c r="ED403" s="22"/>
      <c r="EE403" s="22"/>
      <c r="EF403" s="22"/>
      <c r="EG403" s="22"/>
      <c r="EH403" s="22"/>
      <c r="EI403" s="22"/>
      <c r="EJ403" s="22"/>
      <c r="EK403" s="22"/>
      <c r="EL403" s="22"/>
      <c r="EM403" s="22"/>
      <c r="EN403" s="22"/>
      <c r="EO403" s="22"/>
      <c r="EP403" s="22"/>
      <c r="EQ403" s="22"/>
      <c r="ER403" s="22"/>
      <c r="ES403" s="43"/>
      <c r="ET403" s="43"/>
      <c r="EU403" s="43"/>
      <c r="EV403" s="43"/>
      <c r="EW403" s="43"/>
      <c r="EX403" s="43"/>
      <c r="EY403" s="43"/>
      <c r="EZ403" s="43"/>
      <c r="FA403" s="43"/>
      <c r="FB403" s="43"/>
      <c r="FC403" s="43"/>
      <c r="FD403" s="43"/>
      <c r="FE403" s="43"/>
      <c r="FF403" s="43"/>
      <c r="FG403" s="43"/>
      <c r="FH403" s="43"/>
      <c r="FI403" s="43"/>
    </row>
    <row r="404" ht="18.0" customHeight="1">
      <c r="A404" s="22" t="s">
        <v>2659</v>
      </c>
      <c r="B404" s="77" t="s">
        <v>4258</v>
      </c>
      <c r="C404" s="22" t="s">
        <v>2741</v>
      </c>
      <c r="D404" s="22" t="s">
        <v>119</v>
      </c>
      <c r="E404" s="43"/>
      <c r="F404" s="77" t="s">
        <v>5552</v>
      </c>
      <c r="G404" s="22" t="s">
        <v>5367</v>
      </c>
      <c r="H404" s="22" t="s">
        <v>565</v>
      </c>
      <c r="I404" s="43"/>
      <c r="J404" s="43"/>
      <c r="K404" s="22" t="b">
        <v>0</v>
      </c>
      <c r="L404" s="74" t="b">
        <v>0</v>
      </c>
      <c r="M404" s="75" t="b">
        <v>0</v>
      </c>
      <c r="N404" s="75" t="b">
        <v>0</v>
      </c>
      <c r="O404" s="75" t="b">
        <v>0</v>
      </c>
      <c r="P404" s="75" t="b">
        <v>0</v>
      </c>
      <c r="Q404" s="75" t="b">
        <v>0</v>
      </c>
      <c r="R404" s="43"/>
      <c r="S404" s="43"/>
      <c r="T404" s="22" t="s">
        <v>401</v>
      </c>
      <c r="U404" s="22" t="s">
        <v>401</v>
      </c>
      <c r="V404" s="22"/>
      <c r="W404" s="43" t="s">
        <v>401</v>
      </c>
      <c r="X404" s="43" t="s">
        <v>401</v>
      </c>
      <c r="Y404" s="43"/>
      <c r="Z404" s="43"/>
      <c r="AA404" s="22"/>
      <c r="AB404" s="22"/>
      <c r="AC404" s="22"/>
      <c r="AD404" s="22"/>
      <c r="AE404" s="22"/>
      <c r="AF404" s="43"/>
      <c r="AG404" s="43"/>
      <c r="AH404" s="43"/>
      <c r="AI404" s="43"/>
      <c r="AJ404" s="43"/>
      <c r="AK404" s="43"/>
      <c r="AL404" s="43"/>
      <c r="AM404" s="43"/>
      <c r="AN404" s="43"/>
      <c r="AO404" s="43"/>
      <c r="AP404" s="43"/>
      <c r="AQ404" s="43"/>
      <c r="AR404" s="43"/>
      <c r="AS404" s="43"/>
      <c r="AT404" s="43"/>
      <c r="AU404" s="43"/>
      <c r="AV404" s="43"/>
      <c r="AW404" s="22"/>
      <c r="AX404" s="22" t="s">
        <v>401</v>
      </c>
      <c r="AY404" s="43"/>
      <c r="AZ404" s="43"/>
      <c r="BA404" s="43"/>
      <c r="BB404" s="43"/>
      <c r="BC404" s="43"/>
      <c r="BD404" s="43"/>
      <c r="BE404" s="43"/>
      <c r="BF404" s="43"/>
      <c r="BG404" s="43"/>
      <c r="BH404" s="43"/>
      <c r="BI404" s="43"/>
      <c r="BJ404" s="43"/>
      <c r="BK404" s="43"/>
      <c r="BL404" s="65">
        <v>4.660401460108E12</v>
      </c>
      <c r="BM404" s="65">
        <v>3.30499E9</v>
      </c>
      <c r="BN404" s="22" t="s">
        <v>401</v>
      </c>
      <c r="BO404" s="22"/>
      <c r="BP404" s="22" t="s">
        <v>245</v>
      </c>
      <c r="BQ404" s="43"/>
      <c r="BR404" s="43"/>
      <c r="BS404" s="22" t="s">
        <v>401</v>
      </c>
      <c r="BT404" s="43"/>
      <c r="BU404" s="22" t="s">
        <v>401</v>
      </c>
      <c r="BV404" s="43" t="s">
        <v>401</v>
      </c>
      <c r="BW404" s="22" t="s">
        <v>401</v>
      </c>
      <c r="BX404" s="22"/>
      <c r="BY404" s="43"/>
      <c r="BZ404" s="43"/>
      <c r="CA404" s="22"/>
      <c r="CB404" s="22" t="s">
        <v>401</v>
      </c>
      <c r="CC404" s="45" t="s">
        <v>401</v>
      </c>
      <c r="CD404" s="43"/>
      <c r="CE404" s="43"/>
      <c r="CF404" s="45" t="s">
        <v>401</v>
      </c>
      <c r="CG404" s="43"/>
      <c r="CH404" s="43"/>
      <c r="CI404" s="43"/>
      <c r="CJ404" s="43"/>
      <c r="CK404" s="43"/>
      <c r="CL404" s="43"/>
      <c r="CM404" s="49" t="str">
        <f>IFERROR(VLOOKUP(B404,CC!A:D,4,0)," ")</f>
        <v> </v>
      </c>
      <c r="CN404" s="22" t="s">
        <v>401</v>
      </c>
      <c r="CO404" s="22"/>
      <c r="CP404" s="43"/>
      <c r="CQ404" s="22" t="s">
        <v>401</v>
      </c>
      <c r="CR404" s="43"/>
      <c r="CS404" s="43"/>
      <c r="CT404" s="43"/>
      <c r="CU404" s="43"/>
      <c r="CV404" s="43"/>
      <c r="CW404" s="43"/>
      <c r="CX404" s="43"/>
      <c r="CY404" s="43" t="b">
        <v>0</v>
      </c>
      <c r="CZ404" s="43" t="b">
        <v>0</v>
      </c>
      <c r="DA404" s="43" t="b">
        <v>0</v>
      </c>
      <c r="DB404" s="43" t="b">
        <v>0</v>
      </c>
      <c r="DC404" s="43"/>
      <c r="DD404" s="43"/>
      <c r="DE404" s="43"/>
      <c r="DF404" s="43"/>
      <c r="DG404" s="43"/>
      <c r="DH404" s="43"/>
      <c r="DI404" s="43"/>
      <c r="DJ404" s="22" t="str">
        <f>IFERROR(VLOOKUP($B404,'Лист4'!$D:$AI,27,0)," ")</f>
        <v> </v>
      </c>
      <c r="DK404" s="22" t="str">
        <f>IFERROR(VLOOKUP($B404,'Лист4'!$D:$AI,28,0)," ")</f>
        <v> </v>
      </c>
      <c r="DL404" s="22" t="str">
        <f>IFERROR(VLOOKUP($B404,'Лист4'!$D:$AI,29,0)," ")</f>
        <v> </v>
      </c>
      <c r="DM404" s="22" t="str">
        <f t="shared" si="4"/>
        <v> </v>
      </c>
      <c r="DN404" s="22" t="str">
        <f>IFERROR(VLOOKUP($B404,'Лист4'!$D:$AI,32,0)," ")</f>
        <v> </v>
      </c>
      <c r="DO404" s="22"/>
      <c r="DP404" s="22"/>
      <c r="DQ404" s="22"/>
      <c r="DR404" s="22"/>
      <c r="DS404" s="22"/>
      <c r="DT404" s="22"/>
      <c r="DU404" s="22"/>
      <c r="DV404" s="22"/>
      <c r="DW404" s="22"/>
      <c r="DX404" s="22"/>
      <c r="DY404" s="22"/>
      <c r="DZ404" s="22"/>
      <c r="EA404" s="22"/>
      <c r="EB404" s="22"/>
      <c r="EC404" s="22"/>
      <c r="ED404" s="22"/>
      <c r="EE404" s="22"/>
      <c r="EF404" s="22"/>
      <c r="EG404" s="22"/>
      <c r="EH404" s="22"/>
      <c r="EI404" s="22"/>
      <c r="EJ404" s="22"/>
      <c r="EK404" s="22"/>
      <c r="EL404" s="22"/>
      <c r="EM404" s="22"/>
      <c r="EN404" s="22"/>
      <c r="EO404" s="22"/>
      <c r="EP404" s="22"/>
      <c r="EQ404" s="22"/>
      <c r="ER404" s="22"/>
      <c r="ES404" s="43"/>
      <c r="ET404" s="43"/>
      <c r="EU404" s="43"/>
      <c r="EV404" s="43"/>
      <c r="EW404" s="43"/>
      <c r="EX404" s="43"/>
      <c r="EY404" s="43"/>
      <c r="EZ404" s="43"/>
      <c r="FA404" s="43"/>
      <c r="FB404" s="43"/>
      <c r="FC404" s="43"/>
      <c r="FD404" s="43"/>
      <c r="FE404" s="43"/>
      <c r="FF404" s="43"/>
      <c r="FG404" s="43"/>
      <c r="FH404" s="43"/>
      <c r="FI404" s="43"/>
    </row>
    <row r="405" ht="18.0" customHeight="1">
      <c r="A405" s="22" t="s">
        <v>2659</v>
      </c>
      <c r="B405" s="77" t="s">
        <v>5553</v>
      </c>
      <c r="C405" s="22" t="s">
        <v>2741</v>
      </c>
      <c r="D405" s="22" t="s">
        <v>119</v>
      </c>
      <c r="E405" s="43"/>
      <c r="F405" s="77" t="s">
        <v>5554</v>
      </c>
      <c r="G405" s="22" t="s">
        <v>5367</v>
      </c>
      <c r="H405" s="22" t="s">
        <v>565</v>
      </c>
      <c r="I405" s="43"/>
      <c r="J405" s="43"/>
      <c r="K405" s="22" t="b">
        <v>0</v>
      </c>
      <c r="L405" s="74" t="b">
        <v>0</v>
      </c>
      <c r="M405" s="75" t="b">
        <v>0</v>
      </c>
      <c r="N405" s="75" t="b">
        <v>0</v>
      </c>
      <c r="O405" s="75" t="b">
        <v>0</v>
      </c>
      <c r="P405" s="75" t="b">
        <v>0</v>
      </c>
      <c r="Q405" s="75" t="b">
        <v>0</v>
      </c>
      <c r="R405" s="43"/>
      <c r="S405" s="43"/>
      <c r="T405" s="22"/>
      <c r="U405" s="22"/>
      <c r="V405" s="22"/>
      <c r="W405" s="43"/>
      <c r="X405" s="43"/>
      <c r="Y405" s="43"/>
      <c r="Z405" s="43"/>
      <c r="AA405" s="22"/>
      <c r="AB405" s="22"/>
      <c r="AC405" s="22"/>
      <c r="AD405" s="22"/>
      <c r="AE405" s="22"/>
      <c r="AF405" s="43"/>
      <c r="AG405" s="43"/>
      <c r="AH405" s="43"/>
      <c r="AI405" s="43"/>
      <c r="AJ405" s="43"/>
      <c r="AK405" s="43"/>
      <c r="AL405" s="43"/>
      <c r="AM405" s="43"/>
      <c r="AN405" s="43"/>
      <c r="AO405" s="43"/>
      <c r="AP405" s="43"/>
      <c r="AQ405" s="43"/>
      <c r="AR405" s="43"/>
      <c r="AS405" s="43"/>
      <c r="AT405" s="43"/>
      <c r="AU405" s="43"/>
      <c r="AV405" s="43"/>
      <c r="AW405" s="22"/>
      <c r="AX405" s="22"/>
      <c r="AY405" s="43"/>
      <c r="AZ405" s="43"/>
      <c r="BA405" s="43"/>
      <c r="BB405" s="43"/>
      <c r="BC405" s="43"/>
      <c r="BD405" s="43"/>
      <c r="BE405" s="43"/>
      <c r="BF405" s="43"/>
      <c r="BG405" s="43"/>
      <c r="BH405" s="43"/>
      <c r="BI405" s="43"/>
      <c r="BJ405" s="43"/>
      <c r="BK405" s="43"/>
      <c r="BL405" s="80"/>
      <c r="BM405" s="65">
        <v>3.3051E9</v>
      </c>
      <c r="BN405" s="22"/>
      <c r="BO405" s="22"/>
      <c r="BP405" s="22" t="s">
        <v>245</v>
      </c>
      <c r="BQ405" s="43"/>
      <c r="BR405" s="43"/>
      <c r="BS405" s="22"/>
      <c r="BT405" s="43"/>
      <c r="BU405" s="22"/>
      <c r="BV405" s="43"/>
      <c r="BW405" s="22"/>
      <c r="BX405" s="22"/>
      <c r="BY405" s="43"/>
      <c r="BZ405" s="43"/>
      <c r="CA405" s="22"/>
      <c r="CB405" s="22"/>
      <c r="CC405" s="45"/>
      <c r="CD405" s="43"/>
      <c r="CE405" s="43"/>
      <c r="CF405" s="45"/>
      <c r="CG405" s="43"/>
      <c r="CH405" s="43"/>
      <c r="CI405" s="43"/>
      <c r="CJ405" s="43"/>
      <c r="CK405" s="43"/>
      <c r="CL405" s="43"/>
      <c r="CM405" s="49" t="str">
        <f>IFERROR(VLOOKUP(B405,CC!A:D,4,0)," ")</f>
        <v> </v>
      </c>
      <c r="CN405" s="22"/>
      <c r="CO405" s="22"/>
      <c r="CP405" s="43"/>
      <c r="CQ405" s="22"/>
      <c r="CR405" s="43"/>
      <c r="CS405" s="43"/>
      <c r="CT405" s="43"/>
      <c r="CU405" s="43"/>
      <c r="CV405" s="43"/>
      <c r="CW405" s="43"/>
      <c r="CX405" s="43"/>
      <c r="CY405" s="43" t="b">
        <v>0</v>
      </c>
      <c r="CZ405" s="43" t="b">
        <v>0</v>
      </c>
      <c r="DA405" s="43" t="b">
        <v>0</v>
      </c>
      <c r="DB405" s="43" t="b">
        <v>0</v>
      </c>
      <c r="DC405" s="43"/>
      <c r="DD405" s="43"/>
      <c r="DE405" s="43"/>
      <c r="DF405" s="43"/>
      <c r="DG405" s="43"/>
      <c r="DH405" s="43"/>
      <c r="DI405" s="43"/>
      <c r="DJ405" s="22"/>
      <c r="DK405" s="22"/>
      <c r="DL405" s="22"/>
      <c r="DM405" s="22"/>
      <c r="DN405" s="22"/>
      <c r="DO405" s="22"/>
      <c r="DP405" s="22"/>
      <c r="DQ405" s="22"/>
      <c r="DR405" s="22"/>
      <c r="DS405" s="22"/>
      <c r="DT405" s="22"/>
      <c r="DU405" s="22"/>
      <c r="DV405" s="22"/>
      <c r="DW405" s="22"/>
      <c r="DX405" s="22"/>
      <c r="DY405" s="22"/>
      <c r="DZ405" s="22"/>
      <c r="EA405" s="22"/>
      <c r="EB405" s="22"/>
      <c r="EC405" s="22"/>
      <c r="ED405" s="22"/>
      <c r="EE405" s="22"/>
      <c r="EF405" s="22"/>
      <c r="EG405" s="22"/>
      <c r="EH405" s="22"/>
      <c r="EI405" s="22"/>
      <c r="EJ405" s="22"/>
      <c r="EK405" s="22"/>
      <c r="EL405" s="22"/>
      <c r="EM405" s="22"/>
      <c r="EN405" s="22"/>
      <c r="EO405" s="22"/>
      <c r="EP405" s="22"/>
      <c r="EQ405" s="22"/>
      <c r="ER405" s="22"/>
      <c r="ES405" s="43"/>
      <c r="ET405" s="43"/>
      <c r="EU405" s="43"/>
      <c r="EV405" s="43"/>
      <c r="EW405" s="43"/>
      <c r="EX405" s="43"/>
      <c r="EY405" s="43"/>
      <c r="EZ405" s="43"/>
      <c r="FA405" s="43"/>
      <c r="FB405" s="43"/>
      <c r="FC405" s="43"/>
      <c r="FD405" s="43"/>
      <c r="FE405" s="43"/>
      <c r="FF405" s="43"/>
      <c r="FG405" s="43"/>
      <c r="FH405" s="43"/>
      <c r="FI405" s="43"/>
    </row>
    <row r="406" ht="18.0" customHeight="1">
      <c r="A406" s="22" t="s">
        <v>2659</v>
      </c>
      <c r="B406" s="77" t="s">
        <v>5555</v>
      </c>
      <c r="C406" s="22" t="s">
        <v>2741</v>
      </c>
      <c r="D406" s="22" t="s">
        <v>119</v>
      </c>
      <c r="E406" s="43"/>
      <c r="F406" s="77" t="s">
        <v>5556</v>
      </c>
      <c r="G406" s="22" t="s">
        <v>5367</v>
      </c>
      <c r="H406" s="22" t="s">
        <v>5551</v>
      </c>
      <c r="I406" s="43"/>
      <c r="J406" s="43"/>
      <c r="K406" s="22" t="b">
        <v>0</v>
      </c>
      <c r="L406" s="74" t="b">
        <v>0</v>
      </c>
      <c r="M406" s="75" t="b">
        <v>0</v>
      </c>
      <c r="N406" s="75" t="b">
        <v>0</v>
      </c>
      <c r="O406" s="75" t="b">
        <v>0</v>
      </c>
      <c r="P406" s="75" t="b">
        <v>0</v>
      </c>
      <c r="Q406" s="75" t="b">
        <v>0</v>
      </c>
      <c r="R406" s="43"/>
      <c r="S406" s="43"/>
      <c r="T406" s="22"/>
      <c r="U406" s="22"/>
      <c r="V406" s="22"/>
      <c r="W406" s="43"/>
      <c r="X406" s="43"/>
      <c r="Y406" s="43"/>
      <c r="Z406" s="43"/>
      <c r="AA406" s="22"/>
      <c r="AB406" s="22"/>
      <c r="AC406" s="22"/>
      <c r="AD406" s="22"/>
      <c r="AE406" s="22"/>
      <c r="AF406" s="43"/>
      <c r="AG406" s="43"/>
      <c r="AH406" s="43"/>
      <c r="AI406" s="43"/>
      <c r="AJ406" s="43"/>
      <c r="AK406" s="43"/>
      <c r="AL406" s="43"/>
      <c r="AM406" s="43"/>
      <c r="AN406" s="43"/>
      <c r="AO406" s="43"/>
      <c r="AP406" s="43"/>
      <c r="AQ406" s="43"/>
      <c r="AR406" s="43"/>
      <c r="AS406" s="43"/>
      <c r="AT406" s="43"/>
      <c r="AU406" s="43"/>
      <c r="AV406" s="43"/>
      <c r="AW406" s="22"/>
      <c r="AX406" s="22"/>
      <c r="AY406" s="43"/>
      <c r="AZ406" s="43"/>
      <c r="BA406" s="43"/>
      <c r="BB406" s="43"/>
      <c r="BC406" s="43"/>
      <c r="BD406" s="43"/>
      <c r="BE406" s="43"/>
      <c r="BF406" s="43"/>
      <c r="BG406" s="43"/>
      <c r="BH406" s="43"/>
      <c r="BI406" s="43"/>
      <c r="BJ406" s="43"/>
      <c r="BK406" s="43"/>
      <c r="BL406" s="22"/>
      <c r="BM406" s="22"/>
      <c r="BN406" s="22"/>
      <c r="BO406" s="22"/>
      <c r="BP406" s="22" t="s">
        <v>245</v>
      </c>
      <c r="BQ406" s="43"/>
      <c r="BR406" s="43"/>
      <c r="BS406" s="22"/>
      <c r="BT406" s="43"/>
      <c r="BU406" s="22"/>
      <c r="BV406" s="43"/>
      <c r="BW406" s="22"/>
      <c r="BX406" s="22"/>
      <c r="BY406" s="43"/>
      <c r="BZ406" s="43"/>
      <c r="CA406" s="22"/>
      <c r="CB406" s="22"/>
      <c r="CC406" s="45"/>
      <c r="CD406" s="43"/>
      <c r="CE406" s="43"/>
      <c r="CF406" s="45"/>
      <c r="CG406" s="43"/>
      <c r="CH406" s="43"/>
      <c r="CI406" s="43"/>
      <c r="CJ406" s="43"/>
      <c r="CK406" s="43"/>
      <c r="CL406" s="43"/>
      <c r="CM406" s="49" t="str">
        <f>IFERROR(VLOOKUP(B406,CC!A:D,4,0)," ")</f>
        <v> </v>
      </c>
      <c r="CN406" s="22"/>
      <c r="CO406" s="22"/>
      <c r="CP406" s="43"/>
      <c r="CQ406" s="22"/>
      <c r="CR406" s="43"/>
      <c r="CS406" s="43"/>
      <c r="CT406" s="43"/>
      <c r="CU406" s="43"/>
      <c r="CV406" s="43"/>
      <c r="CW406" s="43"/>
      <c r="CX406" s="43"/>
      <c r="CY406" s="43" t="b">
        <v>0</v>
      </c>
      <c r="CZ406" s="43" t="b">
        <v>0</v>
      </c>
      <c r="DA406" s="43" t="b">
        <v>0</v>
      </c>
      <c r="DB406" s="43" t="b">
        <v>0</v>
      </c>
      <c r="DC406" s="43"/>
      <c r="DD406" s="43"/>
      <c r="DE406" s="43"/>
      <c r="DF406" s="43"/>
      <c r="DG406" s="43"/>
      <c r="DH406" s="43"/>
      <c r="DI406" s="43"/>
      <c r="DJ406" s="22"/>
      <c r="DK406" s="22"/>
      <c r="DL406" s="22"/>
      <c r="DM406" s="22"/>
      <c r="DN406" s="22"/>
      <c r="DO406" s="22"/>
      <c r="DP406" s="22"/>
      <c r="DQ406" s="22"/>
      <c r="DR406" s="22"/>
      <c r="DS406" s="22"/>
      <c r="DT406" s="22"/>
      <c r="DU406" s="22"/>
      <c r="DV406" s="22"/>
      <c r="DW406" s="22"/>
      <c r="DX406" s="22"/>
      <c r="DY406" s="22"/>
      <c r="DZ406" s="22"/>
      <c r="EA406" s="22"/>
      <c r="EB406" s="22"/>
      <c r="EC406" s="22"/>
      <c r="ED406" s="22"/>
      <c r="EE406" s="22"/>
      <c r="EF406" s="22"/>
      <c r="EG406" s="22"/>
      <c r="EH406" s="22"/>
      <c r="EI406" s="22"/>
      <c r="EJ406" s="22"/>
      <c r="EK406" s="22"/>
      <c r="EL406" s="22"/>
      <c r="EM406" s="22"/>
      <c r="EN406" s="22"/>
      <c r="EO406" s="22"/>
      <c r="EP406" s="22"/>
      <c r="EQ406" s="22"/>
      <c r="ER406" s="22"/>
      <c r="ES406" s="43"/>
      <c r="ET406" s="43"/>
      <c r="EU406" s="43"/>
      <c r="EV406" s="43"/>
      <c r="EW406" s="43"/>
      <c r="EX406" s="43"/>
      <c r="EY406" s="43"/>
      <c r="EZ406" s="43"/>
      <c r="FA406" s="43"/>
      <c r="FB406" s="43"/>
      <c r="FC406" s="43"/>
      <c r="FD406" s="43"/>
      <c r="FE406" s="43"/>
      <c r="FF406" s="43"/>
      <c r="FG406" s="43"/>
      <c r="FH406" s="43"/>
      <c r="FI406" s="43"/>
    </row>
    <row r="407" ht="18.0" customHeight="1">
      <c r="A407" s="22" t="s">
        <v>2659</v>
      </c>
      <c r="B407" s="77" t="s">
        <v>5557</v>
      </c>
      <c r="C407" s="22" t="s">
        <v>2741</v>
      </c>
      <c r="D407" s="22" t="s">
        <v>241</v>
      </c>
      <c r="E407" s="43"/>
      <c r="F407" s="77" t="s">
        <v>5558</v>
      </c>
      <c r="G407" s="22" t="s">
        <v>5367</v>
      </c>
      <c r="H407" s="22" t="s">
        <v>5551</v>
      </c>
      <c r="I407" s="43"/>
      <c r="J407" s="43"/>
      <c r="K407" s="22" t="b">
        <v>0</v>
      </c>
      <c r="L407" s="74" t="b">
        <v>0</v>
      </c>
      <c r="M407" s="75" t="b">
        <v>0</v>
      </c>
      <c r="N407" s="75" t="b">
        <v>0</v>
      </c>
      <c r="O407" s="75" t="b">
        <v>0</v>
      </c>
      <c r="P407" s="75" t="b">
        <v>0</v>
      </c>
      <c r="Q407" s="75" t="b">
        <v>0</v>
      </c>
      <c r="R407" s="43"/>
      <c r="S407" s="43"/>
      <c r="T407" s="22"/>
      <c r="U407" s="22"/>
      <c r="V407" s="22"/>
      <c r="W407" s="43"/>
      <c r="X407" s="43"/>
      <c r="Y407" s="43"/>
      <c r="Z407" s="43"/>
      <c r="AA407" s="22"/>
      <c r="AB407" s="22"/>
      <c r="AC407" s="22"/>
      <c r="AD407" s="22"/>
      <c r="AE407" s="22"/>
      <c r="AF407" s="43"/>
      <c r="AG407" s="43"/>
      <c r="AH407" s="43"/>
      <c r="AI407" s="43"/>
      <c r="AJ407" s="43"/>
      <c r="AK407" s="43"/>
      <c r="AL407" s="43"/>
      <c r="AM407" s="43"/>
      <c r="AN407" s="43"/>
      <c r="AO407" s="43"/>
      <c r="AP407" s="43"/>
      <c r="AQ407" s="43"/>
      <c r="AR407" s="43"/>
      <c r="AS407" s="43"/>
      <c r="AT407" s="43"/>
      <c r="AU407" s="43"/>
      <c r="AV407" s="43"/>
      <c r="AW407" s="22"/>
      <c r="AX407" s="22"/>
      <c r="AY407" s="43"/>
      <c r="AZ407" s="43"/>
      <c r="BA407" s="43"/>
      <c r="BB407" s="43"/>
      <c r="BC407" s="43"/>
      <c r="BD407" s="43"/>
      <c r="BE407" s="43"/>
      <c r="BF407" s="43"/>
      <c r="BG407" s="43"/>
      <c r="BH407" s="43"/>
      <c r="BI407" s="43"/>
      <c r="BJ407" s="43"/>
      <c r="BK407" s="43"/>
      <c r="BL407" s="22"/>
      <c r="BM407" s="22"/>
      <c r="BN407" s="22"/>
      <c r="BO407" s="22"/>
      <c r="BP407" s="22" t="s">
        <v>245</v>
      </c>
      <c r="BQ407" s="43"/>
      <c r="BR407" s="43"/>
      <c r="BS407" s="22"/>
      <c r="BT407" s="43"/>
      <c r="BU407" s="22"/>
      <c r="BV407" s="43"/>
      <c r="BW407" s="22"/>
      <c r="BX407" s="22"/>
      <c r="BY407" s="43"/>
      <c r="BZ407" s="43"/>
      <c r="CA407" s="22"/>
      <c r="CB407" s="22"/>
      <c r="CC407" s="45"/>
      <c r="CD407" s="43"/>
      <c r="CE407" s="43"/>
      <c r="CF407" s="45"/>
      <c r="CG407" s="43"/>
      <c r="CH407" s="43"/>
      <c r="CI407" s="43"/>
      <c r="CJ407" s="43"/>
      <c r="CK407" s="43"/>
      <c r="CL407" s="43"/>
      <c r="CM407" s="49" t="str">
        <f>IFERROR(VLOOKUP(B407,CC!A:D,4,0)," ")</f>
        <v> </v>
      </c>
      <c r="CN407" s="22"/>
      <c r="CO407" s="22"/>
      <c r="CP407" s="43"/>
      <c r="CQ407" s="22"/>
      <c r="CR407" s="43"/>
      <c r="CS407" s="43"/>
      <c r="CT407" s="43"/>
      <c r="CU407" s="43"/>
      <c r="CV407" s="43"/>
      <c r="CW407" s="43"/>
      <c r="CX407" s="43"/>
      <c r="CY407" s="43" t="b">
        <v>0</v>
      </c>
      <c r="CZ407" s="43" t="b">
        <v>0</v>
      </c>
      <c r="DA407" s="43" t="b">
        <v>0</v>
      </c>
      <c r="DB407" s="43" t="b">
        <v>0</v>
      </c>
      <c r="DC407" s="43"/>
      <c r="DD407" s="43"/>
      <c r="DE407" s="43"/>
      <c r="DF407" s="43"/>
      <c r="DG407" s="43"/>
      <c r="DH407" s="43"/>
      <c r="DI407" s="43"/>
      <c r="DJ407" s="22"/>
      <c r="DK407" s="22"/>
      <c r="DL407" s="22"/>
      <c r="DM407" s="22"/>
      <c r="DN407" s="22"/>
      <c r="DO407" s="22"/>
      <c r="DP407" s="22"/>
      <c r="DQ407" s="22"/>
      <c r="DR407" s="22"/>
      <c r="DS407" s="22"/>
      <c r="DT407" s="22"/>
      <c r="DU407" s="22"/>
      <c r="DV407" s="22"/>
      <c r="DW407" s="22"/>
      <c r="DX407" s="22"/>
      <c r="DY407" s="22"/>
      <c r="DZ407" s="22"/>
      <c r="EA407" s="22"/>
      <c r="EB407" s="22"/>
      <c r="EC407" s="22"/>
      <c r="ED407" s="22"/>
      <c r="EE407" s="22"/>
      <c r="EF407" s="22"/>
      <c r="EG407" s="22"/>
      <c r="EH407" s="22"/>
      <c r="EI407" s="22"/>
      <c r="EJ407" s="22"/>
      <c r="EK407" s="22"/>
      <c r="EL407" s="22"/>
      <c r="EM407" s="22"/>
      <c r="EN407" s="22"/>
      <c r="EO407" s="22"/>
      <c r="EP407" s="22"/>
      <c r="EQ407" s="22"/>
      <c r="ER407" s="22"/>
      <c r="ES407" s="43"/>
      <c r="ET407" s="43"/>
      <c r="EU407" s="43"/>
      <c r="EV407" s="43"/>
      <c r="EW407" s="43"/>
      <c r="EX407" s="43"/>
      <c r="EY407" s="43"/>
      <c r="EZ407" s="43"/>
      <c r="FA407" s="43"/>
      <c r="FB407" s="43"/>
      <c r="FC407" s="43"/>
      <c r="FD407" s="43"/>
      <c r="FE407" s="43"/>
      <c r="FF407" s="43"/>
      <c r="FG407" s="43"/>
      <c r="FH407" s="43"/>
      <c r="FI407" s="43"/>
    </row>
    <row r="408" ht="18.0" customHeight="1">
      <c r="A408" s="22" t="s">
        <v>2659</v>
      </c>
      <c r="B408" s="77" t="s">
        <v>5559</v>
      </c>
      <c r="C408" s="22" t="s">
        <v>2741</v>
      </c>
      <c r="D408" s="22" t="s">
        <v>241</v>
      </c>
      <c r="E408" s="43"/>
      <c r="F408" s="77" t="s">
        <v>5560</v>
      </c>
      <c r="G408" s="22" t="s">
        <v>5367</v>
      </c>
      <c r="H408" s="22" t="s">
        <v>5551</v>
      </c>
      <c r="I408" s="43"/>
      <c r="J408" s="43"/>
      <c r="K408" s="22" t="b">
        <v>0</v>
      </c>
      <c r="L408" s="74" t="b">
        <v>0</v>
      </c>
      <c r="M408" s="75" t="b">
        <v>0</v>
      </c>
      <c r="N408" s="75" t="b">
        <v>0</v>
      </c>
      <c r="O408" s="75" t="b">
        <v>0</v>
      </c>
      <c r="P408" s="75" t="b">
        <v>0</v>
      </c>
      <c r="Q408" s="75" t="b">
        <v>0</v>
      </c>
      <c r="R408" s="43"/>
      <c r="S408" s="43"/>
      <c r="T408" s="22"/>
      <c r="U408" s="22"/>
      <c r="V408" s="22"/>
      <c r="W408" s="43"/>
      <c r="X408" s="43"/>
      <c r="Y408" s="43"/>
      <c r="Z408" s="43"/>
      <c r="AA408" s="22"/>
      <c r="AB408" s="22"/>
      <c r="AC408" s="22"/>
      <c r="AD408" s="22"/>
      <c r="AE408" s="22"/>
      <c r="AF408" s="43"/>
      <c r="AG408" s="43"/>
      <c r="AH408" s="43"/>
      <c r="AI408" s="43"/>
      <c r="AJ408" s="43"/>
      <c r="AK408" s="43"/>
      <c r="AL408" s="43"/>
      <c r="AM408" s="43"/>
      <c r="AN408" s="43"/>
      <c r="AO408" s="43"/>
      <c r="AP408" s="43"/>
      <c r="AQ408" s="43"/>
      <c r="AR408" s="43"/>
      <c r="AS408" s="43"/>
      <c r="AT408" s="43"/>
      <c r="AU408" s="43"/>
      <c r="AV408" s="43"/>
      <c r="AW408" s="22"/>
      <c r="AX408" s="22"/>
      <c r="AY408" s="43"/>
      <c r="AZ408" s="43"/>
      <c r="BA408" s="43"/>
      <c r="BB408" s="43"/>
      <c r="BC408" s="43"/>
      <c r="BD408" s="43"/>
      <c r="BE408" s="43"/>
      <c r="BF408" s="43"/>
      <c r="BG408" s="43"/>
      <c r="BH408" s="43"/>
      <c r="BI408" s="43"/>
      <c r="BJ408" s="43"/>
      <c r="BK408" s="43"/>
      <c r="BL408" s="22"/>
      <c r="BM408" s="22"/>
      <c r="BN408" s="22"/>
      <c r="BO408" s="22"/>
      <c r="BP408" s="22" t="s">
        <v>245</v>
      </c>
      <c r="BQ408" s="43"/>
      <c r="BR408" s="43"/>
      <c r="BS408" s="22"/>
      <c r="BT408" s="43"/>
      <c r="BU408" s="22"/>
      <c r="BV408" s="43"/>
      <c r="BW408" s="22"/>
      <c r="BX408" s="22"/>
      <c r="BY408" s="43"/>
      <c r="BZ408" s="43"/>
      <c r="CA408" s="22"/>
      <c r="CB408" s="22"/>
      <c r="CC408" s="45"/>
      <c r="CD408" s="43"/>
      <c r="CE408" s="43"/>
      <c r="CF408" s="45"/>
      <c r="CG408" s="43"/>
      <c r="CH408" s="43"/>
      <c r="CI408" s="43"/>
      <c r="CJ408" s="43"/>
      <c r="CK408" s="43"/>
      <c r="CL408" s="43"/>
      <c r="CM408" s="49" t="str">
        <f>IFERROR(VLOOKUP(B408,CC!A:D,4,0)," ")</f>
        <v> </v>
      </c>
      <c r="CN408" s="22"/>
      <c r="CO408" s="22"/>
      <c r="CP408" s="43"/>
      <c r="CQ408" s="22"/>
      <c r="CR408" s="43"/>
      <c r="CS408" s="43"/>
      <c r="CT408" s="43"/>
      <c r="CU408" s="43"/>
      <c r="CV408" s="43"/>
      <c r="CW408" s="43"/>
      <c r="CX408" s="43"/>
      <c r="CY408" s="43" t="b">
        <v>0</v>
      </c>
      <c r="CZ408" s="43" t="b">
        <v>0</v>
      </c>
      <c r="DA408" s="43" t="b">
        <v>0</v>
      </c>
      <c r="DB408" s="43" t="b">
        <v>0</v>
      </c>
      <c r="DC408" s="43"/>
      <c r="DD408" s="43"/>
      <c r="DE408" s="43"/>
      <c r="DF408" s="43"/>
      <c r="DG408" s="43"/>
      <c r="DH408" s="43"/>
      <c r="DI408" s="43"/>
      <c r="DJ408" s="22"/>
      <c r="DK408" s="22"/>
      <c r="DL408" s="22"/>
      <c r="DM408" s="22"/>
      <c r="DN408" s="22"/>
      <c r="DO408" s="22"/>
      <c r="DP408" s="22"/>
      <c r="DQ408" s="22"/>
      <c r="DR408" s="22"/>
      <c r="DS408" s="22"/>
      <c r="DT408" s="22"/>
      <c r="DU408" s="22"/>
      <c r="DV408" s="22"/>
      <c r="DW408" s="22"/>
      <c r="DX408" s="22"/>
      <c r="DY408" s="22"/>
      <c r="DZ408" s="22"/>
      <c r="EA408" s="22"/>
      <c r="EB408" s="22"/>
      <c r="EC408" s="22"/>
      <c r="ED408" s="22"/>
      <c r="EE408" s="22"/>
      <c r="EF408" s="22"/>
      <c r="EG408" s="22"/>
      <c r="EH408" s="22"/>
      <c r="EI408" s="22"/>
      <c r="EJ408" s="22"/>
      <c r="EK408" s="22"/>
      <c r="EL408" s="22"/>
      <c r="EM408" s="22"/>
      <c r="EN408" s="22"/>
      <c r="EO408" s="22"/>
      <c r="EP408" s="22"/>
      <c r="EQ408" s="22"/>
      <c r="ER408" s="22"/>
      <c r="ES408" s="43"/>
      <c r="ET408" s="43"/>
      <c r="EU408" s="43"/>
      <c r="EV408" s="43"/>
      <c r="EW408" s="43"/>
      <c r="EX408" s="43"/>
      <c r="EY408" s="43"/>
      <c r="EZ408" s="43"/>
      <c r="FA408" s="43"/>
      <c r="FB408" s="43"/>
      <c r="FC408" s="43"/>
      <c r="FD408" s="43"/>
      <c r="FE408" s="43"/>
      <c r="FF408" s="43"/>
      <c r="FG408" s="43"/>
      <c r="FH408" s="43"/>
      <c r="FI408" s="43"/>
    </row>
    <row r="409" ht="18.0" customHeight="1">
      <c r="A409" s="22" t="s">
        <v>2659</v>
      </c>
      <c r="B409" s="77" t="s">
        <v>5561</v>
      </c>
      <c r="C409" s="22" t="s">
        <v>2741</v>
      </c>
      <c r="D409" s="22" t="s">
        <v>241</v>
      </c>
      <c r="E409" s="43"/>
      <c r="F409" s="77" t="s">
        <v>5562</v>
      </c>
      <c r="G409" s="22" t="s">
        <v>5367</v>
      </c>
      <c r="H409" s="22" t="s">
        <v>5551</v>
      </c>
      <c r="I409" s="43"/>
      <c r="J409" s="43"/>
      <c r="K409" s="22" t="b">
        <v>0</v>
      </c>
      <c r="L409" s="74" t="b">
        <v>0</v>
      </c>
      <c r="M409" s="75" t="b">
        <v>0</v>
      </c>
      <c r="N409" s="75" t="b">
        <v>0</v>
      </c>
      <c r="O409" s="75" t="b">
        <v>0</v>
      </c>
      <c r="P409" s="75" t="b">
        <v>0</v>
      </c>
      <c r="Q409" s="75" t="b">
        <v>0</v>
      </c>
      <c r="R409" s="43"/>
      <c r="S409" s="43"/>
      <c r="T409" s="22"/>
      <c r="U409" s="22"/>
      <c r="V409" s="22"/>
      <c r="W409" s="43"/>
      <c r="X409" s="43"/>
      <c r="Y409" s="43"/>
      <c r="Z409" s="43"/>
      <c r="AA409" s="22"/>
      <c r="AB409" s="22"/>
      <c r="AC409" s="22"/>
      <c r="AD409" s="22"/>
      <c r="AE409" s="22"/>
      <c r="AF409" s="43"/>
      <c r="AG409" s="43"/>
      <c r="AH409" s="43"/>
      <c r="AI409" s="43"/>
      <c r="AJ409" s="43"/>
      <c r="AK409" s="43"/>
      <c r="AL409" s="43"/>
      <c r="AM409" s="43"/>
      <c r="AN409" s="43"/>
      <c r="AO409" s="43"/>
      <c r="AP409" s="43"/>
      <c r="AQ409" s="43"/>
      <c r="AR409" s="43"/>
      <c r="AS409" s="43"/>
      <c r="AT409" s="43"/>
      <c r="AU409" s="43"/>
      <c r="AV409" s="43"/>
      <c r="AW409" s="22"/>
      <c r="AX409" s="22"/>
      <c r="AY409" s="43"/>
      <c r="AZ409" s="43"/>
      <c r="BA409" s="43"/>
      <c r="BB409" s="43"/>
      <c r="BC409" s="43"/>
      <c r="BD409" s="43"/>
      <c r="BE409" s="43"/>
      <c r="BF409" s="43"/>
      <c r="BG409" s="43"/>
      <c r="BH409" s="43"/>
      <c r="BI409" s="43"/>
      <c r="BJ409" s="43"/>
      <c r="BK409" s="43"/>
      <c r="BL409" s="22">
        <v>4.640523970334E12</v>
      </c>
      <c r="BM409" s="22"/>
      <c r="BN409" s="22"/>
      <c r="BO409" s="22"/>
      <c r="BP409" s="22" t="s">
        <v>245</v>
      </c>
      <c r="BQ409" s="43"/>
      <c r="BR409" s="43"/>
      <c r="BS409" s="22"/>
      <c r="BT409" s="43"/>
      <c r="BU409" s="22"/>
      <c r="BV409" s="43"/>
      <c r="BW409" s="22"/>
      <c r="BX409" s="22"/>
      <c r="BY409" s="43"/>
      <c r="BZ409" s="43"/>
      <c r="CA409" s="22"/>
      <c r="CB409" s="22"/>
      <c r="CC409" s="45"/>
      <c r="CD409" s="43"/>
      <c r="CE409" s="43"/>
      <c r="CF409" s="45"/>
      <c r="CG409" s="43"/>
      <c r="CH409" s="43"/>
      <c r="CI409" s="43"/>
      <c r="CJ409" s="43"/>
      <c r="CK409" s="43"/>
      <c r="CL409" s="43"/>
      <c r="CM409" s="49" t="str">
        <f>IFERROR(VLOOKUP(B409,CC!A:D,4,0)," ")</f>
        <v> </v>
      </c>
      <c r="CN409" s="22"/>
      <c r="CO409" s="22"/>
      <c r="CP409" s="43"/>
      <c r="CQ409" s="22"/>
      <c r="CR409" s="43"/>
      <c r="CS409" s="43"/>
      <c r="CT409" s="43"/>
      <c r="CU409" s="43"/>
      <c r="CV409" s="43"/>
      <c r="CW409" s="43"/>
      <c r="CX409" s="43"/>
      <c r="CY409" s="43" t="b">
        <v>0</v>
      </c>
      <c r="CZ409" s="43" t="b">
        <v>0</v>
      </c>
      <c r="DA409" s="43" t="b">
        <v>0</v>
      </c>
      <c r="DB409" s="43" t="b">
        <v>0</v>
      </c>
      <c r="DC409" s="43"/>
      <c r="DD409" s="43"/>
      <c r="DE409" s="43"/>
      <c r="DF409" s="43"/>
      <c r="DG409" s="43"/>
      <c r="DH409" s="43"/>
      <c r="DI409" s="43"/>
      <c r="DJ409" s="22"/>
      <c r="DK409" s="22"/>
      <c r="DL409" s="22"/>
      <c r="DM409" s="22"/>
      <c r="DN409" s="22"/>
      <c r="DO409" s="22"/>
      <c r="DP409" s="22"/>
      <c r="DQ409" s="22"/>
      <c r="DR409" s="22"/>
      <c r="DS409" s="22"/>
      <c r="DT409" s="22"/>
      <c r="DU409" s="22"/>
      <c r="DV409" s="22"/>
      <c r="DW409" s="22"/>
      <c r="DX409" s="22"/>
      <c r="DY409" s="22"/>
      <c r="DZ409" s="22"/>
      <c r="EA409" s="22"/>
      <c r="EB409" s="22"/>
      <c r="EC409" s="22"/>
      <c r="ED409" s="22"/>
      <c r="EE409" s="22"/>
      <c r="EF409" s="22"/>
      <c r="EG409" s="22"/>
      <c r="EH409" s="22"/>
      <c r="EI409" s="22"/>
      <c r="EJ409" s="22"/>
      <c r="EK409" s="22"/>
      <c r="EL409" s="22"/>
      <c r="EM409" s="22"/>
      <c r="EN409" s="22"/>
      <c r="EO409" s="22"/>
      <c r="EP409" s="22"/>
      <c r="EQ409" s="22"/>
      <c r="ER409" s="22"/>
      <c r="ES409" s="43"/>
      <c r="ET409" s="43"/>
      <c r="EU409" s="43"/>
      <c r="EV409" s="43"/>
      <c r="EW409" s="43"/>
      <c r="EX409" s="43"/>
      <c r="EY409" s="43"/>
      <c r="EZ409" s="43"/>
      <c r="FA409" s="43"/>
      <c r="FB409" s="43"/>
      <c r="FC409" s="43"/>
      <c r="FD409" s="43"/>
      <c r="FE409" s="43"/>
      <c r="FF409" s="43"/>
      <c r="FG409" s="43"/>
      <c r="FH409" s="43"/>
      <c r="FI409" s="43"/>
    </row>
    <row r="410" ht="18.0" customHeight="1">
      <c r="A410" s="22" t="s">
        <v>2659</v>
      </c>
      <c r="B410" s="77" t="s">
        <v>3761</v>
      </c>
      <c r="C410" s="22" t="s">
        <v>2741</v>
      </c>
      <c r="D410" s="22" t="s">
        <v>119</v>
      </c>
      <c r="E410" s="43"/>
      <c r="F410" s="77" t="s">
        <v>5563</v>
      </c>
      <c r="G410" s="22" t="s">
        <v>5367</v>
      </c>
      <c r="H410" s="22" t="s">
        <v>565</v>
      </c>
      <c r="I410" s="43"/>
      <c r="J410" s="43"/>
      <c r="K410" s="22" t="b">
        <v>0</v>
      </c>
      <c r="L410" s="74" t="b">
        <v>0</v>
      </c>
      <c r="M410" s="75" t="b">
        <v>0</v>
      </c>
      <c r="N410" s="75" t="b">
        <v>0</v>
      </c>
      <c r="O410" s="75" t="b">
        <v>0</v>
      </c>
      <c r="P410" s="75" t="b">
        <v>0</v>
      </c>
      <c r="Q410" s="75" t="b">
        <v>0</v>
      </c>
      <c r="R410" s="43"/>
      <c r="S410" s="43"/>
      <c r="T410" s="22"/>
      <c r="U410" s="22"/>
      <c r="V410" s="22"/>
      <c r="W410" s="43"/>
      <c r="X410" s="43"/>
      <c r="Y410" s="43"/>
      <c r="Z410" s="43"/>
      <c r="AA410" s="22"/>
      <c r="AB410" s="22"/>
      <c r="AC410" s="22"/>
      <c r="AD410" s="22"/>
      <c r="AE410" s="22"/>
      <c r="AF410" s="43"/>
      <c r="AG410" s="43"/>
      <c r="AH410" s="43"/>
      <c r="AI410" s="43"/>
      <c r="AJ410" s="43"/>
      <c r="AK410" s="43"/>
      <c r="AL410" s="43"/>
      <c r="AM410" s="43"/>
      <c r="AN410" s="43"/>
      <c r="AO410" s="43"/>
      <c r="AP410" s="43"/>
      <c r="AQ410" s="43"/>
      <c r="AR410" s="43"/>
      <c r="AS410" s="43"/>
      <c r="AT410" s="43"/>
      <c r="AU410" s="43"/>
      <c r="AV410" s="43"/>
      <c r="AW410" s="22"/>
      <c r="AX410" s="22"/>
      <c r="AY410" s="43"/>
      <c r="AZ410" s="43"/>
      <c r="BA410" s="43"/>
      <c r="BB410" s="43"/>
      <c r="BC410" s="43"/>
      <c r="BD410" s="43"/>
      <c r="BE410" s="43"/>
      <c r="BF410" s="43"/>
      <c r="BG410" s="43"/>
      <c r="BH410" s="43"/>
      <c r="BI410" s="43"/>
      <c r="BJ410" s="43"/>
      <c r="BK410" s="43"/>
      <c r="BL410" s="65">
        <v>4.640523970099E12</v>
      </c>
      <c r="BM410" s="65">
        <v>3.30499E9</v>
      </c>
      <c r="BN410" s="22"/>
      <c r="BO410" s="22"/>
      <c r="BP410" s="22" t="s">
        <v>245</v>
      </c>
      <c r="BQ410" s="43"/>
      <c r="BR410" s="43"/>
      <c r="BS410" s="22"/>
      <c r="BT410" s="43"/>
      <c r="BU410" s="22"/>
      <c r="BV410" s="43"/>
      <c r="BW410" s="22"/>
      <c r="BX410" s="22"/>
      <c r="BY410" s="43"/>
      <c r="BZ410" s="43"/>
      <c r="CA410" s="22"/>
      <c r="CB410" s="22"/>
      <c r="CC410" s="45"/>
      <c r="CD410" s="43"/>
      <c r="CE410" s="43"/>
      <c r="CF410" s="45"/>
      <c r="CG410" s="43"/>
      <c r="CH410" s="43"/>
      <c r="CI410" s="43"/>
      <c r="CJ410" s="43"/>
      <c r="CK410" s="43"/>
      <c r="CL410" s="43"/>
      <c r="CM410" s="49">
        <f>IFERROR(VLOOKUP(B410,CC!A:D,4,0)," ")</f>
        <v>122</v>
      </c>
      <c r="CN410" s="22"/>
      <c r="CO410" s="22"/>
      <c r="CP410" s="43"/>
      <c r="CQ410" s="22"/>
      <c r="CR410" s="43"/>
      <c r="CS410" s="43"/>
      <c r="CT410" s="43"/>
      <c r="CU410" s="43"/>
      <c r="CV410" s="43"/>
      <c r="CW410" s="43"/>
      <c r="CX410" s="43"/>
      <c r="CY410" s="43" t="b">
        <v>0</v>
      </c>
      <c r="CZ410" s="43" t="b">
        <v>0</v>
      </c>
      <c r="DA410" s="43" t="b">
        <v>0</v>
      </c>
      <c r="DB410" s="43" t="b">
        <v>0</v>
      </c>
      <c r="DC410" s="43"/>
      <c r="DD410" s="43"/>
      <c r="DE410" s="43"/>
      <c r="DF410" s="43"/>
      <c r="DG410" s="43"/>
      <c r="DH410" s="43"/>
      <c r="DI410" s="43"/>
      <c r="DJ410" s="22"/>
      <c r="DK410" s="22"/>
      <c r="DL410" s="22"/>
      <c r="DM410" s="22"/>
      <c r="DN410" s="22"/>
      <c r="DO410" s="22"/>
      <c r="DP410" s="22"/>
      <c r="DQ410" s="22"/>
      <c r="DR410" s="22"/>
      <c r="DS410" s="22"/>
      <c r="DT410" s="22"/>
      <c r="DU410" s="22"/>
      <c r="DV410" s="22"/>
      <c r="DW410" s="22"/>
      <c r="DX410" s="22"/>
      <c r="DY410" s="22"/>
      <c r="DZ410" s="22"/>
      <c r="EA410" s="22"/>
      <c r="EB410" s="22"/>
      <c r="EC410" s="22"/>
      <c r="ED410" s="22"/>
      <c r="EE410" s="22"/>
      <c r="EF410" s="22"/>
      <c r="EG410" s="22"/>
      <c r="EH410" s="22"/>
      <c r="EI410" s="22"/>
      <c r="EJ410" s="22"/>
      <c r="EK410" s="22"/>
      <c r="EL410" s="22"/>
      <c r="EM410" s="22"/>
      <c r="EN410" s="22"/>
      <c r="EO410" s="22"/>
      <c r="EP410" s="22"/>
      <c r="EQ410" s="22"/>
      <c r="ER410" s="22"/>
      <c r="ES410" s="43"/>
      <c r="ET410" s="43"/>
      <c r="EU410" s="43"/>
      <c r="EV410" s="43"/>
      <c r="EW410" s="43"/>
      <c r="EX410" s="43"/>
      <c r="EY410" s="43"/>
      <c r="EZ410" s="43"/>
      <c r="FA410" s="43"/>
      <c r="FB410" s="43"/>
      <c r="FC410" s="43"/>
      <c r="FD410" s="43"/>
      <c r="FE410" s="43"/>
      <c r="FF410" s="43"/>
      <c r="FG410" s="43"/>
      <c r="FH410" s="43"/>
      <c r="FI410" s="43"/>
    </row>
    <row r="411" ht="18.0" customHeight="1">
      <c r="A411" s="22" t="s">
        <v>2659</v>
      </c>
      <c r="B411" s="77" t="s">
        <v>3759</v>
      </c>
      <c r="C411" s="22" t="s">
        <v>2741</v>
      </c>
      <c r="D411" s="22" t="s">
        <v>119</v>
      </c>
      <c r="E411" s="43"/>
      <c r="F411" s="77" t="s">
        <v>5564</v>
      </c>
      <c r="G411" s="22" t="s">
        <v>5367</v>
      </c>
      <c r="H411" s="22" t="s">
        <v>565</v>
      </c>
      <c r="I411" s="43"/>
      <c r="J411" s="43"/>
      <c r="K411" s="22" t="b">
        <v>0</v>
      </c>
      <c r="L411" s="74" t="b">
        <v>0</v>
      </c>
      <c r="M411" s="75" t="b">
        <v>0</v>
      </c>
      <c r="N411" s="75" t="b">
        <v>0</v>
      </c>
      <c r="O411" s="75" t="b">
        <v>0</v>
      </c>
      <c r="P411" s="75" t="b">
        <v>0</v>
      </c>
      <c r="Q411" s="75" t="b">
        <v>0</v>
      </c>
      <c r="R411" s="43"/>
      <c r="S411" s="43"/>
      <c r="T411" s="22"/>
      <c r="U411" s="22"/>
      <c r="V411" s="22"/>
      <c r="W411" s="43"/>
      <c r="X411" s="43"/>
      <c r="Y411" s="43"/>
      <c r="Z411" s="43"/>
      <c r="AA411" s="22"/>
      <c r="AB411" s="22"/>
      <c r="AC411" s="22"/>
      <c r="AD411" s="22"/>
      <c r="AE411" s="22"/>
      <c r="AF411" s="43"/>
      <c r="AG411" s="43"/>
      <c r="AH411" s="43"/>
      <c r="AI411" s="43"/>
      <c r="AJ411" s="43"/>
      <c r="AK411" s="43"/>
      <c r="AL411" s="43"/>
      <c r="AM411" s="43"/>
      <c r="AN411" s="43"/>
      <c r="AO411" s="43"/>
      <c r="AP411" s="43"/>
      <c r="AQ411" s="43"/>
      <c r="AR411" s="43"/>
      <c r="AS411" s="43"/>
      <c r="AT411" s="43"/>
      <c r="AU411" s="43"/>
      <c r="AV411" s="43"/>
      <c r="AW411" s="22"/>
      <c r="AX411" s="22"/>
      <c r="AY411" s="43"/>
      <c r="AZ411" s="43"/>
      <c r="BA411" s="43"/>
      <c r="BB411" s="43"/>
      <c r="BC411" s="43"/>
      <c r="BD411" s="43"/>
      <c r="BE411" s="43"/>
      <c r="BF411" s="43"/>
      <c r="BG411" s="43"/>
      <c r="BH411" s="43"/>
      <c r="BI411" s="43"/>
      <c r="BJ411" s="43"/>
      <c r="BK411" s="43"/>
      <c r="BL411" s="65">
        <v>4.640523970297E12</v>
      </c>
      <c r="BM411" s="65">
        <v>3.30499E9</v>
      </c>
      <c r="BN411" s="22"/>
      <c r="BO411" s="22"/>
      <c r="BP411" s="22" t="s">
        <v>245</v>
      </c>
      <c r="BQ411" s="43"/>
      <c r="BR411" s="43"/>
      <c r="BS411" s="22"/>
      <c r="BT411" s="43"/>
      <c r="BU411" s="22"/>
      <c r="BV411" s="43"/>
      <c r="BW411" s="22"/>
      <c r="BX411" s="22"/>
      <c r="BY411" s="43"/>
      <c r="BZ411" s="43"/>
      <c r="CA411" s="22"/>
      <c r="CB411" s="22"/>
      <c r="CC411" s="45"/>
      <c r="CD411" s="43"/>
      <c r="CE411" s="43"/>
      <c r="CF411" s="45"/>
      <c r="CG411" s="43"/>
      <c r="CH411" s="43"/>
      <c r="CI411" s="43"/>
      <c r="CJ411" s="43"/>
      <c r="CK411" s="43"/>
      <c r="CL411" s="43"/>
      <c r="CM411" s="49">
        <f>IFERROR(VLOOKUP(B411,CC!A:D,4,0)," ")</f>
        <v>124</v>
      </c>
      <c r="CN411" s="22"/>
      <c r="CO411" s="22"/>
      <c r="CP411" s="43"/>
      <c r="CQ411" s="22"/>
      <c r="CR411" s="43"/>
      <c r="CS411" s="43"/>
      <c r="CT411" s="43"/>
      <c r="CU411" s="43"/>
      <c r="CV411" s="43"/>
      <c r="CW411" s="43"/>
      <c r="CX411" s="43"/>
      <c r="CY411" s="43" t="b">
        <v>0</v>
      </c>
      <c r="CZ411" s="43" t="b">
        <v>0</v>
      </c>
      <c r="DA411" s="43" t="b">
        <v>0</v>
      </c>
      <c r="DB411" s="43" t="b">
        <v>0</v>
      </c>
      <c r="DC411" s="43"/>
      <c r="DD411" s="43"/>
      <c r="DE411" s="43"/>
      <c r="DF411" s="43"/>
      <c r="DG411" s="43"/>
      <c r="DH411" s="43"/>
      <c r="DI411" s="43"/>
      <c r="DJ411" s="22"/>
      <c r="DK411" s="22"/>
      <c r="DL411" s="22"/>
      <c r="DM411" s="22"/>
      <c r="DN411" s="22"/>
      <c r="DO411" s="22"/>
      <c r="DP411" s="22"/>
      <c r="DQ411" s="22"/>
      <c r="DR411" s="22"/>
      <c r="DS411" s="22"/>
      <c r="DT411" s="22"/>
      <c r="DU411" s="22"/>
      <c r="DV411" s="22"/>
      <c r="DW411" s="22"/>
      <c r="DX411" s="22"/>
      <c r="DY411" s="22"/>
      <c r="DZ411" s="22"/>
      <c r="EA411" s="22"/>
      <c r="EB411" s="22"/>
      <c r="EC411" s="22"/>
      <c r="ED411" s="22"/>
      <c r="EE411" s="22"/>
      <c r="EF411" s="22"/>
      <c r="EG411" s="22"/>
      <c r="EH411" s="22"/>
      <c r="EI411" s="22"/>
      <c r="EJ411" s="22"/>
      <c r="EK411" s="22"/>
      <c r="EL411" s="22"/>
      <c r="EM411" s="22"/>
      <c r="EN411" s="22"/>
      <c r="EO411" s="22"/>
      <c r="EP411" s="22"/>
      <c r="EQ411" s="22"/>
      <c r="ER411" s="22"/>
      <c r="ES411" s="43"/>
      <c r="ET411" s="43"/>
      <c r="EU411" s="43"/>
      <c r="EV411" s="43"/>
      <c r="EW411" s="43"/>
      <c r="EX411" s="43"/>
      <c r="EY411" s="43"/>
      <c r="EZ411" s="43"/>
      <c r="FA411" s="43"/>
      <c r="FB411" s="43"/>
      <c r="FC411" s="43"/>
      <c r="FD411" s="43"/>
      <c r="FE411" s="43"/>
      <c r="FF411" s="43"/>
      <c r="FG411" s="43"/>
      <c r="FH411" s="43"/>
      <c r="FI411" s="43"/>
    </row>
    <row r="412" ht="18.0" customHeight="1">
      <c r="A412" s="76" t="s">
        <v>116</v>
      </c>
      <c r="B412" s="78" t="s">
        <v>5565</v>
      </c>
      <c r="C412" s="22" t="s">
        <v>118</v>
      </c>
      <c r="D412" s="22" t="s">
        <v>241</v>
      </c>
      <c r="E412" s="43"/>
      <c r="F412" s="22" t="s">
        <v>5566</v>
      </c>
      <c r="G412" s="22" t="s">
        <v>121</v>
      </c>
      <c r="H412" s="22" t="s">
        <v>198</v>
      </c>
      <c r="I412" s="43"/>
      <c r="J412" s="43"/>
      <c r="K412" s="22" t="b">
        <v>0</v>
      </c>
      <c r="L412" s="74" t="b">
        <v>0</v>
      </c>
      <c r="M412" s="75" t="b">
        <v>0</v>
      </c>
      <c r="N412" s="75" t="b">
        <v>0</v>
      </c>
      <c r="O412" s="75" t="b">
        <v>0</v>
      </c>
      <c r="P412" s="75" t="b">
        <v>0</v>
      </c>
      <c r="Q412" s="75" t="b">
        <v>0</v>
      </c>
      <c r="R412" s="43"/>
      <c r="S412" s="43"/>
      <c r="T412" s="22"/>
      <c r="U412" s="22"/>
      <c r="V412" s="22"/>
      <c r="W412" s="43"/>
      <c r="X412" s="43"/>
      <c r="Y412" s="43"/>
      <c r="Z412" s="43"/>
      <c r="AA412" s="22"/>
      <c r="AB412" s="22"/>
      <c r="AC412" s="22"/>
      <c r="AD412" s="22"/>
      <c r="AE412" s="22"/>
      <c r="AF412" s="43"/>
      <c r="AG412" s="43"/>
      <c r="AH412" s="43"/>
      <c r="AI412" s="43"/>
      <c r="AJ412" s="43"/>
      <c r="AK412" s="43"/>
      <c r="AL412" s="43"/>
      <c r="AM412" s="43"/>
      <c r="AN412" s="43"/>
      <c r="AO412" s="43"/>
      <c r="AP412" s="43"/>
      <c r="AQ412" s="43"/>
      <c r="AR412" s="43"/>
      <c r="AS412" s="43"/>
      <c r="AT412" s="43"/>
      <c r="AU412" s="43"/>
      <c r="AV412" s="43"/>
      <c r="AW412" s="22"/>
      <c r="AX412" s="22"/>
      <c r="AY412" s="43"/>
      <c r="AZ412" s="43"/>
      <c r="BA412" s="43"/>
      <c r="BB412" s="43"/>
      <c r="BC412" s="43"/>
      <c r="BD412" s="43"/>
      <c r="BE412" s="43"/>
      <c r="BF412" s="43"/>
      <c r="BG412" s="43"/>
      <c r="BH412" s="43"/>
      <c r="BI412" s="43"/>
      <c r="BJ412" s="43"/>
      <c r="BK412" s="43"/>
      <c r="BL412" s="65">
        <v>4.60554301497E12</v>
      </c>
      <c r="BM412" s="22">
        <v>2.3099031E9</v>
      </c>
      <c r="BN412" s="22"/>
      <c r="BO412" s="46" t="s">
        <v>5567</v>
      </c>
      <c r="BP412" s="22" t="s">
        <v>245</v>
      </c>
      <c r="BQ412" s="43"/>
      <c r="BR412" s="43"/>
      <c r="BS412" s="81" t="s">
        <v>5568</v>
      </c>
      <c r="BT412" s="43"/>
      <c r="BU412" s="82" t="s">
        <v>5569</v>
      </c>
      <c r="BV412" s="81"/>
      <c r="BW412" s="22" t="s">
        <v>5570</v>
      </c>
      <c r="BX412" s="82">
        <v>100.0</v>
      </c>
      <c r="BY412" s="82" t="s">
        <v>5571</v>
      </c>
      <c r="BZ412" s="81"/>
      <c r="CA412" s="82" t="s">
        <v>5572</v>
      </c>
      <c r="CB412" s="81"/>
      <c r="CC412" s="83" t="s">
        <v>5573</v>
      </c>
      <c r="CD412" s="81"/>
      <c r="CE412" s="81"/>
      <c r="CF412" s="44" t="s">
        <v>5574</v>
      </c>
      <c r="CG412" s="43"/>
      <c r="CH412" s="43"/>
      <c r="CI412" s="43"/>
      <c r="CJ412" s="43"/>
      <c r="CK412" s="43"/>
      <c r="CL412" s="43"/>
      <c r="CM412" s="49" t="str">
        <f>IFERROR(VLOOKUP(B412,CC!A:D,4,0)," ")</f>
        <v> </v>
      </c>
      <c r="CN412" s="22"/>
      <c r="CO412" s="22"/>
      <c r="CP412" s="43"/>
      <c r="CQ412" s="22"/>
      <c r="CR412" s="43"/>
      <c r="CS412" s="43"/>
      <c r="CT412" s="43"/>
      <c r="CU412" s="43"/>
      <c r="CV412" s="43"/>
      <c r="CW412" s="43"/>
      <c r="CX412" s="43"/>
      <c r="CY412" s="43" t="b">
        <v>0</v>
      </c>
      <c r="CZ412" s="43" t="b">
        <v>0</v>
      </c>
      <c r="DA412" s="43" t="b">
        <v>0</v>
      </c>
      <c r="DB412" s="43" t="b">
        <v>0</v>
      </c>
      <c r="DC412" s="43"/>
      <c r="DD412" s="43"/>
      <c r="DE412" s="43"/>
      <c r="DF412" s="43"/>
      <c r="DG412" s="43"/>
      <c r="DH412" s="43"/>
      <c r="DI412" s="43"/>
      <c r="DJ412" s="22"/>
      <c r="DK412" s="22"/>
      <c r="DL412" s="22"/>
      <c r="DM412" s="22"/>
      <c r="DN412" s="22"/>
      <c r="DO412" s="22"/>
      <c r="DP412" s="22"/>
      <c r="DQ412" s="22"/>
      <c r="DR412" s="22"/>
      <c r="DS412" s="22"/>
      <c r="DT412" s="22"/>
      <c r="DU412" s="22"/>
      <c r="DV412" s="22"/>
      <c r="DW412" s="22"/>
      <c r="DX412" s="22"/>
      <c r="DY412" s="22"/>
      <c r="DZ412" s="22"/>
      <c r="EA412" s="22"/>
      <c r="EB412" s="22"/>
      <c r="EC412" s="22"/>
      <c r="ED412" s="22"/>
      <c r="EE412" s="22"/>
      <c r="EF412" s="22"/>
      <c r="EG412" s="22"/>
      <c r="EH412" s="22"/>
      <c r="EI412" s="22"/>
      <c r="EJ412" s="22"/>
      <c r="EK412" s="22"/>
      <c r="EL412" s="22"/>
      <c r="EM412" s="22"/>
      <c r="EN412" s="22"/>
      <c r="EO412" s="22"/>
      <c r="EP412" s="22"/>
      <c r="EQ412" s="22"/>
      <c r="ER412" s="22"/>
      <c r="ES412" s="43"/>
      <c r="ET412" s="43"/>
      <c r="EU412" s="43"/>
      <c r="EV412" s="43"/>
      <c r="EW412" s="43"/>
      <c r="EX412" s="43"/>
      <c r="EY412" s="43"/>
      <c r="EZ412" s="43"/>
      <c r="FA412" s="43"/>
      <c r="FB412" s="43"/>
      <c r="FC412" s="43"/>
      <c r="FD412" s="43"/>
      <c r="FE412" s="43"/>
      <c r="FF412" s="43"/>
      <c r="FG412" s="43"/>
      <c r="FH412" s="43"/>
      <c r="FI412" s="43"/>
    </row>
    <row r="413" ht="18.0" customHeight="1">
      <c r="A413" s="76" t="s">
        <v>116</v>
      </c>
      <c r="B413" s="78" t="s">
        <v>5575</v>
      </c>
      <c r="C413" s="22" t="s">
        <v>118</v>
      </c>
      <c r="D413" s="22" t="s">
        <v>241</v>
      </c>
      <c r="E413" s="43"/>
      <c r="F413" s="22" t="s">
        <v>5576</v>
      </c>
      <c r="G413" s="22" t="s">
        <v>121</v>
      </c>
      <c r="H413" s="22" t="s">
        <v>122</v>
      </c>
      <c r="I413" s="43"/>
      <c r="J413" s="43"/>
      <c r="K413" s="22" t="b">
        <v>0</v>
      </c>
      <c r="L413" s="74" t="b">
        <v>0</v>
      </c>
      <c r="M413" s="75" t="b">
        <v>0</v>
      </c>
      <c r="N413" s="75" t="b">
        <v>0</v>
      </c>
      <c r="O413" s="75" t="b">
        <v>0</v>
      </c>
      <c r="P413" s="75" t="b">
        <v>0</v>
      </c>
      <c r="Q413" s="75" t="b">
        <v>0</v>
      </c>
      <c r="R413" s="43"/>
      <c r="S413" s="43"/>
      <c r="T413" s="22"/>
      <c r="U413" s="22"/>
      <c r="V413" s="22"/>
      <c r="W413" s="43"/>
      <c r="X413" s="43"/>
      <c r="Y413" s="43"/>
      <c r="Z413" s="43"/>
      <c r="AA413" s="22"/>
      <c r="AB413" s="22"/>
      <c r="AC413" s="22"/>
      <c r="AD413" s="22"/>
      <c r="AE413" s="22"/>
      <c r="AF413" s="43"/>
      <c r="AG413" s="43"/>
      <c r="AH413" s="43"/>
      <c r="AI413" s="43"/>
      <c r="AJ413" s="43"/>
      <c r="AK413" s="43"/>
      <c r="AL413" s="43"/>
      <c r="AM413" s="43"/>
      <c r="AN413" s="43"/>
      <c r="AO413" s="43"/>
      <c r="AP413" s="43"/>
      <c r="AQ413" s="43"/>
      <c r="AR413" s="43"/>
      <c r="AS413" s="43"/>
      <c r="AT413" s="43"/>
      <c r="AU413" s="43"/>
      <c r="AV413" s="43"/>
      <c r="AW413" s="22"/>
      <c r="AX413" s="22"/>
      <c r="AY413" s="43"/>
      <c r="AZ413" s="43"/>
      <c r="BA413" s="43"/>
      <c r="BB413" s="43"/>
      <c r="BC413" s="43"/>
      <c r="BD413" s="43"/>
      <c r="BE413" s="43"/>
      <c r="BF413" s="43"/>
      <c r="BG413" s="43"/>
      <c r="BH413" s="43"/>
      <c r="BI413" s="43"/>
      <c r="BJ413" s="43"/>
      <c r="BK413" s="43"/>
      <c r="BL413" s="65">
        <v>4.605543014987E12</v>
      </c>
      <c r="BM413" s="22">
        <v>2.3099031E9</v>
      </c>
      <c r="BN413" s="22"/>
      <c r="BO413" s="46" t="s">
        <v>5567</v>
      </c>
      <c r="BP413" s="22" t="s">
        <v>245</v>
      </c>
      <c r="BQ413" s="43"/>
      <c r="BR413" s="43"/>
      <c r="BS413" s="84" t="s">
        <v>5577</v>
      </c>
      <c r="BT413" s="43"/>
      <c r="BU413" s="22" t="s">
        <v>5578</v>
      </c>
      <c r="BV413" s="43"/>
      <c r="BW413" s="22" t="s">
        <v>5570</v>
      </c>
      <c r="BX413" s="22">
        <v>100.0</v>
      </c>
      <c r="BY413" s="22" t="s">
        <v>5571</v>
      </c>
      <c r="BZ413" s="43"/>
      <c r="CA413" s="22" t="s">
        <v>5579</v>
      </c>
      <c r="CB413" s="22"/>
      <c r="CC413" s="44" t="s">
        <v>5580</v>
      </c>
      <c r="CD413" s="43"/>
      <c r="CE413" s="43"/>
      <c r="CF413" s="44" t="s">
        <v>5574</v>
      </c>
      <c r="CG413" s="43"/>
      <c r="CH413" s="43"/>
      <c r="CI413" s="43"/>
      <c r="CJ413" s="43"/>
      <c r="CK413" s="43"/>
      <c r="CL413" s="43"/>
      <c r="CM413" s="49" t="str">
        <f>IFERROR(VLOOKUP(B413,CC!A:D,4,0)," ")</f>
        <v> </v>
      </c>
      <c r="CN413" s="22"/>
      <c r="CO413" s="22"/>
      <c r="CP413" s="43"/>
      <c r="CQ413" s="22"/>
      <c r="CR413" s="43"/>
      <c r="CS413" s="43"/>
      <c r="CT413" s="43"/>
      <c r="CU413" s="43"/>
      <c r="CV413" s="43"/>
      <c r="CW413" s="43"/>
      <c r="CX413" s="43"/>
      <c r="CY413" s="43" t="b">
        <v>0</v>
      </c>
      <c r="CZ413" s="43" t="b">
        <v>0</v>
      </c>
      <c r="DA413" s="43" t="b">
        <v>0</v>
      </c>
      <c r="DB413" s="43" t="b">
        <v>0</v>
      </c>
      <c r="DC413" s="43"/>
      <c r="DD413" s="43"/>
      <c r="DE413" s="43"/>
      <c r="DF413" s="43"/>
      <c r="DG413" s="43"/>
      <c r="DH413" s="43"/>
      <c r="DI413" s="43"/>
      <c r="DJ413" s="22"/>
      <c r="DK413" s="22"/>
      <c r="DL413" s="22"/>
      <c r="DM413" s="22"/>
      <c r="DN413" s="22"/>
      <c r="DO413" s="22"/>
      <c r="DP413" s="22"/>
      <c r="DQ413" s="22"/>
      <c r="DR413" s="22"/>
      <c r="DS413" s="22"/>
      <c r="DT413" s="22"/>
      <c r="DU413" s="22"/>
      <c r="DV413" s="22"/>
      <c r="DW413" s="22"/>
      <c r="DX413" s="22"/>
      <c r="DY413" s="22"/>
      <c r="DZ413" s="22"/>
      <c r="EA413" s="22"/>
      <c r="EB413" s="22"/>
      <c r="EC413" s="22"/>
      <c r="ED413" s="22"/>
      <c r="EE413" s="22"/>
      <c r="EF413" s="22"/>
      <c r="EG413" s="22"/>
      <c r="EH413" s="22"/>
      <c r="EI413" s="22"/>
      <c r="EJ413" s="22"/>
      <c r="EK413" s="22"/>
      <c r="EL413" s="22"/>
      <c r="EM413" s="22"/>
      <c r="EN413" s="22"/>
      <c r="EO413" s="22"/>
      <c r="EP413" s="22"/>
      <c r="EQ413" s="22"/>
      <c r="ER413" s="22"/>
      <c r="ES413" s="43"/>
      <c r="ET413" s="43"/>
      <c r="EU413" s="43"/>
      <c r="EV413" s="43"/>
      <c r="EW413" s="43"/>
      <c r="EX413" s="43"/>
      <c r="EY413" s="43"/>
      <c r="EZ413" s="43"/>
      <c r="FA413" s="43"/>
      <c r="FB413" s="43"/>
      <c r="FC413" s="43"/>
      <c r="FD413" s="43"/>
      <c r="FE413" s="43"/>
      <c r="FF413" s="43"/>
      <c r="FG413" s="43"/>
      <c r="FH413" s="43"/>
      <c r="FI413" s="43"/>
    </row>
    <row r="414" ht="18.0" customHeight="1">
      <c r="A414" s="76" t="s">
        <v>116</v>
      </c>
      <c r="B414" s="78" t="s">
        <v>5581</v>
      </c>
      <c r="C414" s="22" t="s">
        <v>283</v>
      </c>
      <c r="D414" s="22" t="s">
        <v>241</v>
      </c>
      <c r="E414" s="43"/>
      <c r="F414" s="22" t="s">
        <v>5582</v>
      </c>
      <c r="G414" s="22" t="s">
        <v>5367</v>
      </c>
      <c r="H414" s="22" t="s">
        <v>565</v>
      </c>
      <c r="I414" s="43"/>
      <c r="J414" s="43"/>
      <c r="K414" s="22" t="b">
        <v>0</v>
      </c>
      <c r="L414" s="74" t="b">
        <v>0</v>
      </c>
      <c r="M414" s="75" t="b">
        <v>0</v>
      </c>
      <c r="N414" s="75" t="b">
        <v>0</v>
      </c>
      <c r="O414" s="75" t="b">
        <v>0</v>
      </c>
      <c r="P414" s="75" t="b">
        <v>0</v>
      </c>
      <c r="Q414" s="75" t="b">
        <v>0</v>
      </c>
      <c r="R414" s="43"/>
      <c r="S414" s="43"/>
      <c r="T414" s="22"/>
      <c r="U414" s="22"/>
      <c r="V414" s="22"/>
      <c r="W414" s="43"/>
      <c r="X414" s="43"/>
      <c r="Y414" s="43"/>
      <c r="Z414" s="43"/>
      <c r="AA414" s="22"/>
      <c r="AB414" s="22"/>
      <c r="AC414" s="22"/>
      <c r="AD414" s="22"/>
      <c r="AE414" s="22"/>
      <c r="AF414" s="43"/>
      <c r="AG414" s="43"/>
      <c r="AH414" s="43"/>
      <c r="AI414" s="43"/>
      <c r="AJ414" s="43"/>
      <c r="AK414" s="43"/>
      <c r="AL414" s="43"/>
      <c r="AM414" s="43"/>
      <c r="AN414" s="43"/>
      <c r="AO414" s="43"/>
      <c r="AP414" s="43"/>
      <c r="AQ414" s="43"/>
      <c r="AR414" s="43"/>
      <c r="AS414" s="43"/>
      <c r="AT414" s="43"/>
      <c r="AU414" s="43"/>
      <c r="AV414" s="43"/>
      <c r="AW414" s="22"/>
      <c r="AX414" s="22"/>
      <c r="AY414" s="43"/>
      <c r="AZ414" s="43"/>
      <c r="BA414" s="43"/>
      <c r="BB414" s="43"/>
      <c r="BC414" s="43"/>
      <c r="BD414" s="43"/>
      <c r="BE414" s="43"/>
      <c r="BF414" s="43"/>
      <c r="BG414" s="43"/>
      <c r="BH414" s="43"/>
      <c r="BI414" s="43"/>
      <c r="BJ414" s="43"/>
      <c r="BK414" s="43"/>
      <c r="BL414" s="22">
        <v>4.660417421872E12</v>
      </c>
      <c r="BM414" s="22">
        <v>3.30499E9</v>
      </c>
      <c r="BN414" s="22"/>
      <c r="BO414" s="22"/>
      <c r="BP414" s="22" t="s">
        <v>245</v>
      </c>
      <c r="BQ414" s="43"/>
      <c r="BR414" s="43"/>
      <c r="BS414" s="22" t="s">
        <v>5541</v>
      </c>
      <c r="BT414" s="43"/>
      <c r="BU414" s="22" t="s">
        <v>5542</v>
      </c>
      <c r="BV414" s="22" t="s">
        <v>5543</v>
      </c>
      <c r="BW414" s="22" t="s">
        <v>5544</v>
      </c>
      <c r="BX414" s="22">
        <v>75.0</v>
      </c>
      <c r="BY414" s="22" t="s">
        <v>139</v>
      </c>
      <c r="BZ414" s="43"/>
      <c r="CA414" s="22" t="s">
        <v>726</v>
      </c>
      <c r="CB414" s="22"/>
      <c r="CC414" s="44" t="s">
        <v>5583</v>
      </c>
      <c r="CD414" s="43"/>
      <c r="CE414" s="43"/>
      <c r="CF414" s="45"/>
      <c r="CG414" s="43"/>
      <c r="CH414" s="43"/>
      <c r="CI414" s="43"/>
      <c r="CJ414" s="43"/>
      <c r="CK414" s="43"/>
      <c r="CL414" s="43"/>
      <c r="CM414" s="49">
        <v>130.0</v>
      </c>
      <c r="CN414" s="22" t="s">
        <v>2681</v>
      </c>
      <c r="CO414" s="22"/>
      <c r="CP414" s="43"/>
      <c r="CQ414" s="22"/>
      <c r="CR414" s="43"/>
      <c r="CS414" s="43"/>
      <c r="CT414" s="43"/>
      <c r="CU414" s="43"/>
      <c r="CV414" s="43"/>
      <c r="CW414" s="43"/>
      <c r="CX414" s="43"/>
      <c r="CY414" s="43" t="b">
        <v>0</v>
      </c>
      <c r="CZ414" s="43" t="b">
        <v>0</v>
      </c>
      <c r="DA414" s="43" t="b">
        <v>0</v>
      </c>
      <c r="DB414" s="43" t="b">
        <v>0</v>
      </c>
      <c r="DC414" s="43"/>
      <c r="DD414" s="43"/>
      <c r="DE414" s="43"/>
      <c r="DF414" s="43"/>
      <c r="DG414" s="43"/>
      <c r="DH414" s="43"/>
      <c r="DI414" s="43"/>
      <c r="DJ414" s="22"/>
      <c r="DK414" s="22"/>
      <c r="DL414" s="22"/>
      <c r="DM414" s="22"/>
      <c r="DN414" s="22"/>
      <c r="DO414" s="22"/>
      <c r="DP414" s="22"/>
      <c r="DQ414" s="22"/>
      <c r="DR414" s="22"/>
      <c r="DS414" s="22"/>
      <c r="DT414" s="22"/>
      <c r="DU414" s="22"/>
      <c r="DV414" s="22"/>
      <c r="DW414" s="22"/>
      <c r="DX414" s="22"/>
      <c r="DY414" s="22"/>
      <c r="DZ414" s="22"/>
      <c r="EA414" s="22"/>
      <c r="EB414" s="22"/>
      <c r="EC414" s="22"/>
      <c r="ED414" s="22"/>
      <c r="EE414" s="22"/>
      <c r="EF414" s="22"/>
      <c r="EG414" s="22"/>
      <c r="EH414" s="22"/>
      <c r="EI414" s="22"/>
      <c r="EJ414" s="22"/>
      <c r="EK414" s="22"/>
      <c r="EL414" s="22"/>
      <c r="EM414" s="22"/>
      <c r="EN414" s="22"/>
      <c r="EO414" s="22"/>
      <c r="EP414" s="22"/>
      <c r="EQ414" s="22"/>
      <c r="ER414" s="22"/>
      <c r="ES414" s="43"/>
      <c r="ET414" s="43"/>
      <c r="EU414" s="43"/>
      <c r="EV414" s="43"/>
      <c r="EW414" s="43"/>
      <c r="EX414" s="43"/>
      <c r="EY414" s="43"/>
      <c r="EZ414" s="43"/>
      <c r="FA414" s="43"/>
      <c r="FB414" s="43"/>
      <c r="FC414" s="43"/>
      <c r="FD414" s="43"/>
      <c r="FE414" s="43"/>
      <c r="FF414" s="43"/>
      <c r="FG414" s="43"/>
      <c r="FH414" s="43"/>
      <c r="FI414" s="43"/>
    </row>
    <row r="415" ht="18.0" customHeight="1">
      <c r="A415" s="85" t="s">
        <v>2659</v>
      </c>
      <c r="B415" s="78" t="s">
        <v>5584</v>
      </c>
      <c r="C415" s="22" t="s">
        <v>2741</v>
      </c>
      <c r="D415" s="22" t="s">
        <v>241</v>
      </c>
      <c r="E415" s="43"/>
      <c r="F415" s="22" t="s">
        <v>5585</v>
      </c>
      <c r="G415" s="22" t="s">
        <v>5367</v>
      </c>
      <c r="H415" s="22" t="s">
        <v>565</v>
      </c>
      <c r="I415" s="43"/>
      <c r="J415" s="43"/>
      <c r="K415" s="22" t="b">
        <v>0</v>
      </c>
      <c r="L415" s="74" t="b">
        <v>0</v>
      </c>
      <c r="M415" s="75" t="b">
        <v>0</v>
      </c>
      <c r="N415" s="75" t="b">
        <v>0</v>
      </c>
      <c r="O415" s="75" t="b">
        <v>0</v>
      </c>
      <c r="P415" s="75" t="b">
        <v>0</v>
      </c>
      <c r="Q415" s="75" t="b">
        <v>0</v>
      </c>
      <c r="R415" s="43"/>
      <c r="S415" s="43"/>
      <c r="T415" s="22"/>
      <c r="U415" s="22"/>
      <c r="V415" s="22"/>
      <c r="W415" s="43"/>
      <c r="X415" s="43"/>
      <c r="Y415" s="43"/>
      <c r="Z415" s="43"/>
      <c r="AA415" s="22"/>
      <c r="AB415" s="22"/>
      <c r="AC415" s="22"/>
      <c r="AD415" s="22"/>
      <c r="AE415" s="22"/>
      <c r="AF415" s="43"/>
      <c r="AG415" s="43"/>
      <c r="AH415" s="43"/>
      <c r="AI415" s="43"/>
      <c r="AJ415" s="43"/>
      <c r="AK415" s="43"/>
      <c r="AL415" s="43"/>
      <c r="AM415" s="43"/>
      <c r="AN415" s="43"/>
      <c r="AO415" s="43"/>
      <c r="AP415" s="43"/>
      <c r="AQ415" s="43"/>
      <c r="AR415" s="43"/>
      <c r="AS415" s="43"/>
      <c r="AT415" s="43"/>
      <c r="AU415" s="43"/>
      <c r="AV415" s="43"/>
      <c r="AW415" s="22"/>
      <c r="AX415" s="22"/>
      <c r="AY415" s="43"/>
      <c r="AZ415" s="43"/>
      <c r="BA415" s="43"/>
      <c r="BB415" s="43"/>
      <c r="BC415" s="43"/>
      <c r="BD415" s="43"/>
      <c r="BE415" s="43"/>
      <c r="BF415" s="43"/>
      <c r="BG415" s="43"/>
      <c r="BH415" s="43"/>
      <c r="BI415" s="43"/>
      <c r="BJ415" s="43"/>
      <c r="BK415" s="43"/>
      <c r="BL415" s="22"/>
      <c r="BM415" s="22">
        <v>3.30499E9</v>
      </c>
      <c r="BN415" s="22"/>
      <c r="BO415" s="22"/>
      <c r="BP415" s="22" t="s">
        <v>245</v>
      </c>
      <c r="BQ415" s="43"/>
      <c r="BR415" s="43"/>
      <c r="BS415" s="22" t="s">
        <v>5586</v>
      </c>
      <c r="BT415" s="43"/>
      <c r="BU415" s="22"/>
      <c r="BV415" s="43"/>
      <c r="BW415" s="22"/>
      <c r="BX415" s="22"/>
      <c r="BY415" s="43"/>
      <c r="BZ415" s="43"/>
      <c r="CA415" s="22"/>
      <c r="CB415" s="22"/>
      <c r="CC415" s="45"/>
      <c r="CD415" s="43"/>
      <c r="CE415" s="43"/>
      <c r="CF415" s="45"/>
      <c r="CG415" s="43"/>
      <c r="CH415" s="43"/>
      <c r="CI415" s="43"/>
      <c r="CJ415" s="43"/>
      <c r="CK415" s="43"/>
      <c r="CL415" s="43"/>
      <c r="CM415" s="49"/>
      <c r="CN415" s="22"/>
      <c r="CO415" s="22"/>
      <c r="CP415" s="43"/>
      <c r="CQ415" s="22"/>
      <c r="CR415" s="43"/>
      <c r="CS415" s="43"/>
      <c r="CT415" s="43"/>
      <c r="CU415" s="43"/>
      <c r="CV415" s="43"/>
      <c r="CW415" s="43"/>
      <c r="CX415" s="43"/>
      <c r="CY415" s="43" t="b">
        <v>0</v>
      </c>
      <c r="CZ415" s="43" t="b">
        <v>0</v>
      </c>
      <c r="DA415" s="43" t="b">
        <v>0</v>
      </c>
      <c r="DB415" s="43" t="b">
        <v>0</v>
      </c>
      <c r="DC415" s="43"/>
      <c r="DD415" s="43"/>
      <c r="DE415" s="43"/>
      <c r="DF415" s="43"/>
      <c r="DG415" s="43"/>
      <c r="DH415" s="43"/>
      <c r="DI415" s="43"/>
      <c r="DJ415" s="22"/>
      <c r="DK415" s="22"/>
      <c r="DL415" s="22"/>
      <c r="DM415" s="22"/>
      <c r="DN415" s="22"/>
      <c r="DO415" s="22"/>
      <c r="DP415" s="22"/>
      <c r="DQ415" s="22"/>
      <c r="DR415" s="22"/>
      <c r="DS415" s="22"/>
      <c r="DT415" s="22"/>
      <c r="DU415" s="22"/>
      <c r="DV415" s="22"/>
      <c r="DW415" s="22"/>
      <c r="DX415" s="22"/>
      <c r="DY415" s="22"/>
      <c r="DZ415" s="22"/>
      <c r="EA415" s="22"/>
      <c r="EB415" s="22"/>
      <c r="EC415" s="22"/>
      <c r="ED415" s="22"/>
      <c r="EE415" s="22"/>
      <c r="EF415" s="22"/>
      <c r="EG415" s="22"/>
      <c r="EH415" s="22"/>
      <c r="EI415" s="22"/>
      <c r="EJ415" s="22"/>
      <c r="EK415" s="22"/>
      <c r="EL415" s="22"/>
      <c r="EM415" s="22"/>
      <c r="EN415" s="22"/>
      <c r="EO415" s="22"/>
      <c r="EP415" s="22"/>
      <c r="EQ415" s="22"/>
      <c r="ER415" s="22"/>
      <c r="ES415" s="43"/>
      <c r="ET415" s="43"/>
      <c r="EU415" s="43"/>
      <c r="EV415" s="43"/>
      <c r="EW415" s="43"/>
      <c r="EX415" s="43"/>
      <c r="EY415" s="43"/>
      <c r="EZ415" s="43"/>
      <c r="FA415" s="43"/>
      <c r="FB415" s="43"/>
      <c r="FC415" s="43"/>
      <c r="FD415" s="43"/>
      <c r="FE415" s="43"/>
      <c r="FF415" s="43"/>
      <c r="FG415" s="43"/>
      <c r="FH415" s="43"/>
      <c r="FI415" s="43"/>
    </row>
    <row r="416" ht="18.0" customHeight="1">
      <c r="A416" s="85"/>
      <c r="B416" s="77"/>
      <c r="C416" s="43"/>
      <c r="D416" s="43"/>
      <c r="E416" s="43"/>
      <c r="F416" s="43"/>
      <c r="G416" s="22"/>
      <c r="H416" s="22"/>
      <c r="I416" s="43"/>
      <c r="J416" s="43"/>
      <c r="K416" s="22"/>
      <c r="L416" s="22"/>
      <c r="M416" s="22"/>
      <c r="N416" s="22"/>
      <c r="O416" s="22"/>
      <c r="P416" s="22"/>
      <c r="Q416" s="22"/>
      <c r="R416" s="43"/>
      <c r="S416" s="43"/>
      <c r="T416" s="22"/>
      <c r="U416" s="22"/>
      <c r="V416" s="22"/>
      <c r="W416" s="43"/>
      <c r="X416" s="43"/>
      <c r="Y416" s="43"/>
      <c r="Z416" s="43"/>
      <c r="AA416" s="22"/>
      <c r="AB416" s="22"/>
      <c r="AC416" s="22"/>
      <c r="AD416" s="22"/>
      <c r="AE416" s="22"/>
      <c r="AF416" s="43"/>
      <c r="AG416" s="43"/>
      <c r="AH416" s="43"/>
      <c r="AI416" s="43"/>
      <c r="AJ416" s="43"/>
      <c r="AK416" s="43"/>
      <c r="AL416" s="43"/>
      <c r="AM416" s="43"/>
      <c r="AN416" s="43"/>
      <c r="AO416" s="43"/>
      <c r="AP416" s="43"/>
      <c r="AQ416" s="43"/>
      <c r="AR416" s="43"/>
      <c r="AS416" s="43"/>
      <c r="AT416" s="43"/>
      <c r="AU416" s="43"/>
      <c r="AV416" s="43"/>
      <c r="AW416" s="22"/>
      <c r="AX416" s="22"/>
      <c r="AY416" s="43"/>
      <c r="AZ416" s="43"/>
      <c r="BA416" s="43"/>
      <c r="BB416" s="43"/>
      <c r="BC416" s="43"/>
      <c r="BD416" s="43"/>
      <c r="BE416" s="43"/>
      <c r="BF416" s="43"/>
      <c r="BG416" s="43"/>
      <c r="BH416" s="43"/>
      <c r="BI416" s="43"/>
      <c r="BJ416" s="43"/>
      <c r="BK416" s="43"/>
      <c r="BL416" s="22"/>
      <c r="BM416" s="22"/>
      <c r="BN416" s="22"/>
      <c r="BO416" s="22"/>
      <c r="BP416" s="22"/>
      <c r="BQ416" s="43"/>
      <c r="BR416" s="43"/>
      <c r="BS416" s="22"/>
      <c r="BT416" s="43"/>
      <c r="BU416" s="22"/>
      <c r="BV416" s="43"/>
      <c r="BW416" s="22"/>
      <c r="BX416" s="22"/>
      <c r="BY416" s="43"/>
      <c r="BZ416" s="43"/>
      <c r="CA416" s="22"/>
      <c r="CB416" s="22"/>
      <c r="CC416" s="45"/>
      <c r="CD416" s="43"/>
      <c r="CE416" s="43"/>
      <c r="CF416" s="45"/>
      <c r="CG416" s="43"/>
      <c r="CH416" s="43"/>
      <c r="CI416" s="43"/>
      <c r="CJ416" s="43"/>
      <c r="CK416" s="43"/>
      <c r="CL416" s="43"/>
      <c r="CM416" s="49"/>
      <c r="CN416" s="22"/>
      <c r="CO416" s="22"/>
      <c r="CP416" s="43"/>
      <c r="CQ416" s="22"/>
      <c r="CR416" s="43"/>
      <c r="CS416" s="43"/>
      <c r="CT416" s="43"/>
      <c r="CU416" s="43"/>
      <c r="CV416" s="43"/>
      <c r="CW416" s="43"/>
      <c r="CX416" s="43"/>
      <c r="CY416" s="43" t="b">
        <v>0</v>
      </c>
      <c r="CZ416" s="43" t="b">
        <v>0</v>
      </c>
      <c r="DA416" s="43" t="b">
        <v>0</v>
      </c>
      <c r="DB416" s="43" t="b">
        <v>0</v>
      </c>
      <c r="DC416" s="43"/>
      <c r="DD416" s="43"/>
      <c r="DE416" s="43"/>
      <c r="DF416" s="43"/>
      <c r="DG416" s="43"/>
      <c r="DH416" s="43"/>
      <c r="DI416" s="43"/>
      <c r="DJ416" s="22"/>
      <c r="DK416" s="22"/>
      <c r="DL416" s="22"/>
      <c r="DM416" s="22"/>
      <c r="DN416" s="22"/>
      <c r="DO416" s="22"/>
      <c r="DP416" s="22"/>
      <c r="DQ416" s="22"/>
      <c r="DR416" s="22"/>
      <c r="DS416" s="22"/>
      <c r="DT416" s="22"/>
      <c r="DU416" s="22"/>
      <c r="DV416" s="22"/>
      <c r="DW416" s="22"/>
      <c r="DX416" s="22"/>
      <c r="DY416" s="22"/>
      <c r="DZ416" s="22"/>
      <c r="EA416" s="22"/>
      <c r="EB416" s="22"/>
      <c r="EC416" s="22"/>
      <c r="ED416" s="22"/>
      <c r="EE416" s="22"/>
      <c r="EF416" s="22"/>
      <c r="EG416" s="22"/>
      <c r="EH416" s="22"/>
      <c r="EI416" s="22"/>
      <c r="EJ416" s="22"/>
      <c r="EK416" s="22"/>
      <c r="EL416" s="22"/>
      <c r="EM416" s="22"/>
      <c r="EN416" s="22"/>
      <c r="EO416" s="22"/>
      <c r="EP416" s="22"/>
      <c r="EQ416" s="22"/>
      <c r="ER416" s="22"/>
      <c r="ES416" s="43"/>
      <c r="ET416" s="43"/>
      <c r="EU416" s="43"/>
      <c r="EV416" s="43"/>
      <c r="EW416" s="43"/>
      <c r="EX416" s="43"/>
      <c r="EY416" s="43"/>
      <c r="EZ416" s="43"/>
      <c r="FA416" s="43"/>
      <c r="FB416" s="43"/>
      <c r="FC416" s="43"/>
      <c r="FD416" s="43"/>
      <c r="FE416" s="43"/>
      <c r="FF416" s="43"/>
      <c r="FG416" s="43"/>
      <c r="FH416" s="43"/>
      <c r="FI416" s="43"/>
    </row>
  </sheetData>
  <mergeCells count="29">
    <mergeCell ref="D4:E4"/>
    <mergeCell ref="G4:H4"/>
    <mergeCell ref="I2:I4"/>
    <mergeCell ref="J2:J4"/>
    <mergeCell ref="R2:R4"/>
    <mergeCell ref="Z2:Z4"/>
    <mergeCell ref="AG2:AG4"/>
    <mergeCell ref="AO2:AO4"/>
    <mergeCell ref="AV2:AV4"/>
    <mergeCell ref="CZ4:DB4"/>
    <mergeCell ref="DD4:DF4"/>
    <mergeCell ref="DG4:DI4"/>
    <mergeCell ref="DJ4:DN4"/>
    <mergeCell ref="DO4:DS4"/>
    <mergeCell ref="DT4:DX4"/>
    <mergeCell ref="DY4:EC4"/>
    <mergeCell ref="ED4:EH4"/>
    <mergeCell ref="EI4:EM4"/>
    <mergeCell ref="EN4:ER4"/>
    <mergeCell ref="ES4:EW4"/>
    <mergeCell ref="EX4:FB4"/>
    <mergeCell ref="FC4:FH4"/>
    <mergeCell ref="BC2:BC4"/>
    <mergeCell ref="BK2:BK4"/>
    <mergeCell ref="BR2:BR4"/>
    <mergeCell ref="CE2:CE4"/>
    <mergeCell ref="CL2:CL4"/>
    <mergeCell ref="CX2:CX4"/>
    <mergeCell ref="DO3:ER3"/>
  </mergeCells>
  <dataValidations>
    <dataValidation type="list" allowBlank="1" sqref="D6:D202 D204:D396 D412:D414">
      <formula1>"Актуальный,Вывод,Под вопросом,Новинка,Перерабатываем"</formula1>
    </dataValidation>
    <dataValidation type="list" allowBlank="1" showErrorMessage="1" sqref="C6:C202 C204:C414">
      <formula1>"qeep,Harly,Алтея,CPA"</formula1>
    </dataValidation>
    <dataValidation type="list" allowBlank="1" showErrorMessage="1" sqref="A6:A202 A204:A414">
      <formula1>"Биг-Л,Смарт-Сэйл,"" """</formula1>
    </dataValidation>
  </dataValidations>
  <hyperlinks>
    <hyperlink r:id="rId4" location="gid=1985852842" ref="BW3"/>
    <hyperlink r:id="rId5" location="gid=1985852842" ref="CA3"/>
    <hyperlink r:id="rId6" location="gid=1985852842" ref="CF3"/>
    <hyperlink r:id="rId7" location="gid=583249148" ref="CM3"/>
    <hyperlink r:id="rId8" ref="BO4"/>
    <hyperlink r:id="rId9" ref="AP6"/>
    <hyperlink r:id="rId10" ref="AQ6"/>
    <hyperlink r:id="rId11" ref="BO6"/>
    <hyperlink r:id="rId12" ref="CC6"/>
    <hyperlink r:id="rId13" ref="CH6"/>
    <hyperlink r:id="rId14" ref="AP7"/>
    <hyperlink r:id="rId15" ref="AQ7"/>
    <hyperlink r:id="rId16" ref="AR7"/>
    <hyperlink r:id="rId17" ref="BO7"/>
    <hyperlink r:id="rId18" ref="CC7"/>
    <hyperlink r:id="rId19" ref="CF7"/>
    <hyperlink r:id="rId20" ref="AP8"/>
    <hyperlink r:id="rId21" ref="AQ8"/>
    <hyperlink r:id="rId22" ref="AR8"/>
    <hyperlink r:id="rId23" ref="BO8"/>
    <hyperlink r:id="rId24" ref="CC8"/>
    <hyperlink r:id="rId25" ref="CF8"/>
    <hyperlink r:id="rId26" ref="AP9"/>
    <hyperlink r:id="rId27" ref="AQ9"/>
    <hyperlink r:id="rId28" ref="AR9"/>
    <hyperlink r:id="rId29" ref="AP10"/>
    <hyperlink r:id="rId30" ref="AQ10"/>
    <hyperlink r:id="rId31" ref="AR10"/>
    <hyperlink r:id="rId32" ref="BO10"/>
    <hyperlink r:id="rId33" ref="CC10"/>
    <hyperlink r:id="rId34" ref="CF10"/>
    <hyperlink r:id="rId35" ref="AP11"/>
    <hyperlink r:id="rId36" ref="AQ11"/>
    <hyperlink r:id="rId37" ref="AR11"/>
    <hyperlink r:id="rId38" ref="BO11"/>
    <hyperlink r:id="rId39" ref="AP12"/>
    <hyperlink r:id="rId40" ref="AQ12"/>
    <hyperlink r:id="rId41" ref="AR12"/>
    <hyperlink r:id="rId42" ref="BO12"/>
    <hyperlink r:id="rId43" ref="CC12"/>
    <hyperlink r:id="rId44" ref="CF12"/>
    <hyperlink r:id="rId45" ref="BO13"/>
    <hyperlink r:id="rId46" ref="CC13"/>
    <hyperlink r:id="rId47" ref="AP14"/>
    <hyperlink r:id="rId48" ref="AQ14"/>
    <hyperlink r:id="rId49" ref="AR14"/>
    <hyperlink r:id="rId50" ref="BO14"/>
    <hyperlink r:id="rId51" ref="CC14"/>
    <hyperlink r:id="rId52" ref="CF14"/>
    <hyperlink r:id="rId53" ref="AP15"/>
    <hyperlink r:id="rId54" ref="AQ15"/>
    <hyperlink r:id="rId55" ref="AR15"/>
    <hyperlink r:id="rId56" ref="BO15"/>
    <hyperlink r:id="rId57" ref="AP16"/>
    <hyperlink r:id="rId58" ref="AQ16"/>
    <hyperlink r:id="rId59" ref="AR16"/>
    <hyperlink r:id="rId60" ref="AU16"/>
    <hyperlink r:id="rId61" ref="BO16"/>
    <hyperlink r:id="rId62" ref="CC16"/>
    <hyperlink r:id="rId63" ref="AP17"/>
    <hyperlink r:id="rId64" ref="AQ17"/>
    <hyperlink r:id="rId65" ref="AR17"/>
    <hyperlink r:id="rId66" ref="AS17"/>
    <hyperlink r:id="rId67" ref="AT17"/>
    <hyperlink r:id="rId68" ref="BO17"/>
    <hyperlink r:id="rId69" ref="CH17"/>
    <hyperlink r:id="rId70" ref="AP18"/>
    <hyperlink r:id="rId71" ref="AQ18"/>
    <hyperlink r:id="rId72" ref="AR18"/>
    <hyperlink r:id="rId73" ref="AT18"/>
    <hyperlink r:id="rId74" ref="BO18"/>
    <hyperlink r:id="rId75" ref="AP19"/>
    <hyperlink r:id="rId76" ref="AQ19"/>
    <hyperlink r:id="rId77" ref="AR19"/>
    <hyperlink r:id="rId78" ref="AS19"/>
    <hyperlink r:id="rId79" ref="BO19"/>
    <hyperlink r:id="rId80" ref="AP20"/>
    <hyperlink r:id="rId81" ref="AQ20"/>
    <hyperlink r:id="rId82" ref="BO20"/>
    <hyperlink r:id="rId83" ref="AP21"/>
    <hyperlink r:id="rId84" ref="AQ21"/>
    <hyperlink r:id="rId85" ref="AR21"/>
    <hyperlink r:id="rId86" ref="AS21"/>
    <hyperlink r:id="rId87" ref="BO21"/>
    <hyperlink r:id="rId88" ref="AP22"/>
    <hyperlink r:id="rId89" ref="AQ22"/>
    <hyperlink r:id="rId90" ref="AR22"/>
    <hyperlink r:id="rId91" ref="AS22"/>
    <hyperlink r:id="rId92" ref="BO22"/>
    <hyperlink r:id="rId93" ref="AP23"/>
    <hyperlink r:id="rId94" ref="AQ23"/>
    <hyperlink r:id="rId95" ref="AR23"/>
    <hyperlink r:id="rId96" ref="BO23"/>
    <hyperlink r:id="rId97" ref="CH23"/>
    <hyperlink r:id="rId98" ref="AP24"/>
    <hyperlink r:id="rId99" ref="AQ24"/>
    <hyperlink r:id="rId100" ref="AP25"/>
    <hyperlink r:id="rId101" ref="AQ25"/>
    <hyperlink r:id="rId102" ref="AR25"/>
    <hyperlink r:id="rId103" ref="AS25"/>
    <hyperlink r:id="rId104" ref="BO25"/>
    <hyperlink r:id="rId105" ref="AP26"/>
    <hyperlink r:id="rId106" ref="AQ26"/>
    <hyperlink r:id="rId107" ref="AR26"/>
    <hyperlink r:id="rId108" ref="AS26"/>
    <hyperlink r:id="rId109" ref="BO26"/>
    <hyperlink r:id="rId110" ref="CH26"/>
    <hyperlink r:id="rId111" ref="AP27"/>
    <hyperlink r:id="rId112" ref="AQ27"/>
    <hyperlink r:id="rId113" ref="AP28"/>
    <hyperlink r:id="rId114" ref="AQ28"/>
    <hyperlink r:id="rId115" ref="AP29"/>
    <hyperlink r:id="rId116" ref="AQ29"/>
    <hyperlink r:id="rId117" ref="AP30"/>
    <hyperlink r:id="rId118" ref="AQ30"/>
    <hyperlink r:id="rId119" ref="AR30"/>
    <hyperlink r:id="rId120" ref="AT30"/>
    <hyperlink r:id="rId121" ref="BO30"/>
    <hyperlink r:id="rId122" ref="AP31"/>
    <hyperlink r:id="rId123" ref="AQ31"/>
    <hyperlink r:id="rId124" ref="AR31"/>
    <hyperlink r:id="rId125" ref="AT31"/>
    <hyperlink r:id="rId126" ref="AU31"/>
    <hyperlink r:id="rId127" ref="BO31"/>
    <hyperlink r:id="rId128" ref="CH31"/>
    <hyperlink r:id="rId129" ref="AP32"/>
    <hyperlink r:id="rId130" ref="AQ32"/>
    <hyperlink r:id="rId131" ref="AR32"/>
    <hyperlink r:id="rId132" ref="BO32"/>
    <hyperlink r:id="rId133" ref="CH32"/>
    <hyperlink r:id="rId134" ref="AP33"/>
    <hyperlink r:id="rId135" ref="AQ33"/>
    <hyperlink r:id="rId136" ref="AR33"/>
    <hyperlink r:id="rId137" ref="BO33"/>
    <hyperlink r:id="rId138" ref="AP34"/>
    <hyperlink r:id="rId139" ref="AQ34"/>
    <hyperlink r:id="rId140" ref="AR34"/>
    <hyperlink r:id="rId141" ref="BO34"/>
    <hyperlink r:id="rId142" ref="CH34"/>
    <hyperlink r:id="rId143" ref="AP35"/>
    <hyperlink r:id="rId144" ref="AQ35"/>
    <hyperlink r:id="rId145" ref="AR35"/>
    <hyperlink r:id="rId146" ref="BO35"/>
    <hyperlink r:id="rId147" ref="AP36"/>
    <hyperlink r:id="rId148" ref="AQ36"/>
    <hyperlink r:id="rId149" ref="AR36"/>
    <hyperlink r:id="rId150" ref="BO36"/>
    <hyperlink r:id="rId151" ref="CH36"/>
    <hyperlink r:id="rId152" ref="AP37"/>
    <hyperlink r:id="rId153" ref="AQ37"/>
    <hyperlink r:id="rId154" ref="AR37"/>
    <hyperlink r:id="rId155" ref="BO37"/>
    <hyperlink r:id="rId156" ref="CC37"/>
    <hyperlink r:id="rId157" ref="CH37"/>
    <hyperlink r:id="rId158" ref="AP38"/>
    <hyperlink r:id="rId159" ref="AQ38"/>
    <hyperlink r:id="rId160" ref="AR38"/>
    <hyperlink r:id="rId161" ref="BO38"/>
    <hyperlink r:id="rId162" ref="AP39"/>
    <hyperlink r:id="rId163" ref="AQ39"/>
    <hyperlink r:id="rId164" ref="AR39"/>
    <hyperlink r:id="rId165" ref="CH39"/>
    <hyperlink r:id="rId166" ref="AP40"/>
    <hyperlink r:id="rId167" ref="AQ40"/>
    <hyperlink r:id="rId168" ref="AR40"/>
    <hyperlink r:id="rId169" ref="AP41"/>
    <hyperlink r:id="rId170" ref="AQ41"/>
    <hyperlink r:id="rId171" ref="AR41"/>
    <hyperlink r:id="rId172" ref="AS41"/>
    <hyperlink r:id="rId173" ref="BO41"/>
    <hyperlink r:id="rId174" ref="AP42"/>
    <hyperlink r:id="rId175" ref="AQ42"/>
    <hyperlink r:id="rId176" ref="AR42"/>
    <hyperlink r:id="rId177" ref="BO42"/>
    <hyperlink r:id="rId178" ref="AP43"/>
    <hyperlink r:id="rId179" ref="AQ43"/>
    <hyperlink r:id="rId180" ref="AR43"/>
    <hyperlink r:id="rId181" ref="BO43"/>
    <hyperlink r:id="rId182" ref="AP44"/>
    <hyperlink r:id="rId183" ref="AQ44"/>
    <hyperlink r:id="rId184" ref="BO44"/>
    <hyperlink r:id="rId185" ref="AP45"/>
    <hyperlink r:id="rId186" ref="AQ45"/>
    <hyperlink r:id="rId187" ref="AR45"/>
    <hyperlink r:id="rId188" ref="BO45"/>
    <hyperlink r:id="rId189" ref="AP46"/>
    <hyperlink r:id="rId190" ref="AQ46"/>
    <hyperlink r:id="rId191" ref="AR46"/>
    <hyperlink r:id="rId192" ref="AP47"/>
    <hyperlink r:id="rId193" ref="AQ47"/>
    <hyperlink r:id="rId194" ref="AR47"/>
    <hyperlink r:id="rId195" ref="AS47"/>
    <hyperlink r:id="rId196" ref="BO47"/>
    <hyperlink r:id="rId197" ref="AP48"/>
    <hyperlink r:id="rId198" ref="AQ48"/>
    <hyperlink r:id="rId199" ref="AP49"/>
    <hyperlink r:id="rId200" ref="AQ49"/>
    <hyperlink r:id="rId201" ref="AR49"/>
    <hyperlink r:id="rId202" ref="AS49"/>
    <hyperlink r:id="rId203" ref="BO49"/>
    <hyperlink r:id="rId204" ref="CH49"/>
    <hyperlink r:id="rId205" ref="AP50"/>
    <hyperlink r:id="rId206" ref="AQ50"/>
    <hyperlink r:id="rId207" ref="AR50"/>
    <hyperlink r:id="rId208" ref="AS50"/>
    <hyperlink r:id="rId209" ref="BO50"/>
    <hyperlink r:id="rId210" ref="CH50"/>
    <hyperlink r:id="rId211" ref="AP51"/>
    <hyperlink r:id="rId212" ref="AQ51"/>
    <hyperlink r:id="rId213" ref="AR51"/>
    <hyperlink r:id="rId214" ref="AP52"/>
    <hyperlink r:id="rId215" ref="AQ52"/>
    <hyperlink r:id="rId216" ref="BO52"/>
    <hyperlink r:id="rId217" ref="CC52"/>
    <hyperlink r:id="rId218" ref="CH52"/>
    <hyperlink r:id="rId219" ref="AP53"/>
    <hyperlink r:id="rId220" ref="AQ53"/>
    <hyperlink r:id="rId221" ref="AR53"/>
    <hyperlink r:id="rId222" ref="BO53"/>
    <hyperlink r:id="rId223" ref="AP54"/>
    <hyperlink r:id="rId224" ref="AQ54"/>
    <hyperlink r:id="rId225" ref="AR54"/>
    <hyperlink r:id="rId226" ref="BO54"/>
    <hyperlink r:id="rId227" ref="AP55"/>
    <hyperlink r:id="rId228" ref="AQ55"/>
    <hyperlink r:id="rId229" ref="BO55"/>
    <hyperlink r:id="rId230" ref="AP56"/>
    <hyperlink r:id="rId231" ref="AQ56"/>
    <hyperlink r:id="rId232" ref="AR56"/>
    <hyperlink r:id="rId233" ref="BO56"/>
    <hyperlink r:id="rId234" ref="CH56"/>
    <hyperlink r:id="rId235" ref="AP57"/>
    <hyperlink r:id="rId236" ref="AQ57"/>
    <hyperlink r:id="rId237" ref="AR57"/>
    <hyperlink r:id="rId238" ref="AS57"/>
    <hyperlink r:id="rId239" ref="BO57"/>
    <hyperlink r:id="rId240" ref="CC57"/>
    <hyperlink r:id="rId241" ref="AP58"/>
    <hyperlink r:id="rId242" ref="AQ58"/>
    <hyperlink r:id="rId243" ref="AR58"/>
    <hyperlink r:id="rId244" ref="AS58"/>
    <hyperlink r:id="rId245" ref="BO58"/>
    <hyperlink r:id="rId246" ref="AP59"/>
    <hyperlink r:id="rId247" ref="AQ59"/>
    <hyperlink r:id="rId248" ref="AR59"/>
    <hyperlink r:id="rId249" ref="BO59"/>
    <hyperlink r:id="rId250" ref="AP60"/>
    <hyperlink r:id="rId251" ref="AQ60"/>
    <hyperlink r:id="rId252" ref="AR60"/>
    <hyperlink r:id="rId253" ref="BO60"/>
    <hyperlink r:id="rId254" ref="AP61"/>
    <hyperlink r:id="rId255" ref="AQ61"/>
    <hyperlink r:id="rId256" ref="AR61"/>
    <hyperlink r:id="rId257" ref="AS61"/>
    <hyperlink r:id="rId258" ref="AP62"/>
    <hyperlink r:id="rId259" ref="AQ62"/>
    <hyperlink r:id="rId260" ref="AR62"/>
    <hyperlink r:id="rId261" ref="AS62"/>
    <hyperlink r:id="rId262" ref="BO62"/>
    <hyperlink r:id="rId263" ref="AP63"/>
    <hyperlink r:id="rId264" ref="AQ63"/>
    <hyperlink r:id="rId265" ref="AR63"/>
    <hyperlink r:id="rId266" ref="CC63"/>
    <hyperlink r:id="rId267" ref="CH63"/>
    <hyperlink r:id="rId268" ref="AP64"/>
    <hyperlink r:id="rId269" ref="AQ64"/>
    <hyperlink r:id="rId270" ref="BO64"/>
    <hyperlink r:id="rId271" ref="AP65"/>
    <hyperlink r:id="rId272" ref="AQ65"/>
    <hyperlink r:id="rId273" ref="AR65"/>
    <hyperlink r:id="rId274" ref="AS65"/>
    <hyperlink r:id="rId275" ref="BO65"/>
    <hyperlink r:id="rId276" ref="AP66"/>
    <hyperlink r:id="rId277" ref="AQ66"/>
    <hyperlink r:id="rId278" ref="AR66"/>
    <hyperlink r:id="rId279" ref="BO66"/>
    <hyperlink r:id="rId280" ref="AP67"/>
    <hyperlink r:id="rId281" ref="AQ67"/>
    <hyperlink r:id="rId282" ref="AR67"/>
    <hyperlink r:id="rId283" ref="AP68"/>
    <hyperlink r:id="rId284" ref="AQ68"/>
    <hyperlink r:id="rId285" ref="AR68"/>
    <hyperlink r:id="rId286" ref="BO68"/>
    <hyperlink r:id="rId287" ref="AP69"/>
    <hyperlink r:id="rId288" ref="AQ69"/>
    <hyperlink r:id="rId289" ref="AR69"/>
    <hyperlink r:id="rId290" ref="BO69"/>
    <hyperlink r:id="rId291" ref="AP70"/>
    <hyperlink r:id="rId292" ref="AQ70"/>
    <hyperlink r:id="rId293" ref="AR70"/>
    <hyperlink r:id="rId294" ref="BO70"/>
    <hyperlink r:id="rId295" ref="CF70"/>
    <hyperlink r:id="rId296" ref="AP71"/>
    <hyperlink r:id="rId297" ref="AQ71"/>
    <hyperlink r:id="rId298" ref="AR71"/>
    <hyperlink r:id="rId299" ref="AP72"/>
    <hyperlink r:id="rId300" ref="AQ72"/>
    <hyperlink r:id="rId301" ref="AR72"/>
    <hyperlink r:id="rId302" ref="CC72"/>
    <hyperlink r:id="rId303" ref="AP73"/>
    <hyperlink r:id="rId304" ref="AQ73"/>
    <hyperlink r:id="rId305" ref="AR73"/>
    <hyperlink r:id="rId306" ref="CC73"/>
    <hyperlink r:id="rId307" ref="AP74"/>
    <hyperlink r:id="rId308" ref="AQ74"/>
    <hyperlink r:id="rId309" ref="AR74"/>
    <hyperlink r:id="rId310" ref="CC74"/>
    <hyperlink r:id="rId311" ref="AP75"/>
    <hyperlink r:id="rId312" ref="AQ75"/>
    <hyperlink r:id="rId313" ref="AR75"/>
    <hyperlink r:id="rId314" ref="AP76"/>
    <hyperlink r:id="rId315" ref="AQ76"/>
    <hyperlink r:id="rId316" ref="AR76"/>
    <hyperlink r:id="rId317" ref="AP77"/>
    <hyperlink r:id="rId318" ref="AQ77"/>
    <hyperlink r:id="rId319" ref="AR77"/>
    <hyperlink r:id="rId320" ref="BO77"/>
    <hyperlink r:id="rId321" ref="AP78"/>
    <hyperlink r:id="rId322" ref="AQ78"/>
    <hyperlink r:id="rId323" ref="AR78"/>
    <hyperlink r:id="rId324" ref="BO78"/>
    <hyperlink r:id="rId325" ref="AP79"/>
    <hyperlink r:id="rId326" ref="AQ79"/>
    <hyperlink r:id="rId327" ref="AR79"/>
    <hyperlink r:id="rId328" ref="AP80"/>
    <hyperlink r:id="rId329" ref="AQ80"/>
    <hyperlink r:id="rId330" ref="AR80"/>
    <hyperlink r:id="rId331" ref="BO80"/>
    <hyperlink r:id="rId332" ref="AP81"/>
    <hyperlink r:id="rId333" ref="AQ81"/>
    <hyperlink r:id="rId334" ref="AP82"/>
    <hyperlink r:id="rId335" ref="AQ82"/>
    <hyperlink r:id="rId336" ref="AR82"/>
    <hyperlink r:id="rId337" ref="AT82"/>
    <hyperlink r:id="rId338" ref="AU82"/>
    <hyperlink r:id="rId339" ref="BO82"/>
    <hyperlink r:id="rId340" ref="AP83"/>
    <hyperlink r:id="rId341" ref="AQ83"/>
    <hyperlink r:id="rId342" ref="AR83"/>
    <hyperlink r:id="rId343" ref="AT83"/>
    <hyperlink r:id="rId344" ref="BO83"/>
    <hyperlink r:id="rId345" ref="AP84"/>
    <hyperlink r:id="rId346" ref="AQ84"/>
    <hyperlink r:id="rId347" ref="AR84"/>
    <hyperlink r:id="rId348" ref="AT84"/>
    <hyperlink r:id="rId349" ref="CH84"/>
    <hyperlink r:id="rId350" ref="AP85"/>
    <hyperlink r:id="rId351" ref="AQ85"/>
    <hyperlink r:id="rId352" ref="AR85"/>
    <hyperlink r:id="rId353" ref="AS85"/>
    <hyperlink r:id="rId354" ref="AT85"/>
    <hyperlink r:id="rId355" ref="AU85"/>
    <hyperlink r:id="rId356" ref="BO85"/>
    <hyperlink r:id="rId357" ref="AQ86"/>
    <hyperlink r:id="rId358" ref="AT86"/>
    <hyperlink r:id="rId359" ref="AU86"/>
    <hyperlink r:id="rId360" ref="BO86"/>
    <hyperlink r:id="rId361" ref="CC86"/>
    <hyperlink r:id="rId362" ref="CH86"/>
    <hyperlink r:id="rId363" ref="AP87"/>
    <hyperlink r:id="rId364" ref="AQ87"/>
    <hyperlink r:id="rId365" ref="AR87"/>
    <hyperlink r:id="rId366" ref="CH87"/>
    <hyperlink r:id="rId367" ref="AP88"/>
    <hyperlink r:id="rId368" ref="AQ88"/>
    <hyperlink r:id="rId369" ref="AR88"/>
    <hyperlink r:id="rId370" ref="BO88"/>
    <hyperlink r:id="rId371" ref="CH88"/>
    <hyperlink r:id="rId372" ref="AP89"/>
    <hyperlink r:id="rId373" ref="AQ89"/>
    <hyperlink r:id="rId374" ref="AP90"/>
    <hyperlink r:id="rId375" ref="AQ90"/>
    <hyperlink r:id="rId376" ref="AR90"/>
    <hyperlink r:id="rId377" ref="AS90"/>
    <hyperlink r:id="rId378" ref="BO90"/>
    <hyperlink r:id="rId379" ref="CH90"/>
    <hyperlink r:id="rId380" ref="AP91"/>
    <hyperlink r:id="rId381" ref="AQ91"/>
    <hyperlink r:id="rId382" ref="AR91"/>
    <hyperlink r:id="rId383" ref="BO91"/>
    <hyperlink r:id="rId384" ref="AP92"/>
    <hyperlink r:id="rId385" ref="AQ92"/>
    <hyperlink r:id="rId386" ref="AR92"/>
    <hyperlink r:id="rId387" ref="BO92"/>
    <hyperlink r:id="rId388" ref="AP93"/>
    <hyperlink r:id="rId389" ref="AQ93"/>
    <hyperlink r:id="rId390" ref="AR93"/>
    <hyperlink r:id="rId391" ref="BO93"/>
    <hyperlink r:id="rId392" ref="CH93"/>
    <hyperlink r:id="rId393" ref="AP94"/>
    <hyperlink r:id="rId394" ref="AQ94"/>
    <hyperlink r:id="rId395" ref="AR94"/>
    <hyperlink r:id="rId396" ref="AT94"/>
    <hyperlink r:id="rId397" ref="BO94"/>
    <hyperlink r:id="rId398" ref="CC94"/>
    <hyperlink r:id="rId399" ref="AP95"/>
    <hyperlink r:id="rId400" ref="AQ95"/>
    <hyperlink r:id="rId401" ref="AR95"/>
    <hyperlink r:id="rId402" ref="AP96"/>
    <hyperlink r:id="rId403" ref="AQ96"/>
    <hyperlink r:id="rId404" ref="AR96"/>
    <hyperlink r:id="rId405" ref="BO96"/>
    <hyperlink r:id="rId406" ref="CC96"/>
    <hyperlink r:id="rId407" ref="AP97"/>
    <hyperlink r:id="rId408" ref="AQ97"/>
    <hyperlink r:id="rId409" ref="AR97"/>
    <hyperlink r:id="rId410" ref="AS97"/>
    <hyperlink r:id="rId411" ref="BO97"/>
    <hyperlink r:id="rId412" ref="AP98"/>
    <hyperlink r:id="rId413" ref="AQ98"/>
    <hyperlink r:id="rId414" ref="AR98"/>
    <hyperlink r:id="rId415" ref="CC98"/>
    <hyperlink r:id="rId416" ref="AP99"/>
    <hyperlink r:id="rId417" ref="AQ99"/>
    <hyperlink r:id="rId418" ref="AR99"/>
    <hyperlink r:id="rId419" ref="BO99"/>
    <hyperlink r:id="rId420" ref="CH99"/>
    <hyperlink r:id="rId421" ref="AP100"/>
    <hyperlink r:id="rId422" ref="AQ100"/>
    <hyperlink r:id="rId423" ref="AR100"/>
    <hyperlink r:id="rId424" ref="BO100"/>
    <hyperlink r:id="rId425" ref="AP101"/>
    <hyperlink r:id="rId426" ref="AQ101"/>
    <hyperlink r:id="rId427" ref="AR101"/>
    <hyperlink r:id="rId428" ref="BO101"/>
    <hyperlink r:id="rId429" ref="AP102"/>
    <hyperlink r:id="rId430" ref="AQ102"/>
    <hyperlink r:id="rId431" ref="AR102"/>
    <hyperlink r:id="rId432" ref="AP103"/>
    <hyperlink r:id="rId433" ref="AQ103"/>
    <hyperlink r:id="rId434" ref="AR103"/>
    <hyperlink r:id="rId435" ref="BO103"/>
    <hyperlink r:id="rId436" ref="AP104"/>
    <hyperlink r:id="rId437" ref="AQ104"/>
    <hyperlink r:id="rId438" ref="AR104"/>
    <hyperlink r:id="rId439" ref="AP105"/>
    <hyperlink r:id="rId440" ref="AQ105"/>
    <hyperlink r:id="rId441" ref="AR105"/>
    <hyperlink r:id="rId442" ref="BO105"/>
    <hyperlink r:id="rId443" ref="AP106"/>
    <hyperlink r:id="rId444" ref="AQ106"/>
    <hyperlink r:id="rId445" ref="AR106"/>
    <hyperlink r:id="rId446" ref="AT106"/>
    <hyperlink r:id="rId447" ref="BO106"/>
    <hyperlink r:id="rId448" ref="AP107"/>
    <hyperlink r:id="rId449" ref="AQ107"/>
    <hyperlink r:id="rId450" ref="AR107"/>
    <hyperlink r:id="rId451" ref="BO107"/>
    <hyperlink r:id="rId452" ref="CH107"/>
    <hyperlink r:id="rId453" ref="AP108"/>
    <hyperlink r:id="rId454" ref="AQ108"/>
    <hyperlink r:id="rId455" ref="AR108"/>
    <hyperlink r:id="rId456" ref="BO108"/>
    <hyperlink r:id="rId457" ref="AP109"/>
    <hyperlink r:id="rId458" ref="AQ109"/>
    <hyperlink r:id="rId459" ref="AR109"/>
    <hyperlink r:id="rId460" ref="BO109"/>
    <hyperlink r:id="rId461" ref="AP110"/>
    <hyperlink r:id="rId462" ref="AQ110"/>
    <hyperlink r:id="rId463" ref="AR110"/>
    <hyperlink r:id="rId464" ref="BO110"/>
    <hyperlink r:id="rId465" ref="CH110"/>
    <hyperlink r:id="rId466" ref="AP111"/>
    <hyperlink r:id="rId467" ref="AQ111"/>
    <hyperlink r:id="rId468" ref="AP112"/>
    <hyperlink r:id="rId469" ref="AQ112"/>
    <hyperlink r:id="rId470" ref="AR112"/>
    <hyperlink r:id="rId471" ref="AP113"/>
    <hyperlink r:id="rId472" ref="AQ113"/>
    <hyperlink r:id="rId473" ref="AP114"/>
    <hyperlink r:id="rId474" ref="AQ114"/>
    <hyperlink r:id="rId475" ref="AP115"/>
    <hyperlink r:id="rId476" ref="AQ115"/>
    <hyperlink r:id="rId477" ref="AR115"/>
    <hyperlink r:id="rId478" ref="BO115"/>
    <hyperlink r:id="rId479" ref="AP116"/>
    <hyperlink r:id="rId480" ref="AQ116"/>
    <hyperlink r:id="rId481" ref="BO116"/>
    <hyperlink r:id="rId482" ref="AP117"/>
    <hyperlink r:id="rId483" ref="AP118"/>
    <hyperlink r:id="rId484" ref="AQ118"/>
    <hyperlink r:id="rId485" ref="BO118"/>
    <hyperlink r:id="rId486" ref="AP119"/>
    <hyperlink r:id="rId487" ref="AQ119"/>
    <hyperlink r:id="rId488" ref="AP120"/>
    <hyperlink r:id="rId489" ref="AQ120"/>
    <hyperlink r:id="rId490" ref="AP121"/>
    <hyperlink r:id="rId491" ref="AQ121"/>
    <hyperlink r:id="rId492" ref="AR121"/>
    <hyperlink r:id="rId493" ref="AP122"/>
    <hyperlink r:id="rId494" ref="AQ122"/>
    <hyperlink r:id="rId495" ref="AR122"/>
    <hyperlink r:id="rId496" ref="AP123"/>
    <hyperlink r:id="rId497" ref="AQ123"/>
    <hyperlink r:id="rId498" ref="AP124"/>
    <hyperlink r:id="rId499" ref="AQ124"/>
    <hyperlink r:id="rId500" ref="BO124"/>
    <hyperlink r:id="rId501" ref="AP125"/>
    <hyperlink r:id="rId502" ref="AQ125"/>
    <hyperlink r:id="rId503" ref="AP126"/>
    <hyperlink r:id="rId504" ref="AQ126"/>
    <hyperlink r:id="rId505" ref="AR126"/>
    <hyperlink r:id="rId506" ref="AP127"/>
    <hyperlink r:id="rId507" ref="AQ127"/>
    <hyperlink r:id="rId508" ref="AR127"/>
    <hyperlink r:id="rId509" ref="AP128"/>
    <hyperlink r:id="rId510" ref="AQ128"/>
    <hyperlink r:id="rId511" ref="AP129"/>
    <hyperlink r:id="rId512" ref="AQ129"/>
    <hyperlink r:id="rId513" ref="AP130"/>
    <hyperlink r:id="rId514" ref="AQ130"/>
    <hyperlink r:id="rId515" ref="AP131"/>
    <hyperlink r:id="rId516" ref="AQ131"/>
    <hyperlink r:id="rId517" ref="AP132"/>
    <hyperlink r:id="rId518" ref="AQ132"/>
    <hyperlink r:id="rId519" ref="AP133"/>
    <hyperlink r:id="rId520" ref="AQ133"/>
    <hyperlink r:id="rId521" ref="AP134"/>
    <hyperlink r:id="rId522" ref="AQ134"/>
    <hyperlink r:id="rId523" ref="AP135"/>
    <hyperlink r:id="rId524" ref="AQ135"/>
    <hyperlink r:id="rId525" ref="AP136"/>
    <hyperlink r:id="rId526" ref="AQ136"/>
    <hyperlink r:id="rId527" ref="AP137"/>
    <hyperlink r:id="rId528" ref="AQ137"/>
    <hyperlink r:id="rId529" ref="AP138"/>
    <hyperlink r:id="rId530" ref="AQ138"/>
    <hyperlink r:id="rId531" ref="AP139"/>
    <hyperlink r:id="rId532" ref="AQ139"/>
    <hyperlink r:id="rId533" ref="AP141"/>
    <hyperlink r:id="rId534" ref="AQ141"/>
    <hyperlink r:id="rId535" ref="AP142"/>
    <hyperlink r:id="rId536" ref="AQ142"/>
    <hyperlink r:id="rId537" ref="AP143"/>
    <hyperlink r:id="rId538" ref="AQ143"/>
    <hyperlink r:id="rId539" ref="AR143"/>
    <hyperlink r:id="rId540" ref="AP144"/>
    <hyperlink r:id="rId541" ref="AQ144"/>
    <hyperlink r:id="rId542" ref="AP145"/>
    <hyperlink r:id="rId543" ref="AQ145"/>
    <hyperlink r:id="rId544" ref="AP146"/>
    <hyperlink r:id="rId545" ref="AQ146"/>
    <hyperlink r:id="rId546" ref="AP147"/>
    <hyperlink r:id="rId547" ref="AQ147"/>
    <hyperlink r:id="rId548" ref="AP148"/>
    <hyperlink r:id="rId549" ref="AQ148"/>
    <hyperlink r:id="rId550" ref="AP149"/>
    <hyperlink r:id="rId551" ref="AQ149"/>
    <hyperlink r:id="rId552" ref="BO149"/>
    <hyperlink r:id="rId553" ref="AP150"/>
    <hyperlink r:id="rId554" ref="AQ150"/>
    <hyperlink r:id="rId555" ref="AP151"/>
    <hyperlink r:id="rId556" ref="AQ151"/>
    <hyperlink r:id="rId557" ref="AP152"/>
    <hyperlink r:id="rId558" ref="AQ152"/>
    <hyperlink r:id="rId559" ref="AP153"/>
    <hyperlink r:id="rId560" ref="AQ153"/>
    <hyperlink r:id="rId561" ref="AP154"/>
    <hyperlink r:id="rId562" ref="AQ154"/>
    <hyperlink r:id="rId563" ref="AP155"/>
    <hyperlink r:id="rId564" ref="AQ155"/>
    <hyperlink r:id="rId565" ref="AR155"/>
    <hyperlink r:id="rId566" ref="BO155"/>
    <hyperlink r:id="rId567" ref="AP156"/>
    <hyperlink r:id="rId568" ref="AQ156"/>
    <hyperlink r:id="rId569" ref="AP157"/>
    <hyperlink r:id="rId570" ref="AQ157"/>
    <hyperlink r:id="rId571" ref="AP158"/>
    <hyperlink r:id="rId572" ref="AQ158"/>
    <hyperlink r:id="rId573" ref="AP159"/>
    <hyperlink r:id="rId574" ref="AQ159"/>
    <hyperlink r:id="rId575" ref="AP160"/>
    <hyperlink r:id="rId576" ref="AQ160"/>
    <hyperlink r:id="rId577" ref="AP161"/>
    <hyperlink r:id="rId578" ref="AQ162"/>
    <hyperlink r:id="rId579" ref="CC162"/>
    <hyperlink r:id="rId580" ref="AP163"/>
    <hyperlink r:id="rId581" ref="AQ163"/>
    <hyperlink r:id="rId582" ref="AP164"/>
    <hyperlink r:id="rId583" ref="AQ164"/>
    <hyperlink r:id="rId584" ref="AP165"/>
    <hyperlink r:id="rId585" ref="AQ165"/>
    <hyperlink r:id="rId586" ref="AP166"/>
    <hyperlink r:id="rId587" ref="AQ166"/>
    <hyperlink r:id="rId588" ref="AP167"/>
    <hyperlink r:id="rId589" ref="AQ167"/>
    <hyperlink r:id="rId590" ref="AP168"/>
    <hyperlink r:id="rId591" ref="AQ168"/>
    <hyperlink r:id="rId592" ref="AP169"/>
    <hyperlink r:id="rId593" ref="AQ169"/>
    <hyperlink r:id="rId594" ref="AP170"/>
    <hyperlink r:id="rId595" ref="AQ170"/>
    <hyperlink r:id="rId596" ref="AP171"/>
    <hyperlink r:id="rId597" ref="AQ171"/>
    <hyperlink r:id="rId598" ref="AP172"/>
    <hyperlink r:id="rId599" ref="AQ172"/>
    <hyperlink r:id="rId600" ref="AP173"/>
    <hyperlink r:id="rId601" ref="AQ173"/>
    <hyperlink r:id="rId602" ref="AP174"/>
    <hyperlink r:id="rId603" ref="AQ174"/>
    <hyperlink r:id="rId604" ref="AP175"/>
    <hyperlink r:id="rId605" ref="AQ175"/>
    <hyperlink r:id="rId606" ref="AR175"/>
    <hyperlink r:id="rId607" ref="AP176"/>
    <hyperlink r:id="rId608" ref="AQ176"/>
    <hyperlink r:id="rId609" ref="AR176"/>
    <hyperlink r:id="rId610" ref="AP177"/>
    <hyperlink r:id="rId611" ref="AQ177"/>
    <hyperlink r:id="rId612" ref="AR177"/>
    <hyperlink r:id="rId613" ref="AP178"/>
    <hyperlink r:id="rId614" ref="AQ178"/>
    <hyperlink r:id="rId615" ref="AR178"/>
    <hyperlink r:id="rId616" ref="AP179"/>
    <hyperlink r:id="rId617" ref="AQ179"/>
    <hyperlink r:id="rId618" ref="AR179"/>
    <hyperlink r:id="rId619" ref="AP180"/>
    <hyperlink r:id="rId620" ref="AQ180"/>
    <hyperlink r:id="rId621" ref="AR180"/>
    <hyperlink r:id="rId622" ref="AS180"/>
    <hyperlink r:id="rId623" ref="AT180"/>
    <hyperlink r:id="rId624" ref="CH180"/>
    <hyperlink r:id="rId625" ref="AP181"/>
    <hyperlink r:id="rId626" ref="AQ181"/>
    <hyperlink r:id="rId627" ref="AR181"/>
    <hyperlink r:id="rId628" ref="AP182"/>
    <hyperlink r:id="rId629" ref="AQ182"/>
    <hyperlink r:id="rId630" ref="AR182"/>
    <hyperlink r:id="rId631" ref="AT182"/>
    <hyperlink r:id="rId632" ref="AU182"/>
    <hyperlink r:id="rId633" ref="CC182"/>
    <hyperlink r:id="rId634" ref="CH182"/>
    <hyperlink r:id="rId635" ref="AP183"/>
    <hyperlink r:id="rId636" ref="AQ183"/>
    <hyperlink r:id="rId637" ref="AR183"/>
    <hyperlink r:id="rId638" ref="AS183"/>
    <hyperlink r:id="rId639" ref="AT183"/>
    <hyperlink r:id="rId640" ref="AP184"/>
    <hyperlink r:id="rId641" ref="AQ184"/>
    <hyperlink r:id="rId642" ref="AS184"/>
    <hyperlink r:id="rId643" ref="AT184"/>
    <hyperlink r:id="rId644" ref="CH184"/>
    <hyperlink r:id="rId645" ref="AP185"/>
    <hyperlink r:id="rId646" ref="AQ185"/>
    <hyperlink r:id="rId647" ref="AR185"/>
    <hyperlink r:id="rId648" ref="AP186"/>
    <hyperlink r:id="rId649" ref="AQ186"/>
    <hyperlink r:id="rId650" ref="AR186"/>
    <hyperlink r:id="rId651" ref="AP187"/>
    <hyperlink r:id="rId652" ref="AQ187"/>
    <hyperlink r:id="rId653" ref="AR187"/>
    <hyperlink r:id="rId654" ref="AP188"/>
    <hyperlink r:id="rId655" ref="AQ188"/>
    <hyperlink r:id="rId656" ref="AR188"/>
    <hyperlink r:id="rId657" ref="AP189"/>
    <hyperlink r:id="rId658" ref="AQ189"/>
    <hyperlink r:id="rId659" ref="AR189"/>
    <hyperlink r:id="rId660" ref="AS189"/>
    <hyperlink r:id="rId661" ref="AT189"/>
    <hyperlink r:id="rId662" ref="AU189"/>
    <hyperlink r:id="rId663" ref="CH189"/>
    <hyperlink r:id="rId664" ref="AP190"/>
    <hyperlink r:id="rId665" ref="AQ190"/>
    <hyperlink r:id="rId666" ref="AR190"/>
    <hyperlink r:id="rId667" ref="AP191"/>
    <hyperlink r:id="rId668" ref="AQ191"/>
    <hyperlink r:id="rId669" ref="AR191"/>
    <hyperlink r:id="rId670" ref="AS191"/>
    <hyperlink r:id="rId671" ref="AT191"/>
    <hyperlink r:id="rId672" ref="AU191"/>
    <hyperlink r:id="rId673" ref="CH191"/>
    <hyperlink r:id="rId674" ref="AP192"/>
    <hyperlink r:id="rId675" ref="AQ192"/>
    <hyperlink r:id="rId676" ref="AR192"/>
    <hyperlink r:id="rId677" ref="CH192"/>
    <hyperlink r:id="rId678" ref="AP193"/>
    <hyperlink r:id="rId679" ref="AQ193"/>
    <hyperlink r:id="rId680" ref="AR193"/>
    <hyperlink r:id="rId681" ref="AP194"/>
    <hyperlink r:id="rId682" ref="AQ194"/>
    <hyperlink r:id="rId683" ref="AR194"/>
    <hyperlink r:id="rId684" ref="AS194"/>
    <hyperlink r:id="rId685" ref="AT194"/>
    <hyperlink r:id="rId686" ref="AU194"/>
    <hyperlink r:id="rId687" ref="CH194"/>
    <hyperlink r:id="rId688" ref="AP195"/>
    <hyperlink r:id="rId689" ref="AQ195"/>
    <hyperlink r:id="rId690" ref="AR195"/>
    <hyperlink r:id="rId691" ref="AS195"/>
    <hyperlink r:id="rId692" ref="AT195"/>
    <hyperlink r:id="rId693" ref="CH195"/>
    <hyperlink r:id="rId694" ref="AP196"/>
    <hyperlink r:id="rId695" ref="AQ196"/>
    <hyperlink r:id="rId696" ref="AR196"/>
    <hyperlink r:id="rId697" ref="AT196"/>
    <hyperlink r:id="rId698" ref="CC196"/>
    <hyperlink r:id="rId699" ref="CH196"/>
    <hyperlink r:id="rId700" ref="AP197"/>
    <hyperlink r:id="rId701" ref="AQ197"/>
    <hyperlink r:id="rId702" ref="AR197"/>
    <hyperlink r:id="rId703" ref="AT197"/>
    <hyperlink r:id="rId704" ref="AU197"/>
    <hyperlink r:id="rId705" ref="CH197"/>
    <hyperlink r:id="rId706" ref="AP198"/>
    <hyperlink r:id="rId707" ref="AQ198"/>
    <hyperlink r:id="rId708" ref="AR198"/>
    <hyperlink r:id="rId709" ref="AS198"/>
    <hyperlink r:id="rId710" ref="AT198"/>
    <hyperlink r:id="rId711" ref="AU198"/>
    <hyperlink r:id="rId712" ref="CH198"/>
    <hyperlink r:id="rId713" ref="AP199"/>
    <hyperlink r:id="rId714" ref="AQ199"/>
    <hyperlink r:id="rId715" ref="AR199"/>
    <hyperlink r:id="rId716" ref="AP200"/>
    <hyperlink r:id="rId717" ref="AQ200"/>
    <hyperlink r:id="rId718" ref="AR200"/>
    <hyperlink r:id="rId719" ref="AP201"/>
    <hyperlink r:id="rId720" ref="AQ201"/>
    <hyperlink r:id="rId721" ref="AR201"/>
    <hyperlink r:id="rId722" ref="AP202"/>
    <hyperlink r:id="rId723" ref="AQ202"/>
    <hyperlink r:id="rId724" ref="AR202"/>
    <hyperlink r:id="rId725" ref="AS202"/>
    <hyperlink r:id="rId726" ref="AT202"/>
    <hyperlink r:id="rId727" ref="AP204"/>
    <hyperlink r:id="rId728" ref="AQ204"/>
    <hyperlink r:id="rId729" ref="AR204"/>
    <hyperlink r:id="rId730" ref="AP205"/>
    <hyperlink r:id="rId731" ref="AQ205"/>
    <hyperlink r:id="rId732" ref="AR205"/>
    <hyperlink r:id="rId733" ref="AP206"/>
    <hyperlink r:id="rId734" ref="AQ206"/>
    <hyperlink r:id="rId735" ref="AR206"/>
    <hyperlink r:id="rId736" ref="AT206"/>
    <hyperlink r:id="rId737" ref="AP207"/>
    <hyperlink r:id="rId738" ref="AQ207"/>
    <hyperlink r:id="rId739" ref="AR207"/>
    <hyperlink r:id="rId740" ref="AT207"/>
    <hyperlink r:id="rId741" ref="CH207"/>
    <hyperlink r:id="rId742" ref="AP208"/>
    <hyperlink r:id="rId743" ref="AQ208"/>
    <hyperlink r:id="rId744" ref="AR208"/>
    <hyperlink r:id="rId745" ref="AS208"/>
    <hyperlink r:id="rId746" ref="AT208"/>
    <hyperlink r:id="rId747" ref="AP209"/>
    <hyperlink r:id="rId748" ref="AQ209"/>
    <hyperlink r:id="rId749" ref="AR209"/>
    <hyperlink r:id="rId750" ref="AP210"/>
    <hyperlink r:id="rId751" ref="AQ210"/>
    <hyperlink r:id="rId752" ref="AR210"/>
    <hyperlink r:id="rId753" ref="AS210"/>
    <hyperlink r:id="rId754" ref="AT210"/>
    <hyperlink r:id="rId755" ref="AU210"/>
    <hyperlink r:id="rId756" ref="CH210"/>
    <hyperlink r:id="rId757" ref="AP211"/>
    <hyperlink r:id="rId758" ref="AQ211"/>
    <hyperlink r:id="rId759" ref="AR211"/>
    <hyperlink r:id="rId760" ref="AS211"/>
    <hyperlink r:id="rId761" ref="AT211"/>
    <hyperlink r:id="rId762" ref="AP212"/>
    <hyperlink r:id="rId763" ref="AQ212"/>
    <hyperlink r:id="rId764" ref="AR212"/>
    <hyperlink r:id="rId765" ref="AP213"/>
    <hyperlink r:id="rId766" ref="AQ213"/>
    <hyperlink r:id="rId767" ref="AR213"/>
    <hyperlink r:id="rId768" ref="AP214"/>
    <hyperlink r:id="rId769" ref="AQ214"/>
    <hyperlink r:id="rId770" ref="AR214"/>
    <hyperlink r:id="rId771" ref="AS214"/>
    <hyperlink r:id="rId772" ref="AT214"/>
    <hyperlink r:id="rId773" ref="AP215"/>
    <hyperlink r:id="rId774" ref="AQ215"/>
    <hyperlink r:id="rId775" ref="AR215"/>
    <hyperlink r:id="rId776" ref="AT215"/>
    <hyperlink r:id="rId777" ref="CH215"/>
    <hyperlink r:id="rId778" ref="AP216"/>
    <hyperlink r:id="rId779" ref="AQ216"/>
    <hyperlink r:id="rId780" ref="AR216"/>
    <hyperlink r:id="rId781" ref="AP217"/>
    <hyperlink r:id="rId782" ref="AQ217"/>
    <hyperlink r:id="rId783" ref="AR217"/>
    <hyperlink r:id="rId784" ref="AS217"/>
    <hyperlink r:id="rId785" ref="AT217"/>
    <hyperlink r:id="rId786" ref="AP218"/>
    <hyperlink r:id="rId787" ref="AQ218"/>
    <hyperlink r:id="rId788" ref="AR218"/>
    <hyperlink r:id="rId789" ref="AS218"/>
    <hyperlink r:id="rId790" ref="AT218"/>
    <hyperlink r:id="rId791" ref="AU218"/>
    <hyperlink r:id="rId792" ref="AP219"/>
    <hyperlink r:id="rId793" ref="AQ219"/>
    <hyperlink r:id="rId794" ref="AR219"/>
    <hyperlink r:id="rId795" ref="AP220"/>
    <hyperlink r:id="rId796" ref="AQ220"/>
    <hyperlink r:id="rId797" ref="AR220"/>
    <hyperlink r:id="rId798" ref="AP221"/>
    <hyperlink r:id="rId799" ref="AQ221"/>
    <hyperlink r:id="rId800" ref="AR221"/>
    <hyperlink r:id="rId801" ref="AT221"/>
    <hyperlink r:id="rId802" ref="AU221"/>
    <hyperlink r:id="rId803" ref="CH221"/>
    <hyperlink r:id="rId804" ref="AP222"/>
    <hyperlink r:id="rId805" ref="AQ222"/>
    <hyperlink r:id="rId806" ref="AR222"/>
    <hyperlink r:id="rId807" ref="AP223"/>
    <hyperlink r:id="rId808" ref="AQ223"/>
    <hyperlink r:id="rId809" ref="AR223"/>
    <hyperlink r:id="rId810" ref="AS223"/>
    <hyperlink r:id="rId811" ref="AT223"/>
    <hyperlink r:id="rId812" ref="AU223"/>
    <hyperlink r:id="rId813" ref="AP224"/>
    <hyperlink r:id="rId814" ref="AQ224"/>
    <hyperlink r:id="rId815" ref="AR224"/>
    <hyperlink r:id="rId816" ref="AS224"/>
    <hyperlink r:id="rId817" ref="AT224"/>
    <hyperlink r:id="rId818" ref="AP225"/>
    <hyperlink r:id="rId819" ref="AQ225"/>
    <hyperlink r:id="rId820" ref="AR225"/>
    <hyperlink r:id="rId821" ref="AP226"/>
    <hyperlink r:id="rId822" ref="AQ226"/>
    <hyperlink r:id="rId823" ref="AR226"/>
    <hyperlink r:id="rId824" ref="AP227"/>
    <hyperlink r:id="rId825" ref="AQ227"/>
    <hyperlink r:id="rId826" ref="AR227"/>
    <hyperlink r:id="rId827" ref="AT227"/>
    <hyperlink r:id="rId828" ref="AU227"/>
    <hyperlink r:id="rId829" ref="CH227"/>
    <hyperlink r:id="rId830" ref="AP228"/>
    <hyperlink r:id="rId831" ref="AQ228"/>
    <hyperlink r:id="rId832" ref="AR228"/>
    <hyperlink r:id="rId833" ref="AP229"/>
    <hyperlink r:id="rId834" ref="AQ229"/>
    <hyperlink r:id="rId835" ref="AR229"/>
    <hyperlink r:id="rId836" ref="AP230"/>
    <hyperlink r:id="rId837" ref="AQ230"/>
    <hyperlink r:id="rId838" ref="AR230"/>
    <hyperlink r:id="rId839" ref="AS230"/>
    <hyperlink r:id="rId840" ref="AT230"/>
    <hyperlink r:id="rId841" ref="AP231"/>
    <hyperlink r:id="rId842" ref="AQ231"/>
    <hyperlink r:id="rId843" ref="AR231"/>
    <hyperlink r:id="rId844" ref="AP232"/>
    <hyperlink r:id="rId845" ref="AQ232"/>
    <hyperlink r:id="rId846" ref="AR232"/>
    <hyperlink r:id="rId847" ref="AP233"/>
    <hyperlink r:id="rId848" ref="AQ233"/>
    <hyperlink r:id="rId849" ref="AR233"/>
    <hyperlink r:id="rId850" ref="AS233"/>
    <hyperlink r:id="rId851" ref="AT233"/>
    <hyperlink r:id="rId852" ref="AU233"/>
    <hyperlink r:id="rId853" ref="AP234"/>
    <hyperlink r:id="rId854" ref="AQ234"/>
    <hyperlink r:id="rId855" ref="AR234"/>
    <hyperlink r:id="rId856" ref="AP235"/>
    <hyperlink r:id="rId857" ref="AQ235"/>
    <hyperlink r:id="rId858" ref="AR235"/>
    <hyperlink r:id="rId859" ref="AP236"/>
    <hyperlink r:id="rId860" ref="AQ236"/>
    <hyperlink r:id="rId861" ref="AR236"/>
    <hyperlink r:id="rId862" ref="AP237"/>
    <hyperlink r:id="rId863" ref="AQ237"/>
    <hyperlink r:id="rId864" ref="AR237"/>
    <hyperlink r:id="rId865" ref="AT237"/>
    <hyperlink r:id="rId866" ref="AP242"/>
    <hyperlink r:id="rId867" ref="AQ242"/>
    <hyperlink r:id="rId868" ref="AR242"/>
    <hyperlink r:id="rId869" ref="AP243"/>
    <hyperlink r:id="rId870" ref="AQ243"/>
    <hyperlink r:id="rId871" ref="AR243"/>
    <hyperlink r:id="rId872" ref="AP244"/>
    <hyperlink r:id="rId873" ref="AQ244"/>
    <hyperlink r:id="rId874" ref="AR244"/>
    <hyperlink r:id="rId875" ref="AP245"/>
    <hyperlink r:id="rId876" ref="AQ245"/>
    <hyperlink r:id="rId877" ref="AR245"/>
    <hyperlink r:id="rId878" ref="AP246"/>
    <hyperlink r:id="rId879" ref="AQ246"/>
    <hyperlink r:id="rId880" ref="AR246"/>
    <hyperlink r:id="rId881" ref="AP247"/>
    <hyperlink r:id="rId882" ref="AQ247"/>
    <hyperlink r:id="rId883" ref="AR247"/>
    <hyperlink r:id="rId884" ref="AS247"/>
    <hyperlink r:id="rId885" ref="AT247"/>
    <hyperlink r:id="rId886" ref="CH247"/>
    <hyperlink r:id="rId887" ref="AP248"/>
    <hyperlink r:id="rId888" ref="AQ248"/>
    <hyperlink r:id="rId889" ref="AR248"/>
    <hyperlink r:id="rId890" ref="AP249"/>
    <hyperlink r:id="rId891" ref="AQ249"/>
    <hyperlink r:id="rId892" ref="AR249"/>
    <hyperlink r:id="rId893" ref="AP250"/>
    <hyperlink r:id="rId894" ref="AQ250"/>
    <hyperlink r:id="rId895" ref="AP251"/>
    <hyperlink r:id="rId896" ref="AQ251"/>
    <hyperlink r:id="rId897" ref="AR251"/>
    <hyperlink r:id="rId898" ref="AP252"/>
    <hyperlink r:id="rId899" ref="AQ252"/>
    <hyperlink r:id="rId900" ref="AR252"/>
    <hyperlink r:id="rId901" ref="AP253"/>
    <hyperlink r:id="rId902" ref="AQ253"/>
    <hyperlink r:id="rId903" ref="AR253"/>
    <hyperlink r:id="rId904" ref="AP254"/>
    <hyperlink r:id="rId905" ref="AQ254"/>
    <hyperlink r:id="rId906" ref="AR254"/>
    <hyperlink r:id="rId907" ref="AP255"/>
    <hyperlink r:id="rId908" ref="AQ255"/>
    <hyperlink r:id="rId909" ref="AP256"/>
    <hyperlink r:id="rId910" ref="AQ256"/>
    <hyperlink r:id="rId911" ref="AR256"/>
    <hyperlink r:id="rId912" ref="AP257"/>
    <hyperlink r:id="rId913" ref="AQ257"/>
    <hyperlink r:id="rId914" ref="AR257"/>
    <hyperlink r:id="rId915" ref="AP258"/>
    <hyperlink r:id="rId916" ref="AQ258"/>
    <hyperlink r:id="rId917" ref="AP259"/>
    <hyperlink r:id="rId918" ref="AQ259"/>
    <hyperlink r:id="rId919" ref="AR259"/>
    <hyperlink r:id="rId920" ref="AS259"/>
    <hyperlink r:id="rId921" ref="AT259"/>
    <hyperlink r:id="rId922" ref="AU259"/>
    <hyperlink r:id="rId923" ref="AP260"/>
    <hyperlink r:id="rId924" ref="AQ260"/>
    <hyperlink r:id="rId925" ref="AP261"/>
    <hyperlink r:id="rId926" ref="AQ261"/>
    <hyperlink r:id="rId927" ref="AR261"/>
    <hyperlink r:id="rId928" ref="AP262"/>
    <hyperlink r:id="rId929" ref="AQ262"/>
    <hyperlink r:id="rId930" ref="AR262"/>
    <hyperlink r:id="rId931" ref="AP263"/>
    <hyperlink r:id="rId932" ref="AQ263"/>
    <hyperlink r:id="rId933" ref="AR263"/>
    <hyperlink r:id="rId934" ref="AP264"/>
    <hyperlink r:id="rId935" ref="AQ264"/>
    <hyperlink r:id="rId936" ref="AR264"/>
    <hyperlink r:id="rId937" ref="AP265"/>
    <hyperlink r:id="rId938" ref="AQ265"/>
    <hyperlink r:id="rId939" ref="AR265"/>
    <hyperlink r:id="rId940" ref="AP266"/>
    <hyperlink r:id="rId941" ref="AQ266"/>
    <hyperlink r:id="rId942" ref="AR266"/>
    <hyperlink r:id="rId943" ref="AS266"/>
    <hyperlink r:id="rId944" ref="AT266"/>
    <hyperlink r:id="rId945" ref="AU266"/>
    <hyperlink r:id="rId946" ref="AP267"/>
    <hyperlink r:id="rId947" ref="AQ267"/>
    <hyperlink r:id="rId948" ref="AR267"/>
    <hyperlink r:id="rId949" ref="AT267"/>
    <hyperlink r:id="rId950" ref="AU267"/>
    <hyperlink r:id="rId951" ref="AP268"/>
    <hyperlink r:id="rId952" ref="AQ268"/>
    <hyperlink r:id="rId953" ref="AR268"/>
    <hyperlink r:id="rId954" ref="AS268"/>
    <hyperlink r:id="rId955" ref="AT268"/>
    <hyperlink r:id="rId956" ref="AU268"/>
    <hyperlink r:id="rId957" ref="AP269"/>
    <hyperlink r:id="rId958" ref="AQ269"/>
    <hyperlink r:id="rId959" ref="AR269"/>
    <hyperlink r:id="rId960" ref="AS269"/>
    <hyperlink r:id="rId961" ref="AP270"/>
    <hyperlink r:id="rId962" ref="AQ270"/>
    <hyperlink r:id="rId963" ref="AR270"/>
    <hyperlink r:id="rId964" ref="AP271"/>
    <hyperlink r:id="rId965" ref="AQ271"/>
    <hyperlink r:id="rId966" ref="AR271"/>
    <hyperlink r:id="rId967" ref="AP272"/>
    <hyperlink r:id="rId968" ref="AQ272"/>
    <hyperlink r:id="rId969" ref="AR272"/>
    <hyperlink r:id="rId970" ref="AS272"/>
    <hyperlink r:id="rId971" ref="AT272"/>
    <hyperlink r:id="rId972" ref="AP273"/>
    <hyperlink r:id="rId973" ref="AQ273"/>
    <hyperlink r:id="rId974" ref="AR273"/>
    <hyperlink r:id="rId975" ref="AS273"/>
    <hyperlink r:id="rId976" ref="AT273"/>
    <hyperlink r:id="rId977" ref="AP274"/>
    <hyperlink r:id="rId978" ref="AQ274"/>
    <hyperlink r:id="rId979" ref="AR274"/>
    <hyperlink r:id="rId980" ref="AS274"/>
    <hyperlink r:id="rId981" ref="AT274"/>
    <hyperlink r:id="rId982" ref="AP275"/>
    <hyperlink r:id="rId983" ref="AQ275"/>
    <hyperlink r:id="rId984" ref="AR275"/>
    <hyperlink r:id="rId985" ref="AT275"/>
    <hyperlink r:id="rId986" ref="CH275"/>
    <hyperlink r:id="rId987" ref="AP276"/>
    <hyperlink r:id="rId988" ref="AQ276"/>
    <hyperlink r:id="rId989" ref="AR276"/>
    <hyperlink r:id="rId990" ref="AP277"/>
    <hyperlink r:id="rId991" ref="AQ277"/>
    <hyperlink r:id="rId992" ref="AR277"/>
    <hyperlink r:id="rId993" ref="AS277"/>
    <hyperlink r:id="rId994" ref="AU277"/>
    <hyperlink r:id="rId995" ref="AP278"/>
    <hyperlink r:id="rId996" ref="AR278"/>
    <hyperlink r:id="rId997" ref="AP279"/>
    <hyperlink r:id="rId998" ref="AR279"/>
    <hyperlink r:id="rId999" ref="AP280"/>
    <hyperlink r:id="rId1000" ref="AQ280"/>
    <hyperlink r:id="rId1001" ref="AR280"/>
    <hyperlink r:id="rId1002" ref="AT280"/>
    <hyperlink r:id="rId1003" ref="CH280"/>
    <hyperlink r:id="rId1004" ref="AP281"/>
    <hyperlink r:id="rId1005" ref="AQ281"/>
    <hyperlink r:id="rId1006" ref="AR281"/>
    <hyperlink r:id="rId1007" ref="AP282"/>
    <hyperlink r:id="rId1008" ref="AQ282"/>
    <hyperlink r:id="rId1009" ref="AR282"/>
    <hyperlink r:id="rId1010" ref="AP283"/>
    <hyperlink r:id="rId1011" ref="AQ283"/>
    <hyperlink r:id="rId1012" ref="AR283"/>
    <hyperlink r:id="rId1013" ref="AP284"/>
    <hyperlink r:id="rId1014" ref="AQ284"/>
    <hyperlink r:id="rId1015" ref="AR284"/>
    <hyperlink r:id="rId1016" ref="AS284"/>
    <hyperlink r:id="rId1017" ref="AT284"/>
    <hyperlink r:id="rId1018" ref="AP285"/>
    <hyperlink r:id="rId1019" ref="AQ285"/>
    <hyperlink r:id="rId1020" ref="AR285"/>
    <hyperlink r:id="rId1021" ref="AP286"/>
    <hyperlink r:id="rId1022" ref="AQ286"/>
    <hyperlink r:id="rId1023" ref="AR286"/>
    <hyperlink r:id="rId1024" ref="AS286"/>
    <hyperlink r:id="rId1025" ref="AT286"/>
    <hyperlink r:id="rId1026" ref="CH286"/>
    <hyperlink r:id="rId1027" ref="AP287"/>
    <hyperlink r:id="rId1028" ref="AQ287"/>
    <hyperlink r:id="rId1029" ref="AR287"/>
    <hyperlink r:id="rId1030" ref="AP288"/>
    <hyperlink r:id="rId1031" ref="AQ288"/>
    <hyperlink r:id="rId1032" ref="AR288"/>
    <hyperlink r:id="rId1033" ref="AP289"/>
    <hyperlink r:id="rId1034" ref="AQ289"/>
    <hyperlink r:id="rId1035" ref="AR289"/>
    <hyperlink r:id="rId1036" ref="AP290"/>
    <hyperlink r:id="rId1037" ref="AQ290"/>
    <hyperlink r:id="rId1038" ref="AR290"/>
    <hyperlink r:id="rId1039" ref="AP291"/>
    <hyperlink r:id="rId1040" ref="AQ291"/>
    <hyperlink r:id="rId1041" ref="AR291"/>
    <hyperlink r:id="rId1042" ref="AP292"/>
    <hyperlink r:id="rId1043" ref="AQ292"/>
    <hyperlink r:id="rId1044" ref="AR292"/>
    <hyperlink r:id="rId1045" ref="AP293"/>
    <hyperlink r:id="rId1046" ref="AQ293"/>
    <hyperlink r:id="rId1047" ref="AR293"/>
    <hyperlink r:id="rId1048" ref="AP294"/>
    <hyperlink r:id="rId1049" ref="AQ294"/>
    <hyperlink r:id="rId1050" ref="AR294"/>
    <hyperlink r:id="rId1051" ref="AT294"/>
    <hyperlink r:id="rId1052" ref="AU294"/>
    <hyperlink r:id="rId1053" ref="AP295"/>
    <hyperlink r:id="rId1054" ref="AQ295"/>
    <hyperlink r:id="rId1055" ref="AR295"/>
    <hyperlink r:id="rId1056" ref="AP296"/>
    <hyperlink r:id="rId1057" ref="AQ296"/>
    <hyperlink r:id="rId1058" ref="AR296"/>
    <hyperlink r:id="rId1059" ref="AT296"/>
    <hyperlink r:id="rId1060" ref="AU296"/>
    <hyperlink r:id="rId1061" ref="AP297"/>
    <hyperlink r:id="rId1062" ref="AQ297"/>
    <hyperlink r:id="rId1063" ref="AR297"/>
    <hyperlink r:id="rId1064" ref="AP298"/>
    <hyperlink r:id="rId1065" ref="AQ298"/>
    <hyperlink r:id="rId1066" ref="AR298"/>
    <hyperlink r:id="rId1067" ref="AS298"/>
    <hyperlink r:id="rId1068" ref="AP299"/>
    <hyperlink r:id="rId1069" ref="AQ299"/>
    <hyperlink r:id="rId1070" ref="AR299"/>
    <hyperlink r:id="rId1071" ref="AP300"/>
    <hyperlink r:id="rId1072" ref="AQ300"/>
    <hyperlink r:id="rId1073" ref="AR300"/>
    <hyperlink r:id="rId1074" ref="AP301"/>
    <hyperlink r:id="rId1075" ref="AQ301"/>
    <hyperlink r:id="rId1076" ref="AR301"/>
    <hyperlink r:id="rId1077" ref="AP302"/>
    <hyperlink r:id="rId1078" ref="AQ302"/>
    <hyperlink r:id="rId1079" ref="AR302"/>
    <hyperlink r:id="rId1080" ref="AP303"/>
    <hyperlink r:id="rId1081" ref="AQ303"/>
    <hyperlink r:id="rId1082" ref="AR303"/>
    <hyperlink r:id="rId1083" ref="AP304"/>
    <hyperlink r:id="rId1084" ref="AQ304"/>
    <hyperlink r:id="rId1085" ref="AR304"/>
    <hyperlink r:id="rId1086" ref="AS304"/>
    <hyperlink r:id="rId1087" ref="AT304"/>
    <hyperlink r:id="rId1088" ref="AU304"/>
    <hyperlink r:id="rId1089" ref="AP305"/>
    <hyperlink r:id="rId1090" ref="AQ305"/>
    <hyperlink r:id="rId1091" ref="AP306"/>
    <hyperlink r:id="rId1092" ref="AQ306"/>
    <hyperlink r:id="rId1093" ref="AR306"/>
    <hyperlink r:id="rId1094" ref="AP307"/>
    <hyperlink r:id="rId1095" ref="AQ307"/>
    <hyperlink r:id="rId1096" ref="AP308"/>
    <hyperlink r:id="rId1097" ref="AQ308"/>
    <hyperlink r:id="rId1098" ref="AR308"/>
    <hyperlink r:id="rId1099" ref="AP309"/>
    <hyperlink r:id="rId1100" ref="AQ309"/>
    <hyperlink r:id="rId1101" ref="CC309"/>
    <hyperlink r:id="rId1102" ref="AP310"/>
    <hyperlink r:id="rId1103" ref="AQ310"/>
    <hyperlink r:id="rId1104" ref="AR310"/>
    <hyperlink r:id="rId1105" ref="AP311"/>
    <hyperlink r:id="rId1106" ref="AQ311"/>
    <hyperlink r:id="rId1107" ref="AR311"/>
    <hyperlink r:id="rId1108" ref="AQ313"/>
    <hyperlink r:id="rId1109" ref="CC313"/>
    <hyperlink r:id="rId1110" ref="CH313"/>
    <hyperlink r:id="rId1111" ref="AP314"/>
    <hyperlink r:id="rId1112" ref="AQ314"/>
    <hyperlink r:id="rId1113" ref="AR314"/>
    <hyperlink r:id="rId1114" ref="AP315"/>
    <hyperlink r:id="rId1115" ref="AQ315"/>
    <hyperlink r:id="rId1116" ref="AR315"/>
    <hyperlink r:id="rId1117" ref="AP316"/>
    <hyperlink r:id="rId1118" ref="AQ316"/>
    <hyperlink r:id="rId1119" ref="AR316"/>
    <hyperlink r:id="rId1120" ref="AT316"/>
    <hyperlink r:id="rId1121" ref="AP317"/>
    <hyperlink r:id="rId1122" ref="AQ317"/>
    <hyperlink r:id="rId1123" ref="AR317"/>
    <hyperlink r:id="rId1124" ref="AP318"/>
    <hyperlink r:id="rId1125" ref="AQ318"/>
    <hyperlink r:id="rId1126" ref="AR318"/>
    <hyperlink r:id="rId1127" ref="AP319"/>
    <hyperlink r:id="rId1128" ref="AQ319"/>
    <hyperlink r:id="rId1129" ref="AR319"/>
    <hyperlink r:id="rId1130" ref="AP320"/>
    <hyperlink r:id="rId1131" ref="AQ320"/>
    <hyperlink r:id="rId1132" ref="AR320"/>
    <hyperlink r:id="rId1133" ref="AP321"/>
    <hyperlink r:id="rId1134" ref="AQ321"/>
    <hyperlink r:id="rId1135" ref="AR321"/>
    <hyperlink r:id="rId1136" ref="AP322"/>
    <hyperlink r:id="rId1137" ref="AQ322"/>
    <hyperlink r:id="rId1138" ref="AR322"/>
    <hyperlink r:id="rId1139" ref="AP323"/>
    <hyperlink r:id="rId1140" ref="AQ323"/>
    <hyperlink r:id="rId1141" ref="AR323"/>
    <hyperlink r:id="rId1142" ref="AP324"/>
    <hyperlink r:id="rId1143" ref="AQ324"/>
    <hyperlink r:id="rId1144" ref="AR324"/>
    <hyperlink r:id="rId1145" ref="AP325"/>
    <hyperlink r:id="rId1146" ref="AQ325"/>
    <hyperlink r:id="rId1147" ref="AR325"/>
    <hyperlink r:id="rId1148" ref="AP326"/>
    <hyperlink r:id="rId1149" ref="AQ326"/>
    <hyperlink r:id="rId1150" ref="AR326"/>
    <hyperlink r:id="rId1151" ref="AP327"/>
    <hyperlink r:id="rId1152" ref="AQ327"/>
    <hyperlink r:id="rId1153" ref="AR327"/>
    <hyperlink r:id="rId1154" ref="AU327"/>
    <hyperlink r:id="rId1155" ref="AP328"/>
    <hyperlink r:id="rId1156" ref="AQ328"/>
    <hyperlink r:id="rId1157" ref="AR328"/>
    <hyperlink r:id="rId1158" ref="AP329"/>
    <hyperlink r:id="rId1159" ref="AQ329"/>
    <hyperlink r:id="rId1160" ref="AR329"/>
    <hyperlink r:id="rId1161" ref="AP330"/>
    <hyperlink r:id="rId1162" ref="AQ330"/>
    <hyperlink r:id="rId1163" ref="AR330"/>
    <hyperlink r:id="rId1164" ref="AP331"/>
    <hyperlink r:id="rId1165" ref="AQ331"/>
    <hyperlink r:id="rId1166" ref="AR331"/>
    <hyperlink r:id="rId1167" ref="AP332"/>
    <hyperlink r:id="rId1168" ref="AQ332"/>
    <hyperlink r:id="rId1169" ref="AR332"/>
    <hyperlink r:id="rId1170" ref="AP333"/>
    <hyperlink r:id="rId1171" ref="AQ333"/>
    <hyperlink r:id="rId1172" ref="AP334"/>
    <hyperlink r:id="rId1173" ref="AQ334"/>
    <hyperlink r:id="rId1174" ref="AR334"/>
    <hyperlink r:id="rId1175" ref="AP335"/>
    <hyperlink r:id="rId1176" ref="AQ335"/>
    <hyperlink r:id="rId1177" ref="AR335"/>
    <hyperlink r:id="rId1178" ref="AP336"/>
    <hyperlink r:id="rId1179" ref="AQ336"/>
    <hyperlink r:id="rId1180" ref="AR336"/>
    <hyperlink r:id="rId1181" ref="AP337"/>
    <hyperlink r:id="rId1182" ref="AQ337"/>
    <hyperlink r:id="rId1183" ref="AR337"/>
    <hyperlink r:id="rId1184" ref="AP338"/>
    <hyperlink r:id="rId1185" ref="AQ338"/>
    <hyperlink r:id="rId1186" ref="AP339"/>
    <hyperlink r:id="rId1187" ref="AQ339"/>
    <hyperlink r:id="rId1188" ref="AP340"/>
    <hyperlink r:id="rId1189" ref="AQ340"/>
    <hyperlink r:id="rId1190" ref="AR340"/>
    <hyperlink r:id="rId1191" ref="AP341"/>
    <hyperlink r:id="rId1192" ref="AQ341"/>
    <hyperlink r:id="rId1193" ref="AR341"/>
    <hyperlink r:id="rId1194" ref="AP342"/>
    <hyperlink r:id="rId1195" ref="AQ342"/>
    <hyperlink r:id="rId1196" ref="AR342"/>
    <hyperlink r:id="rId1197" ref="AP343"/>
    <hyperlink r:id="rId1198" ref="AQ343"/>
    <hyperlink r:id="rId1199" ref="AR343"/>
    <hyperlink r:id="rId1200" ref="AP344"/>
    <hyperlink r:id="rId1201" ref="AQ344"/>
    <hyperlink r:id="rId1202" ref="AR344"/>
    <hyperlink r:id="rId1203" ref="AP345"/>
    <hyperlink r:id="rId1204" ref="AQ345"/>
    <hyperlink r:id="rId1205" ref="AP346"/>
    <hyperlink r:id="rId1206" ref="AQ346"/>
    <hyperlink r:id="rId1207" ref="AR346"/>
    <hyperlink r:id="rId1208" ref="AP347"/>
    <hyperlink r:id="rId1209" ref="AQ347"/>
    <hyperlink r:id="rId1210" ref="AR347"/>
    <hyperlink r:id="rId1211" ref="AP348"/>
    <hyperlink r:id="rId1212" ref="AQ348"/>
    <hyperlink r:id="rId1213" ref="AR348"/>
    <hyperlink r:id="rId1214" ref="AP349"/>
    <hyperlink r:id="rId1215" ref="AQ349"/>
    <hyperlink r:id="rId1216" ref="AR349"/>
    <hyperlink r:id="rId1217" ref="AS349"/>
    <hyperlink r:id="rId1218" ref="AT349"/>
    <hyperlink r:id="rId1219" ref="AU349"/>
    <hyperlink r:id="rId1220" ref="AP350"/>
    <hyperlink r:id="rId1221" ref="AQ350"/>
    <hyperlink r:id="rId1222" ref="AR350"/>
    <hyperlink r:id="rId1223" ref="AP351"/>
    <hyperlink r:id="rId1224" ref="AQ351"/>
    <hyperlink r:id="rId1225" ref="AR351"/>
    <hyperlink r:id="rId1226" ref="CH351"/>
    <hyperlink r:id="rId1227" ref="AP352"/>
    <hyperlink r:id="rId1228" ref="AQ352"/>
    <hyperlink r:id="rId1229" ref="AR352"/>
    <hyperlink r:id="rId1230" ref="AP353"/>
    <hyperlink r:id="rId1231" ref="AQ353"/>
    <hyperlink r:id="rId1232" ref="AR353"/>
    <hyperlink r:id="rId1233" ref="AT353"/>
    <hyperlink r:id="rId1234" ref="CC353"/>
    <hyperlink r:id="rId1235" ref="AP354"/>
    <hyperlink r:id="rId1236" ref="AQ354"/>
    <hyperlink r:id="rId1237" ref="AR354"/>
    <hyperlink r:id="rId1238" ref="AT354"/>
    <hyperlink r:id="rId1239" ref="AP355"/>
    <hyperlink r:id="rId1240" ref="AR355"/>
    <hyperlink r:id="rId1241" ref="CC355"/>
    <hyperlink r:id="rId1242" ref="CH355"/>
    <hyperlink r:id="rId1243" ref="AP356"/>
    <hyperlink r:id="rId1244" ref="AQ356"/>
    <hyperlink r:id="rId1245" ref="AP357"/>
    <hyperlink r:id="rId1246" ref="AQ357"/>
    <hyperlink r:id="rId1247" ref="AP358"/>
    <hyperlink r:id="rId1248" ref="AQ358"/>
    <hyperlink r:id="rId1249" ref="AR358"/>
    <hyperlink r:id="rId1250" ref="AP359"/>
    <hyperlink r:id="rId1251" ref="AQ359"/>
    <hyperlink r:id="rId1252" ref="AP360"/>
    <hyperlink r:id="rId1253" ref="AQ360"/>
    <hyperlink r:id="rId1254" ref="AR360"/>
    <hyperlink r:id="rId1255" ref="AP361"/>
    <hyperlink r:id="rId1256" ref="AQ361"/>
    <hyperlink r:id="rId1257" ref="AR361"/>
    <hyperlink r:id="rId1258" ref="AP363"/>
    <hyperlink r:id="rId1259" ref="AQ363"/>
    <hyperlink r:id="rId1260" ref="AR363"/>
    <hyperlink r:id="rId1261" ref="AT363"/>
    <hyperlink r:id="rId1262" ref="CC363"/>
    <hyperlink r:id="rId1263" ref="AP365"/>
    <hyperlink r:id="rId1264" ref="AR365"/>
    <hyperlink r:id="rId1265" ref="CC365"/>
    <hyperlink r:id="rId1266" ref="AP366"/>
    <hyperlink r:id="rId1267" ref="AR366"/>
    <hyperlink r:id="rId1268" ref="AP367"/>
    <hyperlink r:id="rId1269" ref="AR367"/>
    <hyperlink r:id="rId1270" ref="AP368"/>
    <hyperlink r:id="rId1271" ref="AR368"/>
    <hyperlink r:id="rId1272" ref="AP369"/>
    <hyperlink r:id="rId1273" ref="AP370"/>
    <hyperlink r:id="rId1274" ref="AP371"/>
    <hyperlink r:id="rId1275" ref="AP372"/>
    <hyperlink r:id="rId1276" ref="AP373"/>
    <hyperlink r:id="rId1277" ref="AP374"/>
    <hyperlink r:id="rId1278" ref="AP375"/>
    <hyperlink r:id="rId1279" ref="AP376"/>
    <hyperlink r:id="rId1280" ref="AP377"/>
    <hyperlink r:id="rId1281" ref="AR378"/>
    <hyperlink r:id="rId1282" ref="AR379"/>
    <hyperlink r:id="rId1283" ref="AR380"/>
    <hyperlink r:id="rId1284" ref="AR381"/>
    <hyperlink r:id="rId1285" ref="AR382"/>
    <hyperlink r:id="rId1286" ref="AR383"/>
    <hyperlink r:id="rId1287" ref="AR384"/>
    <hyperlink r:id="rId1288" ref="AR385"/>
    <hyperlink r:id="rId1289" ref="BO386"/>
    <hyperlink r:id="rId1290" ref="CC386"/>
    <hyperlink r:id="rId1291" ref="BO387"/>
    <hyperlink r:id="rId1292" ref="CC387"/>
    <hyperlink r:id="rId1293" ref="BO388"/>
    <hyperlink r:id="rId1294" ref="CC388"/>
    <hyperlink r:id="rId1295" ref="BO389"/>
    <hyperlink r:id="rId1296" ref="CC389"/>
    <hyperlink r:id="rId1297" ref="BO391"/>
    <hyperlink r:id="rId1298" ref="CC392"/>
    <hyperlink r:id="rId1299" ref="CC393"/>
    <hyperlink r:id="rId1300" ref="BO394"/>
    <hyperlink r:id="rId1301" ref="CC394"/>
    <hyperlink r:id="rId1302" ref="BO395"/>
    <hyperlink r:id="rId1303" ref="CC395"/>
    <hyperlink r:id="rId1304" ref="BO396"/>
    <hyperlink r:id="rId1305" ref="CC396"/>
    <hyperlink r:id="rId1306" ref="BO412"/>
    <hyperlink r:id="rId1307" ref="CC412"/>
    <hyperlink r:id="rId1308" ref="CF412"/>
    <hyperlink r:id="rId1309" ref="BO413"/>
    <hyperlink r:id="rId1310" ref="CC413"/>
    <hyperlink r:id="rId1311" ref="CF413"/>
    <hyperlink r:id="rId1312" ref="CC414"/>
  </hyperlinks>
  <drawing r:id="rId1313"/>
  <legacyDrawing r:id="rId13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K1" s="86" t="s">
        <v>5587</v>
      </c>
      <c r="L1" s="62" t="s">
        <v>5588</v>
      </c>
      <c r="M1" s="62" t="s">
        <v>5589</v>
      </c>
    </row>
    <row r="2">
      <c r="A2" s="62" t="s">
        <v>5587</v>
      </c>
      <c r="B2" s="62" t="s">
        <v>5590</v>
      </c>
      <c r="C2" s="62" t="s">
        <v>5590</v>
      </c>
      <c r="K2" s="87"/>
      <c r="M2" s="62" t="s">
        <v>5591</v>
      </c>
    </row>
    <row r="3">
      <c r="A3" s="62" t="s">
        <v>3762</v>
      </c>
      <c r="B3" s="62">
        <v>112.2</v>
      </c>
      <c r="C3" s="62">
        <v>94.2</v>
      </c>
      <c r="D3" s="88">
        <f t="shared" ref="D3:D1000" si="1">IF(OR(C3="", C3=0), B3, C3)</f>
        <v>94.2</v>
      </c>
      <c r="K3" s="87" t="s">
        <v>1703</v>
      </c>
      <c r="L3" s="62" t="s">
        <v>1703</v>
      </c>
      <c r="M3" s="62">
        <v>60.0</v>
      </c>
    </row>
    <row r="4">
      <c r="A4" s="62" t="s">
        <v>4980</v>
      </c>
      <c r="B4" s="62">
        <v>100.0</v>
      </c>
      <c r="C4" s="62">
        <v>100.0</v>
      </c>
      <c r="D4" s="88">
        <f t="shared" si="1"/>
        <v>100</v>
      </c>
      <c r="K4" s="87" t="s">
        <v>117</v>
      </c>
      <c r="L4" s="62" t="s">
        <v>117</v>
      </c>
      <c r="M4" s="62">
        <v>30.0</v>
      </c>
    </row>
    <row r="5">
      <c r="A5" s="62" t="s">
        <v>4438</v>
      </c>
      <c r="B5" s="62">
        <v>100.0</v>
      </c>
      <c r="C5" s="62">
        <v>100.0</v>
      </c>
      <c r="D5" s="88">
        <f t="shared" si="1"/>
        <v>100</v>
      </c>
      <c r="K5" s="87" t="s">
        <v>1474</v>
      </c>
      <c r="L5" s="62" t="s">
        <v>1474</v>
      </c>
      <c r="M5" s="62">
        <v>90.0</v>
      </c>
    </row>
    <row r="6">
      <c r="A6" s="62" t="s">
        <v>3491</v>
      </c>
      <c r="B6" s="62">
        <v>97.1</v>
      </c>
      <c r="C6" s="62">
        <v>97.1</v>
      </c>
      <c r="D6" s="88">
        <f t="shared" si="1"/>
        <v>97.1</v>
      </c>
      <c r="K6" s="87" t="s">
        <v>5592</v>
      </c>
      <c r="L6" s="62" t="s">
        <v>5592</v>
      </c>
      <c r="M6" s="62">
        <v>90.0</v>
      </c>
    </row>
    <row r="7">
      <c r="A7" s="62" t="s">
        <v>2701</v>
      </c>
      <c r="B7" s="62">
        <v>85.09</v>
      </c>
      <c r="C7" s="62">
        <v>85.09</v>
      </c>
      <c r="D7" s="88">
        <f t="shared" si="1"/>
        <v>85.09</v>
      </c>
      <c r="K7" s="87" t="s">
        <v>5593</v>
      </c>
      <c r="L7" s="62" t="s">
        <v>5593</v>
      </c>
      <c r="M7" s="62">
        <v>90.0</v>
      </c>
    </row>
    <row r="8">
      <c r="A8" s="62" t="s">
        <v>3597</v>
      </c>
      <c r="B8" s="62">
        <v>123.05</v>
      </c>
      <c r="C8" s="62">
        <v>123.05</v>
      </c>
      <c r="D8" s="88">
        <f t="shared" si="1"/>
        <v>123.05</v>
      </c>
      <c r="K8" s="87" t="s">
        <v>460</v>
      </c>
      <c r="L8" s="62" t="s">
        <v>460</v>
      </c>
      <c r="M8" s="62">
        <v>90.0</v>
      </c>
    </row>
    <row r="9">
      <c r="A9" s="62" t="s">
        <v>3790</v>
      </c>
      <c r="B9" s="62">
        <v>246.1</v>
      </c>
      <c r="C9" s="62">
        <v>246.1</v>
      </c>
      <c r="D9" s="88">
        <f t="shared" si="1"/>
        <v>246.1</v>
      </c>
      <c r="K9" s="87" t="s">
        <v>1514</v>
      </c>
      <c r="L9" s="62" t="s">
        <v>1514</v>
      </c>
      <c r="M9" s="62">
        <v>60.0</v>
      </c>
    </row>
    <row r="10">
      <c r="A10" s="62" t="s">
        <v>5594</v>
      </c>
      <c r="B10" s="62">
        <v>138.15</v>
      </c>
      <c r="C10" s="62">
        <v>140.79</v>
      </c>
      <c r="D10" s="88">
        <f t="shared" si="1"/>
        <v>140.79</v>
      </c>
      <c r="K10" s="87" t="s">
        <v>1861</v>
      </c>
      <c r="L10" s="62" t="s">
        <v>1861</v>
      </c>
      <c r="M10" s="62">
        <v>30.0</v>
      </c>
    </row>
    <row r="11">
      <c r="A11" s="62" t="s">
        <v>3962</v>
      </c>
      <c r="B11" s="62">
        <v>147.6</v>
      </c>
      <c r="C11" s="62">
        <v>147.6</v>
      </c>
      <c r="D11" s="88">
        <f t="shared" si="1"/>
        <v>147.6</v>
      </c>
      <c r="K11" s="87" t="s">
        <v>1884</v>
      </c>
      <c r="L11" s="62" t="s">
        <v>1884</v>
      </c>
      <c r="M11" s="62">
        <v>45.0</v>
      </c>
    </row>
    <row r="12">
      <c r="A12" s="62" t="s">
        <v>4969</v>
      </c>
      <c r="B12" s="62">
        <v>179.33</v>
      </c>
      <c r="C12" s="62">
        <v>179.33</v>
      </c>
      <c r="D12" s="88">
        <f t="shared" si="1"/>
        <v>179.33</v>
      </c>
      <c r="K12" s="87" t="s">
        <v>196</v>
      </c>
      <c r="L12" s="62" t="s">
        <v>196</v>
      </c>
      <c r="M12" s="62">
        <v>30.0</v>
      </c>
    </row>
    <row r="13">
      <c r="A13" s="62" t="s">
        <v>4836</v>
      </c>
      <c r="B13" s="62">
        <v>87.0</v>
      </c>
      <c r="C13" s="62">
        <v>87.0</v>
      </c>
      <c r="D13" s="88">
        <f t="shared" si="1"/>
        <v>87</v>
      </c>
      <c r="K13" s="87" t="s">
        <v>1400</v>
      </c>
      <c r="L13" s="62" t="s">
        <v>1400</v>
      </c>
      <c r="M13" s="62">
        <v>60.0</v>
      </c>
    </row>
    <row r="14">
      <c r="A14" s="62" t="s">
        <v>5545</v>
      </c>
      <c r="B14" s="62">
        <v>225.0</v>
      </c>
      <c r="C14" s="62">
        <v>225.0</v>
      </c>
      <c r="D14" s="88">
        <f t="shared" si="1"/>
        <v>225</v>
      </c>
      <c r="K14" s="87" t="s">
        <v>441</v>
      </c>
      <c r="L14" s="62" t="s">
        <v>441</v>
      </c>
      <c r="M14" s="62">
        <v>45.0</v>
      </c>
    </row>
    <row r="15">
      <c r="A15" s="62" t="s">
        <v>4630</v>
      </c>
      <c r="B15" s="62">
        <v>276.84</v>
      </c>
      <c r="C15" s="62">
        <v>276.84</v>
      </c>
      <c r="D15" s="88">
        <f t="shared" si="1"/>
        <v>276.84</v>
      </c>
      <c r="K15" s="87" t="s">
        <v>5595</v>
      </c>
      <c r="L15" s="62" t="s">
        <v>2554</v>
      </c>
      <c r="M15" s="62">
        <v>90.0</v>
      </c>
    </row>
    <row r="16">
      <c r="A16" s="62" t="s">
        <v>5055</v>
      </c>
      <c r="B16" s="62">
        <v>138.42</v>
      </c>
      <c r="C16" s="62">
        <v>138.42</v>
      </c>
      <c r="D16" s="88">
        <f t="shared" si="1"/>
        <v>138.42</v>
      </c>
      <c r="K16" s="87" t="s">
        <v>5596</v>
      </c>
      <c r="L16" s="62" t="s">
        <v>2217</v>
      </c>
      <c r="M16" s="62">
        <v>90.0</v>
      </c>
    </row>
    <row r="17">
      <c r="A17" s="62" t="s">
        <v>5146</v>
      </c>
      <c r="B17" s="62">
        <v>145.0</v>
      </c>
      <c r="C17" s="62">
        <v>145.0</v>
      </c>
      <c r="D17" s="88">
        <f t="shared" si="1"/>
        <v>145</v>
      </c>
      <c r="K17" s="87" t="s">
        <v>5597</v>
      </c>
      <c r="L17" s="62" t="s">
        <v>2512</v>
      </c>
      <c r="M17" s="62">
        <v>90.0</v>
      </c>
    </row>
    <row r="18">
      <c r="A18" s="62" t="s">
        <v>4043</v>
      </c>
      <c r="B18" s="62">
        <v>116.89</v>
      </c>
      <c r="C18" s="62">
        <v>116.89</v>
      </c>
      <c r="D18" s="88">
        <f t="shared" si="1"/>
        <v>116.89</v>
      </c>
      <c r="K18" s="87" t="s">
        <v>5598</v>
      </c>
      <c r="L18" s="62" t="s">
        <v>385</v>
      </c>
      <c r="M18" s="62">
        <v>90.0</v>
      </c>
    </row>
    <row r="19">
      <c r="A19" s="62" t="s">
        <v>4151</v>
      </c>
      <c r="B19" s="62">
        <v>95.71</v>
      </c>
      <c r="C19" s="62">
        <v>95.71</v>
      </c>
      <c r="D19" s="88">
        <f t="shared" si="1"/>
        <v>95.71</v>
      </c>
      <c r="K19" s="87" t="s">
        <v>5599</v>
      </c>
      <c r="L19" s="62" t="s">
        <v>2327</v>
      </c>
      <c r="M19" s="62">
        <v>90.0</v>
      </c>
    </row>
    <row r="20">
      <c r="A20" s="62" t="s">
        <v>3804</v>
      </c>
      <c r="B20" s="62">
        <v>180.0</v>
      </c>
      <c r="C20" s="62">
        <v>180.0</v>
      </c>
      <c r="D20" s="88">
        <f t="shared" si="1"/>
        <v>180</v>
      </c>
      <c r="K20" s="87" t="s">
        <v>5600</v>
      </c>
      <c r="L20" s="62" t="s">
        <v>2083</v>
      </c>
      <c r="M20" s="62">
        <v>90.0</v>
      </c>
    </row>
    <row r="21">
      <c r="A21" s="62" t="s">
        <v>5192</v>
      </c>
      <c r="B21" s="62">
        <v>116.75</v>
      </c>
      <c r="C21" s="62">
        <v>116.75</v>
      </c>
      <c r="D21" s="88">
        <f t="shared" si="1"/>
        <v>116.75</v>
      </c>
      <c r="K21" s="87" t="s">
        <v>5601</v>
      </c>
      <c r="L21" s="62" t="s">
        <v>2444</v>
      </c>
      <c r="M21" s="62">
        <v>90.0</v>
      </c>
    </row>
    <row r="22">
      <c r="A22" s="62" t="s">
        <v>4313</v>
      </c>
      <c r="B22" s="62">
        <v>233.5</v>
      </c>
      <c r="C22" s="62">
        <v>233.5</v>
      </c>
      <c r="D22" s="88">
        <f t="shared" si="1"/>
        <v>233.5</v>
      </c>
      <c r="K22" s="87" t="s">
        <v>5602</v>
      </c>
      <c r="L22" s="62" t="s">
        <v>2069</v>
      </c>
      <c r="M22" s="62">
        <v>90.0</v>
      </c>
    </row>
    <row r="23">
      <c r="A23" s="62" t="s">
        <v>4990</v>
      </c>
      <c r="B23" s="62">
        <v>125.0</v>
      </c>
      <c r="C23" s="62">
        <v>125.0</v>
      </c>
      <c r="D23" s="88">
        <f t="shared" si="1"/>
        <v>125</v>
      </c>
      <c r="K23" s="87" t="s">
        <v>5603</v>
      </c>
      <c r="L23" s="62" t="s">
        <v>2178</v>
      </c>
      <c r="M23" s="62">
        <v>90.0</v>
      </c>
    </row>
    <row r="24">
      <c r="A24" s="62" t="s">
        <v>5158</v>
      </c>
      <c r="B24" s="62">
        <v>99.55</v>
      </c>
      <c r="C24" s="62">
        <v>99.55</v>
      </c>
      <c r="D24" s="88">
        <f t="shared" si="1"/>
        <v>99.55</v>
      </c>
      <c r="K24" s="87" t="s">
        <v>5604</v>
      </c>
      <c r="L24" s="62" t="s">
        <v>2205</v>
      </c>
      <c r="M24" s="62">
        <v>90.0</v>
      </c>
    </row>
    <row r="25">
      <c r="A25" s="62" t="s">
        <v>3777</v>
      </c>
      <c r="B25" s="62">
        <v>121.98</v>
      </c>
      <c r="C25" s="62">
        <v>121.98</v>
      </c>
      <c r="D25" s="88">
        <f t="shared" si="1"/>
        <v>121.98</v>
      </c>
      <c r="K25" s="87" t="s">
        <v>5605</v>
      </c>
      <c r="L25" s="62" t="s">
        <v>1988</v>
      </c>
      <c r="M25" s="62">
        <v>90.0</v>
      </c>
    </row>
    <row r="26">
      <c r="A26" s="62" t="s">
        <v>5606</v>
      </c>
      <c r="D26" s="88" t="str">
        <f t="shared" si="1"/>
        <v/>
      </c>
      <c r="K26" s="87" t="s">
        <v>5607</v>
      </c>
      <c r="L26" s="62" t="s">
        <v>1139</v>
      </c>
      <c r="M26" s="62">
        <v>60.0</v>
      </c>
    </row>
    <row r="27">
      <c r="A27" s="62" t="s">
        <v>5066</v>
      </c>
      <c r="B27" s="62">
        <v>94.21</v>
      </c>
      <c r="C27" s="62">
        <v>94.21</v>
      </c>
      <c r="D27" s="88">
        <f t="shared" si="1"/>
        <v>94.21</v>
      </c>
      <c r="K27" s="87" t="s">
        <v>1220</v>
      </c>
      <c r="L27" s="62" t="s">
        <v>1220</v>
      </c>
      <c r="M27" s="62">
        <v>60.0</v>
      </c>
    </row>
    <row r="28">
      <c r="A28" s="62" t="s">
        <v>5546</v>
      </c>
      <c r="B28" s="62">
        <v>172.31</v>
      </c>
      <c r="C28" s="62">
        <v>172.31</v>
      </c>
      <c r="D28" s="88">
        <f t="shared" si="1"/>
        <v>172.31</v>
      </c>
      <c r="K28" s="87" t="s">
        <v>2058</v>
      </c>
      <c r="L28" s="62" t="s">
        <v>2058</v>
      </c>
      <c r="M28" s="62">
        <v>90.0</v>
      </c>
    </row>
    <row r="29">
      <c r="A29" s="62" t="s">
        <v>4780</v>
      </c>
      <c r="B29" s="62">
        <v>119.23</v>
      </c>
      <c r="C29" s="62">
        <v>119.23</v>
      </c>
      <c r="D29" s="88">
        <f t="shared" si="1"/>
        <v>119.23</v>
      </c>
      <c r="K29" s="87" t="s">
        <v>5608</v>
      </c>
      <c r="L29" s="62" t="s">
        <v>2230</v>
      </c>
      <c r="M29" s="62">
        <v>90.0</v>
      </c>
    </row>
    <row r="30">
      <c r="A30" s="62" t="s">
        <v>4703</v>
      </c>
      <c r="B30" s="62">
        <v>152.67</v>
      </c>
      <c r="C30" s="62">
        <v>152.67</v>
      </c>
      <c r="D30" s="88">
        <f t="shared" si="1"/>
        <v>152.67</v>
      </c>
      <c r="K30" s="87" t="s">
        <v>5609</v>
      </c>
      <c r="L30" s="62" t="s">
        <v>2238</v>
      </c>
      <c r="M30" s="62">
        <v>90.0</v>
      </c>
    </row>
    <row r="31">
      <c r="A31" s="62" t="s">
        <v>2764</v>
      </c>
      <c r="B31" s="62">
        <v>143.37</v>
      </c>
      <c r="C31" s="62">
        <v>143.37</v>
      </c>
      <c r="D31" s="88">
        <f t="shared" si="1"/>
        <v>143.37</v>
      </c>
      <c r="K31" s="87" t="s">
        <v>5610</v>
      </c>
      <c r="L31" s="62" t="s">
        <v>2135</v>
      </c>
      <c r="M31" s="62">
        <v>90.0</v>
      </c>
    </row>
    <row r="32">
      <c r="A32" s="62" t="s">
        <v>3322</v>
      </c>
      <c r="B32" s="62">
        <v>101.62</v>
      </c>
      <c r="C32" s="62">
        <v>103.47</v>
      </c>
      <c r="D32" s="88">
        <f t="shared" si="1"/>
        <v>103.47</v>
      </c>
      <c r="K32" s="87" t="s">
        <v>1373</v>
      </c>
      <c r="L32" s="62" t="s">
        <v>1373</v>
      </c>
      <c r="M32" s="62">
        <v>60.0</v>
      </c>
    </row>
    <row r="33">
      <c r="A33" s="62" t="s">
        <v>3901</v>
      </c>
      <c r="B33" s="62">
        <v>203.24</v>
      </c>
      <c r="C33" s="62">
        <v>206.94</v>
      </c>
      <c r="D33" s="88">
        <f t="shared" si="1"/>
        <v>206.94</v>
      </c>
      <c r="K33" s="87" t="s">
        <v>1351</v>
      </c>
      <c r="L33" s="62" t="s">
        <v>1351</v>
      </c>
      <c r="M33" s="62">
        <v>60.0</v>
      </c>
    </row>
    <row r="34">
      <c r="A34" s="62" t="s">
        <v>3131</v>
      </c>
      <c r="B34" s="62">
        <v>304.86</v>
      </c>
      <c r="C34" s="62">
        <v>310.41</v>
      </c>
      <c r="D34" s="88">
        <f t="shared" si="1"/>
        <v>310.41</v>
      </c>
      <c r="K34" s="87" t="s">
        <v>1843</v>
      </c>
      <c r="L34" s="62" t="s">
        <v>1843</v>
      </c>
      <c r="M34" s="62">
        <v>45.0</v>
      </c>
    </row>
    <row r="35">
      <c r="A35" s="62" t="s">
        <v>2660</v>
      </c>
      <c r="B35" s="62">
        <v>120.5</v>
      </c>
      <c r="C35" s="62">
        <v>120.5</v>
      </c>
      <c r="D35" s="88">
        <f t="shared" si="1"/>
        <v>120.5</v>
      </c>
      <c r="K35" s="87" t="s">
        <v>147</v>
      </c>
      <c r="L35" s="62" t="s">
        <v>147</v>
      </c>
      <c r="M35" s="62">
        <v>30.0</v>
      </c>
    </row>
    <row r="36">
      <c r="A36" s="62" t="s">
        <v>3145</v>
      </c>
      <c r="B36" s="62">
        <v>133.9</v>
      </c>
      <c r="C36" s="62">
        <v>133.9</v>
      </c>
      <c r="D36" s="88">
        <f t="shared" si="1"/>
        <v>133.9</v>
      </c>
      <c r="K36" s="87" t="s">
        <v>170</v>
      </c>
      <c r="L36" s="62" t="s">
        <v>170</v>
      </c>
      <c r="M36" s="62">
        <v>30.0</v>
      </c>
    </row>
    <row r="37">
      <c r="A37" s="62" t="s">
        <v>3450</v>
      </c>
      <c r="B37" s="62">
        <v>114.81</v>
      </c>
      <c r="C37" s="62">
        <v>114.81</v>
      </c>
      <c r="D37" s="88">
        <f t="shared" si="1"/>
        <v>114.81</v>
      </c>
      <c r="K37" s="87" t="s">
        <v>212</v>
      </c>
      <c r="L37" s="62" t="s">
        <v>212</v>
      </c>
      <c r="M37" s="62">
        <v>30.0</v>
      </c>
    </row>
    <row r="38">
      <c r="A38" s="62" t="s">
        <v>3798</v>
      </c>
      <c r="B38" s="62">
        <v>229.62</v>
      </c>
      <c r="C38" s="62">
        <v>229.62</v>
      </c>
      <c r="D38" s="88">
        <f t="shared" si="1"/>
        <v>229.62</v>
      </c>
      <c r="K38" s="87" t="s">
        <v>264</v>
      </c>
      <c r="L38" s="62" t="s">
        <v>264</v>
      </c>
      <c r="M38" s="62">
        <v>30.0</v>
      </c>
    </row>
    <row r="39">
      <c r="A39" s="62" t="s">
        <v>2716</v>
      </c>
      <c r="B39" s="62">
        <v>120.23</v>
      </c>
      <c r="C39" s="62">
        <v>120.23</v>
      </c>
      <c r="D39" s="88">
        <f t="shared" si="1"/>
        <v>120.23</v>
      </c>
      <c r="K39" s="87" t="s">
        <v>1384</v>
      </c>
      <c r="L39" s="62" t="s">
        <v>1384</v>
      </c>
      <c r="M39" s="62">
        <v>60.0</v>
      </c>
    </row>
    <row r="40">
      <c r="A40" s="62" t="s">
        <v>3972</v>
      </c>
      <c r="B40" s="62">
        <v>71.1</v>
      </c>
      <c r="C40" s="62">
        <v>71.1</v>
      </c>
      <c r="D40" s="88">
        <f t="shared" si="1"/>
        <v>71.1</v>
      </c>
      <c r="K40" s="87" t="s">
        <v>1606</v>
      </c>
      <c r="L40" s="62" t="s">
        <v>1606</v>
      </c>
      <c r="M40" s="62">
        <v>30.0</v>
      </c>
    </row>
    <row r="41">
      <c r="A41" s="62" t="s">
        <v>4364</v>
      </c>
      <c r="B41" s="62">
        <v>88.0</v>
      </c>
      <c r="C41" s="62">
        <v>88.0</v>
      </c>
      <c r="D41" s="88">
        <f t="shared" si="1"/>
        <v>88</v>
      </c>
      <c r="K41" s="87" t="s">
        <v>252</v>
      </c>
      <c r="L41" s="62" t="s">
        <v>252</v>
      </c>
      <c r="M41" s="62">
        <v>30.0</v>
      </c>
    </row>
    <row r="42">
      <c r="A42" s="62" t="s">
        <v>3952</v>
      </c>
      <c r="B42" s="62">
        <v>103.48</v>
      </c>
      <c r="C42" s="62">
        <v>103.48</v>
      </c>
      <c r="D42" s="88">
        <f t="shared" si="1"/>
        <v>103.48</v>
      </c>
      <c r="K42" s="87" t="s">
        <v>1235</v>
      </c>
      <c r="L42" s="62" t="s">
        <v>1235</v>
      </c>
      <c r="M42" s="62">
        <v>30.0</v>
      </c>
    </row>
    <row r="43">
      <c r="A43" s="62" t="s">
        <v>4036</v>
      </c>
      <c r="B43" s="62">
        <v>206.96</v>
      </c>
      <c r="C43" s="62">
        <v>206.96</v>
      </c>
      <c r="D43" s="88">
        <f t="shared" si="1"/>
        <v>206.96</v>
      </c>
      <c r="K43" s="87" t="s">
        <v>1253</v>
      </c>
      <c r="L43" s="62" t="s">
        <v>1253</v>
      </c>
      <c r="M43" s="62">
        <v>60.0</v>
      </c>
    </row>
    <row r="44">
      <c r="A44" s="62" t="s">
        <v>3187</v>
      </c>
      <c r="B44" s="62">
        <v>310.44</v>
      </c>
      <c r="C44" s="62">
        <v>310.44</v>
      </c>
      <c r="D44" s="88">
        <f t="shared" si="1"/>
        <v>310.44</v>
      </c>
      <c r="K44" s="87" t="s">
        <v>227</v>
      </c>
      <c r="L44" s="62" t="s">
        <v>227</v>
      </c>
      <c r="M44" s="62">
        <v>30.0</v>
      </c>
    </row>
    <row r="45">
      <c r="A45" s="62" t="s">
        <v>3930</v>
      </c>
      <c r="B45" s="62">
        <v>119.22</v>
      </c>
      <c r="C45" s="62">
        <v>119.22</v>
      </c>
      <c r="D45" s="88">
        <f t="shared" si="1"/>
        <v>119.22</v>
      </c>
      <c r="K45" s="87" t="s">
        <v>1547</v>
      </c>
      <c r="L45" s="62" t="s">
        <v>1547</v>
      </c>
      <c r="M45" s="62">
        <v>90.0</v>
      </c>
    </row>
    <row r="46">
      <c r="A46" s="62" t="s">
        <v>4818</v>
      </c>
      <c r="B46" s="62">
        <v>97.4</v>
      </c>
      <c r="C46" s="62">
        <v>97.4</v>
      </c>
      <c r="D46" s="88">
        <f t="shared" si="1"/>
        <v>97.4</v>
      </c>
      <c r="K46" s="87" t="s">
        <v>1527</v>
      </c>
      <c r="L46" s="62" t="s">
        <v>1527</v>
      </c>
      <c r="M46" s="62">
        <v>45.0</v>
      </c>
    </row>
    <row r="47">
      <c r="A47" s="62" t="s">
        <v>5337</v>
      </c>
      <c r="B47" s="62">
        <v>217.72</v>
      </c>
      <c r="C47" s="62">
        <v>217.72</v>
      </c>
      <c r="D47" s="88">
        <f t="shared" si="1"/>
        <v>217.72</v>
      </c>
      <c r="K47" s="87" t="s">
        <v>1871</v>
      </c>
      <c r="L47" s="62" t="s">
        <v>1871</v>
      </c>
      <c r="M47" s="62">
        <v>45.0</v>
      </c>
    </row>
    <row r="48">
      <c r="A48" s="62" t="s">
        <v>5346</v>
      </c>
      <c r="B48" s="62">
        <v>115.8</v>
      </c>
      <c r="C48" s="62">
        <v>115.8</v>
      </c>
      <c r="D48" s="88">
        <f t="shared" si="1"/>
        <v>115.8</v>
      </c>
      <c r="K48" s="87" t="s">
        <v>1779</v>
      </c>
      <c r="L48" s="62" t="s">
        <v>1779</v>
      </c>
      <c r="M48" s="62">
        <v>90.0</v>
      </c>
    </row>
    <row r="49">
      <c r="A49" s="62" t="s">
        <v>3712</v>
      </c>
      <c r="B49" s="62">
        <v>104.32</v>
      </c>
      <c r="C49" s="62">
        <v>104.32</v>
      </c>
      <c r="D49" s="88">
        <f t="shared" si="1"/>
        <v>104.32</v>
      </c>
      <c r="K49" s="87" t="s">
        <v>186</v>
      </c>
      <c r="L49" s="62" t="s">
        <v>186</v>
      </c>
      <c r="M49" s="62">
        <v>30.0</v>
      </c>
    </row>
    <row r="50">
      <c r="A50" s="62" t="s">
        <v>3695</v>
      </c>
      <c r="B50" s="62">
        <v>81.98</v>
      </c>
      <c r="C50" s="62">
        <v>81.98</v>
      </c>
      <c r="D50" s="88">
        <f t="shared" si="1"/>
        <v>81.98</v>
      </c>
      <c r="K50" s="87" t="s">
        <v>2254</v>
      </c>
      <c r="L50" s="62" t="s">
        <v>2254</v>
      </c>
      <c r="M50" s="62">
        <v>90.0</v>
      </c>
    </row>
    <row r="51">
      <c r="A51" s="62" t="s">
        <v>4956</v>
      </c>
      <c r="B51" s="62">
        <v>125.28</v>
      </c>
      <c r="C51" s="62">
        <v>125.28</v>
      </c>
      <c r="D51" s="88">
        <f t="shared" si="1"/>
        <v>125.28</v>
      </c>
      <c r="K51" s="87" t="s">
        <v>1801</v>
      </c>
      <c r="L51" s="62" t="s">
        <v>1801</v>
      </c>
      <c r="M51" s="62">
        <v>90.0</v>
      </c>
    </row>
    <row r="52">
      <c r="A52" s="62" t="s">
        <v>4006</v>
      </c>
      <c r="B52" s="62">
        <v>137.86</v>
      </c>
      <c r="C52" s="62">
        <v>137.86</v>
      </c>
      <c r="D52" s="88">
        <f t="shared" si="1"/>
        <v>137.86</v>
      </c>
      <c r="K52" s="87" t="s">
        <v>2418</v>
      </c>
      <c r="L52" s="62" t="s">
        <v>2418</v>
      </c>
      <c r="M52" s="62">
        <v>90.0</v>
      </c>
    </row>
    <row r="53">
      <c r="A53" s="62" t="s">
        <v>4299</v>
      </c>
      <c r="B53" s="62">
        <v>122.05</v>
      </c>
      <c r="C53" s="62">
        <v>122.05</v>
      </c>
      <c r="D53" s="88">
        <f t="shared" si="1"/>
        <v>122.05</v>
      </c>
      <c r="K53" s="87" t="s">
        <v>1455</v>
      </c>
      <c r="L53" s="62" t="s">
        <v>1455</v>
      </c>
      <c r="M53" s="62">
        <v>90.0</v>
      </c>
    </row>
    <row r="54">
      <c r="A54" s="62" t="s">
        <v>4588</v>
      </c>
      <c r="B54" s="62">
        <v>190.69</v>
      </c>
      <c r="C54" s="62">
        <v>190.69</v>
      </c>
      <c r="D54" s="88">
        <f t="shared" si="1"/>
        <v>190.69</v>
      </c>
      <c r="K54" s="87" t="s">
        <v>2630</v>
      </c>
      <c r="L54" s="62" t="s">
        <v>2630</v>
      </c>
      <c r="M54" s="62">
        <v>60.0</v>
      </c>
    </row>
    <row r="55">
      <c r="A55" s="62" t="s">
        <v>5081</v>
      </c>
      <c r="B55" s="62">
        <v>99.28</v>
      </c>
      <c r="C55" s="62">
        <v>99.28</v>
      </c>
      <c r="D55" s="88">
        <f t="shared" si="1"/>
        <v>99.28</v>
      </c>
      <c r="K55" s="87" t="s">
        <v>5611</v>
      </c>
      <c r="L55" s="62" t="s">
        <v>2246</v>
      </c>
      <c r="M55" s="62">
        <v>90.0</v>
      </c>
    </row>
    <row r="56">
      <c r="A56" s="62" t="s">
        <v>4422</v>
      </c>
      <c r="B56" s="62">
        <v>210.0</v>
      </c>
      <c r="C56" s="62">
        <v>210.0</v>
      </c>
      <c r="D56" s="88">
        <f t="shared" si="1"/>
        <v>210</v>
      </c>
      <c r="K56" s="87" t="s">
        <v>950</v>
      </c>
      <c r="L56" s="62" t="s">
        <v>950</v>
      </c>
      <c r="M56" s="62">
        <v>60.0</v>
      </c>
    </row>
    <row r="57">
      <c r="A57" s="62" t="s">
        <v>4875</v>
      </c>
      <c r="B57" s="62">
        <v>112.96</v>
      </c>
      <c r="C57" s="62">
        <v>112.96</v>
      </c>
      <c r="D57" s="88">
        <f t="shared" si="1"/>
        <v>112.96</v>
      </c>
      <c r="K57" s="87" t="s">
        <v>1716</v>
      </c>
      <c r="L57" s="62" t="s">
        <v>1716</v>
      </c>
      <c r="M57" s="62">
        <v>60.0</v>
      </c>
    </row>
    <row r="58">
      <c r="A58" s="62" t="s">
        <v>4056</v>
      </c>
      <c r="B58" s="62">
        <v>106.37</v>
      </c>
      <c r="C58" s="62">
        <v>106.37</v>
      </c>
      <c r="D58" s="88">
        <f t="shared" si="1"/>
        <v>106.37</v>
      </c>
      <c r="K58" s="87" t="s">
        <v>2621</v>
      </c>
      <c r="L58" s="62" t="s">
        <v>2621</v>
      </c>
      <c r="M58" s="62">
        <v>90.0</v>
      </c>
    </row>
    <row r="59">
      <c r="A59" s="62" t="s">
        <v>4536</v>
      </c>
      <c r="B59" s="62">
        <v>131.42</v>
      </c>
      <c r="C59" s="62">
        <v>131.42</v>
      </c>
      <c r="D59" s="88">
        <f t="shared" si="1"/>
        <v>131.42</v>
      </c>
      <c r="K59" s="87" t="s">
        <v>2019</v>
      </c>
      <c r="L59" s="62" t="s">
        <v>2019</v>
      </c>
      <c r="M59" s="62">
        <v>90.0</v>
      </c>
    </row>
    <row r="60">
      <c r="A60" s="62" t="s">
        <v>5467</v>
      </c>
      <c r="B60" s="62">
        <v>49.5</v>
      </c>
      <c r="C60" s="62">
        <v>49.5</v>
      </c>
      <c r="D60" s="88">
        <f t="shared" si="1"/>
        <v>49.5</v>
      </c>
      <c r="K60" s="87" t="s">
        <v>806</v>
      </c>
      <c r="L60" s="62" t="s">
        <v>806</v>
      </c>
      <c r="M60" s="62">
        <v>90.0</v>
      </c>
    </row>
    <row r="61">
      <c r="A61" s="62" t="s">
        <v>4749</v>
      </c>
      <c r="B61" s="62">
        <v>116.15</v>
      </c>
      <c r="C61" s="62">
        <v>116.15</v>
      </c>
      <c r="D61" s="88">
        <f t="shared" si="1"/>
        <v>116.15</v>
      </c>
      <c r="K61" s="87" t="s">
        <v>2048</v>
      </c>
      <c r="L61" s="62" t="s">
        <v>2048</v>
      </c>
      <c r="M61" s="62">
        <v>90.0</v>
      </c>
    </row>
    <row r="62">
      <c r="A62" s="62" t="s">
        <v>4161</v>
      </c>
      <c r="B62" s="62">
        <v>232.3</v>
      </c>
      <c r="C62" s="62">
        <v>232.3</v>
      </c>
      <c r="D62" s="88">
        <f t="shared" si="1"/>
        <v>232.3</v>
      </c>
      <c r="K62" s="87" t="s">
        <v>474</v>
      </c>
      <c r="L62" s="62" t="s">
        <v>474</v>
      </c>
      <c r="M62" s="62">
        <v>60.0</v>
      </c>
    </row>
    <row r="63">
      <c r="A63" s="62" t="s">
        <v>5323</v>
      </c>
      <c r="B63" s="62">
        <v>162.47</v>
      </c>
      <c r="C63" s="62">
        <v>162.47</v>
      </c>
      <c r="D63" s="88">
        <f t="shared" si="1"/>
        <v>162.47</v>
      </c>
      <c r="K63" s="87" t="s">
        <v>970</v>
      </c>
      <c r="L63" s="62" t="s">
        <v>970</v>
      </c>
      <c r="M63" s="62">
        <v>60.0</v>
      </c>
    </row>
    <row r="64">
      <c r="A64" s="62" t="s">
        <v>2810</v>
      </c>
      <c r="B64" s="62">
        <v>107.1</v>
      </c>
      <c r="C64" s="62">
        <v>114.94</v>
      </c>
      <c r="D64" s="88">
        <f t="shared" si="1"/>
        <v>114.94</v>
      </c>
      <c r="K64" s="87" t="s">
        <v>547</v>
      </c>
      <c r="L64" s="62" t="s">
        <v>547</v>
      </c>
      <c r="M64" s="62">
        <v>90.0</v>
      </c>
    </row>
    <row r="65">
      <c r="A65" s="62" t="s">
        <v>3675</v>
      </c>
      <c r="B65" s="62">
        <v>106.2</v>
      </c>
      <c r="C65" s="62">
        <v>106.2</v>
      </c>
      <c r="D65" s="88">
        <f t="shared" si="1"/>
        <v>106.2</v>
      </c>
      <c r="K65" s="87" t="s">
        <v>1063</v>
      </c>
      <c r="L65" s="62" t="s">
        <v>1063</v>
      </c>
      <c r="M65" s="62">
        <v>90.0</v>
      </c>
    </row>
    <row r="66">
      <c r="A66" s="62" t="s">
        <v>4567</v>
      </c>
      <c r="B66" s="62">
        <v>110.08</v>
      </c>
      <c r="C66" s="62">
        <v>110.08</v>
      </c>
      <c r="D66" s="88">
        <f t="shared" si="1"/>
        <v>110.08</v>
      </c>
      <c r="K66" s="87" t="s">
        <v>1155</v>
      </c>
      <c r="L66" s="62" t="s">
        <v>1155</v>
      </c>
      <c r="M66" s="62">
        <v>60.0</v>
      </c>
    </row>
    <row r="67">
      <c r="A67" s="62" t="s">
        <v>5296</v>
      </c>
      <c r="B67" s="62">
        <v>125.88</v>
      </c>
      <c r="C67" s="62">
        <v>125.88</v>
      </c>
      <c r="D67" s="88">
        <f t="shared" si="1"/>
        <v>125.88</v>
      </c>
      <c r="K67" s="87" t="s">
        <v>5406</v>
      </c>
      <c r="L67" s="62" t="s">
        <v>5406</v>
      </c>
      <c r="M67" s="62">
        <v>90.0</v>
      </c>
    </row>
    <row r="68">
      <c r="A68" s="62" t="s">
        <v>3114</v>
      </c>
      <c r="B68" s="62">
        <v>158.5</v>
      </c>
      <c r="C68" s="62">
        <v>158.5</v>
      </c>
      <c r="D68" s="88">
        <f t="shared" si="1"/>
        <v>158.5</v>
      </c>
      <c r="K68" s="87" t="s">
        <v>788</v>
      </c>
      <c r="L68" s="62" t="s">
        <v>788</v>
      </c>
      <c r="M68" s="62">
        <v>90.0</v>
      </c>
    </row>
    <row r="69">
      <c r="A69" s="62" t="s">
        <v>3871</v>
      </c>
      <c r="B69" s="62">
        <v>157.08</v>
      </c>
      <c r="C69" s="62">
        <v>157.08</v>
      </c>
      <c r="D69" s="88">
        <f t="shared" si="1"/>
        <v>157.08</v>
      </c>
      <c r="K69" s="87" t="s">
        <v>750</v>
      </c>
      <c r="L69" s="62" t="s">
        <v>750</v>
      </c>
      <c r="M69" s="62">
        <v>60.0</v>
      </c>
    </row>
    <row r="70">
      <c r="A70" s="62" t="s">
        <v>4943</v>
      </c>
      <c r="B70" s="62">
        <v>115.41</v>
      </c>
      <c r="C70" s="62">
        <v>115.41</v>
      </c>
      <c r="D70" s="88">
        <f t="shared" si="1"/>
        <v>115.41</v>
      </c>
      <c r="K70" s="87" t="s">
        <v>2378</v>
      </c>
      <c r="L70" s="62" t="s">
        <v>2378</v>
      </c>
      <c r="M70" s="62">
        <v>60.0</v>
      </c>
    </row>
    <row r="71">
      <c r="A71" s="62" t="s">
        <v>3886</v>
      </c>
      <c r="B71" s="62">
        <v>73.0</v>
      </c>
      <c r="C71" s="62">
        <v>73.0</v>
      </c>
      <c r="D71" s="88">
        <f t="shared" si="1"/>
        <v>73</v>
      </c>
      <c r="K71" s="87" t="s">
        <v>1411</v>
      </c>
      <c r="L71" s="62" t="s">
        <v>1411</v>
      </c>
      <c r="M71" s="62">
        <v>90.0</v>
      </c>
    </row>
    <row r="72">
      <c r="A72" s="62" t="s">
        <v>4863</v>
      </c>
      <c r="B72" s="62">
        <v>102.85</v>
      </c>
      <c r="C72" s="62">
        <v>102.85</v>
      </c>
      <c r="D72" s="88">
        <f t="shared" si="1"/>
        <v>102.85</v>
      </c>
      <c r="K72" s="87" t="s">
        <v>2527</v>
      </c>
      <c r="L72" s="62" t="s">
        <v>2527</v>
      </c>
      <c r="M72" s="62">
        <v>60.0</v>
      </c>
    </row>
    <row r="73">
      <c r="A73" s="62" t="s">
        <v>4022</v>
      </c>
      <c r="B73" s="62">
        <v>117.32</v>
      </c>
      <c r="C73" s="62">
        <v>117.32</v>
      </c>
      <c r="D73" s="88">
        <f t="shared" si="1"/>
        <v>117.32</v>
      </c>
      <c r="K73" s="87" t="s">
        <v>520</v>
      </c>
      <c r="L73" s="62" t="s">
        <v>520</v>
      </c>
      <c r="M73" s="62">
        <v>90.0</v>
      </c>
    </row>
    <row r="74">
      <c r="A74" s="62" t="s">
        <v>3560</v>
      </c>
      <c r="B74" s="62">
        <v>130.92</v>
      </c>
      <c r="C74" s="62">
        <v>130.92</v>
      </c>
      <c r="D74" s="88">
        <f t="shared" si="1"/>
        <v>130.92</v>
      </c>
      <c r="K74" s="87" t="s">
        <v>2540</v>
      </c>
      <c r="L74" s="62" t="s">
        <v>2540</v>
      </c>
      <c r="M74" s="62">
        <v>60.0</v>
      </c>
    </row>
    <row r="75">
      <c r="A75" s="62" t="s">
        <v>5110</v>
      </c>
      <c r="B75" s="62">
        <v>93.13</v>
      </c>
      <c r="C75" s="62">
        <v>93.13</v>
      </c>
      <c r="D75" s="88">
        <f t="shared" si="1"/>
        <v>93.13</v>
      </c>
      <c r="K75" s="87" t="s">
        <v>1956</v>
      </c>
      <c r="L75" s="62" t="s">
        <v>1956</v>
      </c>
      <c r="M75" s="62">
        <v>60.0</v>
      </c>
    </row>
    <row r="76">
      <c r="A76" s="62" t="s">
        <v>4830</v>
      </c>
      <c r="B76" s="62">
        <v>102.6</v>
      </c>
      <c r="C76" s="62">
        <v>102.6</v>
      </c>
      <c r="D76" s="88">
        <f t="shared" si="1"/>
        <v>102.6</v>
      </c>
      <c r="K76" s="87" t="s">
        <v>2096</v>
      </c>
      <c r="L76" s="62" t="s">
        <v>2096</v>
      </c>
      <c r="M76" s="62">
        <v>90.0</v>
      </c>
    </row>
    <row r="77">
      <c r="A77" s="62" t="s">
        <v>4794</v>
      </c>
      <c r="B77" s="62">
        <v>205.2</v>
      </c>
      <c r="C77" s="62">
        <v>205.2</v>
      </c>
      <c r="D77" s="88">
        <f t="shared" si="1"/>
        <v>205.2</v>
      </c>
      <c r="K77" s="87" t="s">
        <v>2508</v>
      </c>
      <c r="L77" s="62" t="s">
        <v>2508</v>
      </c>
      <c r="M77" s="62">
        <v>60.0</v>
      </c>
    </row>
    <row r="78">
      <c r="A78" s="62" t="s">
        <v>4351</v>
      </c>
      <c r="B78" s="62">
        <v>168.6</v>
      </c>
      <c r="C78" s="62">
        <v>168.6</v>
      </c>
      <c r="D78" s="88">
        <f t="shared" si="1"/>
        <v>168.6</v>
      </c>
      <c r="K78" s="87" t="s">
        <v>884</v>
      </c>
      <c r="L78" s="62" t="s">
        <v>884</v>
      </c>
      <c r="M78" s="62">
        <v>60.0</v>
      </c>
    </row>
    <row r="79">
      <c r="A79" s="62" t="s">
        <v>5310</v>
      </c>
      <c r="B79" s="62">
        <v>280.0</v>
      </c>
      <c r="C79" s="62">
        <v>280.0</v>
      </c>
      <c r="D79" s="88">
        <f t="shared" si="1"/>
        <v>280</v>
      </c>
      <c r="K79" s="87" t="s">
        <v>922</v>
      </c>
      <c r="L79" s="62" t="s">
        <v>922</v>
      </c>
      <c r="M79" s="62">
        <v>90.0</v>
      </c>
    </row>
    <row r="80">
      <c r="A80" s="62" t="s">
        <v>5044</v>
      </c>
      <c r="B80" s="62">
        <v>98.2</v>
      </c>
      <c r="C80" s="62">
        <v>98.2</v>
      </c>
      <c r="D80" s="88">
        <f t="shared" si="1"/>
        <v>98.2</v>
      </c>
      <c r="K80" s="87" t="s">
        <v>5412</v>
      </c>
      <c r="L80" s="62" t="s">
        <v>5412</v>
      </c>
      <c r="M80" s="62">
        <v>90.0</v>
      </c>
    </row>
    <row r="81">
      <c r="A81" s="62" t="s">
        <v>4888</v>
      </c>
      <c r="B81" s="62">
        <v>116.36</v>
      </c>
      <c r="C81" s="62">
        <v>116.36</v>
      </c>
      <c r="D81" s="88">
        <f t="shared" si="1"/>
        <v>116.36</v>
      </c>
      <c r="K81" s="87" t="s">
        <v>5420</v>
      </c>
      <c r="L81" s="62" t="s">
        <v>5420</v>
      </c>
      <c r="M81" s="62">
        <v>90.0</v>
      </c>
    </row>
    <row r="82">
      <c r="A82" s="62" t="s">
        <v>5013</v>
      </c>
      <c r="B82" s="62">
        <v>232.72</v>
      </c>
      <c r="C82" s="62">
        <v>232.72</v>
      </c>
      <c r="D82" s="88">
        <f t="shared" si="1"/>
        <v>232.72</v>
      </c>
      <c r="K82" s="87" t="s">
        <v>5612</v>
      </c>
      <c r="L82" s="62" t="s">
        <v>2570</v>
      </c>
      <c r="M82" s="62">
        <v>90.0</v>
      </c>
    </row>
    <row r="83">
      <c r="A83" s="62" t="s">
        <v>3942</v>
      </c>
      <c r="B83" s="62">
        <v>349.08</v>
      </c>
      <c r="C83" s="62">
        <v>349.08</v>
      </c>
      <c r="D83" s="88">
        <f t="shared" si="1"/>
        <v>349.08</v>
      </c>
      <c r="K83" s="87" t="s">
        <v>1754</v>
      </c>
      <c r="L83" s="62" t="s">
        <v>1754</v>
      </c>
      <c r="M83" s="62">
        <v>90.0</v>
      </c>
    </row>
    <row r="84">
      <c r="A84" s="62" t="s">
        <v>4658</v>
      </c>
      <c r="B84" s="62">
        <v>307.5</v>
      </c>
      <c r="C84" s="62">
        <v>307.5</v>
      </c>
      <c r="D84" s="88">
        <f t="shared" si="1"/>
        <v>307.5</v>
      </c>
      <c r="K84" s="87" t="s">
        <v>1188</v>
      </c>
      <c r="L84" s="62" t="s">
        <v>1188</v>
      </c>
      <c r="M84" s="62">
        <v>60.0</v>
      </c>
    </row>
    <row r="85">
      <c r="A85" s="62" t="s">
        <v>5272</v>
      </c>
      <c r="B85" s="62">
        <v>480.0</v>
      </c>
      <c r="C85" s="62">
        <v>480.0</v>
      </c>
      <c r="D85" s="88">
        <f t="shared" si="1"/>
        <v>480</v>
      </c>
      <c r="K85" s="87" t="s">
        <v>1120</v>
      </c>
      <c r="L85" s="62" t="s">
        <v>1120</v>
      </c>
      <c r="M85" s="62">
        <v>60.0</v>
      </c>
    </row>
    <row r="86">
      <c r="A86" s="62" t="s">
        <v>5020</v>
      </c>
      <c r="B86" s="62">
        <v>85.5</v>
      </c>
      <c r="C86" s="62">
        <v>85.5</v>
      </c>
      <c r="D86" s="88">
        <f t="shared" si="1"/>
        <v>85.5</v>
      </c>
      <c r="K86" s="87" t="s">
        <v>1171</v>
      </c>
      <c r="L86" s="62" t="s">
        <v>1171</v>
      </c>
      <c r="M86" s="62">
        <v>60.0</v>
      </c>
    </row>
    <row r="87">
      <c r="A87" s="62" t="s">
        <v>2907</v>
      </c>
      <c r="B87" s="62">
        <v>116.28</v>
      </c>
      <c r="C87" s="62">
        <v>116.28</v>
      </c>
      <c r="D87" s="88">
        <f t="shared" si="1"/>
        <v>116.28</v>
      </c>
      <c r="K87" s="87" t="s">
        <v>5613</v>
      </c>
      <c r="L87" s="62" t="s">
        <v>2169</v>
      </c>
      <c r="M87" s="62">
        <v>90.0</v>
      </c>
    </row>
    <row r="88">
      <c r="A88" s="62" t="s">
        <v>5123</v>
      </c>
      <c r="B88" s="62">
        <v>166.98</v>
      </c>
      <c r="C88" s="62">
        <v>166.98</v>
      </c>
      <c r="D88" s="88">
        <f t="shared" si="1"/>
        <v>166.98</v>
      </c>
      <c r="K88" s="87" t="s">
        <v>2191</v>
      </c>
      <c r="L88" s="62" t="s">
        <v>2191</v>
      </c>
      <c r="M88" s="62">
        <v>90.0</v>
      </c>
    </row>
    <row r="89">
      <c r="A89" s="62" t="s">
        <v>5095</v>
      </c>
      <c r="B89" s="62">
        <v>109.19</v>
      </c>
      <c r="C89" s="62">
        <v>109.19</v>
      </c>
      <c r="D89" s="88">
        <f t="shared" si="1"/>
        <v>109.19</v>
      </c>
      <c r="K89" s="87" t="s">
        <v>1683</v>
      </c>
      <c r="L89" s="62" t="s">
        <v>1683</v>
      </c>
      <c r="M89" s="62">
        <v>60.0</v>
      </c>
    </row>
    <row r="90">
      <c r="A90" s="62" t="s">
        <v>4930</v>
      </c>
      <c r="B90" s="62">
        <v>117.37</v>
      </c>
      <c r="C90" s="62">
        <v>117.37</v>
      </c>
      <c r="D90" s="88">
        <f t="shared" si="1"/>
        <v>117.37</v>
      </c>
      <c r="K90" s="87" t="s">
        <v>1925</v>
      </c>
      <c r="L90" s="62" t="s">
        <v>1925</v>
      </c>
      <c r="M90" s="62">
        <v>60.0</v>
      </c>
    </row>
    <row r="91">
      <c r="A91" s="62" t="s">
        <v>4401</v>
      </c>
      <c r="B91" s="62">
        <v>257.82</v>
      </c>
      <c r="C91" s="62">
        <v>257.82</v>
      </c>
      <c r="D91" s="88">
        <f t="shared" si="1"/>
        <v>257.82</v>
      </c>
      <c r="K91" s="87" t="s">
        <v>2003</v>
      </c>
      <c r="L91" s="62" t="s">
        <v>2003</v>
      </c>
      <c r="M91" s="62">
        <v>90.0</v>
      </c>
    </row>
    <row r="92">
      <c r="A92" s="62" t="s">
        <v>3998</v>
      </c>
      <c r="B92" s="62">
        <v>123.78</v>
      </c>
      <c r="C92" s="62">
        <v>123.78</v>
      </c>
      <c r="D92" s="88">
        <f t="shared" si="1"/>
        <v>123.78</v>
      </c>
      <c r="K92" s="87" t="s">
        <v>1574</v>
      </c>
      <c r="L92" s="62" t="s">
        <v>1574</v>
      </c>
      <c r="M92" s="62">
        <v>60.0</v>
      </c>
    </row>
    <row r="93">
      <c r="A93" s="62" t="s">
        <v>5284</v>
      </c>
      <c r="B93" s="62">
        <v>97.98</v>
      </c>
      <c r="C93" s="62">
        <v>97.98</v>
      </c>
      <c r="D93" s="88">
        <f t="shared" si="1"/>
        <v>97.98</v>
      </c>
      <c r="K93" s="87" t="s">
        <v>2033</v>
      </c>
      <c r="L93" s="62" t="s">
        <v>2033</v>
      </c>
      <c r="M93" s="62">
        <v>60.0</v>
      </c>
    </row>
    <row r="94">
      <c r="A94" s="62" t="s">
        <v>4554</v>
      </c>
      <c r="B94" s="62">
        <v>115.72</v>
      </c>
      <c r="C94" s="62">
        <v>115.72</v>
      </c>
      <c r="D94" s="88">
        <f t="shared" si="1"/>
        <v>115.72</v>
      </c>
      <c r="K94" s="87" t="s">
        <v>425</v>
      </c>
      <c r="L94" s="62" t="s">
        <v>425</v>
      </c>
      <c r="M94" s="62">
        <v>90.0</v>
      </c>
    </row>
    <row r="95">
      <c r="A95" s="62" t="s">
        <v>5031</v>
      </c>
      <c r="B95" s="62">
        <v>114.31</v>
      </c>
      <c r="C95" s="62">
        <v>114.31</v>
      </c>
      <c r="D95" s="88">
        <f t="shared" si="1"/>
        <v>114.31</v>
      </c>
      <c r="K95" s="87" t="s">
        <v>357</v>
      </c>
      <c r="L95" s="62" t="s">
        <v>357</v>
      </c>
      <c r="M95" s="62">
        <v>90.0</v>
      </c>
    </row>
    <row r="96">
      <c r="A96" s="62" t="s">
        <v>4642</v>
      </c>
      <c r="B96" s="62">
        <v>254.1</v>
      </c>
      <c r="C96" s="62">
        <v>254.1</v>
      </c>
      <c r="D96" s="88">
        <f t="shared" si="1"/>
        <v>254.1</v>
      </c>
      <c r="K96" s="87" t="s">
        <v>402</v>
      </c>
      <c r="L96" s="62" t="s">
        <v>402</v>
      </c>
      <c r="M96" s="62">
        <v>60.0</v>
      </c>
    </row>
    <row r="97">
      <c r="A97" s="62" t="s">
        <v>5386</v>
      </c>
      <c r="D97" s="88" t="str">
        <f t="shared" si="1"/>
        <v/>
      </c>
      <c r="K97" s="87" t="s">
        <v>2293</v>
      </c>
      <c r="L97" s="62" t="s">
        <v>2293</v>
      </c>
      <c r="M97" s="62">
        <v>60.0</v>
      </c>
    </row>
    <row r="98">
      <c r="A98" s="62" t="s">
        <v>5614</v>
      </c>
      <c r="D98" s="88" t="str">
        <f t="shared" si="1"/>
        <v/>
      </c>
      <c r="K98" s="87" t="s">
        <v>5615</v>
      </c>
      <c r="L98" s="62" t="s">
        <v>1331</v>
      </c>
      <c r="M98" s="62">
        <v>60.0</v>
      </c>
    </row>
    <row r="99">
      <c r="A99" s="62" t="s">
        <v>4115</v>
      </c>
      <c r="B99" s="62">
        <v>103.2</v>
      </c>
      <c r="C99" s="62">
        <v>103.2</v>
      </c>
      <c r="D99" s="88">
        <f t="shared" si="1"/>
        <v>103.2</v>
      </c>
      <c r="K99" s="87" t="s">
        <v>5616</v>
      </c>
      <c r="L99" s="62" t="s">
        <v>1341</v>
      </c>
      <c r="M99" s="62">
        <v>60.0</v>
      </c>
    </row>
    <row r="100">
      <c r="A100" s="62" t="s">
        <v>4673</v>
      </c>
      <c r="B100" s="62">
        <v>214.39</v>
      </c>
      <c r="C100" s="62">
        <v>214.39</v>
      </c>
      <c r="D100" s="88">
        <f t="shared" si="1"/>
        <v>214.39</v>
      </c>
      <c r="K100" s="87" t="s">
        <v>338</v>
      </c>
      <c r="L100" s="62" t="s">
        <v>338</v>
      </c>
      <c r="M100" s="62">
        <v>90.0</v>
      </c>
    </row>
    <row r="101">
      <c r="A101" s="62" t="s">
        <v>5134</v>
      </c>
      <c r="B101" s="62">
        <v>152.69</v>
      </c>
      <c r="C101" s="62">
        <v>152.69</v>
      </c>
      <c r="D101" s="88">
        <f t="shared" si="1"/>
        <v>152.69</v>
      </c>
      <c r="K101" s="87" t="s">
        <v>2109</v>
      </c>
      <c r="L101" s="62" t="s">
        <v>2109</v>
      </c>
      <c r="M101" s="62">
        <v>90.0</v>
      </c>
    </row>
    <row r="102">
      <c r="A102" s="62" t="s">
        <v>5225</v>
      </c>
      <c r="B102" s="62">
        <v>156.52</v>
      </c>
      <c r="C102" s="62">
        <v>156.52</v>
      </c>
      <c r="D102" s="88">
        <f t="shared" si="1"/>
        <v>156.52</v>
      </c>
      <c r="K102" s="87" t="s">
        <v>903</v>
      </c>
      <c r="L102" s="62" t="s">
        <v>903</v>
      </c>
      <c r="M102" s="62">
        <v>60.0</v>
      </c>
    </row>
    <row r="103">
      <c r="A103" s="62" t="s">
        <v>3000</v>
      </c>
      <c r="B103" s="62">
        <v>93.34</v>
      </c>
      <c r="C103" s="62">
        <v>94.3</v>
      </c>
      <c r="D103" s="88">
        <f t="shared" si="1"/>
        <v>94.3</v>
      </c>
      <c r="K103" s="87" t="s">
        <v>1736</v>
      </c>
      <c r="L103" s="62" t="s">
        <v>1736</v>
      </c>
      <c r="M103" s="62">
        <v>60.0</v>
      </c>
    </row>
    <row r="104">
      <c r="A104" s="62" t="s">
        <v>3262</v>
      </c>
      <c r="B104" s="62">
        <v>164.69</v>
      </c>
      <c r="C104" s="62">
        <v>164.69</v>
      </c>
      <c r="D104" s="88">
        <f t="shared" si="1"/>
        <v>164.69</v>
      </c>
      <c r="K104" s="87" t="s">
        <v>1772</v>
      </c>
      <c r="L104" s="62" t="s">
        <v>1772</v>
      </c>
      <c r="M104" s="62">
        <v>60.0</v>
      </c>
    </row>
    <row r="105">
      <c r="A105" s="62" t="s">
        <v>5349</v>
      </c>
      <c r="B105" s="62">
        <v>87.5</v>
      </c>
      <c r="C105" s="62">
        <v>87.5</v>
      </c>
      <c r="D105" s="88">
        <f t="shared" si="1"/>
        <v>87.5</v>
      </c>
      <c r="K105" s="87" t="s">
        <v>1794</v>
      </c>
      <c r="L105" s="62" t="s">
        <v>1794</v>
      </c>
      <c r="M105" s="62">
        <v>60.0</v>
      </c>
    </row>
    <row r="106">
      <c r="A106" s="62" t="s">
        <v>4174</v>
      </c>
      <c r="B106" s="62">
        <v>149.62</v>
      </c>
      <c r="C106" s="62">
        <v>149.62</v>
      </c>
      <c r="D106" s="88">
        <f t="shared" si="1"/>
        <v>149.62</v>
      </c>
      <c r="K106" s="87" t="s">
        <v>2591</v>
      </c>
      <c r="L106" s="62" t="s">
        <v>2591</v>
      </c>
      <c r="M106" s="62">
        <v>90.0</v>
      </c>
    </row>
    <row r="107">
      <c r="A107" s="62" t="s">
        <v>2682</v>
      </c>
      <c r="B107" s="62">
        <v>105.0</v>
      </c>
      <c r="C107" s="62">
        <v>105.0</v>
      </c>
      <c r="D107" s="88">
        <f t="shared" si="1"/>
        <v>105</v>
      </c>
      <c r="K107" s="87" t="s">
        <v>1899</v>
      </c>
      <c r="L107" s="62" t="s">
        <v>1899</v>
      </c>
      <c r="M107" s="62">
        <v>90.0</v>
      </c>
    </row>
    <row r="108">
      <c r="A108" s="62" t="s">
        <v>3435</v>
      </c>
      <c r="B108" s="62">
        <v>116.85</v>
      </c>
      <c r="C108" s="62">
        <v>116.85</v>
      </c>
      <c r="D108" s="88">
        <f t="shared" si="1"/>
        <v>116.85</v>
      </c>
      <c r="K108" s="87" t="s">
        <v>2392</v>
      </c>
      <c r="L108" s="62" t="s">
        <v>2392</v>
      </c>
      <c r="M108" s="62">
        <v>60.0</v>
      </c>
    </row>
    <row r="109">
      <c r="A109" s="62" t="s">
        <v>3331</v>
      </c>
      <c r="B109" s="62">
        <v>120.41</v>
      </c>
      <c r="C109" s="62">
        <v>120.41</v>
      </c>
      <c r="D109" s="88">
        <f t="shared" si="1"/>
        <v>120.41</v>
      </c>
      <c r="K109" s="87" t="s">
        <v>1270</v>
      </c>
      <c r="L109" s="62" t="s">
        <v>1270</v>
      </c>
      <c r="M109" s="62">
        <v>60.0</v>
      </c>
    </row>
    <row r="110">
      <c r="A110" s="62" t="s">
        <v>4804</v>
      </c>
      <c r="B110" s="62">
        <v>77.0</v>
      </c>
      <c r="C110" s="62">
        <v>77.0</v>
      </c>
      <c r="D110" s="88">
        <f t="shared" si="1"/>
        <v>77</v>
      </c>
      <c r="K110" s="87" t="s">
        <v>1284</v>
      </c>
      <c r="L110" s="62" t="s">
        <v>1284</v>
      </c>
      <c r="M110" s="62">
        <v>60.0</v>
      </c>
    </row>
    <row r="111">
      <c r="A111" s="62" t="s">
        <v>2890</v>
      </c>
      <c r="B111" s="62">
        <v>114.12</v>
      </c>
      <c r="C111" s="62">
        <v>114.12</v>
      </c>
      <c r="D111" s="88">
        <f t="shared" si="1"/>
        <v>114.12</v>
      </c>
      <c r="K111" s="87" t="s">
        <v>5617</v>
      </c>
      <c r="L111" s="62" t="s">
        <v>934</v>
      </c>
      <c r="M111" s="62">
        <v>90.0</v>
      </c>
    </row>
    <row r="112">
      <c r="A112" s="62" t="s">
        <v>3611</v>
      </c>
      <c r="B112" s="62">
        <v>98.37</v>
      </c>
      <c r="C112" s="62">
        <v>98.37</v>
      </c>
      <c r="D112" s="88">
        <f t="shared" si="1"/>
        <v>98.37</v>
      </c>
      <c r="K112" s="87" t="s">
        <v>1307</v>
      </c>
      <c r="L112" s="62" t="s">
        <v>1307</v>
      </c>
      <c r="M112" s="62">
        <v>60.0</v>
      </c>
    </row>
    <row r="113">
      <c r="A113" s="62" t="s">
        <v>4325</v>
      </c>
      <c r="B113" s="62">
        <v>114.47</v>
      </c>
      <c r="C113" s="62">
        <v>114.47</v>
      </c>
      <c r="D113" s="88">
        <f t="shared" si="1"/>
        <v>114.47</v>
      </c>
      <c r="K113" s="87" t="s">
        <v>991</v>
      </c>
      <c r="L113" s="62" t="s">
        <v>991</v>
      </c>
      <c r="M113" s="62">
        <v>60.0</v>
      </c>
    </row>
    <row r="114">
      <c r="A114" s="62" t="s">
        <v>3820</v>
      </c>
      <c r="B114" s="62">
        <v>61.55</v>
      </c>
      <c r="C114" s="62">
        <v>61.55</v>
      </c>
      <c r="D114" s="88">
        <f t="shared" si="1"/>
        <v>61.55</v>
      </c>
      <c r="K114" s="87" t="s">
        <v>1555</v>
      </c>
      <c r="L114" s="62" t="s">
        <v>1555</v>
      </c>
      <c r="M114" s="62">
        <v>90.0</v>
      </c>
    </row>
    <row r="115">
      <c r="A115" s="62" t="s">
        <v>3156</v>
      </c>
      <c r="B115" s="62">
        <v>111.2</v>
      </c>
      <c r="C115" s="62">
        <v>111.2</v>
      </c>
      <c r="D115" s="88">
        <f t="shared" si="1"/>
        <v>111.2</v>
      </c>
      <c r="K115" s="87" t="s">
        <v>2264</v>
      </c>
      <c r="L115" s="62" t="s">
        <v>2264</v>
      </c>
      <c r="M115" s="62">
        <v>60.0</v>
      </c>
    </row>
    <row r="116">
      <c r="A116" s="62" t="s">
        <v>3859</v>
      </c>
      <c r="B116" s="62">
        <v>170.0</v>
      </c>
      <c r="C116" s="62">
        <v>170.0</v>
      </c>
      <c r="D116" s="88">
        <f t="shared" si="1"/>
        <v>170</v>
      </c>
      <c r="K116" s="87" t="s">
        <v>2268</v>
      </c>
      <c r="L116" s="62" t="s">
        <v>2268</v>
      </c>
      <c r="M116" s="62">
        <v>90.0</v>
      </c>
    </row>
    <row r="117">
      <c r="A117" s="62" t="s">
        <v>4851</v>
      </c>
      <c r="B117" s="62">
        <v>183.7</v>
      </c>
      <c r="C117" s="62">
        <v>183.7</v>
      </c>
      <c r="D117" s="88">
        <f t="shared" si="1"/>
        <v>183.7</v>
      </c>
      <c r="K117" s="87" t="s">
        <v>1914</v>
      </c>
      <c r="L117" s="62" t="s">
        <v>1914</v>
      </c>
      <c r="M117" s="62">
        <v>90.0</v>
      </c>
    </row>
    <row r="118">
      <c r="A118" s="62" t="s">
        <v>4279</v>
      </c>
      <c r="B118" s="62">
        <v>116.8</v>
      </c>
      <c r="C118" s="62">
        <v>116.8</v>
      </c>
      <c r="D118" s="88">
        <f t="shared" si="1"/>
        <v>116.8</v>
      </c>
      <c r="K118" s="87" t="s">
        <v>2578</v>
      </c>
      <c r="L118" s="62" t="s">
        <v>2578</v>
      </c>
      <c r="M118" s="62">
        <v>60.0</v>
      </c>
    </row>
    <row r="119">
      <c r="A119" s="62" t="s">
        <v>5618</v>
      </c>
      <c r="B119" s="62">
        <v>90.6</v>
      </c>
      <c r="C119" s="62">
        <v>90.6</v>
      </c>
      <c r="D119" s="88">
        <f t="shared" si="1"/>
        <v>90.6</v>
      </c>
      <c r="K119" s="87" t="s">
        <v>2406</v>
      </c>
      <c r="L119" s="62" t="s">
        <v>2406</v>
      </c>
      <c r="M119" s="62">
        <v>60.0</v>
      </c>
    </row>
    <row r="120">
      <c r="A120" s="62" t="s">
        <v>2836</v>
      </c>
      <c r="B120" s="62">
        <v>153.4</v>
      </c>
      <c r="C120" s="62">
        <v>153.4</v>
      </c>
      <c r="D120" s="88">
        <f t="shared" si="1"/>
        <v>153.4</v>
      </c>
      <c r="K120" s="87" t="s">
        <v>2431</v>
      </c>
      <c r="L120" s="62" t="s">
        <v>2431</v>
      </c>
      <c r="M120" s="62">
        <v>90.0</v>
      </c>
    </row>
    <row r="121">
      <c r="A121" s="62" t="s">
        <v>2858</v>
      </c>
      <c r="B121" s="62">
        <v>113.89</v>
      </c>
      <c r="C121" s="62">
        <v>113.89</v>
      </c>
      <c r="D121" s="88">
        <f t="shared" si="1"/>
        <v>113.89</v>
      </c>
      <c r="K121" s="87" t="s">
        <v>534</v>
      </c>
      <c r="L121" s="62" t="s">
        <v>534</v>
      </c>
      <c r="M121" s="62">
        <v>60.0</v>
      </c>
    </row>
    <row r="122">
      <c r="A122" s="62" t="s">
        <v>4408</v>
      </c>
      <c r="B122" s="62">
        <v>138.0</v>
      </c>
      <c r="C122" s="62">
        <v>138.0</v>
      </c>
      <c r="D122" s="88">
        <f t="shared" si="1"/>
        <v>138</v>
      </c>
      <c r="K122" s="87" t="s">
        <v>1590</v>
      </c>
      <c r="L122" s="62" t="s">
        <v>1590</v>
      </c>
      <c r="M122" s="62">
        <v>90.0</v>
      </c>
    </row>
    <row r="123">
      <c r="A123" s="62" t="s">
        <v>3347</v>
      </c>
      <c r="B123" s="62">
        <v>130.0</v>
      </c>
      <c r="C123" s="62">
        <v>130.0</v>
      </c>
      <c r="D123" s="88">
        <f t="shared" si="1"/>
        <v>130</v>
      </c>
      <c r="K123" s="87" t="s">
        <v>1628</v>
      </c>
      <c r="L123" s="62" t="s">
        <v>1628</v>
      </c>
      <c r="M123" s="62">
        <v>30.0</v>
      </c>
    </row>
    <row r="124">
      <c r="A124" s="62" t="s">
        <v>4758</v>
      </c>
      <c r="B124" s="62">
        <v>117.03</v>
      </c>
      <c r="C124" s="62">
        <v>117.03</v>
      </c>
      <c r="D124" s="88">
        <f t="shared" si="1"/>
        <v>117.03</v>
      </c>
      <c r="K124" s="87" t="s">
        <v>1655</v>
      </c>
      <c r="L124" s="62" t="s">
        <v>1655</v>
      </c>
      <c r="M124" s="62">
        <v>30.0</v>
      </c>
    </row>
    <row r="125">
      <c r="A125" s="62" t="s">
        <v>3413</v>
      </c>
      <c r="B125" s="62">
        <v>116.5</v>
      </c>
      <c r="C125" s="62">
        <v>122.0</v>
      </c>
      <c r="D125" s="88">
        <f t="shared" si="1"/>
        <v>122</v>
      </c>
      <c r="K125" s="87" t="s">
        <v>1045</v>
      </c>
      <c r="L125" s="62" t="s">
        <v>1045</v>
      </c>
      <c r="M125" s="62">
        <v>60.0</v>
      </c>
    </row>
    <row r="126">
      <c r="A126" s="62" t="s">
        <v>4480</v>
      </c>
      <c r="B126" s="62">
        <v>52.55</v>
      </c>
      <c r="C126" s="62">
        <v>52.55</v>
      </c>
      <c r="D126" s="88">
        <f t="shared" si="1"/>
        <v>52.55</v>
      </c>
      <c r="K126" s="87" t="s">
        <v>5619</v>
      </c>
      <c r="L126" s="62" t="s">
        <v>2519</v>
      </c>
      <c r="M126" s="62">
        <v>90.0</v>
      </c>
    </row>
    <row r="127">
      <c r="A127" s="62" t="s">
        <v>4501</v>
      </c>
      <c r="B127" s="62">
        <v>116.1</v>
      </c>
      <c r="C127" s="62">
        <v>116.1</v>
      </c>
      <c r="D127" s="88">
        <f t="shared" si="1"/>
        <v>116.1</v>
      </c>
      <c r="K127" s="87" t="s">
        <v>1025</v>
      </c>
      <c r="L127" s="62" t="s">
        <v>1025</v>
      </c>
      <c r="M127" s="62">
        <v>90.0</v>
      </c>
    </row>
    <row r="128">
      <c r="A128" s="62" t="s">
        <v>2874</v>
      </c>
      <c r="B128" s="62">
        <v>138.32</v>
      </c>
      <c r="C128" s="62">
        <v>138.32</v>
      </c>
      <c r="D128" s="88">
        <f t="shared" si="1"/>
        <v>138.32</v>
      </c>
      <c r="K128" s="87" t="s">
        <v>1667</v>
      </c>
      <c r="L128" s="62" t="s">
        <v>1667</v>
      </c>
      <c r="M128" s="62">
        <v>60.0</v>
      </c>
    </row>
    <row r="129">
      <c r="A129" s="62" t="s">
        <v>3845</v>
      </c>
      <c r="B129" s="62">
        <v>132.65</v>
      </c>
      <c r="C129" s="62">
        <v>132.65</v>
      </c>
      <c r="D129" s="88">
        <f t="shared" si="1"/>
        <v>132.65</v>
      </c>
      <c r="K129" s="87" t="s">
        <v>282</v>
      </c>
      <c r="L129" s="62" t="s">
        <v>282</v>
      </c>
      <c r="M129" s="62">
        <v>90.0</v>
      </c>
    </row>
    <row r="130">
      <c r="A130" s="62" t="s">
        <v>5212</v>
      </c>
      <c r="B130" s="62">
        <v>241.53</v>
      </c>
      <c r="C130" s="62">
        <v>241.53</v>
      </c>
      <c r="D130" s="88">
        <f t="shared" si="1"/>
        <v>241.53</v>
      </c>
      <c r="K130" s="87" t="s">
        <v>819</v>
      </c>
      <c r="L130" s="62" t="s">
        <v>819</v>
      </c>
      <c r="M130" s="62">
        <v>90.0</v>
      </c>
    </row>
    <row r="131">
      <c r="A131" s="62" t="s">
        <v>5170</v>
      </c>
      <c r="B131" s="62">
        <v>114.2</v>
      </c>
      <c r="C131" s="62">
        <v>114.2</v>
      </c>
      <c r="D131" s="88">
        <f t="shared" si="1"/>
        <v>114.2</v>
      </c>
      <c r="K131" s="87" t="s">
        <v>768</v>
      </c>
      <c r="L131" s="62" t="s">
        <v>768</v>
      </c>
      <c r="M131" s="62">
        <v>90.0</v>
      </c>
    </row>
    <row r="132">
      <c r="A132" s="62" t="s">
        <v>4388</v>
      </c>
      <c r="B132" s="62">
        <v>149.0</v>
      </c>
      <c r="C132" s="62">
        <v>149.0</v>
      </c>
      <c r="D132" s="88">
        <f t="shared" si="1"/>
        <v>149</v>
      </c>
      <c r="K132" s="87" t="s">
        <v>2351</v>
      </c>
      <c r="L132" s="62" t="s">
        <v>2351</v>
      </c>
      <c r="M132" s="62">
        <v>90.0</v>
      </c>
    </row>
    <row r="133">
      <c r="A133" s="62" t="s">
        <v>5620</v>
      </c>
      <c r="B133" s="62">
        <v>180.3</v>
      </c>
      <c r="C133" s="62">
        <v>180.3</v>
      </c>
      <c r="D133" s="88">
        <f t="shared" si="1"/>
        <v>180.3</v>
      </c>
      <c r="K133" s="87" t="s">
        <v>5621</v>
      </c>
      <c r="L133" s="62" t="s">
        <v>2315</v>
      </c>
      <c r="M133" s="62">
        <v>90.0</v>
      </c>
    </row>
    <row r="134">
      <c r="A134" s="62" t="s">
        <v>4916</v>
      </c>
      <c r="B134" s="62">
        <v>136.03</v>
      </c>
      <c r="C134" s="62">
        <v>136.03</v>
      </c>
      <c r="D134" s="88">
        <f t="shared" si="1"/>
        <v>136.03</v>
      </c>
      <c r="K134" s="87" t="s">
        <v>2336</v>
      </c>
      <c r="L134" s="62" t="s">
        <v>2336</v>
      </c>
      <c r="M134" s="62">
        <v>90.0</v>
      </c>
    </row>
    <row r="135">
      <c r="A135" s="62" t="s">
        <v>3658</v>
      </c>
      <c r="B135" s="62">
        <v>196.35</v>
      </c>
      <c r="C135" s="62">
        <v>196.35</v>
      </c>
      <c r="D135" s="88">
        <f t="shared" si="1"/>
        <v>196.35</v>
      </c>
      <c r="K135" s="87" t="s">
        <v>5622</v>
      </c>
      <c r="L135" s="62" t="s">
        <v>2307</v>
      </c>
      <c r="M135" s="62">
        <v>90.0</v>
      </c>
    </row>
    <row r="136">
      <c r="A136" s="62" t="s">
        <v>3628</v>
      </c>
      <c r="B136" s="62">
        <v>114.6</v>
      </c>
      <c r="C136" s="62">
        <v>114.6</v>
      </c>
      <c r="D136" s="88">
        <f t="shared" si="1"/>
        <v>114.6</v>
      </c>
      <c r="K136" s="87" t="s">
        <v>5401</v>
      </c>
      <c r="L136" s="62" t="s">
        <v>5401</v>
      </c>
      <c r="M136" s="62">
        <v>90.0</v>
      </c>
    </row>
    <row r="137">
      <c r="A137" s="62" t="s">
        <v>4206</v>
      </c>
      <c r="B137" s="62">
        <v>89.3</v>
      </c>
      <c r="C137" s="62">
        <v>89.3</v>
      </c>
      <c r="D137" s="88">
        <f t="shared" si="1"/>
        <v>89.3</v>
      </c>
      <c r="K137" s="87" t="s">
        <v>5623</v>
      </c>
      <c r="L137" s="62" t="s">
        <v>5623</v>
      </c>
      <c r="M137" s="62">
        <v>30.0</v>
      </c>
    </row>
    <row r="138">
      <c r="A138" s="62" t="s">
        <v>3645</v>
      </c>
      <c r="B138" s="62">
        <v>253.03</v>
      </c>
      <c r="C138" s="62">
        <v>253.03</v>
      </c>
      <c r="D138" s="88">
        <f t="shared" si="1"/>
        <v>253.03</v>
      </c>
      <c r="K138" s="87" t="s">
        <v>1973</v>
      </c>
      <c r="L138" s="62" t="s">
        <v>1973</v>
      </c>
      <c r="M138" s="62">
        <v>90.0</v>
      </c>
    </row>
    <row r="139">
      <c r="A139" s="62" t="s">
        <v>3913</v>
      </c>
      <c r="B139" s="62">
        <v>280.0</v>
      </c>
      <c r="C139" s="62">
        <v>280.0</v>
      </c>
      <c r="D139" s="88">
        <f t="shared" si="1"/>
        <v>280</v>
      </c>
      <c r="K139" s="87" t="s">
        <v>852</v>
      </c>
      <c r="L139" s="62" t="s">
        <v>852</v>
      </c>
      <c r="M139" s="62">
        <v>90.0</v>
      </c>
    </row>
    <row r="140">
      <c r="A140" s="62" t="s">
        <v>5624</v>
      </c>
      <c r="B140" s="62">
        <v>151.77</v>
      </c>
      <c r="C140" s="62">
        <v>151.77</v>
      </c>
      <c r="D140" s="88">
        <f t="shared" si="1"/>
        <v>151.77</v>
      </c>
      <c r="K140" s="87" t="s">
        <v>1083</v>
      </c>
      <c r="L140" s="62" t="s">
        <v>1083</v>
      </c>
      <c r="M140" s="62">
        <v>60.0</v>
      </c>
    </row>
    <row r="141">
      <c r="A141" s="62" t="s">
        <v>3726</v>
      </c>
      <c r="B141" s="62">
        <v>207.65</v>
      </c>
      <c r="C141" s="62">
        <v>207.65</v>
      </c>
      <c r="D141" s="88">
        <f t="shared" si="1"/>
        <v>207.65</v>
      </c>
      <c r="K141" s="87" t="s">
        <v>5625</v>
      </c>
      <c r="L141" s="62" t="s">
        <v>2459</v>
      </c>
      <c r="M141" s="62">
        <v>90.0</v>
      </c>
    </row>
    <row r="142">
      <c r="A142" s="62" t="s">
        <v>2945</v>
      </c>
      <c r="B142" s="62">
        <v>241.0</v>
      </c>
      <c r="C142" s="62">
        <v>241.0</v>
      </c>
      <c r="D142" s="88">
        <f t="shared" si="1"/>
        <v>241</v>
      </c>
      <c r="K142" s="87" t="s">
        <v>2467</v>
      </c>
      <c r="L142" s="62" t="s">
        <v>2467</v>
      </c>
      <c r="M142" s="62">
        <v>60.0</v>
      </c>
    </row>
    <row r="143">
      <c r="A143" s="62" t="s">
        <v>3276</v>
      </c>
      <c r="B143" s="62">
        <v>110.0</v>
      </c>
      <c r="C143" s="62">
        <v>110.0</v>
      </c>
      <c r="D143" s="88">
        <f t="shared" si="1"/>
        <v>110</v>
      </c>
      <c r="K143" s="87" t="s">
        <v>2478</v>
      </c>
      <c r="L143" s="62" t="s">
        <v>2478</v>
      </c>
      <c r="M143" s="62">
        <v>90.0</v>
      </c>
    </row>
    <row r="144">
      <c r="A144" s="62" t="s">
        <v>4466</v>
      </c>
      <c r="B144" s="62">
        <v>105.0</v>
      </c>
      <c r="C144" s="62">
        <v>105.0</v>
      </c>
      <c r="D144" s="88">
        <f t="shared" si="1"/>
        <v>105</v>
      </c>
      <c r="K144" s="87" t="s">
        <v>2486</v>
      </c>
      <c r="L144" s="62" t="s">
        <v>2486</v>
      </c>
      <c r="M144" s="62">
        <v>90.0</v>
      </c>
    </row>
    <row r="145">
      <c r="A145" s="62" t="s">
        <v>4453</v>
      </c>
      <c r="B145" s="62">
        <v>123.54</v>
      </c>
      <c r="C145" s="62">
        <v>123.54</v>
      </c>
      <c r="D145" s="88">
        <f t="shared" si="1"/>
        <v>123.54</v>
      </c>
      <c r="K145" s="87" t="s">
        <v>2494</v>
      </c>
      <c r="L145" s="62" t="s">
        <v>2494</v>
      </c>
      <c r="M145" s="62">
        <v>90.0</v>
      </c>
    </row>
    <row r="146">
      <c r="A146" s="62" t="s">
        <v>5606</v>
      </c>
      <c r="D146" s="88" t="str">
        <f t="shared" si="1"/>
        <v/>
      </c>
      <c r="K146" s="87" t="s">
        <v>5626</v>
      </c>
      <c r="L146" s="62" t="s">
        <v>2502</v>
      </c>
      <c r="M146" s="62">
        <v>90.0</v>
      </c>
    </row>
    <row r="147">
      <c r="A147" s="62" t="s">
        <v>2781</v>
      </c>
      <c r="B147" s="62">
        <v>81.27</v>
      </c>
      <c r="C147" s="62">
        <v>99.63</v>
      </c>
      <c r="D147" s="88">
        <f t="shared" si="1"/>
        <v>99.63</v>
      </c>
      <c r="K147" s="87" t="s">
        <v>2644</v>
      </c>
      <c r="L147" s="62" t="s">
        <v>2644</v>
      </c>
      <c r="M147" s="62">
        <v>60.0</v>
      </c>
    </row>
    <row r="148">
      <c r="A148" s="62" t="s">
        <v>4610</v>
      </c>
      <c r="B148" s="62">
        <v>49.5</v>
      </c>
      <c r="C148" s="62">
        <v>49.5</v>
      </c>
      <c r="D148" s="88">
        <f t="shared" si="1"/>
        <v>49.5</v>
      </c>
      <c r="K148" s="87" t="s">
        <v>5426</v>
      </c>
      <c r="L148" s="62" t="s">
        <v>5426</v>
      </c>
      <c r="M148" s="62">
        <v>60.0</v>
      </c>
    </row>
    <row r="149">
      <c r="A149" s="62" t="s">
        <v>4187</v>
      </c>
      <c r="B149" s="62">
        <v>116.94</v>
      </c>
      <c r="C149" s="62">
        <v>116.94</v>
      </c>
      <c r="D149" s="88">
        <f t="shared" si="1"/>
        <v>116.94</v>
      </c>
      <c r="K149" s="87" t="s">
        <v>1819</v>
      </c>
      <c r="L149" s="62" t="s">
        <v>1819</v>
      </c>
      <c r="M149" s="62">
        <v>60.0</v>
      </c>
    </row>
    <row r="150">
      <c r="A150" s="62" t="s">
        <v>5627</v>
      </c>
      <c r="D150" s="88" t="str">
        <f t="shared" si="1"/>
        <v/>
      </c>
      <c r="K150" s="87" t="s">
        <v>1435</v>
      </c>
      <c r="L150" s="62" t="s">
        <v>1435</v>
      </c>
      <c r="M150" s="62">
        <v>90.0</v>
      </c>
    </row>
    <row r="151">
      <c r="A151" s="62" t="s">
        <v>5628</v>
      </c>
      <c r="D151" s="88" t="str">
        <f t="shared" si="1"/>
        <v/>
      </c>
      <c r="K151" s="87" t="s">
        <v>5629</v>
      </c>
      <c r="L151" s="62" t="s">
        <v>1936</v>
      </c>
      <c r="M151" s="62">
        <v>90.0</v>
      </c>
    </row>
    <row r="152">
      <c r="A152" s="62" t="s">
        <v>4239</v>
      </c>
      <c r="B152" s="62">
        <v>90.65</v>
      </c>
      <c r="C152" s="62">
        <v>90.65</v>
      </c>
      <c r="D152" s="88">
        <f t="shared" si="1"/>
        <v>90.65</v>
      </c>
      <c r="K152" s="87" t="s">
        <v>2363</v>
      </c>
      <c r="L152" s="62" t="s">
        <v>2363</v>
      </c>
      <c r="M152" s="62">
        <v>90.0</v>
      </c>
    </row>
    <row r="153">
      <c r="A153" s="62" t="s">
        <v>4139</v>
      </c>
      <c r="B153" s="62">
        <v>73.25</v>
      </c>
      <c r="C153" s="62">
        <v>73.25</v>
      </c>
      <c r="D153" s="88">
        <f t="shared" si="1"/>
        <v>73.25</v>
      </c>
      <c r="K153" s="87" t="s">
        <v>2123</v>
      </c>
      <c r="L153" s="62" t="s">
        <v>2123</v>
      </c>
      <c r="M153" s="62">
        <v>60.0</v>
      </c>
    </row>
    <row r="154">
      <c r="A154" s="62" t="s">
        <v>5000</v>
      </c>
      <c r="B154" s="62">
        <v>247.56</v>
      </c>
      <c r="C154" s="62">
        <v>247.56</v>
      </c>
      <c r="D154" s="88">
        <f t="shared" si="1"/>
        <v>247.56</v>
      </c>
      <c r="K154" s="87" t="s">
        <v>5630</v>
      </c>
      <c r="L154" s="62" t="s">
        <v>834</v>
      </c>
      <c r="M154" s="62">
        <v>60.0</v>
      </c>
    </row>
    <row r="155">
      <c r="A155" s="62" t="s">
        <v>3389</v>
      </c>
      <c r="B155" s="62">
        <v>276.64</v>
      </c>
      <c r="C155" s="62">
        <v>276.64</v>
      </c>
      <c r="D155" s="88">
        <f t="shared" si="1"/>
        <v>276.64</v>
      </c>
      <c r="K155" s="87" t="s">
        <v>5631</v>
      </c>
      <c r="L155" s="62" t="s">
        <v>2607</v>
      </c>
      <c r="M155" s="62">
        <v>90.0</v>
      </c>
    </row>
    <row r="156">
      <c r="A156" s="62" t="s">
        <v>4224</v>
      </c>
      <c r="B156" s="62">
        <v>78.09</v>
      </c>
      <c r="C156" s="62">
        <v>78.09</v>
      </c>
      <c r="D156" s="88">
        <f t="shared" si="1"/>
        <v>78.09</v>
      </c>
      <c r="K156" s="87" t="s">
        <v>5632</v>
      </c>
      <c r="L156" s="62" t="s">
        <v>2281</v>
      </c>
      <c r="M156" s="62">
        <v>90.0</v>
      </c>
    </row>
    <row r="157">
      <c r="A157" s="62" t="s">
        <v>4070</v>
      </c>
      <c r="B157" s="62">
        <v>98.7</v>
      </c>
      <c r="C157" s="62">
        <v>98.7</v>
      </c>
      <c r="D157" s="88">
        <f t="shared" si="1"/>
        <v>98.7</v>
      </c>
      <c r="K157" s="87" t="s">
        <v>5633</v>
      </c>
      <c r="L157" s="62" t="s">
        <v>870</v>
      </c>
      <c r="M157" s="62">
        <v>90.0</v>
      </c>
    </row>
    <row r="158">
      <c r="A158" s="62" t="s">
        <v>4691</v>
      </c>
      <c r="B158" s="62">
        <v>99.0</v>
      </c>
      <c r="C158" s="62">
        <v>99.0</v>
      </c>
      <c r="D158" s="88">
        <f t="shared" si="1"/>
        <v>99</v>
      </c>
      <c r="K158" s="87" t="s">
        <v>5634</v>
      </c>
      <c r="L158" s="62" t="s">
        <v>1292</v>
      </c>
      <c r="M158" s="62">
        <v>90.0</v>
      </c>
    </row>
    <row r="159">
      <c r="A159" s="62" t="s">
        <v>3021</v>
      </c>
      <c r="B159" s="62">
        <v>100.1</v>
      </c>
      <c r="C159" s="62">
        <v>100.1</v>
      </c>
      <c r="D159" s="88">
        <f t="shared" si="1"/>
        <v>100.1</v>
      </c>
      <c r="K159" s="87" t="s">
        <v>5635</v>
      </c>
      <c r="L159" s="62" t="s">
        <v>1314</v>
      </c>
      <c r="M159" s="62">
        <v>60.0</v>
      </c>
    </row>
    <row r="160">
      <c r="A160" s="62" t="s">
        <v>3179</v>
      </c>
      <c r="B160" s="62">
        <v>240.46</v>
      </c>
      <c r="C160" s="62">
        <v>240.46</v>
      </c>
      <c r="D160" s="88">
        <f t="shared" si="1"/>
        <v>240.46</v>
      </c>
      <c r="K160" s="87" t="s">
        <v>5636</v>
      </c>
      <c r="L160" s="62" t="s">
        <v>1203</v>
      </c>
      <c r="M160" s="62">
        <v>60.0</v>
      </c>
    </row>
    <row r="161">
      <c r="A161" s="62" t="s">
        <v>3369</v>
      </c>
      <c r="B161" s="62">
        <v>136.15</v>
      </c>
      <c r="C161" s="62">
        <v>136.15</v>
      </c>
      <c r="D161" s="88">
        <f t="shared" si="1"/>
        <v>136.15</v>
      </c>
      <c r="K161" s="87" t="s">
        <v>5637</v>
      </c>
      <c r="L161" s="62" t="s">
        <v>1100</v>
      </c>
      <c r="M161" s="62">
        <v>90.0</v>
      </c>
    </row>
    <row r="162">
      <c r="A162" s="62" t="s">
        <v>5392</v>
      </c>
      <c r="B162" s="62">
        <v>251.76</v>
      </c>
      <c r="C162" s="62">
        <v>251.76</v>
      </c>
      <c r="D162" s="88">
        <f t="shared" si="1"/>
        <v>251.76</v>
      </c>
      <c r="K162" s="87" t="s">
        <v>5638</v>
      </c>
      <c r="L162" s="62" t="s">
        <v>2143</v>
      </c>
      <c r="M162" s="62">
        <v>90.0</v>
      </c>
    </row>
    <row r="163">
      <c r="A163" s="62" t="s">
        <v>3933</v>
      </c>
      <c r="B163" s="62">
        <v>119.22</v>
      </c>
      <c r="C163" s="62">
        <v>119.22</v>
      </c>
      <c r="D163" s="88">
        <f t="shared" si="1"/>
        <v>119.22</v>
      </c>
      <c r="K163" s="87" t="s">
        <v>5639</v>
      </c>
      <c r="L163" s="62" t="s">
        <v>497</v>
      </c>
      <c r="M163" s="62">
        <v>60.0</v>
      </c>
    </row>
    <row r="164">
      <c r="A164" s="62" t="s">
        <v>4302</v>
      </c>
      <c r="B164" s="62">
        <v>122.05</v>
      </c>
      <c r="C164" s="62">
        <v>122.05</v>
      </c>
      <c r="D164" s="88">
        <f t="shared" si="1"/>
        <v>122.05</v>
      </c>
      <c r="K164" s="87" t="s">
        <v>5640</v>
      </c>
      <c r="L164" s="62" t="s">
        <v>2157</v>
      </c>
      <c r="M164" s="62">
        <v>90.0</v>
      </c>
    </row>
    <row r="165">
      <c r="A165" s="62" t="s">
        <v>5085</v>
      </c>
      <c r="B165" s="62">
        <v>109.08</v>
      </c>
      <c r="C165" s="62">
        <v>109.08</v>
      </c>
      <c r="D165" s="88">
        <f t="shared" si="1"/>
        <v>109.08</v>
      </c>
      <c r="K165" s="87" t="s">
        <v>2701</v>
      </c>
      <c r="L165" s="62" t="s">
        <v>2701</v>
      </c>
      <c r="M165" s="62">
        <v>45.0</v>
      </c>
    </row>
    <row r="166">
      <c r="A166" s="62" t="s">
        <v>3395</v>
      </c>
      <c r="B166" s="62">
        <v>107.7</v>
      </c>
      <c r="C166" s="62">
        <v>107.7</v>
      </c>
      <c r="D166" s="88">
        <f t="shared" si="1"/>
        <v>107.7</v>
      </c>
      <c r="K166" s="87" t="s">
        <v>5641</v>
      </c>
      <c r="L166" s="62" t="s">
        <v>5337</v>
      </c>
      <c r="M166" s="62">
        <v>90.0</v>
      </c>
    </row>
    <row r="167">
      <c r="A167" s="62" t="s">
        <v>3243</v>
      </c>
      <c r="B167" s="62">
        <v>140.9</v>
      </c>
      <c r="C167" s="62">
        <v>140.9</v>
      </c>
      <c r="D167" s="88">
        <f t="shared" si="1"/>
        <v>140.9</v>
      </c>
      <c r="K167" s="87" t="s">
        <v>3658</v>
      </c>
      <c r="L167" s="62" t="s">
        <v>3658</v>
      </c>
      <c r="M167" s="62">
        <v>90.0</v>
      </c>
    </row>
    <row r="168">
      <c r="A168" s="62" t="s">
        <v>3575</v>
      </c>
      <c r="B168" s="62">
        <v>129.5</v>
      </c>
      <c r="C168" s="62">
        <v>129.5</v>
      </c>
      <c r="D168" s="88">
        <f t="shared" si="1"/>
        <v>129.5</v>
      </c>
      <c r="K168" s="87" t="s">
        <v>5642</v>
      </c>
      <c r="L168" s="62" t="s">
        <v>2907</v>
      </c>
      <c r="M168" s="62">
        <v>45.0</v>
      </c>
    </row>
    <row r="169">
      <c r="A169" s="62" t="s">
        <v>3224</v>
      </c>
      <c r="B169" s="62">
        <v>129.5</v>
      </c>
      <c r="C169" s="62">
        <v>129.5</v>
      </c>
      <c r="D169" s="88">
        <f t="shared" si="1"/>
        <v>129.5</v>
      </c>
      <c r="K169" s="87" t="s">
        <v>5643</v>
      </c>
      <c r="L169" s="62" t="s">
        <v>3597</v>
      </c>
      <c r="M169" s="62">
        <v>45.0</v>
      </c>
    </row>
    <row r="170">
      <c r="A170" s="62" t="s">
        <v>4522</v>
      </c>
      <c r="B170" s="62">
        <v>180.68</v>
      </c>
      <c r="C170" s="62">
        <v>180.68</v>
      </c>
      <c r="D170" s="88">
        <f t="shared" si="1"/>
        <v>180.68</v>
      </c>
      <c r="K170" s="87" t="s">
        <v>3450</v>
      </c>
      <c r="L170" s="62" t="s">
        <v>3450</v>
      </c>
      <c r="M170" s="62">
        <v>45.0</v>
      </c>
    </row>
    <row r="171">
      <c r="A171" s="62" t="s">
        <v>3466</v>
      </c>
      <c r="B171" s="62">
        <v>115.9</v>
      </c>
      <c r="C171" s="62">
        <v>115.9</v>
      </c>
      <c r="D171" s="88">
        <f t="shared" si="1"/>
        <v>115.9</v>
      </c>
      <c r="K171" s="87" t="s">
        <v>5644</v>
      </c>
      <c r="L171" s="62" t="s">
        <v>3952</v>
      </c>
      <c r="M171" s="62">
        <v>45.0</v>
      </c>
    </row>
    <row r="172">
      <c r="A172" s="62" t="s">
        <v>3066</v>
      </c>
      <c r="B172" s="62">
        <v>127.95</v>
      </c>
      <c r="C172" s="62">
        <v>127.95</v>
      </c>
      <c r="D172" s="88">
        <f t="shared" si="1"/>
        <v>127.95</v>
      </c>
      <c r="K172" s="87" t="s">
        <v>4043</v>
      </c>
      <c r="L172" s="62" t="s">
        <v>4043</v>
      </c>
      <c r="M172" s="62">
        <v>45.0</v>
      </c>
    </row>
    <row r="173">
      <c r="A173" s="62" t="s">
        <v>3738</v>
      </c>
      <c r="B173" s="62">
        <v>149.62</v>
      </c>
      <c r="C173" s="62">
        <v>149.62</v>
      </c>
      <c r="D173" s="88">
        <f t="shared" si="1"/>
        <v>149.62</v>
      </c>
      <c r="K173" s="87" t="s">
        <v>4279</v>
      </c>
      <c r="L173" s="62" t="s">
        <v>4279</v>
      </c>
      <c r="M173" s="62">
        <v>90.0</v>
      </c>
    </row>
    <row r="174">
      <c r="A174" s="62" t="s">
        <v>3533</v>
      </c>
      <c r="B174" s="62">
        <v>129.1</v>
      </c>
      <c r="C174" s="62">
        <v>129.1</v>
      </c>
      <c r="D174" s="88">
        <f t="shared" si="1"/>
        <v>129.1</v>
      </c>
      <c r="K174" s="87" t="s">
        <v>4943</v>
      </c>
      <c r="L174" s="62" t="s">
        <v>4943</v>
      </c>
      <c r="M174" s="62">
        <v>45.0</v>
      </c>
    </row>
    <row r="175">
      <c r="A175" s="62" t="s">
        <v>2982</v>
      </c>
      <c r="B175" s="62">
        <v>589.74</v>
      </c>
      <c r="C175" s="62">
        <v>596.28</v>
      </c>
      <c r="D175" s="88">
        <f t="shared" si="1"/>
        <v>596.28</v>
      </c>
      <c r="K175" s="87" t="s">
        <v>3491</v>
      </c>
      <c r="L175" s="62" t="s">
        <v>3491</v>
      </c>
      <c r="M175" s="62">
        <v>45.0</v>
      </c>
    </row>
    <row r="176">
      <c r="A176" s="62" t="s">
        <v>3506</v>
      </c>
      <c r="B176" s="62">
        <v>104.9</v>
      </c>
      <c r="C176" s="62">
        <v>104.9</v>
      </c>
      <c r="D176" s="88">
        <f t="shared" si="1"/>
        <v>104.9</v>
      </c>
      <c r="K176" s="87" t="s">
        <v>3901</v>
      </c>
      <c r="L176" s="62" t="s">
        <v>3901</v>
      </c>
      <c r="M176" s="62">
        <v>45.0</v>
      </c>
    </row>
    <row r="177">
      <c r="A177" s="62" t="s">
        <v>3301</v>
      </c>
      <c r="B177" s="62">
        <v>120.0</v>
      </c>
      <c r="C177" s="62">
        <v>120.0</v>
      </c>
      <c r="D177" s="88">
        <f t="shared" si="1"/>
        <v>120</v>
      </c>
      <c r="K177" s="87" t="s">
        <v>3738</v>
      </c>
      <c r="L177" s="62" t="s">
        <v>3738</v>
      </c>
      <c r="M177" s="62">
        <v>90.0</v>
      </c>
    </row>
    <row r="178">
      <c r="A178" s="62" t="s">
        <v>4897</v>
      </c>
      <c r="B178" s="62">
        <v>125.68</v>
      </c>
      <c r="C178" s="62">
        <v>125.68</v>
      </c>
      <c r="D178" s="88">
        <f t="shared" si="1"/>
        <v>125.68</v>
      </c>
      <c r="K178" s="87" t="s">
        <v>3466</v>
      </c>
      <c r="L178" s="62" t="s">
        <v>3466</v>
      </c>
      <c r="M178" s="62">
        <v>60.0</v>
      </c>
    </row>
    <row r="179">
      <c r="A179" s="62" t="s">
        <v>2919</v>
      </c>
      <c r="B179" s="62">
        <v>133.65</v>
      </c>
      <c r="C179" s="62">
        <v>133.65</v>
      </c>
      <c r="D179" s="88">
        <f t="shared" si="1"/>
        <v>133.65</v>
      </c>
      <c r="K179" s="87" t="s">
        <v>3859</v>
      </c>
      <c r="L179" s="62" t="s">
        <v>3859</v>
      </c>
      <c r="M179" s="62">
        <v>90.0</v>
      </c>
    </row>
    <row r="180">
      <c r="A180" s="62" t="s">
        <v>4094</v>
      </c>
      <c r="B180" s="62">
        <v>147.85</v>
      </c>
      <c r="C180" s="62">
        <v>147.85</v>
      </c>
      <c r="D180" s="88">
        <f t="shared" si="1"/>
        <v>147.85</v>
      </c>
      <c r="K180" s="87" t="s">
        <v>4036</v>
      </c>
      <c r="L180" s="62" t="s">
        <v>4036</v>
      </c>
      <c r="M180" s="62">
        <v>45.0</v>
      </c>
    </row>
    <row r="181">
      <c r="A181" s="62" t="s">
        <v>5645</v>
      </c>
      <c r="B181" s="62">
        <v>143.82</v>
      </c>
      <c r="C181" s="62">
        <v>143.82</v>
      </c>
      <c r="D181" s="88">
        <f t="shared" si="1"/>
        <v>143.82</v>
      </c>
      <c r="K181" s="87" t="s">
        <v>5646</v>
      </c>
      <c r="L181" s="62" t="s">
        <v>4642</v>
      </c>
      <c r="M181" s="62">
        <v>60.0</v>
      </c>
    </row>
    <row r="182">
      <c r="A182" s="62" t="s">
        <v>3092</v>
      </c>
      <c r="B182" s="62">
        <v>77.27</v>
      </c>
      <c r="C182" s="62">
        <v>77.27</v>
      </c>
      <c r="D182" s="88">
        <f t="shared" si="1"/>
        <v>77.27</v>
      </c>
      <c r="K182" s="87" t="s">
        <v>3575</v>
      </c>
      <c r="L182" s="62" t="s">
        <v>3575</v>
      </c>
      <c r="M182" s="62">
        <v>60.0</v>
      </c>
    </row>
    <row r="183">
      <c r="A183" s="62" t="s">
        <v>3201</v>
      </c>
      <c r="B183" s="62">
        <v>52.55</v>
      </c>
      <c r="C183" s="62">
        <v>52.55</v>
      </c>
      <c r="D183" s="88">
        <f t="shared" si="1"/>
        <v>52.55</v>
      </c>
      <c r="K183" s="87" t="s">
        <v>4174</v>
      </c>
      <c r="L183" s="62" t="s">
        <v>4174</v>
      </c>
      <c r="M183" s="62">
        <v>90.0</v>
      </c>
    </row>
    <row r="184">
      <c r="A184" s="62" t="s">
        <v>5647</v>
      </c>
      <c r="B184" s="62">
        <v>91.3</v>
      </c>
      <c r="C184" s="62">
        <v>94.0</v>
      </c>
      <c r="D184" s="88">
        <f t="shared" si="1"/>
        <v>94</v>
      </c>
      <c r="K184" s="87" t="s">
        <v>5225</v>
      </c>
      <c r="L184" s="62" t="s">
        <v>5225</v>
      </c>
      <c r="M184" s="62">
        <v>90.0</v>
      </c>
    </row>
    <row r="185">
      <c r="A185" s="62" t="s">
        <v>5447</v>
      </c>
      <c r="B185" s="62">
        <v>256.0</v>
      </c>
      <c r="C185" s="62">
        <v>256.0</v>
      </c>
      <c r="D185" s="88">
        <f t="shared" si="1"/>
        <v>256</v>
      </c>
      <c r="K185" s="87" t="s">
        <v>4151</v>
      </c>
      <c r="L185" s="62" t="s">
        <v>4151</v>
      </c>
      <c r="M185" s="62">
        <v>45.0</v>
      </c>
    </row>
    <row r="186">
      <c r="A186" s="62" t="s">
        <v>4235</v>
      </c>
      <c r="B186" s="62">
        <v>227.78</v>
      </c>
      <c r="C186" s="62">
        <v>227.78</v>
      </c>
      <c r="D186" s="88">
        <f t="shared" si="1"/>
        <v>227.78</v>
      </c>
      <c r="K186" s="87" t="s">
        <v>4364</v>
      </c>
      <c r="L186" s="62" t="s">
        <v>4364</v>
      </c>
      <c r="M186" s="62">
        <v>90.0</v>
      </c>
    </row>
    <row r="187">
      <c r="A187" s="62" t="s">
        <v>4494</v>
      </c>
      <c r="B187" s="62">
        <v>233.7</v>
      </c>
      <c r="C187" s="62">
        <v>233.7</v>
      </c>
      <c r="D187" s="88">
        <f t="shared" si="1"/>
        <v>233.7</v>
      </c>
      <c r="K187" s="87" t="s">
        <v>4022</v>
      </c>
      <c r="L187" s="62" t="s">
        <v>4022</v>
      </c>
      <c r="M187" s="62">
        <v>45.0</v>
      </c>
    </row>
    <row r="188">
      <c r="A188" s="62" t="s">
        <v>2732</v>
      </c>
      <c r="B188" s="62">
        <v>255.27</v>
      </c>
      <c r="C188" s="62">
        <v>255.27</v>
      </c>
      <c r="D188" s="88">
        <f t="shared" si="1"/>
        <v>255.27</v>
      </c>
      <c r="K188" s="87" t="s">
        <v>2660</v>
      </c>
      <c r="L188" s="62" t="s">
        <v>2660</v>
      </c>
      <c r="M188" s="62">
        <v>45.0</v>
      </c>
    </row>
    <row r="189">
      <c r="A189" s="62" t="s">
        <v>3552</v>
      </c>
      <c r="B189" s="62">
        <v>286.74</v>
      </c>
      <c r="C189" s="62">
        <v>286.74</v>
      </c>
      <c r="D189" s="88">
        <f t="shared" si="1"/>
        <v>286.74</v>
      </c>
      <c r="K189" s="87" t="s">
        <v>3726</v>
      </c>
      <c r="L189" s="62" t="s">
        <v>3726</v>
      </c>
      <c r="M189" s="62">
        <v>90.0</v>
      </c>
    </row>
    <row r="190">
      <c r="A190" s="62" t="s">
        <v>3905</v>
      </c>
      <c r="B190" s="62">
        <v>210.0</v>
      </c>
      <c r="C190" s="62">
        <v>210.0</v>
      </c>
      <c r="D190" s="88">
        <f t="shared" si="1"/>
        <v>210</v>
      </c>
      <c r="K190" s="87" t="s">
        <v>3886</v>
      </c>
      <c r="L190" s="62" t="s">
        <v>3886</v>
      </c>
      <c r="M190" s="62">
        <v>45.0</v>
      </c>
    </row>
    <row r="191">
      <c r="A191" s="62" t="s">
        <v>4580</v>
      </c>
      <c r="B191" s="62">
        <v>232.56</v>
      </c>
      <c r="C191" s="62">
        <v>232.56</v>
      </c>
      <c r="D191" s="88">
        <f t="shared" si="1"/>
        <v>232.56</v>
      </c>
      <c r="K191" s="87" t="s">
        <v>3322</v>
      </c>
      <c r="L191" s="62" t="s">
        <v>3322</v>
      </c>
      <c r="M191" s="62">
        <v>45.0</v>
      </c>
    </row>
    <row r="192">
      <c r="A192" s="62" t="s">
        <v>4603</v>
      </c>
      <c r="B192" s="62">
        <v>170.18</v>
      </c>
      <c r="C192" s="62">
        <v>170.18</v>
      </c>
      <c r="D192" s="88">
        <f t="shared" si="1"/>
        <v>170.18</v>
      </c>
      <c r="K192" s="87" t="s">
        <v>4758</v>
      </c>
      <c r="L192" s="62" t="s">
        <v>4758</v>
      </c>
      <c r="M192" s="62">
        <v>90.0</v>
      </c>
    </row>
    <row r="193">
      <c r="A193" s="62" t="s">
        <v>2740</v>
      </c>
      <c r="B193" s="62">
        <v>99.29</v>
      </c>
      <c r="C193" s="62">
        <v>99.4</v>
      </c>
      <c r="D193" s="88">
        <f t="shared" si="1"/>
        <v>99.4</v>
      </c>
      <c r="K193" s="87" t="s">
        <v>3066</v>
      </c>
      <c r="L193" s="62" t="s">
        <v>3066</v>
      </c>
      <c r="M193" s="62">
        <v>60.0</v>
      </c>
    </row>
    <row r="194">
      <c r="A194" s="62" t="s">
        <v>3045</v>
      </c>
      <c r="B194" s="62">
        <v>143.82</v>
      </c>
      <c r="C194" s="62">
        <v>143.82</v>
      </c>
      <c r="D194" s="88">
        <f t="shared" si="1"/>
        <v>143.82</v>
      </c>
      <c r="K194" s="87" t="s">
        <v>5648</v>
      </c>
      <c r="L194" s="62" t="s">
        <v>4749</v>
      </c>
      <c r="M194" s="62">
        <v>45.0</v>
      </c>
    </row>
    <row r="195">
      <c r="A195" s="62" t="s">
        <v>2954</v>
      </c>
      <c r="B195" s="62">
        <v>87.39</v>
      </c>
      <c r="C195" s="62">
        <v>87.5</v>
      </c>
      <c r="D195" s="88">
        <f t="shared" si="1"/>
        <v>87.5</v>
      </c>
      <c r="K195" s="87" t="s">
        <v>5323</v>
      </c>
      <c r="L195" s="62" t="s">
        <v>5323</v>
      </c>
      <c r="M195" s="62">
        <v>90.0</v>
      </c>
    </row>
    <row r="196">
      <c r="A196" s="62" t="s">
        <v>5397</v>
      </c>
      <c r="B196" s="62">
        <v>234.64</v>
      </c>
      <c r="C196" s="62">
        <v>234.64</v>
      </c>
      <c r="D196" s="88">
        <f t="shared" si="1"/>
        <v>234.64</v>
      </c>
      <c r="K196" s="87" t="s">
        <v>5545</v>
      </c>
      <c r="L196" s="62" t="s">
        <v>5545</v>
      </c>
      <c r="M196" s="62">
        <v>60.0</v>
      </c>
    </row>
    <row r="197">
      <c r="A197" s="62" t="s">
        <v>2970</v>
      </c>
      <c r="B197" s="62">
        <v>108.83</v>
      </c>
      <c r="C197" s="62">
        <v>108.83</v>
      </c>
      <c r="D197" s="88">
        <f t="shared" si="1"/>
        <v>108.83</v>
      </c>
      <c r="K197" s="87" t="s">
        <v>5645</v>
      </c>
      <c r="L197" s="62" t="s">
        <v>5645</v>
      </c>
      <c r="M197" s="62">
        <v>60.0</v>
      </c>
    </row>
    <row r="198">
      <c r="A198" s="62" t="s">
        <v>5242</v>
      </c>
      <c r="B198" s="62">
        <v>84.17</v>
      </c>
      <c r="C198" s="62">
        <v>84.17</v>
      </c>
      <c r="D198" s="88">
        <f t="shared" si="1"/>
        <v>84.17</v>
      </c>
      <c r="K198" s="87" t="s">
        <v>2919</v>
      </c>
      <c r="L198" s="62" t="s">
        <v>2919</v>
      </c>
      <c r="M198" s="62">
        <v>60.0</v>
      </c>
    </row>
    <row r="199">
      <c r="A199" s="62" t="s">
        <v>4339</v>
      </c>
      <c r="B199" s="62">
        <v>119.4</v>
      </c>
      <c r="C199" s="62">
        <v>119.4</v>
      </c>
      <c r="D199" s="88">
        <f t="shared" si="1"/>
        <v>119.4</v>
      </c>
      <c r="K199" s="87" t="s">
        <v>4691</v>
      </c>
      <c r="L199" s="62" t="s">
        <v>4691</v>
      </c>
      <c r="M199" s="62">
        <v>30.0</v>
      </c>
    </row>
    <row r="200">
      <c r="A200" s="62" t="s">
        <v>5198</v>
      </c>
      <c r="B200" s="62">
        <v>112.39</v>
      </c>
      <c r="C200" s="62">
        <v>112.39</v>
      </c>
      <c r="D200" s="88">
        <f t="shared" si="1"/>
        <v>112.39</v>
      </c>
      <c r="K200" s="87" t="s">
        <v>4501</v>
      </c>
      <c r="L200" s="62" t="s">
        <v>4501</v>
      </c>
      <c r="M200" s="62">
        <v>90.0</v>
      </c>
    </row>
    <row r="201">
      <c r="A201" s="62" t="s">
        <v>4716</v>
      </c>
      <c r="B201" s="62">
        <v>99.67</v>
      </c>
      <c r="C201" s="62">
        <v>99.67</v>
      </c>
      <c r="D201" s="88">
        <f t="shared" si="1"/>
        <v>99.67</v>
      </c>
      <c r="K201" s="87" t="s">
        <v>4610</v>
      </c>
      <c r="L201" s="62" t="s">
        <v>4610</v>
      </c>
      <c r="M201" s="62">
        <v>30.0</v>
      </c>
    </row>
    <row r="202">
      <c r="A202" s="62" t="s">
        <v>4728</v>
      </c>
      <c r="B202" s="62">
        <v>130.0</v>
      </c>
      <c r="C202" s="62">
        <v>130.0</v>
      </c>
      <c r="D202" s="88">
        <f t="shared" si="1"/>
        <v>130</v>
      </c>
      <c r="K202" s="87" t="s">
        <v>3798</v>
      </c>
      <c r="L202" s="62" t="s">
        <v>3798</v>
      </c>
      <c r="M202" s="62">
        <v>45.0</v>
      </c>
    </row>
    <row r="203">
      <c r="A203" s="62" t="s">
        <v>5649</v>
      </c>
      <c r="B203" s="62">
        <v>147.35</v>
      </c>
      <c r="C203" s="62">
        <v>147.35</v>
      </c>
      <c r="D203" s="88">
        <f t="shared" si="1"/>
        <v>147.35</v>
      </c>
      <c r="K203" s="87" t="s">
        <v>4224</v>
      </c>
      <c r="L203" s="62" t="s">
        <v>4224</v>
      </c>
      <c r="M203" s="62">
        <v>90.0</v>
      </c>
    </row>
    <row r="204">
      <c r="A204" s="62" t="s">
        <v>3758</v>
      </c>
      <c r="B204" s="62">
        <v>120.0</v>
      </c>
      <c r="C204" s="62">
        <v>120.0</v>
      </c>
      <c r="D204" s="88">
        <f t="shared" si="1"/>
        <v>120</v>
      </c>
      <c r="K204" s="87" t="s">
        <v>5349</v>
      </c>
      <c r="L204" s="62" t="s">
        <v>5349</v>
      </c>
      <c r="M204" s="62">
        <v>90.0</v>
      </c>
    </row>
    <row r="205">
      <c r="A205" s="62" t="s">
        <v>5261</v>
      </c>
      <c r="B205" s="62">
        <v>121.0</v>
      </c>
      <c r="C205" s="62">
        <v>121.0</v>
      </c>
      <c r="D205" s="88">
        <f t="shared" si="1"/>
        <v>121</v>
      </c>
      <c r="K205" s="87" t="s">
        <v>5467</v>
      </c>
      <c r="L205" s="62" t="s">
        <v>5467</v>
      </c>
      <c r="M205" s="62">
        <v>30.0</v>
      </c>
    </row>
    <row r="206">
      <c r="A206" s="62" t="s">
        <v>5547</v>
      </c>
      <c r="B206" s="62">
        <v>166.63</v>
      </c>
      <c r="C206" s="62">
        <v>166.63</v>
      </c>
      <c r="D206" s="88">
        <f t="shared" si="1"/>
        <v>166.63</v>
      </c>
      <c r="K206" s="87" t="s">
        <v>3790</v>
      </c>
      <c r="L206" s="62" t="s">
        <v>3790</v>
      </c>
      <c r="M206" s="62">
        <v>45.0</v>
      </c>
    </row>
    <row r="207">
      <c r="A207" s="62" t="s">
        <v>4736</v>
      </c>
      <c r="B207" s="62">
        <v>130.0</v>
      </c>
      <c r="C207" s="62">
        <v>130.0</v>
      </c>
      <c r="D207" s="88">
        <f t="shared" si="1"/>
        <v>130</v>
      </c>
      <c r="K207" s="87" t="s">
        <v>3804</v>
      </c>
      <c r="L207" s="62" t="s">
        <v>3804</v>
      </c>
      <c r="M207" s="62">
        <v>60.0</v>
      </c>
    </row>
    <row r="208">
      <c r="A208" s="62" t="s">
        <v>5650</v>
      </c>
      <c r="C208" s="62">
        <v>124.63</v>
      </c>
      <c r="D208" s="88">
        <f t="shared" si="1"/>
        <v>124.63</v>
      </c>
      <c r="K208" s="87" t="s">
        <v>5081</v>
      </c>
      <c r="L208" s="62" t="s">
        <v>5085</v>
      </c>
      <c r="M208" s="62">
        <v>45.0</v>
      </c>
    </row>
    <row r="209">
      <c r="A209" s="62" t="s">
        <v>3759</v>
      </c>
      <c r="C209" s="62">
        <v>124.0</v>
      </c>
      <c r="D209" s="88">
        <f t="shared" si="1"/>
        <v>124</v>
      </c>
      <c r="K209" s="87" t="s">
        <v>3611</v>
      </c>
      <c r="L209" s="62" t="s">
        <v>3611</v>
      </c>
      <c r="M209" s="62">
        <v>45.0</v>
      </c>
    </row>
    <row r="210">
      <c r="A210" s="62" t="s">
        <v>3760</v>
      </c>
      <c r="C210" s="62">
        <v>132.0</v>
      </c>
      <c r="D210" s="88">
        <f t="shared" si="1"/>
        <v>132</v>
      </c>
      <c r="K210" s="87" t="s">
        <v>5651</v>
      </c>
      <c r="L210" s="62" t="s">
        <v>5652</v>
      </c>
      <c r="M210" s="62">
        <v>90.0</v>
      </c>
    </row>
    <row r="211">
      <c r="A211" s="62" t="s">
        <v>3761</v>
      </c>
      <c r="C211" s="62">
        <v>122.0</v>
      </c>
      <c r="D211" s="88">
        <f t="shared" si="1"/>
        <v>122</v>
      </c>
      <c r="K211" s="87" t="s">
        <v>2764</v>
      </c>
      <c r="L211" s="62" t="s">
        <v>2764</v>
      </c>
      <c r="M211" s="62">
        <v>45.0</v>
      </c>
    </row>
    <row r="212">
      <c r="D212" s="88" t="str">
        <f t="shared" si="1"/>
        <v/>
      </c>
      <c r="K212" s="87" t="s">
        <v>3762</v>
      </c>
      <c r="L212" s="62" t="s">
        <v>3762</v>
      </c>
      <c r="M212" s="62">
        <v>45.0</v>
      </c>
    </row>
    <row r="213">
      <c r="D213" s="88" t="str">
        <f t="shared" si="1"/>
        <v/>
      </c>
      <c r="K213" s="87" t="s">
        <v>3243</v>
      </c>
      <c r="L213" s="62" t="s">
        <v>3243</v>
      </c>
      <c r="M213" s="62">
        <v>90.0</v>
      </c>
    </row>
    <row r="214">
      <c r="D214" s="88" t="str">
        <f t="shared" si="1"/>
        <v/>
      </c>
      <c r="K214" s="87" t="s">
        <v>4916</v>
      </c>
      <c r="L214" s="62" t="s">
        <v>4916</v>
      </c>
      <c r="M214" s="62">
        <v>90.0</v>
      </c>
    </row>
    <row r="215">
      <c r="D215" s="88" t="str">
        <f t="shared" si="1"/>
        <v/>
      </c>
      <c r="K215" s="87" t="s">
        <v>3156</v>
      </c>
      <c r="L215" s="62" t="s">
        <v>3156</v>
      </c>
      <c r="M215" s="62">
        <v>90.0</v>
      </c>
    </row>
    <row r="216">
      <c r="D216" s="88" t="str">
        <f t="shared" si="1"/>
        <v/>
      </c>
      <c r="K216" s="87" t="s">
        <v>5647</v>
      </c>
      <c r="L216" s="62" t="s">
        <v>5647</v>
      </c>
      <c r="M216" s="62">
        <v>90.0</v>
      </c>
    </row>
    <row r="217">
      <c r="D217" s="88" t="str">
        <f t="shared" si="1"/>
        <v/>
      </c>
      <c r="K217" s="87" t="s">
        <v>5000</v>
      </c>
      <c r="L217" s="62" t="s">
        <v>5000</v>
      </c>
      <c r="M217" s="62">
        <v>45.0</v>
      </c>
    </row>
    <row r="218">
      <c r="D218" s="88" t="str">
        <f t="shared" si="1"/>
        <v/>
      </c>
      <c r="K218" s="87" t="s">
        <v>3331</v>
      </c>
      <c r="L218" s="62" t="s">
        <v>3331</v>
      </c>
      <c r="M218" s="62">
        <v>45.0</v>
      </c>
    </row>
    <row r="219">
      <c r="D219" s="88" t="str">
        <f t="shared" si="1"/>
        <v/>
      </c>
      <c r="K219" s="87" t="s">
        <v>4187</v>
      </c>
      <c r="L219" s="62" t="s">
        <v>4187</v>
      </c>
      <c r="M219" s="62">
        <v>60.0</v>
      </c>
    </row>
    <row r="220">
      <c r="D220" s="88" t="str">
        <f t="shared" si="1"/>
        <v/>
      </c>
      <c r="K220" s="87" t="s">
        <v>5618</v>
      </c>
      <c r="L220" s="62" t="s">
        <v>5618</v>
      </c>
      <c r="M220" s="62">
        <v>60.0</v>
      </c>
    </row>
    <row r="221">
      <c r="A221" s="62" t="s">
        <v>5587</v>
      </c>
      <c r="B221" s="62" t="s">
        <v>5590</v>
      </c>
      <c r="C221" s="62" t="s">
        <v>5590</v>
      </c>
      <c r="D221" s="88" t="str">
        <f t="shared" si="1"/>
        <v>Итого</v>
      </c>
      <c r="K221" s="87" t="s">
        <v>2945</v>
      </c>
      <c r="L221" s="62" t="s">
        <v>2945</v>
      </c>
      <c r="M221" s="62">
        <v>45.0</v>
      </c>
    </row>
    <row r="222">
      <c r="A222" s="62" t="s">
        <v>5653</v>
      </c>
      <c r="B222" s="62">
        <v>109.53</v>
      </c>
      <c r="D222" s="88">
        <f t="shared" si="1"/>
        <v>109.53</v>
      </c>
      <c r="K222" s="87" t="s">
        <v>3628</v>
      </c>
      <c r="L222" s="62" t="s">
        <v>3628</v>
      </c>
      <c r="M222" s="62">
        <v>90.0</v>
      </c>
    </row>
    <row r="223">
      <c r="A223" s="62" t="s">
        <v>5654</v>
      </c>
      <c r="B223" s="62">
        <v>126.56</v>
      </c>
      <c r="D223" s="88">
        <f t="shared" si="1"/>
        <v>126.56</v>
      </c>
      <c r="K223" s="87" t="s">
        <v>3187</v>
      </c>
      <c r="L223" s="62" t="s">
        <v>3187</v>
      </c>
      <c r="M223" s="62">
        <v>45.0</v>
      </c>
    </row>
    <row r="224">
      <c r="A224" s="62" t="s">
        <v>5655</v>
      </c>
      <c r="B224" s="62">
        <v>122.44</v>
      </c>
      <c r="D224" s="88">
        <f t="shared" si="1"/>
        <v>122.44</v>
      </c>
      <c r="K224" s="87" t="s">
        <v>4480</v>
      </c>
      <c r="L224" s="62" t="s">
        <v>4480</v>
      </c>
      <c r="M224" s="62">
        <v>60.0</v>
      </c>
    </row>
    <row r="225">
      <c r="A225" s="62" t="s">
        <v>147</v>
      </c>
      <c r="B225" s="62">
        <v>53.65</v>
      </c>
      <c r="D225" s="88">
        <f t="shared" si="1"/>
        <v>53.65</v>
      </c>
      <c r="K225" s="87" t="s">
        <v>2982</v>
      </c>
      <c r="L225" s="62" t="s">
        <v>2982</v>
      </c>
      <c r="M225" s="62">
        <v>60.0</v>
      </c>
    </row>
    <row r="226">
      <c r="A226" s="62" t="s">
        <v>170</v>
      </c>
      <c r="B226" s="62">
        <v>53.65</v>
      </c>
      <c r="D226" s="88">
        <f t="shared" si="1"/>
        <v>53.65</v>
      </c>
      <c r="K226" s="87" t="s">
        <v>5170</v>
      </c>
      <c r="L226" s="62" t="s">
        <v>5170</v>
      </c>
      <c r="M226" s="62">
        <v>60.0</v>
      </c>
    </row>
    <row r="227">
      <c r="A227" s="62" t="s">
        <v>252</v>
      </c>
      <c r="B227" s="62">
        <v>53.4</v>
      </c>
      <c r="D227" s="88">
        <f t="shared" si="1"/>
        <v>53.4</v>
      </c>
      <c r="K227" s="87" t="s">
        <v>3506</v>
      </c>
      <c r="L227" s="62" t="s">
        <v>3506</v>
      </c>
      <c r="M227" s="62">
        <v>90.0</v>
      </c>
    </row>
    <row r="228">
      <c r="A228" s="62" t="s">
        <v>227</v>
      </c>
      <c r="B228" s="62">
        <v>53.4</v>
      </c>
      <c r="D228" s="88">
        <f t="shared" si="1"/>
        <v>53.4</v>
      </c>
      <c r="K228" s="87" t="s">
        <v>3871</v>
      </c>
      <c r="L228" s="62" t="s">
        <v>3871</v>
      </c>
      <c r="M228" s="62">
        <v>45.0</v>
      </c>
    </row>
    <row r="229">
      <c r="A229" s="62" t="s">
        <v>1861</v>
      </c>
      <c r="B229" s="62">
        <v>79.35</v>
      </c>
      <c r="D229" s="88">
        <f t="shared" si="1"/>
        <v>79.35</v>
      </c>
      <c r="K229" s="87" t="s">
        <v>3712</v>
      </c>
      <c r="L229" s="62" t="s">
        <v>3712</v>
      </c>
      <c r="M229" s="62">
        <v>45.0</v>
      </c>
    </row>
    <row r="230">
      <c r="A230" s="62" t="s">
        <v>196</v>
      </c>
      <c r="B230" s="62">
        <v>53.4</v>
      </c>
      <c r="D230" s="88">
        <f t="shared" si="1"/>
        <v>53.4</v>
      </c>
      <c r="K230" s="87" t="s">
        <v>3131</v>
      </c>
      <c r="L230" s="62" t="s">
        <v>3131</v>
      </c>
      <c r="M230" s="62">
        <v>45.0</v>
      </c>
    </row>
    <row r="231">
      <c r="A231" s="62" t="s">
        <v>2418</v>
      </c>
      <c r="B231" s="62">
        <v>343.7</v>
      </c>
      <c r="D231" s="88">
        <f t="shared" si="1"/>
        <v>343.7</v>
      </c>
      <c r="K231" s="87" t="s">
        <v>2716</v>
      </c>
      <c r="L231" s="62" t="s">
        <v>2716</v>
      </c>
      <c r="M231" s="62">
        <v>45.0</v>
      </c>
    </row>
    <row r="232">
      <c r="A232" s="62" t="s">
        <v>2630</v>
      </c>
      <c r="B232" s="62">
        <v>275.0</v>
      </c>
      <c r="D232" s="88">
        <f t="shared" si="1"/>
        <v>275</v>
      </c>
      <c r="K232" s="87" t="s">
        <v>4139</v>
      </c>
      <c r="L232" s="62" t="s">
        <v>4139</v>
      </c>
      <c r="M232" s="62">
        <v>60.0</v>
      </c>
    </row>
    <row r="233">
      <c r="A233" s="62" t="s">
        <v>950</v>
      </c>
      <c r="B233" s="62">
        <v>240.0</v>
      </c>
      <c r="D233" s="88">
        <f t="shared" si="1"/>
        <v>240</v>
      </c>
      <c r="K233" s="87" t="s">
        <v>4830</v>
      </c>
      <c r="L233" s="62" t="s">
        <v>4830</v>
      </c>
      <c r="M233" s="62">
        <v>45.0</v>
      </c>
    </row>
    <row r="234">
      <c r="A234" s="62" t="s">
        <v>1716</v>
      </c>
      <c r="B234" s="62">
        <v>200.0</v>
      </c>
      <c r="D234" s="88">
        <f t="shared" si="1"/>
        <v>200</v>
      </c>
      <c r="K234" s="87" t="s">
        <v>4673</v>
      </c>
      <c r="L234" s="62" t="s">
        <v>4673</v>
      </c>
      <c r="M234" s="62">
        <v>90.0</v>
      </c>
    </row>
    <row r="235">
      <c r="A235" s="62" t="s">
        <v>2621</v>
      </c>
      <c r="B235" s="62">
        <v>669.75</v>
      </c>
      <c r="D235" s="88">
        <f t="shared" si="1"/>
        <v>669.75</v>
      </c>
      <c r="K235" s="87" t="s">
        <v>5470</v>
      </c>
      <c r="L235" s="62" t="s">
        <v>3998</v>
      </c>
      <c r="M235" s="62">
        <v>45.0</v>
      </c>
    </row>
    <row r="236">
      <c r="A236" s="62" t="s">
        <v>2019</v>
      </c>
      <c r="B236" s="62">
        <v>241.0</v>
      </c>
      <c r="D236" s="88">
        <f t="shared" si="1"/>
        <v>241</v>
      </c>
      <c r="K236" s="87" t="s">
        <v>4313</v>
      </c>
      <c r="L236" s="62" t="s">
        <v>4313</v>
      </c>
      <c r="M236" s="62">
        <v>45.0</v>
      </c>
    </row>
    <row r="237">
      <c r="A237" s="62" t="s">
        <v>806</v>
      </c>
      <c r="B237" s="62">
        <v>220.77</v>
      </c>
      <c r="D237" s="88">
        <f t="shared" si="1"/>
        <v>220.77</v>
      </c>
      <c r="K237" s="87" t="s">
        <v>3224</v>
      </c>
      <c r="L237" s="62" t="s">
        <v>3224</v>
      </c>
      <c r="M237" s="62">
        <v>60.0</v>
      </c>
    </row>
    <row r="238">
      <c r="A238" s="62" t="s">
        <v>806</v>
      </c>
      <c r="B238" s="62">
        <v>220.77</v>
      </c>
      <c r="D238" s="88">
        <f t="shared" si="1"/>
        <v>220.77</v>
      </c>
      <c r="K238" s="87" t="s">
        <v>4206</v>
      </c>
      <c r="L238" s="62" t="s">
        <v>4206</v>
      </c>
      <c r="M238" s="62">
        <v>90.0</v>
      </c>
    </row>
    <row r="239">
      <c r="A239" s="62" t="s">
        <v>474</v>
      </c>
      <c r="B239" s="62">
        <v>293.0</v>
      </c>
      <c r="D239" s="88">
        <f t="shared" si="1"/>
        <v>293</v>
      </c>
      <c r="K239" s="87" t="s">
        <v>3021</v>
      </c>
      <c r="L239" s="62" t="s">
        <v>3021</v>
      </c>
      <c r="M239" s="62">
        <v>90.0</v>
      </c>
    </row>
    <row r="240">
      <c r="A240" s="62" t="s">
        <v>970</v>
      </c>
      <c r="B240" s="62">
        <v>268.0</v>
      </c>
      <c r="D240" s="88">
        <f t="shared" si="1"/>
        <v>268</v>
      </c>
      <c r="K240" s="87" t="s">
        <v>3675</v>
      </c>
      <c r="L240" s="62" t="s">
        <v>3675</v>
      </c>
      <c r="M240" s="62">
        <v>90.0</v>
      </c>
    </row>
    <row r="241">
      <c r="A241" s="62" t="s">
        <v>547</v>
      </c>
      <c r="B241" s="62">
        <v>355.96</v>
      </c>
      <c r="D241" s="88">
        <f t="shared" si="1"/>
        <v>355.96</v>
      </c>
      <c r="K241" s="87" t="s">
        <v>4453</v>
      </c>
      <c r="L241" s="62" t="s">
        <v>4453</v>
      </c>
      <c r="M241" s="62">
        <v>45.0</v>
      </c>
    </row>
    <row r="242">
      <c r="A242" s="62" t="s">
        <v>2378</v>
      </c>
      <c r="B242" s="62">
        <v>256.0</v>
      </c>
      <c r="D242" s="88">
        <f t="shared" si="1"/>
        <v>256</v>
      </c>
      <c r="K242" s="87" t="s">
        <v>3560</v>
      </c>
      <c r="L242" s="62" t="s">
        <v>3560</v>
      </c>
      <c r="M242" s="62">
        <v>45.0</v>
      </c>
    </row>
    <row r="243">
      <c r="A243" s="62" t="s">
        <v>2527</v>
      </c>
      <c r="B243" s="62">
        <v>370.0</v>
      </c>
      <c r="D243" s="88">
        <f t="shared" si="1"/>
        <v>370</v>
      </c>
      <c r="K243" s="87" t="s">
        <v>3645</v>
      </c>
      <c r="L243" s="62" t="s">
        <v>3645</v>
      </c>
      <c r="M243" s="62">
        <v>90.0</v>
      </c>
    </row>
    <row r="244">
      <c r="A244" s="62" t="s">
        <v>520</v>
      </c>
      <c r="B244" s="62">
        <v>477.54</v>
      </c>
      <c r="D244" s="88">
        <f t="shared" si="1"/>
        <v>477.54</v>
      </c>
      <c r="K244" s="87" t="s">
        <v>5146</v>
      </c>
      <c r="L244" s="62" t="s">
        <v>5146</v>
      </c>
      <c r="M244" s="62">
        <v>90.0</v>
      </c>
    </row>
    <row r="245">
      <c r="A245" s="62" t="s">
        <v>2540</v>
      </c>
      <c r="B245" s="62">
        <v>187.0</v>
      </c>
      <c r="D245" s="88">
        <f t="shared" si="1"/>
        <v>187</v>
      </c>
      <c r="K245" s="87" t="s">
        <v>4466</v>
      </c>
      <c r="L245" s="62" t="s">
        <v>4466</v>
      </c>
      <c r="M245" s="62">
        <v>45.0</v>
      </c>
    </row>
    <row r="246">
      <c r="A246" s="62" t="s">
        <v>1956</v>
      </c>
      <c r="B246" s="62">
        <v>242.0</v>
      </c>
      <c r="D246" s="88">
        <f t="shared" si="1"/>
        <v>242</v>
      </c>
      <c r="K246" s="87" t="s">
        <v>5656</v>
      </c>
      <c r="L246" s="62" t="s">
        <v>4567</v>
      </c>
      <c r="M246" s="62">
        <v>45.0</v>
      </c>
    </row>
    <row r="247">
      <c r="A247" s="62" t="s">
        <v>2096</v>
      </c>
      <c r="B247" s="62">
        <v>204.0</v>
      </c>
      <c r="D247" s="88">
        <f t="shared" si="1"/>
        <v>204</v>
      </c>
      <c r="K247" s="87" t="s">
        <v>3262</v>
      </c>
      <c r="L247" s="62" t="s">
        <v>3262</v>
      </c>
      <c r="M247" s="62">
        <v>90.0</v>
      </c>
    </row>
    <row r="248">
      <c r="A248" s="62" t="s">
        <v>2508</v>
      </c>
      <c r="B248" s="62">
        <v>423.0</v>
      </c>
      <c r="D248" s="88">
        <f t="shared" si="1"/>
        <v>423</v>
      </c>
      <c r="K248" s="87" t="s">
        <v>5392</v>
      </c>
      <c r="L248" s="62" t="s">
        <v>5392</v>
      </c>
      <c r="M248" s="62">
        <v>45.0</v>
      </c>
    </row>
    <row r="249">
      <c r="A249" s="62" t="s">
        <v>1188</v>
      </c>
      <c r="B249" s="62">
        <v>191.0</v>
      </c>
      <c r="D249" s="88">
        <f t="shared" si="1"/>
        <v>191</v>
      </c>
      <c r="K249" s="87" t="s">
        <v>3962</v>
      </c>
      <c r="L249" s="62" t="s">
        <v>3962</v>
      </c>
      <c r="M249" s="62">
        <v>45.0</v>
      </c>
    </row>
    <row r="250">
      <c r="A250" s="62" t="s">
        <v>1120</v>
      </c>
      <c r="B250" s="62">
        <v>215.0</v>
      </c>
      <c r="C250" s="62">
        <v>265.0</v>
      </c>
      <c r="D250" s="88">
        <f t="shared" si="1"/>
        <v>265</v>
      </c>
      <c r="K250" s="87" t="s">
        <v>3820</v>
      </c>
      <c r="L250" s="62" t="s">
        <v>3820</v>
      </c>
      <c r="M250" s="62">
        <v>60.0</v>
      </c>
    </row>
    <row r="251">
      <c r="A251" s="62" t="s">
        <v>1171</v>
      </c>
      <c r="B251" s="62">
        <v>190.0</v>
      </c>
      <c r="D251" s="88">
        <f t="shared" si="1"/>
        <v>190</v>
      </c>
      <c r="K251" s="87" t="s">
        <v>4836</v>
      </c>
      <c r="L251" s="62" t="s">
        <v>4836</v>
      </c>
      <c r="M251" s="62">
        <v>90.0</v>
      </c>
    </row>
    <row r="252">
      <c r="A252" s="62" t="s">
        <v>2191</v>
      </c>
      <c r="B252" s="62">
        <v>191.0</v>
      </c>
      <c r="D252" s="88">
        <f t="shared" si="1"/>
        <v>191</v>
      </c>
      <c r="K252" s="87" t="s">
        <v>5620</v>
      </c>
      <c r="L252" s="62" t="s">
        <v>5620</v>
      </c>
      <c r="M252" s="62">
        <v>45.0</v>
      </c>
    </row>
    <row r="253">
      <c r="A253" s="62" t="s">
        <v>1925</v>
      </c>
      <c r="B253" s="62">
        <v>333.0</v>
      </c>
      <c r="D253" s="88">
        <f t="shared" si="1"/>
        <v>333</v>
      </c>
      <c r="K253" s="87" t="s">
        <v>4438</v>
      </c>
      <c r="L253" s="62" t="s">
        <v>4438</v>
      </c>
      <c r="M253" s="62">
        <v>90.0</v>
      </c>
    </row>
    <row r="254">
      <c r="A254" s="62" t="s">
        <v>2003</v>
      </c>
      <c r="B254" s="62">
        <v>134.58</v>
      </c>
      <c r="D254" s="88">
        <f t="shared" si="1"/>
        <v>134.58</v>
      </c>
      <c r="K254" s="87" t="s">
        <v>4969</v>
      </c>
      <c r="L254" s="62" t="s">
        <v>4969</v>
      </c>
      <c r="M254" s="62">
        <v>45.0</v>
      </c>
    </row>
    <row r="255">
      <c r="A255" s="62" t="s">
        <v>1574</v>
      </c>
      <c r="B255" s="62">
        <v>305.0</v>
      </c>
      <c r="D255" s="88">
        <f t="shared" si="1"/>
        <v>305</v>
      </c>
      <c r="K255" s="87" t="s">
        <v>2810</v>
      </c>
      <c r="L255" s="62" t="s">
        <v>2810</v>
      </c>
      <c r="M255" s="62">
        <v>90.0</v>
      </c>
    </row>
    <row r="256">
      <c r="A256" s="62" t="s">
        <v>2033</v>
      </c>
      <c r="B256" s="62">
        <v>146.1</v>
      </c>
      <c r="D256" s="88">
        <f t="shared" si="1"/>
        <v>146.1</v>
      </c>
      <c r="K256" s="87" t="s">
        <v>3276</v>
      </c>
      <c r="L256" s="62" t="s">
        <v>3276</v>
      </c>
      <c r="M256" s="62">
        <v>90.0</v>
      </c>
    </row>
    <row r="257">
      <c r="A257" s="62" t="s">
        <v>1779</v>
      </c>
      <c r="B257" s="62">
        <v>287.39</v>
      </c>
      <c r="D257" s="88">
        <f t="shared" si="1"/>
        <v>287.39</v>
      </c>
      <c r="K257" s="87" t="s">
        <v>3695</v>
      </c>
      <c r="L257" s="62" t="s">
        <v>3695</v>
      </c>
      <c r="M257" s="62">
        <v>45.0</v>
      </c>
    </row>
    <row r="258">
      <c r="A258" s="62" t="s">
        <v>2109</v>
      </c>
      <c r="B258" s="62">
        <v>158.51</v>
      </c>
      <c r="D258" s="88">
        <f t="shared" si="1"/>
        <v>158.51</v>
      </c>
      <c r="K258" s="87" t="s">
        <v>4956</v>
      </c>
      <c r="L258" s="62" t="s">
        <v>4956</v>
      </c>
      <c r="M258" s="62">
        <v>45.0</v>
      </c>
    </row>
    <row r="259">
      <c r="A259" s="62" t="s">
        <v>2591</v>
      </c>
      <c r="B259" s="62">
        <v>314.4</v>
      </c>
      <c r="D259" s="88">
        <f t="shared" si="1"/>
        <v>314.4</v>
      </c>
      <c r="K259" s="87" t="s">
        <v>5657</v>
      </c>
      <c r="L259" s="62" t="s">
        <v>4930</v>
      </c>
      <c r="M259" s="62">
        <v>90.0</v>
      </c>
    </row>
    <row r="260">
      <c r="A260" s="62" t="s">
        <v>2392</v>
      </c>
      <c r="B260" s="62">
        <v>421.0</v>
      </c>
      <c r="D260" s="88">
        <f t="shared" si="1"/>
        <v>421</v>
      </c>
      <c r="K260" s="87" t="s">
        <v>4408</v>
      </c>
      <c r="L260" s="62" t="s">
        <v>4408</v>
      </c>
      <c r="M260" s="62">
        <v>45.0</v>
      </c>
    </row>
    <row r="261">
      <c r="A261" s="62" t="s">
        <v>991</v>
      </c>
      <c r="B261" s="62">
        <v>235.0</v>
      </c>
      <c r="D261" s="88">
        <f t="shared" si="1"/>
        <v>235</v>
      </c>
      <c r="K261" s="87" t="s">
        <v>4006</v>
      </c>
      <c r="L261" s="62" t="s">
        <v>4006</v>
      </c>
      <c r="M261" s="62">
        <v>45.0</v>
      </c>
    </row>
    <row r="262">
      <c r="A262" s="62" t="s">
        <v>2264</v>
      </c>
      <c r="B262" s="62">
        <v>312.0</v>
      </c>
      <c r="D262" s="88">
        <f t="shared" si="1"/>
        <v>312</v>
      </c>
      <c r="K262" s="87" t="s">
        <v>4818</v>
      </c>
      <c r="L262" s="62" t="s">
        <v>4818</v>
      </c>
      <c r="M262" s="62">
        <v>45.0</v>
      </c>
    </row>
    <row r="263">
      <c r="A263" s="62" t="s">
        <v>2268</v>
      </c>
      <c r="B263" s="62">
        <v>272.52</v>
      </c>
      <c r="D263" s="88">
        <f t="shared" si="1"/>
        <v>272.52</v>
      </c>
      <c r="K263" s="87" t="s">
        <v>4780</v>
      </c>
      <c r="L263" s="62" t="s">
        <v>4780</v>
      </c>
      <c r="M263" s="62">
        <v>45.0</v>
      </c>
    </row>
    <row r="264">
      <c r="A264" s="62" t="s">
        <v>2578</v>
      </c>
      <c r="B264" s="62">
        <v>303.15</v>
      </c>
      <c r="D264" s="88">
        <f t="shared" si="1"/>
        <v>303.15</v>
      </c>
      <c r="K264" s="87" t="s">
        <v>5158</v>
      </c>
      <c r="L264" s="62" t="s">
        <v>5158</v>
      </c>
      <c r="M264" s="62">
        <v>45.0</v>
      </c>
    </row>
    <row r="265">
      <c r="A265" s="62" t="s">
        <v>2431</v>
      </c>
      <c r="B265" s="62">
        <v>229.06</v>
      </c>
      <c r="D265" s="88">
        <f t="shared" si="1"/>
        <v>229.06</v>
      </c>
      <c r="K265" s="87" t="s">
        <v>5192</v>
      </c>
      <c r="L265" s="62" t="s">
        <v>5192</v>
      </c>
      <c r="M265" s="62">
        <v>45.0</v>
      </c>
    </row>
    <row r="266">
      <c r="A266" s="62" t="s">
        <v>534</v>
      </c>
      <c r="B266" s="62">
        <v>160.0</v>
      </c>
      <c r="D266" s="88">
        <f t="shared" si="1"/>
        <v>160</v>
      </c>
      <c r="K266" s="87" t="s">
        <v>4851</v>
      </c>
      <c r="L266" s="62" t="s">
        <v>4851</v>
      </c>
      <c r="M266" s="62">
        <v>90.0</v>
      </c>
    </row>
    <row r="267">
      <c r="A267" s="62" t="s">
        <v>1590</v>
      </c>
      <c r="B267" s="62">
        <v>240.12</v>
      </c>
      <c r="D267" s="88">
        <f t="shared" si="1"/>
        <v>240.12</v>
      </c>
      <c r="K267" s="87" t="s">
        <v>3777</v>
      </c>
      <c r="L267" s="62" t="s">
        <v>3777</v>
      </c>
      <c r="M267" s="62">
        <v>45.0</v>
      </c>
    </row>
    <row r="268">
      <c r="A268" s="62" t="s">
        <v>1025</v>
      </c>
      <c r="B268" s="62">
        <v>470.55</v>
      </c>
      <c r="C268" s="62">
        <v>475.01</v>
      </c>
      <c r="D268" s="88">
        <f t="shared" si="1"/>
        <v>475.01</v>
      </c>
      <c r="K268" s="87" t="s">
        <v>5444</v>
      </c>
      <c r="L268" s="62" t="s">
        <v>4888</v>
      </c>
      <c r="M268" s="62">
        <v>45.0</v>
      </c>
    </row>
    <row r="269">
      <c r="A269" s="62" t="s">
        <v>1155</v>
      </c>
      <c r="B269" s="62">
        <v>321.07</v>
      </c>
      <c r="D269" s="88">
        <f t="shared" si="1"/>
        <v>321.07</v>
      </c>
      <c r="K269" s="87" t="s">
        <v>5444</v>
      </c>
      <c r="L269" s="62" t="s">
        <v>4888</v>
      </c>
      <c r="M269" s="62">
        <v>45.0</v>
      </c>
    </row>
    <row r="270">
      <c r="A270" s="62" t="s">
        <v>1667</v>
      </c>
      <c r="B270" s="62">
        <v>252.5</v>
      </c>
      <c r="D270" s="88">
        <f t="shared" si="1"/>
        <v>252.5</v>
      </c>
      <c r="K270" s="87" t="s">
        <v>5658</v>
      </c>
      <c r="L270" s="62" t="s">
        <v>5095</v>
      </c>
      <c r="M270" s="62">
        <v>45.0</v>
      </c>
    </row>
    <row r="271">
      <c r="A271" s="62" t="s">
        <v>819</v>
      </c>
      <c r="B271" s="62">
        <v>250.0</v>
      </c>
      <c r="D271" s="88">
        <f t="shared" si="1"/>
        <v>250</v>
      </c>
      <c r="K271" s="87" t="s">
        <v>4630</v>
      </c>
      <c r="L271" s="62" t="s">
        <v>4630</v>
      </c>
      <c r="M271" s="62">
        <v>45.0</v>
      </c>
    </row>
    <row r="272">
      <c r="A272" s="62" t="s">
        <v>2351</v>
      </c>
      <c r="B272" s="62">
        <v>220.88</v>
      </c>
      <c r="D272" s="88">
        <f t="shared" si="1"/>
        <v>220.88</v>
      </c>
      <c r="K272" s="87" t="s">
        <v>5659</v>
      </c>
      <c r="L272" s="62" t="s">
        <v>5044</v>
      </c>
      <c r="M272" s="62">
        <v>45.0</v>
      </c>
    </row>
    <row r="273">
      <c r="A273" s="62" t="s">
        <v>2336</v>
      </c>
      <c r="B273" s="62">
        <v>138.75</v>
      </c>
      <c r="D273" s="88">
        <f t="shared" si="1"/>
        <v>138.75</v>
      </c>
      <c r="K273" s="87" t="s">
        <v>3145</v>
      </c>
      <c r="L273" s="62" t="s">
        <v>3145</v>
      </c>
      <c r="M273" s="62">
        <v>45.0</v>
      </c>
    </row>
    <row r="274">
      <c r="A274" s="62" t="s">
        <v>1973</v>
      </c>
      <c r="B274" s="62">
        <v>399.75</v>
      </c>
      <c r="D274" s="88">
        <f t="shared" si="1"/>
        <v>399.75</v>
      </c>
      <c r="K274" s="87" t="s">
        <v>4804</v>
      </c>
      <c r="L274" s="62" t="s">
        <v>4804</v>
      </c>
      <c r="M274" s="62">
        <v>45.0</v>
      </c>
    </row>
    <row r="275">
      <c r="A275" s="62" t="s">
        <v>852</v>
      </c>
      <c r="B275" s="62">
        <v>453.6</v>
      </c>
      <c r="C275" s="62">
        <v>443.21</v>
      </c>
      <c r="D275" s="88">
        <f t="shared" si="1"/>
        <v>443.21</v>
      </c>
      <c r="K275" s="87" t="s">
        <v>4522</v>
      </c>
      <c r="L275" s="62" t="s">
        <v>4522</v>
      </c>
      <c r="M275" s="62">
        <v>60.0</v>
      </c>
    </row>
    <row r="276">
      <c r="A276" s="62" t="s">
        <v>1083</v>
      </c>
      <c r="B276" s="62">
        <v>232.3</v>
      </c>
      <c r="D276" s="88">
        <f t="shared" si="1"/>
        <v>232.3</v>
      </c>
      <c r="K276" s="87" t="s">
        <v>4703</v>
      </c>
      <c r="L276" s="62" t="s">
        <v>4703</v>
      </c>
      <c r="M276" s="62">
        <v>90.0</v>
      </c>
    </row>
    <row r="277">
      <c r="A277" s="62" t="s">
        <v>2467</v>
      </c>
      <c r="B277" s="62">
        <v>232.3</v>
      </c>
      <c r="D277" s="88">
        <f t="shared" si="1"/>
        <v>232.3</v>
      </c>
      <c r="K277" s="87" t="s">
        <v>4299</v>
      </c>
      <c r="L277" s="62" t="s">
        <v>4302</v>
      </c>
      <c r="M277" s="62">
        <v>45.0</v>
      </c>
    </row>
    <row r="278">
      <c r="A278" s="62" t="s">
        <v>2502</v>
      </c>
      <c r="B278" s="62">
        <v>330.0</v>
      </c>
      <c r="D278" s="88">
        <f t="shared" si="1"/>
        <v>330</v>
      </c>
      <c r="K278" s="87" t="s">
        <v>4094</v>
      </c>
      <c r="L278" s="62" t="s">
        <v>4094</v>
      </c>
      <c r="M278" s="62">
        <v>60.0</v>
      </c>
    </row>
    <row r="279">
      <c r="A279" s="62" t="s">
        <v>2478</v>
      </c>
      <c r="B279" s="62">
        <v>444.06</v>
      </c>
      <c r="D279" s="88">
        <f t="shared" si="1"/>
        <v>444.06</v>
      </c>
      <c r="K279" s="87" t="s">
        <v>2781</v>
      </c>
      <c r="L279" s="62" t="s">
        <v>2781</v>
      </c>
      <c r="M279" s="62">
        <v>60.0</v>
      </c>
    </row>
    <row r="280">
      <c r="A280" s="62" t="s">
        <v>2486</v>
      </c>
      <c r="B280" s="62">
        <v>452.0</v>
      </c>
      <c r="D280" s="88">
        <f t="shared" si="1"/>
        <v>452</v>
      </c>
      <c r="K280" s="87" t="s">
        <v>3347</v>
      </c>
      <c r="L280" s="62" t="s">
        <v>3347</v>
      </c>
      <c r="M280" s="62">
        <v>90.0</v>
      </c>
    </row>
    <row r="281">
      <c r="A281" s="62" t="s">
        <v>2494</v>
      </c>
      <c r="B281" s="62">
        <v>389.13</v>
      </c>
      <c r="D281" s="88">
        <f t="shared" si="1"/>
        <v>389.13</v>
      </c>
      <c r="K281" s="87" t="s">
        <v>5346</v>
      </c>
      <c r="L281" s="62" t="s">
        <v>5346</v>
      </c>
      <c r="M281" s="62">
        <v>30.0</v>
      </c>
    </row>
    <row r="282">
      <c r="A282" s="62" t="s">
        <v>2644</v>
      </c>
      <c r="B282" s="62">
        <v>348.81</v>
      </c>
      <c r="D282" s="88">
        <f t="shared" si="1"/>
        <v>348.81</v>
      </c>
      <c r="K282" s="87" t="s">
        <v>5212</v>
      </c>
      <c r="L282" s="62" t="s">
        <v>5212</v>
      </c>
      <c r="M282" s="62">
        <v>90.0</v>
      </c>
    </row>
    <row r="283">
      <c r="A283" s="62" t="s">
        <v>5426</v>
      </c>
      <c r="B283" s="62">
        <v>226.0</v>
      </c>
      <c r="D283" s="88">
        <f t="shared" si="1"/>
        <v>226</v>
      </c>
      <c r="K283" s="87" t="s">
        <v>5110</v>
      </c>
      <c r="L283" s="62" t="s">
        <v>5110</v>
      </c>
      <c r="M283" s="62">
        <v>45.0</v>
      </c>
    </row>
    <row r="284">
      <c r="A284" s="62" t="s">
        <v>2406</v>
      </c>
      <c r="B284" s="62">
        <v>226.0</v>
      </c>
      <c r="D284" s="88">
        <f t="shared" si="1"/>
        <v>226</v>
      </c>
      <c r="K284" s="87" t="s">
        <v>5660</v>
      </c>
      <c r="L284" s="62" t="s">
        <v>5066</v>
      </c>
      <c r="M284" s="62">
        <v>45.0</v>
      </c>
    </row>
    <row r="285">
      <c r="A285" s="62" t="s">
        <v>2254</v>
      </c>
      <c r="B285" s="62">
        <v>205.0</v>
      </c>
      <c r="D285" s="88">
        <f t="shared" si="1"/>
        <v>205</v>
      </c>
      <c r="K285" s="87" t="s">
        <v>5661</v>
      </c>
      <c r="L285" s="62" t="s">
        <v>5020</v>
      </c>
      <c r="M285" s="62">
        <v>45.0</v>
      </c>
    </row>
    <row r="286">
      <c r="A286" s="62" t="s">
        <v>2363</v>
      </c>
      <c r="B286" s="62">
        <v>328.35</v>
      </c>
      <c r="D286" s="88">
        <f t="shared" si="1"/>
        <v>328.35</v>
      </c>
      <c r="K286" s="87" t="s">
        <v>5055</v>
      </c>
      <c r="L286" s="62" t="s">
        <v>5055</v>
      </c>
      <c r="M286" s="62">
        <v>45.0</v>
      </c>
    </row>
    <row r="287">
      <c r="A287" s="62" t="s">
        <v>1703</v>
      </c>
      <c r="B287" s="62">
        <v>295.98</v>
      </c>
      <c r="D287" s="88">
        <f t="shared" si="1"/>
        <v>295.98</v>
      </c>
      <c r="K287" s="87" t="s">
        <v>4990</v>
      </c>
      <c r="L287" s="62" t="s">
        <v>4990</v>
      </c>
      <c r="M287" s="62">
        <v>60.0</v>
      </c>
    </row>
    <row r="288">
      <c r="A288" s="62" t="s">
        <v>1936</v>
      </c>
      <c r="B288" s="62">
        <v>171.1</v>
      </c>
      <c r="D288" s="88">
        <f t="shared" si="1"/>
        <v>171.1</v>
      </c>
      <c r="K288" s="87" t="s">
        <v>2836</v>
      </c>
      <c r="L288" s="62" t="s">
        <v>2836</v>
      </c>
      <c r="M288" s="62">
        <v>90.0</v>
      </c>
    </row>
    <row r="289">
      <c r="A289" s="62" t="s">
        <v>834</v>
      </c>
      <c r="B289" s="62">
        <v>144.55</v>
      </c>
      <c r="D289" s="88">
        <f t="shared" si="1"/>
        <v>144.55</v>
      </c>
      <c r="K289" s="87" t="s">
        <v>5134</v>
      </c>
      <c r="L289" s="62" t="s">
        <v>5134</v>
      </c>
      <c r="M289" s="62">
        <v>90.0</v>
      </c>
    </row>
    <row r="290">
      <c r="A290" s="62" t="s">
        <v>2246</v>
      </c>
      <c r="B290" s="62">
        <v>289.1</v>
      </c>
      <c r="D290" s="88">
        <f t="shared" si="1"/>
        <v>289.1</v>
      </c>
      <c r="K290" s="87" t="s">
        <v>3114</v>
      </c>
      <c r="L290" s="62" t="s">
        <v>3114</v>
      </c>
      <c r="M290" s="62">
        <v>60.0</v>
      </c>
    </row>
    <row r="291">
      <c r="A291" s="62" t="s">
        <v>2607</v>
      </c>
      <c r="B291" s="62">
        <v>313.59</v>
      </c>
      <c r="D291" s="88">
        <f t="shared" si="1"/>
        <v>313.59</v>
      </c>
      <c r="K291" s="87" t="s">
        <v>3395</v>
      </c>
      <c r="L291" s="62" t="s">
        <v>3395</v>
      </c>
      <c r="M291" s="62">
        <v>90.0</v>
      </c>
    </row>
    <row r="292">
      <c r="A292" s="62" t="s">
        <v>2281</v>
      </c>
      <c r="B292" s="62">
        <v>194.6</v>
      </c>
      <c r="D292" s="88">
        <f t="shared" si="1"/>
        <v>194.6</v>
      </c>
      <c r="K292" s="87" t="s">
        <v>5662</v>
      </c>
      <c r="L292" s="62" t="s">
        <v>4980</v>
      </c>
      <c r="M292" s="62">
        <v>90.0</v>
      </c>
    </row>
    <row r="293">
      <c r="A293" s="62" t="s">
        <v>2135</v>
      </c>
      <c r="B293" s="62">
        <v>389.2</v>
      </c>
      <c r="D293" s="88">
        <f t="shared" si="1"/>
        <v>389.2</v>
      </c>
      <c r="K293" s="87" t="s">
        <v>5450</v>
      </c>
      <c r="L293" s="62" t="s">
        <v>4658</v>
      </c>
      <c r="M293" s="62">
        <v>45.0</v>
      </c>
    </row>
    <row r="294">
      <c r="A294" s="62" t="s">
        <v>1292</v>
      </c>
      <c r="B294" s="62">
        <v>225.54</v>
      </c>
      <c r="D294" s="88">
        <f t="shared" si="1"/>
        <v>225.54</v>
      </c>
      <c r="K294" s="87" t="s">
        <v>5663</v>
      </c>
      <c r="L294" s="62" t="s">
        <v>5123</v>
      </c>
      <c r="M294" s="62">
        <v>45.0</v>
      </c>
    </row>
    <row r="295">
      <c r="A295" s="62" t="s">
        <v>1331</v>
      </c>
      <c r="B295" s="62">
        <v>356.0</v>
      </c>
      <c r="D295" s="88">
        <f t="shared" si="1"/>
        <v>356</v>
      </c>
      <c r="K295" s="87" t="s">
        <v>5664</v>
      </c>
      <c r="L295" s="62" t="s">
        <v>4554</v>
      </c>
      <c r="M295" s="62">
        <v>45.0</v>
      </c>
    </row>
    <row r="296">
      <c r="A296" s="62" t="s">
        <v>1341</v>
      </c>
      <c r="B296" s="62">
        <v>356.0</v>
      </c>
      <c r="D296" s="88">
        <f t="shared" si="1"/>
        <v>356</v>
      </c>
      <c r="K296" s="87" t="s">
        <v>3435</v>
      </c>
      <c r="L296" s="62" t="s">
        <v>3435</v>
      </c>
      <c r="M296" s="62">
        <v>45.0</v>
      </c>
    </row>
    <row r="297">
      <c r="A297" s="62" t="s">
        <v>1314</v>
      </c>
      <c r="B297" s="62">
        <v>342.0</v>
      </c>
      <c r="D297" s="88">
        <f t="shared" si="1"/>
        <v>342</v>
      </c>
      <c r="K297" s="87" t="s">
        <v>3913</v>
      </c>
      <c r="L297" s="62" t="s">
        <v>3913</v>
      </c>
      <c r="M297" s="62">
        <v>60.0</v>
      </c>
    </row>
    <row r="298">
      <c r="A298" s="62" t="s">
        <v>2570</v>
      </c>
      <c r="B298" s="62">
        <v>451.08</v>
      </c>
      <c r="D298" s="88">
        <f t="shared" si="1"/>
        <v>451.08</v>
      </c>
      <c r="K298" s="87" t="s">
        <v>5665</v>
      </c>
      <c r="L298" s="62" t="s">
        <v>5284</v>
      </c>
      <c r="M298" s="62">
        <v>45.0</v>
      </c>
    </row>
    <row r="299">
      <c r="A299" s="62" t="s">
        <v>1203</v>
      </c>
      <c r="B299" s="62">
        <v>236.59</v>
      </c>
      <c r="D299" s="88">
        <f t="shared" si="1"/>
        <v>236.59</v>
      </c>
      <c r="K299" s="87" t="s">
        <v>4351</v>
      </c>
      <c r="L299" s="62" t="s">
        <v>4351</v>
      </c>
      <c r="M299" s="62">
        <v>45.0</v>
      </c>
    </row>
    <row r="300">
      <c r="A300" s="62" t="s">
        <v>1100</v>
      </c>
      <c r="B300" s="62">
        <v>190.0</v>
      </c>
      <c r="D300" s="88">
        <f t="shared" si="1"/>
        <v>190</v>
      </c>
      <c r="K300" s="87" t="s">
        <v>4794</v>
      </c>
      <c r="L300" s="62" t="s">
        <v>4794</v>
      </c>
      <c r="M300" s="62">
        <v>45.0</v>
      </c>
    </row>
    <row r="301">
      <c r="A301" s="62" t="s">
        <v>2157</v>
      </c>
      <c r="B301" s="62">
        <v>217.04</v>
      </c>
      <c r="D301" s="88">
        <f t="shared" si="1"/>
        <v>217.04</v>
      </c>
      <c r="K301" s="87" t="s">
        <v>3845</v>
      </c>
      <c r="L301" s="62" t="s">
        <v>3845</v>
      </c>
      <c r="M301" s="62">
        <v>90.0</v>
      </c>
    </row>
    <row r="302">
      <c r="A302" s="62" t="s">
        <v>2169</v>
      </c>
      <c r="B302" s="62">
        <v>434.08</v>
      </c>
      <c r="D302" s="88">
        <f t="shared" si="1"/>
        <v>434.08</v>
      </c>
      <c r="K302" s="87" t="s">
        <v>2890</v>
      </c>
      <c r="L302" s="62" t="s">
        <v>2890</v>
      </c>
      <c r="M302" s="62">
        <v>45.0</v>
      </c>
    </row>
    <row r="303">
      <c r="A303" s="62" t="s">
        <v>497</v>
      </c>
      <c r="B303" s="62">
        <v>164.0</v>
      </c>
      <c r="D303" s="88">
        <f t="shared" si="1"/>
        <v>164</v>
      </c>
      <c r="K303" s="87" t="s">
        <v>2858</v>
      </c>
      <c r="L303" s="62" t="s">
        <v>2858</v>
      </c>
      <c r="M303" s="62">
        <v>45.0</v>
      </c>
    </row>
    <row r="304">
      <c r="A304" s="62" t="s">
        <v>2554</v>
      </c>
      <c r="B304" s="62">
        <v>356.16</v>
      </c>
      <c r="D304" s="88">
        <f t="shared" si="1"/>
        <v>356.16</v>
      </c>
      <c r="K304" s="87" t="s">
        <v>5666</v>
      </c>
      <c r="L304" s="62" t="s">
        <v>5296</v>
      </c>
      <c r="M304" s="62">
        <v>45.0</v>
      </c>
    </row>
    <row r="305">
      <c r="A305" s="62" t="s">
        <v>2143</v>
      </c>
      <c r="B305" s="62">
        <v>143.3</v>
      </c>
      <c r="D305" s="88">
        <f t="shared" si="1"/>
        <v>143.3</v>
      </c>
      <c r="K305" s="87" t="s">
        <v>5546</v>
      </c>
      <c r="L305" s="62" t="s">
        <v>5546</v>
      </c>
      <c r="M305" s="62">
        <v>90.0</v>
      </c>
    </row>
    <row r="306">
      <c r="A306" s="62" t="s">
        <v>2217</v>
      </c>
      <c r="B306" s="62">
        <v>402.0</v>
      </c>
      <c r="D306" s="88">
        <f t="shared" si="1"/>
        <v>402</v>
      </c>
      <c r="K306" s="87" t="s">
        <v>3301</v>
      </c>
      <c r="L306" s="62" t="s">
        <v>3301</v>
      </c>
      <c r="M306" s="62">
        <v>45.0</v>
      </c>
    </row>
    <row r="307">
      <c r="A307" s="62" t="s">
        <v>385</v>
      </c>
      <c r="B307" s="62">
        <v>336.44</v>
      </c>
      <c r="D307" s="88">
        <f t="shared" si="1"/>
        <v>336.44</v>
      </c>
      <c r="K307" s="87" t="s">
        <v>3413</v>
      </c>
      <c r="L307" s="62" t="s">
        <v>3413</v>
      </c>
      <c r="M307" s="62">
        <v>90.0</v>
      </c>
    </row>
    <row r="308">
      <c r="A308" s="62" t="s">
        <v>1220</v>
      </c>
      <c r="B308" s="62">
        <v>190.0</v>
      </c>
      <c r="D308" s="88">
        <f t="shared" si="1"/>
        <v>190</v>
      </c>
      <c r="K308" s="87" t="s">
        <v>4588</v>
      </c>
      <c r="L308" s="62" t="s">
        <v>4588</v>
      </c>
      <c r="M308" s="62">
        <v>45.0</v>
      </c>
    </row>
    <row r="309">
      <c r="A309" s="62" t="s">
        <v>1270</v>
      </c>
      <c r="B309" s="62">
        <v>820.0</v>
      </c>
      <c r="D309" s="88">
        <f t="shared" si="1"/>
        <v>820</v>
      </c>
      <c r="K309" s="87" t="s">
        <v>4388</v>
      </c>
      <c r="L309" s="62" t="s">
        <v>4388</v>
      </c>
      <c r="M309" s="62">
        <v>60.0</v>
      </c>
    </row>
    <row r="310">
      <c r="A310" s="62" t="s">
        <v>1284</v>
      </c>
      <c r="B310" s="62">
        <v>820.0</v>
      </c>
      <c r="D310" s="88">
        <f t="shared" si="1"/>
        <v>820</v>
      </c>
      <c r="K310" s="87" t="s">
        <v>4161</v>
      </c>
      <c r="L310" s="62" t="s">
        <v>4161</v>
      </c>
      <c r="M310" s="62">
        <v>45.0</v>
      </c>
    </row>
    <row r="311">
      <c r="A311" s="62" t="s">
        <v>1307</v>
      </c>
      <c r="B311" s="62">
        <v>820.0</v>
      </c>
      <c r="D311" s="88">
        <f t="shared" si="1"/>
        <v>820</v>
      </c>
      <c r="K311" s="87" t="s">
        <v>4863</v>
      </c>
      <c r="L311" s="62" t="s">
        <v>4863</v>
      </c>
      <c r="M311" s="62">
        <v>45.0</v>
      </c>
    </row>
    <row r="312">
      <c r="A312" s="62" t="s">
        <v>1063</v>
      </c>
      <c r="B312" s="62">
        <v>271.0</v>
      </c>
      <c r="D312" s="88">
        <f t="shared" si="1"/>
        <v>271</v>
      </c>
      <c r="K312" s="87" t="s">
        <v>4239</v>
      </c>
      <c r="L312" s="62" t="s">
        <v>4239</v>
      </c>
      <c r="M312" s="62">
        <v>60.0</v>
      </c>
    </row>
    <row r="313">
      <c r="A313" s="62" t="s">
        <v>2123</v>
      </c>
      <c r="B313" s="62">
        <v>100.4</v>
      </c>
      <c r="D313" s="88">
        <f t="shared" si="1"/>
        <v>100.4</v>
      </c>
      <c r="K313" s="87" t="s">
        <v>5624</v>
      </c>
      <c r="L313" s="62" t="s">
        <v>5624</v>
      </c>
      <c r="M313" s="62">
        <v>90.0</v>
      </c>
    </row>
    <row r="314">
      <c r="A314" s="62" t="s">
        <v>1754</v>
      </c>
      <c r="B314" s="62">
        <v>333.0</v>
      </c>
      <c r="D314" s="88">
        <f t="shared" si="1"/>
        <v>333</v>
      </c>
      <c r="K314" s="87" t="s">
        <v>4115</v>
      </c>
      <c r="L314" s="62" t="s">
        <v>4115</v>
      </c>
      <c r="M314" s="62">
        <v>90.0</v>
      </c>
    </row>
    <row r="315">
      <c r="A315" s="62" t="s">
        <v>1235</v>
      </c>
      <c r="B315" s="62">
        <v>55.98</v>
      </c>
      <c r="D315" s="88">
        <f t="shared" si="1"/>
        <v>55.98</v>
      </c>
      <c r="K315" s="87" t="s">
        <v>4422</v>
      </c>
      <c r="L315" s="62" t="s">
        <v>4422</v>
      </c>
      <c r="M315" s="62">
        <v>60.0</v>
      </c>
    </row>
    <row r="316">
      <c r="A316" s="62" t="s">
        <v>1899</v>
      </c>
      <c r="B316" s="62">
        <v>172.0</v>
      </c>
      <c r="D316" s="88">
        <f t="shared" si="1"/>
        <v>172</v>
      </c>
      <c r="K316" s="87" t="s">
        <v>4875</v>
      </c>
      <c r="L316" s="62" t="s">
        <v>4875</v>
      </c>
      <c r="M316" s="62">
        <v>45.0</v>
      </c>
    </row>
    <row r="317">
      <c r="A317" s="62" t="s">
        <v>264</v>
      </c>
      <c r="B317" s="62">
        <v>51.86</v>
      </c>
      <c r="D317" s="88">
        <f t="shared" si="1"/>
        <v>51.86</v>
      </c>
      <c r="K317" s="87" t="s">
        <v>4056</v>
      </c>
      <c r="L317" s="62" t="s">
        <v>4056</v>
      </c>
      <c r="M317" s="62">
        <v>45.0</v>
      </c>
    </row>
    <row r="318">
      <c r="A318" s="62" t="s">
        <v>212</v>
      </c>
      <c r="B318" s="62">
        <v>53.75</v>
      </c>
      <c r="D318" s="88">
        <f t="shared" si="1"/>
        <v>53.75</v>
      </c>
      <c r="K318" s="87" t="s">
        <v>4536</v>
      </c>
      <c r="L318" s="62" t="s">
        <v>4536</v>
      </c>
      <c r="M318" s="62">
        <v>60.0</v>
      </c>
    </row>
    <row r="319">
      <c r="A319" s="62" t="s">
        <v>1606</v>
      </c>
      <c r="B319" s="62">
        <v>192.0</v>
      </c>
      <c r="D319" s="88">
        <f t="shared" si="1"/>
        <v>192</v>
      </c>
      <c r="K319" s="87" t="s">
        <v>3179</v>
      </c>
      <c r="L319" s="62" t="s">
        <v>3179</v>
      </c>
      <c r="M319" s="62">
        <v>45.0</v>
      </c>
    </row>
    <row r="320">
      <c r="A320" s="62" t="s">
        <v>1373</v>
      </c>
      <c r="B320" s="62">
        <v>419.0</v>
      </c>
      <c r="D320" s="88">
        <f t="shared" si="1"/>
        <v>419</v>
      </c>
      <c r="K320" s="87" t="s">
        <v>3533</v>
      </c>
      <c r="L320" s="62" t="s">
        <v>3533</v>
      </c>
      <c r="M320" s="62">
        <v>90.0</v>
      </c>
    </row>
    <row r="321">
      <c r="A321" s="62" t="s">
        <v>1351</v>
      </c>
      <c r="B321" s="62">
        <v>412.0</v>
      </c>
      <c r="D321" s="88">
        <f t="shared" si="1"/>
        <v>412</v>
      </c>
      <c r="K321" s="87" t="s">
        <v>3369</v>
      </c>
      <c r="L321" s="62" t="s">
        <v>3369</v>
      </c>
      <c r="M321" s="62">
        <v>60.0</v>
      </c>
    </row>
    <row r="322">
      <c r="A322" s="62" t="s">
        <v>2512</v>
      </c>
      <c r="B322" s="62">
        <v>189.61</v>
      </c>
      <c r="D322" s="88">
        <f t="shared" si="1"/>
        <v>189.61</v>
      </c>
      <c r="K322" s="87" t="s">
        <v>3000</v>
      </c>
      <c r="L322" s="62" t="s">
        <v>3000</v>
      </c>
      <c r="M322" s="62">
        <v>90.0</v>
      </c>
    </row>
    <row r="323">
      <c r="A323" s="62" t="s">
        <v>2519</v>
      </c>
      <c r="B323" s="62">
        <v>379.22</v>
      </c>
      <c r="D323" s="88">
        <f t="shared" si="1"/>
        <v>379.22</v>
      </c>
      <c r="K323" s="87" t="s">
        <v>5470</v>
      </c>
      <c r="L323" s="62" t="s">
        <v>3998</v>
      </c>
      <c r="M323" s="62">
        <v>45.0</v>
      </c>
    </row>
    <row r="324">
      <c r="A324" s="62" t="s">
        <v>2327</v>
      </c>
      <c r="B324" s="62">
        <v>118.01</v>
      </c>
      <c r="D324" s="88">
        <f t="shared" si="1"/>
        <v>118.01</v>
      </c>
      <c r="K324" s="87" t="s">
        <v>4070</v>
      </c>
      <c r="L324" s="62" t="s">
        <v>4070</v>
      </c>
      <c r="M324" s="62">
        <v>90.0</v>
      </c>
    </row>
    <row r="325">
      <c r="A325" s="62" t="s">
        <v>2315</v>
      </c>
      <c r="B325" s="62">
        <v>236.02</v>
      </c>
      <c r="D325" s="88">
        <f t="shared" si="1"/>
        <v>236.02</v>
      </c>
      <c r="K325" s="87" t="s">
        <v>5310</v>
      </c>
      <c r="L325" s="62" t="s">
        <v>5310</v>
      </c>
      <c r="M325" s="62">
        <v>90.0</v>
      </c>
    </row>
    <row r="326">
      <c r="A326" s="62" t="s">
        <v>934</v>
      </c>
      <c r="B326" s="62">
        <v>155.15</v>
      </c>
      <c r="D326" s="88">
        <f t="shared" si="1"/>
        <v>155.15</v>
      </c>
      <c r="K326" s="87" t="s">
        <v>4299</v>
      </c>
      <c r="L326" s="62" t="s">
        <v>4302</v>
      </c>
      <c r="M326" s="62">
        <v>45.0</v>
      </c>
    </row>
    <row r="327">
      <c r="A327" s="62" t="s">
        <v>2307</v>
      </c>
      <c r="B327" s="62">
        <v>310.3</v>
      </c>
      <c r="D327" s="88">
        <f t="shared" si="1"/>
        <v>310.3</v>
      </c>
      <c r="K327" s="87" t="s">
        <v>2682</v>
      </c>
      <c r="L327" s="62" t="s">
        <v>2682</v>
      </c>
      <c r="M327" s="62">
        <v>45.0</v>
      </c>
    </row>
    <row r="328">
      <c r="A328" s="62" t="s">
        <v>2083</v>
      </c>
      <c r="B328" s="62">
        <v>123.79</v>
      </c>
      <c r="D328" s="88">
        <f t="shared" si="1"/>
        <v>123.79</v>
      </c>
      <c r="K328" s="87" t="s">
        <v>5667</v>
      </c>
      <c r="L328" s="62" t="s">
        <v>5031</v>
      </c>
      <c r="M328" s="62">
        <v>45.0</v>
      </c>
    </row>
    <row r="329">
      <c r="A329" s="62" t="s">
        <v>2444</v>
      </c>
      <c r="B329" s="62">
        <v>272.47</v>
      </c>
      <c r="D329" s="88">
        <f t="shared" si="1"/>
        <v>272.47</v>
      </c>
      <c r="K329" s="87" t="s">
        <v>5013</v>
      </c>
      <c r="L329" s="62" t="s">
        <v>5013</v>
      </c>
      <c r="M329" s="62">
        <v>45.0</v>
      </c>
    </row>
    <row r="330">
      <c r="A330" s="62" t="s">
        <v>2459</v>
      </c>
      <c r="B330" s="62">
        <v>544.94</v>
      </c>
      <c r="D330" s="88">
        <f t="shared" si="1"/>
        <v>544.94</v>
      </c>
      <c r="K330" s="87" t="s">
        <v>3942</v>
      </c>
      <c r="L330" s="62" t="s">
        <v>3942</v>
      </c>
      <c r="M330" s="62">
        <v>45.0</v>
      </c>
    </row>
    <row r="331">
      <c r="A331" s="62" t="s">
        <v>2069</v>
      </c>
      <c r="B331" s="62">
        <v>259.9</v>
      </c>
      <c r="D331" s="88">
        <f t="shared" si="1"/>
        <v>259.9</v>
      </c>
      <c r="K331" s="87" t="s">
        <v>5272</v>
      </c>
      <c r="L331" s="62" t="s">
        <v>5272</v>
      </c>
      <c r="M331" s="62">
        <v>45.0</v>
      </c>
    </row>
    <row r="332">
      <c r="A332" s="62" t="s">
        <v>2178</v>
      </c>
      <c r="B332" s="62">
        <v>244.04</v>
      </c>
      <c r="D332" s="88">
        <f t="shared" si="1"/>
        <v>244.04</v>
      </c>
      <c r="K332" s="87" t="s">
        <v>5668</v>
      </c>
      <c r="L332" s="62" t="s">
        <v>3933</v>
      </c>
      <c r="M332" s="62">
        <v>45.0</v>
      </c>
    </row>
    <row r="333">
      <c r="A333" s="62" t="s">
        <v>2205</v>
      </c>
      <c r="B333" s="62">
        <v>235.5</v>
      </c>
      <c r="D333" s="88">
        <f t="shared" si="1"/>
        <v>235.5</v>
      </c>
      <c r="K333" s="87" t="s">
        <v>4401</v>
      </c>
      <c r="L333" s="62" t="s">
        <v>4401</v>
      </c>
      <c r="M333" s="62">
        <v>45.0</v>
      </c>
    </row>
    <row r="334">
      <c r="A334" s="62" t="s">
        <v>2230</v>
      </c>
      <c r="B334" s="62">
        <v>470.99</v>
      </c>
      <c r="D334" s="88">
        <f t="shared" si="1"/>
        <v>470.99</v>
      </c>
      <c r="K334" s="87" t="s">
        <v>4325</v>
      </c>
      <c r="L334" s="62" t="s">
        <v>4325</v>
      </c>
      <c r="M334" s="62">
        <v>45.0</v>
      </c>
    </row>
    <row r="335">
      <c r="A335" s="62" t="s">
        <v>1988</v>
      </c>
      <c r="B335" s="62">
        <v>415.0</v>
      </c>
      <c r="D335" s="88">
        <f t="shared" si="1"/>
        <v>415</v>
      </c>
      <c r="K335" s="87" t="s">
        <v>2874</v>
      </c>
      <c r="L335" s="62" t="s">
        <v>2874</v>
      </c>
      <c r="M335" s="62">
        <v>45.0</v>
      </c>
    </row>
    <row r="336">
      <c r="A336" s="62" t="s">
        <v>1139</v>
      </c>
      <c r="B336" s="62">
        <v>169.09</v>
      </c>
      <c r="D336" s="88">
        <f t="shared" si="1"/>
        <v>169.09</v>
      </c>
      <c r="K336" s="87" t="s">
        <v>3389</v>
      </c>
      <c r="L336" s="62" t="s">
        <v>3389</v>
      </c>
      <c r="M336" s="62">
        <v>45.0</v>
      </c>
    </row>
    <row r="337">
      <c r="A337" s="62" t="s">
        <v>870</v>
      </c>
      <c r="B337" s="62">
        <v>145.8</v>
      </c>
      <c r="D337" s="88">
        <f t="shared" si="1"/>
        <v>145.8</v>
      </c>
      <c r="K337" s="87" t="s">
        <v>5669</v>
      </c>
      <c r="L337" s="62" t="s">
        <v>5669</v>
      </c>
      <c r="M337" s="62">
        <v>45.0</v>
      </c>
    </row>
    <row r="338">
      <c r="A338" s="62" t="s">
        <v>2238</v>
      </c>
      <c r="B338" s="62">
        <v>291.6</v>
      </c>
      <c r="D338" s="88">
        <f t="shared" si="1"/>
        <v>291.6</v>
      </c>
      <c r="K338" s="87" t="s">
        <v>3972</v>
      </c>
      <c r="L338" s="62" t="s">
        <v>3972</v>
      </c>
      <c r="M338" s="62">
        <v>45.0</v>
      </c>
    </row>
    <row r="339">
      <c r="A339" s="62" t="s">
        <v>1045</v>
      </c>
      <c r="B339" s="62">
        <v>427.0</v>
      </c>
      <c r="D339" s="88">
        <f t="shared" si="1"/>
        <v>427</v>
      </c>
      <c r="K339" s="87" t="s">
        <v>5386</v>
      </c>
      <c r="L339" s="62" t="s">
        <v>5386</v>
      </c>
      <c r="M339" s="62">
        <v>45.0</v>
      </c>
    </row>
    <row r="340">
      <c r="A340" s="62" t="s">
        <v>5623</v>
      </c>
      <c r="B340" s="62">
        <v>49.5</v>
      </c>
      <c r="D340" s="88">
        <f t="shared" si="1"/>
        <v>49.5</v>
      </c>
      <c r="K340" s="87" t="s">
        <v>311</v>
      </c>
      <c r="L340" s="62" t="s">
        <v>311</v>
      </c>
      <c r="M340" s="62">
        <v>60.0</v>
      </c>
    </row>
    <row r="341">
      <c r="A341" s="62" t="s">
        <v>1547</v>
      </c>
      <c r="B341" s="62">
        <v>162.38</v>
      </c>
      <c r="D341" s="88">
        <f t="shared" si="1"/>
        <v>162.38</v>
      </c>
      <c r="K341" s="87" t="s">
        <v>3201</v>
      </c>
      <c r="L341" s="62" t="s">
        <v>3201</v>
      </c>
      <c r="M341" s="62">
        <v>60.0</v>
      </c>
    </row>
    <row r="342">
      <c r="A342" s="62" t="s">
        <v>1801</v>
      </c>
      <c r="B342" s="62">
        <v>109.0</v>
      </c>
      <c r="D342" s="88">
        <f t="shared" si="1"/>
        <v>109</v>
      </c>
      <c r="K342" s="87" t="s">
        <v>4897</v>
      </c>
      <c r="L342" s="62" t="s">
        <v>4897</v>
      </c>
      <c r="M342" s="62">
        <v>60.0</v>
      </c>
    </row>
    <row r="343">
      <c r="A343" s="62" t="s">
        <v>922</v>
      </c>
      <c r="B343" s="62">
        <v>174.15</v>
      </c>
      <c r="D343" s="88">
        <f t="shared" si="1"/>
        <v>174.15</v>
      </c>
      <c r="K343" s="87" t="s">
        <v>3092</v>
      </c>
      <c r="L343" s="62" t="s">
        <v>3092</v>
      </c>
      <c r="M343" s="62">
        <v>45.0</v>
      </c>
    </row>
    <row r="344">
      <c r="A344" s="62" t="s">
        <v>903</v>
      </c>
      <c r="B344" s="62">
        <v>200.0</v>
      </c>
      <c r="C344" s="62">
        <v>261.0</v>
      </c>
      <c r="D344" s="88">
        <f t="shared" si="1"/>
        <v>261</v>
      </c>
      <c r="K344" s="87" t="s">
        <v>1007</v>
      </c>
      <c r="L344" s="62" t="s">
        <v>1007</v>
      </c>
      <c r="M344" s="62">
        <v>60.0</v>
      </c>
    </row>
    <row r="345">
      <c r="A345" s="62" t="s">
        <v>1555</v>
      </c>
      <c r="B345" s="62">
        <v>272.0</v>
      </c>
      <c r="D345" s="88">
        <f t="shared" si="1"/>
        <v>272</v>
      </c>
      <c r="K345" s="77" t="s">
        <v>2740</v>
      </c>
      <c r="L345" s="62" t="s">
        <v>2740</v>
      </c>
      <c r="M345" s="62">
        <v>45.0</v>
      </c>
    </row>
    <row r="346">
      <c r="A346" s="62" t="s">
        <v>1884</v>
      </c>
      <c r="B346" s="62">
        <v>99.47</v>
      </c>
      <c r="D346" s="88">
        <f t="shared" si="1"/>
        <v>99.47</v>
      </c>
      <c r="K346" s="77" t="s">
        <v>3045</v>
      </c>
      <c r="L346" s="62" t="s">
        <v>3045</v>
      </c>
      <c r="M346" s="62">
        <v>60.0</v>
      </c>
    </row>
    <row r="347">
      <c r="A347" s="62" t="s">
        <v>1384</v>
      </c>
      <c r="B347" s="62">
        <v>368.0</v>
      </c>
      <c r="D347" s="88">
        <f t="shared" si="1"/>
        <v>368</v>
      </c>
      <c r="K347" s="77" t="s">
        <v>2954</v>
      </c>
      <c r="L347" s="62" t="s">
        <v>2954</v>
      </c>
      <c r="M347" s="62">
        <v>45.0</v>
      </c>
    </row>
    <row r="348">
      <c r="A348" s="62" t="s">
        <v>1400</v>
      </c>
      <c r="B348" s="62">
        <v>344.0</v>
      </c>
      <c r="D348" s="88">
        <f t="shared" si="1"/>
        <v>344</v>
      </c>
      <c r="K348" s="77" t="s">
        <v>5447</v>
      </c>
      <c r="L348" s="62" t="s">
        <v>5447</v>
      </c>
      <c r="M348" s="62">
        <v>45.0</v>
      </c>
    </row>
    <row r="349">
      <c r="A349" s="62" t="s">
        <v>186</v>
      </c>
      <c r="B349" s="62">
        <v>102.0</v>
      </c>
      <c r="D349" s="88">
        <f t="shared" si="1"/>
        <v>102</v>
      </c>
      <c r="K349" s="77" t="s">
        <v>4235</v>
      </c>
      <c r="L349" s="62" t="s">
        <v>4235</v>
      </c>
      <c r="M349" s="62">
        <v>45.0</v>
      </c>
    </row>
    <row r="350">
      <c r="A350" s="62" t="s">
        <v>1736</v>
      </c>
      <c r="B350" s="62">
        <v>433.0</v>
      </c>
      <c r="D350" s="88">
        <f t="shared" si="1"/>
        <v>433</v>
      </c>
      <c r="K350" s="77" t="s">
        <v>4494</v>
      </c>
      <c r="L350" s="62" t="s">
        <v>4494</v>
      </c>
      <c r="M350" s="62">
        <v>45.0</v>
      </c>
    </row>
    <row r="351">
      <c r="A351" s="62" t="s">
        <v>1794</v>
      </c>
      <c r="B351" s="62">
        <v>433.0</v>
      </c>
      <c r="D351" s="88">
        <f t="shared" si="1"/>
        <v>433</v>
      </c>
      <c r="K351" s="77" t="s">
        <v>2732</v>
      </c>
      <c r="L351" s="62" t="s">
        <v>2732</v>
      </c>
      <c r="M351" s="62">
        <v>45.0</v>
      </c>
    </row>
    <row r="352">
      <c r="A352" s="62" t="s">
        <v>1772</v>
      </c>
      <c r="B352" s="62">
        <v>433.0</v>
      </c>
      <c r="D352" s="88">
        <f t="shared" si="1"/>
        <v>433</v>
      </c>
      <c r="K352" s="77" t="s">
        <v>3552</v>
      </c>
      <c r="L352" s="62" t="s">
        <v>3552</v>
      </c>
      <c r="M352" s="62">
        <v>45.0</v>
      </c>
    </row>
    <row r="353">
      <c r="A353" s="62" t="s">
        <v>338</v>
      </c>
      <c r="B353" s="62">
        <v>111.6</v>
      </c>
      <c r="D353" s="88">
        <f t="shared" si="1"/>
        <v>111.6</v>
      </c>
      <c r="K353" s="77" t="s">
        <v>3905</v>
      </c>
      <c r="L353" s="62" t="s">
        <v>3905</v>
      </c>
      <c r="M353" s="62">
        <v>45.0</v>
      </c>
    </row>
    <row r="354">
      <c r="A354" s="62" t="s">
        <v>1683</v>
      </c>
      <c r="B354" s="62">
        <v>170.0</v>
      </c>
      <c r="D354" s="88">
        <f t="shared" si="1"/>
        <v>170</v>
      </c>
      <c r="K354" s="77" t="s">
        <v>4580</v>
      </c>
      <c r="L354" s="62" t="s">
        <v>4580</v>
      </c>
      <c r="M354" s="62">
        <v>45.0</v>
      </c>
    </row>
    <row r="355">
      <c r="A355" s="62" t="s">
        <v>460</v>
      </c>
      <c r="B355" s="62">
        <v>181.0</v>
      </c>
      <c r="D355" s="88">
        <f t="shared" si="1"/>
        <v>181</v>
      </c>
      <c r="K355" s="77" t="s">
        <v>4603</v>
      </c>
      <c r="L355" s="62" t="s">
        <v>4603</v>
      </c>
      <c r="M355" s="62">
        <v>45.0</v>
      </c>
    </row>
    <row r="356">
      <c r="A356" s="62" t="s">
        <v>750</v>
      </c>
      <c r="B356" s="62">
        <v>220.0</v>
      </c>
      <c r="D356" s="88">
        <f t="shared" si="1"/>
        <v>220</v>
      </c>
      <c r="K356" s="87" t="s">
        <v>5397</v>
      </c>
      <c r="L356" s="62" t="s">
        <v>5397</v>
      </c>
      <c r="M356" s="62">
        <v>45.0</v>
      </c>
    </row>
    <row r="357">
      <c r="A357" s="62" t="s">
        <v>2048</v>
      </c>
      <c r="B357" s="62">
        <v>948.2</v>
      </c>
      <c r="D357" s="88">
        <f t="shared" si="1"/>
        <v>948.2</v>
      </c>
      <c r="K357" s="87" t="s">
        <v>740</v>
      </c>
      <c r="L357" s="62" t="s">
        <v>740</v>
      </c>
      <c r="M357" s="62">
        <v>45.0</v>
      </c>
    </row>
    <row r="358">
      <c r="A358" s="62" t="s">
        <v>2058</v>
      </c>
      <c r="B358" s="62">
        <v>511.4</v>
      </c>
      <c r="D358" s="88">
        <f t="shared" si="1"/>
        <v>511.4</v>
      </c>
      <c r="K358" s="87" t="s">
        <v>729</v>
      </c>
      <c r="L358" s="62" t="s">
        <v>729</v>
      </c>
      <c r="M358" s="62">
        <v>45.0</v>
      </c>
    </row>
    <row r="359">
      <c r="A359" s="62" t="s">
        <v>768</v>
      </c>
      <c r="B359" s="62">
        <v>490.0</v>
      </c>
      <c r="D359" s="88">
        <f t="shared" si="1"/>
        <v>490</v>
      </c>
      <c r="K359" s="87" t="s">
        <v>582</v>
      </c>
      <c r="L359" s="62" t="s">
        <v>582</v>
      </c>
      <c r="M359" s="62">
        <v>45.0</v>
      </c>
    </row>
    <row r="360">
      <c r="A360" s="62" t="s">
        <v>441</v>
      </c>
      <c r="B360" s="62">
        <v>92.75</v>
      </c>
      <c r="D360" s="88">
        <f t="shared" si="1"/>
        <v>92.75</v>
      </c>
      <c r="K360" s="87" t="s">
        <v>714</v>
      </c>
      <c r="L360" s="62" t="s">
        <v>714</v>
      </c>
      <c r="M360" s="62">
        <v>45.0</v>
      </c>
    </row>
    <row r="361">
      <c r="A361" s="62" t="s">
        <v>2293</v>
      </c>
      <c r="B361" s="62">
        <v>456.0</v>
      </c>
      <c r="D361" s="88">
        <f t="shared" si="1"/>
        <v>456</v>
      </c>
      <c r="K361" s="87" t="s">
        <v>563</v>
      </c>
      <c r="L361" s="62" t="s">
        <v>563</v>
      </c>
    </row>
    <row r="362">
      <c r="A362" s="62" t="s">
        <v>402</v>
      </c>
      <c r="B362" s="62">
        <v>228.0</v>
      </c>
      <c r="D362" s="88">
        <f t="shared" si="1"/>
        <v>228</v>
      </c>
      <c r="K362" s="87" t="s">
        <v>680</v>
      </c>
      <c r="L362" s="62" t="s">
        <v>680</v>
      </c>
      <c r="M362" s="62">
        <v>60.0</v>
      </c>
    </row>
    <row r="363">
      <c r="A363" s="62" t="s">
        <v>1628</v>
      </c>
      <c r="B363" s="62">
        <v>49.5</v>
      </c>
      <c r="D363" s="88">
        <f t="shared" si="1"/>
        <v>49.5</v>
      </c>
      <c r="K363" s="87" t="s">
        <v>626</v>
      </c>
      <c r="L363" s="62" t="s">
        <v>626</v>
      </c>
    </row>
    <row r="364">
      <c r="A364" s="62" t="s">
        <v>1411</v>
      </c>
      <c r="B364" s="62">
        <v>110.0</v>
      </c>
      <c r="C364" s="62">
        <v>108.8</v>
      </c>
      <c r="D364" s="88">
        <f t="shared" si="1"/>
        <v>108.8</v>
      </c>
      <c r="K364" s="87" t="s">
        <v>5437</v>
      </c>
      <c r="L364" s="62" t="s">
        <v>5437</v>
      </c>
    </row>
    <row r="365">
      <c r="A365" s="62" t="s">
        <v>1819</v>
      </c>
      <c r="B365" s="62">
        <v>120.0</v>
      </c>
      <c r="D365" s="88">
        <f t="shared" si="1"/>
        <v>120</v>
      </c>
      <c r="K365" s="87" t="s">
        <v>659</v>
      </c>
      <c r="L365" s="62" t="s">
        <v>659</v>
      </c>
    </row>
    <row r="366">
      <c r="A366" s="62" t="s">
        <v>788</v>
      </c>
      <c r="B366" s="62">
        <v>182.97</v>
      </c>
      <c r="D366" s="88">
        <f t="shared" si="1"/>
        <v>182.97</v>
      </c>
      <c r="K366" s="87" t="s">
        <v>606</v>
      </c>
      <c r="L366" s="62" t="s">
        <v>606</v>
      </c>
    </row>
    <row r="367">
      <c r="A367" s="62" t="s">
        <v>1843</v>
      </c>
      <c r="B367" s="62">
        <v>97.27</v>
      </c>
      <c r="D367" s="88">
        <f t="shared" si="1"/>
        <v>97.27</v>
      </c>
      <c r="K367" s="87" t="s">
        <v>639</v>
      </c>
      <c r="L367" s="62" t="s">
        <v>639</v>
      </c>
    </row>
    <row r="368">
      <c r="A368" s="62" t="s">
        <v>1871</v>
      </c>
      <c r="B368" s="62">
        <v>99.0</v>
      </c>
      <c r="D368" s="88">
        <f t="shared" si="1"/>
        <v>99</v>
      </c>
      <c r="K368" s="87" t="s">
        <v>697</v>
      </c>
      <c r="L368" s="62" t="s">
        <v>697</v>
      </c>
      <c r="M368" s="62">
        <v>60.0</v>
      </c>
    </row>
    <row r="369">
      <c r="A369" s="62" t="s">
        <v>1455</v>
      </c>
      <c r="B369" s="62">
        <v>81.2</v>
      </c>
      <c r="D369" s="88">
        <f t="shared" si="1"/>
        <v>81.2</v>
      </c>
      <c r="K369" s="87" t="s">
        <v>5242</v>
      </c>
      <c r="L369" s="62" t="s">
        <v>5242</v>
      </c>
    </row>
    <row r="370">
      <c r="A370" s="62" t="s">
        <v>282</v>
      </c>
      <c r="B370" s="62">
        <v>99.5</v>
      </c>
      <c r="D370" s="88">
        <f t="shared" si="1"/>
        <v>99.5</v>
      </c>
      <c r="K370" s="87" t="s">
        <v>4736</v>
      </c>
      <c r="L370" s="62" t="s">
        <v>4736</v>
      </c>
      <c r="M370" s="62">
        <v>45.0</v>
      </c>
    </row>
    <row r="371">
      <c r="A371" s="62" t="s">
        <v>1253</v>
      </c>
      <c r="B371" s="62">
        <v>108.0</v>
      </c>
      <c r="D371" s="88">
        <f t="shared" si="1"/>
        <v>108</v>
      </c>
      <c r="K371" s="87" t="s">
        <v>5198</v>
      </c>
      <c r="L371" s="62" t="s">
        <v>5198</v>
      </c>
      <c r="M371" s="62">
        <v>45.0</v>
      </c>
    </row>
    <row r="372">
      <c r="A372" s="62" t="s">
        <v>1514</v>
      </c>
      <c r="B372" s="62">
        <v>217.0</v>
      </c>
      <c r="D372" s="88">
        <f t="shared" si="1"/>
        <v>217</v>
      </c>
      <c r="K372" s="87" t="s">
        <v>4339</v>
      </c>
      <c r="L372" s="62" t="s">
        <v>4339</v>
      </c>
      <c r="M372" s="62">
        <v>90.0</v>
      </c>
    </row>
    <row r="373">
      <c r="A373" s="62" t="s">
        <v>1655</v>
      </c>
      <c r="B373" s="62">
        <v>99.0</v>
      </c>
      <c r="D373" s="88">
        <f t="shared" si="1"/>
        <v>99</v>
      </c>
      <c r="K373" s="87" t="s">
        <v>2970</v>
      </c>
      <c r="L373" s="62" t="s">
        <v>2970</v>
      </c>
      <c r="M373" s="62">
        <v>45.0</v>
      </c>
    </row>
    <row r="374">
      <c r="A374" s="62" t="s">
        <v>1435</v>
      </c>
      <c r="B374" s="62">
        <v>108.5</v>
      </c>
      <c r="D374" s="88">
        <f t="shared" si="1"/>
        <v>108.5</v>
      </c>
      <c r="K374" s="87" t="s">
        <v>4716</v>
      </c>
      <c r="L374" s="62" t="s">
        <v>4716</v>
      </c>
      <c r="M374" s="62">
        <v>45.0</v>
      </c>
    </row>
    <row r="375">
      <c r="A375" s="62" t="s">
        <v>884</v>
      </c>
      <c r="B375" s="62">
        <v>136.8</v>
      </c>
      <c r="C375" s="62">
        <v>136.8</v>
      </c>
      <c r="D375" s="88">
        <f t="shared" si="1"/>
        <v>136.8</v>
      </c>
      <c r="K375" s="87" t="s">
        <v>5366</v>
      </c>
      <c r="L375" s="62" t="s">
        <v>5366</v>
      </c>
      <c r="M375" s="62">
        <v>90.0</v>
      </c>
    </row>
    <row r="376">
      <c r="A376" s="62" t="s">
        <v>5670</v>
      </c>
      <c r="B376" s="62">
        <v>862.0</v>
      </c>
      <c r="D376" s="88">
        <f t="shared" si="1"/>
        <v>862</v>
      </c>
      <c r="K376" s="87"/>
    </row>
    <row r="377">
      <c r="A377" s="62" t="s">
        <v>1527</v>
      </c>
      <c r="B377" s="62">
        <v>126.09</v>
      </c>
      <c r="D377" s="88">
        <f t="shared" si="1"/>
        <v>126.09</v>
      </c>
      <c r="K377" s="87"/>
    </row>
    <row r="378">
      <c r="A378" s="62" t="s">
        <v>357</v>
      </c>
      <c r="B378" s="62">
        <v>220.0</v>
      </c>
      <c r="D378" s="88">
        <f t="shared" si="1"/>
        <v>220</v>
      </c>
      <c r="K378" s="87"/>
    </row>
    <row r="379">
      <c r="A379" s="62" t="s">
        <v>425</v>
      </c>
      <c r="B379" s="62">
        <v>220.0</v>
      </c>
      <c r="D379" s="88">
        <f t="shared" si="1"/>
        <v>220</v>
      </c>
      <c r="K379" s="87"/>
    </row>
    <row r="380">
      <c r="A380" s="62" t="s">
        <v>311</v>
      </c>
      <c r="B380" s="62">
        <v>135.47</v>
      </c>
      <c r="D380" s="88">
        <f t="shared" si="1"/>
        <v>135.47</v>
      </c>
      <c r="K380" s="87"/>
    </row>
    <row r="381">
      <c r="A381" s="62" t="s">
        <v>5671</v>
      </c>
      <c r="B381" s="62">
        <v>192.26</v>
      </c>
      <c r="D381" s="88">
        <f t="shared" si="1"/>
        <v>192.26</v>
      </c>
      <c r="K381" s="87"/>
    </row>
    <row r="382">
      <c r="A382" s="62" t="s">
        <v>1474</v>
      </c>
      <c r="B382" s="62">
        <v>140.4</v>
      </c>
      <c r="D382" s="88">
        <f t="shared" si="1"/>
        <v>140.4</v>
      </c>
      <c r="K382" s="87"/>
    </row>
    <row r="383">
      <c r="A383" s="62" t="s">
        <v>5437</v>
      </c>
      <c r="B383" s="62">
        <v>0.0</v>
      </c>
      <c r="D383" s="88">
        <f t="shared" si="1"/>
        <v>0</v>
      </c>
      <c r="K383" s="87"/>
    </row>
    <row r="384">
      <c r="A384" s="62" t="s">
        <v>117</v>
      </c>
      <c r="B384" s="62">
        <v>139.2</v>
      </c>
      <c r="C384" s="62">
        <v>145.43</v>
      </c>
      <c r="D384" s="88">
        <f t="shared" si="1"/>
        <v>145.43</v>
      </c>
      <c r="K384" s="87"/>
    </row>
    <row r="385">
      <c r="A385" s="62" t="s">
        <v>1502</v>
      </c>
      <c r="B385" s="62">
        <v>77.9</v>
      </c>
      <c r="D385" s="88">
        <f t="shared" si="1"/>
        <v>77.9</v>
      </c>
      <c r="K385" s="87"/>
    </row>
    <row r="386">
      <c r="A386" s="62" t="s">
        <v>1007</v>
      </c>
      <c r="B386" s="62">
        <v>116.0</v>
      </c>
      <c r="C386" s="62">
        <v>116.0</v>
      </c>
      <c r="D386" s="88">
        <f t="shared" si="1"/>
        <v>116</v>
      </c>
      <c r="K386" s="87"/>
    </row>
    <row r="387">
      <c r="A387" s="62" t="s">
        <v>563</v>
      </c>
      <c r="B387" s="62">
        <v>119.0</v>
      </c>
      <c r="D387" s="88">
        <f t="shared" si="1"/>
        <v>119</v>
      </c>
      <c r="K387" s="87"/>
    </row>
    <row r="388">
      <c r="A388" s="62" t="s">
        <v>582</v>
      </c>
      <c r="B388" s="62">
        <v>92.82</v>
      </c>
      <c r="D388" s="88">
        <f t="shared" si="1"/>
        <v>92.82</v>
      </c>
      <c r="K388" s="87"/>
    </row>
    <row r="389">
      <c r="A389" s="62" t="s">
        <v>626</v>
      </c>
      <c r="B389" s="62">
        <v>185.4</v>
      </c>
      <c r="D389" s="88">
        <f t="shared" si="1"/>
        <v>185.4</v>
      </c>
      <c r="K389" s="87"/>
    </row>
    <row r="390">
      <c r="A390" s="62" t="s">
        <v>606</v>
      </c>
      <c r="B390" s="62">
        <v>199.0</v>
      </c>
      <c r="C390" s="62">
        <v>199.0</v>
      </c>
      <c r="D390" s="88">
        <f t="shared" si="1"/>
        <v>199</v>
      </c>
      <c r="K390" s="87"/>
    </row>
    <row r="391">
      <c r="A391" s="62" t="s">
        <v>639</v>
      </c>
      <c r="B391" s="62">
        <v>147.33</v>
      </c>
      <c r="D391" s="88">
        <f t="shared" si="1"/>
        <v>147.33</v>
      </c>
      <c r="K391" s="87"/>
    </row>
    <row r="392">
      <c r="A392" s="62" t="s">
        <v>659</v>
      </c>
      <c r="B392" s="62">
        <v>196.22</v>
      </c>
      <c r="D392" s="88">
        <f t="shared" si="1"/>
        <v>196.22</v>
      </c>
      <c r="K392" s="87"/>
    </row>
    <row r="393">
      <c r="A393" s="62" t="s">
        <v>680</v>
      </c>
      <c r="B393" s="62">
        <v>278.0</v>
      </c>
      <c r="D393" s="88">
        <f t="shared" si="1"/>
        <v>278</v>
      </c>
      <c r="K393" s="87"/>
    </row>
    <row r="394">
      <c r="A394" s="62" t="s">
        <v>729</v>
      </c>
      <c r="B394" s="62">
        <v>99.73</v>
      </c>
      <c r="D394" s="88">
        <f t="shared" si="1"/>
        <v>99.73</v>
      </c>
      <c r="K394" s="87"/>
    </row>
    <row r="395">
      <c r="A395" s="62" t="s">
        <v>740</v>
      </c>
      <c r="B395" s="62">
        <v>104.83</v>
      </c>
      <c r="D395" s="88">
        <f t="shared" si="1"/>
        <v>104.83</v>
      </c>
      <c r="K395" s="87"/>
    </row>
    <row r="396">
      <c r="A396" s="62" t="s">
        <v>714</v>
      </c>
      <c r="B396" s="62">
        <v>130.0</v>
      </c>
      <c r="D396" s="88">
        <f t="shared" si="1"/>
        <v>130</v>
      </c>
      <c r="K396" s="87"/>
    </row>
    <row r="397">
      <c r="A397" s="62" t="s">
        <v>697</v>
      </c>
      <c r="B397" s="62">
        <v>404.0</v>
      </c>
      <c r="C397" s="62">
        <v>400.0</v>
      </c>
      <c r="D397" s="88">
        <f t="shared" si="1"/>
        <v>400</v>
      </c>
      <c r="K397" s="87"/>
    </row>
    <row r="398">
      <c r="A398" s="62" t="s">
        <v>5366</v>
      </c>
      <c r="B398" s="62">
        <v>157.1</v>
      </c>
      <c r="D398" s="88">
        <f t="shared" si="1"/>
        <v>157.1</v>
      </c>
      <c r="K398" s="87"/>
    </row>
    <row r="399">
      <c r="A399" s="62" t="s">
        <v>5672</v>
      </c>
      <c r="B399" s="62">
        <v>278.0</v>
      </c>
      <c r="D399" s="88">
        <f t="shared" si="1"/>
        <v>278</v>
      </c>
      <c r="K399" s="87"/>
    </row>
    <row r="400">
      <c r="A400" s="62" t="s">
        <v>5486</v>
      </c>
      <c r="B400" s="62">
        <v>210.0</v>
      </c>
      <c r="D400" s="88">
        <f t="shared" si="1"/>
        <v>210</v>
      </c>
      <c r="K400" s="87"/>
    </row>
    <row r="401">
      <c r="A401" s="62" t="s">
        <v>5494</v>
      </c>
      <c r="B401" s="62">
        <v>432.0</v>
      </c>
      <c r="D401" s="88">
        <f t="shared" si="1"/>
        <v>432</v>
      </c>
      <c r="K401" s="87"/>
    </row>
    <row r="402">
      <c r="A402" s="62" t="s">
        <v>5507</v>
      </c>
      <c r="B402" s="62">
        <v>200.0</v>
      </c>
      <c r="D402" s="88">
        <f t="shared" si="1"/>
        <v>200</v>
      </c>
      <c r="K402" s="87"/>
    </row>
    <row r="403">
      <c r="A403" s="62" t="s">
        <v>5478</v>
      </c>
      <c r="B403" s="62">
        <v>160.0</v>
      </c>
      <c r="D403" s="88">
        <f t="shared" si="1"/>
        <v>160</v>
      </c>
      <c r="K403" s="87"/>
    </row>
    <row r="404">
      <c r="A404" s="62" t="s">
        <v>5500</v>
      </c>
      <c r="B404" s="62">
        <v>199.65</v>
      </c>
      <c r="D404" s="88">
        <f t="shared" si="1"/>
        <v>199.65</v>
      </c>
      <c r="K404" s="87"/>
    </row>
    <row r="405">
      <c r="D405" s="88" t="str">
        <f t="shared" si="1"/>
        <v/>
      </c>
      <c r="K405" s="87"/>
    </row>
    <row r="406">
      <c r="D406" s="88" t="str">
        <f t="shared" si="1"/>
        <v/>
      </c>
      <c r="K406" s="87"/>
    </row>
    <row r="407">
      <c r="D407" s="88" t="str">
        <f t="shared" si="1"/>
        <v/>
      </c>
      <c r="K407" s="87"/>
    </row>
    <row r="408">
      <c r="D408" s="88" t="str">
        <f t="shared" si="1"/>
        <v/>
      </c>
      <c r="K408" s="87"/>
    </row>
    <row r="409">
      <c r="D409" s="88" t="str">
        <f t="shared" si="1"/>
        <v/>
      </c>
      <c r="K409" s="87"/>
    </row>
    <row r="410">
      <c r="D410" s="88" t="str">
        <f t="shared" si="1"/>
        <v/>
      </c>
      <c r="K410" s="87"/>
    </row>
    <row r="411">
      <c r="D411" s="88" t="str">
        <f t="shared" si="1"/>
        <v/>
      </c>
      <c r="K411" s="87"/>
    </row>
    <row r="412">
      <c r="D412" s="88" t="str">
        <f t="shared" si="1"/>
        <v/>
      </c>
      <c r="K412" s="87"/>
    </row>
    <row r="413">
      <c r="D413" s="88" t="str">
        <f t="shared" si="1"/>
        <v/>
      </c>
      <c r="K413" s="87"/>
    </row>
    <row r="414">
      <c r="D414" s="88" t="str">
        <f t="shared" si="1"/>
        <v/>
      </c>
      <c r="K414" s="87"/>
    </row>
    <row r="415">
      <c r="D415" s="88" t="str">
        <f t="shared" si="1"/>
        <v/>
      </c>
      <c r="K415" s="87"/>
    </row>
    <row r="416">
      <c r="D416" s="88" t="str">
        <f t="shared" si="1"/>
        <v/>
      </c>
      <c r="K416" s="87"/>
    </row>
    <row r="417">
      <c r="D417" s="88" t="str">
        <f t="shared" si="1"/>
        <v/>
      </c>
      <c r="K417" s="87"/>
    </row>
    <row r="418">
      <c r="D418" s="88" t="str">
        <f t="shared" si="1"/>
        <v/>
      </c>
      <c r="K418" s="87"/>
    </row>
    <row r="419">
      <c r="D419" s="88" t="str">
        <f t="shared" si="1"/>
        <v/>
      </c>
      <c r="K419" s="87"/>
    </row>
    <row r="420">
      <c r="D420" s="88" t="str">
        <f t="shared" si="1"/>
        <v/>
      </c>
      <c r="K420" s="87"/>
    </row>
    <row r="421">
      <c r="D421" s="88" t="str">
        <f t="shared" si="1"/>
        <v/>
      </c>
      <c r="K421" s="87"/>
    </row>
    <row r="422">
      <c r="D422" s="88" t="str">
        <f t="shared" si="1"/>
        <v/>
      </c>
      <c r="K422" s="87"/>
    </row>
    <row r="423">
      <c r="D423" s="88" t="str">
        <f t="shared" si="1"/>
        <v/>
      </c>
      <c r="K423" s="87"/>
    </row>
    <row r="424">
      <c r="D424" s="88" t="str">
        <f t="shared" si="1"/>
        <v/>
      </c>
      <c r="K424" s="87"/>
    </row>
    <row r="425">
      <c r="D425" s="88" t="str">
        <f t="shared" si="1"/>
        <v/>
      </c>
      <c r="K425" s="87"/>
    </row>
    <row r="426">
      <c r="D426" s="88" t="str">
        <f t="shared" si="1"/>
        <v/>
      </c>
      <c r="K426" s="87"/>
    </row>
    <row r="427">
      <c r="D427" s="88" t="str">
        <f t="shared" si="1"/>
        <v/>
      </c>
      <c r="K427" s="87"/>
    </row>
    <row r="428">
      <c r="D428" s="88" t="str">
        <f t="shared" si="1"/>
        <v/>
      </c>
      <c r="K428" s="87"/>
    </row>
    <row r="429">
      <c r="D429" s="88" t="str">
        <f t="shared" si="1"/>
        <v/>
      </c>
      <c r="K429" s="87"/>
    </row>
    <row r="430">
      <c r="D430" s="88" t="str">
        <f t="shared" si="1"/>
        <v/>
      </c>
      <c r="K430" s="87"/>
    </row>
    <row r="431">
      <c r="D431" s="88" t="str">
        <f t="shared" si="1"/>
        <v/>
      </c>
      <c r="K431" s="87"/>
    </row>
    <row r="432">
      <c r="D432" s="88" t="str">
        <f t="shared" si="1"/>
        <v/>
      </c>
      <c r="K432" s="87"/>
    </row>
    <row r="433">
      <c r="D433" s="88" t="str">
        <f t="shared" si="1"/>
        <v/>
      </c>
      <c r="K433" s="87"/>
    </row>
    <row r="434">
      <c r="D434" s="88" t="str">
        <f t="shared" si="1"/>
        <v/>
      </c>
      <c r="K434" s="87"/>
    </row>
    <row r="435">
      <c r="D435" s="88" t="str">
        <f t="shared" si="1"/>
        <v/>
      </c>
      <c r="K435" s="87"/>
    </row>
    <row r="436">
      <c r="D436" s="88" t="str">
        <f t="shared" si="1"/>
        <v/>
      </c>
      <c r="K436" s="87"/>
    </row>
    <row r="437">
      <c r="D437" s="88" t="str">
        <f t="shared" si="1"/>
        <v/>
      </c>
      <c r="K437" s="87"/>
    </row>
    <row r="438">
      <c r="D438" s="88" t="str">
        <f t="shared" si="1"/>
        <v/>
      </c>
      <c r="K438" s="87"/>
    </row>
    <row r="439">
      <c r="D439" s="88" t="str">
        <f t="shared" si="1"/>
        <v/>
      </c>
      <c r="K439" s="87"/>
    </row>
    <row r="440">
      <c r="D440" s="88" t="str">
        <f t="shared" si="1"/>
        <v/>
      </c>
      <c r="K440" s="87"/>
    </row>
    <row r="441">
      <c r="D441" s="88" t="str">
        <f t="shared" si="1"/>
        <v/>
      </c>
      <c r="K441" s="87"/>
    </row>
    <row r="442">
      <c r="D442" s="88" t="str">
        <f t="shared" si="1"/>
        <v/>
      </c>
      <c r="K442" s="87"/>
    </row>
    <row r="443">
      <c r="D443" s="88" t="str">
        <f t="shared" si="1"/>
        <v/>
      </c>
      <c r="K443" s="87"/>
    </row>
    <row r="444">
      <c r="D444" s="88" t="str">
        <f t="shared" si="1"/>
        <v/>
      </c>
      <c r="K444" s="87"/>
    </row>
    <row r="445">
      <c r="D445" s="88" t="str">
        <f t="shared" si="1"/>
        <v/>
      </c>
      <c r="K445" s="87"/>
    </row>
    <row r="446">
      <c r="D446" s="88" t="str">
        <f t="shared" si="1"/>
        <v/>
      </c>
      <c r="K446" s="87"/>
    </row>
    <row r="447">
      <c r="D447" s="88" t="str">
        <f t="shared" si="1"/>
        <v/>
      </c>
      <c r="K447" s="87"/>
    </row>
    <row r="448">
      <c r="D448" s="88" t="str">
        <f t="shared" si="1"/>
        <v/>
      </c>
      <c r="K448" s="87"/>
    </row>
    <row r="449">
      <c r="D449" s="88" t="str">
        <f t="shared" si="1"/>
        <v/>
      </c>
      <c r="K449" s="87"/>
    </row>
    <row r="450">
      <c r="D450" s="88" t="str">
        <f t="shared" si="1"/>
        <v/>
      </c>
      <c r="K450" s="87"/>
    </row>
    <row r="451">
      <c r="D451" s="88" t="str">
        <f t="shared" si="1"/>
        <v/>
      </c>
      <c r="K451" s="87"/>
    </row>
    <row r="452">
      <c r="D452" s="88" t="str">
        <f t="shared" si="1"/>
        <v/>
      </c>
      <c r="K452" s="87"/>
    </row>
    <row r="453">
      <c r="D453" s="88" t="str">
        <f t="shared" si="1"/>
        <v/>
      </c>
      <c r="K453" s="87"/>
    </row>
    <row r="454">
      <c r="D454" s="88" t="str">
        <f t="shared" si="1"/>
        <v/>
      </c>
      <c r="K454" s="87"/>
    </row>
    <row r="455">
      <c r="D455" s="88" t="str">
        <f t="shared" si="1"/>
        <v/>
      </c>
      <c r="K455" s="87"/>
    </row>
    <row r="456">
      <c r="D456" s="88" t="str">
        <f t="shared" si="1"/>
        <v/>
      </c>
      <c r="K456" s="87"/>
    </row>
    <row r="457">
      <c r="D457" s="88" t="str">
        <f t="shared" si="1"/>
        <v/>
      </c>
      <c r="K457" s="87"/>
    </row>
    <row r="458">
      <c r="D458" s="88" t="str">
        <f t="shared" si="1"/>
        <v/>
      </c>
      <c r="K458" s="87"/>
    </row>
    <row r="459">
      <c r="D459" s="88" t="str">
        <f t="shared" si="1"/>
        <v/>
      </c>
      <c r="K459" s="87"/>
    </row>
    <row r="460">
      <c r="D460" s="88" t="str">
        <f t="shared" si="1"/>
        <v/>
      </c>
      <c r="K460" s="87"/>
    </row>
    <row r="461">
      <c r="D461" s="88" t="str">
        <f t="shared" si="1"/>
        <v/>
      </c>
      <c r="K461" s="87"/>
    </row>
    <row r="462">
      <c r="D462" s="88" t="str">
        <f t="shared" si="1"/>
        <v/>
      </c>
      <c r="K462" s="87"/>
    </row>
    <row r="463">
      <c r="D463" s="88" t="str">
        <f t="shared" si="1"/>
        <v/>
      </c>
      <c r="K463" s="87"/>
    </row>
    <row r="464">
      <c r="D464" s="88" t="str">
        <f t="shared" si="1"/>
        <v/>
      </c>
      <c r="K464" s="87"/>
    </row>
    <row r="465">
      <c r="D465" s="88" t="str">
        <f t="shared" si="1"/>
        <v/>
      </c>
      <c r="K465" s="87"/>
    </row>
    <row r="466">
      <c r="D466" s="88" t="str">
        <f t="shared" si="1"/>
        <v/>
      </c>
      <c r="K466" s="87"/>
    </row>
    <row r="467">
      <c r="D467" s="88" t="str">
        <f t="shared" si="1"/>
        <v/>
      </c>
      <c r="K467" s="87"/>
    </row>
    <row r="468">
      <c r="D468" s="88" t="str">
        <f t="shared" si="1"/>
        <v/>
      </c>
      <c r="K468" s="87"/>
    </row>
    <row r="469">
      <c r="D469" s="88" t="str">
        <f t="shared" si="1"/>
        <v/>
      </c>
      <c r="K469" s="87"/>
    </row>
    <row r="470">
      <c r="D470" s="88" t="str">
        <f t="shared" si="1"/>
        <v/>
      </c>
      <c r="K470" s="87"/>
    </row>
    <row r="471">
      <c r="D471" s="88" t="str">
        <f t="shared" si="1"/>
        <v/>
      </c>
      <c r="K471" s="87"/>
    </row>
    <row r="472">
      <c r="D472" s="88" t="str">
        <f t="shared" si="1"/>
        <v/>
      </c>
      <c r="K472" s="87"/>
    </row>
    <row r="473">
      <c r="D473" s="88" t="str">
        <f t="shared" si="1"/>
        <v/>
      </c>
      <c r="K473" s="87"/>
    </row>
    <row r="474">
      <c r="D474" s="88" t="str">
        <f t="shared" si="1"/>
        <v/>
      </c>
      <c r="K474" s="87"/>
    </row>
    <row r="475">
      <c r="D475" s="88" t="str">
        <f t="shared" si="1"/>
        <v/>
      </c>
      <c r="K475" s="87"/>
    </row>
    <row r="476">
      <c r="D476" s="88" t="str">
        <f t="shared" si="1"/>
        <v/>
      </c>
      <c r="K476" s="87"/>
    </row>
    <row r="477">
      <c r="D477" s="88" t="str">
        <f t="shared" si="1"/>
        <v/>
      </c>
      <c r="K477" s="87"/>
    </row>
    <row r="478">
      <c r="D478" s="88" t="str">
        <f t="shared" si="1"/>
        <v/>
      </c>
      <c r="K478" s="87"/>
    </row>
    <row r="479">
      <c r="D479" s="88" t="str">
        <f t="shared" si="1"/>
        <v/>
      </c>
      <c r="K479" s="87"/>
    </row>
    <row r="480">
      <c r="D480" s="88" t="str">
        <f t="shared" si="1"/>
        <v/>
      </c>
      <c r="K480" s="87"/>
    </row>
    <row r="481">
      <c r="D481" s="88" t="str">
        <f t="shared" si="1"/>
        <v/>
      </c>
      <c r="K481" s="87"/>
    </row>
    <row r="482">
      <c r="D482" s="88" t="str">
        <f t="shared" si="1"/>
        <v/>
      </c>
      <c r="K482" s="87"/>
    </row>
    <row r="483">
      <c r="D483" s="88" t="str">
        <f t="shared" si="1"/>
        <v/>
      </c>
      <c r="K483" s="87"/>
    </row>
    <row r="484">
      <c r="D484" s="88" t="str">
        <f t="shared" si="1"/>
        <v/>
      </c>
      <c r="K484" s="87"/>
    </row>
    <row r="485">
      <c r="D485" s="88" t="str">
        <f t="shared" si="1"/>
        <v/>
      </c>
      <c r="K485" s="87"/>
    </row>
    <row r="486">
      <c r="D486" s="88" t="str">
        <f t="shared" si="1"/>
        <v/>
      </c>
      <c r="K486" s="87"/>
    </row>
    <row r="487">
      <c r="D487" s="88" t="str">
        <f t="shared" si="1"/>
        <v/>
      </c>
      <c r="K487" s="87"/>
    </row>
    <row r="488">
      <c r="D488" s="88" t="str">
        <f t="shared" si="1"/>
        <v/>
      </c>
      <c r="K488" s="87"/>
    </row>
    <row r="489">
      <c r="D489" s="88" t="str">
        <f t="shared" si="1"/>
        <v/>
      </c>
      <c r="K489" s="87"/>
    </row>
    <row r="490">
      <c r="D490" s="88" t="str">
        <f t="shared" si="1"/>
        <v/>
      </c>
      <c r="K490" s="87"/>
    </row>
    <row r="491">
      <c r="D491" s="88" t="str">
        <f t="shared" si="1"/>
        <v/>
      </c>
      <c r="K491" s="87"/>
    </row>
    <row r="492">
      <c r="D492" s="88" t="str">
        <f t="shared" si="1"/>
        <v/>
      </c>
      <c r="K492" s="87"/>
    </row>
    <row r="493">
      <c r="D493" s="88" t="str">
        <f t="shared" si="1"/>
        <v/>
      </c>
      <c r="K493" s="87"/>
    </row>
    <row r="494">
      <c r="D494" s="88" t="str">
        <f t="shared" si="1"/>
        <v/>
      </c>
      <c r="K494" s="87"/>
    </row>
    <row r="495">
      <c r="D495" s="88" t="str">
        <f t="shared" si="1"/>
        <v/>
      </c>
      <c r="K495" s="87"/>
    </row>
    <row r="496">
      <c r="D496" s="88" t="str">
        <f t="shared" si="1"/>
        <v/>
      </c>
      <c r="K496" s="87"/>
    </row>
    <row r="497">
      <c r="D497" s="88" t="str">
        <f t="shared" si="1"/>
        <v/>
      </c>
      <c r="K497" s="87"/>
    </row>
    <row r="498">
      <c r="D498" s="88" t="str">
        <f t="shared" si="1"/>
        <v/>
      </c>
      <c r="K498" s="87"/>
    </row>
    <row r="499">
      <c r="D499" s="88" t="str">
        <f t="shared" si="1"/>
        <v/>
      </c>
      <c r="K499" s="87"/>
    </row>
    <row r="500">
      <c r="D500" s="88" t="str">
        <f t="shared" si="1"/>
        <v/>
      </c>
      <c r="K500" s="87"/>
    </row>
    <row r="501">
      <c r="D501" s="88" t="str">
        <f t="shared" si="1"/>
        <v/>
      </c>
      <c r="K501" s="87"/>
    </row>
    <row r="502">
      <c r="D502" s="88" t="str">
        <f t="shared" si="1"/>
        <v/>
      </c>
      <c r="K502" s="87"/>
    </row>
    <row r="503">
      <c r="D503" s="88" t="str">
        <f t="shared" si="1"/>
        <v/>
      </c>
      <c r="K503" s="87"/>
    </row>
    <row r="504">
      <c r="D504" s="88" t="str">
        <f t="shared" si="1"/>
        <v/>
      </c>
      <c r="K504" s="87"/>
    </row>
    <row r="505">
      <c r="D505" s="88" t="str">
        <f t="shared" si="1"/>
        <v/>
      </c>
      <c r="K505" s="87"/>
    </row>
    <row r="506">
      <c r="D506" s="88" t="str">
        <f t="shared" si="1"/>
        <v/>
      </c>
      <c r="K506" s="87"/>
    </row>
    <row r="507">
      <c r="D507" s="88" t="str">
        <f t="shared" si="1"/>
        <v/>
      </c>
      <c r="K507" s="87"/>
    </row>
    <row r="508">
      <c r="D508" s="88" t="str">
        <f t="shared" si="1"/>
        <v/>
      </c>
      <c r="K508" s="87"/>
    </row>
    <row r="509">
      <c r="D509" s="88" t="str">
        <f t="shared" si="1"/>
        <v/>
      </c>
      <c r="K509" s="87"/>
    </row>
    <row r="510">
      <c r="D510" s="88" t="str">
        <f t="shared" si="1"/>
        <v/>
      </c>
      <c r="K510" s="87"/>
    </row>
    <row r="511">
      <c r="D511" s="88" t="str">
        <f t="shared" si="1"/>
        <v/>
      </c>
      <c r="K511" s="87"/>
    </row>
    <row r="512">
      <c r="D512" s="88" t="str">
        <f t="shared" si="1"/>
        <v/>
      </c>
      <c r="K512" s="87"/>
    </row>
    <row r="513">
      <c r="D513" s="88" t="str">
        <f t="shared" si="1"/>
        <v/>
      </c>
      <c r="K513" s="87"/>
    </row>
    <row r="514">
      <c r="D514" s="88" t="str">
        <f t="shared" si="1"/>
        <v/>
      </c>
      <c r="K514" s="87"/>
    </row>
    <row r="515">
      <c r="D515" s="88" t="str">
        <f t="shared" si="1"/>
        <v/>
      </c>
      <c r="K515" s="87"/>
    </row>
    <row r="516">
      <c r="D516" s="88" t="str">
        <f t="shared" si="1"/>
        <v/>
      </c>
      <c r="K516" s="87"/>
    </row>
    <row r="517">
      <c r="D517" s="88" t="str">
        <f t="shared" si="1"/>
        <v/>
      </c>
      <c r="K517" s="87"/>
    </row>
    <row r="518">
      <c r="D518" s="88" t="str">
        <f t="shared" si="1"/>
        <v/>
      </c>
      <c r="K518" s="87"/>
    </row>
    <row r="519">
      <c r="D519" s="88" t="str">
        <f t="shared" si="1"/>
        <v/>
      </c>
      <c r="K519" s="87"/>
    </row>
    <row r="520">
      <c r="D520" s="88" t="str">
        <f t="shared" si="1"/>
        <v/>
      </c>
      <c r="K520" s="87"/>
    </row>
    <row r="521">
      <c r="D521" s="88" t="str">
        <f t="shared" si="1"/>
        <v/>
      </c>
      <c r="K521" s="87"/>
    </row>
    <row r="522">
      <c r="D522" s="88" t="str">
        <f t="shared" si="1"/>
        <v/>
      </c>
      <c r="K522" s="87"/>
    </row>
    <row r="523">
      <c r="D523" s="88" t="str">
        <f t="shared" si="1"/>
        <v/>
      </c>
      <c r="K523" s="87"/>
    </row>
    <row r="524">
      <c r="D524" s="88" t="str">
        <f t="shared" si="1"/>
        <v/>
      </c>
      <c r="K524" s="87"/>
    </row>
    <row r="525">
      <c r="D525" s="88" t="str">
        <f t="shared" si="1"/>
        <v/>
      </c>
      <c r="K525" s="87"/>
    </row>
    <row r="526">
      <c r="D526" s="88" t="str">
        <f t="shared" si="1"/>
        <v/>
      </c>
      <c r="K526" s="87"/>
    </row>
    <row r="527">
      <c r="D527" s="88" t="str">
        <f t="shared" si="1"/>
        <v/>
      </c>
      <c r="K527" s="87"/>
    </row>
    <row r="528">
      <c r="D528" s="88" t="str">
        <f t="shared" si="1"/>
        <v/>
      </c>
      <c r="K528" s="87"/>
    </row>
    <row r="529">
      <c r="D529" s="88" t="str">
        <f t="shared" si="1"/>
        <v/>
      </c>
      <c r="K529" s="87"/>
    </row>
    <row r="530">
      <c r="D530" s="88" t="str">
        <f t="shared" si="1"/>
        <v/>
      </c>
      <c r="K530" s="87"/>
    </row>
    <row r="531">
      <c r="D531" s="88" t="str">
        <f t="shared" si="1"/>
        <v/>
      </c>
      <c r="K531" s="87"/>
    </row>
    <row r="532">
      <c r="D532" s="88" t="str">
        <f t="shared" si="1"/>
        <v/>
      </c>
      <c r="K532" s="87"/>
    </row>
    <row r="533">
      <c r="D533" s="88" t="str">
        <f t="shared" si="1"/>
        <v/>
      </c>
      <c r="K533" s="87"/>
    </row>
    <row r="534">
      <c r="D534" s="88" t="str">
        <f t="shared" si="1"/>
        <v/>
      </c>
      <c r="K534" s="87"/>
    </row>
    <row r="535">
      <c r="D535" s="88" t="str">
        <f t="shared" si="1"/>
        <v/>
      </c>
      <c r="K535" s="87"/>
    </row>
    <row r="536">
      <c r="D536" s="88" t="str">
        <f t="shared" si="1"/>
        <v/>
      </c>
      <c r="K536" s="87"/>
    </row>
    <row r="537">
      <c r="D537" s="88" t="str">
        <f t="shared" si="1"/>
        <v/>
      </c>
      <c r="K537" s="87"/>
    </row>
    <row r="538">
      <c r="D538" s="88" t="str">
        <f t="shared" si="1"/>
        <v/>
      </c>
      <c r="K538" s="87"/>
    </row>
    <row r="539">
      <c r="D539" s="88" t="str">
        <f t="shared" si="1"/>
        <v/>
      </c>
      <c r="K539" s="87"/>
    </row>
    <row r="540">
      <c r="D540" s="88" t="str">
        <f t="shared" si="1"/>
        <v/>
      </c>
      <c r="K540" s="87"/>
    </row>
    <row r="541">
      <c r="D541" s="88" t="str">
        <f t="shared" si="1"/>
        <v/>
      </c>
      <c r="K541" s="87"/>
    </row>
    <row r="542">
      <c r="D542" s="88" t="str">
        <f t="shared" si="1"/>
        <v/>
      </c>
      <c r="K542" s="87"/>
    </row>
    <row r="543">
      <c r="D543" s="88" t="str">
        <f t="shared" si="1"/>
        <v/>
      </c>
      <c r="K543" s="87"/>
    </row>
    <row r="544">
      <c r="D544" s="88" t="str">
        <f t="shared" si="1"/>
        <v/>
      </c>
      <c r="K544" s="87"/>
    </row>
    <row r="545">
      <c r="D545" s="88" t="str">
        <f t="shared" si="1"/>
        <v/>
      </c>
      <c r="K545" s="87"/>
    </row>
    <row r="546">
      <c r="D546" s="88" t="str">
        <f t="shared" si="1"/>
        <v/>
      </c>
      <c r="K546" s="87"/>
    </row>
    <row r="547">
      <c r="D547" s="88" t="str">
        <f t="shared" si="1"/>
        <v/>
      </c>
      <c r="K547" s="87"/>
    </row>
    <row r="548">
      <c r="D548" s="88" t="str">
        <f t="shared" si="1"/>
        <v/>
      </c>
      <c r="K548" s="87"/>
    </row>
    <row r="549">
      <c r="D549" s="88" t="str">
        <f t="shared" si="1"/>
        <v/>
      </c>
      <c r="K549" s="87"/>
    </row>
    <row r="550">
      <c r="D550" s="88" t="str">
        <f t="shared" si="1"/>
        <v/>
      </c>
      <c r="K550" s="87"/>
    </row>
    <row r="551">
      <c r="D551" s="88" t="str">
        <f t="shared" si="1"/>
        <v/>
      </c>
      <c r="K551" s="87"/>
    </row>
    <row r="552">
      <c r="D552" s="88" t="str">
        <f t="shared" si="1"/>
        <v/>
      </c>
      <c r="K552" s="87"/>
    </row>
    <row r="553">
      <c r="D553" s="88" t="str">
        <f t="shared" si="1"/>
        <v/>
      </c>
      <c r="K553" s="87"/>
    </row>
    <row r="554">
      <c r="D554" s="88" t="str">
        <f t="shared" si="1"/>
        <v/>
      </c>
      <c r="K554" s="87"/>
    </row>
    <row r="555">
      <c r="D555" s="88" t="str">
        <f t="shared" si="1"/>
        <v/>
      </c>
      <c r="K555" s="87"/>
    </row>
    <row r="556">
      <c r="D556" s="88" t="str">
        <f t="shared" si="1"/>
        <v/>
      </c>
      <c r="K556" s="87"/>
    </row>
    <row r="557">
      <c r="D557" s="88" t="str">
        <f t="shared" si="1"/>
        <v/>
      </c>
      <c r="K557" s="87"/>
    </row>
    <row r="558">
      <c r="D558" s="88" t="str">
        <f t="shared" si="1"/>
        <v/>
      </c>
      <c r="K558" s="87"/>
    </row>
    <row r="559">
      <c r="D559" s="88" t="str">
        <f t="shared" si="1"/>
        <v/>
      </c>
      <c r="K559" s="87"/>
    </row>
    <row r="560">
      <c r="D560" s="88" t="str">
        <f t="shared" si="1"/>
        <v/>
      </c>
      <c r="K560" s="87"/>
    </row>
    <row r="561">
      <c r="D561" s="88" t="str">
        <f t="shared" si="1"/>
        <v/>
      </c>
      <c r="K561" s="87"/>
    </row>
    <row r="562">
      <c r="D562" s="88" t="str">
        <f t="shared" si="1"/>
        <v/>
      </c>
      <c r="K562" s="87"/>
    </row>
    <row r="563">
      <c r="D563" s="88" t="str">
        <f t="shared" si="1"/>
        <v/>
      </c>
      <c r="K563" s="87"/>
    </row>
    <row r="564">
      <c r="D564" s="88" t="str">
        <f t="shared" si="1"/>
        <v/>
      </c>
      <c r="K564" s="87"/>
    </row>
    <row r="565">
      <c r="D565" s="88" t="str">
        <f t="shared" si="1"/>
        <v/>
      </c>
      <c r="K565" s="87"/>
    </row>
    <row r="566">
      <c r="D566" s="88" t="str">
        <f t="shared" si="1"/>
        <v/>
      </c>
      <c r="K566" s="87"/>
    </row>
    <row r="567">
      <c r="D567" s="88" t="str">
        <f t="shared" si="1"/>
        <v/>
      </c>
      <c r="K567" s="87"/>
    </row>
    <row r="568">
      <c r="D568" s="88" t="str">
        <f t="shared" si="1"/>
        <v/>
      </c>
      <c r="K568" s="87"/>
    </row>
    <row r="569">
      <c r="D569" s="88" t="str">
        <f t="shared" si="1"/>
        <v/>
      </c>
      <c r="K569" s="87"/>
    </row>
    <row r="570">
      <c r="D570" s="88" t="str">
        <f t="shared" si="1"/>
        <v/>
      </c>
      <c r="K570" s="87"/>
    </row>
    <row r="571">
      <c r="D571" s="88" t="str">
        <f t="shared" si="1"/>
        <v/>
      </c>
      <c r="K571" s="87"/>
    </row>
    <row r="572">
      <c r="D572" s="88" t="str">
        <f t="shared" si="1"/>
        <v/>
      </c>
      <c r="K572" s="87"/>
    </row>
    <row r="573">
      <c r="D573" s="88" t="str">
        <f t="shared" si="1"/>
        <v/>
      </c>
      <c r="K573" s="87"/>
    </row>
    <row r="574">
      <c r="D574" s="88" t="str">
        <f t="shared" si="1"/>
        <v/>
      </c>
      <c r="K574" s="87"/>
    </row>
    <row r="575">
      <c r="D575" s="88" t="str">
        <f t="shared" si="1"/>
        <v/>
      </c>
      <c r="K575" s="87"/>
    </row>
    <row r="576">
      <c r="D576" s="88" t="str">
        <f t="shared" si="1"/>
        <v/>
      </c>
      <c r="K576" s="87"/>
    </row>
    <row r="577">
      <c r="D577" s="88" t="str">
        <f t="shared" si="1"/>
        <v/>
      </c>
      <c r="K577" s="87"/>
    </row>
    <row r="578">
      <c r="D578" s="88" t="str">
        <f t="shared" si="1"/>
        <v/>
      </c>
      <c r="K578" s="87"/>
    </row>
    <row r="579">
      <c r="D579" s="88" t="str">
        <f t="shared" si="1"/>
        <v/>
      </c>
      <c r="K579" s="87"/>
    </row>
    <row r="580">
      <c r="D580" s="88" t="str">
        <f t="shared" si="1"/>
        <v/>
      </c>
      <c r="K580" s="87"/>
    </row>
    <row r="581">
      <c r="D581" s="88" t="str">
        <f t="shared" si="1"/>
        <v/>
      </c>
      <c r="K581" s="87"/>
    </row>
    <row r="582">
      <c r="D582" s="88" t="str">
        <f t="shared" si="1"/>
        <v/>
      </c>
      <c r="K582" s="87"/>
    </row>
    <row r="583">
      <c r="D583" s="88" t="str">
        <f t="shared" si="1"/>
        <v/>
      </c>
      <c r="K583" s="87"/>
    </row>
    <row r="584">
      <c r="D584" s="88" t="str">
        <f t="shared" si="1"/>
        <v/>
      </c>
      <c r="K584" s="87"/>
    </row>
    <row r="585">
      <c r="D585" s="88" t="str">
        <f t="shared" si="1"/>
        <v/>
      </c>
      <c r="K585" s="87"/>
    </row>
    <row r="586">
      <c r="D586" s="88" t="str">
        <f t="shared" si="1"/>
        <v/>
      </c>
      <c r="K586" s="87"/>
    </row>
    <row r="587">
      <c r="D587" s="88" t="str">
        <f t="shared" si="1"/>
        <v/>
      </c>
      <c r="K587" s="87"/>
    </row>
    <row r="588">
      <c r="D588" s="88" t="str">
        <f t="shared" si="1"/>
        <v/>
      </c>
      <c r="K588" s="87"/>
    </row>
    <row r="589">
      <c r="D589" s="88" t="str">
        <f t="shared" si="1"/>
        <v/>
      </c>
      <c r="K589" s="87"/>
    </row>
    <row r="590">
      <c r="D590" s="88" t="str">
        <f t="shared" si="1"/>
        <v/>
      </c>
      <c r="K590" s="87"/>
    </row>
    <row r="591">
      <c r="D591" s="88" t="str">
        <f t="shared" si="1"/>
        <v/>
      </c>
      <c r="K591" s="87"/>
    </row>
    <row r="592">
      <c r="D592" s="88" t="str">
        <f t="shared" si="1"/>
        <v/>
      </c>
      <c r="K592" s="87"/>
    </row>
    <row r="593">
      <c r="D593" s="88" t="str">
        <f t="shared" si="1"/>
        <v/>
      </c>
      <c r="K593" s="87"/>
    </row>
    <row r="594">
      <c r="D594" s="88" t="str">
        <f t="shared" si="1"/>
        <v/>
      </c>
      <c r="K594" s="87"/>
    </row>
    <row r="595">
      <c r="D595" s="88" t="str">
        <f t="shared" si="1"/>
        <v/>
      </c>
      <c r="K595" s="87"/>
    </row>
    <row r="596">
      <c r="D596" s="88" t="str">
        <f t="shared" si="1"/>
        <v/>
      </c>
      <c r="K596" s="87"/>
    </row>
    <row r="597">
      <c r="D597" s="88" t="str">
        <f t="shared" si="1"/>
        <v/>
      </c>
      <c r="K597" s="87"/>
    </row>
    <row r="598">
      <c r="D598" s="88" t="str">
        <f t="shared" si="1"/>
        <v/>
      </c>
      <c r="K598" s="87"/>
    </row>
    <row r="599">
      <c r="D599" s="88" t="str">
        <f t="shared" si="1"/>
        <v/>
      </c>
      <c r="K599" s="87"/>
    </row>
    <row r="600">
      <c r="D600" s="88" t="str">
        <f t="shared" si="1"/>
        <v/>
      </c>
      <c r="K600" s="87"/>
    </row>
    <row r="601">
      <c r="D601" s="88" t="str">
        <f t="shared" si="1"/>
        <v/>
      </c>
      <c r="K601" s="87"/>
    </row>
    <row r="602">
      <c r="D602" s="88" t="str">
        <f t="shared" si="1"/>
        <v/>
      </c>
      <c r="K602" s="87"/>
    </row>
    <row r="603">
      <c r="D603" s="88" t="str">
        <f t="shared" si="1"/>
        <v/>
      </c>
      <c r="K603" s="87"/>
    </row>
    <row r="604">
      <c r="D604" s="88" t="str">
        <f t="shared" si="1"/>
        <v/>
      </c>
      <c r="K604" s="87"/>
    </row>
    <row r="605">
      <c r="D605" s="88" t="str">
        <f t="shared" si="1"/>
        <v/>
      </c>
      <c r="K605" s="87"/>
    </row>
    <row r="606">
      <c r="D606" s="88" t="str">
        <f t="shared" si="1"/>
        <v/>
      </c>
      <c r="K606" s="87"/>
    </row>
    <row r="607">
      <c r="D607" s="88" t="str">
        <f t="shared" si="1"/>
        <v/>
      </c>
      <c r="K607" s="87"/>
    </row>
    <row r="608">
      <c r="D608" s="88" t="str">
        <f t="shared" si="1"/>
        <v/>
      </c>
      <c r="K608" s="87"/>
    </row>
    <row r="609">
      <c r="D609" s="88" t="str">
        <f t="shared" si="1"/>
        <v/>
      </c>
      <c r="K609" s="87"/>
    </row>
    <row r="610">
      <c r="D610" s="88" t="str">
        <f t="shared" si="1"/>
        <v/>
      </c>
      <c r="K610" s="87"/>
    </row>
    <row r="611">
      <c r="D611" s="88" t="str">
        <f t="shared" si="1"/>
        <v/>
      </c>
      <c r="K611" s="87"/>
    </row>
    <row r="612">
      <c r="D612" s="88" t="str">
        <f t="shared" si="1"/>
        <v/>
      </c>
      <c r="K612" s="87"/>
    </row>
    <row r="613">
      <c r="D613" s="88" t="str">
        <f t="shared" si="1"/>
        <v/>
      </c>
      <c r="K613" s="87"/>
    </row>
    <row r="614">
      <c r="D614" s="88" t="str">
        <f t="shared" si="1"/>
        <v/>
      </c>
      <c r="K614" s="87"/>
    </row>
    <row r="615">
      <c r="D615" s="88" t="str">
        <f t="shared" si="1"/>
        <v/>
      </c>
      <c r="K615" s="87"/>
    </row>
    <row r="616">
      <c r="D616" s="88" t="str">
        <f t="shared" si="1"/>
        <v/>
      </c>
      <c r="K616" s="87"/>
    </row>
    <row r="617">
      <c r="D617" s="88" t="str">
        <f t="shared" si="1"/>
        <v/>
      </c>
      <c r="K617" s="87"/>
    </row>
    <row r="618">
      <c r="D618" s="88" t="str">
        <f t="shared" si="1"/>
        <v/>
      </c>
      <c r="K618" s="87"/>
    </row>
    <row r="619">
      <c r="D619" s="88" t="str">
        <f t="shared" si="1"/>
        <v/>
      </c>
      <c r="K619" s="87"/>
    </row>
    <row r="620">
      <c r="D620" s="88" t="str">
        <f t="shared" si="1"/>
        <v/>
      </c>
      <c r="K620" s="87"/>
    </row>
    <row r="621">
      <c r="D621" s="88" t="str">
        <f t="shared" si="1"/>
        <v/>
      </c>
      <c r="K621" s="87"/>
    </row>
    <row r="622">
      <c r="D622" s="88" t="str">
        <f t="shared" si="1"/>
        <v/>
      </c>
      <c r="K622" s="87"/>
    </row>
    <row r="623">
      <c r="D623" s="88" t="str">
        <f t="shared" si="1"/>
        <v/>
      </c>
      <c r="K623" s="87"/>
    </row>
    <row r="624">
      <c r="D624" s="88" t="str">
        <f t="shared" si="1"/>
        <v/>
      </c>
      <c r="K624" s="87"/>
    </row>
    <row r="625">
      <c r="D625" s="88" t="str">
        <f t="shared" si="1"/>
        <v/>
      </c>
      <c r="K625" s="87"/>
    </row>
    <row r="626">
      <c r="D626" s="88" t="str">
        <f t="shared" si="1"/>
        <v/>
      </c>
      <c r="K626" s="87"/>
    </row>
    <row r="627">
      <c r="D627" s="88" t="str">
        <f t="shared" si="1"/>
        <v/>
      </c>
      <c r="K627" s="87"/>
    </row>
    <row r="628">
      <c r="D628" s="88" t="str">
        <f t="shared" si="1"/>
        <v/>
      </c>
      <c r="K628" s="87"/>
    </row>
    <row r="629">
      <c r="D629" s="88" t="str">
        <f t="shared" si="1"/>
        <v/>
      </c>
      <c r="K629" s="87"/>
    </row>
    <row r="630">
      <c r="D630" s="88" t="str">
        <f t="shared" si="1"/>
        <v/>
      </c>
      <c r="K630" s="87"/>
    </row>
    <row r="631">
      <c r="D631" s="88" t="str">
        <f t="shared" si="1"/>
        <v/>
      </c>
      <c r="K631" s="87"/>
    </row>
    <row r="632">
      <c r="D632" s="88" t="str">
        <f t="shared" si="1"/>
        <v/>
      </c>
      <c r="K632" s="87"/>
    </row>
    <row r="633">
      <c r="D633" s="88" t="str">
        <f t="shared" si="1"/>
        <v/>
      </c>
      <c r="K633" s="87"/>
    </row>
    <row r="634">
      <c r="D634" s="88" t="str">
        <f t="shared" si="1"/>
        <v/>
      </c>
      <c r="K634" s="87"/>
    </row>
    <row r="635">
      <c r="D635" s="88" t="str">
        <f t="shared" si="1"/>
        <v/>
      </c>
      <c r="K635" s="87"/>
    </row>
    <row r="636">
      <c r="D636" s="88" t="str">
        <f t="shared" si="1"/>
        <v/>
      </c>
      <c r="K636" s="87"/>
    </row>
    <row r="637">
      <c r="D637" s="88" t="str">
        <f t="shared" si="1"/>
        <v/>
      </c>
      <c r="K637" s="87"/>
    </row>
    <row r="638">
      <c r="D638" s="88" t="str">
        <f t="shared" si="1"/>
        <v/>
      </c>
      <c r="K638" s="87"/>
    </row>
    <row r="639">
      <c r="D639" s="88" t="str">
        <f t="shared" si="1"/>
        <v/>
      </c>
      <c r="K639" s="87"/>
    </row>
    <row r="640">
      <c r="D640" s="88" t="str">
        <f t="shared" si="1"/>
        <v/>
      </c>
      <c r="K640" s="87"/>
    </row>
    <row r="641">
      <c r="D641" s="88" t="str">
        <f t="shared" si="1"/>
        <v/>
      </c>
      <c r="K641" s="87"/>
    </row>
    <row r="642">
      <c r="D642" s="88" t="str">
        <f t="shared" si="1"/>
        <v/>
      </c>
      <c r="K642" s="87"/>
    </row>
    <row r="643">
      <c r="D643" s="88" t="str">
        <f t="shared" si="1"/>
        <v/>
      </c>
      <c r="K643" s="87"/>
    </row>
    <row r="644">
      <c r="D644" s="88" t="str">
        <f t="shared" si="1"/>
        <v/>
      </c>
      <c r="K644" s="87"/>
    </row>
    <row r="645">
      <c r="D645" s="88" t="str">
        <f t="shared" si="1"/>
        <v/>
      </c>
      <c r="K645" s="87"/>
    </row>
    <row r="646">
      <c r="D646" s="88" t="str">
        <f t="shared" si="1"/>
        <v/>
      </c>
      <c r="K646" s="87"/>
    </row>
    <row r="647">
      <c r="D647" s="88" t="str">
        <f t="shared" si="1"/>
        <v/>
      </c>
      <c r="K647" s="87"/>
    </row>
    <row r="648">
      <c r="D648" s="88" t="str">
        <f t="shared" si="1"/>
        <v/>
      </c>
      <c r="K648" s="87"/>
    </row>
    <row r="649">
      <c r="D649" s="88" t="str">
        <f t="shared" si="1"/>
        <v/>
      </c>
      <c r="K649" s="87"/>
    </row>
    <row r="650">
      <c r="D650" s="88" t="str">
        <f t="shared" si="1"/>
        <v/>
      </c>
      <c r="K650" s="87"/>
    </row>
    <row r="651">
      <c r="D651" s="88" t="str">
        <f t="shared" si="1"/>
        <v/>
      </c>
      <c r="K651" s="87"/>
    </row>
    <row r="652">
      <c r="D652" s="88" t="str">
        <f t="shared" si="1"/>
        <v/>
      </c>
      <c r="K652" s="87"/>
    </row>
    <row r="653">
      <c r="D653" s="88" t="str">
        <f t="shared" si="1"/>
        <v/>
      </c>
      <c r="K653" s="87"/>
    </row>
    <row r="654">
      <c r="D654" s="88" t="str">
        <f t="shared" si="1"/>
        <v/>
      </c>
      <c r="K654" s="87"/>
    </row>
    <row r="655">
      <c r="D655" s="88" t="str">
        <f t="shared" si="1"/>
        <v/>
      </c>
      <c r="K655" s="87"/>
    </row>
    <row r="656">
      <c r="D656" s="88" t="str">
        <f t="shared" si="1"/>
        <v/>
      </c>
      <c r="K656" s="87"/>
    </row>
    <row r="657">
      <c r="D657" s="88" t="str">
        <f t="shared" si="1"/>
        <v/>
      </c>
      <c r="K657" s="87"/>
    </row>
    <row r="658">
      <c r="D658" s="88" t="str">
        <f t="shared" si="1"/>
        <v/>
      </c>
      <c r="K658" s="87"/>
    </row>
    <row r="659">
      <c r="D659" s="88" t="str">
        <f t="shared" si="1"/>
        <v/>
      </c>
      <c r="K659" s="87"/>
    </row>
    <row r="660">
      <c r="D660" s="88" t="str">
        <f t="shared" si="1"/>
        <v/>
      </c>
      <c r="K660" s="87"/>
    </row>
    <row r="661">
      <c r="D661" s="88" t="str">
        <f t="shared" si="1"/>
        <v/>
      </c>
      <c r="K661" s="87"/>
    </row>
    <row r="662">
      <c r="D662" s="88" t="str">
        <f t="shared" si="1"/>
        <v/>
      </c>
      <c r="K662" s="87"/>
    </row>
    <row r="663">
      <c r="D663" s="88" t="str">
        <f t="shared" si="1"/>
        <v/>
      </c>
      <c r="K663" s="87"/>
    </row>
    <row r="664">
      <c r="D664" s="88" t="str">
        <f t="shared" si="1"/>
        <v/>
      </c>
      <c r="K664" s="87"/>
    </row>
    <row r="665">
      <c r="D665" s="88" t="str">
        <f t="shared" si="1"/>
        <v/>
      </c>
      <c r="K665" s="87"/>
    </row>
    <row r="666">
      <c r="D666" s="88" t="str">
        <f t="shared" si="1"/>
        <v/>
      </c>
      <c r="K666" s="87"/>
    </row>
    <row r="667">
      <c r="D667" s="88" t="str">
        <f t="shared" si="1"/>
        <v/>
      </c>
      <c r="K667" s="87"/>
    </row>
    <row r="668">
      <c r="D668" s="88" t="str">
        <f t="shared" si="1"/>
        <v/>
      </c>
      <c r="K668" s="87"/>
    </row>
    <row r="669">
      <c r="D669" s="88" t="str">
        <f t="shared" si="1"/>
        <v/>
      </c>
      <c r="K669" s="87"/>
    </row>
    <row r="670">
      <c r="D670" s="88" t="str">
        <f t="shared" si="1"/>
        <v/>
      </c>
      <c r="K670" s="87"/>
    </row>
    <row r="671">
      <c r="D671" s="88" t="str">
        <f t="shared" si="1"/>
        <v/>
      </c>
      <c r="K671" s="87"/>
    </row>
    <row r="672">
      <c r="D672" s="88" t="str">
        <f t="shared" si="1"/>
        <v/>
      </c>
      <c r="K672" s="87"/>
    </row>
    <row r="673">
      <c r="D673" s="88" t="str">
        <f t="shared" si="1"/>
        <v/>
      </c>
      <c r="K673" s="87"/>
    </row>
    <row r="674">
      <c r="D674" s="88" t="str">
        <f t="shared" si="1"/>
        <v/>
      </c>
      <c r="K674" s="87"/>
    </row>
    <row r="675">
      <c r="D675" s="88" t="str">
        <f t="shared" si="1"/>
        <v/>
      </c>
      <c r="K675" s="87"/>
    </row>
    <row r="676">
      <c r="D676" s="88" t="str">
        <f t="shared" si="1"/>
        <v/>
      </c>
      <c r="K676" s="87"/>
    </row>
    <row r="677">
      <c r="D677" s="88" t="str">
        <f t="shared" si="1"/>
        <v/>
      </c>
      <c r="K677" s="87"/>
    </row>
    <row r="678">
      <c r="D678" s="88" t="str">
        <f t="shared" si="1"/>
        <v/>
      </c>
      <c r="K678" s="87"/>
    </row>
    <row r="679">
      <c r="D679" s="88" t="str">
        <f t="shared" si="1"/>
        <v/>
      </c>
      <c r="K679" s="87"/>
    </row>
    <row r="680">
      <c r="D680" s="88" t="str">
        <f t="shared" si="1"/>
        <v/>
      </c>
      <c r="K680" s="87"/>
    </row>
    <row r="681">
      <c r="D681" s="88" t="str">
        <f t="shared" si="1"/>
        <v/>
      </c>
      <c r="K681" s="87"/>
    </row>
    <row r="682">
      <c r="D682" s="88" t="str">
        <f t="shared" si="1"/>
        <v/>
      </c>
      <c r="K682" s="87"/>
    </row>
    <row r="683">
      <c r="D683" s="88" t="str">
        <f t="shared" si="1"/>
        <v/>
      </c>
      <c r="K683" s="87"/>
    </row>
    <row r="684">
      <c r="D684" s="88" t="str">
        <f t="shared" si="1"/>
        <v/>
      </c>
      <c r="K684" s="87"/>
    </row>
    <row r="685">
      <c r="D685" s="88" t="str">
        <f t="shared" si="1"/>
        <v/>
      </c>
      <c r="K685" s="87"/>
    </row>
    <row r="686">
      <c r="D686" s="88" t="str">
        <f t="shared" si="1"/>
        <v/>
      </c>
      <c r="K686" s="87"/>
    </row>
    <row r="687">
      <c r="D687" s="88" t="str">
        <f t="shared" si="1"/>
        <v/>
      </c>
      <c r="K687" s="87"/>
    </row>
    <row r="688">
      <c r="D688" s="88" t="str">
        <f t="shared" si="1"/>
        <v/>
      </c>
      <c r="K688" s="87"/>
    </row>
    <row r="689">
      <c r="D689" s="88" t="str">
        <f t="shared" si="1"/>
        <v/>
      </c>
      <c r="K689" s="87"/>
    </row>
    <row r="690">
      <c r="D690" s="88" t="str">
        <f t="shared" si="1"/>
        <v/>
      </c>
      <c r="K690" s="87"/>
    </row>
    <row r="691">
      <c r="D691" s="88" t="str">
        <f t="shared" si="1"/>
        <v/>
      </c>
      <c r="K691" s="87"/>
    </row>
    <row r="692">
      <c r="D692" s="88" t="str">
        <f t="shared" si="1"/>
        <v/>
      </c>
      <c r="K692" s="87"/>
    </row>
    <row r="693">
      <c r="D693" s="88" t="str">
        <f t="shared" si="1"/>
        <v/>
      </c>
      <c r="K693" s="87"/>
    </row>
    <row r="694">
      <c r="D694" s="88" t="str">
        <f t="shared" si="1"/>
        <v/>
      </c>
      <c r="K694" s="87"/>
    </row>
    <row r="695">
      <c r="D695" s="88" t="str">
        <f t="shared" si="1"/>
        <v/>
      </c>
      <c r="K695" s="87"/>
    </row>
    <row r="696">
      <c r="D696" s="88" t="str">
        <f t="shared" si="1"/>
        <v/>
      </c>
      <c r="K696" s="87"/>
    </row>
    <row r="697">
      <c r="D697" s="88" t="str">
        <f t="shared" si="1"/>
        <v/>
      </c>
      <c r="K697" s="87"/>
    </row>
    <row r="698">
      <c r="D698" s="88" t="str">
        <f t="shared" si="1"/>
        <v/>
      </c>
      <c r="K698" s="87"/>
    </row>
    <row r="699">
      <c r="D699" s="88" t="str">
        <f t="shared" si="1"/>
        <v/>
      </c>
      <c r="K699" s="87"/>
    </row>
    <row r="700">
      <c r="D700" s="88" t="str">
        <f t="shared" si="1"/>
        <v/>
      </c>
      <c r="K700" s="87"/>
    </row>
    <row r="701">
      <c r="D701" s="88" t="str">
        <f t="shared" si="1"/>
        <v/>
      </c>
      <c r="K701" s="87"/>
    </row>
    <row r="702">
      <c r="D702" s="88" t="str">
        <f t="shared" si="1"/>
        <v/>
      </c>
      <c r="K702" s="87"/>
    </row>
    <row r="703">
      <c r="D703" s="88" t="str">
        <f t="shared" si="1"/>
        <v/>
      </c>
      <c r="K703" s="87"/>
    </row>
    <row r="704">
      <c r="D704" s="88" t="str">
        <f t="shared" si="1"/>
        <v/>
      </c>
      <c r="K704" s="87"/>
    </row>
    <row r="705">
      <c r="D705" s="88" t="str">
        <f t="shared" si="1"/>
        <v/>
      </c>
      <c r="K705" s="87"/>
    </row>
    <row r="706">
      <c r="D706" s="88" t="str">
        <f t="shared" si="1"/>
        <v/>
      </c>
      <c r="K706" s="87"/>
    </row>
    <row r="707">
      <c r="D707" s="88" t="str">
        <f t="shared" si="1"/>
        <v/>
      </c>
      <c r="K707" s="87"/>
    </row>
    <row r="708">
      <c r="D708" s="88" t="str">
        <f t="shared" si="1"/>
        <v/>
      </c>
      <c r="K708" s="87"/>
    </row>
    <row r="709">
      <c r="D709" s="88" t="str">
        <f t="shared" si="1"/>
        <v/>
      </c>
      <c r="K709" s="87"/>
    </row>
    <row r="710">
      <c r="D710" s="88" t="str">
        <f t="shared" si="1"/>
        <v/>
      </c>
      <c r="K710" s="87"/>
    </row>
    <row r="711">
      <c r="D711" s="88" t="str">
        <f t="shared" si="1"/>
        <v/>
      </c>
      <c r="K711" s="87"/>
    </row>
    <row r="712">
      <c r="D712" s="88" t="str">
        <f t="shared" si="1"/>
        <v/>
      </c>
      <c r="K712" s="87"/>
    </row>
    <row r="713">
      <c r="D713" s="88" t="str">
        <f t="shared" si="1"/>
        <v/>
      </c>
      <c r="K713" s="87"/>
    </row>
    <row r="714">
      <c r="D714" s="88" t="str">
        <f t="shared" si="1"/>
        <v/>
      </c>
      <c r="K714" s="87"/>
    </row>
    <row r="715">
      <c r="D715" s="88" t="str">
        <f t="shared" si="1"/>
        <v/>
      </c>
      <c r="K715" s="87"/>
    </row>
    <row r="716">
      <c r="D716" s="88" t="str">
        <f t="shared" si="1"/>
        <v/>
      </c>
      <c r="K716" s="87"/>
    </row>
    <row r="717">
      <c r="D717" s="88" t="str">
        <f t="shared" si="1"/>
        <v/>
      </c>
      <c r="K717" s="87"/>
    </row>
    <row r="718">
      <c r="D718" s="88" t="str">
        <f t="shared" si="1"/>
        <v/>
      </c>
      <c r="K718" s="87"/>
    </row>
    <row r="719">
      <c r="D719" s="88" t="str">
        <f t="shared" si="1"/>
        <v/>
      </c>
      <c r="K719" s="87"/>
    </row>
    <row r="720">
      <c r="D720" s="88" t="str">
        <f t="shared" si="1"/>
        <v/>
      </c>
      <c r="K720" s="87"/>
    </row>
    <row r="721">
      <c r="D721" s="88" t="str">
        <f t="shared" si="1"/>
        <v/>
      </c>
      <c r="K721" s="87"/>
    </row>
    <row r="722">
      <c r="D722" s="88" t="str">
        <f t="shared" si="1"/>
        <v/>
      </c>
      <c r="K722" s="87"/>
    </row>
    <row r="723">
      <c r="D723" s="88" t="str">
        <f t="shared" si="1"/>
        <v/>
      </c>
      <c r="K723" s="87"/>
    </row>
    <row r="724">
      <c r="D724" s="88" t="str">
        <f t="shared" si="1"/>
        <v/>
      </c>
      <c r="K724" s="87"/>
    </row>
    <row r="725">
      <c r="D725" s="88" t="str">
        <f t="shared" si="1"/>
        <v/>
      </c>
      <c r="K725" s="87"/>
    </row>
    <row r="726">
      <c r="D726" s="88" t="str">
        <f t="shared" si="1"/>
        <v/>
      </c>
      <c r="K726" s="87"/>
    </row>
    <row r="727">
      <c r="D727" s="88" t="str">
        <f t="shared" si="1"/>
        <v/>
      </c>
      <c r="K727" s="87"/>
    </row>
    <row r="728">
      <c r="D728" s="88" t="str">
        <f t="shared" si="1"/>
        <v/>
      </c>
      <c r="K728" s="87"/>
    </row>
    <row r="729">
      <c r="D729" s="88" t="str">
        <f t="shared" si="1"/>
        <v/>
      </c>
      <c r="K729" s="87"/>
    </row>
    <row r="730">
      <c r="D730" s="88" t="str">
        <f t="shared" si="1"/>
        <v/>
      </c>
      <c r="K730" s="87"/>
    </row>
    <row r="731">
      <c r="D731" s="88" t="str">
        <f t="shared" si="1"/>
        <v/>
      </c>
      <c r="K731" s="87"/>
    </row>
    <row r="732">
      <c r="D732" s="88" t="str">
        <f t="shared" si="1"/>
        <v/>
      </c>
      <c r="K732" s="87"/>
    </row>
    <row r="733">
      <c r="D733" s="88" t="str">
        <f t="shared" si="1"/>
        <v/>
      </c>
      <c r="K733" s="87"/>
    </row>
    <row r="734">
      <c r="D734" s="88" t="str">
        <f t="shared" si="1"/>
        <v/>
      </c>
      <c r="K734" s="87"/>
    </row>
    <row r="735">
      <c r="D735" s="88" t="str">
        <f t="shared" si="1"/>
        <v/>
      </c>
      <c r="K735" s="87"/>
    </row>
    <row r="736">
      <c r="D736" s="88" t="str">
        <f t="shared" si="1"/>
        <v/>
      </c>
      <c r="K736" s="87"/>
    </row>
    <row r="737">
      <c r="D737" s="88" t="str">
        <f t="shared" si="1"/>
        <v/>
      </c>
      <c r="K737" s="87"/>
    </row>
    <row r="738">
      <c r="D738" s="88" t="str">
        <f t="shared" si="1"/>
        <v/>
      </c>
      <c r="K738" s="87"/>
    </row>
    <row r="739">
      <c r="D739" s="88" t="str">
        <f t="shared" si="1"/>
        <v/>
      </c>
      <c r="K739" s="87"/>
    </row>
    <row r="740">
      <c r="D740" s="88" t="str">
        <f t="shared" si="1"/>
        <v/>
      </c>
      <c r="K740" s="87"/>
    </row>
    <row r="741">
      <c r="D741" s="88" t="str">
        <f t="shared" si="1"/>
        <v/>
      </c>
      <c r="K741" s="87"/>
    </row>
    <row r="742">
      <c r="D742" s="88" t="str">
        <f t="shared" si="1"/>
        <v/>
      </c>
      <c r="K742" s="87"/>
    </row>
    <row r="743">
      <c r="D743" s="88" t="str">
        <f t="shared" si="1"/>
        <v/>
      </c>
      <c r="K743" s="87"/>
    </row>
    <row r="744">
      <c r="D744" s="88" t="str">
        <f t="shared" si="1"/>
        <v/>
      </c>
      <c r="K744" s="87"/>
    </row>
    <row r="745">
      <c r="D745" s="88" t="str">
        <f t="shared" si="1"/>
        <v/>
      </c>
      <c r="K745" s="87"/>
    </row>
    <row r="746">
      <c r="D746" s="88" t="str">
        <f t="shared" si="1"/>
        <v/>
      </c>
      <c r="K746" s="87"/>
    </row>
    <row r="747">
      <c r="D747" s="88" t="str">
        <f t="shared" si="1"/>
        <v/>
      </c>
      <c r="K747" s="87"/>
    </row>
    <row r="748">
      <c r="D748" s="88" t="str">
        <f t="shared" si="1"/>
        <v/>
      </c>
      <c r="K748" s="87"/>
    </row>
    <row r="749">
      <c r="D749" s="88" t="str">
        <f t="shared" si="1"/>
        <v/>
      </c>
      <c r="K749" s="87"/>
    </row>
    <row r="750">
      <c r="D750" s="88" t="str">
        <f t="shared" si="1"/>
        <v/>
      </c>
      <c r="K750" s="87"/>
    </row>
    <row r="751">
      <c r="D751" s="88" t="str">
        <f t="shared" si="1"/>
        <v/>
      </c>
      <c r="K751" s="87"/>
    </row>
    <row r="752">
      <c r="D752" s="88" t="str">
        <f t="shared" si="1"/>
        <v/>
      </c>
      <c r="K752" s="87"/>
    </row>
    <row r="753">
      <c r="D753" s="88" t="str">
        <f t="shared" si="1"/>
        <v/>
      </c>
      <c r="K753" s="87"/>
    </row>
    <row r="754">
      <c r="D754" s="88" t="str">
        <f t="shared" si="1"/>
        <v/>
      </c>
      <c r="K754" s="87"/>
    </row>
    <row r="755">
      <c r="D755" s="88" t="str">
        <f t="shared" si="1"/>
        <v/>
      </c>
      <c r="K755" s="87"/>
    </row>
    <row r="756">
      <c r="D756" s="88" t="str">
        <f t="shared" si="1"/>
        <v/>
      </c>
      <c r="K756" s="87"/>
    </row>
    <row r="757">
      <c r="D757" s="88" t="str">
        <f t="shared" si="1"/>
        <v/>
      </c>
      <c r="K757" s="87"/>
    </row>
    <row r="758">
      <c r="D758" s="88" t="str">
        <f t="shared" si="1"/>
        <v/>
      </c>
      <c r="K758" s="87"/>
    </row>
    <row r="759">
      <c r="D759" s="88" t="str">
        <f t="shared" si="1"/>
        <v/>
      </c>
      <c r="K759" s="87"/>
    </row>
    <row r="760">
      <c r="D760" s="88" t="str">
        <f t="shared" si="1"/>
        <v/>
      </c>
      <c r="K760" s="87"/>
    </row>
    <row r="761">
      <c r="D761" s="88" t="str">
        <f t="shared" si="1"/>
        <v/>
      </c>
      <c r="K761" s="87"/>
    </row>
    <row r="762">
      <c r="D762" s="88" t="str">
        <f t="shared" si="1"/>
        <v/>
      </c>
      <c r="K762" s="87"/>
    </row>
    <row r="763">
      <c r="D763" s="88" t="str">
        <f t="shared" si="1"/>
        <v/>
      </c>
      <c r="K763" s="87"/>
    </row>
    <row r="764">
      <c r="D764" s="88" t="str">
        <f t="shared" si="1"/>
        <v/>
      </c>
      <c r="K764" s="87"/>
    </row>
    <row r="765">
      <c r="D765" s="88" t="str">
        <f t="shared" si="1"/>
        <v/>
      </c>
      <c r="K765" s="87"/>
    </row>
    <row r="766">
      <c r="D766" s="88" t="str">
        <f t="shared" si="1"/>
        <v/>
      </c>
      <c r="K766" s="87"/>
    </row>
    <row r="767">
      <c r="D767" s="88" t="str">
        <f t="shared" si="1"/>
        <v/>
      </c>
      <c r="K767" s="87"/>
    </row>
    <row r="768">
      <c r="D768" s="88" t="str">
        <f t="shared" si="1"/>
        <v/>
      </c>
      <c r="K768" s="87"/>
    </row>
    <row r="769">
      <c r="D769" s="88" t="str">
        <f t="shared" si="1"/>
        <v/>
      </c>
      <c r="K769" s="87"/>
    </row>
    <row r="770">
      <c r="D770" s="88" t="str">
        <f t="shared" si="1"/>
        <v/>
      </c>
      <c r="K770" s="87"/>
    </row>
    <row r="771">
      <c r="D771" s="88" t="str">
        <f t="shared" si="1"/>
        <v/>
      </c>
      <c r="K771" s="87"/>
    </row>
    <row r="772">
      <c r="D772" s="88" t="str">
        <f t="shared" si="1"/>
        <v/>
      </c>
      <c r="K772" s="87"/>
    </row>
    <row r="773">
      <c r="D773" s="88" t="str">
        <f t="shared" si="1"/>
        <v/>
      </c>
      <c r="K773" s="87"/>
    </row>
    <row r="774">
      <c r="D774" s="88" t="str">
        <f t="shared" si="1"/>
        <v/>
      </c>
      <c r="K774" s="87"/>
    </row>
    <row r="775">
      <c r="D775" s="88" t="str">
        <f t="shared" si="1"/>
        <v/>
      </c>
      <c r="K775" s="87"/>
    </row>
    <row r="776">
      <c r="D776" s="88" t="str">
        <f t="shared" si="1"/>
        <v/>
      </c>
      <c r="K776" s="87"/>
    </row>
    <row r="777">
      <c r="D777" s="88" t="str">
        <f t="shared" si="1"/>
        <v/>
      </c>
      <c r="K777" s="87"/>
    </row>
    <row r="778">
      <c r="D778" s="88" t="str">
        <f t="shared" si="1"/>
        <v/>
      </c>
      <c r="K778" s="87"/>
    </row>
    <row r="779">
      <c r="D779" s="88" t="str">
        <f t="shared" si="1"/>
        <v/>
      </c>
      <c r="K779" s="87"/>
    </row>
    <row r="780">
      <c r="D780" s="88" t="str">
        <f t="shared" si="1"/>
        <v/>
      </c>
      <c r="K780" s="87"/>
    </row>
    <row r="781">
      <c r="D781" s="88" t="str">
        <f t="shared" si="1"/>
        <v/>
      </c>
      <c r="K781" s="87"/>
    </row>
    <row r="782">
      <c r="D782" s="88" t="str">
        <f t="shared" si="1"/>
        <v/>
      </c>
      <c r="K782" s="87"/>
    </row>
    <row r="783">
      <c r="D783" s="88" t="str">
        <f t="shared" si="1"/>
        <v/>
      </c>
      <c r="K783" s="87"/>
    </row>
    <row r="784">
      <c r="D784" s="88" t="str">
        <f t="shared" si="1"/>
        <v/>
      </c>
      <c r="K784" s="87"/>
    </row>
    <row r="785">
      <c r="D785" s="88" t="str">
        <f t="shared" si="1"/>
        <v/>
      </c>
      <c r="K785" s="87"/>
    </row>
    <row r="786">
      <c r="D786" s="88" t="str">
        <f t="shared" si="1"/>
        <v/>
      </c>
      <c r="K786" s="87"/>
    </row>
    <row r="787">
      <c r="D787" s="88" t="str">
        <f t="shared" si="1"/>
        <v/>
      </c>
      <c r="K787" s="87"/>
    </row>
    <row r="788">
      <c r="D788" s="88" t="str">
        <f t="shared" si="1"/>
        <v/>
      </c>
      <c r="K788" s="87"/>
    </row>
    <row r="789">
      <c r="D789" s="88" t="str">
        <f t="shared" si="1"/>
        <v/>
      </c>
      <c r="K789" s="87"/>
    </row>
    <row r="790">
      <c r="D790" s="88" t="str">
        <f t="shared" si="1"/>
        <v/>
      </c>
      <c r="K790" s="87"/>
    </row>
    <row r="791">
      <c r="D791" s="88" t="str">
        <f t="shared" si="1"/>
        <v/>
      </c>
      <c r="K791" s="87"/>
    </row>
    <row r="792">
      <c r="D792" s="88" t="str">
        <f t="shared" si="1"/>
        <v/>
      </c>
      <c r="K792" s="87"/>
    </row>
    <row r="793">
      <c r="D793" s="88" t="str">
        <f t="shared" si="1"/>
        <v/>
      </c>
      <c r="K793" s="87"/>
    </row>
    <row r="794">
      <c r="D794" s="88" t="str">
        <f t="shared" si="1"/>
        <v/>
      </c>
      <c r="K794" s="87"/>
    </row>
    <row r="795">
      <c r="D795" s="88" t="str">
        <f t="shared" si="1"/>
        <v/>
      </c>
      <c r="K795" s="87"/>
    </row>
    <row r="796">
      <c r="D796" s="88" t="str">
        <f t="shared" si="1"/>
        <v/>
      </c>
      <c r="K796" s="87"/>
    </row>
    <row r="797">
      <c r="D797" s="88" t="str">
        <f t="shared" si="1"/>
        <v/>
      </c>
      <c r="K797" s="87"/>
    </row>
    <row r="798">
      <c r="D798" s="88" t="str">
        <f t="shared" si="1"/>
        <v/>
      </c>
      <c r="K798" s="87"/>
    </row>
    <row r="799">
      <c r="D799" s="88" t="str">
        <f t="shared" si="1"/>
        <v/>
      </c>
      <c r="K799" s="87"/>
    </row>
    <row r="800">
      <c r="D800" s="88" t="str">
        <f t="shared" si="1"/>
        <v/>
      </c>
      <c r="K800" s="87"/>
    </row>
    <row r="801">
      <c r="D801" s="88" t="str">
        <f t="shared" si="1"/>
        <v/>
      </c>
      <c r="K801" s="87"/>
    </row>
    <row r="802">
      <c r="D802" s="88" t="str">
        <f t="shared" si="1"/>
        <v/>
      </c>
      <c r="K802" s="87"/>
    </row>
    <row r="803">
      <c r="D803" s="88" t="str">
        <f t="shared" si="1"/>
        <v/>
      </c>
      <c r="K803" s="87"/>
    </row>
    <row r="804">
      <c r="D804" s="88" t="str">
        <f t="shared" si="1"/>
        <v/>
      </c>
      <c r="K804" s="87"/>
    </row>
    <row r="805">
      <c r="D805" s="88" t="str">
        <f t="shared" si="1"/>
        <v/>
      </c>
      <c r="K805" s="87"/>
    </row>
    <row r="806">
      <c r="D806" s="88" t="str">
        <f t="shared" si="1"/>
        <v/>
      </c>
      <c r="K806" s="87"/>
    </row>
    <row r="807">
      <c r="D807" s="88" t="str">
        <f t="shared" si="1"/>
        <v/>
      </c>
      <c r="K807" s="87"/>
    </row>
    <row r="808">
      <c r="D808" s="88" t="str">
        <f t="shared" si="1"/>
        <v/>
      </c>
      <c r="K808" s="87"/>
    </row>
    <row r="809">
      <c r="D809" s="88" t="str">
        <f t="shared" si="1"/>
        <v/>
      </c>
      <c r="K809" s="87"/>
    </row>
    <row r="810">
      <c r="D810" s="88" t="str">
        <f t="shared" si="1"/>
        <v/>
      </c>
      <c r="K810" s="87"/>
    </row>
    <row r="811">
      <c r="D811" s="88" t="str">
        <f t="shared" si="1"/>
        <v/>
      </c>
      <c r="K811" s="87"/>
    </row>
    <row r="812">
      <c r="D812" s="88" t="str">
        <f t="shared" si="1"/>
        <v/>
      </c>
      <c r="K812" s="87"/>
    </row>
    <row r="813">
      <c r="D813" s="88" t="str">
        <f t="shared" si="1"/>
        <v/>
      </c>
      <c r="K813" s="87"/>
    </row>
    <row r="814">
      <c r="D814" s="88" t="str">
        <f t="shared" si="1"/>
        <v/>
      </c>
      <c r="K814" s="87"/>
    </row>
    <row r="815">
      <c r="D815" s="88" t="str">
        <f t="shared" si="1"/>
        <v/>
      </c>
      <c r="K815" s="87"/>
    </row>
    <row r="816">
      <c r="D816" s="88" t="str">
        <f t="shared" si="1"/>
        <v/>
      </c>
      <c r="K816" s="87"/>
    </row>
    <row r="817">
      <c r="D817" s="88" t="str">
        <f t="shared" si="1"/>
        <v/>
      </c>
      <c r="K817" s="87"/>
    </row>
    <row r="818">
      <c r="D818" s="88" t="str">
        <f t="shared" si="1"/>
        <v/>
      </c>
      <c r="K818" s="87"/>
    </row>
    <row r="819">
      <c r="D819" s="88" t="str">
        <f t="shared" si="1"/>
        <v/>
      </c>
      <c r="K819" s="87"/>
    </row>
    <row r="820">
      <c r="D820" s="88" t="str">
        <f t="shared" si="1"/>
        <v/>
      </c>
      <c r="K820" s="87"/>
    </row>
    <row r="821">
      <c r="D821" s="88" t="str">
        <f t="shared" si="1"/>
        <v/>
      </c>
      <c r="K821" s="87"/>
    </row>
    <row r="822">
      <c r="D822" s="88" t="str">
        <f t="shared" si="1"/>
        <v/>
      </c>
      <c r="K822" s="87"/>
    </row>
    <row r="823">
      <c r="D823" s="88" t="str">
        <f t="shared" si="1"/>
        <v/>
      </c>
      <c r="K823" s="87"/>
    </row>
    <row r="824">
      <c r="D824" s="88" t="str">
        <f t="shared" si="1"/>
        <v/>
      </c>
      <c r="K824" s="87"/>
    </row>
    <row r="825">
      <c r="D825" s="88" t="str">
        <f t="shared" si="1"/>
        <v/>
      </c>
      <c r="K825" s="87"/>
    </row>
    <row r="826">
      <c r="D826" s="88" t="str">
        <f t="shared" si="1"/>
        <v/>
      </c>
      <c r="K826" s="87"/>
    </row>
    <row r="827">
      <c r="D827" s="88" t="str">
        <f t="shared" si="1"/>
        <v/>
      </c>
      <c r="K827" s="87"/>
    </row>
    <row r="828">
      <c r="D828" s="88" t="str">
        <f t="shared" si="1"/>
        <v/>
      </c>
      <c r="K828" s="87"/>
    </row>
    <row r="829">
      <c r="D829" s="88" t="str">
        <f t="shared" si="1"/>
        <v/>
      </c>
      <c r="K829" s="87"/>
    </row>
    <row r="830">
      <c r="D830" s="88" t="str">
        <f t="shared" si="1"/>
        <v/>
      </c>
      <c r="K830" s="87"/>
    </row>
    <row r="831">
      <c r="D831" s="88" t="str">
        <f t="shared" si="1"/>
        <v/>
      </c>
      <c r="K831" s="87"/>
    </row>
    <row r="832">
      <c r="D832" s="88" t="str">
        <f t="shared" si="1"/>
        <v/>
      </c>
      <c r="K832" s="87"/>
    </row>
    <row r="833">
      <c r="D833" s="88" t="str">
        <f t="shared" si="1"/>
        <v/>
      </c>
      <c r="K833" s="87"/>
    </row>
    <row r="834">
      <c r="D834" s="88" t="str">
        <f t="shared" si="1"/>
        <v/>
      </c>
      <c r="K834" s="87"/>
    </row>
    <row r="835">
      <c r="D835" s="88" t="str">
        <f t="shared" si="1"/>
        <v/>
      </c>
      <c r="K835" s="87"/>
    </row>
    <row r="836">
      <c r="D836" s="88" t="str">
        <f t="shared" si="1"/>
        <v/>
      </c>
      <c r="K836" s="87"/>
    </row>
    <row r="837">
      <c r="D837" s="88" t="str">
        <f t="shared" si="1"/>
        <v/>
      </c>
      <c r="K837" s="87"/>
    </row>
    <row r="838">
      <c r="D838" s="88" t="str">
        <f t="shared" si="1"/>
        <v/>
      </c>
      <c r="K838" s="87"/>
    </row>
    <row r="839">
      <c r="D839" s="88" t="str">
        <f t="shared" si="1"/>
        <v/>
      </c>
      <c r="K839" s="87"/>
    </row>
    <row r="840">
      <c r="D840" s="88" t="str">
        <f t="shared" si="1"/>
        <v/>
      </c>
      <c r="K840" s="87"/>
    </row>
    <row r="841">
      <c r="D841" s="88" t="str">
        <f t="shared" si="1"/>
        <v/>
      </c>
      <c r="K841" s="87"/>
    </row>
    <row r="842">
      <c r="D842" s="88" t="str">
        <f t="shared" si="1"/>
        <v/>
      </c>
      <c r="K842" s="87"/>
    </row>
    <row r="843">
      <c r="D843" s="88" t="str">
        <f t="shared" si="1"/>
        <v/>
      </c>
      <c r="K843" s="87"/>
    </row>
    <row r="844">
      <c r="D844" s="88" t="str">
        <f t="shared" si="1"/>
        <v/>
      </c>
      <c r="K844" s="87"/>
    </row>
    <row r="845">
      <c r="D845" s="88" t="str">
        <f t="shared" si="1"/>
        <v/>
      </c>
      <c r="K845" s="87"/>
    </row>
    <row r="846">
      <c r="D846" s="88" t="str">
        <f t="shared" si="1"/>
        <v/>
      </c>
      <c r="K846" s="87"/>
    </row>
    <row r="847">
      <c r="D847" s="88" t="str">
        <f t="shared" si="1"/>
        <v/>
      </c>
      <c r="K847" s="87"/>
    </row>
    <row r="848">
      <c r="D848" s="88" t="str">
        <f t="shared" si="1"/>
        <v/>
      </c>
      <c r="K848" s="87"/>
    </row>
    <row r="849">
      <c r="D849" s="88" t="str">
        <f t="shared" si="1"/>
        <v/>
      </c>
      <c r="K849" s="87"/>
    </row>
    <row r="850">
      <c r="D850" s="88" t="str">
        <f t="shared" si="1"/>
        <v/>
      </c>
      <c r="K850" s="87"/>
    </row>
    <row r="851">
      <c r="D851" s="88" t="str">
        <f t="shared" si="1"/>
        <v/>
      </c>
      <c r="K851" s="87"/>
    </row>
    <row r="852">
      <c r="D852" s="88" t="str">
        <f t="shared" si="1"/>
        <v/>
      </c>
      <c r="K852" s="87"/>
    </row>
    <row r="853">
      <c r="D853" s="88" t="str">
        <f t="shared" si="1"/>
        <v/>
      </c>
      <c r="K853" s="87"/>
    </row>
    <row r="854">
      <c r="D854" s="88" t="str">
        <f t="shared" si="1"/>
        <v/>
      </c>
      <c r="K854" s="87"/>
    </row>
    <row r="855">
      <c r="D855" s="88" t="str">
        <f t="shared" si="1"/>
        <v/>
      </c>
      <c r="K855" s="87"/>
    </row>
    <row r="856">
      <c r="D856" s="88" t="str">
        <f t="shared" si="1"/>
        <v/>
      </c>
      <c r="K856" s="87"/>
    </row>
    <row r="857">
      <c r="D857" s="88" t="str">
        <f t="shared" si="1"/>
        <v/>
      </c>
      <c r="K857" s="87"/>
    </row>
    <row r="858">
      <c r="D858" s="88" t="str">
        <f t="shared" si="1"/>
        <v/>
      </c>
      <c r="K858" s="87"/>
    </row>
    <row r="859">
      <c r="D859" s="88" t="str">
        <f t="shared" si="1"/>
        <v/>
      </c>
      <c r="K859" s="87"/>
    </row>
    <row r="860">
      <c r="D860" s="88" t="str">
        <f t="shared" si="1"/>
        <v/>
      </c>
      <c r="K860" s="87"/>
    </row>
    <row r="861">
      <c r="D861" s="88" t="str">
        <f t="shared" si="1"/>
        <v/>
      </c>
      <c r="K861" s="87"/>
    </row>
    <row r="862">
      <c r="D862" s="88" t="str">
        <f t="shared" si="1"/>
        <v/>
      </c>
      <c r="K862" s="87"/>
    </row>
    <row r="863">
      <c r="D863" s="88" t="str">
        <f t="shared" si="1"/>
        <v/>
      </c>
      <c r="K863" s="87"/>
    </row>
    <row r="864">
      <c r="D864" s="88" t="str">
        <f t="shared" si="1"/>
        <v/>
      </c>
      <c r="K864" s="87"/>
    </row>
    <row r="865">
      <c r="D865" s="88" t="str">
        <f t="shared" si="1"/>
        <v/>
      </c>
      <c r="K865" s="87"/>
    </row>
    <row r="866">
      <c r="D866" s="88" t="str">
        <f t="shared" si="1"/>
        <v/>
      </c>
      <c r="K866" s="87"/>
    </row>
    <row r="867">
      <c r="D867" s="88" t="str">
        <f t="shared" si="1"/>
        <v/>
      </c>
      <c r="K867" s="87"/>
    </row>
    <row r="868">
      <c r="D868" s="88" t="str">
        <f t="shared" si="1"/>
        <v/>
      </c>
      <c r="K868" s="87"/>
    </row>
    <row r="869">
      <c r="D869" s="88" t="str">
        <f t="shared" si="1"/>
        <v/>
      </c>
      <c r="K869" s="87"/>
    </row>
    <row r="870">
      <c r="D870" s="88" t="str">
        <f t="shared" si="1"/>
        <v/>
      </c>
      <c r="K870" s="87"/>
    </row>
    <row r="871">
      <c r="D871" s="88" t="str">
        <f t="shared" si="1"/>
        <v/>
      </c>
      <c r="K871" s="87"/>
    </row>
    <row r="872">
      <c r="D872" s="88" t="str">
        <f t="shared" si="1"/>
        <v/>
      </c>
      <c r="K872" s="87"/>
    </row>
    <row r="873">
      <c r="D873" s="88" t="str">
        <f t="shared" si="1"/>
        <v/>
      </c>
      <c r="K873" s="87"/>
    </row>
    <row r="874">
      <c r="D874" s="88" t="str">
        <f t="shared" si="1"/>
        <v/>
      </c>
      <c r="K874" s="87"/>
    </row>
    <row r="875">
      <c r="D875" s="88" t="str">
        <f t="shared" si="1"/>
        <v/>
      </c>
      <c r="K875" s="87"/>
    </row>
    <row r="876">
      <c r="D876" s="88" t="str">
        <f t="shared" si="1"/>
        <v/>
      </c>
      <c r="K876" s="87"/>
    </row>
    <row r="877">
      <c r="D877" s="88" t="str">
        <f t="shared" si="1"/>
        <v/>
      </c>
      <c r="K877" s="87"/>
    </row>
    <row r="878">
      <c r="D878" s="88" t="str">
        <f t="shared" si="1"/>
        <v/>
      </c>
      <c r="K878" s="87"/>
    </row>
    <row r="879">
      <c r="D879" s="88" t="str">
        <f t="shared" si="1"/>
        <v/>
      </c>
      <c r="K879" s="87"/>
    </row>
    <row r="880">
      <c r="D880" s="88" t="str">
        <f t="shared" si="1"/>
        <v/>
      </c>
      <c r="K880" s="87"/>
    </row>
    <row r="881">
      <c r="D881" s="88" t="str">
        <f t="shared" si="1"/>
        <v/>
      </c>
      <c r="K881" s="87"/>
    </row>
    <row r="882">
      <c r="D882" s="88" t="str">
        <f t="shared" si="1"/>
        <v/>
      </c>
      <c r="K882" s="87"/>
    </row>
    <row r="883">
      <c r="D883" s="88" t="str">
        <f t="shared" si="1"/>
        <v/>
      </c>
      <c r="K883" s="87"/>
    </row>
    <row r="884">
      <c r="D884" s="88" t="str">
        <f t="shared" si="1"/>
        <v/>
      </c>
      <c r="K884" s="87"/>
    </row>
    <row r="885">
      <c r="D885" s="88" t="str">
        <f t="shared" si="1"/>
        <v/>
      </c>
      <c r="K885" s="87"/>
    </row>
    <row r="886">
      <c r="D886" s="88" t="str">
        <f t="shared" si="1"/>
        <v/>
      </c>
      <c r="K886" s="87"/>
    </row>
    <row r="887">
      <c r="D887" s="88" t="str">
        <f t="shared" si="1"/>
        <v/>
      </c>
      <c r="K887" s="87"/>
    </row>
    <row r="888">
      <c r="D888" s="88" t="str">
        <f t="shared" si="1"/>
        <v/>
      </c>
      <c r="K888" s="87"/>
    </row>
    <row r="889">
      <c r="D889" s="88" t="str">
        <f t="shared" si="1"/>
        <v/>
      </c>
      <c r="K889" s="87"/>
    </row>
    <row r="890">
      <c r="D890" s="88" t="str">
        <f t="shared" si="1"/>
        <v/>
      </c>
      <c r="K890" s="87"/>
    </row>
    <row r="891">
      <c r="D891" s="88" t="str">
        <f t="shared" si="1"/>
        <v/>
      </c>
      <c r="K891" s="87"/>
    </row>
    <row r="892">
      <c r="D892" s="88" t="str">
        <f t="shared" si="1"/>
        <v/>
      </c>
      <c r="K892" s="87"/>
    </row>
    <row r="893">
      <c r="D893" s="88" t="str">
        <f t="shared" si="1"/>
        <v/>
      </c>
      <c r="K893" s="87"/>
    </row>
    <row r="894">
      <c r="D894" s="88" t="str">
        <f t="shared" si="1"/>
        <v/>
      </c>
      <c r="K894" s="87"/>
    </row>
    <row r="895">
      <c r="D895" s="88" t="str">
        <f t="shared" si="1"/>
        <v/>
      </c>
      <c r="K895" s="87"/>
    </row>
    <row r="896">
      <c r="D896" s="88" t="str">
        <f t="shared" si="1"/>
        <v/>
      </c>
      <c r="K896" s="87"/>
    </row>
    <row r="897">
      <c r="D897" s="88" t="str">
        <f t="shared" si="1"/>
        <v/>
      </c>
      <c r="K897" s="87"/>
    </row>
    <row r="898">
      <c r="D898" s="88" t="str">
        <f t="shared" si="1"/>
        <v/>
      </c>
      <c r="K898" s="87"/>
    </row>
    <row r="899">
      <c r="D899" s="88" t="str">
        <f t="shared" si="1"/>
        <v/>
      </c>
      <c r="K899" s="87"/>
    </row>
    <row r="900">
      <c r="D900" s="88" t="str">
        <f t="shared" si="1"/>
        <v/>
      </c>
      <c r="K900" s="87"/>
    </row>
    <row r="901">
      <c r="D901" s="88" t="str">
        <f t="shared" si="1"/>
        <v/>
      </c>
      <c r="K901" s="87"/>
    </row>
    <row r="902">
      <c r="D902" s="88" t="str">
        <f t="shared" si="1"/>
        <v/>
      </c>
      <c r="K902" s="87"/>
    </row>
    <row r="903">
      <c r="D903" s="88" t="str">
        <f t="shared" si="1"/>
        <v/>
      </c>
      <c r="K903" s="87"/>
    </row>
    <row r="904">
      <c r="D904" s="88" t="str">
        <f t="shared" si="1"/>
        <v/>
      </c>
      <c r="K904" s="87"/>
    </row>
    <row r="905">
      <c r="D905" s="88" t="str">
        <f t="shared" si="1"/>
        <v/>
      </c>
      <c r="K905" s="87"/>
    </row>
    <row r="906">
      <c r="D906" s="88" t="str">
        <f t="shared" si="1"/>
        <v/>
      </c>
      <c r="K906" s="87"/>
    </row>
    <row r="907">
      <c r="D907" s="88" t="str">
        <f t="shared" si="1"/>
        <v/>
      </c>
      <c r="K907" s="87"/>
    </row>
    <row r="908">
      <c r="D908" s="88" t="str">
        <f t="shared" si="1"/>
        <v/>
      </c>
      <c r="K908" s="87"/>
    </row>
    <row r="909">
      <c r="D909" s="88" t="str">
        <f t="shared" si="1"/>
        <v/>
      </c>
      <c r="K909" s="87"/>
    </row>
    <row r="910">
      <c r="D910" s="88" t="str">
        <f t="shared" si="1"/>
        <v/>
      </c>
      <c r="K910" s="87"/>
    </row>
    <row r="911">
      <c r="D911" s="88" t="str">
        <f t="shared" si="1"/>
        <v/>
      </c>
      <c r="K911" s="87"/>
    </row>
    <row r="912">
      <c r="D912" s="88" t="str">
        <f t="shared" si="1"/>
        <v/>
      </c>
      <c r="K912" s="87"/>
    </row>
    <row r="913">
      <c r="D913" s="88" t="str">
        <f t="shared" si="1"/>
        <v/>
      </c>
      <c r="K913" s="87"/>
    </row>
    <row r="914">
      <c r="D914" s="88" t="str">
        <f t="shared" si="1"/>
        <v/>
      </c>
      <c r="K914" s="87"/>
    </row>
    <row r="915">
      <c r="D915" s="88" t="str">
        <f t="shared" si="1"/>
        <v/>
      </c>
      <c r="K915" s="87"/>
    </row>
    <row r="916">
      <c r="D916" s="88" t="str">
        <f t="shared" si="1"/>
        <v/>
      </c>
      <c r="K916" s="87"/>
    </row>
    <row r="917">
      <c r="D917" s="88" t="str">
        <f t="shared" si="1"/>
        <v/>
      </c>
      <c r="K917" s="87"/>
    </row>
    <row r="918">
      <c r="D918" s="88" t="str">
        <f t="shared" si="1"/>
        <v/>
      </c>
      <c r="K918" s="87"/>
    </row>
    <row r="919">
      <c r="D919" s="88" t="str">
        <f t="shared" si="1"/>
        <v/>
      </c>
      <c r="K919" s="87"/>
    </row>
    <row r="920">
      <c r="D920" s="88" t="str">
        <f t="shared" si="1"/>
        <v/>
      </c>
      <c r="K920" s="87"/>
    </row>
    <row r="921">
      <c r="D921" s="88" t="str">
        <f t="shared" si="1"/>
        <v/>
      </c>
      <c r="K921" s="87"/>
    </row>
    <row r="922">
      <c r="D922" s="88" t="str">
        <f t="shared" si="1"/>
        <v/>
      </c>
      <c r="K922" s="87"/>
    </row>
    <row r="923">
      <c r="D923" s="88" t="str">
        <f t="shared" si="1"/>
        <v/>
      </c>
      <c r="K923" s="87"/>
    </row>
    <row r="924">
      <c r="D924" s="88" t="str">
        <f t="shared" si="1"/>
        <v/>
      </c>
      <c r="K924" s="87"/>
    </row>
    <row r="925">
      <c r="D925" s="88" t="str">
        <f t="shared" si="1"/>
        <v/>
      </c>
      <c r="K925" s="87"/>
    </row>
    <row r="926">
      <c r="D926" s="88" t="str">
        <f t="shared" si="1"/>
        <v/>
      </c>
      <c r="K926" s="87"/>
    </row>
    <row r="927">
      <c r="D927" s="88" t="str">
        <f t="shared" si="1"/>
        <v/>
      </c>
      <c r="K927" s="87"/>
    </row>
    <row r="928">
      <c r="D928" s="88" t="str">
        <f t="shared" si="1"/>
        <v/>
      </c>
      <c r="K928" s="87"/>
    </row>
    <row r="929">
      <c r="D929" s="88" t="str">
        <f t="shared" si="1"/>
        <v/>
      </c>
      <c r="K929" s="87"/>
    </row>
    <row r="930">
      <c r="D930" s="88" t="str">
        <f t="shared" si="1"/>
        <v/>
      </c>
      <c r="K930" s="87"/>
    </row>
    <row r="931">
      <c r="D931" s="88" t="str">
        <f t="shared" si="1"/>
        <v/>
      </c>
      <c r="K931" s="87"/>
    </row>
    <row r="932">
      <c r="D932" s="88" t="str">
        <f t="shared" si="1"/>
        <v/>
      </c>
      <c r="K932" s="87"/>
    </row>
    <row r="933">
      <c r="D933" s="88" t="str">
        <f t="shared" si="1"/>
        <v/>
      </c>
      <c r="K933" s="87"/>
    </row>
    <row r="934">
      <c r="D934" s="88" t="str">
        <f t="shared" si="1"/>
        <v/>
      </c>
      <c r="K934" s="87"/>
    </row>
    <row r="935">
      <c r="D935" s="88" t="str">
        <f t="shared" si="1"/>
        <v/>
      </c>
      <c r="K935" s="87"/>
    </row>
    <row r="936">
      <c r="D936" s="88" t="str">
        <f t="shared" si="1"/>
        <v/>
      </c>
      <c r="K936" s="87"/>
    </row>
    <row r="937">
      <c r="D937" s="88" t="str">
        <f t="shared" si="1"/>
        <v/>
      </c>
      <c r="K937" s="87"/>
    </row>
    <row r="938">
      <c r="D938" s="88" t="str">
        <f t="shared" si="1"/>
        <v/>
      </c>
      <c r="K938" s="87"/>
    </row>
    <row r="939">
      <c r="D939" s="88" t="str">
        <f t="shared" si="1"/>
        <v/>
      </c>
      <c r="K939" s="87"/>
    </row>
    <row r="940">
      <c r="D940" s="88" t="str">
        <f t="shared" si="1"/>
        <v/>
      </c>
      <c r="K940" s="87"/>
    </row>
    <row r="941">
      <c r="D941" s="88" t="str">
        <f t="shared" si="1"/>
        <v/>
      </c>
      <c r="K941" s="87"/>
    </row>
    <row r="942">
      <c r="D942" s="88" t="str">
        <f t="shared" si="1"/>
        <v/>
      </c>
      <c r="K942" s="87"/>
    </row>
    <row r="943">
      <c r="D943" s="88" t="str">
        <f t="shared" si="1"/>
        <v/>
      </c>
      <c r="K943" s="87"/>
    </row>
    <row r="944">
      <c r="D944" s="88" t="str">
        <f t="shared" si="1"/>
        <v/>
      </c>
      <c r="K944" s="87"/>
    </row>
    <row r="945">
      <c r="D945" s="88" t="str">
        <f t="shared" si="1"/>
        <v/>
      </c>
      <c r="K945" s="87"/>
    </row>
    <row r="946">
      <c r="D946" s="88" t="str">
        <f t="shared" si="1"/>
        <v/>
      </c>
      <c r="K946" s="87"/>
    </row>
    <row r="947">
      <c r="D947" s="88" t="str">
        <f t="shared" si="1"/>
        <v/>
      </c>
      <c r="K947" s="87"/>
    </row>
    <row r="948">
      <c r="D948" s="88" t="str">
        <f t="shared" si="1"/>
        <v/>
      </c>
      <c r="K948" s="87"/>
    </row>
    <row r="949">
      <c r="D949" s="88" t="str">
        <f t="shared" si="1"/>
        <v/>
      </c>
      <c r="K949" s="87"/>
    </row>
    <row r="950">
      <c r="D950" s="88" t="str">
        <f t="shared" si="1"/>
        <v/>
      </c>
      <c r="K950" s="87"/>
    </row>
    <row r="951">
      <c r="D951" s="88" t="str">
        <f t="shared" si="1"/>
        <v/>
      </c>
      <c r="K951" s="87"/>
    </row>
    <row r="952">
      <c r="D952" s="88" t="str">
        <f t="shared" si="1"/>
        <v/>
      </c>
      <c r="K952" s="87"/>
    </row>
    <row r="953">
      <c r="D953" s="88" t="str">
        <f t="shared" si="1"/>
        <v/>
      </c>
      <c r="K953" s="87"/>
    </row>
    <row r="954">
      <c r="D954" s="88" t="str">
        <f t="shared" si="1"/>
        <v/>
      </c>
      <c r="K954" s="87"/>
    </row>
    <row r="955">
      <c r="D955" s="88" t="str">
        <f t="shared" si="1"/>
        <v/>
      </c>
      <c r="K955" s="87"/>
    </row>
    <row r="956">
      <c r="D956" s="88" t="str">
        <f t="shared" si="1"/>
        <v/>
      </c>
      <c r="K956" s="87"/>
    </row>
    <row r="957">
      <c r="D957" s="88" t="str">
        <f t="shared" si="1"/>
        <v/>
      </c>
    </row>
    <row r="958">
      <c r="D958" s="88" t="str">
        <f t="shared" si="1"/>
        <v/>
      </c>
    </row>
    <row r="959">
      <c r="D959" s="88" t="str">
        <f t="shared" si="1"/>
        <v/>
      </c>
    </row>
    <row r="960">
      <c r="D960" s="88" t="str">
        <f t="shared" si="1"/>
        <v/>
      </c>
    </row>
    <row r="961">
      <c r="D961" s="88" t="str">
        <f t="shared" si="1"/>
        <v/>
      </c>
    </row>
    <row r="962">
      <c r="D962" s="88" t="str">
        <f t="shared" si="1"/>
        <v/>
      </c>
    </row>
    <row r="963">
      <c r="D963" s="88" t="str">
        <f t="shared" si="1"/>
        <v/>
      </c>
    </row>
    <row r="964">
      <c r="D964" s="88" t="str">
        <f t="shared" si="1"/>
        <v/>
      </c>
    </row>
    <row r="965">
      <c r="D965" s="88" t="str">
        <f t="shared" si="1"/>
        <v/>
      </c>
    </row>
    <row r="966">
      <c r="D966" s="88" t="str">
        <f t="shared" si="1"/>
        <v/>
      </c>
    </row>
    <row r="967">
      <c r="D967" s="88" t="str">
        <f t="shared" si="1"/>
        <v/>
      </c>
    </row>
    <row r="968">
      <c r="D968" s="88" t="str">
        <f t="shared" si="1"/>
        <v/>
      </c>
    </row>
    <row r="969">
      <c r="D969" s="88" t="str">
        <f t="shared" si="1"/>
        <v/>
      </c>
    </row>
    <row r="970">
      <c r="D970" s="88" t="str">
        <f t="shared" si="1"/>
        <v/>
      </c>
    </row>
    <row r="971">
      <c r="D971" s="88" t="str">
        <f t="shared" si="1"/>
        <v/>
      </c>
    </row>
    <row r="972">
      <c r="D972" s="88" t="str">
        <f t="shared" si="1"/>
        <v/>
      </c>
    </row>
    <row r="973">
      <c r="D973" s="88" t="str">
        <f t="shared" si="1"/>
        <v/>
      </c>
    </row>
    <row r="974">
      <c r="D974" s="88" t="str">
        <f t="shared" si="1"/>
        <v/>
      </c>
    </row>
    <row r="975">
      <c r="D975" s="88" t="str">
        <f t="shared" si="1"/>
        <v/>
      </c>
    </row>
    <row r="976">
      <c r="D976" s="88" t="str">
        <f t="shared" si="1"/>
        <v/>
      </c>
    </row>
    <row r="977">
      <c r="D977" s="88" t="str">
        <f t="shared" si="1"/>
        <v/>
      </c>
    </row>
    <row r="978">
      <c r="D978" s="88" t="str">
        <f t="shared" si="1"/>
        <v/>
      </c>
    </row>
    <row r="979">
      <c r="D979" s="88" t="str">
        <f t="shared" si="1"/>
        <v/>
      </c>
    </row>
    <row r="980">
      <c r="D980" s="88" t="str">
        <f t="shared" si="1"/>
        <v/>
      </c>
    </row>
    <row r="981">
      <c r="D981" s="88" t="str">
        <f t="shared" si="1"/>
        <v/>
      </c>
    </row>
    <row r="982">
      <c r="D982" s="88" t="str">
        <f t="shared" si="1"/>
        <v/>
      </c>
    </row>
    <row r="983">
      <c r="D983" s="88" t="str">
        <f t="shared" si="1"/>
        <v/>
      </c>
    </row>
    <row r="984">
      <c r="D984" s="88" t="str">
        <f t="shared" si="1"/>
        <v/>
      </c>
    </row>
    <row r="985">
      <c r="D985" s="88" t="str">
        <f t="shared" si="1"/>
        <v/>
      </c>
    </row>
    <row r="986">
      <c r="D986" s="88" t="str">
        <f t="shared" si="1"/>
        <v/>
      </c>
    </row>
    <row r="987">
      <c r="D987" s="88" t="str">
        <f t="shared" si="1"/>
        <v/>
      </c>
    </row>
    <row r="988">
      <c r="D988" s="88" t="str">
        <f t="shared" si="1"/>
        <v/>
      </c>
    </row>
    <row r="989">
      <c r="D989" s="88" t="str">
        <f t="shared" si="1"/>
        <v/>
      </c>
    </row>
    <row r="990">
      <c r="D990" s="88" t="str">
        <f t="shared" si="1"/>
        <v/>
      </c>
    </row>
    <row r="991">
      <c r="D991" s="88" t="str">
        <f t="shared" si="1"/>
        <v/>
      </c>
    </row>
    <row r="992">
      <c r="D992" s="88" t="str">
        <f t="shared" si="1"/>
        <v/>
      </c>
    </row>
    <row r="993">
      <c r="D993" s="88" t="str">
        <f t="shared" si="1"/>
        <v/>
      </c>
    </row>
    <row r="994">
      <c r="D994" s="88" t="str">
        <f t="shared" si="1"/>
        <v/>
      </c>
    </row>
    <row r="995">
      <c r="D995" s="88" t="str">
        <f t="shared" si="1"/>
        <v/>
      </c>
    </row>
    <row r="996">
      <c r="D996" s="88" t="str">
        <f t="shared" si="1"/>
        <v/>
      </c>
    </row>
    <row r="997">
      <c r="D997" s="88" t="str">
        <f t="shared" si="1"/>
        <v/>
      </c>
    </row>
    <row r="998">
      <c r="D998" s="88" t="str">
        <f t="shared" si="1"/>
        <v/>
      </c>
    </row>
    <row r="999">
      <c r="D999" s="88" t="str">
        <f t="shared" si="1"/>
        <v/>
      </c>
    </row>
    <row r="1000">
      <c r="D1000" s="88" t="str">
        <f t="shared" si="1"/>
        <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s>
  <sheetData>
    <row r="1">
      <c r="A1" s="62" t="s">
        <v>5673</v>
      </c>
      <c r="B1" s="62" t="s">
        <v>5674</v>
      </c>
      <c r="C1" s="62" t="s">
        <v>5675</v>
      </c>
      <c r="F1" s="89" t="s">
        <v>1863</v>
      </c>
    </row>
    <row r="2">
      <c r="A2" s="62" t="s">
        <v>3575</v>
      </c>
      <c r="B2" s="62" t="s">
        <v>3577</v>
      </c>
      <c r="C2" s="62" t="s">
        <v>3576</v>
      </c>
      <c r="F2" s="89" t="s">
        <v>3599</v>
      </c>
    </row>
    <row r="3">
      <c r="A3" s="62" t="s">
        <v>1045</v>
      </c>
      <c r="B3" s="62" t="s">
        <v>1048</v>
      </c>
      <c r="C3" s="62" t="s">
        <v>1047</v>
      </c>
      <c r="F3" s="89" t="s">
        <v>4327</v>
      </c>
    </row>
    <row r="4">
      <c r="A4" s="62" t="s">
        <v>768</v>
      </c>
      <c r="B4" s="62" t="s">
        <v>770</v>
      </c>
      <c r="C4" s="62" t="s">
        <v>769</v>
      </c>
      <c r="F4" s="89" t="s">
        <v>4059</v>
      </c>
    </row>
    <row r="5">
      <c r="A5" s="62" t="s">
        <v>3066</v>
      </c>
      <c r="B5" s="62" t="s">
        <v>3068</v>
      </c>
      <c r="C5" s="62" t="s">
        <v>3067</v>
      </c>
      <c r="F5" s="89" t="s">
        <v>3189</v>
      </c>
    </row>
    <row r="6">
      <c r="A6" s="62" t="s">
        <v>2418</v>
      </c>
      <c r="B6" s="62" t="s">
        <v>2420</v>
      </c>
      <c r="C6" s="62" t="s">
        <v>2419</v>
      </c>
      <c r="F6" s="89" t="s">
        <v>3390</v>
      </c>
    </row>
    <row r="7">
      <c r="A7" s="62" t="s">
        <v>2607</v>
      </c>
      <c r="B7" s="62" t="s">
        <v>2609</v>
      </c>
      <c r="C7" s="62" t="s">
        <v>2608</v>
      </c>
      <c r="F7" s="89" t="s">
        <v>5398</v>
      </c>
    </row>
    <row r="8">
      <c r="A8" s="62" t="s">
        <v>2621</v>
      </c>
      <c r="B8" s="62" t="s">
        <v>2623</v>
      </c>
      <c r="C8" s="62" t="s">
        <v>2622</v>
      </c>
    </row>
    <row r="9">
      <c r="A9" s="62" t="s">
        <v>2554</v>
      </c>
      <c r="B9" s="62" t="s">
        <v>2556</v>
      </c>
      <c r="C9" s="62" t="s">
        <v>2555</v>
      </c>
    </row>
    <row r="10">
      <c r="A10" s="62" t="s">
        <v>659</v>
      </c>
      <c r="B10" s="62" t="s">
        <v>663</v>
      </c>
      <c r="C10" s="62" t="s">
        <v>661</v>
      </c>
    </row>
    <row r="11">
      <c r="A11" s="62" t="s">
        <v>1703</v>
      </c>
      <c r="B11" s="62" t="s">
        <v>1705</v>
      </c>
      <c r="C11" s="62" t="s">
        <v>1704</v>
      </c>
    </row>
    <row r="12">
      <c r="A12" s="62" t="s">
        <v>2630</v>
      </c>
      <c r="B12" s="62" t="s">
        <v>2632</v>
      </c>
      <c r="C12" s="62" t="s">
        <v>2631</v>
      </c>
    </row>
    <row r="13">
      <c r="A13" s="62" t="s">
        <v>1779</v>
      </c>
      <c r="B13" s="62" t="s">
        <v>1781</v>
      </c>
      <c r="C13" s="62" t="s">
        <v>1780</v>
      </c>
    </row>
    <row r="14">
      <c r="A14" s="62" t="s">
        <v>950</v>
      </c>
      <c r="B14" s="62" t="s">
        <v>953</v>
      </c>
      <c r="C14" s="62" t="s">
        <v>952</v>
      </c>
    </row>
    <row r="15">
      <c r="A15" s="62" t="s">
        <v>1716</v>
      </c>
      <c r="B15" s="62" t="s">
        <v>1718</v>
      </c>
      <c r="C15" s="62" t="s">
        <v>1717</v>
      </c>
    </row>
    <row r="16">
      <c r="A16" s="62" t="s">
        <v>474</v>
      </c>
      <c r="B16" s="62" t="s">
        <v>477</v>
      </c>
      <c r="C16" s="62" t="s">
        <v>475</v>
      </c>
    </row>
    <row r="17">
      <c r="A17" s="62" t="s">
        <v>970</v>
      </c>
      <c r="B17" s="62" t="s">
        <v>973</v>
      </c>
      <c r="C17" s="62" t="s">
        <v>972</v>
      </c>
    </row>
    <row r="18">
      <c r="A18" s="62" t="s">
        <v>547</v>
      </c>
      <c r="B18" s="62" t="s">
        <v>549</v>
      </c>
      <c r="C18" s="62" t="s">
        <v>548</v>
      </c>
    </row>
    <row r="19">
      <c r="A19" s="62" t="s">
        <v>1220</v>
      </c>
      <c r="B19" s="62" t="s">
        <v>1222</v>
      </c>
      <c r="C19" s="62" t="s">
        <v>1221</v>
      </c>
    </row>
    <row r="20">
      <c r="A20" s="62" t="s">
        <v>1083</v>
      </c>
      <c r="B20" s="62" t="s">
        <v>1085</v>
      </c>
      <c r="C20" s="62" t="s">
        <v>1084</v>
      </c>
    </row>
    <row r="21">
      <c r="A21" s="62" t="s">
        <v>425</v>
      </c>
      <c r="B21" s="62" t="s">
        <v>427</v>
      </c>
      <c r="C21" s="62" t="s">
        <v>426</v>
      </c>
    </row>
    <row r="22">
      <c r="A22" s="62" t="s">
        <v>2019</v>
      </c>
      <c r="B22" s="62" t="s">
        <v>2021</v>
      </c>
      <c r="C22" s="62" t="s">
        <v>2020</v>
      </c>
    </row>
    <row r="23">
      <c r="A23" s="62" t="s">
        <v>806</v>
      </c>
      <c r="B23" s="62" t="s">
        <v>809</v>
      </c>
      <c r="C23" s="62" t="s">
        <v>808</v>
      </c>
    </row>
    <row r="24">
      <c r="A24" s="62" t="s">
        <v>3845</v>
      </c>
      <c r="B24" s="62" t="s">
        <v>3847</v>
      </c>
      <c r="C24" s="62" t="s">
        <v>3846</v>
      </c>
    </row>
    <row r="25">
      <c r="A25" s="62" t="s">
        <v>819</v>
      </c>
      <c r="B25" s="62" t="s">
        <v>821</v>
      </c>
      <c r="C25" s="62" t="s">
        <v>820</v>
      </c>
    </row>
    <row r="26">
      <c r="A26" s="62" t="s">
        <v>2254</v>
      </c>
      <c r="B26" s="62" t="s">
        <v>2255</v>
      </c>
      <c r="C26" s="62" t="s">
        <v>820</v>
      </c>
    </row>
    <row r="27">
      <c r="A27" s="62" t="s">
        <v>2058</v>
      </c>
      <c r="B27" s="62" t="s">
        <v>2060</v>
      </c>
      <c r="C27" s="62" t="s">
        <v>2059</v>
      </c>
    </row>
    <row r="28">
      <c r="A28" s="62" t="s">
        <v>1590</v>
      </c>
      <c r="B28" s="62" t="s">
        <v>1592</v>
      </c>
      <c r="C28" s="62" t="s">
        <v>1591</v>
      </c>
    </row>
    <row r="29">
      <c r="A29" s="62" t="s">
        <v>1574</v>
      </c>
      <c r="B29" s="62" t="s">
        <v>1576</v>
      </c>
      <c r="C29" s="62" t="s">
        <v>1575</v>
      </c>
    </row>
    <row r="30">
      <c r="A30" s="62" t="s">
        <v>4703</v>
      </c>
      <c r="B30" s="62" t="s">
        <v>4705</v>
      </c>
      <c r="C30" s="62" t="s">
        <v>4704</v>
      </c>
    </row>
    <row r="31">
      <c r="A31" s="62" t="s">
        <v>2591</v>
      </c>
      <c r="B31" s="62" t="s">
        <v>2593</v>
      </c>
      <c r="C31" s="62" t="s">
        <v>2592</v>
      </c>
    </row>
    <row r="32">
      <c r="A32" s="62" t="s">
        <v>1188</v>
      </c>
      <c r="B32" s="62" t="s">
        <v>1190</v>
      </c>
      <c r="C32" s="62" t="s">
        <v>1189</v>
      </c>
    </row>
    <row r="33">
      <c r="A33" s="62" t="s">
        <v>1171</v>
      </c>
      <c r="B33" s="62" t="s">
        <v>1174</v>
      </c>
      <c r="C33" s="62" t="s">
        <v>1173</v>
      </c>
    </row>
    <row r="34">
      <c r="A34" s="62" t="s">
        <v>2157</v>
      </c>
      <c r="B34" s="62" t="s">
        <v>2159</v>
      </c>
      <c r="C34" s="62" t="s">
        <v>2158</v>
      </c>
    </row>
    <row r="35">
      <c r="A35" s="62" t="s">
        <v>2169</v>
      </c>
      <c r="B35" s="62" t="s">
        <v>2171</v>
      </c>
      <c r="C35" s="62" t="s">
        <v>2170</v>
      </c>
    </row>
    <row r="36">
      <c r="A36" s="62" t="s">
        <v>1120</v>
      </c>
      <c r="B36" s="62" t="s">
        <v>1122</v>
      </c>
      <c r="C36" s="62" t="s">
        <v>1121</v>
      </c>
    </row>
    <row r="37">
      <c r="A37" s="62" t="s">
        <v>357</v>
      </c>
      <c r="B37" s="62" t="s">
        <v>363</v>
      </c>
      <c r="C37" s="62" t="s">
        <v>360</v>
      </c>
    </row>
    <row r="38">
      <c r="A38" s="62" t="s">
        <v>834</v>
      </c>
      <c r="B38" s="62" t="s">
        <v>837</v>
      </c>
      <c r="C38" s="62" t="s">
        <v>836</v>
      </c>
    </row>
    <row r="39">
      <c r="A39" s="62" t="s">
        <v>2246</v>
      </c>
      <c r="B39" s="62" t="s">
        <v>2248</v>
      </c>
      <c r="C39" s="62" t="s">
        <v>2247</v>
      </c>
    </row>
    <row r="40">
      <c r="A40" s="62" t="s">
        <v>1899</v>
      </c>
      <c r="B40" s="62" t="s">
        <v>1901</v>
      </c>
      <c r="C40" s="62" t="s">
        <v>1900</v>
      </c>
    </row>
    <row r="41">
      <c r="A41" s="62" t="s">
        <v>2178</v>
      </c>
      <c r="B41" s="62" t="s">
        <v>2179</v>
      </c>
      <c r="C41" s="62" t="s">
        <v>1900</v>
      </c>
    </row>
    <row r="42">
      <c r="A42" s="62" t="s">
        <v>2191</v>
      </c>
      <c r="B42" s="62" t="s">
        <v>2193</v>
      </c>
      <c r="C42" s="62" t="s">
        <v>2192</v>
      </c>
    </row>
    <row r="43">
      <c r="A43" s="62" t="s">
        <v>2293</v>
      </c>
      <c r="B43" s="62" t="s">
        <v>2295</v>
      </c>
      <c r="C43" s="62" t="s">
        <v>2294</v>
      </c>
    </row>
    <row r="44">
      <c r="A44" s="62" t="s">
        <v>1914</v>
      </c>
      <c r="B44" s="62" t="s">
        <v>1916</v>
      </c>
      <c r="C44" s="62" t="s">
        <v>1915</v>
      </c>
    </row>
    <row r="45">
      <c r="A45" s="62" t="s">
        <v>1925</v>
      </c>
      <c r="B45" s="62" t="s">
        <v>1927</v>
      </c>
      <c r="C45" s="62" t="s">
        <v>1926</v>
      </c>
    </row>
    <row r="46">
      <c r="A46" s="62" t="s">
        <v>903</v>
      </c>
      <c r="B46" s="62" t="s">
        <v>905</v>
      </c>
      <c r="C46" s="62" t="s">
        <v>904</v>
      </c>
    </row>
    <row r="47">
      <c r="A47" s="62" t="s">
        <v>2069</v>
      </c>
      <c r="B47" s="62" t="s">
        <v>2070</v>
      </c>
      <c r="C47" s="62" t="s">
        <v>904</v>
      </c>
    </row>
    <row r="48">
      <c r="A48" s="62" t="s">
        <v>2033</v>
      </c>
      <c r="B48" s="62" t="s">
        <v>2035</v>
      </c>
      <c r="C48" s="62" t="s">
        <v>2034</v>
      </c>
    </row>
    <row r="49">
      <c r="A49" s="62" t="s">
        <v>2508</v>
      </c>
      <c r="B49" s="62" t="s">
        <v>2510</v>
      </c>
      <c r="C49" s="62" t="s">
        <v>2509</v>
      </c>
    </row>
    <row r="50">
      <c r="A50" s="62" t="s">
        <v>2527</v>
      </c>
      <c r="B50" s="62" t="s">
        <v>2529</v>
      </c>
      <c r="C50" s="62" t="s">
        <v>2528</v>
      </c>
    </row>
    <row r="51">
      <c r="A51" s="62" t="s">
        <v>2540</v>
      </c>
      <c r="B51" s="62" t="s">
        <v>2542</v>
      </c>
      <c r="C51" s="62" t="s">
        <v>2541</v>
      </c>
    </row>
    <row r="52">
      <c r="A52" s="62" t="s">
        <v>1794</v>
      </c>
      <c r="B52" s="62" t="s">
        <v>1796</v>
      </c>
      <c r="C52" s="62" t="s">
        <v>1795</v>
      </c>
    </row>
    <row r="53">
      <c r="A53" s="62" t="s">
        <v>1772</v>
      </c>
      <c r="B53" s="62" t="s">
        <v>1774</v>
      </c>
      <c r="C53" s="62" t="s">
        <v>1773</v>
      </c>
    </row>
    <row r="54">
      <c r="A54" s="62" t="s">
        <v>1736</v>
      </c>
      <c r="B54" s="62" t="s">
        <v>1738</v>
      </c>
      <c r="C54" s="62" t="s">
        <v>1737</v>
      </c>
    </row>
    <row r="55">
      <c r="A55" s="62" t="s">
        <v>3658</v>
      </c>
      <c r="B55" s="62" t="s">
        <v>3661</v>
      </c>
      <c r="C55" s="62" t="s">
        <v>3659</v>
      </c>
    </row>
    <row r="56">
      <c r="A56" s="62" t="s">
        <v>606</v>
      </c>
      <c r="B56" s="62" t="s">
        <v>608</v>
      </c>
      <c r="C56" s="62" t="s">
        <v>607</v>
      </c>
    </row>
    <row r="57">
      <c r="A57" s="62" t="s">
        <v>3262</v>
      </c>
      <c r="B57" s="62" t="s">
        <v>3264</v>
      </c>
      <c r="C57" s="62" t="s">
        <v>3263</v>
      </c>
    </row>
    <row r="58">
      <c r="A58" s="62" t="s">
        <v>2109</v>
      </c>
      <c r="B58" s="62" t="s">
        <v>2111</v>
      </c>
      <c r="C58" s="62" t="s">
        <v>2110</v>
      </c>
    </row>
    <row r="59">
      <c r="A59" s="62" t="s">
        <v>1956</v>
      </c>
      <c r="B59" s="62" t="s">
        <v>1958</v>
      </c>
      <c r="C59" s="62" t="s">
        <v>1957</v>
      </c>
    </row>
    <row r="60">
      <c r="A60" s="62" t="s">
        <v>2096</v>
      </c>
      <c r="B60" s="62" t="s">
        <v>2098</v>
      </c>
      <c r="C60" s="62" t="s">
        <v>2097</v>
      </c>
    </row>
    <row r="61">
      <c r="A61" s="62" t="s">
        <v>5545</v>
      </c>
      <c r="B61" s="62" t="s">
        <v>5676</v>
      </c>
      <c r="C61" s="62" t="s">
        <v>5677</v>
      </c>
    </row>
    <row r="62">
      <c r="A62" s="62" t="s">
        <v>1284</v>
      </c>
      <c r="B62" s="62" t="s">
        <v>1286</v>
      </c>
      <c r="C62" s="62" t="s">
        <v>1285</v>
      </c>
    </row>
    <row r="63">
      <c r="A63" s="62" t="s">
        <v>1307</v>
      </c>
      <c r="B63" s="62" t="s">
        <v>1309</v>
      </c>
      <c r="C63" s="62" t="s">
        <v>1308</v>
      </c>
    </row>
    <row r="64">
      <c r="A64" s="62" t="s">
        <v>1270</v>
      </c>
      <c r="B64" s="62" t="s">
        <v>1273</v>
      </c>
      <c r="C64" s="62" t="s">
        <v>1271</v>
      </c>
    </row>
    <row r="65">
      <c r="A65" s="62" t="s">
        <v>2578</v>
      </c>
      <c r="B65" s="62" t="s">
        <v>2580</v>
      </c>
      <c r="C65" s="62" t="s">
        <v>2579</v>
      </c>
    </row>
    <row r="66">
      <c r="A66" s="62" t="s">
        <v>1314</v>
      </c>
      <c r="B66" s="62" t="s">
        <v>1316</v>
      </c>
      <c r="C66" s="62" t="s">
        <v>1315</v>
      </c>
    </row>
    <row r="67">
      <c r="A67" s="62" t="s">
        <v>1331</v>
      </c>
      <c r="B67" s="62" t="s">
        <v>1333</v>
      </c>
      <c r="C67" s="62" t="s">
        <v>1332</v>
      </c>
    </row>
    <row r="68">
      <c r="A68" s="62" t="s">
        <v>1341</v>
      </c>
      <c r="B68" s="62" t="s">
        <v>1343</v>
      </c>
      <c r="C68" s="62" t="s">
        <v>1342</v>
      </c>
    </row>
    <row r="69">
      <c r="A69" s="62" t="s">
        <v>1292</v>
      </c>
      <c r="B69" s="62" t="s">
        <v>1294</v>
      </c>
      <c r="C69" s="62" t="s">
        <v>1293</v>
      </c>
    </row>
    <row r="70">
      <c r="A70" s="62" t="s">
        <v>2570</v>
      </c>
      <c r="B70" s="62" t="s">
        <v>2572</v>
      </c>
      <c r="C70" s="62" t="s">
        <v>2571</v>
      </c>
    </row>
    <row r="71">
      <c r="A71" s="62" t="s">
        <v>2048</v>
      </c>
      <c r="B71" s="62" t="s">
        <v>2050</v>
      </c>
      <c r="C71" s="62" t="s">
        <v>2049</v>
      </c>
    </row>
    <row r="72">
      <c r="A72" s="62" t="s">
        <v>563</v>
      </c>
      <c r="B72" s="62" t="s">
        <v>566</v>
      </c>
      <c r="C72" s="62" t="s">
        <v>564</v>
      </c>
    </row>
    <row r="73">
      <c r="A73" s="62" t="s">
        <v>2238</v>
      </c>
      <c r="B73" s="62" t="s">
        <v>2240</v>
      </c>
      <c r="C73" s="62" t="s">
        <v>2239</v>
      </c>
    </row>
    <row r="74">
      <c r="A74" s="62" t="s">
        <v>870</v>
      </c>
      <c r="B74" s="62" t="s">
        <v>872</v>
      </c>
      <c r="C74" s="62" t="s">
        <v>871</v>
      </c>
    </row>
    <row r="75">
      <c r="A75" s="62" t="s">
        <v>852</v>
      </c>
      <c r="B75" s="62" t="s">
        <v>856</v>
      </c>
      <c r="C75" s="62" t="s">
        <v>855</v>
      </c>
    </row>
    <row r="76">
      <c r="A76" s="62" t="s">
        <v>1100</v>
      </c>
      <c r="B76" s="62" t="s">
        <v>1102</v>
      </c>
      <c r="C76" s="62" t="s">
        <v>1101</v>
      </c>
    </row>
    <row r="77">
      <c r="A77" s="62" t="s">
        <v>1203</v>
      </c>
      <c r="B77" s="62" t="s">
        <v>1205</v>
      </c>
      <c r="C77" s="62" t="s">
        <v>1204</v>
      </c>
    </row>
    <row r="78">
      <c r="A78" s="62" t="s">
        <v>2392</v>
      </c>
      <c r="B78" s="62" t="s">
        <v>2394</v>
      </c>
      <c r="C78" s="62" t="s">
        <v>2393</v>
      </c>
    </row>
    <row r="79">
      <c r="A79" s="62" t="s">
        <v>4916</v>
      </c>
      <c r="B79" s="62" t="s">
        <v>4918</v>
      </c>
      <c r="C79" s="62" t="s">
        <v>4917</v>
      </c>
    </row>
    <row r="80">
      <c r="A80" s="62" t="s">
        <v>402</v>
      </c>
      <c r="B80" s="62" t="s">
        <v>406</v>
      </c>
      <c r="C80" s="62" t="s">
        <v>404</v>
      </c>
    </row>
    <row r="81">
      <c r="A81" s="62" t="s">
        <v>2268</v>
      </c>
      <c r="B81" s="62" t="s">
        <v>2270</v>
      </c>
      <c r="C81" s="62" t="s">
        <v>2269</v>
      </c>
    </row>
    <row r="82">
      <c r="A82" s="62" t="s">
        <v>1555</v>
      </c>
      <c r="B82" s="62" t="s">
        <v>1558</v>
      </c>
      <c r="C82" s="62" t="s">
        <v>1556</v>
      </c>
    </row>
    <row r="83">
      <c r="A83" s="62" t="s">
        <v>2264</v>
      </c>
      <c r="B83" s="62" t="s">
        <v>2266</v>
      </c>
      <c r="C83" s="62" t="s">
        <v>2265</v>
      </c>
    </row>
    <row r="84">
      <c r="A84" s="62" t="s">
        <v>2143</v>
      </c>
      <c r="B84" s="62" t="s">
        <v>2145</v>
      </c>
      <c r="C84" s="62" t="s">
        <v>2144</v>
      </c>
    </row>
    <row r="85">
      <c r="A85" s="62" t="s">
        <v>2431</v>
      </c>
      <c r="B85" s="62" t="s">
        <v>2433</v>
      </c>
      <c r="C85" s="62" t="s">
        <v>2432</v>
      </c>
    </row>
    <row r="86">
      <c r="A86" s="62" t="s">
        <v>534</v>
      </c>
      <c r="B86" s="62" t="s">
        <v>537</v>
      </c>
      <c r="C86" s="62" t="s">
        <v>536</v>
      </c>
    </row>
    <row r="87">
      <c r="A87" s="62" t="s">
        <v>3859</v>
      </c>
      <c r="B87" s="62" t="s">
        <v>3861</v>
      </c>
      <c r="C87" s="62" t="s">
        <v>3860</v>
      </c>
    </row>
    <row r="88">
      <c r="A88" s="62" t="s">
        <v>5337</v>
      </c>
      <c r="B88" s="62" t="s">
        <v>5339</v>
      </c>
      <c r="C88" s="62" t="s">
        <v>5338</v>
      </c>
    </row>
    <row r="89">
      <c r="A89" s="62" t="s">
        <v>497</v>
      </c>
      <c r="B89" s="62" t="s">
        <v>499</v>
      </c>
      <c r="C89" s="62" t="s">
        <v>498</v>
      </c>
    </row>
    <row r="90">
      <c r="A90" s="62" t="s">
        <v>2205</v>
      </c>
      <c r="B90" s="62" t="s">
        <v>2207</v>
      </c>
      <c r="C90" s="62" t="s">
        <v>2206</v>
      </c>
    </row>
    <row r="91">
      <c r="A91" s="62" t="s">
        <v>2230</v>
      </c>
      <c r="B91" s="62" t="s">
        <v>2232</v>
      </c>
      <c r="C91" s="62" t="s">
        <v>2231</v>
      </c>
    </row>
    <row r="92">
      <c r="A92" s="62" t="s">
        <v>2217</v>
      </c>
      <c r="B92" s="62" t="s">
        <v>2219</v>
      </c>
      <c r="C92" s="62" t="s">
        <v>2218</v>
      </c>
    </row>
    <row r="93">
      <c r="A93" s="62" t="s">
        <v>520</v>
      </c>
      <c r="B93" s="62" t="s">
        <v>523</v>
      </c>
      <c r="C93" s="62" t="s">
        <v>522</v>
      </c>
    </row>
    <row r="94">
      <c r="A94" s="62" t="s">
        <v>5412</v>
      </c>
      <c r="B94" s="62" t="s">
        <v>5414</v>
      </c>
      <c r="C94" s="62" t="s">
        <v>5413</v>
      </c>
    </row>
    <row r="95">
      <c r="A95" s="62" t="s">
        <v>5420</v>
      </c>
      <c r="B95" s="62" t="s">
        <v>5422</v>
      </c>
      <c r="C95" s="62" t="s">
        <v>5421</v>
      </c>
    </row>
    <row r="96">
      <c r="A96" s="62" t="s">
        <v>5406</v>
      </c>
      <c r="B96" s="62" t="s">
        <v>5408</v>
      </c>
      <c r="C96" s="62" t="s">
        <v>5407</v>
      </c>
    </row>
    <row r="97">
      <c r="A97" s="62" t="s">
        <v>5401</v>
      </c>
      <c r="B97" s="62" t="s">
        <v>5403</v>
      </c>
      <c r="C97" s="62" t="s">
        <v>5402</v>
      </c>
    </row>
    <row r="98">
      <c r="A98" s="62" t="s">
        <v>1063</v>
      </c>
      <c r="B98" s="62" t="s">
        <v>1066</v>
      </c>
      <c r="C98" s="62" t="s">
        <v>1065</v>
      </c>
    </row>
    <row r="99">
      <c r="A99" s="62" t="s">
        <v>2512</v>
      </c>
      <c r="B99" s="62" t="s">
        <v>2514</v>
      </c>
      <c r="C99" s="62" t="s">
        <v>2513</v>
      </c>
    </row>
    <row r="100">
      <c r="A100" s="62" t="s">
        <v>2519</v>
      </c>
      <c r="B100" s="62" t="s">
        <v>2521</v>
      </c>
      <c r="C100" s="62" t="s">
        <v>2520</v>
      </c>
    </row>
    <row r="101">
      <c r="A101" s="62" t="s">
        <v>1025</v>
      </c>
      <c r="B101" s="62" t="s">
        <v>1028</v>
      </c>
      <c r="C101" s="62" t="s">
        <v>1026</v>
      </c>
    </row>
    <row r="102">
      <c r="A102" s="62" t="s">
        <v>1155</v>
      </c>
      <c r="B102" s="62" t="s">
        <v>1157</v>
      </c>
      <c r="C102" s="62" t="s">
        <v>1156</v>
      </c>
    </row>
    <row r="103">
      <c r="A103" s="62" t="s">
        <v>385</v>
      </c>
      <c r="B103" s="62" t="s">
        <v>387</v>
      </c>
      <c r="C103" s="62" t="s">
        <v>386</v>
      </c>
    </row>
    <row r="104">
      <c r="A104" s="62" t="s">
        <v>2281</v>
      </c>
      <c r="B104" s="62" t="s">
        <v>2282</v>
      </c>
      <c r="C104" s="62" t="s">
        <v>885</v>
      </c>
    </row>
    <row r="105">
      <c r="A105" s="62" t="s">
        <v>884</v>
      </c>
      <c r="B105" s="62" t="s">
        <v>886</v>
      </c>
      <c r="C105" s="62" t="s">
        <v>885</v>
      </c>
    </row>
    <row r="106">
      <c r="A106" s="62" t="s">
        <v>2135</v>
      </c>
      <c r="B106" s="62" t="s">
        <v>2137</v>
      </c>
      <c r="C106" s="62" t="s">
        <v>2136</v>
      </c>
    </row>
    <row r="107">
      <c r="A107" s="62" t="s">
        <v>4422</v>
      </c>
      <c r="B107" s="62" t="s">
        <v>4425</v>
      </c>
      <c r="C107" s="62" t="s">
        <v>4423</v>
      </c>
    </row>
    <row r="108">
      <c r="A108" s="62" t="s">
        <v>922</v>
      </c>
      <c r="B108" s="62" t="s">
        <v>925</v>
      </c>
      <c r="C108" s="62" t="s">
        <v>924</v>
      </c>
    </row>
    <row r="109">
      <c r="A109" s="62" t="s">
        <v>639</v>
      </c>
      <c r="B109" s="62" t="s">
        <v>642</v>
      </c>
      <c r="C109" s="62" t="s">
        <v>640</v>
      </c>
    </row>
    <row r="110">
      <c r="A110" s="62" t="s">
        <v>2315</v>
      </c>
      <c r="B110" s="62" t="s">
        <v>2317</v>
      </c>
      <c r="C110" s="62" t="s">
        <v>2316</v>
      </c>
    </row>
    <row r="111">
      <c r="A111" s="62" t="s">
        <v>2327</v>
      </c>
      <c r="B111" s="62" t="s">
        <v>2329</v>
      </c>
      <c r="C111" s="62" t="s">
        <v>2328</v>
      </c>
    </row>
    <row r="112">
      <c r="A112" s="62" t="s">
        <v>934</v>
      </c>
      <c r="B112" s="62" t="s">
        <v>936</v>
      </c>
      <c r="C112" s="62" t="s">
        <v>935</v>
      </c>
    </row>
    <row r="113">
      <c r="A113" s="62" t="s">
        <v>2307</v>
      </c>
      <c r="B113" s="62" t="s">
        <v>2309</v>
      </c>
      <c r="C113" s="62" t="s">
        <v>2308</v>
      </c>
    </row>
    <row r="114">
      <c r="A114" s="62" t="s">
        <v>2336</v>
      </c>
      <c r="B114" s="62" t="s">
        <v>2338</v>
      </c>
      <c r="C114" s="62" t="s">
        <v>2337</v>
      </c>
    </row>
    <row r="115">
      <c r="A115" s="62" t="s">
        <v>2363</v>
      </c>
      <c r="B115" s="62" t="s">
        <v>2365</v>
      </c>
      <c r="C115" s="62" t="s">
        <v>2364</v>
      </c>
    </row>
    <row r="116">
      <c r="A116" s="62" t="s">
        <v>2351</v>
      </c>
      <c r="B116" s="62" t="s">
        <v>2353</v>
      </c>
      <c r="C116" s="62" t="s">
        <v>2352</v>
      </c>
    </row>
    <row r="117">
      <c r="A117" s="62" t="s">
        <v>991</v>
      </c>
      <c r="B117" s="62" t="s">
        <v>994</v>
      </c>
      <c r="C117" s="62" t="s">
        <v>993</v>
      </c>
    </row>
    <row r="118">
      <c r="A118" s="62" t="s">
        <v>3726</v>
      </c>
      <c r="B118" s="62" t="s">
        <v>3729</v>
      </c>
      <c r="C118" s="62" t="s">
        <v>3728</v>
      </c>
    </row>
    <row r="119">
      <c r="A119" s="62" t="s">
        <v>4851</v>
      </c>
      <c r="B119" s="62" t="s">
        <v>4853</v>
      </c>
      <c r="C119" s="62" t="s">
        <v>4852</v>
      </c>
    </row>
    <row r="120">
      <c r="A120" s="62" t="s">
        <v>1973</v>
      </c>
      <c r="B120" s="62" t="s">
        <v>1975</v>
      </c>
      <c r="C120" s="62" t="s">
        <v>1974</v>
      </c>
    </row>
    <row r="121">
      <c r="A121" s="62" t="s">
        <v>5323</v>
      </c>
      <c r="B121" s="62" t="s">
        <v>5325</v>
      </c>
      <c r="C121" s="62" t="s">
        <v>5324</v>
      </c>
    </row>
    <row r="122">
      <c r="A122" s="62" t="s">
        <v>2083</v>
      </c>
      <c r="B122" s="62" t="s">
        <v>2085</v>
      </c>
      <c r="C122" s="62" t="s">
        <v>2084</v>
      </c>
    </row>
    <row r="123">
      <c r="A123" s="62" t="s">
        <v>2467</v>
      </c>
      <c r="B123" s="62" t="s">
        <v>2469</v>
      </c>
      <c r="C123" s="62" t="s">
        <v>2468</v>
      </c>
    </row>
    <row r="124">
      <c r="A124" s="62" t="s">
        <v>2502</v>
      </c>
      <c r="B124" s="62" t="s">
        <v>2504</v>
      </c>
      <c r="C124" s="62" t="s">
        <v>2503</v>
      </c>
    </row>
    <row r="125">
      <c r="A125" s="62" t="s">
        <v>2444</v>
      </c>
      <c r="B125" s="62" t="s">
        <v>2446</v>
      </c>
      <c r="C125" s="62" t="s">
        <v>2445</v>
      </c>
    </row>
    <row r="126">
      <c r="A126" s="62" t="s">
        <v>2459</v>
      </c>
      <c r="B126" s="62" t="s">
        <v>2461</v>
      </c>
      <c r="C126" s="62" t="s">
        <v>2460</v>
      </c>
    </row>
    <row r="127">
      <c r="A127" s="62" t="s">
        <v>2478</v>
      </c>
      <c r="B127" s="62" t="s">
        <v>2480</v>
      </c>
      <c r="C127" s="62" t="s">
        <v>2479</v>
      </c>
    </row>
    <row r="128">
      <c r="A128" s="62" t="s">
        <v>2486</v>
      </c>
      <c r="B128" s="62" t="s">
        <v>2488</v>
      </c>
      <c r="C128" s="62" t="s">
        <v>2487</v>
      </c>
    </row>
    <row r="129">
      <c r="A129" s="62" t="s">
        <v>2494</v>
      </c>
      <c r="B129" s="62" t="s">
        <v>2496</v>
      </c>
      <c r="C129" s="62" t="s">
        <v>2495</v>
      </c>
    </row>
    <row r="130">
      <c r="A130" s="62" t="s">
        <v>4642</v>
      </c>
      <c r="B130" s="62" t="s">
        <v>4645</v>
      </c>
      <c r="C130" s="62" t="s">
        <v>4644</v>
      </c>
    </row>
    <row r="131">
      <c r="A131" s="62" t="s">
        <v>2644</v>
      </c>
      <c r="B131" s="62" t="s">
        <v>2646</v>
      </c>
      <c r="C131" s="62" t="s">
        <v>2645</v>
      </c>
    </row>
    <row r="132">
      <c r="A132" s="62" t="s">
        <v>5426</v>
      </c>
      <c r="B132" s="62" t="s">
        <v>5428</v>
      </c>
      <c r="C132" s="62" t="s">
        <v>5427</v>
      </c>
    </row>
    <row r="133">
      <c r="A133" s="62" t="s">
        <v>1667</v>
      </c>
      <c r="B133" s="62" t="s">
        <v>1669</v>
      </c>
      <c r="C133" s="62" t="s">
        <v>1668</v>
      </c>
    </row>
    <row r="134">
      <c r="A134" s="62" t="s">
        <v>2406</v>
      </c>
      <c r="B134" s="62" t="s">
        <v>2408</v>
      </c>
      <c r="C134" s="62" t="s">
        <v>2407</v>
      </c>
    </row>
    <row r="135">
      <c r="A135" s="62" t="s">
        <v>5437</v>
      </c>
      <c r="B135" s="62" t="s">
        <v>5439</v>
      </c>
      <c r="C135" s="62" t="s">
        <v>5438</v>
      </c>
    </row>
    <row r="136">
      <c r="A136" s="62" t="s">
        <v>2003</v>
      </c>
      <c r="B136" s="62" t="s">
        <v>2005</v>
      </c>
      <c r="C136" s="62" t="s">
        <v>2004</v>
      </c>
    </row>
    <row r="137">
      <c r="A137" s="62" t="s">
        <v>4673</v>
      </c>
      <c r="B137" s="62" t="s">
        <v>4677</v>
      </c>
      <c r="C137" s="62" t="s">
        <v>4675</v>
      </c>
    </row>
    <row r="138">
      <c r="A138" s="62" t="s">
        <v>5134</v>
      </c>
      <c r="B138" s="62" t="s">
        <v>5136</v>
      </c>
      <c r="C138" s="62" t="s">
        <v>5135</v>
      </c>
    </row>
    <row r="139">
      <c r="A139" s="62" t="s">
        <v>697</v>
      </c>
      <c r="B139" s="62" t="s">
        <v>699</v>
      </c>
      <c r="C139" s="62" t="s">
        <v>698</v>
      </c>
    </row>
    <row r="140">
      <c r="A140" s="62" t="s">
        <v>1988</v>
      </c>
      <c r="B140" s="62" t="s">
        <v>1990</v>
      </c>
      <c r="C140" s="62" t="s">
        <v>1989</v>
      </c>
    </row>
    <row r="141">
      <c r="A141" s="62" t="s">
        <v>2123</v>
      </c>
      <c r="B141" s="62" t="s">
        <v>2125</v>
      </c>
      <c r="C141" s="62" t="s">
        <v>2124</v>
      </c>
    </row>
    <row r="142">
      <c r="A142" s="62" t="s">
        <v>1139</v>
      </c>
      <c r="B142" s="62" t="s">
        <v>1142</v>
      </c>
      <c r="C142" s="62" t="s">
        <v>1141</v>
      </c>
    </row>
    <row r="143">
      <c r="A143" s="62" t="s">
        <v>5146</v>
      </c>
      <c r="B143" s="62" t="s">
        <v>5148</v>
      </c>
      <c r="C143" s="62" t="s">
        <v>5147</v>
      </c>
    </row>
    <row r="144">
      <c r="A144" s="62" t="s">
        <v>788</v>
      </c>
      <c r="B144" s="62" t="s">
        <v>790</v>
      </c>
      <c r="C144" s="62" t="s">
        <v>789</v>
      </c>
    </row>
    <row r="145">
      <c r="A145" s="62" t="s">
        <v>750</v>
      </c>
      <c r="B145" s="62" t="s">
        <v>753</v>
      </c>
      <c r="C145" s="62" t="s">
        <v>752</v>
      </c>
    </row>
    <row r="146">
      <c r="A146" s="62" t="s">
        <v>2378</v>
      </c>
      <c r="B146" s="62" t="s">
        <v>2380</v>
      </c>
      <c r="C146" s="62" t="s">
        <v>2379</v>
      </c>
    </row>
    <row r="147">
      <c r="A147" s="62" t="s">
        <v>196</v>
      </c>
      <c r="B147" s="62" t="s">
        <v>199</v>
      </c>
      <c r="C147" s="62" t="s">
        <v>197</v>
      </c>
    </row>
    <row r="148">
      <c r="A148" s="62" t="s">
        <v>147</v>
      </c>
      <c r="B148" s="62" t="s">
        <v>149</v>
      </c>
      <c r="C148" s="62" t="s">
        <v>148</v>
      </c>
    </row>
    <row r="149">
      <c r="A149" s="62" t="s">
        <v>170</v>
      </c>
      <c r="B149" s="62" t="s">
        <v>173</v>
      </c>
      <c r="C149" s="62" t="s">
        <v>172</v>
      </c>
    </row>
    <row r="150">
      <c r="A150" s="62" t="s">
        <v>252</v>
      </c>
      <c r="B150" s="62" t="s">
        <v>254</v>
      </c>
      <c r="C150" s="62" t="s">
        <v>253</v>
      </c>
    </row>
    <row r="151">
      <c r="A151" s="62" t="s">
        <v>227</v>
      </c>
      <c r="B151" s="62" t="s">
        <v>229</v>
      </c>
      <c r="C151" s="62" t="s">
        <v>228</v>
      </c>
    </row>
    <row r="152">
      <c r="A152" s="62" t="s">
        <v>212</v>
      </c>
      <c r="B152" s="62" t="s">
        <v>214</v>
      </c>
      <c r="C152" s="62" t="s">
        <v>213</v>
      </c>
    </row>
    <row r="153">
      <c r="A153" s="62" t="s">
        <v>460</v>
      </c>
      <c r="B153" s="62" t="s">
        <v>462</v>
      </c>
      <c r="C153" s="62" t="s">
        <v>461</v>
      </c>
    </row>
    <row r="154">
      <c r="A154" s="62" t="s">
        <v>626</v>
      </c>
      <c r="B154" s="62" t="s">
        <v>628</v>
      </c>
      <c r="C154" s="62" t="s">
        <v>627</v>
      </c>
    </row>
    <row r="155">
      <c r="A155" s="62" t="s">
        <v>3466</v>
      </c>
      <c r="B155" s="62" t="s">
        <v>3468</v>
      </c>
      <c r="C155" s="62" t="s">
        <v>3467</v>
      </c>
    </row>
    <row r="156">
      <c r="A156" s="62" t="s">
        <v>5242</v>
      </c>
      <c r="B156" s="62" t="s">
        <v>5244</v>
      </c>
      <c r="C156" s="62" t="s">
        <v>5243</v>
      </c>
    </row>
    <row r="157">
      <c r="A157" s="62" t="s">
        <v>4897</v>
      </c>
      <c r="B157" s="62" t="s">
        <v>4899</v>
      </c>
      <c r="C157" s="62" t="s">
        <v>4898</v>
      </c>
    </row>
    <row r="158">
      <c r="A158" s="62" t="s">
        <v>4139</v>
      </c>
      <c r="B158" s="62" t="s">
        <v>4141</v>
      </c>
      <c r="C158" s="62" t="s">
        <v>4140</v>
      </c>
    </row>
    <row r="159">
      <c r="A159" s="62" t="s">
        <v>3820</v>
      </c>
      <c r="B159" s="62" t="s">
        <v>3823</v>
      </c>
      <c r="C159" s="62" t="s">
        <v>3822</v>
      </c>
    </row>
    <row r="160">
      <c r="A160" s="62" t="s">
        <v>1819</v>
      </c>
      <c r="B160" s="62" t="s">
        <v>1822</v>
      </c>
      <c r="C160" s="62" t="s">
        <v>1820</v>
      </c>
    </row>
    <row r="161">
      <c r="A161" s="62" t="s">
        <v>5170</v>
      </c>
      <c r="B161" s="62" t="s">
        <v>5172</v>
      </c>
      <c r="C161" s="62" t="s">
        <v>5171</v>
      </c>
    </row>
    <row r="162">
      <c r="A162" s="62" t="s">
        <v>4187</v>
      </c>
      <c r="B162" s="62" t="s">
        <v>4189</v>
      </c>
      <c r="C162" s="62" t="s">
        <v>4188</v>
      </c>
    </row>
    <row r="163">
      <c r="A163" s="62" t="s">
        <v>5349</v>
      </c>
      <c r="B163" s="62" t="s">
        <v>5352</v>
      </c>
      <c r="C163" s="62" t="s">
        <v>5351</v>
      </c>
    </row>
    <row r="164">
      <c r="A164" s="62" t="s">
        <v>3506</v>
      </c>
      <c r="B164" s="62" t="s">
        <v>3509</v>
      </c>
      <c r="C164" s="62" t="s">
        <v>3508</v>
      </c>
    </row>
    <row r="165">
      <c r="A165" s="62" t="s">
        <v>5546</v>
      </c>
      <c r="B165" s="62" t="s">
        <v>5678</v>
      </c>
      <c r="C165" s="62" t="s">
        <v>5679</v>
      </c>
    </row>
    <row r="166">
      <c r="A166" s="62" t="s">
        <v>4658</v>
      </c>
      <c r="B166" s="62" t="s">
        <v>4662</v>
      </c>
      <c r="C166" s="62" t="s">
        <v>4659</v>
      </c>
    </row>
    <row r="167">
      <c r="A167" s="62" t="s">
        <v>5272</v>
      </c>
      <c r="B167" s="62" t="s">
        <v>5274</v>
      </c>
      <c r="C167" s="62" t="s">
        <v>5273</v>
      </c>
    </row>
    <row r="168">
      <c r="A168" s="62" t="s">
        <v>1235</v>
      </c>
      <c r="B168" s="62" t="s">
        <v>1238</v>
      </c>
      <c r="C168" s="62" t="s">
        <v>1236</v>
      </c>
    </row>
    <row r="169">
      <c r="A169" s="62" t="s">
        <v>4758</v>
      </c>
      <c r="B169" s="62" t="s">
        <v>4760</v>
      </c>
      <c r="C169" s="62" t="s">
        <v>4759</v>
      </c>
    </row>
    <row r="170">
      <c r="A170" s="62" t="s">
        <v>1400</v>
      </c>
      <c r="B170" s="62" t="s">
        <v>1402</v>
      </c>
      <c r="C170" s="62" t="s">
        <v>1401</v>
      </c>
    </row>
    <row r="171">
      <c r="A171" s="62" t="s">
        <v>1384</v>
      </c>
      <c r="B171" s="62" t="s">
        <v>1387</v>
      </c>
      <c r="C171" s="62" t="s">
        <v>1385</v>
      </c>
    </row>
    <row r="172">
      <c r="A172" s="62" t="s">
        <v>3092</v>
      </c>
      <c r="B172" s="62" t="s">
        <v>3094</v>
      </c>
      <c r="C172" s="62" t="s">
        <v>3093</v>
      </c>
    </row>
    <row r="173">
      <c r="A173" s="62" t="s">
        <v>4224</v>
      </c>
      <c r="B173" s="62" t="s">
        <v>4225</v>
      </c>
      <c r="C173" s="62" t="s">
        <v>3093</v>
      </c>
    </row>
    <row r="174">
      <c r="A174" s="62" t="s">
        <v>1754</v>
      </c>
      <c r="B174" s="62" t="s">
        <v>1756</v>
      </c>
      <c r="C174" s="62" t="s">
        <v>1755</v>
      </c>
    </row>
    <row r="175">
      <c r="A175" s="62" t="s">
        <v>714</v>
      </c>
      <c r="B175" s="62" t="s">
        <v>716</v>
      </c>
      <c r="C175" s="62" t="s">
        <v>715</v>
      </c>
    </row>
    <row r="176">
      <c r="A176" s="62" t="s">
        <v>3758</v>
      </c>
      <c r="B176" s="62" t="s">
        <v>5680</v>
      </c>
      <c r="C176" s="62" t="s">
        <v>5681</v>
      </c>
    </row>
    <row r="177">
      <c r="A177" s="62" t="s">
        <v>3533</v>
      </c>
      <c r="B177" s="62" t="s">
        <v>3535</v>
      </c>
      <c r="C177" s="62" t="s">
        <v>3534</v>
      </c>
    </row>
    <row r="178">
      <c r="A178" s="62" t="s">
        <v>3224</v>
      </c>
      <c r="B178" s="62" t="s">
        <v>3226</v>
      </c>
      <c r="C178" s="62" t="s">
        <v>3225</v>
      </c>
    </row>
    <row r="179">
      <c r="A179" s="62" t="s">
        <v>4094</v>
      </c>
      <c r="B179" s="62" t="s">
        <v>4096</v>
      </c>
      <c r="C179" s="62" t="s">
        <v>4095</v>
      </c>
    </row>
    <row r="180">
      <c r="A180" s="62" t="s">
        <v>582</v>
      </c>
      <c r="B180" s="62" t="s">
        <v>584</v>
      </c>
      <c r="C180" s="62" t="s">
        <v>583</v>
      </c>
    </row>
    <row r="181">
      <c r="A181" s="62" t="s">
        <v>729</v>
      </c>
      <c r="B181" s="62" t="s">
        <v>731</v>
      </c>
      <c r="C181" s="62" t="s">
        <v>730</v>
      </c>
    </row>
    <row r="182">
      <c r="A182" s="62" t="s">
        <v>740</v>
      </c>
      <c r="B182" s="62" t="s">
        <v>742</v>
      </c>
      <c r="C182" s="62" t="s">
        <v>741</v>
      </c>
    </row>
    <row r="183">
      <c r="A183" s="62" t="s">
        <v>3000</v>
      </c>
      <c r="B183" s="62" t="s">
        <v>3002</v>
      </c>
      <c r="C183" s="62" t="s">
        <v>3001</v>
      </c>
    </row>
    <row r="184">
      <c r="A184" s="62" t="s">
        <v>2954</v>
      </c>
      <c r="B184" s="62" t="s">
        <v>2956</v>
      </c>
      <c r="C184" s="62" t="s">
        <v>2955</v>
      </c>
    </row>
    <row r="185">
      <c r="A185" s="62" t="s">
        <v>2970</v>
      </c>
      <c r="B185" s="62" t="s">
        <v>2972</v>
      </c>
      <c r="C185" s="62" t="s">
        <v>2971</v>
      </c>
    </row>
    <row r="186">
      <c r="A186" s="62" t="s">
        <v>2740</v>
      </c>
      <c r="B186" s="62" t="s">
        <v>2745</v>
      </c>
      <c r="C186" s="62" t="s">
        <v>2742</v>
      </c>
    </row>
    <row r="187">
      <c r="A187" s="62" t="s">
        <v>5261</v>
      </c>
      <c r="B187" s="62" t="s">
        <v>5263</v>
      </c>
      <c r="C187" s="62" t="s">
        <v>5262</v>
      </c>
    </row>
    <row r="188">
      <c r="A188" s="62" t="s">
        <v>5198</v>
      </c>
      <c r="B188" s="62" t="s">
        <v>5200</v>
      </c>
      <c r="C188" s="62" t="s">
        <v>5199</v>
      </c>
    </row>
    <row r="189">
      <c r="A189" s="62" t="s">
        <v>4364</v>
      </c>
      <c r="B189" s="62" t="s">
        <v>4367</v>
      </c>
      <c r="C189" s="62" t="s">
        <v>4365</v>
      </c>
    </row>
    <row r="190">
      <c r="A190" s="62" t="s">
        <v>5310</v>
      </c>
      <c r="B190" s="62" t="s">
        <v>5312</v>
      </c>
      <c r="C190" s="62" t="s">
        <v>5311</v>
      </c>
    </row>
    <row r="191">
      <c r="A191" s="62" t="s">
        <v>3972</v>
      </c>
      <c r="B191" s="62" t="s">
        <v>3975</v>
      </c>
      <c r="C191" s="62" t="s">
        <v>3974</v>
      </c>
    </row>
    <row r="192">
      <c r="A192" s="62" t="s">
        <v>4554</v>
      </c>
      <c r="B192" s="62" t="s">
        <v>4556</v>
      </c>
      <c r="C192" s="62" t="s">
        <v>4555</v>
      </c>
    </row>
    <row r="193">
      <c r="A193" s="62" t="s">
        <v>3435</v>
      </c>
      <c r="B193" s="62" t="s">
        <v>3438</v>
      </c>
      <c r="C193" s="62" t="s">
        <v>3436</v>
      </c>
    </row>
    <row r="194">
      <c r="A194" s="62" t="s">
        <v>4494</v>
      </c>
      <c r="B194" s="62" t="s">
        <v>4496</v>
      </c>
      <c r="C194" s="62" t="s">
        <v>4495</v>
      </c>
    </row>
    <row r="195">
      <c r="A195" s="62" t="s">
        <v>4351</v>
      </c>
      <c r="B195" s="62" t="s">
        <v>4353</v>
      </c>
      <c r="C195" s="62" t="s">
        <v>4352</v>
      </c>
    </row>
    <row r="196">
      <c r="A196" s="62" t="s">
        <v>4830</v>
      </c>
      <c r="B196" s="62" t="s">
        <v>4831</v>
      </c>
      <c r="C196" s="62" t="s">
        <v>4795</v>
      </c>
    </row>
    <row r="197">
      <c r="A197" s="62" t="s">
        <v>4794</v>
      </c>
      <c r="B197" s="62" t="s">
        <v>4796</v>
      </c>
      <c r="C197" s="62" t="s">
        <v>4795</v>
      </c>
    </row>
    <row r="198">
      <c r="A198" s="62" t="s">
        <v>5192</v>
      </c>
      <c r="B198" s="62" t="s">
        <v>5193</v>
      </c>
      <c r="C198" s="62" t="s">
        <v>4314</v>
      </c>
    </row>
    <row r="199">
      <c r="A199" s="62" t="s">
        <v>4313</v>
      </c>
      <c r="B199" s="62" t="s">
        <v>4315</v>
      </c>
      <c r="C199" s="62" t="s">
        <v>4314</v>
      </c>
    </row>
    <row r="200">
      <c r="A200" s="62" t="s">
        <v>4990</v>
      </c>
      <c r="B200" s="62" t="s">
        <v>4992</v>
      </c>
      <c r="C200" s="62" t="s">
        <v>4991</v>
      </c>
    </row>
    <row r="201">
      <c r="A201" s="62" t="s">
        <v>3611</v>
      </c>
      <c r="B201" s="62" t="s">
        <v>3614</v>
      </c>
      <c r="C201" s="62" t="s">
        <v>3612</v>
      </c>
    </row>
    <row r="202">
      <c r="A202" s="62" t="s">
        <v>3347</v>
      </c>
      <c r="B202" s="62" t="s">
        <v>3349</v>
      </c>
      <c r="C202" s="62" t="s">
        <v>3348</v>
      </c>
    </row>
    <row r="203">
      <c r="A203" s="62" t="s">
        <v>1455</v>
      </c>
      <c r="B203" s="62" t="s">
        <v>1457</v>
      </c>
      <c r="C203" s="62" t="s">
        <v>1456</v>
      </c>
    </row>
    <row r="204">
      <c r="A204" s="62" t="s">
        <v>1502</v>
      </c>
      <c r="B204" s="62" t="s">
        <v>1503</v>
      </c>
      <c r="C204" s="62" t="s">
        <v>1456</v>
      </c>
    </row>
    <row r="205">
      <c r="A205" s="62" t="s">
        <v>5225</v>
      </c>
      <c r="B205" s="62" t="s">
        <v>5227</v>
      </c>
      <c r="C205" s="62" t="s">
        <v>5226</v>
      </c>
    </row>
    <row r="206">
      <c r="A206" s="62" t="s">
        <v>3276</v>
      </c>
      <c r="B206" s="62" t="s">
        <v>3278</v>
      </c>
      <c r="C206" s="62" t="s">
        <v>3277</v>
      </c>
    </row>
    <row r="207">
      <c r="A207" s="62" t="s">
        <v>1253</v>
      </c>
      <c r="B207" s="62" t="s">
        <v>1255</v>
      </c>
      <c r="C207" s="62" t="s">
        <v>1254</v>
      </c>
    </row>
    <row r="208">
      <c r="A208" s="62" t="s">
        <v>5650</v>
      </c>
      <c r="B208" s="62" t="s">
        <v>5682</v>
      </c>
      <c r="C208" s="62" t="s">
        <v>5683</v>
      </c>
    </row>
    <row r="209">
      <c r="A209" s="62" t="s">
        <v>5020</v>
      </c>
      <c r="B209" s="62" t="s">
        <v>5023</v>
      </c>
      <c r="C209" s="62" t="s">
        <v>5021</v>
      </c>
    </row>
    <row r="210">
      <c r="A210" s="62" t="s">
        <v>3597</v>
      </c>
      <c r="B210" s="62" t="s">
        <v>3599</v>
      </c>
      <c r="C210" s="62" t="s">
        <v>3598</v>
      </c>
    </row>
    <row r="211">
      <c r="A211" s="62" t="s">
        <v>3790</v>
      </c>
      <c r="B211" s="62" t="s">
        <v>3792</v>
      </c>
      <c r="C211" s="62" t="s">
        <v>3791</v>
      </c>
    </row>
    <row r="212">
      <c r="A212" s="62" t="s">
        <v>3962</v>
      </c>
      <c r="B212" s="62" t="s">
        <v>3964</v>
      </c>
      <c r="C212" s="62" t="s">
        <v>3963</v>
      </c>
    </row>
    <row r="213">
      <c r="A213" s="62" t="s">
        <v>4888</v>
      </c>
      <c r="B213" s="62" t="s">
        <v>4890</v>
      </c>
      <c r="C213" s="62" t="s">
        <v>4889</v>
      </c>
    </row>
    <row r="214">
      <c r="A214" s="62" t="s">
        <v>5013</v>
      </c>
      <c r="B214" s="62" t="s">
        <v>5015</v>
      </c>
      <c r="C214" s="62" t="s">
        <v>5014</v>
      </c>
    </row>
    <row r="215">
      <c r="A215" s="62" t="s">
        <v>3942</v>
      </c>
      <c r="B215" s="62" t="s">
        <v>3944</v>
      </c>
      <c r="C215" s="62" t="s">
        <v>3943</v>
      </c>
    </row>
    <row r="216">
      <c r="A216" s="62" t="s">
        <v>4969</v>
      </c>
      <c r="B216" s="62" t="s">
        <v>4971</v>
      </c>
      <c r="C216" s="62" t="s">
        <v>4970</v>
      </c>
    </row>
    <row r="217">
      <c r="A217" s="62" t="s">
        <v>2660</v>
      </c>
      <c r="B217" s="62" t="s">
        <v>2665</v>
      </c>
      <c r="C217" s="62" t="s">
        <v>2662</v>
      </c>
    </row>
    <row r="218">
      <c r="A218" s="62" t="s">
        <v>2660</v>
      </c>
      <c r="B218" s="62" t="s">
        <v>5684</v>
      </c>
      <c r="C218" s="62" t="s">
        <v>2662</v>
      </c>
    </row>
    <row r="219">
      <c r="A219" s="62" t="s">
        <v>2945</v>
      </c>
      <c r="B219" s="62" t="s">
        <v>2947</v>
      </c>
      <c r="C219" s="62" t="s">
        <v>2946</v>
      </c>
    </row>
    <row r="220">
      <c r="A220" s="62" t="s">
        <v>3145</v>
      </c>
      <c r="B220" s="62" t="s">
        <v>3147</v>
      </c>
      <c r="C220" s="62" t="s">
        <v>3146</v>
      </c>
    </row>
    <row r="221">
      <c r="A221" s="62" t="s">
        <v>4408</v>
      </c>
      <c r="B221" s="62" t="s">
        <v>4410</v>
      </c>
      <c r="C221" s="62" t="s">
        <v>4409</v>
      </c>
    </row>
    <row r="222">
      <c r="A222" s="62" t="s">
        <v>4588</v>
      </c>
      <c r="B222" s="62" t="s">
        <v>4590</v>
      </c>
      <c r="C222" s="62" t="s">
        <v>4589</v>
      </c>
    </row>
    <row r="223">
      <c r="A223" s="62" t="s">
        <v>4299</v>
      </c>
      <c r="B223" s="62" t="s">
        <v>4301</v>
      </c>
      <c r="C223" s="62" t="s">
        <v>4300</v>
      </c>
    </row>
    <row r="224">
      <c r="A224" s="62" t="s">
        <v>4401</v>
      </c>
      <c r="B224" s="62" t="s">
        <v>4403</v>
      </c>
      <c r="C224" s="62" t="s">
        <v>4402</v>
      </c>
    </row>
    <row r="225">
      <c r="A225" s="62" t="s">
        <v>5000</v>
      </c>
      <c r="B225" s="62" t="s">
        <v>5002</v>
      </c>
      <c r="C225" s="62" t="s">
        <v>5001</v>
      </c>
    </row>
    <row r="226">
      <c r="A226" s="62" t="s">
        <v>3998</v>
      </c>
      <c r="B226" s="62" t="s">
        <v>4000</v>
      </c>
      <c r="C226" s="62" t="s">
        <v>3999</v>
      </c>
    </row>
    <row r="227">
      <c r="A227" s="62" t="s">
        <v>3871</v>
      </c>
      <c r="B227" s="62" t="s">
        <v>3873</v>
      </c>
      <c r="C227" s="62" t="s">
        <v>3872</v>
      </c>
    </row>
    <row r="228">
      <c r="A228" s="62" t="s">
        <v>5296</v>
      </c>
      <c r="B228" s="62" t="s">
        <v>5298</v>
      </c>
      <c r="C228" s="62" t="s">
        <v>5297</v>
      </c>
    </row>
    <row r="229">
      <c r="A229" s="62" t="s">
        <v>5392</v>
      </c>
      <c r="B229" s="62" t="s">
        <v>5393</v>
      </c>
      <c r="C229" s="62" t="s">
        <v>5297</v>
      </c>
    </row>
    <row r="230">
      <c r="A230" s="62" t="s">
        <v>3114</v>
      </c>
      <c r="B230" s="62" t="s">
        <v>3116</v>
      </c>
      <c r="C230" s="62" t="s">
        <v>3115</v>
      </c>
    </row>
    <row r="231">
      <c r="A231" s="62" t="s">
        <v>5284</v>
      </c>
      <c r="B231" s="62" t="s">
        <v>5286</v>
      </c>
      <c r="C231" s="62" t="s">
        <v>5285</v>
      </c>
    </row>
    <row r="232">
      <c r="A232" s="62" t="s">
        <v>2858</v>
      </c>
      <c r="B232" s="62" t="s">
        <v>2861</v>
      </c>
      <c r="C232" s="62" t="s">
        <v>2859</v>
      </c>
    </row>
    <row r="233">
      <c r="A233" s="62" t="s">
        <v>2858</v>
      </c>
      <c r="B233" s="62" t="s">
        <v>5685</v>
      </c>
      <c r="C233" s="62" t="s">
        <v>2859</v>
      </c>
    </row>
    <row r="234">
      <c r="A234" s="62" t="s">
        <v>4235</v>
      </c>
      <c r="B234" s="62" t="s">
        <v>4237</v>
      </c>
      <c r="C234" s="62" t="s">
        <v>4236</v>
      </c>
    </row>
    <row r="235">
      <c r="A235" s="62" t="s">
        <v>3491</v>
      </c>
      <c r="B235" s="62" t="s">
        <v>3493</v>
      </c>
      <c r="C235" s="62" t="s">
        <v>3492</v>
      </c>
    </row>
    <row r="236">
      <c r="A236" s="62" t="s">
        <v>3491</v>
      </c>
      <c r="B236" s="62" t="s">
        <v>5686</v>
      </c>
      <c r="C236" s="62" t="s">
        <v>3492</v>
      </c>
    </row>
    <row r="237">
      <c r="A237" s="62" t="s">
        <v>4151</v>
      </c>
      <c r="B237" s="62" t="s">
        <v>4153</v>
      </c>
      <c r="C237" s="62" t="s">
        <v>4152</v>
      </c>
    </row>
    <row r="238">
      <c r="A238" s="62" t="s">
        <v>4151</v>
      </c>
      <c r="B238" s="62" t="s">
        <v>5687</v>
      </c>
      <c r="C238" s="62" t="s">
        <v>4152</v>
      </c>
    </row>
    <row r="239">
      <c r="A239" s="62" t="s">
        <v>3804</v>
      </c>
      <c r="B239" s="62" t="s">
        <v>3806</v>
      </c>
      <c r="C239" s="62" t="s">
        <v>3805</v>
      </c>
    </row>
    <row r="240">
      <c r="A240" s="62" t="s">
        <v>5158</v>
      </c>
      <c r="B240" s="62" t="s">
        <v>5160</v>
      </c>
      <c r="C240" s="62" t="s">
        <v>5159</v>
      </c>
    </row>
    <row r="241">
      <c r="A241" s="62" t="s">
        <v>4818</v>
      </c>
      <c r="B241" s="62" t="s">
        <v>4820</v>
      </c>
      <c r="C241" s="62" t="s">
        <v>4819</v>
      </c>
    </row>
    <row r="242">
      <c r="A242" s="62" t="s">
        <v>3331</v>
      </c>
      <c r="B242" s="62" t="s">
        <v>3333</v>
      </c>
      <c r="C242" s="62" t="s">
        <v>3332</v>
      </c>
    </row>
    <row r="243">
      <c r="A243" s="62" t="s">
        <v>4056</v>
      </c>
      <c r="B243" s="62" t="s">
        <v>4059</v>
      </c>
      <c r="C243" s="62" t="s">
        <v>4057</v>
      </c>
    </row>
    <row r="244">
      <c r="A244" s="62" t="s">
        <v>4536</v>
      </c>
      <c r="B244" s="62" t="s">
        <v>4538</v>
      </c>
      <c r="C244" s="62" t="s">
        <v>4537</v>
      </c>
    </row>
    <row r="245">
      <c r="A245" s="62" t="s">
        <v>3021</v>
      </c>
      <c r="B245" s="62" t="s">
        <v>3023</v>
      </c>
      <c r="C245" s="62" t="s">
        <v>3022</v>
      </c>
    </row>
    <row r="246">
      <c r="A246" s="62" t="s">
        <v>4265</v>
      </c>
      <c r="B246" s="62" t="s">
        <v>4267</v>
      </c>
      <c r="C246" s="62" t="s">
        <v>4266</v>
      </c>
    </row>
    <row r="247">
      <c r="A247" s="62" t="s">
        <v>3413</v>
      </c>
      <c r="B247" s="62" t="s">
        <v>3415</v>
      </c>
      <c r="C247" s="62" t="s">
        <v>3414</v>
      </c>
    </row>
    <row r="248">
      <c r="A248" s="62" t="s">
        <v>3369</v>
      </c>
      <c r="B248" s="62" t="s">
        <v>3371</v>
      </c>
      <c r="C248" s="62" t="s">
        <v>3370</v>
      </c>
    </row>
    <row r="249">
      <c r="A249" s="62" t="s">
        <v>3156</v>
      </c>
      <c r="B249" s="62" t="s">
        <v>3159</v>
      </c>
      <c r="C249" s="62" t="s">
        <v>3157</v>
      </c>
    </row>
    <row r="250">
      <c r="A250" s="62" t="s">
        <v>3738</v>
      </c>
      <c r="B250" s="62" t="s">
        <v>3740</v>
      </c>
      <c r="C250" s="62" t="s">
        <v>3739</v>
      </c>
    </row>
    <row r="251">
      <c r="A251" s="62" t="s">
        <v>4174</v>
      </c>
      <c r="B251" s="62" t="s">
        <v>4175</v>
      </c>
      <c r="C251" s="62" t="s">
        <v>3739</v>
      </c>
    </row>
    <row r="252">
      <c r="A252" s="62" t="s">
        <v>1514</v>
      </c>
      <c r="B252" s="62" t="s">
        <v>1516</v>
      </c>
      <c r="C252" s="62" t="s">
        <v>1515</v>
      </c>
    </row>
    <row r="253">
      <c r="A253" s="62" t="s">
        <v>680</v>
      </c>
      <c r="B253" s="62" t="s">
        <v>683</v>
      </c>
      <c r="C253" s="62" t="s">
        <v>681</v>
      </c>
    </row>
    <row r="254">
      <c r="A254" s="62" t="s">
        <v>441</v>
      </c>
      <c r="B254" s="62" t="s">
        <v>445</v>
      </c>
      <c r="C254" s="62" t="s">
        <v>442</v>
      </c>
    </row>
    <row r="255">
      <c r="A255" s="62" t="s">
        <v>4388</v>
      </c>
      <c r="B255" s="62" t="s">
        <v>4391</v>
      </c>
      <c r="C255" s="62" t="s">
        <v>4390</v>
      </c>
    </row>
    <row r="256">
      <c r="A256" s="62" t="s">
        <v>5212</v>
      </c>
      <c r="B256" s="62" t="s">
        <v>5216</v>
      </c>
      <c r="C256" s="62" t="s">
        <v>5214</v>
      </c>
    </row>
    <row r="257">
      <c r="A257" s="62" t="s">
        <v>1547</v>
      </c>
      <c r="B257" s="62" t="s">
        <v>1549</v>
      </c>
      <c r="C257" s="62" t="s">
        <v>1548</v>
      </c>
    </row>
    <row r="258">
      <c r="A258" s="62" t="s">
        <v>1527</v>
      </c>
      <c r="B258" s="62" t="s">
        <v>1531</v>
      </c>
      <c r="C258" s="62" t="s">
        <v>1528</v>
      </c>
    </row>
    <row r="259">
      <c r="A259" s="62" t="s">
        <v>186</v>
      </c>
      <c r="B259" s="62" t="s">
        <v>189</v>
      </c>
      <c r="C259" s="62" t="s">
        <v>120</v>
      </c>
    </row>
    <row r="260">
      <c r="A260" s="62" t="s">
        <v>117</v>
      </c>
      <c r="B260" s="62" t="s">
        <v>123</v>
      </c>
      <c r="C260" s="62" t="s">
        <v>120</v>
      </c>
    </row>
    <row r="261">
      <c r="A261" s="62" t="s">
        <v>1007</v>
      </c>
      <c r="B261" s="62" t="s">
        <v>1010</v>
      </c>
      <c r="C261" s="62" t="s">
        <v>1008</v>
      </c>
    </row>
    <row r="262">
      <c r="A262" s="62" t="s">
        <v>1606</v>
      </c>
      <c r="B262" s="62" t="s">
        <v>1609</v>
      </c>
      <c r="C262" s="62" t="s">
        <v>1607</v>
      </c>
    </row>
    <row r="263">
      <c r="A263" s="62" t="s">
        <v>4239</v>
      </c>
      <c r="B263" s="62" t="s">
        <v>4241</v>
      </c>
      <c r="C263" s="62" t="s">
        <v>4240</v>
      </c>
    </row>
    <row r="264">
      <c r="A264" s="62" t="s">
        <v>1474</v>
      </c>
      <c r="B264" s="62" t="s">
        <v>1476</v>
      </c>
      <c r="C264" s="62" t="s">
        <v>1475</v>
      </c>
    </row>
    <row r="265">
      <c r="A265" s="62" t="s">
        <v>3243</v>
      </c>
      <c r="B265" s="62" t="s">
        <v>3245</v>
      </c>
      <c r="C265" s="62" t="s">
        <v>3244</v>
      </c>
    </row>
    <row r="266">
      <c r="A266" s="62" t="s">
        <v>4279</v>
      </c>
      <c r="B266" s="62" t="s">
        <v>4282</v>
      </c>
      <c r="C266" s="62" t="s">
        <v>4281</v>
      </c>
    </row>
    <row r="267">
      <c r="A267" s="62" t="s">
        <v>4115</v>
      </c>
      <c r="B267" s="62" t="s">
        <v>4117</v>
      </c>
      <c r="C267" s="62" t="s">
        <v>4116</v>
      </c>
    </row>
    <row r="268">
      <c r="A268" s="62" t="s">
        <v>1411</v>
      </c>
      <c r="B268" s="62" t="s">
        <v>1413</v>
      </c>
      <c r="C268" s="62" t="s">
        <v>1412</v>
      </c>
    </row>
    <row r="269">
      <c r="A269" s="62" t="s">
        <v>3913</v>
      </c>
      <c r="B269" s="62" t="s">
        <v>3916</v>
      </c>
      <c r="C269" s="62" t="s">
        <v>3915</v>
      </c>
    </row>
    <row r="270">
      <c r="A270" s="62" t="s">
        <v>5044</v>
      </c>
      <c r="B270" s="62" t="s">
        <v>5046</v>
      </c>
      <c r="C270" s="62" t="s">
        <v>5045</v>
      </c>
    </row>
    <row r="271">
      <c r="A271" s="62" t="s">
        <v>5095</v>
      </c>
      <c r="B271" s="62" t="s">
        <v>5097</v>
      </c>
      <c r="C271" s="62" t="s">
        <v>5096</v>
      </c>
    </row>
    <row r="272">
      <c r="A272" s="62" t="s">
        <v>5123</v>
      </c>
      <c r="B272" s="62" t="s">
        <v>5125</v>
      </c>
      <c r="C272" s="62" t="s">
        <v>5124</v>
      </c>
    </row>
    <row r="273">
      <c r="A273" s="62" t="s">
        <v>4567</v>
      </c>
      <c r="B273" s="62" t="s">
        <v>4569</v>
      </c>
      <c r="C273" s="62" t="s">
        <v>4568</v>
      </c>
    </row>
    <row r="274">
      <c r="A274" s="62" t="s">
        <v>4438</v>
      </c>
      <c r="B274" s="62" t="s">
        <v>4440</v>
      </c>
      <c r="C274" s="62" t="s">
        <v>4439</v>
      </c>
    </row>
    <row r="275">
      <c r="A275" s="62" t="s">
        <v>4980</v>
      </c>
      <c r="B275" s="62" t="s">
        <v>4981</v>
      </c>
      <c r="C275" s="62" t="s">
        <v>4439</v>
      </c>
    </row>
    <row r="276">
      <c r="A276" s="62" t="s">
        <v>3762</v>
      </c>
      <c r="B276" s="62" t="s">
        <v>3764</v>
      </c>
      <c r="C276" s="62" t="s">
        <v>3763</v>
      </c>
    </row>
    <row r="277">
      <c r="A277" s="62" t="s">
        <v>4716</v>
      </c>
      <c r="B277" s="62" t="s">
        <v>4718</v>
      </c>
      <c r="C277" s="62" t="s">
        <v>4717</v>
      </c>
    </row>
    <row r="278">
      <c r="A278" s="62" t="s">
        <v>2701</v>
      </c>
      <c r="B278" s="62" t="s">
        <v>2704</v>
      </c>
      <c r="C278" s="62" t="s">
        <v>2702</v>
      </c>
    </row>
    <row r="279">
      <c r="A279" s="62" t="s">
        <v>2701</v>
      </c>
      <c r="B279" s="62" t="s">
        <v>5688</v>
      </c>
      <c r="C279" s="62" t="s">
        <v>2702</v>
      </c>
    </row>
    <row r="280">
      <c r="A280" s="62" t="s">
        <v>4603</v>
      </c>
      <c r="B280" s="62" t="s">
        <v>4605</v>
      </c>
      <c r="C280" s="62" t="s">
        <v>4604</v>
      </c>
    </row>
    <row r="281">
      <c r="A281" s="62" t="s">
        <v>2732</v>
      </c>
      <c r="B281" s="62" t="s">
        <v>2734</v>
      </c>
      <c r="C281" s="62" t="s">
        <v>2733</v>
      </c>
    </row>
    <row r="282">
      <c r="A282" s="62" t="s">
        <v>3645</v>
      </c>
      <c r="B282" s="62" t="s">
        <v>3648</v>
      </c>
      <c r="C282" s="62" t="s">
        <v>3647</v>
      </c>
    </row>
    <row r="283">
      <c r="A283" s="62" t="s">
        <v>4836</v>
      </c>
      <c r="B283" s="62" t="s">
        <v>4838</v>
      </c>
      <c r="C283" s="62" t="s">
        <v>4837</v>
      </c>
    </row>
    <row r="284">
      <c r="A284" s="62" t="s">
        <v>5031</v>
      </c>
      <c r="B284" s="62" t="s">
        <v>5033</v>
      </c>
      <c r="C284" s="62" t="s">
        <v>5032</v>
      </c>
    </row>
    <row r="285">
      <c r="A285" s="62" t="s">
        <v>4780</v>
      </c>
      <c r="B285" s="62" t="s">
        <v>4782</v>
      </c>
      <c r="C285" s="62" t="s">
        <v>4781</v>
      </c>
    </row>
    <row r="286">
      <c r="A286" s="62" t="s">
        <v>4804</v>
      </c>
      <c r="B286" s="62" t="s">
        <v>4806</v>
      </c>
      <c r="C286" s="62" t="s">
        <v>4805</v>
      </c>
    </row>
    <row r="287">
      <c r="A287" s="62" t="s">
        <v>2764</v>
      </c>
      <c r="B287" s="62" t="s">
        <v>2767</v>
      </c>
      <c r="C287" s="62" t="s">
        <v>2765</v>
      </c>
    </row>
    <row r="288">
      <c r="A288" s="62" t="s">
        <v>3552</v>
      </c>
      <c r="B288" s="62" t="s">
        <v>3554</v>
      </c>
      <c r="C288" s="62" t="s">
        <v>3553</v>
      </c>
    </row>
    <row r="289">
      <c r="A289" s="62" t="s">
        <v>3322</v>
      </c>
      <c r="B289" s="62" t="s">
        <v>3324</v>
      </c>
      <c r="C289" s="62" t="s">
        <v>3323</v>
      </c>
    </row>
    <row r="290">
      <c r="A290" s="62" t="s">
        <v>3322</v>
      </c>
      <c r="B290" s="62" t="s">
        <v>5689</v>
      </c>
      <c r="C290" s="62" t="s">
        <v>3323</v>
      </c>
    </row>
    <row r="291">
      <c r="A291" s="62" t="s">
        <v>3901</v>
      </c>
      <c r="B291" s="62" t="s">
        <v>3903</v>
      </c>
      <c r="C291" s="62" t="s">
        <v>3902</v>
      </c>
    </row>
    <row r="292">
      <c r="A292" s="62" t="s">
        <v>3131</v>
      </c>
      <c r="B292" s="62" t="s">
        <v>3133</v>
      </c>
      <c r="C292" s="62" t="s">
        <v>3132</v>
      </c>
    </row>
    <row r="293">
      <c r="A293" s="62" t="s">
        <v>2716</v>
      </c>
      <c r="B293" s="62" t="s">
        <v>2719</v>
      </c>
      <c r="C293" s="62" t="s">
        <v>2717</v>
      </c>
    </row>
    <row r="294">
      <c r="A294" s="62" t="s">
        <v>3179</v>
      </c>
      <c r="B294" s="62" t="s">
        <v>3181</v>
      </c>
      <c r="C294" s="62" t="s">
        <v>3180</v>
      </c>
    </row>
    <row r="295">
      <c r="A295" s="62" t="s">
        <v>3930</v>
      </c>
      <c r="B295" s="62" t="s">
        <v>3932</v>
      </c>
      <c r="C295" s="62" t="s">
        <v>3931</v>
      </c>
    </row>
    <row r="296">
      <c r="A296" s="62" t="s">
        <v>3952</v>
      </c>
      <c r="B296" s="62" t="s">
        <v>3954</v>
      </c>
      <c r="C296" s="62" t="s">
        <v>3953</v>
      </c>
    </row>
    <row r="297">
      <c r="A297" s="62" t="s">
        <v>4036</v>
      </c>
      <c r="B297" s="62" t="s">
        <v>4038</v>
      </c>
      <c r="C297" s="62" t="s">
        <v>4037</v>
      </c>
    </row>
    <row r="298">
      <c r="A298" s="62" t="s">
        <v>3187</v>
      </c>
      <c r="B298" s="62" t="s">
        <v>3189</v>
      </c>
      <c r="C298" s="62" t="s">
        <v>3188</v>
      </c>
    </row>
    <row r="299">
      <c r="A299" s="62" t="s">
        <v>2907</v>
      </c>
      <c r="B299" s="62" t="s">
        <v>2909</v>
      </c>
      <c r="C299" s="62" t="s">
        <v>2908</v>
      </c>
    </row>
    <row r="300">
      <c r="A300" s="62" t="s">
        <v>4580</v>
      </c>
      <c r="B300" s="62" t="s">
        <v>4582</v>
      </c>
      <c r="C300" s="62" t="s">
        <v>4581</v>
      </c>
    </row>
    <row r="301">
      <c r="A301" s="62" t="s">
        <v>3695</v>
      </c>
      <c r="B301" s="62" t="s">
        <v>3698</v>
      </c>
      <c r="C301" s="62" t="s">
        <v>3696</v>
      </c>
    </row>
    <row r="302">
      <c r="A302" s="62" t="s">
        <v>3695</v>
      </c>
      <c r="B302" s="62" t="s">
        <v>5690</v>
      </c>
      <c r="C302" s="62" t="s">
        <v>3696</v>
      </c>
    </row>
    <row r="303">
      <c r="A303" s="62" t="s">
        <v>4956</v>
      </c>
      <c r="B303" s="62" t="s">
        <v>4958</v>
      </c>
      <c r="C303" s="62" t="s">
        <v>4957</v>
      </c>
    </row>
    <row r="304">
      <c r="A304" s="62" t="s">
        <v>4930</v>
      </c>
      <c r="B304" s="62" t="s">
        <v>4932</v>
      </c>
      <c r="C304" s="62" t="s">
        <v>4931</v>
      </c>
    </row>
    <row r="305">
      <c r="A305" s="62" t="s">
        <v>4006</v>
      </c>
      <c r="B305" s="62" t="s">
        <v>4008</v>
      </c>
      <c r="C305" s="62" t="s">
        <v>4007</v>
      </c>
    </row>
    <row r="306">
      <c r="A306" s="62" t="s">
        <v>3712</v>
      </c>
      <c r="B306" s="62" t="s">
        <v>3714</v>
      </c>
      <c r="C306" s="62" t="s">
        <v>3713</v>
      </c>
    </row>
    <row r="307">
      <c r="A307" s="62" t="s">
        <v>5081</v>
      </c>
      <c r="B307" s="62" t="s">
        <v>5084</v>
      </c>
      <c r="C307" s="62" t="s">
        <v>5082</v>
      </c>
    </row>
    <row r="308">
      <c r="A308" s="62" t="s">
        <v>4875</v>
      </c>
      <c r="B308" s="62" t="s">
        <v>4877</v>
      </c>
      <c r="C308" s="62" t="s">
        <v>4876</v>
      </c>
    </row>
    <row r="309">
      <c r="A309" s="62" t="s">
        <v>4749</v>
      </c>
      <c r="B309" s="62" t="s">
        <v>4750</v>
      </c>
      <c r="C309" s="62" t="s">
        <v>4162</v>
      </c>
    </row>
    <row r="310">
      <c r="A310" s="62" t="s">
        <v>4161</v>
      </c>
      <c r="B310" s="62" t="s">
        <v>4163</v>
      </c>
      <c r="C310" s="62" t="s">
        <v>4162</v>
      </c>
    </row>
    <row r="311">
      <c r="A311" s="62" t="s">
        <v>4943</v>
      </c>
      <c r="B311" s="62" t="s">
        <v>4945</v>
      </c>
      <c r="C311" s="62" t="s">
        <v>4944</v>
      </c>
    </row>
    <row r="312">
      <c r="A312" s="62" t="s">
        <v>2982</v>
      </c>
      <c r="B312" s="62" t="s">
        <v>2985</v>
      </c>
      <c r="C312" s="62" t="s">
        <v>2983</v>
      </c>
    </row>
    <row r="313">
      <c r="A313" s="62" t="s">
        <v>3886</v>
      </c>
      <c r="B313" s="62" t="s">
        <v>3889</v>
      </c>
      <c r="C313" s="62" t="s">
        <v>3887</v>
      </c>
    </row>
    <row r="314">
      <c r="A314" s="62" t="s">
        <v>5397</v>
      </c>
      <c r="B314" s="62" t="s">
        <v>5398</v>
      </c>
      <c r="C314" s="62" t="s">
        <v>4023</v>
      </c>
    </row>
    <row r="315">
      <c r="A315" s="62" t="s">
        <v>4022</v>
      </c>
      <c r="B315" s="62" t="s">
        <v>4024</v>
      </c>
      <c r="C315" s="62" t="s">
        <v>4023</v>
      </c>
    </row>
    <row r="316">
      <c r="A316" s="62" t="s">
        <v>4863</v>
      </c>
      <c r="B316" s="62" t="s">
        <v>4865</v>
      </c>
      <c r="C316" s="62" t="s">
        <v>4864</v>
      </c>
    </row>
    <row r="317">
      <c r="A317" s="62" t="s">
        <v>4466</v>
      </c>
      <c r="B317" s="62" t="s">
        <v>4468</v>
      </c>
      <c r="C317" s="62" t="s">
        <v>4467</v>
      </c>
    </row>
    <row r="318">
      <c r="A318" s="62" t="s">
        <v>5110</v>
      </c>
      <c r="B318" s="62" t="s">
        <v>5112</v>
      </c>
      <c r="C318" s="62" t="s">
        <v>5111</v>
      </c>
    </row>
    <row r="319">
      <c r="A319" s="62" t="s">
        <v>2682</v>
      </c>
      <c r="B319" s="62" t="s">
        <v>2685</v>
      </c>
      <c r="C319" s="62" t="s">
        <v>2683</v>
      </c>
    </row>
    <row r="320">
      <c r="A320" s="62" t="s">
        <v>3905</v>
      </c>
      <c r="B320" s="62" t="s">
        <v>3907</v>
      </c>
      <c r="C320" s="62" t="s">
        <v>3906</v>
      </c>
    </row>
    <row r="321">
      <c r="A321" s="62" t="s">
        <v>3560</v>
      </c>
      <c r="B321" s="62" t="s">
        <v>3563</v>
      </c>
      <c r="C321" s="62" t="s">
        <v>3561</v>
      </c>
    </row>
    <row r="322">
      <c r="A322" s="62" t="s">
        <v>2890</v>
      </c>
      <c r="B322" s="62" t="s">
        <v>2893</v>
      </c>
      <c r="C322" s="62" t="s">
        <v>2891</v>
      </c>
    </row>
    <row r="323">
      <c r="A323" s="62" t="s">
        <v>5066</v>
      </c>
      <c r="B323" s="62" t="s">
        <v>5068</v>
      </c>
      <c r="C323" s="62" t="s">
        <v>5067</v>
      </c>
    </row>
    <row r="324">
      <c r="A324" s="62" t="s">
        <v>3798</v>
      </c>
      <c r="B324" s="62" t="s">
        <v>3799</v>
      </c>
      <c r="C324" s="62" t="s">
        <v>3451</v>
      </c>
    </row>
    <row r="325">
      <c r="A325" s="62" t="s">
        <v>3450</v>
      </c>
      <c r="B325" s="62" t="s">
        <v>3452</v>
      </c>
      <c r="C325" s="62" t="s">
        <v>3451</v>
      </c>
    </row>
    <row r="326">
      <c r="A326" s="62" t="s">
        <v>4043</v>
      </c>
      <c r="B326" s="62" t="s">
        <v>4046</v>
      </c>
      <c r="C326" s="62" t="s">
        <v>4044</v>
      </c>
    </row>
    <row r="327">
      <c r="A327" s="62" t="s">
        <v>5055</v>
      </c>
      <c r="B327" s="62" t="s">
        <v>5057</v>
      </c>
      <c r="C327" s="62" t="s">
        <v>5056</v>
      </c>
    </row>
    <row r="328">
      <c r="A328" s="62" t="s">
        <v>4630</v>
      </c>
      <c r="B328" s="62" t="s">
        <v>4632</v>
      </c>
      <c r="C328" s="62" t="s">
        <v>4631</v>
      </c>
    </row>
    <row r="329">
      <c r="A329" s="62" t="s">
        <v>4522</v>
      </c>
      <c r="B329" s="62" t="s">
        <v>4524</v>
      </c>
      <c r="C329" s="62" t="s">
        <v>4523</v>
      </c>
    </row>
    <row r="330">
      <c r="A330" s="62" t="s">
        <v>3777</v>
      </c>
      <c r="B330" s="62" t="s">
        <v>3779</v>
      </c>
      <c r="C330" s="62" t="s">
        <v>3778</v>
      </c>
    </row>
    <row r="331">
      <c r="A331" s="62" t="s">
        <v>4453</v>
      </c>
      <c r="B331" s="62" t="s">
        <v>4455</v>
      </c>
      <c r="C331" s="62" t="s">
        <v>4454</v>
      </c>
    </row>
    <row r="332">
      <c r="A332" s="62" t="s">
        <v>3389</v>
      </c>
      <c r="B332" s="62" t="s">
        <v>3390</v>
      </c>
      <c r="C332" s="62" t="s">
        <v>2875</v>
      </c>
    </row>
    <row r="333">
      <c r="A333" s="62" t="s">
        <v>2874</v>
      </c>
      <c r="B333" s="62" t="s">
        <v>2877</v>
      </c>
      <c r="C333" s="62" t="s">
        <v>2875</v>
      </c>
    </row>
    <row r="334">
      <c r="A334" s="62" t="s">
        <v>264</v>
      </c>
      <c r="B334" s="62" t="s">
        <v>267</v>
      </c>
      <c r="C334" s="62" t="s">
        <v>265</v>
      </c>
    </row>
    <row r="335">
      <c r="A335" s="62" t="s">
        <v>2781</v>
      </c>
      <c r="B335" s="62" t="s">
        <v>2784</v>
      </c>
      <c r="C335" s="62" t="s">
        <v>2782</v>
      </c>
    </row>
    <row r="336">
      <c r="A336" s="62" t="s">
        <v>1628</v>
      </c>
      <c r="B336" s="62" t="s">
        <v>1631</v>
      </c>
      <c r="C336" s="62" t="s">
        <v>1629</v>
      </c>
    </row>
    <row r="337">
      <c r="A337" s="62" t="s">
        <v>1655</v>
      </c>
      <c r="B337" s="62" t="s">
        <v>1658</v>
      </c>
      <c r="C337" s="62" t="s">
        <v>1657</v>
      </c>
    </row>
    <row r="338">
      <c r="A338" s="62" t="s">
        <v>4610</v>
      </c>
      <c r="B338" s="62" t="s">
        <v>4612</v>
      </c>
      <c r="C338" s="62" t="s">
        <v>4611</v>
      </c>
    </row>
    <row r="339">
      <c r="A339" s="62" t="s">
        <v>4610</v>
      </c>
      <c r="B339" s="62" t="s">
        <v>5691</v>
      </c>
      <c r="C339" s="62" t="s">
        <v>4611</v>
      </c>
    </row>
    <row r="340">
      <c r="A340" s="62" t="s">
        <v>4691</v>
      </c>
      <c r="B340" s="62" t="s">
        <v>4694</v>
      </c>
      <c r="C340" s="62" t="s">
        <v>4693</v>
      </c>
    </row>
    <row r="341">
      <c r="A341" s="62" t="s">
        <v>3301</v>
      </c>
      <c r="B341" s="62" t="s">
        <v>3303</v>
      </c>
      <c r="C341" s="62" t="s">
        <v>3302</v>
      </c>
    </row>
    <row r="342">
      <c r="A342" s="62" t="s">
        <v>4070</v>
      </c>
      <c r="B342" s="62" t="s">
        <v>4072</v>
      </c>
      <c r="C342" s="62" t="s">
        <v>4071</v>
      </c>
    </row>
    <row r="343">
      <c r="A343" s="62" t="s">
        <v>4736</v>
      </c>
      <c r="B343" s="62" t="s">
        <v>4738</v>
      </c>
      <c r="C343" s="62" t="s">
        <v>4737</v>
      </c>
    </row>
    <row r="344">
      <c r="A344" s="62" t="s">
        <v>311</v>
      </c>
      <c r="B344" s="62" t="s">
        <v>313</v>
      </c>
      <c r="C344" s="62" t="s">
        <v>312</v>
      </c>
    </row>
    <row r="345">
      <c r="A345" s="62" t="s">
        <v>1801</v>
      </c>
      <c r="B345" s="62" t="s">
        <v>1804</v>
      </c>
      <c r="C345" s="62" t="s">
        <v>1802</v>
      </c>
    </row>
    <row r="346">
      <c r="A346" s="62" t="s">
        <v>282</v>
      </c>
      <c r="B346" s="62" t="s">
        <v>288</v>
      </c>
      <c r="C346" s="62" t="s">
        <v>285</v>
      </c>
    </row>
    <row r="347">
      <c r="A347" s="62" t="s">
        <v>338</v>
      </c>
      <c r="B347" s="62" t="s">
        <v>341</v>
      </c>
      <c r="C347" s="62" t="s">
        <v>340</v>
      </c>
    </row>
    <row r="348">
      <c r="A348" s="62" t="s">
        <v>2919</v>
      </c>
      <c r="B348" s="62" t="s">
        <v>2921</v>
      </c>
      <c r="C348" s="62" t="s">
        <v>2920</v>
      </c>
    </row>
    <row r="349">
      <c r="A349" s="62" t="s">
        <v>1373</v>
      </c>
      <c r="B349" s="62" t="s">
        <v>1375</v>
      </c>
      <c r="C349" s="62" t="s">
        <v>1374</v>
      </c>
    </row>
    <row r="350">
      <c r="A350" s="62" t="s">
        <v>1351</v>
      </c>
      <c r="B350" s="62" t="s">
        <v>1355</v>
      </c>
      <c r="C350" s="62" t="s">
        <v>1353</v>
      </c>
    </row>
    <row r="351">
      <c r="A351" s="62" t="s">
        <v>4206</v>
      </c>
      <c r="B351" s="62" t="s">
        <v>4208</v>
      </c>
      <c r="C351" s="62" t="s">
        <v>4207</v>
      </c>
    </row>
    <row r="352">
      <c r="A352" s="62" t="s">
        <v>5547</v>
      </c>
      <c r="B352" s="62" t="s">
        <v>5692</v>
      </c>
      <c r="C352" s="62" t="s">
        <v>5548</v>
      </c>
    </row>
    <row r="353">
      <c r="A353" s="62" t="s">
        <v>3760</v>
      </c>
      <c r="B353" s="62" t="s">
        <v>5693</v>
      </c>
      <c r="C353" s="62" t="s">
        <v>5694</v>
      </c>
    </row>
    <row r="354">
      <c r="A354" s="62" t="s">
        <v>3045</v>
      </c>
      <c r="B354" s="62" t="s">
        <v>3047</v>
      </c>
      <c r="C354" s="62" t="s">
        <v>3046</v>
      </c>
    </row>
    <row r="355">
      <c r="A355" s="62" t="s">
        <v>4325</v>
      </c>
      <c r="B355" s="62" t="s">
        <v>4327</v>
      </c>
      <c r="C355" s="62" t="s">
        <v>4326</v>
      </c>
    </row>
    <row r="356">
      <c r="A356" s="62" t="s">
        <v>3201</v>
      </c>
      <c r="B356" s="62" t="s">
        <v>3204</v>
      </c>
      <c r="C356" s="62" t="s">
        <v>3203</v>
      </c>
    </row>
    <row r="357">
      <c r="A357" s="62" t="s">
        <v>4480</v>
      </c>
      <c r="B357" s="62" t="s">
        <v>4481</v>
      </c>
      <c r="C357" s="62" t="s">
        <v>3203</v>
      </c>
    </row>
    <row r="358">
      <c r="A358" s="62" t="s">
        <v>1936</v>
      </c>
      <c r="B358" s="62" t="s">
        <v>1938</v>
      </c>
      <c r="C358" s="62" t="s">
        <v>1937</v>
      </c>
    </row>
    <row r="359">
      <c r="A359" s="62" t="s">
        <v>4728</v>
      </c>
      <c r="B359" s="62" t="s">
        <v>4729</v>
      </c>
      <c r="C359" s="62" t="s">
        <v>2837</v>
      </c>
    </row>
    <row r="360">
      <c r="A360" s="62" t="s">
        <v>2836</v>
      </c>
      <c r="B360" s="62" t="s">
        <v>2838</v>
      </c>
      <c r="C360" s="62" t="s">
        <v>2837</v>
      </c>
    </row>
    <row r="361">
      <c r="A361" s="62" t="s">
        <v>4501</v>
      </c>
      <c r="B361" s="62" t="s">
        <v>4504</v>
      </c>
      <c r="C361" s="62" t="s">
        <v>4503</v>
      </c>
    </row>
    <row r="362">
      <c r="A362" s="62" t="s">
        <v>3395</v>
      </c>
      <c r="B362" s="62" t="s">
        <v>3397</v>
      </c>
      <c r="C362" s="62" t="s">
        <v>3396</v>
      </c>
    </row>
    <row r="363">
      <c r="A363" s="62" t="s">
        <v>1435</v>
      </c>
      <c r="B363" s="62" t="s">
        <v>1437</v>
      </c>
      <c r="C363" s="62" t="s">
        <v>1436</v>
      </c>
    </row>
    <row r="364">
      <c r="A364" s="62" t="s">
        <v>1884</v>
      </c>
      <c r="B364" s="62" t="s">
        <v>1887</v>
      </c>
      <c r="C364" s="62" t="s">
        <v>1885</v>
      </c>
    </row>
    <row r="365">
      <c r="A365" s="62" t="s">
        <v>1871</v>
      </c>
      <c r="B365" s="62" t="s">
        <v>1874</v>
      </c>
      <c r="C365" s="62" t="s">
        <v>1872</v>
      </c>
    </row>
    <row r="366">
      <c r="A366" s="62" t="s">
        <v>1843</v>
      </c>
      <c r="B366" s="62" t="s">
        <v>1847</v>
      </c>
      <c r="C366" s="62" t="s">
        <v>1845</v>
      </c>
    </row>
    <row r="367">
      <c r="A367" s="62" t="s">
        <v>2810</v>
      </c>
      <c r="B367" s="62" t="s">
        <v>2812</v>
      </c>
      <c r="C367" s="62" t="s">
        <v>2811</v>
      </c>
    </row>
    <row r="368">
      <c r="A368" s="62" t="s">
        <v>3675</v>
      </c>
      <c r="B368" s="62" t="s">
        <v>3677</v>
      </c>
      <c r="C368" s="62" t="s">
        <v>3676</v>
      </c>
    </row>
    <row r="369">
      <c r="A369" s="62" t="s">
        <v>1861</v>
      </c>
      <c r="B369" s="62" t="s">
        <v>1863</v>
      </c>
      <c r="C369" s="62" t="s">
        <v>1862</v>
      </c>
    </row>
    <row r="370">
      <c r="A370" s="62" t="s">
        <v>1683</v>
      </c>
      <c r="B370" s="62" t="s">
        <v>1685</v>
      </c>
      <c r="C370" s="62" t="s">
        <v>1684</v>
      </c>
    </row>
    <row r="371">
      <c r="A371" s="62" t="s">
        <v>4339</v>
      </c>
      <c r="B371" s="62" t="s">
        <v>4340</v>
      </c>
      <c r="C371" s="62" t="s">
        <v>3629</v>
      </c>
    </row>
    <row r="372">
      <c r="A372" s="62" t="s">
        <v>3628</v>
      </c>
      <c r="B372" s="62" t="s">
        <v>3630</v>
      </c>
      <c r="C372" s="62" t="s">
        <v>3629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36.13"/>
  </cols>
  <sheetData>
    <row r="1">
      <c r="A1" s="62">
        <v>1.0</v>
      </c>
      <c r="B1" s="88">
        <v>2.0</v>
      </c>
      <c r="C1" s="88">
        <v>3.0</v>
      </c>
      <c r="D1" s="88">
        <v>4.0</v>
      </c>
      <c r="E1" s="88">
        <v>5.0</v>
      </c>
      <c r="F1" s="88">
        <v>6.0</v>
      </c>
      <c r="G1" s="88">
        <v>7.0</v>
      </c>
      <c r="H1" s="88">
        <v>8.0</v>
      </c>
      <c r="I1" s="88">
        <v>9.0</v>
      </c>
      <c r="J1" s="88">
        <v>10.0</v>
      </c>
      <c r="K1" s="88">
        <v>11.0</v>
      </c>
      <c r="L1" s="88">
        <v>12.0</v>
      </c>
      <c r="M1" s="88">
        <v>13.0</v>
      </c>
      <c r="N1" s="88">
        <v>14.0</v>
      </c>
      <c r="O1" s="88">
        <v>15.0</v>
      </c>
      <c r="P1" s="88">
        <v>16.0</v>
      </c>
      <c r="Q1" s="88">
        <v>17.0</v>
      </c>
      <c r="R1" s="88">
        <v>18.0</v>
      </c>
      <c r="S1" s="88">
        <v>19.0</v>
      </c>
      <c r="T1" s="88">
        <v>20.0</v>
      </c>
      <c r="U1" s="88">
        <v>21.0</v>
      </c>
      <c r="V1" s="88">
        <v>22.0</v>
      </c>
      <c r="W1" s="88">
        <v>23.0</v>
      </c>
      <c r="X1" s="88">
        <v>24.0</v>
      </c>
      <c r="Y1" s="88">
        <v>25.0</v>
      </c>
      <c r="Z1" s="88">
        <v>26.0</v>
      </c>
    </row>
    <row r="2">
      <c r="C2" s="88" t="s">
        <v>5695</v>
      </c>
      <c r="D2" s="90" t="s">
        <v>74</v>
      </c>
      <c r="E2" s="91" t="s">
        <v>75</v>
      </c>
      <c r="F2" s="91" t="s">
        <v>5696</v>
      </c>
      <c r="G2" s="91" t="s">
        <v>78</v>
      </c>
      <c r="H2" s="92" t="s">
        <v>79</v>
      </c>
      <c r="I2" s="93" t="s">
        <v>91</v>
      </c>
      <c r="J2" s="92" t="s">
        <v>5697</v>
      </c>
      <c r="K2" s="92" t="s">
        <v>5698</v>
      </c>
      <c r="L2" s="92" t="s">
        <v>82</v>
      </c>
      <c r="M2" s="92" t="s">
        <v>83</v>
      </c>
      <c r="N2" s="92" t="s">
        <v>84</v>
      </c>
      <c r="O2" s="93" t="s">
        <v>85</v>
      </c>
      <c r="P2" s="92" t="s">
        <v>5699</v>
      </c>
      <c r="Q2" s="92" t="s">
        <v>89</v>
      </c>
      <c r="S2" s="94" t="s">
        <v>95</v>
      </c>
      <c r="T2" s="62" t="s">
        <v>96</v>
      </c>
      <c r="V2" s="38" t="s">
        <v>109</v>
      </c>
      <c r="W2" s="39" t="s">
        <v>110</v>
      </c>
      <c r="X2" s="39" t="s">
        <v>111</v>
      </c>
      <c r="Y2" s="88" t="s">
        <v>5700</v>
      </c>
      <c r="Z2" s="88" t="s">
        <v>5701</v>
      </c>
      <c r="AA2" s="88" t="s">
        <v>5702</v>
      </c>
    </row>
    <row r="3">
      <c r="C3" s="88" t="s">
        <v>5587</v>
      </c>
      <c r="D3" s="95" t="s">
        <v>74</v>
      </c>
      <c r="E3" s="95" t="s">
        <v>75</v>
      </c>
      <c r="F3" s="88" t="s">
        <v>5696</v>
      </c>
      <c r="G3" s="88" t="s">
        <v>245</v>
      </c>
      <c r="H3" s="88" t="s">
        <v>79</v>
      </c>
      <c r="I3" s="96"/>
      <c r="J3" s="88" t="s">
        <v>5697</v>
      </c>
      <c r="K3" s="88" t="s">
        <v>81</v>
      </c>
      <c r="L3" s="88" t="s">
        <v>82</v>
      </c>
      <c r="M3" s="88" t="s">
        <v>83</v>
      </c>
      <c r="N3" s="88" t="s">
        <v>5703</v>
      </c>
      <c r="O3" s="96"/>
      <c r="P3" s="88" t="s">
        <v>5699</v>
      </c>
      <c r="Q3" s="88" t="s">
        <v>89</v>
      </c>
      <c r="T3" s="88" t="s">
        <v>5704</v>
      </c>
      <c r="U3" s="88" t="s">
        <v>5705</v>
      </c>
      <c r="Y3" s="88" t="s">
        <v>5700</v>
      </c>
      <c r="Z3" s="88" t="s">
        <v>5701</v>
      </c>
      <c r="AA3" s="88" t="s">
        <v>5702</v>
      </c>
    </row>
    <row r="4">
      <c r="A4" s="95" t="s">
        <v>5706</v>
      </c>
      <c r="B4" s="88" t="s">
        <v>227</v>
      </c>
      <c r="C4" s="88" t="s">
        <v>227</v>
      </c>
      <c r="D4" s="95" t="s">
        <v>235</v>
      </c>
      <c r="E4" s="95" t="s">
        <v>5707</v>
      </c>
      <c r="F4" s="88" t="s">
        <v>236</v>
      </c>
      <c r="G4" s="88" t="s">
        <v>160</v>
      </c>
      <c r="H4" s="88" t="s">
        <v>238</v>
      </c>
      <c r="K4" s="88" t="s">
        <v>162</v>
      </c>
      <c r="M4" s="88" t="s">
        <v>163</v>
      </c>
      <c r="N4" s="88" t="s">
        <v>5708</v>
      </c>
      <c r="P4" s="88" t="s">
        <v>165</v>
      </c>
      <c r="Q4" s="88" t="s">
        <v>5709</v>
      </c>
      <c r="T4" s="88" t="s">
        <v>143</v>
      </c>
      <c r="U4" s="88" t="s">
        <v>5710</v>
      </c>
      <c r="V4" s="88">
        <v>8.0</v>
      </c>
      <c r="W4" s="88">
        <v>4.0</v>
      </c>
      <c r="X4" s="88">
        <v>4.0</v>
      </c>
      <c r="Y4" s="88" t="s">
        <v>5711</v>
      </c>
      <c r="Z4" s="88" t="s">
        <v>5712</v>
      </c>
      <c r="AA4" s="88" t="s">
        <v>156</v>
      </c>
    </row>
    <row r="5">
      <c r="A5" s="95" t="s">
        <v>5713</v>
      </c>
      <c r="B5" s="88" t="s">
        <v>196</v>
      </c>
      <c r="C5" s="88" t="s">
        <v>196</v>
      </c>
      <c r="D5" s="95" t="s">
        <v>205</v>
      </c>
      <c r="E5" s="95" t="s">
        <v>5707</v>
      </c>
      <c r="F5" s="88" t="s">
        <v>206</v>
      </c>
      <c r="G5" s="88" t="s">
        <v>160</v>
      </c>
      <c r="H5" s="88" t="s">
        <v>208</v>
      </c>
      <c r="K5" s="88" t="s">
        <v>209</v>
      </c>
      <c r="M5" s="88" t="s">
        <v>163</v>
      </c>
      <c r="N5" s="88" t="s">
        <v>5708</v>
      </c>
      <c r="P5" s="88" t="s">
        <v>165</v>
      </c>
      <c r="Q5" s="88" t="s">
        <v>5714</v>
      </c>
      <c r="T5" s="88" t="s">
        <v>143</v>
      </c>
      <c r="U5" s="88" t="s">
        <v>5710</v>
      </c>
      <c r="V5" s="88">
        <v>8.0</v>
      </c>
      <c r="W5" s="88">
        <v>4.0</v>
      </c>
      <c r="X5" s="88">
        <v>4.0</v>
      </c>
      <c r="Y5" s="88" t="s">
        <v>5711</v>
      </c>
      <c r="Z5" s="88" t="s">
        <v>5712</v>
      </c>
      <c r="AA5" s="88" t="s">
        <v>156</v>
      </c>
    </row>
    <row r="6">
      <c r="A6" s="95" t="s">
        <v>5715</v>
      </c>
      <c r="B6" s="88" t="s">
        <v>252</v>
      </c>
      <c r="C6" s="88" t="s">
        <v>252</v>
      </c>
      <c r="D6" s="95">
        <v>4.605543011177E12</v>
      </c>
      <c r="E6" s="95" t="s">
        <v>5707</v>
      </c>
      <c r="F6" s="88" t="s">
        <v>260</v>
      </c>
      <c r="G6" s="88" t="s">
        <v>160</v>
      </c>
      <c r="H6" s="88" t="s">
        <v>262</v>
      </c>
      <c r="K6" s="88" t="s">
        <v>209</v>
      </c>
      <c r="M6" s="88" t="s">
        <v>163</v>
      </c>
      <c r="N6" s="88" t="s">
        <v>5708</v>
      </c>
      <c r="P6" s="88" t="s">
        <v>165</v>
      </c>
      <c r="Q6" s="88" t="s">
        <v>5716</v>
      </c>
      <c r="T6" s="88" t="s">
        <v>143</v>
      </c>
      <c r="U6" s="88" t="s">
        <v>5710</v>
      </c>
      <c r="V6" s="88">
        <v>8.0</v>
      </c>
      <c r="W6" s="88">
        <v>4.0</v>
      </c>
      <c r="X6" s="88">
        <v>4.0</v>
      </c>
      <c r="Y6" s="88" t="s">
        <v>5711</v>
      </c>
      <c r="Z6" s="88" t="s">
        <v>5712</v>
      </c>
      <c r="AA6" s="88" t="s">
        <v>156</v>
      </c>
    </row>
    <row r="7" ht="16.5" customHeight="1">
      <c r="A7" s="95" t="s">
        <v>5717</v>
      </c>
      <c r="B7" s="88" t="s">
        <v>147</v>
      </c>
      <c r="C7" s="88" t="s">
        <v>147</v>
      </c>
      <c r="D7" s="95">
        <v>4.605543011153E12</v>
      </c>
      <c r="E7" s="95" t="s">
        <v>5707</v>
      </c>
      <c r="F7" s="88" t="s">
        <v>158</v>
      </c>
      <c r="G7" s="88" t="s">
        <v>160</v>
      </c>
      <c r="H7" s="88" t="s">
        <v>161</v>
      </c>
      <c r="K7" s="88" t="s">
        <v>162</v>
      </c>
      <c r="M7" s="88" t="s">
        <v>163</v>
      </c>
      <c r="N7" s="88" t="s">
        <v>5708</v>
      </c>
      <c r="P7" s="88" t="s">
        <v>165</v>
      </c>
      <c r="Q7" s="88" t="s">
        <v>5718</v>
      </c>
      <c r="T7" s="88" t="s">
        <v>143</v>
      </c>
      <c r="U7" s="88" t="s">
        <v>5710</v>
      </c>
      <c r="V7" s="88">
        <v>8.0</v>
      </c>
      <c r="W7" s="88">
        <v>4.0</v>
      </c>
      <c r="X7" s="88">
        <v>4.0</v>
      </c>
      <c r="Y7" s="88" t="s">
        <v>5711</v>
      </c>
      <c r="Z7" s="88" t="s">
        <v>5712</v>
      </c>
      <c r="AA7" s="88" t="s">
        <v>156</v>
      </c>
    </row>
    <row r="8">
      <c r="A8" s="95" t="s">
        <v>5719</v>
      </c>
      <c r="B8" s="88" t="s">
        <v>170</v>
      </c>
      <c r="C8" s="88" t="s">
        <v>170</v>
      </c>
      <c r="D8" s="95">
        <v>4.60554301116E12</v>
      </c>
      <c r="E8" s="95" t="s">
        <v>5707</v>
      </c>
      <c r="F8" s="88" t="s">
        <v>180</v>
      </c>
      <c r="G8" s="88" t="s">
        <v>160</v>
      </c>
      <c r="H8" s="88" t="s">
        <v>182</v>
      </c>
      <c r="K8" s="88" t="s">
        <v>183</v>
      </c>
      <c r="M8" s="88" t="s">
        <v>163</v>
      </c>
      <c r="N8" s="88" t="s">
        <v>5708</v>
      </c>
      <c r="P8" s="88" t="s">
        <v>165</v>
      </c>
      <c r="Q8" s="88" t="s">
        <v>5720</v>
      </c>
      <c r="T8" s="88" t="s">
        <v>143</v>
      </c>
      <c r="U8" s="88" t="s">
        <v>5710</v>
      </c>
      <c r="V8" s="88">
        <v>8.0</v>
      </c>
      <c r="W8" s="88">
        <v>4.0</v>
      </c>
      <c r="X8" s="88">
        <v>4.0</v>
      </c>
      <c r="Y8" s="88" t="s">
        <v>5711</v>
      </c>
      <c r="Z8" s="88" t="s">
        <v>5712</v>
      </c>
      <c r="AA8" s="88" t="s">
        <v>156</v>
      </c>
    </row>
    <row r="9">
      <c r="A9" s="95" t="s">
        <v>5721</v>
      </c>
      <c r="C9" s="88" t="s">
        <v>2264</v>
      </c>
      <c r="D9" s="95">
        <v>4.630205141442E12</v>
      </c>
      <c r="E9" s="95" t="s">
        <v>5722</v>
      </c>
      <c r="F9" s="88" t="s">
        <v>5723</v>
      </c>
      <c r="G9" s="88" t="s">
        <v>245</v>
      </c>
      <c r="H9" s="88" t="s">
        <v>5724</v>
      </c>
      <c r="J9" s="88" t="s">
        <v>5725</v>
      </c>
      <c r="K9" s="88" t="s">
        <v>5726</v>
      </c>
      <c r="L9" s="88" t="s">
        <v>5727</v>
      </c>
      <c r="M9" s="88" t="s">
        <v>5728</v>
      </c>
      <c r="N9" s="88" t="s">
        <v>5729</v>
      </c>
      <c r="P9" s="88" t="s">
        <v>5730</v>
      </c>
      <c r="Q9" s="88" t="s">
        <v>5731</v>
      </c>
      <c r="T9" s="88" t="s">
        <v>494</v>
      </c>
      <c r="U9" s="88" t="s">
        <v>5732</v>
      </c>
      <c r="V9" s="88">
        <v>13.0</v>
      </c>
      <c r="W9" s="88">
        <v>8.5</v>
      </c>
      <c r="X9" s="88">
        <v>8.5</v>
      </c>
      <c r="Y9" s="88" t="s">
        <v>5733</v>
      </c>
      <c r="Z9" s="88" t="s">
        <v>5734</v>
      </c>
      <c r="AA9" s="88" t="s">
        <v>361</v>
      </c>
    </row>
    <row r="10">
      <c r="A10" s="95" t="s">
        <v>5735</v>
      </c>
      <c r="B10" s="88" t="s">
        <v>1936</v>
      </c>
      <c r="C10" s="88" t="s">
        <v>1936</v>
      </c>
      <c r="D10" s="95" t="s">
        <v>1943</v>
      </c>
      <c r="E10" s="95" t="s">
        <v>5736</v>
      </c>
      <c r="F10" s="88" t="s">
        <v>1944</v>
      </c>
      <c r="G10" s="88" t="s">
        <v>1945</v>
      </c>
      <c r="H10" s="88" t="s">
        <v>1946</v>
      </c>
      <c r="J10" s="88" t="s">
        <v>5737</v>
      </c>
      <c r="K10" s="88" t="s">
        <v>1947</v>
      </c>
      <c r="L10" s="88" t="s">
        <v>1948</v>
      </c>
      <c r="M10" s="88" t="s">
        <v>1949</v>
      </c>
      <c r="N10" s="88" t="s">
        <v>5738</v>
      </c>
      <c r="P10" s="88" t="s">
        <v>1950</v>
      </c>
      <c r="Q10" s="88" t="s">
        <v>1952</v>
      </c>
      <c r="T10" s="88" t="s">
        <v>1954</v>
      </c>
      <c r="U10" s="88" t="s">
        <v>5739</v>
      </c>
      <c r="V10" s="88">
        <v>10.0</v>
      </c>
      <c r="W10" s="88">
        <v>4.0</v>
      </c>
      <c r="X10" s="88">
        <v>3.0</v>
      </c>
      <c r="Y10" s="88" t="s">
        <v>1953</v>
      </c>
      <c r="Z10" s="88" t="s">
        <v>5740</v>
      </c>
      <c r="AA10" s="88" t="s">
        <v>325</v>
      </c>
    </row>
    <row r="11">
      <c r="A11" s="95" t="s">
        <v>5741</v>
      </c>
      <c r="B11" s="88" t="s">
        <v>834</v>
      </c>
      <c r="C11" s="88" t="s">
        <v>834</v>
      </c>
      <c r="D11" s="95" t="s">
        <v>844</v>
      </c>
      <c r="E11" s="95" t="s">
        <v>5722</v>
      </c>
      <c r="F11" s="88" t="s">
        <v>845</v>
      </c>
      <c r="G11" s="88" t="s">
        <v>245</v>
      </c>
      <c r="H11" s="88" t="s">
        <v>846</v>
      </c>
      <c r="J11" s="88" t="s">
        <v>5742</v>
      </c>
      <c r="K11" s="88" t="s">
        <v>847</v>
      </c>
      <c r="L11" s="88" t="s">
        <v>557</v>
      </c>
      <c r="M11" s="88" t="s">
        <v>848</v>
      </c>
      <c r="N11" s="88" t="s">
        <v>5743</v>
      </c>
      <c r="P11" s="88" t="s">
        <v>849</v>
      </c>
      <c r="Q11" s="88" t="s">
        <v>850</v>
      </c>
      <c r="U11" s="88" t="s">
        <v>5744</v>
      </c>
      <c r="V11" s="88">
        <v>10.0</v>
      </c>
      <c r="W11" s="88">
        <v>6.0</v>
      </c>
      <c r="X11" s="88">
        <v>6.0</v>
      </c>
      <c r="Y11" s="88" t="s">
        <v>850</v>
      </c>
      <c r="Z11" s="88" t="s">
        <v>5745</v>
      </c>
      <c r="AA11" s="88" t="s">
        <v>361</v>
      </c>
    </row>
    <row r="12">
      <c r="A12" s="95" t="s">
        <v>5746</v>
      </c>
      <c r="B12" s="88" t="s">
        <v>2246</v>
      </c>
      <c r="C12" s="88" t="s">
        <v>2246</v>
      </c>
      <c r="D12" s="95" t="s">
        <v>2252</v>
      </c>
      <c r="E12" s="95" t="s">
        <v>5722</v>
      </c>
      <c r="G12" s="88" t="s">
        <v>245</v>
      </c>
      <c r="Q12" s="88" t="s">
        <v>2253</v>
      </c>
      <c r="U12" s="88" t="s">
        <v>5747</v>
      </c>
      <c r="V12" s="88">
        <v>21.0</v>
      </c>
      <c r="W12" s="88">
        <v>14.0</v>
      </c>
      <c r="X12" s="88">
        <v>5.7</v>
      </c>
      <c r="Z12" s="88" t="s">
        <v>5745</v>
      </c>
      <c r="AA12" s="88" t="s">
        <v>361</v>
      </c>
    </row>
    <row r="13">
      <c r="A13" s="95" t="s">
        <v>5748</v>
      </c>
      <c r="B13" s="88" t="s">
        <v>2607</v>
      </c>
      <c r="C13" s="88" t="s">
        <v>2607</v>
      </c>
      <c r="D13" s="95">
        <v>4.603745411405E12</v>
      </c>
      <c r="E13" s="95" t="s">
        <v>5749</v>
      </c>
      <c r="F13" s="88" t="s">
        <v>2614</v>
      </c>
      <c r="G13" s="88" t="s">
        <v>245</v>
      </c>
      <c r="H13" s="88" t="s">
        <v>2615</v>
      </c>
      <c r="J13" s="88" t="s">
        <v>5750</v>
      </c>
      <c r="K13" s="88" t="s">
        <v>2616</v>
      </c>
      <c r="L13" s="88" t="s">
        <v>2617</v>
      </c>
      <c r="M13" s="88" t="s">
        <v>2618</v>
      </c>
      <c r="N13" s="88">
        <v>120.0</v>
      </c>
      <c r="P13" s="88" t="s">
        <v>355</v>
      </c>
      <c r="Q13" s="88" t="s">
        <v>2619</v>
      </c>
      <c r="T13" s="88" t="s">
        <v>2568</v>
      </c>
      <c r="U13" s="88" t="s">
        <v>5751</v>
      </c>
      <c r="V13" s="88">
        <v>12.0</v>
      </c>
      <c r="W13" s="88">
        <v>6.0</v>
      </c>
      <c r="X13" s="88">
        <v>6.0</v>
      </c>
      <c r="Y13" s="88" t="s">
        <v>2620</v>
      </c>
      <c r="Z13" s="88" t="s">
        <v>5752</v>
      </c>
      <c r="AA13" s="88" t="s">
        <v>1725</v>
      </c>
    </row>
    <row r="14">
      <c r="A14" s="95" t="s">
        <v>5753</v>
      </c>
      <c r="B14" s="88" t="s">
        <v>2281</v>
      </c>
      <c r="C14" s="88" t="s">
        <v>2281</v>
      </c>
      <c r="D14" s="95" t="s">
        <v>2286</v>
      </c>
      <c r="E14" s="95" t="s">
        <v>5722</v>
      </c>
      <c r="F14" s="88" t="s">
        <v>2287</v>
      </c>
      <c r="G14" s="88" t="s">
        <v>245</v>
      </c>
      <c r="H14" s="88" t="s">
        <v>2288</v>
      </c>
      <c r="J14" s="88" t="s">
        <v>5754</v>
      </c>
      <c r="K14" s="88" t="s">
        <v>2289</v>
      </c>
      <c r="L14" s="88" t="s">
        <v>557</v>
      </c>
      <c r="M14" s="88" t="s">
        <v>2290</v>
      </c>
      <c r="N14" s="88" t="s">
        <v>5755</v>
      </c>
      <c r="P14" s="88" t="s">
        <v>355</v>
      </c>
      <c r="Q14" s="88" t="s">
        <v>2291</v>
      </c>
      <c r="T14" s="88" t="s">
        <v>786</v>
      </c>
      <c r="U14" s="88" t="s">
        <v>5756</v>
      </c>
      <c r="V14" s="88">
        <v>10.0</v>
      </c>
      <c r="W14" s="88">
        <v>4.0</v>
      </c>
      <c r="X14" s="88">
        <v>4.0</v>
      </c>
      <c r="Y14" s="88" t="s">
        <v>2292</v>
      </c>
      <c r="Z14" s="88" t="s">
        <v>5757</v>
      </c>
      <c r="AA14" s="88" t="s">
        <v>361</v>
      </c>
    </row>
    <row r="15">
      <c r="A15" s="95" t="s">
        <v>5758</v>
      </c>
      <c r="B15" s="88" t="s">
        <v>2135</v>
      </c>
      <c r="C15" s="88" t="s">
        <v>2135</v>
      </c>
      <c r="D15" s="95" t="s">
        <v>2141</v>
      </c>
      <c r="E15" s="95"/>
      <c r="G15" s="88" t="s">
        <v>245</v>
      </c>
      <c r="N15" s="88" t="s">
        <v>2142</v>
      </c>
      <c r="U15" s="88" t="s">
        <v>5747</v>
      </c>
      <c r="V15" s="88">
        <v>21.0</v>
      </c>
      <c r="W15" s="88">
        <v>14.0</v>
      </c>
      <c r="X15" s="88">
        <v>5.7</v>
      </c>
      <c r="Z15" s="88" t="s">
        <v>5757</v>
      </c>
      <c r="AA15" s="88" t="s">
        <v>361</v>
      </c>
    </row>
    <row r="16">
      <c r="A16" s="95" t="s">
        <v>5759</v>
      </c>
      <c r="B16" s="88" t="s">
        <v>1292</v>
      </c>
      <c r="C16" s="88" t="s">
        <v>1292</v>
      </c>
      <c r="D16" s="95" t="s">
        <v>1300</v>
      </c>
      <c r="E16" s="95" t="s">
        <v>5722</v>
      </c>
      <c r="F16" s="88" t="s">
        <v>1301</v>
      </c>
      <c r="G16" s="88" t="s">
        <v>245</v>
      </c>
      <c r="H16" s="88" t="s">
        <v>1302</v>
      </c>
      <c r="J16" s="88" t="s">
        <v>5760</v>
      </c>
      <c r="K16" s="88" t="s">
        <v>1303</v>
      </c>
      <c r="L16" s="88" t="s">
        <v>557</v>
      </c>
      <c r="M16" s="88" t="s">
        <v>1304</v>
      </c>
      <c r="N16" s="88" t="s">
        <v>5755</v>
      </c>
      <c r="P16" s="88" t="s">
        <v>849</v>
      </c>
      <c r="Q16" s="88" t="s">
        <v>1305</v>
      </c>
      <c r="U16" s="88" t="s">
        <v>5761</v>
      </c>
      <c r="V16" s="88">
        <v>5.5</v>
      </c>
      <c r="W16" s="88">
        <v>5.5</v>
      </c>
      <c r="X16" s="88">
        <v>9.5</v>
      </c>
      <c r="Y16" s="88" t="s">
        <v>1305</v>
      </c>
      <c r="Z16" s="88" t="s">
        <v>5762</v>
      </c>
      <c r="AA16" s="88" t="s">
        <v>361</v>
      </c>
    </row>
    <row r="17">
      <c r="A17" s="95" t="s">
        <v>5763</v>
      </c>
      <c r="B17" s="88" t="s">
        <v>2570</v>
      </c>
      <c r="C17" s="88" t="s">
        <v>2570</v>
      </c>
      <c r="D17" s="95" t="s">
        <v>2577</v>
      </c>
      <c r="E17" s="95" t="s">
        <v>5722</v>
      </c>
      <c r="G17" s="88" t="s">
        <v>245</v>
      </c>
      <c r="N17" s="88">
        <v>120.0</v>
      </c>
      <c r="U17" s="88" t="s">
        <v>5747</v>
      </c>
      <c r="V17" s="88">
        <v>21.0</v>
      </c>
      <c r="W17" s="88">
        <v>14.0</v>
      </c>
      <c r="X17" s="88">
        <v>5.7</v>
      </c>
      <c r="Z17" s="88" t="s">
        <v>5762</v>
      </c>
      <c r="AA17" s="88" t="s">
        <v>361</v>
      </c>
    </row>
    <row r="18">
      <c r="A18" s="95" t="s">
        <v>5764</v>
      </c>
      <c r="B18" s="88" t="s">
        <v>2578</v>
      </c>
      <c r="C18" s="88" t="s">
        <v>2578</v>
      </c>
      <c r="D18" s="95">
        <v>4.670167250868E12</v>
      </c>
      <c r="E18" s="95" t="s">
        <v>5722</v>
      </c>
      <c r="F18" s="88" t="s">
        <v>2585</v>
      </c>
      <c r="G18" s="88" t="s">
        <v>245</v>
      </c>
      <c r="H18" s="88" t="s">
        <v>2586</v>
      </c>
      <c r="J18" s="88" t="s">
        <v>5765</v>
      </c>
      <c r="K18" s="88" t="s">
        <v>2587</v>
      </c>
      <c r="L18" s="88" t="s">
        <v>2588</v>
      </c>
      <c r="M18" s="88" t="s">
        <v>2589</v>
      </c>
      <c r="N18" s="88">
        <v>60.0</v>
      </c>
      <c r="P18" s="88" t="s">
        <v>355</v>
      </c>
      <c r="Q18" s="88" t="s">
        <v>2590</v>
      </c>
      <c r="T18" s="88" t="s">
        <v>2568</v>
      </c>
      <c r="U18" s="88" t="s">
        <v>5766</v>
      </c>
      <c r="V18" s="88">
        <v>4.0</v>
      </c>
      <c r="W18" s="88">
        <v>6.0</v>
      </c>
      <c r="X18" s="88">
        <v>13.0</v>
      </c>
      <c r="Z18" s="88" t="s">
        <v>5762</v>
      </c>
      <c r="AA18" s="88" t="s">
        <v>361</v>
      </c>
    </row>
    <row r="19">
      <c r="A19" s="95" t="s">
        <v>5767</v>
      </c>
      <c r="B19" s="88" t="s">
        <v>1331</v>
      </c>
      <c r="C19" s="88" t="s">
        <v>1331</v>
      </c>
      <c r="D19" s="95">
        <v>4.630205140179E12</v>
      </c>
      <c r="E19" s="95" t="s">
        <v>5749</v>
      </c>
      <c r="F19" s="88" t="s">
        <v>1323</v>
      </c>
      <c r="G19" s="88" t="s">
        <v>245</v>
      </c>
      <c r="H19" s="88" t="s">
        <v>1339</v>
      </c>
      <c r="J19" s="88" t="s">
        <v>5768</v>
      </c>
      <c r="K19" s="88" t="s">
        <v>1325</v>
      </c>
      <c r="L19" s="88" t="s">
        <v>1326</v>
      </c>
      <c r="M19" s="88" t="s">
        <v>1340</v>
      </c>
      <c r="N19" s="88" t="s">
        <v>5729</v>
      </c>
      <c r="P19" s="88" t="s">
        <v>1328</v>
      </c>
      <c r="T19" s="88" t="s">
        <v>494</v>
      </c>
      <c r="U19" s="88" t="s">
        <v>5732</v>
      </c>
      <c r="V19" s="88">
        <v>13.0</v>
      </c>
      <c r="W19" s="88">
        <v>8.5</v>
      </c>
      <c r="X19" s="88">
        <v>8.5</v>
      </c>
      <c r="Y19" s="88" t="s">
        <v>1330</v>
      </c>
      <c r="Z19" s="88" t="s">
        <v>5762</v>
      </c>
      <c r="AA19" s="88" t="s">
        <v>1279</v>
      </c>
    </row>
    <row r="20">
      <c r="A20" s="95" t="s">
        <v>5769</v>
      </c>
      <c r="B20" s="88" t="s">
        <v>1341</v>
      </c>
      <c r="C20" s="88" t="s">
        <v>1341</v>
      </c>
      <c r="D20" s="95">
        <v>4.630205140322E12</v>
      </c>
      <c r="E20" s="95" t="s">
        <v>5749</v>
      </c>
      <c r="F20" s="88" t="s">
        <v>1323</v>
      </c>
      <c r="G20" s="88" t="s">
        <v>245</v>
      </c>
      <c r="H20" s="88" t="s">
        <v>1350</v>
      </c>
      <c r="J20" s="88" t="s">
        <v>5768</v>
      </c>
      <c r="K20" s="88" t="s">
        <v>1325</v>
      </c>
      <c r="L20" s="88" t="s">
        <v>1326</v>
      </c>
      <c r="M20" s="88" t="s">
        <v>1327</v>
      </c>
      <c r="N20" s="88" t="s">
        <v>5729</v>
      </c>
      <c r="P20" s="88" t="s">
        <v>1328</v>
      </c>
      <c r="T20" s="88" t="s">
        <v>494</v>
      </c>
      <c r="U20" s="88" t="s">
        <v>5732</v>
      </c>
      <c r="V20" s="88">
        <v>13.0</v>
      </c>
      <c r="W20" s="88">
        <v>8.5</v>
      </c>
      <c r="X20" s="88">
        <v>8.5</v>
      </c>
      <c r="Y20" s="88" t="s">
        <v>1330</v>
      </c>
      <c r="Z20" s="88" t="s">
        <v>5762</v>
      </c>
      <c r="AA20" s="88" t="s">
        <v>1279</v>
      </c>
    </row>
    <row r="21">
      <c r="A21" s="95" t="s">
        <v>5770</v>
      </c>
      <c r="B21" s="88" t="s">
        <v>1314</v>
      </c>
      <c r="C21" s="88" t="s">
        <v>1314</v>
      </c>
      <c r="D21" s="95">
        <v>4.630205140308E12</v>
      </c>
      <c r="E21" s="95" t="s">
        <v>5749</v>
      </c>
      <c r="F21" s="88" t="s">
        <v>1323</v>
      </c>
      <c r="G21" s="88" t="s">
        <v>245</v>
      </c>
      <c r="H21" s="88" t="s">
        <v>1324</v>
      </c>
      <c r="J21" s="88" t="s">
        <v>5768</v>
      </c>
      <c r="K21" s="88" t="s">
        <v>1325</v>
      </c>
      <c r="L21" s="88" t="s">
        <v>1326</v>
      </c>
      <c r="M21" s="88" t="s">
        <v>1327</v>
      </c>
      <c r="N21" s="88" t="s">
        <v>5729</v>
      </c>
      <c r="P21" s="88" t="s">
        <v>1328</v>
      </c>
      <c r="T21" s="88" t="s">
        <v>494</v>
      </c>
      <c r="U21" s="88" t="s">
        <v>5732</v>
      </c>
      <c r="V21" s="88">
        <v>13.0</v>
      </c>
      <c r="W21" s="88">
        <v>8.5</v>
      </c>
      <c r="X21" s="88">
        <v>8.5</v>
      </c>
      <c r="Y21" s="88" t="s">
        <v>1330</v>
      </c>
      <c r="Z21" s="88" t="s">
        <v>5762</v>
      </c>
      <c r="AA21" s="88" t="s">
        <v>1279</v>
      </c>
    </row>
    <row r="22">
      <c r="A22" s="95" t="s">
        <v>5771</v>
      </c>
      <c r="B22" s="88" t="s">
        <v>1203</v>
      </c>
      <c r="C22" s="88" t="s">
        <v>1203</v>
      </c>
      <c r="D22" s="95" t="s">
        <v>1212</v>
      </c>
      <c r="E22" s="95" t="s">
        <v>5722</v>
      </c>
      <c r="F22" s="88" t="s">
        <v>1213</v>
      </c>
      <c r="G22" s="88" t="s">
        <v>245</v>
      </c>
      <c r="H22" s="88" t="s">
        <v>1214</v>
      </c>
      <c r="J22" s="88" t="s">
        <v>5772</v>
      </c>
      <c r="K22" s="88" t="s">
        <v>1215</v>
      </c>
      <c r="L22" s="88" t="s">
        <v>557</v>
      </c>
      <c r="M22" s="88" t="s">
        <v>1216</v>
      </c>
      <c r="N22" s="88" t="s">
        <v>5755</v>
      </c>
      <c r="P22" s="88" t="s">
        <v>849</v>
      </c>
      <c r="Q22" s="88" t="s">
        <v>1217</v>
      </c>
      <c r="T22" s="88" t="s">
        <v>1219</v>
      </c>
      <c r="U22" s="88" t="s">
        <v>5744</v>
      </c>
      <c r="V22" s="88">
        <v>10.0</v>
      </c>
      <c r="W22" s="88">
        <v>6.0</v>
      </c>
      <c r="X22" s="88">
        <v>6.0</v>
      </c>
      <c r="Y22" s="88" t="s">
        <v>1218</v>
      </c>
      <c r="Z22" s="88" t="s">
        <v>5745</v>
      </c>
      <c r="AA22" s="88" t="s">
        <v>361</v>
      </c>
    </row>
    <row r="23">
      <c r="A23" s="95" t="s">
        <v>5773</v>
      </c>
      <c r="B23" s="88" t="s">
        <v>1100</v>
      </c>
      <c r="C23" s="88" t="s">
        <v>1100</v>
      </c>
      <c r="D23" s="95">
        <v>4.670110184271E12</v>
      </c>
      <c r="E23" s="95" t="s">
        <v>5722</v>
      </c>
      <c r="F23" s="88" t="s">
        <v>1111</v>
      </c>
      <c r="G23" s="88" t="s">
        <v>245</v>
      </c>
      <c r="H23" s="88" t="s">
        <v>1112</v>
      </c>
      <c r="J23" s="88" t="s">
        <v>5772</v>
      </c>
      <c r="K23" s="88" t="s">
        <v>1113</v>
      </c>
      <c r="L23" s="88" t="s">
        <v>1114</v>
      </c>
      <c r="M23" s="88" t="s">
        <v>1115</v>
      </c>
      <c r="N23" s="88">
        <v>60.0</v>
      </c>
      <c r="P23" s="88" t="s">
        <v>849</v>
      </c>
      <c r="Q23" s="88" t="s">
        <v>1116</v>
      </c>
      <c r="T23" s="88" t="s">
        <v>1118</v>
      </c>
      <c r="U23" s="88" t="s">
        <v>5774</v>
      </c>
      <c r="V23" s="88">
        <v>4.0</v>
      </c>
      <c r="W23" s="88">
        <v>6.0</v>
      </c>
      <c r="X23" s="88">
        <v>7.0</v>
      </c>
      <c r="Y23" s="88" t="s">
        <v>1117</v>
      </c>
      <c r="Z23" s="88" t="s">
        <v>5745</v>
      </c>
      <c r="AA23" s="88" t="s">
        <v>361</v>
      </c>
    </row>
    <row r="24">
      <c r="A24" s="95" t="s">
        <v>5775</v>
      </c>
      <c r="B24" s="88" t="s">
        <v>2157</v>
      </c>
      <c r="C24" s="88" t="s">
        <v>2157</v>
      </c>
      <c r="D24" s="95" t="s">
        <v>2163</v>
      </c>
      <c r="E24" s="95" t="s">
        <v>5722</v>
      </c>
      <c r="F24" s="88" t="s">
        <v>2164</v>
      </c>
      <c r="G24" s="88" t="s">
        <v>245</v>
      </c>
      <c r="H24" s="88" t="s">
        <v>2165</v>
      </c>
      <c r="J24" s="88" t="s">
        <v>5776</v>
      </c>
      <c r="K24" s="88" t="s">
        <v>2153</v>
      </c>
      <c r="L24" s="88" t="s">
        <v>557</v>
      </c>
      <c r="M24" s="88" t="s">
        <v>2166</v>
      </c>
      <c r="N24" s="88" t="s">
        <v>5777</v>
      </c>
      <c r="P24" s="88" t="s">
        <v>355</v>
      </c>
      <c r="Q24" s="88" t="s">
        <v>2167</v>
      </c>
      <c r="T24" s="88" t="s">
        <v>400</v>
      </c>
      <c r="U24" s="88" t="s">
        <v>5744</v>
      </c>
      <c r="V24" s="88">
        <v>10.0</v>
      </c>
      <c r="W24" s="88">
        <v>6.0</v>
      </c>
      <c r="X24" s="88">
        <v>6.0</v>
      </c>
      <c r="Y24" s="88" t="s">
        <v>2168</v>
      </c>
      <c r="Z24" s="88" t="s">
        <v>5745</v>
      </c>
      <c r="AA24" s="88" t="s">
        <v>361</v>
      </c>
    </row>
    <row r="25">
      <c r="A25" s="95" t="s">
        <v>5778</v>
      </c>
      <c r="B25" s="88" t="s">
        <v>2169</v>
      </c>
      <c r="C25" s="88" t="s">
        <v>2169</v>
      </c>
      <c r="D25" s="95" t="s">
        <v>2176</v>
      </c>
      <c r="E25" s="95" t="s">
        <v>5722</v>
      </c>
      <c r="F25" s="88" t="s">
        <v>2164</v>
      </c>
      <c r="G25" s="88" t="s">
        <v>245</v>
      </c>
      <c r="H25" s="88" t="s">
        <v>2165</v>
      </c>
      <c r="J25" s="88" t="s">
        <v>5776</v>
      </c>
      <c r="K25" s="88" t="s">
        <v>2153</v>
      </c>
      <c r="L25" s="88" t="s">
        <v>557</v>
      </c>
      <c r="M25" s="88" t="s">
        <v>2166</v>
      </c>
      <c r="N25" s="88" t="s">
        <v>2177</v>
      </c>
      <c r="P25" s="88" t="s">
        <v>355</v>
      </c>
      <c r="Q25" s="88" t="s">
        <v>2167</v>
      </c>
      <c r="T25" s="88" t="s">
        <v>400</v>
      </c>
      <c r="U25" s="88" t="s">
        <v>5747</v>
      </c>
      <c r="V25" s="88">
        <v>21.0</v>
      </c>
      <c r="W25" s="88">
        <v>14.0</v>
      </c>
      <c r="X25" s="88">
        <v>5.7</v>
      </c>
      <c r="Z25" s="88" t="s">
        <v>5745</v>
      </c>
      <c r="AA25" s="88" t="s">
        <v>361</v>
      </c>
    </row>
    <row r="26">
      <c r="A26" s="95" t="s">
        <v>5779</v>
      </c>
      <c r="B26" s="88" t="s">
        <v>497</v>
      </c>
      <c r="C26" s="88" t="s">
        <v>497</v>
      </c>
      <c r="D26" s="95" t="s">
        <v>508</v>
      </c>
      <c r="E26" s="95" t="s">
        <v>5749</v>
      </c>
      <c r="F26" s="88" t="s">
        <v>509</v>
      </c>
      <c r="G26" s="88" t="s">
        <v>245</v>
      </c>
      <c r="H26" s="88" t="s">
        <v>511</v>
      </c>
      <c r="J26" s="88" t="s">
        <v>5780</v>
      </c>
      <c r="K26" s="88" t="s">
        <v>512</v>
      </c>
      <c r="L26" s="88" t="s">
        <v>513</v>
      </c>
      <c r="M26" s="88" t="s">
        <v>514</v>
      </c>
      <c r="N26" s="88">
        <v>60.0</v>
      </c>
      <c r="P26" s="88" t="s">
        <v>355</v>
      </c>
      <c r="Q26" s="48" t="s">
        <v>515</v>
      </c>
      <c r="T26" s="88" t="s">
        <v>518</v>
      </c>
      <c r="U26" s="88" t="s">
        <v>5781</v>
      </c>
      <c r="V26" s="88">
        <v>11.0</v>
      </c>
      <c r="W26" s="88">
        <v>5.2</v>
      </c>
      <c r="X26" s="88">
        <v>5.2</v>
      </c>
      <c r="Y26" s="88" t="s">
        <v>516</v>
      </c>
      <c r="Z26" s="88" t="s">
        <v>5463</v>
      </c>
      <c r="AA26" s="88" t="s">
        <v>361</v>
      </c>
    </row>
    <row r="27">
      <c r="A27" s="95" t="s">
        <v>5782</v>
      </c>
      <c r="B27" s="88" t="s">
        <v>2554</v>
      </c>
      <c r="C27" s="88" t="s">
        <v>2554</v>
      </c>
      <c r="D27" s="95">
        <v>4.603745411412E12</v>
      </c>
      <c r="E27" s="95" t="s">
        <v>5749</v>
      </c>
      <c r="F27" s="88" t="s">
        <v>2562</v>
      </c>
      <c r="G27" s="88" t="s">
        <v>245</v>
      </c>
      <c r="H27" s="88" t="s">
        <v>2563</v>
      </c>
      <c r="J27" s="88" t="s">
        <v>5783</v>
      </c>
      <c r="K27" s="88" t="s">
        <v>2564</v>
      </c>
      <c r="L27" s="88" t="s">
        <v>1114</v>
      </c>
      <c r="M27" s="88" t="s">
        <v>2565</v>
      </c>
      <c r="N27" s="88">
        <v>90.0</v>
      </c>
      <c r="P27" s="88" t="s">
        <v>355</v>
      </c>
      <c r="Q27" s="88" t="s">
        <v>2566</v>
      </c>
      <c r="T27" s="88" t="s">
        <v>2568</v>
      </c>
      <c r="U27" s="88" t="s">
        <v>5784</v>
      </c>
      <c r="V27" s="88">
        <v>12.0</v>
      </c>
      <c r="W27" s="88">
        <v>10.0</v>
      </c>
      <c r="X27" s="88">
        <v>6.0</v>
      </c>
      <c r="Y27" s="88" t="s">
        <v>2567</v>
      </c>
      <c r="Z27" s="88" t="s">
        <v>5785</v>
      </c>
      <c r="AA27" s="88" t="s">
        <v>2561</v>
      </c>
    </row>
    <row r="28">
      <c r="A28" s="95" t="s">
        <v>5786</v>
      </c>
      <c r="B28" s="88" t="s">
        <v>2143</v>
      </c>
      <c r="C28" s="88" t="s">
        <v>2143</v>
      </c>
      <c r="D28" s="95" t="s">
        <v>2150</v>
      </c>
      <c r="E28" s="95" t="s">
        <v>5722</v>
      </c>
      <c r="F28" s="88" t="s">
        <v>2151</v>
      </c>
      <c r="G28" s="88" t="s">
        <v>245</v>
      </c>
      <c r="H28" s="88" t="s">
        <v>2152</v>
      </c>
      <c r="J28" s="88" t="s">
        <v>5787</v>
      </c>
      <c r="K28" s="88" t="s">
        <v>2153</v>
      </c>
      <c r="L28" s="88" t="s">
        <v>557</v>
      </c>
      <c r="M28" s="88" t="s">
        <v>2154</v>
      </c>
      <c r="N28" s="88" t="s">
        <v>5777</v>
      </c>
      <c r="P28" s="88" t="s">
        <v>355</v>
      </c>
      <c r="Q28" s="88" t="s">
        <v>2155</v>
      </c>
      <c r="T28" s="88" t="s">
        <v>400</v>
      </c>
      <c r="U28" s="88" t="s">
        <v>5744</v>
      </c>
      <c r="V28" s="88">
        <v>10.0</v>
      </c>
      <c r="W28" s="88">
        <v>6.0</v>
      </c>
      <c r="X28" s="88">
        <v>6.0</v>
      </c>
      <c r="Y28" s="88" t="s">
        <v>2156</v>
      </c>
      <c r="Z28" s="88" t="s">
        <v>5463</v>
      </c>
      <c r="AA28" s="88" t="s">
        <v>361</v>
      </c>
    </row>
    <row r="29">
      <c r="A29" s="95" t="s">
        <v>5788</v>
      </c>
      <c r="B29" s="88" t="s">
        <v>2217</v>
      </c>
      <c r="C29" s="88" t="s">
        <v>2217</v>
      </c>
      <c r="D29" s="95" t="s">
        <v>2224</v>
      </c>
      <c r="E29" s="95" t="s">
        <v>5722</v>
      </c>
      <c r="F29" s="88" t="s">
        <v>2225</v>
      </c>
      <c r="G29" s="88" t="s">
        <v>245</v>
      </c>
      <c r="H29" s="88" t="s">
        <v>2226</v>
      </c>
      <c r="J29" s="88" t="s">
        <v>5789</v>
      </c>
      <c r="K29" s="88" t="s">
        <v>2227</v>
      </c>
      <c r="L29" s="88" t="s">
        <v>2228</v>
      </c>
      <c r="M29" s="88" t="s">
        <v>1042</v>
      </c>
      <c r="N29" s="88" t="s">
        <v>5755</v>
      </c>
      <c r="P29" s="88" t="s">
        <v>849</v>
      </c>
      <c r="Q29" s="88" t="s">
        <v>2229</v>
      </c>
      <c r="T29" s="88" t="s">
        <v>400</v>
      </c>
      <c r="U29" s="88" t="s">
        <v>5790</v>
      </c>
      <c r="V29" s="88">
        <v>5.0</v>
      </c>
      <c r="W29" s="88">
        <v>5.0</v>
      </c>
      <c r="X29" s="88">
        <v>9.5</v>
      </c>
      <c r="Y29" s="88" t="s">
        <v>2229</v>
      </c>
      <c r="Z29" s="88" t="s">
        <v>5463</v>
      </c>
      <c r="AA29" s="88" t="s">
        <v>5791</v>
      </c>
    </row>
    <row r="30">
      <c r="A30" s="95" t="s">
        <v>5792</v>
      </c>
      <c r="B30" s="88" t="s">
        <v>385</v>
      </c>
      <c r="C30" s="88" t="s">
        <v>385</v>
      </c>
      <c r="D30" s="95" t="s">
        <v>392</v>
      </c>
      <c r="E30" s="95" t="s">
        <v>5749</v>
      </c>
      <c r="F30" s="88" t="s">
        <v>393</v>
      </c>
      <c r="G30" s="88" t="s">
        <v>245</v>
      </c>
      <c r="H30" s="88" t="s">
        <v>395</v>
      </c>
      <c r="J30" s="88" t="s">
        <v>5793</v>
      </c>
      <c r="K30" s="88" t="s">
        <v>396</v>
      </c>
      <c r="L30" s="88" t="s">
        <v>397</v>
      </c>
      <c r="M30" s="88" t="s">
        <v>398</v>
      </c>
      <c r="N30" s="88">
        <v>90.0</v>
      </c>
      <c r="P30" s="88" t="s">
        <v>355</v>
      </c>
      <c r="T30" s="88" t="s">
        <v>400</v>
      </c>
      <c r="U30" s="88" t="s">
        <v>5794</v>
      </c>
      <c r="V30" s="88">
        <v>9.5</v>
      </c>
      <c r="W30" s="88">
        <v>5.5</v>
      </c>
      <c r="X30" s="88">
        <v>5.5</v>
      </c>
      <c r="Y30" s="88" t="s">
        <v>399</v>
      </c>
      <c r="Z30" s="88" t="s">
        <v>5795</v>
      </c>
      <c r="AA30" s="88" t="s">
        <v>361</v>
      </c>
    </row>
    <row r="31">
      <c r="A31" s="95" t="s">
        <v>5796</v>
      </c>
      <c r="B31" s="88" t="s">
        <v>2512</v>
      </c>
      <c r="C31" s="88" t="s">
        <v>2512</v>
      </c>
      <c r="D31" s="95" t="s">
        <v>2518</v>
      </c>
      <c r="E31" s="95" t="s">
        <v>5722</v>
      </c>
      <c r="F31" s="88" t="s">
        <v>1037</v>
      </c>
      <c r="G31" s="88" t="s">
        <v>245</v>
      </c>
      <c r="H31" s="88" t="s">
        <v>1039</v>
      </c>
      <c r="J31" s="88" t="s">
        <v>5797</v>
      </c>
      <c r="K31" s="88" t="s">
        <v>1040</v>
      </c>
      <c r="L31" s="88" t="s">
        <v>557</v>
      </c>
      <c r="M31" s="88" t="s">
        <v>1042</v>
      </c>
      <c r="N31" s="88" t="s">
        <v>5743</v>
      </c>
      <c r="P31" s="88" t="s">
        <v>849</v>
      </c>
      <c r="Q31" s="88" t="s">
        <v>1044</v>
      </c>
      <c r="T31" s="88" t="s">
        <v>400</v>
      </c>
      <c r="U31" s="88" t="s">
        <v>5744</v>
      </c>
      <c r="V31" s="88">
        <v>10.0</v>
      </c>
      <c r="W31" s="88">
        <v>6.0</v>
      </c>
      <c r="X31" s="88">
        <v>6.0</v>
      </c>
      <c r="Y31" s="88" t="s">
        <v>1044</v>
      </c>
      <c r="Z31" s="88" t="s">
        <v>5795</v>
      </c>
      <c r="AA31" s="88" t="s">
        <v>361</v>
      </c>
    </row>
    <row r="32">
      <c r="A32" s="95" t="s">
        <v>5798</v>
      </c>
      <c r="B32" s="88" t="s">
        <v>2519</v>
      </c>
      <c r="C32" s="88" t="s">
        <v>2519</v>
      </c>
      <c r="D32" s="95" t="s">
        <v>2526</v>
      </c>
      <c r="E32" s="95" t="s">
        <v>5722</v>
      </c>
      <c r="F32" s="88" t="s">
        <v>1037</v>
      </c>
      <c r="G32" s="88" t="s">
        <v>245</v>
      </c>
      <c r="N32" s="88" t="s">
        <v>2237</v>
      </c>
      <c r="T32" s="88" t="s">
        <v>400</v>
      </c>
      <c r="U32" s="88" t="s">
        <v>5747</v>
      </c>
      <c r="V32" s="88">
        <v>21.0</v>
      </c>
      <c r="W32" s="88">
        <v>14.0</v>
      </c>
      <c r="X32" s="88">
        <v>5.7</v>
      </c>
      <c r="Z32" s="88" t="s">
        <v>5795</v>
      </c>
      <c r="AA32" s="88" t="s">
        <v>361</v>
      </c>
    </row>
    <row r="33">
      <c r="A33" s="95" t="s">
        <v>5799</v>
      </c>
      <c r="B33" s="88" t="s">
        <v>1025</v>
      </c>
      <c r="C33" s="88" t="s">
        <v>1025</v>
      </c>
      <c r="D33" s="95">
        <v>4.620153902592E12</v>
      </c>
      <c r="E33" s="95" t="s">
        <v>5722</v>
      </c>
      <c r="F33" s="88" t="s">
        <v>1037</v>
      </c>
      <c r="G33" s="88" t="s">
        <v>245</v>
      </c>
      <c r="H33" s="88" t="s">
        <v>1039</v>
      </c>
      <c r="J33" s="88" t="s">
        <v>5797</v>
      </c>
      <c r="K33" s="88" t="s">
        <v>1040</v>
      </c>
      <c r="L33" s="88" t="s">
        <v>1041</v>
      </c>
      <c r="M33" s="88" t="s">
        <v>1042</v>
      </c>
      <c r="N33" s="88">
        <v>90.0</v>
      </c>
      <c r="P33" s="88" t="s">
        <v>355</v>
      </c>
      <c r="Q33" s="88" t="s">
        <v>1044</v>
      </c>
      <c r="T33" s="88" t="s">
        <v>400</v>
      </c>
      <c r="U33" s="88" t="s">
        <v>5800</v>
      </c>
      <c r="V33" s="88">
        <v>6.0</v>
      </c>
      <c r="W33" s="88">
        <v>6.0</v>
      </c>
      <c r="X33" s="88">
        <v>11.0</v>
      </c>
      <c r="Y33" s="88" t="s">
        <v>1044</v>
      </c>
      <c r="Z33" s="88" t="s">
        <v>5795</v>
      </c>
      <c r="AA33" s="88" t="s">
        <v>361</v>
      </c>
    </row>
    <row r="34">
      <c r="A34" s="95" t="s">
        <v>5801</v>
      </c>
      <c r="B34" s="88" t="s">
        <v>2327</v>
      </c>
      <c r="C34" s="88" t="s">
        <v>2327</v>
      </c>
      <c r="D34" s="95">
        <v>4.620153901175E12</v>
      </c>
      <c r="E34" s="95" t="s">
        <v>5722</v>
      </c>
      <c r="F34" s="88" t="s">
        <v>2323</v>
      </c>
      <c r="G34" s="88" t="s">
        <v>245</v>
      </c>
      <c r="H34" s="88" t="s">
        <v>2324</v>
      </c>
      <c r="J34" s="88" t="s">
        <v>5802</v>
      </c>
      <c r="K34" s="88" t="s">
        <v>2325</v>
      </c>
      <c r="L34" s="88" t="s">
        <v>1114</v>
      </c>
      <c r="M34" s="88" t="s">
        <v>947</v>
      </c>
      <c r="N34" s="88">
        <v>30.0</v>
      </c>
      <c r="P34" s="88" t="s">
        <v>2333</v>
      </c>
      <c r="Q34" s="88" t="s">
        <v>2334</v>
      </c>
      <c r="T34" s="88" t="s">
        <v>400</v>
      </c>
      <c r="U34" s="88" t="s">
        <v>5794</v>
      </c>
      <c r="V34" s="88">
        <v>9.5</v>
      </c>
      <c r="W34" s="88">
        <v>5.5</v>
      </c>
      <c r="X34" s="88">
        <v>5.5</v>
      </c>
      <c r="Y34" s="88" t="s">
        <v>2335</v>
      </c>
      <c r="Z34" s="88" t="s">
        <v>5803</v>
      </c>
      <c r="AA34" s="88" t="s">
        <v>361</v>
      </c>
    </row>
    <row r="35">
      <c r="A35" s="95" t="s">
        <v>5804</v>
      </c>
      <c r="B35" s="88" t="s">
        <v>2315</v>
      </c>
      <c r="C35" s="88" t="s">
        <v>2315</v>
      </c>
      <c r="D35" s="95" t="s">
        <v>2322</v>
      </c>
      <c r="E35" s="95" t="s">
        <v>5722</v>
      </c>
      <c r="F35" s="88" t="s">
        <v>2323</v>
      </c>
      <c r="G35" s="88" t="s">
        <v>245</v>
      </c>
      <c r="H35" s="88" t="s">
        <v>2324</v>
      </c>
      <c r="K35" s="88" t="s">
        <v>2325</v>
      </c>
      <c r="L35" s="88" t="s">
        <v>1114</v>
      </c>
      <c r="N35" s="88" t="s">
        <v>2237</v>
      </c>
      <c r="Q35" s="88" t="s">
        <v>2326</v>
      </c>
      <c r="T35" s="88" t="s">
        <v>400</v>
      </c>
      <c r="U35" s="88" t="s">
        <v>5747</v>
      </c>
      <c r="V35" s="88">
        <v>21.0</v>
      </c>
      <c r="W35" s="88">
        <v>14.0</v>
      </c>
      <c r="X35" s="88">
        <v>5.7</v>
      </c>
      <c r="Z35" s="88" t="s">
        <v>5803</v>
      </c>
      <c r="AA35" s="88" t="s">
        <v>361</v>
      </c>
    </row>
    <row r="36">
      <c r="A36" s="95" t="s">
        <v>5805</v>
      </c>
      <c r="B36" s="88" t="s">
        <v>934</v>
      </c>
      <c r="C36" s="88" t="s">
        <v>934</v>
      </c>
      <c r="D36" s="88">
        <v>4.630040228322E12</v>
      </c>
      <c r="E36" s="95" t="s">
        <v>5722</v>
      </c>
      <c r="F36" s="88" t="s">
        <v>943</v>
      </c>
      <c r="G36" s="88" t="s">
        <v>245</v>
      </c>
      <c r="H36" s="88" t="s">
        <v>945</v>
      </c>
      <c r="J36" s="88" t="s">
        <v>5802</v>
      </c>
      <c r="K36" s="88" t="s">
        <v>946</v>
      </c>
      <c r="L36" s="88" t="s">
        <v>557</v>
      </c>
      <c r="M36" s="88" t="s">
        <v>947</v>
      </c>
      <c r="N36" s="88" t="s">
        <v>5743</v>
      </c>
      <c r="P36" s="88" t="s">
        <v>849</v>
      </c>
      <c r="Q36" s="88" t="s">
        <v>2335</v>
      </c>
      <c r="T36" s="88" t="s">
        <v>400</v>
      </c>
      <c r="U36" s="88" t="s">
        <v>5744</v>
      </c>
      <c r="V36" s="88">
        <v>10.0</v>
      </c>
      <c r="W36" s="88">
        <v>6.0</v>
      </c>
      <c r="X36" s="88">
        <v>6.0</v>
      </c>
      <c r="Z36" s="88" t="s">
        <v>5806</v>
      </c>
      <c r="AA36" s="88" t="s">
        <v>361</v>
      </c>
    </row>
    <row r="37">
      <c r="A37" s="95" t="s">
        <v>5807</v>
      </c>
      <c r="B37" s="88" t="s">
        <v>2307</v>
      </c>
      <c r="C37" s="88" t="s">
        <v>2307</v>
      </c>
      <c r="D37" s="95" t="s">
        <v>2314</v>
      </c>
      <c r="E37" s="95" t="s">
        <v>5722</v>
      </c>
      <c r="G37" s="88" t="s">
        <v>245</v>
      </c>
      <c r="N37" s="88" t="s">
        <v>2237</v>
      </c>
      <c r="T37" s="88" t="s">
        <v>400</v>
      </c>
      <c r="U37" s="88" t="s">
        <v>5747</v>
      </c>
      <c r="V37" s="88">
        <v>21.0</v>
      </c>
      <c r="W37" s="88">
        <v>14.0</v>
      </c>
      <c r="X37" s="88">
        <v>5.7</v>
      </c>
      <c r="Z37" s="88" t="s">
        <v>5806</v>
      </c>
      <c r="AA37" s="88" t="s">
        <v>361</v>
      </c>
    </row>
    <row r="38">
      <c r="A38" s="95" t="s">
        <v>5808</v>
      </c>
      <c r="B38" s="88" t="s">
        <v>2083</v>
      </c>
      <c r="C38" s="88" t="s">
        <v>2083</v>
      </c>
      <c r="D38" s="95">
        <v>4.630040229756E12</v>
      </c>
      <c r="E38" s="95" t="s">
        <v>5749</v>
      </c>
      <c r="F38" s="88" t="s">
        <v>2090</v>
      </c>
      <c r="G38" s="88" t="s">
        <v>245</v>
      </c>
      <c r="H38" s="88" t="s">
        <v>2092</v>
      </c>
      <c r="J38" s="88" t="s">
        <v>5809</v>
      </c>
      <c r="K38" s="88" t="s">
        <v>2093</v>
      </c>
      <c r="L38" s="88" t="s">
        <v>557</v>
      </c>
      <c r="M38" s="88" t="s">
        <v>398</v>
      </c>
      <c r="N38" s="88">
        <v>60.0</v>
      </c>
      <c r="P38" s="88" t="s">
        <v>355</v>
      </c>
      <c r="Q38" s="88" t="s">
        <v>2094</v>
      </c>
      <c r="T38" s="88" t="s">
        <v>400</v>
      </c>
      <c r="U38" s="88" t="s">
        <v>5794</v>
      </c>
      <c r="V38" s="88">
        <v>9.5</v>
      </c>
      <c r="W38" s="88">
        <v>5.5</v>
      </c>
      <c r="X38" s="88">
        <v>5.5</v>
      </c>
      <c r="Y38" s="88" t="s">
        <v>2095</v>
      </c>
      <c r="Z38" s="88" t="s">
        <v>5745</v>
      </c>
      <c r="AA38" s="88" t="s">
        <v>361</v>
      </c>
    </row>
    <row r="39">
      <c r="A39" s="95" t="s">
        <v>5810</v>
      </c>
      <c r="B39" s="88" t="s">
        <v>2444</v>
      </c>
      <c r="C39" s="88" t="s">
        <v>2444</v>
      </c>
      <c r="D39" s="95" t="s">
        <v>2453</v>
      </c>
      <c r="E39" s="95" t="s">
        <v>5811</v>
      </c>
      <c r="F39" s="88" t="s">
        <v>2454</v>
      </c>
      <c r="G39" s="88" t="s">
        <v>245</v>
      </c>
      <c r="H39" s="88" t="s">
        <v>2456</v>
      </c>
      <c r="J39" s="88" t="s">
        <v>5812</v>
      </c>
      <c r="K39" s="88" t="s">
        <v>1303</v>
      </c>
      <c r="L39" s="88" t="s">
        <v>557</v>
      </c>
      <c r="M39" s="88" t="s">
        <v>2457</v>
      </c>
      <c r="N39" s="88" t="s">
        <v>5755</v>
      </c>
      <c r="P39" s="88" t="s">
        <v>849</v>
      </c>
      <c r="Q39" s="88" t="s">
        <v>2458</v>
      </c>
      <c r="T39" s="88" t="s">
        <v>400</v>
      </c>
      <c r="U39" s="88" t="s">
        <v>5761</v>
      </c>
      <c r="V39" s="88">
        <v>5.5</v>
      </c>
      <c r="W39" s="88">
        <v>5.5</v>
      </c>
      <c r="X39" s="88">
        <v>9.5</v>
      </c>
      <c r="Y39" s="88" t="s">
        <v>2458</v>
      </c>
      <c r="Z39" s="88" t="s">
        <v>5813</v>
      </c>
      <c r="AA39" s="88" t="s">
        <v>2452</v>
      </c>
    </row>
    <row r="40">
      <c r="A40" s="95" t="s">
        <v>5814</v>
      </c>
      <c r="B40" s="88" t="s">
        <v>2459</v>
      </c>
      <c r="C40" s="88" t="s">
        <v>2459</v>
      </c>
      <c r="D40" s="95" t="s">
        <v>2466</v>
      </c>
      <c r="E40" s="95" t="s">
        <v>5811</v>
      </c>
      <c r="G40" s="88" t="s">
        <v>245</v>
      </c>
      <c r="U40" s="88" t="s">
        <v>5747</v>
      </c>
      <c r="V40" s="88">
        <v>21.0</v>
      </c>
      <c r="W40" s="88">
        <v>14.0</v>
      </c>
      <c r="X40" s="88">
        <v>5.7</v>
      </c>
      <c r="Z40" s="88" t="s">
        <v>5813</v>
      </c>
      <c r="AA40" s="88" t="s">
        <v>2452</v>
      </c>
    </row>
    <row r="41">
      <c r="A41" s="95" t="s">
        <v>5815</v>
      </c>
      <c r="B41" s="88" t="s">
        <v>2502</v>
      </c>
      <c r="C41" s="88" t="s">
        <v>2502</v>
      </c>
      <c r="D41" s="95" t="s">
        <v>2507</v>
      </c>
      <c r="E41" s="95" t="s">
        <v>5811</v>
      </c>
      <c r="G41" s="88" t="s">
        <v>245</v>
      </c>
      <c r="U41" s="88" t="s">
        <v>5747</v>
      </c>
      <c r="V41" s="88">
        <v>21.0</v>
      </c>
      <c r="W41" s="88">
        <v>14.0</v>
      </c>
      <c r="X41" s="88">
        <v>5.7</v>
      </c>
      <c r="Z41" s="88" t="s">
        <v>5813</v>
      </c>
      <c r="AA41" s="88" t="s">
        <v>2452</v>
      </c>
    </row>
    <row r="42">
      <c r="A42" s="95" t="s">
        <v>5816</v>
      </c>
      <c r="B42" s="88" t="s">
        <v>2069</v>
      </c>
      <c r="C42" s="88" t="s">
        <v>2069</v>
      </c>
      <c r="D42" s="95" t="s">
        <v>2075</v>
      </c>
      <c r="E42" s="95" t="s">
        <v>5722</v>
      </c>
      <c r="F42" s="88" t="s">
        <v>2076</v>
      </c>
      <c r="G42" s="88" t="s">
        <v>245</v>
      </c>
      <c r="H42" s="88" t="s">
        <v>2077</v>
      </c>
      <c r="J42" s="88" t="s">
        <v>5817</v>
      </c>
      <c r="K42" s="88" t="s">
        <v>2078</v>
      </c>
      <c r="L42" s="88" t="s">
        <v>2079</v>
      </c>
      <c r="M42" s="88" t="s">
        <v>2080</v>
      </c>
      <c r="N42" s="88" t="s">
        <v>5777</v>
      </c>
      <c r="P42" s="88" t="s">
        <v>726</v>
      </c>
      <c r="Q42" s="88" t="s">
        <v>2081</v>
      </c>
      <c r="T42" s="88" t="s">
        <v>400</v>
      </c>
      <c r="U42" s="88" t="s">
        <v>5744</v>
      </c>
      <c r="V42" s="88">
        <v>10.0</v>
      </c>
      <c r="W42" s="88">
        <v>6.0</v>
      </c>
      <c r="X42" s="88">
        <v>6.0</v>
      </c>
      <c r="Y42" s="88" t="s">
        <v>2082</v>
      </c>
      <c r="Z42" s="88" t="s">
        <v>5745</v>
      </c>
      <c r="AA42" s="88" t="s">
        <v>361</v>
      </c>
    </row>
    <row r="43">
      <c r="A43" s="95" t="s">
        <v>5818</v>
      </c>
      <c r="B43" s="88" t="s">
        <v>2178</v>
      </c>
      <c r="C43" s="88" t="s">
        <v>2178</v>
      </c>
      <c r="D43" s="95" t="s">
        <v>2183</v>
      </c>
      <c r="E43" s="95" t="s">
        <v>5722</v>
      </c>
      <c r="F43" s="88" t="s">
        <v>2184</v>
      </c>
      <c r="G43" s="88" t="s">
        <v>245</v>
      </c>
      <c r="H43" s="88" t="s">
        <v>2185</v>
      </c>
      <c r="J43" s="88" t="s">
        <v>5819</v>
      </c>
      <c r="K43" s="88" t="s">
        <v>2186</v>
      </c>
      <c r="L43" s="88" t="s">
        <v>2187</v>
      </c>
      <c r="M43" s="88" t="s">
        <v>2188</v>
      </c>
      <c r="N43" s="88" t="s">
        <v>5755</v>
      </c>
      <c r="P43" s="88" t="s">
        <v>849</v>
      </c>
      <c r="Q43" s="88" t="s">
        <v>2189</v>
      </c>
      <c r="T43" s="88" t="s">
        <v>400</v>
      </c>
      <c r="U43" s="88" t="s">
        <v>5744</v>
      </c>
      <c r="V43" s="88">
        <v>10.0</v>
      </c>
      <c r="W43" s="88">
        <v>6.0</v>
      </c>
      <c r="X43" s="88">
        <v>6.0</v>
      </c>
      <c r="Y43" s="88" t="s">
        <v>2190</v>
      </c>
      <c r="Z43" s="88" t="s">
        <v>5463</v>
      </c>
      <c r="AA43" s="88" t="s">
        <v>361</v>
      </c>
    </row>
    <row r="44">
      <c r="A44" s="95" t="s">
        <v>5820</v>
      </c>
      <c r="B44" s="88" t="s">
        <v>2205</v>
      </c>
      <c r="C44" s="88" t="s">
        <v>2205</v>
      </c>
      <c r="D44" s="95" t="s">
        <v>2212</v>
      </c>
      <c r="E44" s="95" t="s">
        <v>5821</v>
      </c>
      <c r="F44" s="88" t="s">
        <v>2213</v>
      </c>
      <c r="G44" s="88" t="s">
        <v>245</v>
      </c>
      <c r="H44" s="88" t="s">
        <v>2214</v>
      </c>
      <c r="J44" s="88" t="s">
        <v>5822</v>
      </c>
      <c r="K44" s="88" t="s">
        <v>2215</v>
      </c>
      <c r="L44" s="88" t="s">
        <v>557</v>
      </c>
      <c r="M44" s="88" t="s">
        <v>882</v>
      </c>
      <c r="N44" s="88" t="s">
        <v>5743</v>
      </c>
      <c r="P44" s="88" t="s">
        <v>849</v>
      </c>
      <c r="Q44" s="88" t="s">
        <v>2216</v>
      </c>
      <c r="T44" s="88" t="s">
        <v>400</v>
      </c>
      <c r="U44" s="88" t="s">
        <v>5790</v>
      </c>
      <c r="V44" s="88">
        <v>5.0</v>
      </c>
      <c r="W44" s="88">
        <v>5.0</v>
      </c>
      <c r="X44" s="88">
        <v>9.5</v>
      </c>
      <c r="Y44" s="88" t="s">
        <v>2216</v>
      </c>
      <c r="Z44" s="88" t="s">
        <v>5463</v>
      </c>
      <c r="AA44" s="88" t="s">
        <v>361</v>
      </c>
    </row>
    <row r="45">
      <c r="A45" s="95" t="s">
        <v>5823</v>
      </c>
      <c r="B45" s="88" t="s">
        <v>2254</v>
      </c>
      <c r="C45" s="88" t="s">
        <v>2254</v>
      </c>
      <c r="D45" s="95">
        <v>4.620153903698E12</v>
      </c>
      <c r="E45" s="95" t="s">
        <v>5722</v>
      </c>
      <c r="F45" s="88" t="s">
        <v>2213</v>
      </c>
      <c r="G45" s="88" t="s">
        <v>245</v>
      </c>
      <c r="H45" s="88" t="s">
        <v>2259</v>
      </c>
      <c r="J45" s="88" t="s">
        <v>5822</v>
      </c>
      <c r="K45" s="88" t="s">
        <v>2260</v>
      </c>
      <c r="L45" s="88" t="s">
        <v>2261</v>
      </c>
      <c r="M45" s="88" t="s">
        <v>2262</v>
      </c>
      <c r="N45" s="88">
        <v>60.0</v>
      </c>
      <c r="P45" s="88" t="s">
        <v>849</v>
      </c>
      <c r="Q45" s="88" t="s">
        <v>2216</v>
      </c>
      <c r="T45" s="88" t="s">
        <v>2263</v>
      </c>
      <c r="U45" s="88" t="s">
        <v>5824</v>
      </c>
      <c r="V45" s="88">
        <v>5.0</v>
      </c>
      <c r="W45" s="88">
        <v>9.0</v>
      </c>
      <c r="X45" s="88">
        <v>9.0</v>
      </c>
      <c r="Z45" s="88" t="s">
        <v>5463</v>
      </c>
      <c r="AA45" s="88" t="s">
        <v>361</v>
      </c>
    </row>
    <row r="46">
      <c r="A46" s="95" t="s">
        <v>5825</v>
      </c>
      <c r="B46" s="88" t="s">
        <v>2230</v>
      </c>
      <c r="C46" s="88" t="s">
        <v>2230</v>
      </c>
      <c r="D46" s="95" t="s">
        <v>2236</v>
      </c>
      <c r="E46" s="95"/>
      <c r="F46" s="88" t="s">
        <v>2213</v>
      </c>
      <c r="G46" s="88" t="s">
        <v>245</v>
      </c>
      <c r="N46" s="88" t="s">
        <v>2237</v>
      </c>
      <c r="U46" s="88" t="s">
        <v>5747</v>
      </c>
      <c r="V46" s="88">
        <v>21.0</v>
      </c>
      <c r="W46" s="88">
        <v>14.0</v>
      </c>
      <c r="X46" s="88">
        <v>5.7</v>
      </c>
      <c r="Z46" s="88" t="s">
        <v>5463</v>
      </c>
      <c r="AA46" s="88" t="s">
        <v>361</v>
      </c>
    </row>
    <row r="47">
      <c r="A47" s="95" t="s">
        <v>5826</v>
      </c>
      <c r="B47" s="88" t="s">
        <v>1988</v>
      </c>
      <c r="C47" s="88" t="s">
        <v>1988</v>
      </c>
      <c r="D47" s="95" t="s">
        <v>1993</v>
      </c>
      <c r="E47" s="95" t="s">
        <v>5722</v>
      </c>
      <c r="F47" s="88" t="s">
        <v>1994</v>
      </c>
      <c r="G47" s="88" t="s">
        <v>1945</v>
      </c>
      <c r="H47" s="88" t="s">
        <v>1995</v>
      </c>
      <c r="J47" s="88" t="s">
        <v>5827</v>
      </c>
      <c r="K47" s="88" t="s">
        <v>1996</v>
      </c>
      <c r="L47" s="88" t="s">
        <v>1997</v>
      </c>
      <c r="M47" s="88" t="s">
        <v>1998</v>
      </c>
      <c r="N47" s="88" t="s">
        <v>5828</v>
      </c>
      <c r="P47" s="88" t="s">
        <v>726</v>
      </c>
      <c r="Q47" s="88" t="s">
        <v>1999</v>
      </c>
      <c r="T47" s="88" t="s">
        <v>2001</v>
      </c>
      <c r="U47" s="88" t="s">
        <v>5829</v>
      </c>
      <c r="V47" s="88">
        <v>7.0</v>
      </c>
      <c r="W47" s="88">
        <v>7.0</v>
      </c>
      <c r="X47" s="88">
        <v>8.0</v>
      </c>
      <c r="Y47" s="88" t="s">
        <v>2000</v>
      </c>
      <c r="Z47" s="88" t="s">
        <v>5463</v>
      </c>
      <c r="AA47" s="88" t="s">
        <v>5830</v>
      </c>
    </row>
    <row r="48">
      <c r="A48" s="95" t="s">
        <v>5831</v>
      </c>
      <c r="B48" s="88" t="s">
        <v>1139</v>
      </c>
      <c r="C48" s="88" t="s">
        <v>1139</v>
      </c>
      <c r="D48" s="95">
        <v>4.607025202875E12</v>
      </c>
      <c r="E48" s="95" t="s">
        <v>5749</v>
      </c>
      <c r="F48" s="88" t="s">
        <v>1149</v>
      </c>
      <c r="G48" s="88" t="s">
        <v>245</v>
      </c>
      <c r="H48" s="88" t="s">
        <v>1150</v>
      </c>
      <c r="J48" s="88" t="s">
        <v>5832</v>
      </c>
      <c r="K48" s="88" t="s">
        <v>1151</v>
      </c>
      <c r="L48" s="88" t="s">
        <v>557</v>
      </c>
      <c r="M48" s="88" t="s">
        <v>398</v>
      </c>
      <c r="N48" s="88" t="s">
        <v>5833</v>
      </c>
      <c r="P48" s="88" t="s">
        <v>355</v>
      </c>
      <c r="Q48" s="88" t="s">
        <v>5834</v>
      </c>
      <c r="T48" s="88" t="s">
        <v>901</v>
      </c>
      <c r="U48" s="88" t="s">
        <v>5835</v>
      </c>
      <c r="V48" s="88">
        <v>9.5</v>
      </c>
      <c r="W48" s="88">
        <v>5.2</v>
      </c>
      <c r="X48" s="88">
        <v>5.2</v>
      </c>
      <c r="Y48" s="88" t="s">
        <v>1153</v>
      </c>
      <c r="Z48" s="88" t="s">
        <v>5463</v>
      </c>
      <c r="AA48" s="88" t="s">
        <v>361</v>
      </c>
    </row>
    <row r="49">
      <c r="A49" s="95" t="s">
        <v>5836</v>
      </c>
      <c r="B49" s="88" t="s">
        <v>870</v>
      </c>
      <c r="C49" s="88" t="s">
        <v>870</v>
      </c>
      <c r="D49" s="95" t="s">
        <v>878</v>
      </c>
      <c r="E49" s="95" t="s">
        <v>5722</v>
      </c>
      <c r="F49" s="88" t="s">
        <v>879</v>
      </c>
      <c r="G49" s="88" t="s">
        <v>245</v>
      </c>
      <c r="H49" s="88" t="s">
        <v>880</v>
      </c>
      <c r="J49" s="88" t="s">
        <v>5837</v>
      </c>
      <c r="K49" s="88" t="s">
        <v>881</v>
      </c>
      <c r="L49" s="88" t="s">
        <v>557</v>
      </c>
      <c r="M49" s="88" t="s">
        <v>882</v>
      </c>
      <c r="N49" s="88" t="s">
        <v>5743</v>
      </c>
      <c r="P49" s="88" t="s">
        <v>849</v>
      </c>
      <c r="Q49" s="88" t="s">
        <v>883</v>
      </c>
      <c r="T49" s="88" t="s">
        <v>400</v>
      </c>
      <c r="U49" s="88" t="s">
        <v>5761</v>
      </c>
      <c r="V49" s="88">
        <v>5.5</v>
      </c>
      <c r="W49" s="88">
        <v>5.5</v>
      </c>
      <c r="X49" s="88">
        <v>9.5</v>
      </c>
      <c r="Y49" s="88" t="s">
        <v>883</v>
      </c>
      <c r="Z49" s="88" t="s">
        <v>5838</v>
      </c>
      <c r="AA49" s="88" t="s">
        <v>361</v>
      </c>
    </row>
    <row r="50">
      <c r="A50" s="95" t="s">
        <v>5839</v>
      </c>
      <c r="B50" s="88" t="s">
        <v>2238</v>
      </c>
      <c r="C50" s="88" t="s">
        <v>2238</v>
      </c>
      <c r="D50" s="95" t="s">
        <v>2245</v>
      </c>
      <c r="E50" s="95"/>
      <c r="G50" s="88" t="s">
        <v>245</v>
      </c>
      <c r="T50" s="88" t="s">
        <v>400</v>
      </c>
      <c r="U50" s="88" t="s">
        <v>5747</v>
      </c>
      <c r="V50" s="88">
        <v>21.0</v>
      </c>
      <c r="W50" s="88">
        <v>14.0</v>
      </c>
      <c r="X50" s="88">
        <v>5.7</v>
      </c>
      <c r="Z50" s="88" t="s">
        <v>5838</v>
      </c>
      <c r="AA50" s="88" t="s">
        <v>361</v>
      </c>
    </row>
    <row r="51">
      <c r="A51" s="95" t="s">
        <v>5840</v>
      </c>
      <c r="B51" s="88" t="s">
        <v>1667</v>
      </c>
      <c r="C51" s="88" t="s">
        <v>1667</v>
      </c>
      <c r="D51" s="95">
        <v>4.63020514234E12</v>
      </c>
      <c r="E51" s="95" t="s">
        <v>5722</v>
      </c>
      <c r="F51" s="88" t="s">
        <v>1676</v>
      </c>
      <c r="G51" s="88" t="s">
        <v>245</v>
      </c>
      <c r="H51" s="88" t="s">
        <v>1678</v>
      </c>
      <c r="J51" s="88" t="s">
        <v>5841</v>
      </c>
      <c r="K51" s="88" t="s">
        <v>1679</v>
      </c>
      <c r="L51" s="88" t="s">
        <v>490</v>
      </c>
      <c r="M51" s="88" t="s">
        <v>1680</v>
      </c>
      <c r="N51" s="88" t="s">
        <v>5842</v>
      </c>
      <c r="P51" s="88" t="s">
        <v>355</v>
      </c>
      <c r="Q51" s="88" t="s">
        <v>5843</v>
      </c>
      <c r="T51" s="88" t="s">
        <v>494</v>
      </c>
      <c r="U51" s="88" t="s">
        <v>5844</v>
      </c>
      <c r="V51" s="88">
        <v>6.5</v>
      </c>
      <c r="W51" s="88">
        <v>6.5</v>
      </c>
      <c r="X51" s="88">
        <v>12.0</v>
      </c>
      <c r="Y51" s="88" t="s">
        <v>1682</v>
      </c>
      <c r="Z51" s="88" t="s">
        <v>5845</v>
      </c>
      <c r="AA51" s="88" t="s">
        <v>669</v>
      </c>
    </row>
    <row r="52">
      <c r="A52" s="95" t="s">
        <v>5846</v>
      </c>
      <c r="B52" s="88" t="s">
        <v>2033</v>
      </c>
      <c r="C52" s="88" t="s">
        <v>2033</v>
      </c>
      <c r="D52" s="95">
        <v>4.607025202899E12</v>
      </c>
      <c r="E52" s="95" t="s">
        <v>5722</v>
      </c>
      <c r="F52" s="88" t="s">
        <v>2040</v>
      </c>
      <c r="G52" s="88" t="s">
        <v>245</v>
      </c>
      <c r="H52" s="88" t="s">
        <v>2041</v>
      </c>
      <c r="J52" s="88" t="s">
        <v>5847</v>
      </c>
      <c r="K52" s="88" t="s">
        <v>2042</v>
      </c>
      <c r="L52" s="88" t="s">
        <v>2043</v>
      </c>
      <c r="M52" s="88" t="s">
        <v>2044</v>
      </c>
      <c r="N52" s="88" t="s">
        <v>5848</v>
      </c>
      <c r="P52" s="88" t="s">
        <v>355</v>
      </c>
      <c r="Q52" s="88" t="s">
        <v>2046</v>
      </c>
      <c r="T52" s="88" t="s">
        <v>901</v>
      </c>
      <c r="U52" s="88" t="s">
        <v>5761</v>
      </c>
      <c r="V52" s="88">
        <v>5.5</v>
      </c>
      <c r="W52" s="88">
        <v>5.5</v>
      </c>
      <c r="X52" s="88">
        <v>9.5</v>
      </c>
      <c r="Y52" s="88" t="s">
        <v>2047</v>
      </c>
      <c r="Z52" s="88" t="s">
        <v>5463</v>
      </c>
      <c r="AA52" s="88" t="s">
        <v>361</v>
      </c>
    </row>
    <row r="53">
      <c r="A53" s="95" t="s">
        <v>5849</v>
      </c>
      <c r="B53" s="88" t="s">
        <v>1120</v>
      </c>
      <c r="C53" s="88" t="s">
        <v>1120</v>
      </c>
      <c r="D53" s="95">
        <v>4.670142964339E12</v>
      </c>
      <c r="E53" s="95" t="s">
        <v>5722</v>
      </c>
      <c r="F53" s="88" t="s">
        <v>1131</v>
      </c>
      <c r="G53" s="88" t="s">
        <v>245</v>
      </c>
      <c r="H53" s="88" t="s">
        <v>1133</v>
      </c>
      <c r="J53" s="88" t="s">
        <v>5850</v>
      </c>
      <c r="K53" s="88" t="s">
        <v>1134</v>
      </c>
      <c r="L53" s="88" t="s">
        <v>1135</v>
      </c>
      <c r="M53" s="88" t="s">
        <v>1136</v>
      </c>
      <c r="N53" s="88" t="s">
        <v>5738</v>
      </c>
      <c r="P53" s="88" t="s">
        <v>355</v>
      </c>
      <c r="Q53" s="88" t="s">
        <v>1137</v>
      </c>
      <c r="T53" s="88" t="s">
        <v>968</v>
      </c>
      <c r="U53" s="88" t="s">
        <v>5851</v>
      </c>
      <c r="V53" s="88">
        <v>3.5</v>
      </c>
      <c r="W53" s="88">
        <v>3.5</v>
      </c>
      <c r="X53" s="88">
        <v>11.0</v>
      </c>
      <c r="Y53" s="88" t="s">
        <v>1138</v>
      </c>
      <c r="Z53" s="88" t="s">
        <v>5463</v>
      </c>
      <c r="AA53" s="88" t="s">
        <v>361</v>
      </c>
    </row>
    <row r="54">
      <c r="A54" s="95" t="s">
        <v>5852</v>
      </c>
      <c r="B54" s="88" t="s">
        <v>2392</v>
      </c>
      <c r="C54" s="88" t="s">
        <v>2392</v>
      </c>
      <c r="D54" s="95">
        <v>4.670110185179E12</v>
      </c>
      <c r="E54" s="95" t="s">
        <v>5722</v>
      </c>
      <c r="F54" s="88" t="s">
        <v>2399</v>
      </c>
      <c r="G54" s="88" t="s">
        <v>245</v>
      </c>
      <c r="H54" s="88" t="s">
        <v>2400</v>
      </c>
      <c r="J54" s="88" t="s">
        <v>5853</v>
      </c>
      <c r="K54" s="88" t="s">
        <v>2401</v>
      </c>
      <c r="L54" s="88" t="s">
        <v>2402</v>
      </c>
      <c r="M54" s="88" t="s">
        <v>2403</v>
      </c>
      <c r="N54" s="88" t="s">
        <v>5854</v>
      </c>
      <c r="P54" s="88" t="s">
        <v>355</v>
      </c>
      <c r="Q54" s="88" t="s">
        <v>2404</v>
      </c>
      <c r="T54" s="88" t="s">
        <v>1118</v>
      </c>
      <c r="U54" s="88" t="s">
        <v>5855</v>
      </c>
      <c r="V54" s="88">
        <v>7.5</v>
      </c>
      <c r="W54" s="88">
        <v>7.5</v>
      </c>
      <c r="X54" s="88">
        <v>12.0</v>
      </c>
      <c r="Y54" s="88" t="s">
        <v>2405</v>
      </c>
      <c r="Z54" s="88" t="s">
        <v>5856</v>
      </c>
      <c r="AA54" s="88" t="s">
        <v>361</v>
      </c>
    </row>
    <row r="55">
      <c r="A55" s="95" t="s">
        <v>5857</v>
      </c>
      <c r="B55" s="88" t="s">
        <v>2527</v>
      </c>
      <c r="C55" s="88" t="s">
        <v>2527</v>
      </c>
      <c r="D55" s="95">
        <v>4.63020514276E12</v>
      </c>
      <c r="E55" s="95" t="s">
        <v>5722</v>
      </c>
      <c r="F55" s="88" t="s">
        <v>2535</v>
      </c>
      <c r="G55" s="88" t="s">
        <v>245</v>
      </c>
      <c r="H55" s="88" t="s">
        <v>2536</v>
      </c>
      <c r="J55" s="88" t="s">
        <v>5858</v>
      </c>
      <c r="K55" s="88" t="s">
        <v>2537</v>
      </c>
      <c r="L55" s="88" t="s">
        <v>2402</v>
      </c>
      <c r="M55" s="88" t="s">
        <v>2403</v>
      </c>
      <c r="N55" s="88">
        <v>60.0</v>
      </c>
      <c r="P55" s="88" t="s">
        <v>355</v>
      </c>
      <c r="Q55" s="88" t="s">
        <v>2538</v>
      </c>
      <c r="T55" s="88" t="s">
        <v>494</v>
      </c>
      <c r="U55" s="88" t="s">
        <v>5859</v>
      </c>
      <c r="V55" s="88">
        <v>6.0</v>
      </c>
      <c r="W55" s="88">
        <v>6.0</v>
      </c>
      <c r="X55" s="88">
        <v>11.5</v>
      </c>
      <c r="Y55" s="88" t="s">
        <v>2539</v>
      </c>
      <c r="Z55" s="88" t="s">
        <v>5860</v>
      </c>
      <c r="AA55" s="88" t="s">
        <v>528</v>
      </c>
    </row>
    <row r="56">
      <c r="A56" s="95" t="s">
        <v>5861</v>
      </c>
      <c r="B56" s="88" t="s">
        <v>1590</v>
      </c>
      <c r="C56" s="88" t="s">
        <v>1590</v>
      </c>
      <c r="D56" s="95">
        <v>4.620153901908E12</v>
      </c>
      <c r="E56" s="95" t="s">
        <v>5722</v>
      </c>
      <c r="F56" s="88" t="s">
        <v>1599</v>
      </c>
      <c r="G56" s="88" t="s">
        <v>245</v>
      </c>
      <c r="H56" s="88" t="s">
        <v>1601</v>
      </c>
      <c r="J56" s="88" t="s">
        <v>5862</v>
      </c>
      <c r="K56" s="88" t="s">
        <v>1602</v>
      </c>
      <c r="L56" s="88" t="s">
        <v>557</v>
      </c>
      <c r="M56" s="88" t="s">
        <v>1603</v>
      </c>
      <c r="N56" s="88">
        <v>60.0</v>
      </c>
      <c r="P56" s="88" t="s">
        <v>355</v>
      </c>
      <c r="Q56" s="88" t="s">
        <v>1604</v>
      </c>
      <c r="T56" s="88" t="s">
        <v>400</v>
      </c>
      <c r="U56" s="88" t="s">
        <v>5761</v>
      </c>
      <c r="V56" s="88">
        <v>5.5</v>
      </c>
      <c r="W56" s="88">
        <v>5.5</v>
      </c>
      <c r="X56" s="88">
        <v>9.5</v>
      </c>
      <c r="Y56" s="88" t="s">
        <v>1605</v>
      </c>
      <c r="Z56" s="88" t="s">
        <v>5856</v>
      </c>
      <c r="AA56" s="88" t="s">
        <v>361</v>
      </c>
    </row>
    <row r="57">
      <c r="A57" s="95" t="s">
        <v>5863</v>
      </c>
      <c r="B57" s="88" t="s">
        <v>1716</v>
      </c>
      <c r="C57" s="88" t="s">
        <v>1716</v>
      </c>
      <c r="D57" s="95">
        <v>4.603335716026E12</v>
      </c>
      <c r="E57" s="95" t="s">
        <v>5722</v>
      </c>
      <c r="F57" s="88" t="s">
        <v>1727</v>
      </c>
      <c r="G57" s="88" t="s">
        <v>245</v>
      </c>
      <c r="H57" s="88" t="s">
        <v>1729</v>
      </c>
      <c r="J57" s="88" t="s">
        <v>5864</v>
      </c>
      <c r="K57" s="88" t="s">
        <v>1730</v>
      </c>
      <c r="L57" s="88" t="s">
        <v>1731</v>
      </c>
      <c r="M57" s="88" t="s">
        <v>1732</v>
      </c>
      <c r="N57" s="88">
        <v>90.0</v>
      </c>
      <c r="P57" s="88" t="s">
        <v>355</v>
      </c>
      <c r="Q57" s="88" t="s">
        <v>1733</v>
      </c>
      <c r="T57" s="88" t="s">
        <v>518</v>
      </c>
      <c r="U57" s="88" t="s">
        <v>5865</v>
      </c>
      <c r="V57" s="88">
        <v>5.0</v>
      </c>
      <c r="W57" s="88">
        <v>5.0</v>
      </c>
      <c r="X57" s="88">
        <v>11.0</v>
      </c>
      <c r="Y57" s="88" t="s">
        <v>1734</v>
      </c>
      <c r="Z57" s="88" t="s">
        <v>5866</v>
      </c>
      <c r="AA57" s="88" t="s">
        <v>1725</v>
      </c>
    </row>
    <row r="58">
      <c r="A58" s="95" t="s">
        <v>5867</v>
      </c>
      <c r="B58" s="88" t="s">
        <v>2406</v>
      </c>
      <c r="C58" s="88" t="s">
        <v>2406</v>
      </c>
      <c r="D58" s="95">
        <v>4.603335716019E12</v>
      </c>
      <c r="E58" s="95" t="s">
        <v>5722</v>
      </c>
      <c r="F58" s="88" t="s">
        <v>2413</v>
      </c>
      <c r="G58" s="88" t="s">
        <v>245</v>
      </c>
      <c r="H58" s="88" t="s">
        <v>2414</v>
      </c>
      <c r="J58" s="88" t="s">
        <v>5868</v>
      </c>
      <c r="K58" s="88" t="s">
        <v>512</v>
      </c>
      <c r="L58" s="88" t="s">
        <v>2415</v>
      </c>
      <c r="M58" s="88" t="s">
        <v>514</v>
      </c>
      <c r="N58" s="88">
        <v>90.0</v>
      </c>
      <c r="P58" s="88" t="s">
        <v>355</v>
      </c>
      <c r="Q58" s="88" t="s">
        <v>2416</v>
      </c>
      <c r="T58" s="88" t="s">
        <v>518</v>
      </c>
      <c r="U58" s="88" t="s">
        <v>5869</v>
      </c>
      <c r="V58" s="88">
        <v>4.8</v>
      </c>
      <c r="W58" s="88">
        <v>4.8</v>
      </c>
      <c r="X58" s="88">
        <v>11.0</v>
      </c>
      <c r="Y58" s="88" t="s">
        <v>2417</v>
      </c>
      <c r="Z58" s="88" t="s">
        <v>5866</v>
      </c>
      <c r="AA58" s="88" t="s">
        <v>361</v>
      </c>
    </row>
    <row r="59">
      <c r="A59" s="95" t="s">
        <v>5870</v>
      </c>
      <c r="B59" s="88" t="s">
        <v>2630</v>
      </c>
      <c r="C59" s="88" t="s">
        <v>2630</v>
      </c>
      <c r="D59" s="95">
        <v>4.670110185162E12</v>
      </c>
      <c r="E59" s="95" t="s">
        <v>5722</v>
      </c>
      <c r="F59" s="88" t="s">
        <v>2637</v>
      </c>
      <c r="G59" s="88" t="s">
        <v>245</v>
      </c>
      <c r="H59" s="88" t="s">
        <v>2638</v>
      </c>
      <c r="J59" s="88" t="s">
        <v>5871</v>
      </c>
      <c r="K59" s="88" t="s">
        <v>2639</v>
      </c>
      <c r="L59" s="88" t="s">
        <v>2640</v>
      </c>
      <c r="M59" s="88" t="s">
        <v>2641</v>
      </c>
      <c r="N59" s="88" t="s">
        <v>5842</v>
      </c>
      <c r="P59" s="88" t="s">
        <v>355</v>
      </c>
      <c r="Q59" s="88" t="s">
        <v>2642</v>
      </c>
      <c r="T59" s="88" t="s">
        <v>1118</v>
      </c>
      <c r="U59" s="88" t="s">
        <v>5872</v>
      </c>
      <c r="V59" s="88">
        <v>4.7</v>
      </c>
      <c r="W59" s="88">
        <v>4.7</v>
      </c>
      <c r="X59" s="88">
        <v>9.0</v>
      </c>
      <c r="Y59" s="88" t="s">
        <v>2643</v>
      </c>
      <c r="Z59" s="88" t="s">
        <v>5813</v>
      </c>
      <c r="AA59" s="88" t="s">
        <v>361</v>
      </c>
    </row>
    <row r="60">
      <c r="A60" s="95" t="s">
        <v>5873</v>
      </c>
      <c r="C60" s="88" t="s">
        <v>2508</v>
      </c>
      <c r="D60" s="95" t="s">
        <v>706</v>
      </c>
      <c r="E60" s="95" t="s">
        <v>5722</v>
      </c>
      <c r="F60" s="88" t="s">
        <v>5874</v>
      </c>
      <c r="G60" s="88" t="s">
        <v>245</v>
      </c>
      <c r="H60" s="88" t="s">
        <v>5875</v>
      </c>
      <c r="J60" s="88" t="s">
        <v>5876</v>
      </c>
      <c r="K60" s="88" t="s">
        <v>5877</v>
      </c>
      <c r="L60" s="88" t="s">
        <v>490</v>
      </c>
      <c r="M60" s="88" t="s">
        <v>711</v>
      </c>
      <c r="N60" s="88" t="s">
        <v>5878</v>
      </c>
      <c r="P60" s="88" t="s">
        <v>140</v>
      </c>
      <c r="Q60" s="88" t="s">
        <v>5879</v>
      </c>
      <c r="T60" s="88" t="s">
        <v>494</v>
      </c>
      <c r="U60" s="88" t="s">
        <v>5880</v>
      </c>
      <c r="V60" s="88">
        <v>6.0</v>
      </c>
      <c r="W60" s="88">
        <v>6.0</v>
      </c>
      <c r="X60" s="88">
        <v>21.0</v>
      </c>
      <c r="Z60" s="88" t="s">
        <v>5459</v>
      </c>
      <c r="AA60" s="88" t="s">
        <v>361</v>
      </c>
    </row>
    <row r="61">
      <c r="A61" s="95"/>
      <c r="B61" s="88" t="s">
        <v>697</v>
      </c>
      <c r="C61" s="88" t="s">
        <v>697</v>
      </c>
      <c r="D61" s="95" t="s">
        <v>706</v>
      </c>
      <c r="E61" s="95"/>
      <c r="V61" s="88" t="e">
        <v>#VALUE!</v>
      </c>
    </row>
    <row r="62">
      <c r="A62" s="95" t="s">
        <v>5881</v>
      </c>
      <c r="B62" s="88" t="s">
        <v>2418</v>
      </c>
      <c r="C62" s="88" t="s">
        <v>2418</v>
      </c>
      <c r="D62" s="95" t="s">
        <v>2425</v>
      </c>
      <c r="E62" s="95" t="s">
        <v>5722</v>
      </c>
      <c r="F62" s="88" t="s">
        <v>2426</v>
      </c>
      <c r="G62" s="88" t="s">
        <v>245</v>
      </c>
      <c r="H62" s="88" t="s">
        <v>2427</v>
      </c>
      <c r="J62" s="88" t="s">
        <v>5882</v>
      </c>
      <c r="K62" s="88" t="s">
        <v>2428</v>
      </c>
      <c r="L62" s="88" t="s">
        <v>557</v>
      </c>
      <c r="M62" s="88" t="s">
        <v>2348</v>
      </c>
      <c r="N62" s="88">
        <v>60.0</v>
      </c>
      <c r="P62" s="88" t="s">
        <v>355</v>
      </c>
      <c r="Q62" s="88" t="s">
        <v>2429</v>
      </c>
      <c r="T62" s="88" t="s">
        <v>400</v>
      </c>
      <c r="U62" s="88" t="s">
        <v>5883</v>
      </c>
      <c r="V62" s="88">
        <v>5.0</v>
      </c>
      <c r="W62" s="88">
        <v>11.0</v>
      </c>
      <c r="X62" s="88">
        <v>11.0</v>
      </c>
      <c r="Y62" s="88" t="s">
        <v>2430</v>
      </c>
      <c r="Z62" s="88" t="s">
        <v>5734</v>
      </c>
      <c r="AA62" s="88" t="s">
        <v>361</v>
      </c>
    </row>
    <row r="63">
      <c r="A63" s="95" t="s">
        <v>5884</v>
      </c>
      <c r="B63" s="88" t="s">
        <v>2336</v>
      </c>
      <c r="C63" s="88" t="s">
        <v>2336</v>
      </c>
      <c r="D63" s="95" t="s">
        <v>2343</v>
      </c>
      <c r="E63" s="95" t="s">
        <v>5722</v>
      </c>
      <c r="F63" s="88" t="s">
        <v>2344</v>
      </c>
      <c r="G63" s="88" t="s">
        <v>245</v>
      </c>
      <c r="H63" s="88" t="s">
        <v>2345</v>
      </c>
      <c r="J63" s="88" t="s">
        <v>5885</v>
      </c>
      <c r="K63" s="88" t="s">
        <v>2346</v>
      </c>
      <c r="L63" s="88" t="s">
        <v>2347</v>
      </c>
      <c r="M63" s="88" t="s">
        <v>2348</v>
      </c>
      <c r="N63" s="88">
        <v>30.0</v>
      </c>
      <c r="P63" s="88" t="s">
        <v>165</v>
      </c>
      <c r="Q63" s="88" t="s">
        <v>2349</v>
      </c>
      <c r="T63" s="88" t="s">
        <v>400</v>
      </c>
      <c r="U63" s="88" t="s">
        <v>5886</v>
      </c>
      <c r="V63" s="88">
        <v>2.0</v>
      </c>
      <c r="W63" s="88">
        <v>5.0</v>
      </c>
      <c r="X63" s="88">
        <v>10.0</v>
      </c>
      <c r="Y63" s="88" t="s">
        <v>2350</v>
      </c>
      <c r="Z63" s="88" t="s">
        <v>5803</v>
      </c>
      <c r="AA63" s="88" t="s">
        <v>361</v>
      </c>
    </row>
    <row r="64">
      <c r="A64" s="95" t="s">
        <v>5887</v>
      </c>
      <c r="B64" s="88" t="s">
        <v>2431</v>
      </c>
      <c r="C64" s="88" t="s">
        <v>2431</v>
      </c>
      <c r="D64" s="95">
        <v>4.620153902448E12</v>
      </c>
      <c r="E64" s="95" t="s">
        <v>5722</v>
      </c>
      <c r="F64" s="88" t="s">
        <v>2439</v>
      </c>
      <c r="G64" s="88" t="s">
        <v>245</v>
      </c>
      <c r="H64" s="88" t="s">
        <v>2440</v>
      </c>
      <c r="J64" s="88" t="s">
        <v>5888</v>
      </c>
      <c r="K64" s="88" t="s">
        <v>2441</v>
      </c>
      <c r="L64" s="88" t="s">
        <v>557</v>
      </c>
      <c r="M64" s="88" t="s">
        <v>848</v>
      </c>
      <c r="N64" s="88">
        <v>60.0</v>
      </c>
      <c r="P64" s="88" t="s">
        <v>355</v>
      </c>
      <c r="Q64" s="88" t="s">
        <v>2442</v>
      </c>
      <c r="T64" s="88" t="s">
        <v>400</v>
      </c>
      <c r="U64" s="88" t="s">
        <v>5886</v>
      </c>
      <c r="V64" s="88">
        <v>2.0</v>
      </c>
      <c r="W64" s="88">
        <v>5.0</v>
      </c>
      <c r="X64" s="88">
        <v>10.0</v>
      </c>
      <c r="Y64" s="88" t="s">
        <v>2443</v>
      </c>
      <c r="Z64" s="88" t="s">
        <v>5856</v>
      </c>
      <c r="AA64" s="88" t="s">
        <v>2438</v>
      </c>
    </row>
    <row r="65">
      <c r="A65" s="95" t="s">
        <v>5889</v>
      </c>
      <c r="B65" s="88" t="s">
        <v>2378</v>
      </c>
      <c r="C65" s="88" t="s">
        <v>2378</v>
      </c>
      <c r="D65" s="95" t="s">
        <v>2385</v>
      </c>
      <c r="E65" s="95" t="s">
        <v>5722</v>
      </c>
      <c r="F65" s="88" t="s">
        <v>2386</v>
      </c>
      <c r="G65" s="88" t="s">
        <v>245</v>
      </c>
      <c r="H65" s="88" t="s">
        <v>2387</v>
      </c>
      <c r="J65" s="88" t="s">
        <v>5890</v>
      </c>
      <c r="K65" s="88" t="s">
        <v>2388</v>
      </c>
      <c r="L65" s="88" t="s">
        <v>2389</v>
      </c>
      <c r="M65" s="88" t="s">
        <v>2390</v>
      </c>
      <c r="N65" s="88">
        <v>60.0</v>
      </c>
      <c r="P65" s="88" t="s">
        <v>355</v>
      </c>
      <c r="Q65" s="88" t="s">
        <v>767</v>
      </c>
      <c r="T65" s="88" t="s">
        <v>1118</v>
      </c>
      <c r="U65" s="88" t="s">
        <v>5891</v>
      </c>
      <c r="V65" s="88">
        <v>5.0</v>
      </c>
      <c r="W65" s="88">
        <v>5.0</v>
      </c>
      <c r="X65" s="88">
        <v>9.0</v>
      </c>
      <c r="Y65" s="88" t="s">
        <v>2391</v>
      </c>
      <c r="Z65" s="88" t="s">
        <v>5892</v>
      </c>
      <c r="AA65" s="88" t="s">
        <v>361</v>
      </c>
    </row>
    <row r="66">
      <c r="A66" s="95" t="s">
        <v>5893</v>
      </c>
      <c r="B66" s="88" t="s">
        <v>2644</v>
      </c>
      <c r="C66" s="88" t="s">
        <v>2644</v>
      </c>
      <c r="D66" s="95" t="s">
        <v>2651</v>
      </c>
      <c r="E66" s="95" t="s">
        <v>5722</v>
      </c>
      <c r="F66" s="88" t="s">
        <v>2652</v>
      </c>
      <c r="G66" s="88" t="s">
        <v>245</v>
      </c>
      <c r="H66" s="88" t="s">
        <v>2653</v>
      </c>
      <c r="J66" s="88" t="s">
        <v>5894</v>
      </c>
      <c r="K66" s="88" t="s">
        <v>2654</v>
      </c>
      <c r="L66" s="88" t="s">
        <v>2655</v>
      </c>
      <c r="M66" s="88" t="s">
        <v>2656</v>
      </c>
      <c r="N66" s="88">
        <v>90.0</v>
      </c>
      <c r="P66" s="88" t="s">
        <v>355</v>
      </c>
      <c r="Q66" s="88" t="s">
        <v>2657</v>
      </c>
      <c r="T66" s="88" t="s">
        <v>1118</v>
      </c>
      <c r="U66" s="88" t="s">
        <v>5895</v>
      </c>
      <c r="V66" s="88">
        <v>2.0</v>
      </c>
      <c r="W66" s="88">
        <v>6.0</v>
      </c>
      <c r="X66" s="88">
        <v>12.0</v>
      </c>
      <c r="Y66" s="88" t="s">
        <v>2658</v>
      </c>
      <c r="Z66" s="88" t="s">
        <v>5866</v>
      </c>
      <c r="AA66" s="88" t="s">
        <v>361</v>
      </c>
    </row>
    <row r="67">
      <c r="A67" s="95" t="s">
        <v>5896</v>
      </c>
      <c r="B67" s="88" t="s">
        <v>5426</v>
      </c>
      <c r="C67" s="88" t="s">
        <v>5426</v>
      </c>
      <c r="D67" s="95" t="s">
        <v>5431</v>
      </c>
      <c r="E67" s="95"/>
      <c r="G67" s="88" t="s">
        <v>245</v>
      </c>
      <c r="H67" s="88" t="s">
        <v>5432</v>
      </c>
      <c r="J67" s="88" t="s">
        <v>5894</v>
      </c>
      <c r="K67" s="88" t="s">
        <v>5433</v>
      </c>
      <c r="L67" s="88" t="s">
        <v>5434</v>
      </c>
      <c r="M67" s="88" t="s">
        <v>5435</v>
      </c>
      <c r="P67" s="88" t="s">
        <v>355</v>
      </c>
      <c r="T67" s="88" t="s">
        <v>5436</v>
      </c>
      <c r="U67" s="88" t="s">
        <v>5897</v>
      </c>
      <c r="V67" s="88">
        <v>7.0</v>
      </c>
      <c r="W67" s="88">
        <v>7.0</v>
      </c>
      <c r="X67" s="88">
        <v>12.0</v>
      </c>
      <c r="AA67" s="88" t="s">
        <v>1725</v>
      </c>
    </row>
    <row r="68">
      <c r="A68" s="95" t="s">
        <v>5898</v>
      </c>
      <c r="B68" s="88" t="s">
        <v>2191</v>
      </c>
      <c r="C68" s="88" t="s">
        <v>2191</v>
      </c>
      <c r="D68" s="95" t="s">
        <v>2198</v>
      </c>
      <c r="E68" s="95" t="s">
        <v>5722</v>
      </c>
      <c r="F68" s="88" t="s">
        <v>2199</v>
      </c>
      <c r="G68" s="88" t="s">
        <v>245</v>
      </c>
      <c r="H68" s="88" t="s">
        <v>2200</v>
      </c>
      <c r="J68" s="88" t="s">
        <v>5899</v>
      </c>
      <c r="K68" s="88" t="s">
        <v>2201</v>
      </c>
      <c r="L68" s="88" t="s">
        <v>2202</v>
      </c>
      <c r="M68" s="88" t="s">
        <v>1910</v>
      </c>
      <c r="N68" s="88">
        <v>30.0</v>
      </c>
      <c r="P68" s="88" t="s">
        <v>355</v>
      </c>
      <c r="Q68" s="88" t="s">
        <v>2204</v>
      </c>
      <c r="T68" s="88" t="s">
        <v>1912</v>
      </c>
      <c r="U68" s="88" t="s">
        <v>5865</v>
      </c>
      <c r="V68" s="88">
        <v>5.0</v>
      </c>
      <c r="W68" s="88">
        <v>5.0</v>
      </c>
      <c r="X68" s="88">
        <v>11.0</v>
      </c>
      <c r="Y68" s="88" t="s">
        <v>2190</v>
      </c>
      <c r="Z68" s="88" t="s">
        <v>5745</v>
      </c>
      <c r="AA68" s="88" t="s">
        <v>361</v>
      </c>
    </row>
    <row r="69">
      <c r="A69" s="95" t="s">
        <v>5900</v>
      </c>
      <c r="B69" s="88" t="s">
        <v>991</v>
      </c>
      <c r="C69" s="88" t="s">
        <v>991</v>
      </c>
      <c r="D69" s="95">
        <v>4.670142964537E12</v>
      </c>
      <c r="E69" s="95" t="s">
        <v>5722</v>
      </c>
      <c r="F69" s="88" t="s">
        <v>1000</v>
      </c>
      <c r="G69" s="88" t="s">
        <v>245</v>
      </c>
      <c r="H69" s="88" t="s">
        <v>1002</v>
      </c>
      <c r="J69" s="88" t="s">
        <v>5901</v>
      </c>
      <c r="K69" s="88" t="s">
        <v>1003</v>
      </c>
      <c r="L69" s="88" t="s">
        <v>965</v>
      </c>
      <c r="M69" s="88" t="s">
        <v>1004</v>
      </c>
      <c r="N69" s="88">
        <v>60.0</v>
      </c>
      <c r="P69" s="88" t="s">
        <v>355</v>
      </c>
      <c r="Q69" s="88" t="s">
        <v>1005</v>
      </c>
      <c r="T69" s="88" t="s">
        <v>968</v>
      </c>
      <c r="U69" s="88" t="s">
        <v>5902</v>
      </c>
      <c r="V69" s="88">
        <v>6.0</v>
      </c>
      <c r="W69" s="88">
        <v>6.0</v>
      </c>
      <c r="X69" s="88">
        <v>10.0</v>
      </c>
      <c r="Y69" s="88" t="s">
        <v>1006</v>
      </c>
      <c r="Z69" s="88" t="s">
        <v>5903</v>
      </c>
      <c r="AA69" s="88" t="s">
        <v>361</v>
      </c>
    </row>
    <row r="70">
      <c r="A70" s="95" t="s">
        <v>5904</v>
      </c>
      <c r="B70" s="88" t="s">
        <v>2467</v>
      </c>
      <c r="C70" s="88" t="s">
        <v>2467</v>
      </c>
      <c r="D70" s="95">
        <v>4.630205143651E12</v>
      </c>
      <c r="E70" s="95" t="s">
        <v>5722</v>
      </c>
      <c r="F70" s="88" t="s">
        <v>2473</v>
      </c>
      <c r="G70" s="88" t="s">
        <v>245</v>
      </c>
      <c r="H70" s="88" t="s">
        <v>2474</v>
      </c>
      <c r="J70" s="88" t="s">
        <v>5905</v>
      </c>
      <c r="K70" s="88" t="s">
        <v>2475</v>
      </c>
      <c r="L70" s="88" t="s">
        <v>965</v>
      </c>
      <c r="M70" s="88" t="s">
        <v>1167</v>
      </c>
      <c r="N70" s="88">
        <v>90.0</v>
      </c>
      <c r="P70" s="88" t="s">
        <v>355</v>
      </c>
      <c r="Q70" s="88" t="s">
        <v>2476</v>
      </c>
      <c r="T70" s="88" t="s">
        <v>494</v>
      </c>
      <c r="U70" s="88" t="s">
        <v>5906</v>
      </c>
      <c r="V70" s="88">
        <v>6.0</v>
      </c>
      <c r="W70" s="88">
        <v>6.0</v>
      </c>
      <c r="X70" s="88">
        <v>12.0</v>
      </c>
      <c r="Y70" s="88" t="s">
        <v>2477</v>
      </c>
      <c r="Z70" s="88" t="s">
        <v>5813</v>
      </c>
      <c r="AA70" s="88" t="s">
        <v>2452</v>
      </c>
    </row>
    <row r="71">
      <c r="A71" s="95" t="s">
        <v>5907</v>
      </c>
      <c r="B71" s="88" t="s">
        <v>1155</v>
      </c>
      <c r="C71" s="88" t="s">
        <v>1155</v>
      </c>
      <c r="D71" s="95">
        <v>4.670167253043E12</v>
      </c>
      <c r="E71" s="95" t="s">
        <v>5722</v>
      </c>
      <c r="F71" s="88" t="s">
        <v>1163</v>
      </c>
      <c r="G71" s="88" t="s">
        <v>245</v>
      </c>
      <c r="H71" s="88" t="s">
        <v>1165</v>
      </c>
      <c r="J71" s="88" t="s">
        <v>5797</v>
      </c>
      <c r="K71" s="88" t="s">
        <v>1166</v>
      </c>
      <c r="L71" s="88" t="s">
        <v>965</v>
      </c>
      <c r="M71" s="88" t="s">
        <v>1167</v>
      </c>
      <c r="N71" s="88">
        <v>90.0</v>
      </c>
      <c r="P71" s="88" t="s">
        <v>355</v>
      </c>
      <c r="Q71" s="88" t="s">
        <v>1168</v>
      </c>
      <c r="T71" s="88" t="s">
        <v>1169</v>
      </c>
      <c r="U71" s="88" t="s">
        <v>5908</v>
      </c>
      <c r="V71" s="88">
        <v>6.0</v>
      </c>
      <c r="W71" s="88">
        <v>6.0</v>
      </c>
      <c r="X71" s="88">
        <v>11.6</v>
      </c>
      <c r="Y71" s="88" t="s">
        <v>1044</v>
      </c>
      <c r="Z71" s="88" t="s">
        <v>5795</v>
      </c>
      <c r="AA71" s="88" t="s">
        <v>361</v>
      </c>
    </row>
    <row r="72">
      <c r="A72" s="95" t="s">
        <v>5909</v>
      </c>
      <c r="B72" s="88" t="s">
        <v>1703</v>
      </c>
      <c r="C72" s="88" t="s">
        <v>1703</v>
      </c>
      <c r="D72" s="95">
        <v>4.67016725305E12</v>
      </c>
      <c r="E72" s="95" t="s">
        <v>5722</v>
      </c>
      <c r="F72" s="88" t="s">
        <v>1710</v>
      </c>
      <c r="G72" s="88" t="s">
        <v>245</v>
      </c>
      <c r="H72" s="88" t="s">
        <v>1711</v>
      </c>
      <c r="J72" s="88" t="s">
        <v>5910</v>
      </c>
      <c r="K72" s="88" t="s">
        <v>1712</v>
      </c>
      <c r="L72" s="88" t="s">
        <v>965</v>
      </c>
      <c r="M72" s="88" t="s">
        <v>1713</v>
      </c>
      <c r="N72" s="88">
        <v>120.0</v>
      </c>
      <c r="P72" s="88" t="s">
        <v>355</v>
      </c>
      <c r="Q72" s="88" t="s">
        <v>5911</v>
      </c>
      <c r="T72" s="88" t="s">
        <v>1169</v>
      </c>
      <c r="U72" s="88" t="s">
        <v>5908</v>
      </c>
      <c r="V72" s="88">
        <v>6.0</v>
      </c>
      <c r="W72" s="88">
        <v>6.0</v>
      </c>
      <c r="X72" s="88">
        <v>11.6</v>
      </c>
      <c r="Y72" s="88" t="s">
        <v>1715</v>
      </c>
      <c r="Z72" s="88" t="s">
        <v>5845</v>
      </c>
      <c r="AA72" s="88" t="s">
        <v>361</v>
      </c>
    </row>
    <row r="73">
      <c r="A73" s="95" t="s">
        <v>5912</v>
      </c>
      <c r="B73" s="88" t="s">
        <v>2268</v>
      </c>
      <c r="C73" s="88" t="s">
        <v>2268</v>
      </c>
      <c r="D73" s="95">
        <v>4.620153903636E12</v>
      </c>
      <c r="E73" s="95" t="s">
        <v>5722</v>
      </c>
      <c r="F73" s="88" t="s">
        <v>2275</v>
      </c>
      <c r="G73" s="88" t="s">
        <v>245</v>
      </c>
      <c r="H73" s="88" t="s">
        <v>2276</v>
      </c>
      <c r="J73" s="88" t="s">
        <v>5913</v>
      </c>
      <c r="K73" s="88" t="s">
        <v>2277</v>
      </c>
      <c r="L73" s="88" t="s">
        <v>557</v>
      </c>
      <c r="M73" s="88" t="s">
        <v>2278</v>
      </c>
      <c r="N73" s="88">
        <v>120.0</v>
      </c>
      <c r="P73" s="88" t="s">
        <v>165</v>
      </c>
      <c r="Q73" s="88" t="s">
        <v>2279</v>
      </c>
      <c r="T73" s="88" t="s">
        <v>400</v>
      </c>
      <c r="U73" s="88" t="s">
        <v>5914</v>
      </c>
      <c r="V73" s="88">
        <v>4.0</v>
      </c>
      <c r="W73" s="88">
        <v>7.0</v>
      </c>
      <c r="X73" s="88">
        <v>10.0</v>
      </c>
      <c r="Y73" s="88" t="s">
        <v>2280</v>
      </c>
      <c r="Z73" s="88" t="s">
        <v>5463</v>
      </c>
      <c r="AA73" s="88" t="s">
        <v>361</v>
      </c>
    </row>
    <row r="74">
      <c r="A74" s="95" t="s">
        <v>5915</v>
      </c>
      <c r="B74" s="88" t="s">
        <v>2003</v>
      </c>
      <c r="C74" s="88" t="s">
        <v>2003</v>
      </c>
      <c r="D74" s="95" t="s">
        <v>2010</v>
      </c>
      <c r="E74" s="95" t="s">
        <v>5722</v>
      </c>
      <c r="F74" s="88" t="s">
        <v>2011</v>
      </c>
      <c r="G74" s="88" t="s">
        <v>245</v>
      </c>
      <c r="H74" s="88" t="s">
        <v>2013</v>
      </c>
      <c r="J74" s="88" t="s">
        <v>5916</v>
      </c>
      <c r="K74" s="88" t="s">
        <v>2014</v>
      </c>
      <c r="L74" s="88" t="s">
        <v>2015</v>
      </c>
      <c r="M74" s="88" t="s">
        <v>2016</v>
      </c>
      <c r="N74" s="88">
        <v>60.0</v>
      </c>
      <c r="P74" s="88" t="s">
        <v>355</v>
      </c>
      <c r="Q74" s="88" t="s">
        <v>2017</v>
      </c>
      <c r="T74" s="88" t="s">
        <v>400</v>
      </c>
      <c r="U74" s="88" t="s">
        <v>5917</v>
      </c>
      <c r="V74" s="88">
        <v>3.0</v>
      </c>
      <c r="W74" s="88">
        <v>7.0</v>
      </c>
      <c r="X74" s="88">
        <v>10.0</v>
      </c>
      <c r="Y74" s="88" t="s">
        <v>2018</v>
      </c>
      <c r="Z74" s="88" t="s">
        <v>5463</v>
      </c>
      <c r="AA74" s="88" t="s">
        <v>361</v>
      </c>
    </row>
    <row r="75">
      <c r="A75" s="95" t="s">
        <v>5918</v>
      </c>
      <c r="B75" s="88" t="s">
        <v>2621</v>
      </c>
      <c r="C75" s="88" t="s">
        <v>2621</v>
      </c>
      <c r="D75" s="95" t="s">
        <v>2628</v>
      </c>
      <c r="E75" s="95" t="s">
        <v>5722</v>
      </c>
      <c r="G75" s="88" t="s">
        <v>245</v>
      </c>
      <c r="N75" s="88" t="s">
        <v>2629</v>
      </c>
      <c r="U75" s="88" t="s">
        <v>5919</v>
      </c>
      <c r="V75" s="88">
        <v>21.0</v>
      </c>
      <c r="W75" s="88">
        <v>15.0</v>
      </c>
      <c r="X75" s="88">
        <v>6.0</v>
      </c>
      <c r="Z75" s="88" t="s">
        <v>5752</v>
      </c>
      <c r="AA75" s="88" t="s">
        <v>1725</v>
      </c>
    </row>
    <row r="76">
      <c r="A76" s="95" t="s">
        <v>5920</v>
      </c>
      <c r="B76" s="88" t="s">
        <v>520</v>
      </c>
      <c r="C76" s="88" t="s">
        <v>520</v>
      </c>
      <c r="D76" s="95" t="s">
        <v>529</v>
      </c>
      <c r="E76" s="95" t="s">
        <v>5722</v>
      </c>
      <c r="G76" s="88" t="s">
        <v>245</v>
      </c>
      <c r="H76" s="88" t="s">
        <v>530</v>
      </c>
      <c r="K76" s="88" t="s">
        <v>531</v>
      </c>
      <c r="L76" s="88" t="s">
        <v>532</v>
      </c>
      <c r="M76" s="88" t="s">
        <v>533</v>
      </c>
      <c r="U76" s="88" t="s">
        <v>5921</v>
      </c>
      <c r="V76" s="88">
        <v>21.0</v>
      </c>
      <c r="W76" s="88">
        <v>14.0</v>
      </c>
      <c r="X76" s="88">
        <v>6.0</v>
      </c>
      <c r="Z76" s="88" t="s">
        <v>5860</v>
      </c>
      <c r="AA76" s="88" t="s">
        <v>528</v>
      </c>
    </row>
    <row r="77">
      <c r="A77" s="95" t="s">
        <v>5922</v>
      </c>
      <c r="B77" s="88" t="s">
        <v>2351</v>
      </c>
      <c r="C77" s="88" t="s">
        <v>2351</v>
      </c>
      <c r="D77" s="95" t="s">
        <v>2357</v>
      </c>
      <c r="E77" s="95" t="s">
        <v>5722</v>
      </c>
      <c r="F77" s="88" t="s">
        <v>2358</v>
      </c>
      <c r="G77" s="88" t="s">
        <v>245</v>
      </c>
      <c r="H77" s="88" t="s">
        <v>2359</v>
      </c>
      <c r="J77" s="88" t="s">
        <v>5802</v>
      </c>
      <c r="K77" s="88" t="s">
        <v>2360</v>
      </c>
      <c r="L77" s="88" t="s">
        <v>1041</v>
      </c>
      <c r="M77" s="88" t="s">
        <v>2188</v>
      </c>
      <c r="N77" s="88">
        <v>60.0</v>
      </c>
      <c r="P77" s="88" t="s">
        <v>2361</v>
      </c>
      <c r="T77" s="88" t="s">
        <v>2362</v>
      </c>
      <c r="U77" s="88" t="s">
        <v>5921</v>
      </c>
      <c r="V77" s="88">
        <v>21.0</v>
      </c>
      <c r="W77" s="88">
        <v>14.0</v>
      </c>
      <c r="X77" s="88">
        <v>6.0</v>
      </c>
      <c r="Z77" s="88" t="s">
        <v>5803</v>
      </c>
      <c r="AA77" s="88" t="s">
        <v>361</v>
      </c>
    </row>
    <row r="78">
      <c r="A78" s="95" t="s">
        <v>5923</v>
      </c>
      <c r="B78" s="88" t="s">
        <v>2478</v>
      </c>
      <c r="C78" s="88" t="s">
        <v>2478</v>
      </c>
      <c r="D78" s="95" t="s">
        <v>2485</v>
      </c>
      <c r="E78" s="95" t="s">
        <v>5722</v>
      </c>
      <c r="G78" s="88" t="s">
        <v>245</v>
      </c>
      <c r="U78" s="88" t="s">
        <v>5924</v>
      </c>
      <c r="V78" s="88">
        <v>25.0</v>
      </c>
      <c r="W78" s="88">
        <v>19.0</v>
      </c>
      <c r="X78" s="88">
        <v>5.0</v>
      </c>
      <c r="Z78" s="88" t="s">
        <v>5813</v>
      </c>
      <c r="AA78" s="88" t="s">
        <v>2452</v>
      </c>
    </row>
    <row r="79">
      <c r="A79" s="95" t="s">
        <v>5925</v>
      </c>
      <c r="B79" s="88" t="s">
        <v>2486</v>
      </c>
      <c r="C79" s="88" t="s">
        <v>2486</v>
      </c>
      <c r="D79" s="95" t="s">
        <v>2493</v>
      </c>
      <c r="E79" s="95" t="s">
        <v>5722</v>
      </c>
      <c r="G79" s="88" t="s">
        <v>245</v>
      </c>
      <c r="U79" s="88" t="s">
        <v>5921</v>
      </c>
      <c r="V79" s="88">
        <v>21.0</v>
      </c>
      <c r="W79" s="88">
        <v>14.0</v>
      </c>
      <c r="X79" s="88">
        <v>6.0</v>
      </c>
      <c r="Z79" s="88" t="s">
        <v>5813</v>
      </c>
      <c r="AA79" s="88" t="s">
        <v>2452</v>
      </c>
    </row>
    <row r="80">
      <c r="A80" s="95" t="s">
        <v>5926</v>
      </c>
      <c r="B80" s="88" t="s">
        <v>2494</v>
      </c>
      <c r="C80" s="88" t="s">
        <v>2494</v>
      </c>
      <c r="D80" s="95" t="s">
        <v>2501</v>
      </c>
      <c r="E80" s="95" t="s">
        <v>5722</v>
      </c>
      <c r="G80" s="88" t="s">
        <v>245</v>
      </c>
      <c r="U80" s="88" t="s">
        <v>5921</v>
      </c>
      <c r="V80" s="88">
        <v>21.0</v>
      </c>
      <c r="W80" s="88">
        <v>14.0</v>
      </c>
      <c r="X80" s="88">
        <v>6.0</v>
      </c>
      <c r="Z80" s="88" t="s">
        <v>5813</v>
      </c>
      <c r="AA80" s="88" t="s">
        <v>2452</v>
      </c>
    </row>
    <row r="81">
      <c r="A81" s="95" t="s">
        <v>5927</v>
      </c>
      <c r="B81" s="88" t="s">
        <v>1574</v>
      </c>
      <c r="C81" s="88" t="s">
        <v>1574</v>
      </c>
      <c r="D81" s="95">
        <v>4.630205144061E12</v>
      </c>
      <c r="E81" s="95" t="s">
        <v>5722</v>
      </c>
      <c r="F81" s="88" t="s">
        <v>1584</v>
      </c>
      <c r="G81" s="88" t="s">
        <v>245</v>
      </c>
      <c r="H81" s="88" t="s">
        <v>1586</v>
      </c>
      <c r="J81" s="88" t="s">
        <v>5928</v>
      </c>
      <c r="K81" s="88" t="s">
        <v>1587</v>
      </c>
      <c r="L81" s="88" t="s">
        <v>490</v>
      </c>
      <c r="M81" s="88" t="s">
        <v>491</v>
      </c>
      <c r="N81" s="88">
        <v>90.0</v>
      </c>
      <c r="P81" s="88" t="s">
        <v>355</v>
      </c>
      <c r="Q81" s="88" t="s">
        <v>1588</v>
      </c>
      <c r="T81" s="88" t="s">
        <v>494</v>
      </c>
      <c r="U81" s="88" t="s">
        <v>5906</v>
      </c>
      <c r="V81" s="88">
        <v>6.0</v>
      </c>
      <c r="W81" s="88">
        <v>6.0</v>
      </c>
      <c r="X81" s="88">
        <v>12.0</v>
      </c>
      <c r="Y81" s="88" t="s">
        <v>1589</v>
      </c>
      <c r="Z81" s="88" t="s">
        <v>5856</v>
      </c>
      <c r="AA81" s="88" t="s">
        <v>361</v>
      </c>
    </row>
    <row r="82">
      <c r="A82" s="95" t="s">
        <v>5929</v>
      </c>
      <c r="B82" s="88" t="s">
        <v>970</v>
      </c>
      <c r="C82" s="88" t="s">
        <v>970</v>
      </c>
      <c r="D82" s="95" t="s">
        <v>981</v>
      </c>
      <c r="E82" s="95" t="s">
        <v>5722</v>
      </c>
      <c r="F82" s="88" t="s">
        <v>982</v>
      </c>
      <c r="G82" s="88" t="s">
        <v>245</v>
      </c>
      <c r="H82" s="88" t="s">
        <v>984</v>
      </c>
      <c r="J82" s="88" t="s">
        <v>5930</v>
      </c>
      <c r="K82" s="88" t="s">
        <v>985</v>
      </c>
      <c r="L82" s="88" t="s">
        <v>986</v>
      </c>
      <c r="M82" s="88" t="s">
        <v>987</v>
      </c>
      <c r="N82" s="88">
        <v>60.0</v>
      </c>
      <c r="P82" s="88" t="s">
        <v>355</v>
      </c>
      <c r="Q82" s="88" t="s">
        <v>988</v>
      </c>
      <c r="T82" s="88" t="s">
        <v>494</v>
      </c>
      <c r="U82" s="88" t="s">
        <v>5931</v>
      </c>
      <c r="V82" s="88">
        <v>5.0</v>
      </c>
      <c r="W82" s="88">
        <v>8.0</v>
      </c>
      <c r="X82" s="88">
        <v>15.0</v>
      </c>
      <c r="Y82" s="88" t="s">
        <v>989</v>
      </c>
      <c r="Z82" s="88" t="s">
        <v>5806</v>
      </c>
      <c r="AA82" s="88" t="s">
        <v>361</v>
      </c>
    </row>
    <row r="83">
      <c r="A83" s="95" t="s">
        <v>5932</v>
      </c>
      <c r="B83" s="88" t="s">
        <v>1956</v>
      </c>
      <c r="C83" s="88" t="s">
        <v>1956</v>
      </c>
      <c r="D83" s="95">
        <v>4.630205144115E12</v>
      </c>
      <c r="E83" s="95" t="s">
        <v>5722</v>
      </c>
      <c r="F83" s="88" t="s">
        <v>1966</v>
      </c>
      <c r="G83" s="88" t="s">
        <v>245</v>
      </c>
      <c r="H83" s="88" t="s">
        <v>1968</v>
      </c>
      <c r="J83" s="88" t="s">
        <v>5933</v>
      </c>
      <c r="K83" s="88" t="s">
        <v>1969</v>
      </c>
      <c r="M83" s="88" t="s">
        <v>1970</v>
      </c>
      <c r="N83" s="88" t="s">
        <v>5934</v>
      </c>
      <c r="P83" s="88" t="s">
        <v>355</v>
      </c>
      <c r="Q83" s="88" t="s">
        <v>1971</v>
      </c>
      <c r="T83" s="88" t="s">
        <v>494</v>
      </c>
      <c r="U83" s="88" t="s">
        <v>5935</v>
      </c>
      <c r="V83" s="88">
        <v>7.0</v>
      </c>
      <c r="W83" s="88">
        <v>9.0</v>
      </c>
      <c r="X83" s="88">
        <v>15.0</v>
      </c>
      <c r="Y83" s="88" t="s">
        <v>1972</v>
      </c>
      <c r="Z83" s="88" t="s">
        <v>5936</v>
      </c>
      <c r="AA83" s="88" t="s">
        <v>1964</v>
      </c>
    </row>
    <row r="84">
      <c r="A84" s="95" t="s">
        <v>5937</v>
      </c>
      <c r="B84" s="88" t="s">
        <v>5401</v>
      </c>
      <c r="C84" s="88" t="s">
        <v>5401</v>
      </c>
      <c r="D84" s="95" t="s">
        <v>5405</v>
      </c>
      <c r="E84" s="95" t="s">
        <v>5722</v>
      </c>
      <c r="G84" s="88" t="s">
        <v>245</v>
      </c>
      <c r="V84" s="88" t="e">
        <v>#VALUE!</v>
      </c>
      <c r="AA84" s="88" t="s">
        <v>361</v>
      </c>
    </row>
    <row r="85">
      <c r="A85" s="95" t="s">
        <v>5938</v>
      </c>
      <c r="B85" s="88" t="s">
        <v>5406</v>
      </c>
      <c r="C85" s="88" t="s">
        <v>5406</v>
      </c>
      <c r="D85" s="95" t="s">
        <v>5411</v>
      </c>
      <c r="E85" s="95" t="s">
        <v>5722</v>
      </c>
      <c r="G85" s="88" t="s">
        <v>245</v>
      </c>
      <c r="V85" s="88" t="e">
        <v>#VALUE!</v>
      </c>
      <c r="AA85" s="88" t="s">
        <v>361</v>
      </c>
    </row>
    <row r="86">
      <c r="A86" s="95" t="s">
        <v>5939</v>
      </c>
      <c r="B86" s="88" t="s">
        <v>5412</v>
      </c>
      <c r="C86" s="88" t="s">
        <v>5412</v>
      </c>
      <c r="D86" s="95" t="s">
        <v>5417</v>
      </c>
      <c r="E86" s="95" t="s">
        <v>5722</v>
      </c>
      <c r="G86" s="88" t="s">
        <v>245</v>
      </c>
      <c r="H86" s="88" t="s">
        <v>5418</v>
      </c>
      <c r="J86" s="88" t="s">
        <v>5940</v>
      </c>
      <c r="K86" s="88" t="s">
        <v>5419</v>
      </c>
      <c r="L86" s="88" t="s">
        <v>2228</v>
      </c>
      <c r="M86" s="88" t="s">
        <v>1042</v>
      </c>
      <c r="V86" s="88" t="e">
        <v>#VALUE!</v>
      </c>
      <c r="Y86" s="88" t="s">
        <v>883</v>
      </c>
      <c r="AA86" s="88" t="s">
        <v>361</v>
      </c>
    </row>
    <row r="87">
      <c r="A87" s="95" t="s">
        <v>5941</v>
      </c>
      <c r="B87" s="88" t="s">
        <v>5420</v>
      </c>
      <c r="C87" s="88" t="s">
        <v>5420</v>
      </c>
      <c r="D87" s="95" t="s">
        <v>5425</v>
      </c>
      <c r="E87" s="95" t="s">
        <v>5722</v>
      </c>
      <c r="G87" s="88" t="s">
        <v>245</v>
      </c>
      <c r="H87" s="88" t="s">
        <v>5418</v>
      </c>
      <c r="J87" s="88" t="s">
        <v>5940</v>
      </c>
      <c r="K87" s="88" t="s">
        <v>5419</v>
      </c>
      <c r="L87" s="88" t="s">
        <v>2228</v>
      </c>
      <c r="M87" s="88" t="s">
        <v>1042</v>
      </c>
      <c r="V87" s="88" t="e">
        <v>#VALUE!</v>
      </c>
      <c r="AA87" s="88" t="s">
        <v>361</v>
      </c>
    </row>
    <row r="88">
      <c r="A88" s="95" t="s">
        <v>5942</v>
      </c>
      <c r="B88" s="88" t="s">
        <v>2096</v>
      </c>
      <c r="C88" s="88" t="s">
        <v>2096</v>
      </c>
      <c r="D88" s="95">
        <v>4.620153903629E12</v>
      </c>
      <c r="E88" s="95" t="s">
        <v>5722</v>
      </c>
      <c r="F88" s="88" t="s">
        <v>2103</v>
      </c>
      <c r="G88" s="88" t="s">
        <v>245</v>
      </c>
      <c r="H88" s="88" t="s">
        <v>2104</v>
      </c>
      <c r="J88" s="88" t="s">
        <v>5943</v>
      </c>
      <c r="K88" s="88" t="s">
        <v>2105</v>
      </c>
      <c r="L88" s="88" t="s">
        <v>532</v>
      </c>
      <c r="M88" s="88" t="s">
        <v>2106</v>
      </c>
      <c r="N88" s="88">
        <v>90.0</v>
      </c>
      <c r="P88" s="88" t="s">
        <v>355</v>
      </c>
      <c r="Q88" s="88" t="s">
        <v>2107</v>
      </c>
      <c r="T88" s="88" t="s">
        <v>400</v>
      </c>
      <c r="U88" s="88" t="s">
        <v>5944</v>
      </c>
      <c r="V88" s="88">
        <v>4.0</v>
      </c>
      <c r="W88" s="88">
        <v>5.0</v>
      </c>
      <c r="X88" s="88">
        <v>10.0</v>
      </c>
      <c r="Y88" s="88" t="s">
        <v>2108</v>
      </c>
      <c r="Z88" s="88" t="s">
        <v>5945</v>
      </c>
      <c r="AA88" s="88" t="s">
        <v>361</v>
      </c>
    </row>
    <row r="89">
      <c r="A89" s="95" t="s">
        <v>5946</v>
      </c>
      <c r="B89" s="88" t="s">
        <v>1083</v>
      </c>
      <c r="C89" s="88" t="s">
        <v>1083</v>
      </c>
      <c r="D89" s="95">
        <v>4.607025203049E12</v>
      </c>
      <c r="E89" s="95" t="s">
        <v>5722</v>
      </c>
      <c r="F89" s="88" t="s">
        <v>1092</v>
      </c>
      <c r="G89" s="88" t="s">
        <v>245</v>
      </c>
      <c r="H89" s="88" t="s">
        <v>1094</v>
      </c>
      <c r="J89" s="88" t="s">
        <v>5947</v>
      </c>
      <c r="K89" s="88" t="s">
        <v>1095</v>
      </c>
      <c r="L89" s="88" t="s">
        <v>1096</v>
      </c>
      <c r="M89" s="88" t="s">
        <v>1097</v>
      </c>
      <c r="N89" s="88">
        <v>90.0</v>
      </c>
      <c r="P89" s="88" t="s">
        <v>355</v>
      </c>
      <c r="Q89" s="88" t="s">
        <v>1098</v>
      </c>
      <c r="T89" s="88" t="s">
        <v>901</v>
      </c>
      <c r="U89" s="88" t="s">
        <v>5948</v>
      </c>
      <c r="V89" s="88">
        <v>2.0</v>
      </c>
      <c r="W89" s="88">
        <v>7.0</v>
      </c>
      <c r="X89" s="88">
        <v>10.0</v>
      </c>
      <c r="Y89" s="88" t="s">
        <v>1099</v>
      </c>
      <c r="Z89" s="88" t="s">
        <v>5745</v>
      </c>
      <c r="AA89" s="88" t="s">
        <v>361</v>
      </c>
    </row>
    <row r="90">
      <c r="A90" s="95" t="s">
        <v>5949</v>
      </c>
      <c r="B90" s="88" t="s">
        <v>2540</v>
      </c>
      <c r="C90" s="88" t="s">
        <v>2540</v>
      </c>
      <c r="D90" s="95">
        <v>4.673748455225E12</v>
      </c>
      <c r="E90" s="95" t="s">
        <v>5722</v>
      </c>
      <c r="F90" s="88" t="s">
        <v>2546</v>
      </c>
      <c r="G90" s="88" t="s">
        <v>245</v>
      </c>
      <c r="H90" s="88" t="s">
        <v>2547</v>
      </c>
      <c r="J90" s="88" t="s">
        <v>5950</v>
      </c>
      <c r="K90" s="88" t="s">
        <v>1095</v>
      </c>
      <c r="L90" s="88" t="s">
        <v>2548</v>
      </c>
      <c r="M90" s="88" t="s">
        <v>2549</v>
      </c>
      <c r="N90" s="88">
        <v>60.0</v>
      </c>
      <c r="P90" s="88" t="s">
        <v>355</v>
      </c>
      <c r="Q90" s="88" t="s">
        <v>2550</v>
      </c>
      <c r="T90" s="88" t="s">
        <v>2552</v>
      </c>
      <c r="U90" s="88" t="s">
        <v>5951</v>
      </c>
      <c r="V90" s="88">
        <v>4.5</v>
      </c>
      <c r="W90" s="88">
        <v>4.5</v>
      </c>
      <c r="X90" s="88">
        <v>8.5</v>
      </c>
      <c r="Y90" s="88" t="s">
        <v>2551</v>
      </c>
      <c r="Z90" s="88" t="s">
        <v>5860</v>
      </c>
      <c r="AA90" s="88" t="s">
        <v>528</v>
      </c>
    </row>
    <row r="91">
      <c r="A91" s="95" t="s">
        <v>5952</v>
      </c>
      <c r="B91" s="88" t="s">
        <v>2019</v>
      </c>
      <c r="C91" s="88" t="s">
        <v>2019</v>
      </c>
      <c r="D91" s="95">
        <v>4.627144543109E12</v>
      </c>
      <c r="E91" s="95" t="s">
        <v>5722</v>
      </c>
      <c r="F91" s="88" t="s">
        <v>2026</v>
      </c>
      <c r="G91" s="88" t="s">
        <v>245</v>
      </c>
      <c r="H91" s="88" t="s">
        <v>2027</v>
      </c>
      <c r="J91" s="88" t="s">
        <v>5953</v>
      </c>
      <c r="K91" s="88" t="s">
        <v>1095</v>
      </c>
      <c r="L91" s="88" t="s">
        <v>557</v>
      </c>
      <c r="M91" s="88" t="s">
        <v>2028</v>
      </c>
      <c r="N91" s="88">
        <v>60.0</v>
      </c>
      <c r="P91" s="88" t="s">
        <v>726</v>
      </c>
      <c r="Q91" s="88" t="s">
        <v>2029</v>
      </c>
      <c r="T91" s="88" t="s">
        <v>2031</v>
      </c>
      <c r="U91" s="88" t="s">
        <v>5954</v>
      </c>
      <c r="V91" s="88">
        <v>6.0</v>
      </c>
      <c r="W91" s="88">
        <v>7.0</v>
      </c>
      <c r="X91" s="88">
        <v>12.0</v>
      </c>
      <c r="Y91" s="88" t="s">
        <v>2030</v>
      </c>
      <c r="Z91" s="88" t="s">
        <v>5463</v>
      </c>
      <c r="AA91" s="88" t="s">
        <v>361</v>
      </c>
    </row>
    <row r="92">
      <c r="A92" s="95" t="s">
        <v>5955</v>
      </c>
      <c r="B92" s="88" t="s">
        <v>1779</v>
      </c>
      <c r="C92" s="88" t="s">
        <v>1779</v>
      </c>
      <c r="D92" s="95">
        <v>4.620153903605E12</v>
      </c>
      <c r="E92" s="95" t="s">
        <v>5722</v>
      </c>
      <c r="F92" s="88" t="s">
        <v>1787</v>
      </c>
      <c r="G92" s="88" t="s">
        <v>245</v>
      </c>
      <c r="H92" s="88" t="s">
        <v>1789</v>
      </c>
      <c r="J92" s="88" t="s">
        <v>5956</v>
      </c>
      <c r="K92" s="88" t="s">
        <v>1790</v>
      </c>
      <c r="L92" s="88" t="s">
        <v>1041</v>
      </c>
      <c r="M92" s="88" t="s">
        <v>1791</v>
      </c>
      <c r="N92" s="88">
        <v>90.0</v>
      </c>
      <c r="P92" s="88" t="s">
        <v>355</v>
      </c>
      <c r="Q92" s="88" t="s">
        <v>1792</v>
      </c>
      <c r="T92" s="88" t="s">
        <v>400</v>
      </c>
      <c r="U92" s="88" t="s">
        <v>5944</v>
      </c>
      <c r="V92" s="88">
        <v>4.0</v>
      </c>
      <c r="W92" s="88">
        <v>5.0</v>
      </c>
      <c r="X92" s="88">
        <v>10.0</v>
      </c>
      <c r="Y92" s="88" t="s">
        <v>1793</v>
      </c>
      <c r="Z92" s="88" t="s">
        <v>5957</v>
      </c>
      <c r="AA92" s="88" t="s">
        <v>1725</v>
      </c>
    </row>
    <row r="93">
      <c r="A93" s="95" t="s">
        <v>5958</v>
      </c>
      <c r="B93" s="88" t="s">
        <v>2109</v>
      </c>
      <c r="C93" s="88" t="s">
        <v>2109</v>
      </c>
      <c r="D93" s="95">
        <v>4.620153903599E12</v>
      </c>
      <c r="E93" s="95" t="s">
        <v>5722</v>
      </c>
      <c r="F93" s="88" t="s">
        <v>2117</v>
      </c>
      <c r="G93" s="88" t="s">
        <v>245</v>
      </c>
      <c r="H93" s="88" t="s">
        <v>2118</v>
      </c>
      <c r="J93" s="88" t="s">
        <v>5959</v>
      </c>
      <c r="K93" s="88" t="s">
        <v>2119</v>
      </c>
      <c r="L93" s="88" t="s">
        <v>557</v>
      </c>
      <c r="M93" s="88" t="s">
        <v>2120</v>
      </c>
      <c r="N93" s="88">
        <v>60.0</v>
      </c>
      <c r="P93" s="88" t="s">
        <v>355</v>
      </c>
      <c r="Q93" s="88" t="s">
        <v>2121</v>
      </c>
      <c r="T93" s="88" t="s">
        <v>400</v>
      </c>
      <c r="U93" s="88" t="s">
        <v>5960</v>
      </c>
      <c r="V93" s="88">
        <v>3.0</v>
      </c>
      <c r="W93" s="88">
        <v>7.0</v>
      </c>
      <c r="X93" s="88">
        <v>8.0</v>
      </c>
      <c r="Y93" s="88" t="s">
        <v>2122</v>
      </c>
      <c r="Z93" s="88" t="s">
        <v>5459</v>
      </c>
      <c r="AA93" s="88" t="s">
        <v>361</v>
      </c>
    </row>
    <row r="94">
      <c r="A94" s="95" t="s">
        <v>5961</v>
      </c>
      <c r="B94" s="88" t="s">
        <v>2591</v>
      </c>
      <c r="C94" s="88" t="s">
        <v>2591</v>
      </c>
      <c r="D94" s="95">
        <v>4.627144543116E12</v>
      </c>
      <c r="E94" s="95" t="s">
        <v>5722</v>
      </c>
      <c r="F94" s="88" t="s">
        <v>2598</v>
      </c>
      <c r="G94" s="88" t="s">
        <v>245</v>
      </c>
      <c r="H94" s="95" t="s">
        <v>2599</v>
      </c>
      <c r="J94" s="88" t="s">
        <v>5962</v>
      </c>
      <c r="K94" s="88" t="s">
        <v>2600</v>
      </c>
      <c r="L94" s="88" t="s">
        <v>2601</v>
      </c>
      <c r="M94" s="88" t="s">
        <v>2602</v>
      </c>
      <c r="N94" s="88">
        <v>90.0</v>
      </c>
      <c r="P94" s="88" t="s">
        <v>355</v>
      </c>
      <c r="Q94" s="88" t="s">
        <v>2603</v>
      </c>
      <c r="T94" s="88" t="s">
        <v>2605</v>
      </c>
      <c r="U94" s="88" t="s">
        <v>5800</v>
      </c>
      <c r="V94" s="88">
        <v>6.0</v>
      </c>
      <c r="W94" s="88">
        <v>6.0</v>
      </c>
      <c r="X94" s="88">
        <v>11.0</v>
      </c>
      <c r="Y94" s="88" t="s">
        <v>2604</v>
      </c>
      <c r="Z94" s="88" t="s">
        <v>5945</v>
      </c>
      <c r="AA94" s="88" t="s">
        <v>361</v>
      </c>
    </row>
    <row r="95">
      <c r="A95" s="95" t="s">
        <v>5963</v>
      </c>
      <c r="B95" s="88" t="s">
        <v>1973</v>
      </c>
      <c r="C95" s="88" t="s">
        <v>1973</v>
      </c>
      <c r="D95" s="95">
        <v>4.680162841794E12</v>
      </c>
      <c r="E95" s="95" t="s">
        <v>5722</v>
      </c>
      <c r="F95" s="88" t="s">
        <v>1980</v>
      </c>
      <c r="G95" s="88" t="s">
        <v>245</v>
      </c>
      <c r="H95" s="95" t="s">
        <v>1982</v>
      </c>
      <c r="J95" s="88" t="s">
        <v>5964</v>
      </c>
      <c r="K95" s="88" t="s">
        <v>1983</v>
      </c>
      <c r="L95" s="88" t="s">
        <v>1984</v>
      </c>
      <c r="M95" s="88" t="s">
        <v>1985</v>
      </c>
      <c r="N95" s="88">
        <v>60.0</v>
      </c>
      <c r="P95" s="88" t="s">
        <v>355</v>
      </c>
      <c r="Q95" s="88" t="s">
        <v>1986</v>
      </c>
      <c r="T95" s="88" t="s">
        <v>786</v>
      </c>
      <c r="U95" s="88" t="s">
        <v>5965</v>
      </c>
      <c r="V95" s="88">
        <v>5.5</v>
      </c>
      <c r="W95" s="88">
        <v>5.5</v>
      </c>
      <c r="X95" s="88">
        <v>9.7</v>
      </c>
      <c r="Y95" s="88" t="s">
        <v>1987</v>
      </c>
      <c r="Z95" s="88" t="s">
        <v>5966</v>
      </c>
      <c r="AA95" s="88" t="s">
        <v>5830</v>
      </c>
    </row>
    <row r="96">
      <c r="A96" s="95" t="s">
        <v>5967</v>
      </c>
      <c r="B96" s="88" t="s">
        <v>2363</v>
      </c>
      <c r="C96" s="88" t="s">
        <v>2363</v>
      </c>
      <c r="D96" s="95">
        <v>4.620153905654E12</v>
      </c>
      <c r="E96" s="95" t="s">
        <v>5722</v>
      </c>
      <c r="F96" s="88" t="s">
        <v>2370</v>
      </c>
      <c r="G96" s="88" t="s">
        <v>245</v>
      </c>
      <c r="H96" s="95" t="s">
        <v>2372</v>
      </c>
      <c r="J96" s="88" t="s">
        <v>5968</v>
      </c>
      <c r="K96" s="88" t="s">
        <v>2373</v>
      </c>
      <c r="L96" s="88" t="s">
        <v>1041</v>
      </c>
      <c r="M96" s="88" t="s">
        <v>2374</v>
      </c>
      <c r="N96" s="88">
        <v>60.0</v>
      </c>
      <c r="P96" s="88" t="s">
        <v>2375</v>
      </c>
      <c r="Q96" s="88" t="s">
        <v>2376</v>
      </c>
      <c r="T96" s="88" t="s">
        <v>561</v>
      </c>
      <c r="U96" s="88" t="s">
        <v>5902</v>
      </c>
      <c r="V96" s="88">
        <v>6.0</v>
      </c>
      <c r="W96" s="88">
        <v>6.0</v>
      </c>
      <c r="X96" s="88">
        <v>10.0</v>
      </c>
      <c r="Y96" s="88" t="s">
        <v>2377</v>
      </c>
      <c r="Z96" s="88" t="s">
        <v>5969</v>
      </c>
      <c r="AA96" s="88" t="s">
        <v>361</v>
      </c>
    </row>
    <row r="97">
      <c r="A97" s="95" t="s">
        <v>5970</v>
      </c>
      <c r="B97" s="88" t="s">
        <v>547</v>
      </c>
      <c r="C97" s="88" t="s">
        <v>547</v>
      </c>
      <c r="D97" s="95">
        <v>4.620153905661E12</v>
      </c>
      <c r="E97" s="95" t="s">
        <v>5722</v>
      </c>
      <c r="F97" s="88" t="s">
        <v>554</v>
      </c>
      <c r="G97" s="88" t="s">
        <v>245</v>
      </c>
      <c r="H97" s="95" t="s">
        <v>555</v>
      </c>
      <c r="J97" s="88" t="s">
        <v>5971</v>
      </c>
      <c r="K97" s="88" t="s">
        <v>556</v>
      </c>
      <c r="L97" s="88" t="s">
        <v>557</v>
      </c>
      <c r="M97" s="88" t="s">
        <v>558</v>
      </c>
      <c r="N97" s="88">
        <v>60.0</v>
      </c>
      <c r="P97" s="88" t="s">
        <v>355</v>
      </c>
      <c r="Q97" s="88" t="s">
        <v>559</v>
      </c>
      <c r="T97" s="88" t="s">
        <v>561</v>
      </c>
      <c r="U97" s="88" t="s">
        <v>5902</v>
      </c>
      <c r="V97" s="88">
        <v>6.0</v>
      </c>
      <c r="W97" s="88">
        <v>6.0</v>
      </c>
      <c r="X97" s="88">
        <v>10.0</v>
      </c>
      <c r="Y97" s="88" t="s">
        <v>560</v>
      </c>
      <c r="Z97" s="88" t="s">
        <v>5734</v>
      </c>
      <c r="AA97" s="88" t="s">
        <v>361</v>
      </c>
    </row>
    <row r="98">
      <c r="A98" s="95" t="s">
        <v>5972</v>
      </c>
      <c r="B98" s="88" t="s">
        <v>534</v>
      </c>
      <c r="C98" s="88" t="s">
        <v>534</v>
      </c>
      <c r="D98" s="95">
        <v>4.630205146119E12</v>
      </c>
      <c r="E98" s="95" t="s">
        <v>5722</v>
      </c>
      <c r="F98" s="88" t="s">
        <v>542</v>
      </c>
      <c r="G98" s="88" t="s">
        <v>245</v>
      </c>
      <c r="H98" s="95" t="s">
        <v>543</v>
      </c>
      <c r="J98" s="88" t="s">
        <v>5973</v>
      </c>
      <c r="K98" s="88" t="s">
        <v>544</v>
      </c>
      <c r="L98" s="88" t="s">
        <v>490</v>
      </c>
      <c r="M98" s="88" t="s">
        <v>491</v>
      </c>
      <c r="N98" s="88" t="s">
        <v>5833</v>
      </c>
      <c r="P98" s="88" t="s">
        <v>355</v>
      </c>
      <c r="Q98" s="88" t="s">
        <v>545</v>
      </c>
      <c r="T98" s="88" t="s">
        <v>494</v>
      </c>
      <c r="U98" s="88" t="s">
        <v>5974</v>
      </c>
      <c r="V98" s="88">
        <v>4.0</v>
      </c>
      <c r="W98" s="88">
        <v>9.0</v>
      </c>
      <c r="X98" s="88">
        <v>4.3</v>
      </c>
      <c r="Y98" s="88" t="s">
        <v>546</v>
      </c>
      <c r="Z98" s="88" t="s">
        <v>5734</v>
      </c>
      <c r="AA98" s="88" t="s">
        <v>361</v>
      </c>
    </row>
    <row r="99">
      <c r="A99" s="95"/>
      <c r="B99" s="88" t="e">
        <v>#N/A</v>
      </c>
      <c r="C99" s="88" t="s">
        <v>5975</v>
      </c>
      <c r="D99" s="95"/>
      <c r="E99" s="95"/>
      <c r="H99" s="95"/>
      <c r="V99" s="88" t="e">
        <v>#VALUE!</v>
      </c>
    </row>
    <row r="100">
      <c r="A100" s="95"/>
      <c r="B100" s="88" t="e">
        <v>#N/A</v>
      </c>
      <c r="C100" s="88" t="s">
        <v>5976</v>
      </c>
      <c r="D100" s="95"/>
      <c r="E100" s="95"/>
      <c r="H100" s="95"/>
      <c r="V100" s="88" t="e">
        <v>#VALUE!</v>
      </c>
    </row>
    <row r="101">
      <c r="A101" s="95"/>
      <c r="B101" s="88" t="e">
        <v>#N/A</v>
      </c>
      <c r="C101" s="88" t="s">
        <v>5977</v>
      </c>
      <c r="D101" s="95"/>
      <c r="E101" s="95"/>
      <c r="H101" s="95"/>
      <c r="V101" s="88" t="e">
        <v>#VALUE!</v>
      </c>
    </row>
    <row r="102">
      <c r="A102" s="95"/>
      <c r="B102" s="88" t="e">
        <v>#N/A</v>
      </c>
      <c r="C102" s="88" t="s">
        <v>5978</v>
      </c>
      <c r="D102" s="95"/>
      <c r="E102" s="95"/>
      <c r="H102" s="95"/>
      <c r="V102" s="88" t="e">
        <v>#VALUE!</v>
      </c>
    </row>
    <row r="103">
      <c r="A103" s="95" t="s">
        <v>5979</v>
      </c>
      <c r="B103" s="88" t="s">
        <v>950</v>
      </c>
      <c r="C103" s="88" t="s">
        <v>950</v>
      </c>
      <c r="D103" s="95">
        <v>4.67014296535E12</v>
      </c>
      <c r="E103" s="95" t="s">
        <v>5722</v>
      </c>
      <c r="F103" s="88" t="s">
        <v>961</v>
      </c>
      <c r="G103" s="88" t="s">
        <v>245</v>
      </c>
      <c r="H103" s="95" t="s">
        <v>963</v>
      </c>
      <c r="J103" s="88" t="s">
        <v>5980</v>
      </c>
      <c r="K103" s="88" t="s">
        <v>964</v>
      </c>
      <c r="L103" s="88" t="s">
        <v>965</v>
      </c>
      <c r="M103" s="88" t="s">
        <v>966</v>
      </c>
      <c r="N103" s="88">
        <v>60.0</v>
      </c>
      <c r="P103" s="88" t="s">
        <v>726</v>
      </c>
      <c r="Q103" s="88" t="s">
        <v>967</v>
      </c>
      <c r="T103" s="88" t="s">
        <v>968</v>
      </c>
      <c r="U103" s="88" t="s">
        <v>5981</v>
      </c>
      <c r="V103" s="88">
        <v>8.0</v>
      </c>
      <c r="W103" s="88">
        <v>6.0</v>
      </c>
      <c r="X103" s="88">
        <v>11.0</v>
      </c>
      <c r="Z103" s="88" t="s">
        <v>5982</v>
      </c>
      <c r="AA103" s="88" t="s">
        <v>960</v>
      </c>
    </row>
    <row r="104">
      <c r="A104" s="95" t="s">
        <v>5983</v>
      </c>
      <c r="B104" s="88" t="s">
        <v>1925</v>
      </c>
      <c r="C104" s="88" t="s">
        <v>1925</v>
      </c>
      <c r="D104" s="95">
        <v>4.630205146096E12</v>
      </c>
      <c r="E104" s="95" t="s">
        <v>5722</v>
      </c>
      <c r="F104" s="88" t="s">
        <v>1932</v>
      </c>
      <c r="G104" s="88" t="s">
        <v>245</v>
      </c>
      <c r="H104" s="95" t="s">
        <v>1933</v>
      </c>
      <c r="J104" s="88" t="s">
        <v>5984</v>
      </c>
      <c r="K104" s="88" t="s">
        <v>1934</v>
      </c>
      <c r="L104" s="88" t="s">
        <v>490</v>
      </c>
      <c r="M104" s="88" t="s">
        <v>491</v>
      </c>
      <c r="N104" s="88">
        <v>90.0</v>
      </c>
      <c r="P104" s="88" t="s">
        <v>355</v>
      </c>
      <c r="Q104" s="88" t="s">
        <v>1935</v>
      </c>
      <c r="T104" s="88" t="s">
        <v>494</v>
      </c>
      <c r="U104" s="88" t="s">
        <v>5985</v>
      </c>
      <c r="V104" s="88">
        <v>6.2</v>
      </c>
      <c r="W104" s="88">
        <v>6.2</v>
      </c>
      <c r="X104" s="88">
        <v>12.0</v>
      </c>
      <c r="Z104" s="88" t="s">
        <v>5986</v>
      </c>
      <c r="AA104" s="88" t="s">
        <v>5987</v>
      </c>
    </row>
    <row r="105">
      <c r="A105" s="95" t="s">
        <v>5988</v>
      </c>
      <c r="B105" s="88" t="s">
        <v>1188</v>
      </c>
      <c r="C105" s="88" t="s">
        <v>1188</v>
      </c>
      <c r="D105" s="95">
        <v>4.63020514573E12</v>
      </c>
      <c r="E105" s="95" t="s">
        <v>5722</v>
      </c>
      <c r="F105" s="88" t="s">
        <v>1198</v>
      </c>
      <c r="G105" s="88" t="s">
        <v>245</v>
      </c>
      <c r="H105" s="95" t="s">
        <v>1200</v>
      </c>
      <c r="J105" s="88" t="s">
        <v>5989</v>
      </c>
      <c r="K105" s="88" t="s">
        <v>1201</v>
      </c>
      <c r="L105" s="88" t="s">
        <v>766</v>
      </c>
      <c r="M105" s="88" t="s">
        <v>491</v>
      </c>
      <c r="N105" s="88">
        <v>120.0</v>
      </c>
      <c r="P105" s="88" t="s">
        <v>726</v>
      </c>
      <c r="Q105" s="88" t="s">
        <v>1202</v>
      </c>
      <c r="T105" s="88" t="s">
        <v>494</v>
      </c>
      <c r="U105" s="88" t="s">
        <v>5990</v>
      </c>
      <c r="V105" s="88">
        <v>4.8</v>
      </c>
      <c r="W105" s="88">
        <v>4.8</v>
      </c>
      <c r="X105" s="88">
        <v>9.2</v>
      </c>
      <c r="Z105" s="88" t="s">
        <v>5745</v>
      </c>
      <c r="AA105" s="88" t="s">
        <v>361</v>
      </c>
    </row>
    <row r="106">
      <c r="A106" s="95" t="s">
        <v>5991</v>
      </c>
      <c r="B106" s="88" t="s">
        <v>474</v>
      </c>
      <c r="C106" s="88" t="s">
        <v>474</v>
      </c>
      <c r="D106" s="95">
        <v>4.630205148199E12</v>
      </c>
      <c r="E106" s="95" t="s">
        <v>5722</v>
      </c>
      <c r="F106" s="88" t="s">
        <v>486</v>
      </c>
      <c r="G106" s="88" t="s">
        <v>245</v>
      </c>
      <c r="H106" s="95" t="s">
        <v>488</v>
      </c>
      <c r="J106" s="88" t="s">
        <v>5992</v>
      </c>
      <c r="K106" s="88" t="s">
        <v>489</v>
      </c>
      <c r="L106" s="88" t="s">
        <v>490</v>
      </c>
      <c r="M106" s="88" t="s">
        <v>491</v>
      </c>
      <c r="N106" s="88">
        <v>60.0</v>
      </c>
      <c r="P106" s="88" t="s">
        <v>355</v>
      </c>
      <c r="Q106" s="88" t="s">
        <v>493</v>
      </c>
      <c r="T106" s="88" t="s">
        <v>494</v>
      </c>
      <c r="U106" s="88" t="s">
        <v>5993</v>
      </c>
      <c r="V106" s="88">
        <v>6.0</v>
      </c>
      <c r="W106" s="88">
        <v>13.0</v>
      </c>
      <c r="X106" s="88">
        <v>4.0</v>
      </c>
      <c r="Z106" s="88" t="s">
        <v>5838</v>
      </c>
      <c r="AA106" s="88" t="s">
        <v>361</v>
      </c>
    </row>
    <row r="107">
      <c r="A107" s="95" t="s">
        <v>5994</v>
      </c>
      <c r="B107" s="88" t="s">
        <v>852</v>
      </c>
      <c r="C107" s="88" t="s">
        <v>852</v>
      </c>
      <c r="D107" s="95">
        <v>4.620153906644E12</v>
      </c>
      <c r="E107" s="95" t="s">
        <v>5722</v>
      </c>
      <c r="F107" s="88" t="s">
        <v>865</v>
      </c>
      <c r="G107" s="88" t="s">
        <v>245</v>
      </c>
      <c r="H107" s="95" t="s">
        <v>867</v>
      </c>
      <c r="K107" s="88" t="s">
        <v>868</v>
      </c>
      <c r="N107" s="88">
        <v>90.0</v>
      </c>
      <c r="P107" s="88" t="s">
        <v>355</v>
      </c>
      <c r="Q107" s="88" t="s">
        <v>869</v>
      </c>
      <c r="T107" s="88" t="s">
        <v>561</v>
      </c>
      <c r="U107" s="88" t="s">
        <v>5995</v>
      </c>
      <c r="V107" s="88">
        <v>5.0</v>
      </c>
      <c r="W107" s="88">
        <v>6.0</v>
      </c>
      <c r="X107" s="88">
        <v>10.0</v>
      </c>
      <c r="Z107" s="88" t="s">
        <v>5986</v>
      </c>
      <c r="AA107" s="88" t="s">
        <v>5830</v>
      </c>
    </row>
    <row r="108">
      <c r="A108" s="95" t="s">
        <v>5996</v>
      </c>
      <c r="B108" s="88" t="s">
        <v>806</v>
      </c>
      <c r="C108" s="88" t="s">
        <v>806</v>
      </c>
      <c r="D108" s="95">
        <v>4.620153906576E12</v>
      </c>
      <c r="E108" s="95" t="s">
        <v>5722</v>
      </c>
      <c r="F108" s="88" t="s">
        <v>814</v>
      </c>
      <c r="G108" s="88" t="s">
        <v>245</v>
      </c>
      <c r="H108" s="95" t="s">
        <v>816</v>
      </c>
      <c r="N108" s="88">
        <v>90.0</v>
      </c>
      <c r="P108" s="88" t="s">
        <v>355</v>
      </c>
      <c r="Q108" s="88" t="s">
        <v>818</v>
      </c>
      <c r="T108" s="88" t="s">
        <v>561</v>
      </c>
      <c r="U108" s="88" t="s">
        <v>5997</v>
      </c>
      <c r="V108" s="88">
        <v>4.5</v>
      </c>
      <c r="W108" s="88">
        <v>4.5</v>
      </c>
      <c r="X108" s="88">
        <v>9.0</v>
      </c>
      <c r="Z108" s="88" t="s">
        <v>5463</v>
      </c>
      <c r="AA108" s="88" t="s">
        <v>361</v>
      </c>
    </row>
    <row r="109">
      <c r="A109" s="88">
        <v>2.09196024E8</v>
      </c>
      <c r="B109" s="88" t="s">
        <v>1171</v>
      </c>
      <c r="C109" s="88" t="s">
        <v>1171</v>
      </c>
      <c r="D109" s="95">
        <v>4.630205149011E12</v>
      </c>
      <c r="E109" s="95" t="s">
        <v>5722</v>
      </c>
      <c r="F109" s="88" t="s">
        <v>1183</v>
      </c>
      <c r="G109" s="88" t="s">
        <v>245</v>
      </c>
      <c r="H109" s="95" t="s">
        <v>1185</v>
      </c>
      <c r="K109" s="88" t="s">
        <v>1186</v>
      </c>
      <c r="N109" s="88">
        <v>120.0</v>
      </c>
      <c r="P109" s="88" t="s">
        <v>355</v>
      </c>
      <c r="Q109" s="88" t="s">
        <v>1187</v>
      </c>
      <c r="T109" s="88" t="s">
        <v>494</v>
      </c>
      <c r="U109" s="88" t="s">
        <v>5997</v>
      </c>
      <c r="V109" s="88">
        <v>4.5</v>
      </c>
      <c r="W109" s="88">
        <v>4.5</v>
      </c>
      <c r="X109" s="88">
        <v>9.0</v>
      </c>
      <c r="Z109" s="88" t="s">
        <v>5745</v>
      </c>
      <c r="AA109" s="88" t="s">
        <v>361</v>
      </c>
    </row>
    <row r="110">
      <c r="A110" s="88">
        <v>2.16488606E8</v>
      </c>
      <c r="B110" s="88" t="s">
        <v>819</v>
      </c>
      <c r="C110" s="88" t="s">
        <v>819</v>
      </c>
      <c r="D110" s="95">
        <v>4.680162842333E12</v>
      </c>
      <c r="E110" s="95" t="s">
        <v>5722</v>
      </c>
      <c r="F110" s="88" t="s">
        <v>829</v>
      </c>
      <c r="G110" s="88" t="s">
        <v>245</v>
      </c>
      <c r="H110" s="95" t="s">
        <v>831</v>
      </c>
      <c r="K110" s="88" t="s">
        <v>832</v>
      </c>
      <c r="N110" s="88">
        <v>60.0</v>
      </c>
      <c r="P110" s="88" t="s">
        <v>355</v>
      </c>
      <c r="Q110" s="88" t="s">
        <v>833</v>
      </c>
      <c r="T110" s="88" t="s">
        <v>786</v>
      </c>
      <c r="U110" s="88" t="s">
        <v>5998</v>
      </c>
      <c r="V110" s="88">
        <v>5.3</v>
      </c>
      <c r="W110" s="88">
        <v>5.3</v>
      </c>
      <c r="X110" s="88">
        <v>9.2</v>
      </c>
      <c r="Z110" s="88" t="s">
        <v>5745</v>
      </c>
      <c r="AA110" s="88" t="s">
        <v>361</v>
      </c>
    </row>
    <row r="111">
      <c r="A111" s="95" t="s">
        <v>5999</v>
      </c>
      <c r="B111" s="88" t="s">
        <v>1861</v>
      </c>
      <c r="C111" s="88" t="s">
        <v>1861</v>
      </c>
      <c r="D111" s="95">
        <v>4.605543012518E12</v>
      </c>
      <c r="E111" s="95" t="s">
        <v>6000</v>
      </c>
      <c r="F111" s="88" t="s">
        <v>1865</v>
      </c>
      <c r="G111" s="88" t="s">
        <v>303</v>
      </c>
      <c r="H111" s="88" t="s">
        <v>1867</v>
      </c>
      <c r="K111" s="88" t="s">
        <v>1868</v>
      </c>
      <c r="L111" s="88" t="s">
        <v>1869</v>
      </c>
      <c r="N111" s="88" t="s">
        <v>5878</v>
      </c>
      <c r="P111" s="88" t="s">
        <v>355</v>
      </c>
      <c r="Q111" s="88" t="s">
        <v>1870</v>
      </c>
      <c r="T111" s="88" t="s">
        <v>143</v>
      </c>
      <c r="U111" s="88" t="s">
        <v>6001</v>
      </c>
      <c r="V111" s="88">
        <v>7.0</v>
      </c>
      <c r="W111" s="88">
        <v>7.0</v>
      </c>
      <c r="X111" s="88">
        <v>18.0</v>
      </c>
      <c r="Z111" s="88" t="s">
        <v>6002</v>
      </c>
      <c r="AA111" s="88" t="s">
        <v>634</v>
      </c>
    </row>
    <row r="112">
      <c r="A112" s="95" t="s">
        <v>6003</v>
      </c>
      <c r="B112" s="88" t="s">
        <v>1220</v>
      </c>
      <c r="C112" s="88" t="s">
        <v>1220</v>
      </c>
      <c r="D112" s="95">
        <v>4.670227412809E12</v>
      </c>
      <c r="E112" s="95" t="s">
        <v>5722</v>
      </c>
      <c r="F112" s="88" t="s">
        <v>1230</v>
      </c>
      <c r="G112" s="88" t="s">
        <v>245</v>
      </c>
      <c r="H112" s="88" t="s">
        <v>1232</v>
      </c>
      <c r="J112" s="88" t="s">
        <v>6004</v>
      </c>
      <c r="K112" s="88" t="s">
        <v>1233</v>
      </c>
      <c r="M112" s="88" t="s">
        <v>491</v>
      </c>
      <c r="N112" s="88">
        <v>90.0</v>
      </c>
      <c r="P112" s="88" t="s">
        <v>355</v>
      </c>
      <c r="Q112" s="88" t="s">
        <v>1234</v>
      </c>
      <c r="T112" s="88" t="s">
        <v>494</v>
      </c>
      <c r="U112" s="88" t="s">
        <v>6005</v>
      </c>
      <c r="V112" s="88">
        <v>5.4</v>
      </c>
      <c r="W112" s="88">
        <v>9.5</v>
      </c>
      <c r="X112" s="88">
        <v>5.4</v>
      </c>
      <c r="AA112" s="88" t="s">
        <v>361</v>
      </c>
    </row>
    <row r="113">
      <c r="A113" s="95" t="s">
        <v>6006</v>
      </c>
      <c r="B113" s="88" t="s">
        <v>1270</v>
      </c>
      <c r="C113" s="88" t="s">
        <v>1270</v>
      </c>
      <c r="D113" s="95">
        <v>4.670227410591E12</v>
      </c>
      <c r="E113" s="95" t="s">
        <v>5722</v>
      </c>
      <c r="F113" s="88" t="s">
        <v>1280</v>
      </c>
      <c r="G113" s="88" t="s">
        <v>245</v>
      </c>
      <c r="H113" s="88" t="s">
        <v>1281</v>
      </c>
      <c r="J113" s="88" t="s">
        <v>6007</v>
      </c>
      <c r="K113" s="88" t="s">
        <v>1282</v>
      </c>
      <c r="L113" s="88" t="s">
        <v>490</v>
      </c>
      <c r="M113" s="88" t="s">
        <v>491</v>
      </c>
      <c r="N113" s="88" t="s">
        <v>6008</v>
      </c>
      <c r="P113" s="88" t="s">
        <v>165</v>
      </c>
      <c r="Q113" s="88" t="s">
        <v>1283</v>
      </c>
      <c r="T113" s="88" t="s">
        <v>494</v>
      </c>
      <c r="U113" s="88" t="s">
        <v>6009</v>
      </c>
      <c r="V113" s="88">
        <v>15.5</v>
      </c>
      <c r="W113" s="88">
        <v>4.5</v>
      </c>
      <c r="X113" s="88">
        <v>12.5</v>
      </c>
      <c r="AA113" s="88" t="s">
        <v>1279</v>
      </c>
    </row>
    <row r="114">
      <c r="A114" s="95" t="s">
        <v>6010</v>
      </c>
      <c r="B114" s="88" t="s">
        <v>1284</v>
      </c>
      <c r="C114" s="88" t="s">
        <v>1284</v>
      </c>
      <c r="D114" s="95">
        <v>4.670227410614E12</v>
      </c>
      <c r="E114" s="95" t="s">
        <v>5722</v>
      </c>
      <c r="F114" s="88" t="s">
        <v>1280</v>
      </c>
      <c r="G114" s="88" t="s">
        <v>245</v>
      </c>
      <c r="H114" s="88" t="s">
        <v>1291</v>
      </c>
      <c r="J114" s="88" t="s">
        <v>6007</v>
      </c>
      <c r="K114" s="88" t="s">
        <v>1282</v>
      </c>
      <c r="L114" s="88" t="s">
        <v>490</v>
      </c>
      <c r="M114" s="88" t="s">
        <v>491</v>
      </c>
      <c r="N114" s="88" t="s">
        <v>6008</v>
      </c>
      <c r="P114" s="88" t="s">
        <v>165</v>
      </c>
      <c r="Q114" s="88" t="s">
        <v>1283</v>
      </c>
      <c r="T114" s="88" t="s">
        <v>494</v>
      </c>
      <c r="U114" s="88" t="s">
        <v>6009</v>
      </c>
      <c r="V114" s="88">
        <v>15.5</v>
      </c>
      <c r="W114" s="88">
        <v>4.5</v>
      </c>
      <c r="X114" s="88">
        <v>12.5</v>
      </c>
      <c r="AA114" s="88" t="s">
        <v>1279</v>
      </c>
    </row>
    <row r="115">
      <c r="A115" s="95" t="s">
        <v>6011</v>
      </c>
      <c r="B115" s="88" t="s">
        <v>1307</v>
      </c>
      <c r="C115" s="88" t="s">
        <v>1307</v>
      </c>
      <c r="D115" s="95">
        <v>4.670227410607E12</v>
      </c>
      <c r="E115" s="95" t="s">
        <v>5722</v>
      </c>
      <c r="F115" s="88" t="s">
        <v>1280</v>
      </c>
      <c r="G115" s="88" t="s">
        <v>245</v>
      </c>
      <c r="H115" s="88" t="s">
        <v>1291</v>
      </c>
      <c r="J115" s="88" t="s">
        <v>6007</v>
      </c>
      <c r="K115" s="88" t="s">
        <v>1282</v>
      </c>
      <c r="L115" s="88" t="s">
        <v>490</v>
      </c>
      <c r="M115" s="88" t="s">
        <v>491</v>
      </c>
      <c r="N115" s="88" t="s">
        <v>6008</v>
      </c>
      <c r="P115" s="88" t="s">
        <v>165</v>
      </c>
      <c r="Q115" s="88" t="s">
        <v>1283</v>
      </c>
      <c r="T115" s="88" t="s">
        <v>494</v>
      </c>
      <c r="U115" s="88" t="s">
        <v>6009</v>
      </c>
      <c r="V115" s="88">
        <v>15.5</v>
      </c>
      <c r="W115" s="88">
        <v>4.5</v>
      </c>
      <c r="X115" s="88">
        <v>12.5</v>
      </c>
      <c r="AA115" s="88" t="s">
        <v>1279</v>
      </c>
    </row>
    <row r="116">
      <c r="A116" s="95" t="s">
        <v>6012</v>
      </c>
      <c r="B116" s="88" t="s">
        <v>1063</v>
      </c>
      <c r="C116" s="88" t="s">
        <v>1063</v>
      </c>
      <c r="D116" s="95" t="s">
        <v>1073</v>
      </c>
      <c r="E116" s="95" t="s">
        <v>5722</v>
      </c>
      <c r="F116" s="88" t="s">
        <v>1074</v>
      </c>
      <c r="G116" s="88" t="s">
        <v>245</v>
      </c>
      <c r="H116" s="88" t="s">
        <v>1076</v>
      </c>
      <c r="J116" s="88" t="s">
        <v>6013</v>
      </c>
      <c r="K116" s="88" t="s">
        <v>1077</v>
      </c>
      <c r="L116" s="88" t="s">
        <v>1078</v>
      </c>
      <c r="M116" s="88" t="s">
        <v>1079</v>
      </c>
      <c r="N116" s="88">
        <v>180.0</v>
      </c>
      <c r="P116" s="88" t="s">
        <v>355</v>
      </c>
      <c r="Q116" s="88" t="s">
        <v>1080</v>
      </c>
      <c r="T116" s="88" t="s">
        <v>1081</v>
      </c>
      <c r="U116" s="88" t="s">
        <v>5800</v>
      </c>
      <c r="V116" s="88">
        <v>6.0</v>
      </c>
      <c r="W116" s="88">
        <v>6.0</v>
      </c>
      <c r="X116" s="88">
        <v>11.0</v>
      </c>
      <c r="AA116" s="88" t="s">
        <v>361</v>
      </c>
    </row>
    <row r="117">
      <c r="A117" s="95" t="s">
        <v>6014</v>
      </c>
      <c r="B117" s="88" t="s">
        <v>1754</v>
      </c>
      <c r="C117" s="88" t="s">
        <v>1754</v>
      </c>
      <c r="D117" s="95">
        <v>4.673722841006E12</v>
      </c>
      <c r="E117" s="95"/>
      <c r="F117" s="88" t="s">
        <v>1765</v>
      </c>
      <c r="G117" s="88" t="s">
        <v>303</v>
      </c>
      <c r="H117" s="88" t="s">
        <v>1767</v>
      </c>
      <c r="K117" s="88" t="s">
        <v>1768</v>
      </c>
      <c r="L117" s="88" t="s">
        <v>1769</v>
      </c>
      <c r="M117" s="88" t="s">
        <v>1770</v>
      </c>
      <c r="N117" s="88" t="s">
        <v>6015</v>
      </c>
      <c r="P117" s="88" t="s">
        <v>355</v>
      </c>
      <c r="Q117" s="88" t="s">
        <v>1771</v>
      </c>
      <c r="T117" s="88" t="s">
        <v>1081</v>
      </c>
      <c r="U117" s="88" t="s">
        <v>6016</v>
      </c>
      <c r="V117" s="88">
        <v>9.0</v>
      </c>
      <c r="W117" s="88">
        <v>9.0</v>
      </c>
      <c r="X117" s="88">
        <v>11.0</v>
      </c>
      <c r="Z117" s="88" t="s">
        <v>6017</v>
      </c>
      <c r="AA117" s="88" t="s">
        <v>1763</v>
      </c>
    </row>
    <row r="118">
      <c r="A118" s="95" t="s">
        <v>6018</v>
      </c>
      <c r="B118" s="88" t="s">
        <v>2123</v>
      </c>
      <c r="C118" s="88" t="s">
        <v>2123</v>
      </c>
      <c r="D118" s="95">
        <v>4.607025204398E12</v>
      </c>
      <c r="E118" s="95" t="s">
        <v>5722</v>
      </c>
      <c r="F118" s="88" t="s">
        <v>1149</v>
      </c>
      <c r="G118" s="88" t="s">
        <v>245</v>
      </c>
      <c r="H118" s="88" t="s">
        <v>2131</v>
      </c>
      <c r="N118" s="88">
        <v>30.0</v>
      </c>
      <c r="P118" s="88" t="s">
        <v>355</v>
      </c>
      <c r="Q118" s="88" t="s">
        <v>2134</v>
      </c>
      <c r="T118" s="88" t="s">
        <v>901</v>
      </c>
      <c r="U118" s="88" t="s">
        <v>6019</v>
      </c>
      <c r="V118" s="88">
        <v>5.4</v>
      </c>
      <c r="W118" s="88">
        <v>5.4</v>
      </c>
      <c r="X118" s="88">
        <v>9.0</v>
      </c>
      <c r="AA118" s="88" t="s">
        <v>361</v>
      </c>
    </row>
    <row r="119">
      <c r="A119" s="95" t="s">
        <v>6020</v>
      </c>
      <c r="B119" s="88" t="s">
        <v>1235</v>
      </c>
      <c r="C119" s="88" t="s">
        <v>1235</v>
      </c>
      <c r="D119" s="95">
        <v>4.605543012839E12</v>
      </c>
      <c r="E119" s="95" t="s">
        <v>6021</v>
      </c>
      <c r="F119" s="88" t="s">
        <v>1247</v>
      </c>
      <c r="G119" s="88" t="s">
        <v>160</v>
      </c>
      <c r="H119" s="88" t="s">
        <v>1249</v>
      </c>
      <c r="J119" s="88" t="s">
        <v>6022</v>
      </c>
      <c r="M119" s="88" t="s">
        <v>1251</v>
      </c>
      <c r="N119" s="88" t="s">
        <v>6023</v>
      </c>
      <c r="P119" s="88" t="s">
        <v>355</v>
      </c>
      <c r="Q119" s="88" t="s">
        <v>1252</v>
      </c>
      <c r="T119" s="88" t="s">
        <v>143</v>
      </c>
      <c r="U119" s="88" t="s">
        <v>6024</v>
      </c>
      <c r="V119" s="88">
        <v>5.0</v>
      </c>
      <c r="W119" s="88">
        <v>7.0</v>
      </c>
      <c r="X119" s="88">
        <v>5.0</v>
      </c>
      <c r="Z119" s="88" t="s">
        <v>1245</v>
      </c>
      <c r="AA119" s="88" t="s">
        <v>1245</v>
      </c>
    </row>
    <row r="120">
      <c r="A120" s="95" t="s">
        <v>6025</v>
      </c>
      <c r="B120" s="88" t="s">
        <v>1899</v>
      </c>
      <c r="C120" s="88" t="s">
        <v>1899</v>
      </c>
      <c r="D120" s="95">
        <v>4.680169562692E12</v>
      </c>
      <c r="E120" s="95" t="s">
        <v>5722</v>
      </c>
      <c r="F120" s="88" t="s">
        <v>1906</v>
      </c>
      <c r="G120" s="88" t="s">
        <v>245</v>
      </c>
      <c r="H120" s="88" t="s">
        <v>1907</v>
      </c>
      <c r="J120" s="88" t="s">
        <v>6026</v>
      </c>
      <c r="K120" s="88" t="s">
        <v>1908</v>
      </c>
      <c r="L120" s="88" t="s">
        <v>1909</v>
      </c>
      <c r="M120" s="88" t="s">
        <v>1910</v>
      </c>
      <c r="N120" s="88">
        <v>60.0</v>
      </c>
      <c r="P120" s="88" t="s">
        <v>355</v>
      </c>
      <c r="Q120" s="88" t="s">
        <v>1911</v>
      </c>
      <c r="T120" s="88" t="s">
        <v>1912</v>
      </c>
      <c r="U120" s="88" t="s">
        <v>6027</v>
      </c>
      <c r="V120" s="88">
        <v>5.7</v>
      </c>
      <c r="W120" s="88">
        <v>5.7</v>
      </c>
      <c r="X120" s="88">
        <v>11.0</v>
      </c>
      <c r="Z120" s="88" t="s">
        <v>6028</v>
      </c>
      <c r="AA120" s="88" t="s">
        <v>6029</v>
      </c>
    </row>
    <row r="121">
      <c r="A121" s="95" t="s">
        <v>6030</v>
      </c>
      <c r="B121" s="88" t="s">
        <v>264</v>
      </c>
      <c r="C121" s="88" t="s">
        <v>264</v>
      </c>
      <c r="D121" s="95">
        <v>4.605543012495E12</v>
      </c>
      <c r="E121" s="95" t="s">
        <v>5707</v>
      </c>
      <c r="F121" s="88" t="s">
        <v>275</v>
      </c>
      <c r="G121" s="88" t="s">
        <v>160</v>
      </c>
      <c r="H121" s="88" t="s">
        <v>277</v>
      </c>
      <c r="M121" s="88" t="s">
        <v>279</v>
      </c>
      <c r="N121" s="88">
        <v>20.0</v>
      </c>
      <c r="P121" s="88" t="s">
        <v>280</v>
      </c>
      <c r="Q121" s="88" t="s">
        <v>281</v>
      </c>
      <c r="T121" s="88" t="s">
        <v>143</v>
      </c>
      <c r="U121" s="88" t="s">
        <v>6031</v>
      </c>
      <c r="V121" s="88">
        <v>4.5</v>
      </c>
      <c r="W121" s="88">
        <v>4.5</v>
      </c>
      <c r="X121" s="88">
        <v>7.5</v>
      </c>
      <c r="Z121" s="88" t="s">
        <v>5712</v>
      </c>
      <c r="AA121" s="88" t="s">
        <v>156</v>
      </c>
    </row>
    <row r="122">
      <c r="A122" s="95" t="s">
        <v>6032</v>
      </c>
      <c r="B122" s="88" t="s">
        <v>212</v>
      </c>
      <c r="C122" s="88" t="s">
        <v>212</v>
      </c>
      <c r="D122" s="95">
        <v>4.605543012471E12</v>
      </c>
      <c r="E122" s="95" t="s">
        <v>5707</v>
      </c>
      <c r="F122" s="88" t="s">
        <v>222</v>
      </c>
      <c r="G122" s="88" t="s">
        <v>160</v>
      </c>
      <c r="H122" s="88" t="s">
        <v>224</v>
      </c>
      <c r="N122" s="88">
        <v>100.0</v>
      </c>
      <c r="P122" s="88" t="s">
        <v>165</v>
      </c>
      <c r="Q122" s="88" t="s">
        <v>226</v>
      </c>
      <c r="T122" s="88" t="s">
        <v>143</v>
      </c>
      <c r="U122" s="88" t="s">
        <v>6033</v>
      </c>
      <c r="V122" s="88">
        <v>5.0</v>
      </c>
      <c r="W122" s="88">
        <v>5.0</v>
      </c>
      <c r="X122" s="88">
        <v>8.0</v>
      </c>
      <c r="Z122" s="88" t="s">
        <v>5712</v>
      </c>
      <c r="AA122" s="88" t="s">
        <v>156</v>
      </c>
    </row>
    <row r="123">
      <c r="A123" s="95" t="s">
        <v>6034</v>
      </c>
      <c r="B123" s="88" t="s">
        <v>1606</v>
      </c>
      <c r="C123" s="88" t="s">
        <v>1606</v>
      </c>
      <c r="D123" s="95">
        <v>4.650099657515E12</v>
      </c>
      <c r="E123" s="95" t="s">
        <v>6035</v>
      </c>
      <c r="F123" s="88" t="s">
        <v>1618</v>
      </c>
      <c r="G123" s="88" t="s">
        <v>303</v>
      </c>
      <c r="H123" s="88" t="s">
        <v>1620</v>
      </c>
      <c r="N123" s="88">
        <v>30.0</v>
      </c>
      <c r="P123" s="88" t="s">
        <v>1622</v>
      </c>
      <c r="Q123" s="88" t="s">
        <v>1624</v>
      </c>
      <c r="T123" s="88" t="s">
        <v>1626</v>
      </c>
      <c r="U123" s="88" t="s">
        <v>6036</v>
      </c>
      <c r="V123" s="88">
        <v>10.0</v>
      </c>
      <c r="W123" s="88">
        <v>23.0</v>
      </c>
      <c r="X123" s="88">
        <v>20.0</v>
      </c>
      <c r="AA123" s="88" t="s">
        <v>1616</v>
      </c>
    </row>
    <row r="124">
      <c r="A124" s="95" t="s">
        <v>6037</v>
      </c>
      <c r="B124" s="88" t="s">
        <v>1373</v>
      </c>
      <c r="C124" s="88" t="s">
        <v>1373</v>
      </c>
      <c r="D124" s="95">
        <v>4.607077176636E12</v>
      </c>
      <c r="E124" s="95" t="s">
        <v>6038</v>
      </c>
      <c r="F124" s="88" t="s">
        <v>1363</v>
      </c>
      <c r="G124" s="88" t="s">
        <v>160</v>
      </c>
      <c r="H124" s="88" t="s">
        <v>1381</v>
      </c>
      <c r="N124" s="88" t="s">
        <v>6039</v>
      </c>
      <c r="P124" s="88" t="s">
        <v>165</v>
      </c>
      <c r="Q124" s="88" t="s">
        <v>1382</v>
      </c>
      <c r="T124" s="88" t="s">
        <v>1370</v>
      </c>
      <c r="U124" s="88" t="s">
        <v>6040</v>
      </c>
      <c r="V124" s="88">
        <v>22.0</v>
      </c>
      <c r="W124" s="88">
        <v>36.0</v>
      </c>
      <c r="X124" s="88">
        <v>8.0</v>
      </c>
      <c r="AA124" s="88" t="s">
        <v>1361</v>
      </c>
    </row>
    <row r="125">
      <c r="A125" s="95" t="s">
        <v>6041</v>
      </c>
      <c r="B125" s="88" t="s">
        <v>1351</v>
      </c>
      <c r="C125" s="88" t="s">
        <v>1351</v>
      </c>
      <c r="D125" s="95">
        <v>4.607077176643E12</v>
      </c>
      <c r="E125" s="95" t="s">
        <v>6038</v>
      </c>
      <c r="F125" s="88" t="s">
        <v>1363</v>
      </c>
      <c r="G125" s="88" t="s">
        <v>160</v>
      </c>
      <c r="H125" s="88" t="s">
        <v>1365</v>
      </c>
      <c r="N125" s="88" t="s">
        <v>6039</v>
      </c>
      <c r="P125" s="88" t="s">
        <v>165</v>
      </c>
      <c r="Q125" s="88" t="s">
        <v>1369</v>
      </c>
      <c r="T125" s="88" t="s">
        <v>1370</v>
      </c>
      <c r="U125" s="88" t="s">
        <v>6042</v>
      </c>
      <c r="V125" s="88">
        <v>22.0</v>
      </c>
      <c r="W125" s="88">
        <v>42.0</v>
      </c>
      <c r="X125" s="88">
        <v>6.0</v>
      </c>
      <c r="AA125" s="88" t="s">
        <v>1361</v>
      </c>
    </row>
    <row r="126">
      <c r="A126" s="95" t="s">
        <v>6043</v>
      </c>
      <c r="B126" s="88" t="s">
        <v>1045</v>
      </c>
      <c r="C126" s="88" t="s">
        <v>1045</v>
      </c>
      <c r="D126" s="95" t="s">
        <v>1057</v>
      </c>
      <c r="E126" s="95" t="s">
        <v>5722</v>
      </c>
      <c r="F126" s="88" t="s">
        <v>1058</v>
      </c>
      <c r="G126" s="88" t="s">
        <v>303</v>
      </c>
      <c r="H126" s="88" t="s">
        <v>1060</v>
      </c>
      <c r="K126" s="88" t="s">
        <v>1061</v>
      </c>
      <c r="L126" s="88" t="s">
        <v>766</v>
      </c>
      <c r="N126" s="88">
        <v>90.0</v>
      </c>
      <c r="P126" s="88" t="s">
        <v>355</v>
      </c>
      <c r="Q126" s="88" t="s">
        <v>1062</v>
      </c>
      <c r="T126" s="88" t="s">
        <v>494</v>
      </c>
      <c r="U126" s="88" t="s">
        <v>5906</v>
      </c>
      <c r="V126" s="88">
        <v>6.0</v>
      </c>
      <c r="W126" s="88">
        <v>6.0</v>
      </c>
      <c r="X126" s="88">
        <v>12.0</v>
      </c>
      <c r="AA126" s="88" t="s">
        <v>5830</v>
      </c>
    </row>
    <row r="127">
      <c r="A127" s="95" t="s">
        <v>6044</v>
      </c>
      <c r="B127" s="88" t="s">
        <v>1801</v>
      </c>
      <c r="C127" s="88" t="s">
        <v>1801</v>
      </c>
      <c r="D127" s="95">
        <v>4.610172186745E12</v>
      </c>
      <c r="E127" s="95" t="s">
        <v>6000</v>
      </c>
      <c r="F127" s="88" t="s">
        <v>1811</v>
      </c>
      <c r="G127" s="88" t="s">
        <v>303</v>
      </c>
      <c r="H127" s="88" t="s">
        <v>1813</v>
      </c>
      <c r="K127" s="88" t="s">
        <v>1814</v>
      </c>
      <c r="N127" s="88" t="s">
        <v>6045</v>
      </c>
      <c r="P127" s="88" t="s">
        <v>355</v>
      </c>
      <c r="Q127" s="88" t="s">
        <v>1817</v>
      </c>
      <c r="T127" s="88" t="s">
        <v>1818</v>
      </c>
      <c r="U127" s="88" t="s">
        <v>6046</v>
      </c>
      <c r="V127" s="88">
        <v>5.0</v>
      </c>
      <c r="W127" s="88">
        <v>5.0</v>
      </c>
      <c r="X127" s="88">
        <v>22.0</v>
      </c>
      <c r="AA127" s="88" t="s">
        <v>6047</v>
      </c>
    </row>
    <row r="128">
      <c r="A128" s="95" t="s">
        <v>6048</v>
      </c>
      <c r="B128" s="88" t="s">
        <v>1547</v>
      </c>
      <c r="C128" s="88" t="s">
        <v>1547</v>
      </c>
      <c r="D128" s="95">
        <v>4.610172186752E12</v>
      </c>
      <c r="E128" s="95" t="s">
        <v>6000</v>
      </c>
      <c r="F128" s="88" t="s">
        <v>1552</v>
      </c>
      <c r="G128" s="88" t="s">
        <v>303</v>
      </c>
      <c r="H128" s="88" t="s">
        <v>1541</v>
      </c>
      <c r="K128" s="88" t="s">
        <v>1542</v>
      </c>
      <c r="N128" s="88" t="s">
        <v>5878</v>
      </c>
      <c r="P128" s="88" t="s">
        <v>355</v>
      </c>
      <c r="Q128" s="88" t="s">
        <v>1545</v>
      </c>
      <c r="T128" s="88" t="s">
        <v>1818</v>
      </c>
      <c r="U128" s="88" t="s">
        <v>6049</v>
      </c>
      <c r="V128" s="88">
        <v>10.0</v>
      </c>
      <c r="W128" s="88">
        <v>7.0</v>
      </c>
      <c r="X128" s="88">
        <v>25.0</v>
      </c>
      <c r="AA128" s="88" t="s">
        <v>6050</v>
      </c>
    </row>
    <row r="129">
      <c r="A129" s="95" t="s">
        <v>6051</v>
      </c>
      <c r="B129" s="88" t="s">
        <v>1527</v>
      </c>
      <c r="C129" s="88" t="s">
        <v>1527</v>
      </c>
      <c r="D129" s="95" t="s">
        <v>1539</v>
      </c>
      <c r="E129" s="95"/>
      <c r="V129" s="88" t="e">
        <v>#VALUE!</v>
      </c>
    </row>
    <row r="130">
      <c r="A130" s="95" t="s">
        <v>6052</v>
      </c>
      <c r="B130" s="88" t="s">
        <v>4610</v>
      </c>
      <c r="C130" s="88" t="s">
        <v>6053</v>
      </c>
      <c r="D130" s="95" t="s">
        <v>1646</v>
      </c>
      <c r="E130" s="95" t="s">
        <v>6054</v>
      </c>
      <c r="F130" s="88" t="s">
        <v>4627</v>
      </c>
      <c r="G130" s="88" t="s">
        <v>303</v>
      </c>
      <c r="H130" s="88" t="s">
        <v>1648</v>
      </c>
      <c r="K130" s="88" t="s">
        <v>4628</v>
      </c>
      <c r="N130" s="88" t="s">
        <v>6055</v>
      </c>
      <c r="P130" s="88" t="s">
        <v>726</v>
      </c>
      <c r="Q130" s="88" t="s">
        <v>4629</v>
      </c>
      <c r="T130" s="95" t="s">
        <v>1653</v>
      </c>
      <c r="U130" s="88" t="s">
        <v>6056</v>
      </c>
      <c r="V130" s="88">
        <v>15.0</v>
      </c>
      <c r="W130" s="88">
        <v>9.0</v>
      </c>
      <c r="X130" s="88">
        <v>6.0</v>
      </c>
    </row>
    <row r="131">
      <c r="A131" s="95" t="s">
        <v>6057</v>
      </c>
      <c r="B131" s="88" t="s">
        <v>1655</v>
      </c>
      <c r="C131" s="88" t="s">
        <v>1655</v>
      </c>
      <c r="D131" s="95" t="s">
        <v>1665</v>
      </c>
      <c r="E131" s="95"/>
      <c r="G131" s="88" t="s">
        <v>303</v>
      </c>
      <c r="H131" s="88" t="s">
        <v>1648</v>
      </c>
      <c r="N131" s="88" t="s">
        <v>1666</v>
      </c>
      <c r="P131" s="88" t="s">
        <v>355</v>
      </c>
      <c r="U131" s="88" t="s">
        <v>6058</v>
      </c>
      <c r="V131" s="88">
        <v>14.5</v>
      </c>
      <c r="W131" s="88">
        <v>9.5</v>
      </c>
      <c r="X131" s="88">
        <v>4.5</v>
      </c>
    </row>
    <row r="132">
      <c r="A132" s="95" t="s">
        <v>6059</v>
      </c>
      <c r="B132" s="88" t="s">
        <v>1884</v>
      </c>
      <c r="C132" s="88" t="s">
        <v>1884</v>
      </c>
      <c r="D132" s="95" t="s">
        <v>1894</v>
      </c>
      <c r="E132" s="95" t="s">
        <v>6000</v>
      </c>
      <c r="F132" s="88" t="s">
        <v>133</v>
      </c>
      <c r="G132" s="88" t="s">
        <v>303</v>
      </c>
      <c r="H132" s="88" t="s">
        <v>1896</v>
      </c>
      <c r="N132" s="88" t="s">
        <v>5878</v>
      </c>
      <c r="P132" s="88" t="s">
        <v>355</v>
      </c>
      <c r="Q132" s="48" t="s">
        <v>1897</v>
      </c>
      <c r="T132" s="95" t="s">
        <v>458</v>
      </c>
      <c r="U132" s="88" t="s">
        <v>6060</v>
      </c>
      <c r="V132" s="88">
        <v>7.5</v>
      </c>
      <c r="W132" s="88">
        <v>7.5</v>
      </c>
      <c r="X132" s="88">
        <v>16.0</v>
      </c>
    </row>
    <row r="133">
      <c r="A133" s="95" t="s">
        <v>6061</v>
      </c>
      <c r="B133" s="88" t="s">
        <v>1384</v>
      </c>
      <c r="C133" s="88" t="s">
        <v>1384</v>
      </c>
      <c r="D133" s="95" t="s">
        <v>1395</v>
      </c>
      <c r="E133" s="95" t="s">
        <v>6062</v>
      </c>
      <c r="F133" s="88" t="s">
        <v>133</v>
      </c>
      <c r="G133" s="88" t="s">
        <v>160</v>
      </c>
      <c r="H133" s="88" t="s">
        <v>1397</v>
      </c>
      <c r="N133" s="88" t="s">
        <v>6039</v>
      </c>
      <c r="P133" s="88" t="s">
        <v>165</v>
      </c>
      <c r="Q133" s="88" t="s">
        <v>1398</v>
      </c>
      <c r="T133" s="88" t="s">
        <v>1370</v>
      </c>
      <c r="U133" s="88" t="s">
        <v>6063</v>
      </c>
      <c r="V133" s="88">
        <v>37.0</v>
      </c>
      <c r="W133" s="88">
        <v>23.0</v>
      </c>
      <c r="X133" s="88">
        <v>6.0</v>
      </c>
    </row>
    <row r="134">
      <c r="A134" s="95" t="s">
        <v>6064</v>
      </c>
      <c r="B134" s="88" t="s">
        <v>1400</v>
      </c>
      <c r="C134" s="88" t="s">
        <v>1400</v>
      </c>
      <c r="D134" s="95" t="s">
        <v>1408</v>
      </c>
      <c r="E134" s="95" t="s">
        <v>6062</v>
      </c>
      <c r="F134" s="88" t="s">
        <v>133</v>
      </c>
      <c r="G134" s="88" t="s">
        <v>160</v>
      </c>
      <c r="H134" s="88" t="s">
        <v>1409</v>
      </c>
      <c r="N134" s="88" t="s">
        <v>6039</v>
      </c>
      <c r="P134" s="88" t="s">
        <v>165</v>
      </c>
      <c r="Q134" s="48" t="s">
        <v>1410</v>
      </c>
      <c r="T134" s="88" t="s">
        <v>1370</v>
      </c>
      <c r="U134" s="88" t="s">
        <v>6063</v>
      </c>
      <c r="V134" s="88">
        <v>37.0</v>
      </c>
      <c r="W134" s="88">
        <v>23.0</v>
      </c>
      <c r="X134" s="88">
        <v>6.0</v>
      </c>
    </row>
    <row r="135">
      <c r="A135" s="95" t="s">
        <v>6065</v>
      </c>
      <c r="B135" s="88" t="s">
        <v>186</v>
      </c>
      <c r="C135" s="88" t="s">
        <v>186</v>
      </c>
      <c r="D135" s="95">
        <v>4.605543013096E12</v>
      </c>
      <c r="E135" s="95" t="s">
        <v>6066</v>
      </c>
      <c r="F135" s="88" t="s">
        <v>133</v>
      </c>
      <c r="G135" s="88" t="s">
        <v>135</v>
      </c>
      <c r="H135" s="88" t="s">
        <v>195</v>
      </c>
      <c r="N135" s="88" t="s">
        <v>6067</v>
      </c>
      <c r="P135" s="88" t="s">
        <v>140</v>
      </c>
      <c r="Q135" s="88" t="s">
        <v>141</v>
      </c>
      <c r="T135" s="88" t="s">
        <v>143</v>
      </c>
      <c r="U135" s="88" t="s">
        <v>6068</v>
      </c>
      <c r="V135" s="88">
        <v>5.0</v>
      </c>
      <c r="W135" s="88">
        <v>5.0</v>
      </c>
      <c r="X135" s="88">
        <v>14.5</v>
      </c>
    </row>
    <row r="136">
      <c r="A136" s="95" t="s">
        <v>6069</v>
      </c>
      <c r="B136" s="88" t="s">
        <v>117</v>
      </c>
      <c r="C136" s="88" t="s">
        <v>117</v>
      </c>
      <c r="D136" s="95" t="s">
        <v>6070</v>
      </c>
      <c r="E136" s="95"/>
      <c r="G136" s="88" t="s">
        <v>135</v>
      </c>
      <c r="V136" s="88" t="e">
        <v>#VALUE!</v>
      </c>
    </row>
    <row r="137">
      <c r="A137" s="95" t="s">
        <v>6071</v>
      </c>
      <c r="B137" s="88" t="s">
        <v>1555</v>
      </c>
      <c r="C137" s="88" t="s">
        <v>1555</v>
      </c>
      <c r="D137" s="95">
        <v>4.68016284276E12</v>
      </c>
      <c r="E137" s="95" t="s">
        <v>5722</v>
      </c>
      <c r="F137" s="88" t="s">
        <v>1567</v>
      </c>
      <c r="G137" s="88" t="s">
        <v>245</v>
      </c>
      <c r="H137" s="88" t="s">
        <v>1569</v>
      </c>
      <c r="N137" s="88">
        <v>120.0</v>
      </c>
      <c r="P137" s="88" t="s">
        <v>355</v>
      </c>
      <c r="Q137" s="88" t="s">
        <v>1572</v>
      </c>
      <c r="T137" s="88" t="s">
        <v>786</v>
      </c>
      <c r="U137" s="88" t="s">
        <v>5800</v>
      </c>
      <c r="V137" s="88">
        <v>6.0</v>
      </c>
      <c r="W137" s="88">
        <v>6.0</v>
      </c>
      <c r="X137" s="88">
        <v>11.0</v>
      </c>
    </row>
    <row r="138">
      <c r="A138" s="95" t="s">
        <v>6072</v>
      </c>
      <c r="B138" s="88" t="s">
        <v>903</v>
      </c>
      <c r="C138" s="88" t="s">
        <v>903</v>
      </c>
      <c r="D138" s="95" t="s">
        <v>914</v>
      </c>
      <c r="E138" s="95" t="s">
        <v>5722</v>
      </c>
      <c r="F138" s="88" t="s">
        <v>915</v>
      </c>
      <c r="G138" s="88" t="s">
        <v>245</v>
      </c>
      <c r="H138" s="88" t="s">
        <v>917</v>
      </c>
      <c r="K138" s="88" t="s">
        <v>918</v>
      </c>
      <c r="N138" s="88">
        <v>60.0</v>
      </c>
      <c r="P138" s="88" t="s">
        <v>355</v>
      </c>
      <c r="Q138" s="88" t="s">
        <v>920</v>
      </c>
      <c r="T138" s="88" t="s">
        <v>494</v>
      </c>
      <c r="U138" s="88" t="s">
        <v>5859</v>
      </c>
      <c r="V138" s="88">
        <v>6.0</v>
      </c>
      <c r="W138" s="88">
        <v>6.0</v>
      </c>
      <c r="X138" s="88">
        <v>11.5</v>
      </c>
    </row>
    <row r="139">
      <c r="A139" s="95" t="s">
        <v>6073</v>
      </c>
      <c r="B139" s="88" t="s">
        <v>338</v>
      </c>
      <c r="C139" s="88" t="s">
        <v>338</v>
      </c>
      <c r="D139" s="95">
        <v>4.670020498024E12</v>
      </c>
      <c r="E139" s="95" t="s">
        <v>6074</v>
      </c>
      <c r="G139" s="88" t="s">
        <v>303</v>
      </c>
      <c r="H139" s="88" t="s">
        <v>353</v>
      </c>
      <c r="N139" s="88" t="s">
        <v>6075</v>
      </c>
      <c r="P139" s="88" t="s">
        <v>355</v>
      </c>
      <c r="Q139" s="88" t="s">
        <v>356</v>
      </c>
      <c r="T139" s="88" t="s">
        <v>309</v>
      </c>
      <c r="U139" s="88" t="s">
        <v>6076</v>
      </c>
      <c r="V139" s="88">
        <v>4.5</v>
      </c>
      <c r="W139" s="88">
        <v>4.5</v>
      </c>
      <c r="X139" s="88">
        <v>18.0</v>
      </c>
    </row>
    <row r="140">
      <c r="A140" s="95" t="s">
        <v>6077</v>
      </c>
      <c r="B140" s="88" t="s">
        <v>1736</v>
      </c>
      <c r="C140" s="88" t="s">
        <v>1736</v>
      </c>
      <c r="D140" s="95">
        <v>4.67022741564E12</v>
      </c>
      <c r="E140" s="95" t="s">
        <v>5722</v>
      </c>
      <c r="F140" s="88" t="s">
        <v>1747</v>
      </c>
      <c r="G140" s="88" t="s">
        <v>245</v>
      </c>
      <c r="H140" s="88" t="s">
        <v>1749</v>
      </c>
      <c r="N140" s="88" t="s">
        <v>6078</v>
      </c>
      <c r="P140" s="88" t="s">
        <v>355</v>
      </c>
      <c r="Q140" s="88" t="s">
        <v>1753</v>
      </c>
      <c r="T140" s="88" t="s">
        <v>494</v>
      </c>
      <c r="U140" s="88" t="s">
        <v>6079</v>
      </c>
      <c r="V140" s="88">
        <v>8.5</v>
      </c>
      <c r="W140" s="88">
        <v>8.5</v>
      </c>
      <c r="X140" s="88">
        <v>12.7</v>
      </c>
    </row>
    <row r="141">
      <c r="A141" s="95" t="s">
        <v>6080</v>
      </c>
      <c r="B141" s="88" t="s">
        <v>1772</v>
      </c>
      <c r="C141" s="88" t="s">
        <v>1772</v>
      </c>
      <c r="D141" s="95">
        <v>4.670227415657E12</v>
      </c>
      <c r="E141" s="95" t="s">
        <v>5722</v>
      </c>
      <c r="F141" s="88" t="s">
        <v>1747</v>
      </c>
      <c r="G141" s="88" t="s">
        <v>245</v>
      </c>
      <c r="H141" s="88" t="s">
        <v>1749</v>
      </c>
      <c r="N141" s="88" t="s">
        <v>6078</v>
      </c>
      <c r="P141" s="88" t="s">
        <v>355</v>
      </c>
      <c r="Q141" s="88" t="s">
        <v>1753</v>
      </c>
      <c r="T141" s="88" t="s">
        <v>494</v>
      </c>
      <c r="U141" s="88" t="s">
        <v>6079</v>
      </c>
      <c r="V141" s="88">
        <v>8.5</v>
      </c>
      <c r="W141" s="88">
        <v>8.5</v>
      </c>
      <c r="X141" s="88">
        <v>12.7</v>
      </c>
    </row>
    <row r="142">
      <c r="A142" s="95" t="s">
        <v>6081</v>
      </c>
      <c r="B142" s="88" t="s">
        <v>1794</v>
      </c>
      <c r="C142" s="88" t="s">
        <v>1794</v>
      </c>
      <c r="D142" s="95">
        <v>4.670227415817E12</v>
      </c>
      <c r="E142" s="95" t="s">
        <v>5722</v>
      </c>
      <c r="F142" s="88" t="s">
        <v>1747</v>
      </c>
      <c r="G142" s="88" t="s">
        <v>245</v>
      </c>
      <c r="H142" s="88" t="s">
        <v>1749</v>
      </c>
      <c r="N142" s="88" t="s">
        <v>6078</v>
      </c>
      <c r="P142" s="88" t="s">
        <v>355</v>
      </c>
      <c r="Q142" s="88" t="s">
        <v>1753</v>
      </c>
      <c r="T142" s="88" t="s">
        <v>494</v>
      </c>
      <c r="U142" s="88" t="s">
        <v>6079</v>
      </c>
      <c r="V142" s="88">
        <v>8.5</v>
      </c>
      <c r="W142" s="88">
        <v>8.5</v>
      </c>
      <c r="X142" s="88">
        <v>12.7</v>
      </c>
    </row>
    <row r="143">
      <c r="A143" s="95" t="s">
        <v>6082</v>
      </c>
      <c r="B143" s="88" t="s">
        <v>1683</v>
      </c>
      <c r="C143" s="88" t="s">
        <v>1683</v>
      </c>
      <c r="D143" s="95">
        <v>4.673748455348E12</v>
      </c>
      <c r="E143" s="95" t="s">
        <v>5722</v>
      </c>
      <c r="F143" s="88" t="s">
        <v>1694</v>
      </c>
      <c r="G143" s="88" t="s">
        <v>303</v>
      </c>
      <c r="H143" s="88" t="s">
        <v>1696</v>
      </c>
      <c r="K143" s="88" t="s">
        <v>1697</v>
      </c>
      <c r="N143" s="88">
        <v>60.0</v>
      </c>
      <c r="P143" s="88" t="s">
        <v>355</v>
      </c>
      <c r="Q143" s="88" t="s">
        <v>1700</v>
      </c>
      <c r="T143" s="88" t="s">
        <v>1701</v>
      </c>
      <c r="U143" s="88" t="s">
        <v>6083</v>
      </c>
      <c r="V143" s="88">
        <v>5.0</v>
      </c>
      <c r="W143" s="88">
        <v>5.0</v>
      </c>
      <c r="X143" s="88">
        <v>8.5</v>
      </c>
    </row>
    <row r="144">
      <c r="A144" s="95" t="s">
        <v>6084</v>
      </c>
      <c r="B144" s="88" t="s">
        <v>922</v>
      </c>
      <c r="C144" s="88" t="s">
        <v>922</v>
      </c>
      <c r="D144" s="95">
        <v>4.610030631868E12</v>
      </c>
      <c r="E144" s="95" t="s">
        <v>5722</v>
      </c>
      <c r="F144" s="88" t="s">
        <v>931</v>
      </c>
      <c r="G144" s="88" t="s">
        <v>245</v>
      </c>
      <c r="H144" s="88" t="s">
        <v>932</v>
      </c>
      <c r="N144" s="88">
        <v>60.0</v>
      </c>
      <c r="P144" s="88" t="s">
        <v>355</v>
      </c>
      <c r="Q144" s="88" t="s">
        <v>933</v>
      </c>
      <c r="T144" s="88" t="s">
        <v>804</v>
      </c>
      <c r="U144" s="88" t="s">
        <v>5951</v>
      </c>
      <c r="V144" s="88">
        <v>4.5</v>
      </c>
      <c r="W144" s="88">
        <v>4.5</v>
      </c>
      <c r="X144" s="88">
        <v>8.5</v>
      </c>
    </row>
    <row r="145">
      <c r="A145" s="95" t="s">
        <v>6085</v>
      </c>
      <c r="B145" s="88" t="s">
        <v>460</v>
      </c>
      <c r="C145" s="88" t="s">
        <v>460</v>
      </c>
      <c r="D145" s="95">
        <v>4.657786831579E12</v>
      </c>
      <c r="E145" s="95"/>
      <c r="F145" s="88" t="s">
        <v>133</v>
      </c>
      <c r="G145" s="88" t="s">
        <v>303</v>
      </c>
      <c r="H145" s="88" t="s">
        <v>468</v>
      </c>
      <c r="N145" s="88" t="s">
        <v>5738</v>
      </c>
      <c r="P145" s="88" t="s">
        <v>280</v>
      </c>
      <c r="Q145" s="88" t="s">
        <v>471</v>
      </c>
      <c r="T145" s="95" t="s">
        <v>472</v>
      </c>
      <c r="U145" s="88" t="s">
        <v>6086</v>
      </c>
      <c r="V145" s="88">
        <v>3.5</v>
      </c>
      <c r="W145" s="88">
        <v>3.5</v>
      </c>
      <c r="X145" s="88">
        <v>7.5</v>
      </c>
    </row>
    <row r="146">
      <c r="A146" s="95" t="s">
        <v>6087</v>
      </c>
      <c r="B146" s="88" t="s">
        <v>750</v>
      </c>
      <c r="C146" s="88" t="s">
        <v>750</v>
      </c>
      <c r="D146" s="95">
        <v>4.67022741689E12</v>
      </c>
      <c r="E146" s="95"/>
      <c r="F146" s="88" t="s">
        <v>762</v>
      </c>
      <c r="G146" s="88" t="s">
        <v>303</v>
      </c>
      <c r="H146" s="88" t="s">
        <v>764</v>
      </c>
      <c r="K146" s="88" t="s">
        <v>765</v>
      </c>
      <c r="L146" s="88" t="s">
        <v>766</v>
      </c>
      <c r="N146" s="88" t="s">
        <v>5755</v>
      </c>
      <c r="P146" s="88" t="s">
        <v>355</v>
      </c>
      <c r="Q146" s="88" t="s">
        <v>767</v>
      </c>
      <c r="T146" s="88" t="s">
        <v>494</v>
      </c>
      <c r="U146" s="88" t="s">
        <v>5859</v>
      </c>
      <c r="V146" s="88">
        <v>6.0</v>
      </c>
      <c r="W146" s="88">
        <v>6.0</v>
      </c>
      <c r="X146" s="88">
        <v>11.5</v>
      </c>
    </row>
    <row r="147">
      <c r="A147" s="95" t="s">
        <v>6088</v>
      </c>
      <c r="B147" s="88" t="s">
        <v>2048</v>
      </c>
      <c r="C147" s="88" t="s">
        <v>2048</v>
      </c>
      <c r="D147" s="95" t="s">
        <v>2056</v>
      </c>
      <c r="E147" s="95" t="s">
        <v>5722</v>
      </c>
      <c r="G147" s="88" t="s">
        <v>303</v>
      </c>
      <c r="H147" s="88" t="s">
        <v>2057</v>
      </c>
      <c r="N147" s="88" t="s">
        <v>6089</v>
      </c>
      <c r="U147" s="88" t="s">
        <v>6090</v>
      </c>
      <c r="V147" s="88">
        <v>19.0</v>
      </c>
      <c r="W147" s="88">
        <v>13.0</v>
      </c>
      <c r="X147" s="88">
        <v>11.0</v>
      </c>
    </row>
    <row r="148">
      <c r="A148" s="95" t="s">
        <v>6091</v>
      </c>
      <c r="B148" s="88" t="s">
        <v>1914</v>
      </c>
      <c r="C148" s="88" t="s">
        <v>1914</v>
      </c>
      <c r="D148" s="95" t="s">
        <v>1923</v>
      </c>
      <c r="E148" s="95" t="s">
        <v>5722</v>
      </c>
      <c r="G148" s="88" t="s">
        <v>303</v>
      </c>
      <c r="H148" s="88" t="s">
        <v>1924</v>
      </c>
      <c r="U148" s="88" t="s">
        <v>6092</v>
      </c>
      <c r="V148" s="88">
        <v>22.5</v>
      </c>
      <c r="W148" s="88">
        <v>15.0</v>
      </c>
      <c r="X148" s="88">
        <v>9.0</v>
      </c>
    </row>
    <row r="149">
      <c r="A149" s="95" t="s">
        <v>6093</v>
      </c>
      <c r="B149" s="88" t="s">
        <v>2058</v>
      </c>
      <c r="C149" s="88" t="s">
        <v>2058</v>
      </c>
      <c r="D149" s="95" t="s">
        <v>2067</v>
      </c>
      <c r="E149" s="95" t="s">
        <v>5722</v>
      </c>
      <c r="G149" s="88" t="s">
        <v>303</v>
      </c>
      <c r="H149" s="88" t="s">
        <v>2068</v>
      </c>
      <c r="U149" s="88" t="s">
        <v>6090</v>
      </c>
      <c r="V149" s="88">
        <v>19.0</v>
      </c>
      <c r="W149" s="88">
        <v>13.0</v>
      </c>
      <c r="X149" s="88">
        <v>11.0</v>
      </c>
    </row>
    <row r="150">
      <c r="A150" s="95" t="s">
        <v>6094</v>
      </c>
      <c r="B150" s="88" t="s">
        <v>2293</v>
      </c>
      <c r="C150" s="88" t="s">
        <v>2293</v>
      </c>
      <c r="D150" s="95" t="s">
        <v>2302</v>
      </c>
      <c r="E150" s="95" t="s">
        <v>5722</v>
      </c>
      <c r="F150" s="88" t="s">
        <v>2303</v>
      </c>
      <c r="G150" s="88" t="s">
        <v>245</v>
      </c>
      <c r="H150" s="88" t="s">
        <v>2304</v>
      </c>
      <c r="N150" s="88" t="s">
        <v>5755</v>
      </c>
      <c r="P150" s="88" t="s">
        <v>165</v>
      </c>
      <c r="Q150" s="88" t="s">
        <v>2306</v>
      </c>
      <c r="T150" s="88" t="s">
        <v>423</v>
      </c>
      <c r="U150" s="88" t="s">
        <v>6095</v>
      </c>
      <c r="V150" s="88">
        <v>11.5</v>
      </c>
      <c r="W150" s="88">
        <v>6.5</v>
      </c>
      <c r="X150" s="88">
        <v>6.5</v>
      </c>
    </row>
    <row r="151">
      <c r="A151" s="95" t="s">
        <v>6096</v>
      </c>
      <c r="B151" s="88" t="s">
        <v>402</v>
      </c>
      <c r="C151" s="88" t="s">
        <v>402</v>
      </c>
      <c r="D151" s="95" t="s">
        <v>415</v>
      </c>
      <c r="E151" s="95" t="s">
        <v>5722</v>
      </c>
      <c r="F151" s="88" t="s">
        <v>416</v>
      </c>
      <c r="G151" s="88" t="s">
        <v>245</v>
      </c>
      <c r="H151" s="88" t="s">
        <v>418</v>
      </c>
      <c r="N151" s="88" t="s">
        <v>5755</v>
      </c>
      <c r="P151" s="88" t="s">
        <v>165</v>
      </c>
      <c r="Q151" s="88" t="s">
        <v>422</v>
      </c>
      <c r="T151" s="88" t="s">
        <v>423</v>
      </c>
      <c r="U151" s="88" t="s">
        <v>5859</v>
      </c>
      <c r="V151" s="88">
        <v>6.0</v>
      </c>
      <c r="W151" s="88">
        <v>6.0</v>
      </c>
      <c r="X151" s="88">
        <v>11.5</v>
      </c>
    </row>
    <row r="152">
      <c r="A152" s="95" t="s">
        <v>6097</v>
      </c>
      <c r="B152" s="88" t="s">
        <v>768</v>
      </c>
      <c r="C152" s="88" t="s">
        <v>768</v>
      </c>
      <c r="D152" s="95">
        <v>4.680162842876E12</v>
      </c>
      <c r="E152" s="95" t="s">
        <v>6098</v>
      </c>
      <c r="F152" s="88" t="s">
        <v>779</v>
      </c>
      <c r="G152" s="88" t="s">
        <v>303</v>
      </c>
      <c r="H152" s="88" t="s">
        <v>781</v>
      </c>
      <c r="N152" s="88" t="s">
        <v>5743</v>
      </c>
      <c r="P152" s="88" t="s">
        <v>355</v>
      </c>
      <c r="Q152" s="88" t="s">
        <v>785</v>
      </c>
      <c r="T152" s="88" t="s">
        <v>786</v>
      </c>
      <c r="U152" s="88" t="s">
        <v>6099</v>
      </c>
      <c r="V152" s="88">
        <v>4.5</v>
      </c>
      <c r="W152" s="88">
        <v>4.5</v>
      </c>
      <c r="X152" s="88">
        <v>9.5</v>
      </c>
    </row>
    <row r="153">
      <c r="A153" s="95" t="s">
        <v>6100</v>
      </c>
      <c r="B153" s="88" t="s">
        <v>1819</v>
      </c>
      <c r="C153" s="88" t="s">
        <v>1819</v>
      </c>
      <c r="D153" s="95">
        <v>4.603320465236E12</v>
      </c>
      <c r="E153" s="95" t="s">
        <v>6101</v>
      </c>
      <c r="F153" s="88" t="s">
        <v>1836</v>
      </c>
      <c r="G153" s="88" t="s">
        <v>303</v>
      </c>
      <c r="H153" s="88" t="s">
        <v>1838</v>
      </c>
      <c r="N153" s="88" t="s">
        <v>6102</v>
      </c>
      <c r="P153" s="88" t="s">
        <v>355</v>
      </c>
      <c r="Q153" s="88" t="s">
        <v>1842</v>
      </c>
      <c r="T153" s="88" t="s">
        <v>335</v>
      </c>
      <c r="U153" s="88" t="s">
        <v>6103</v>
      </c>
      <c r="V153" s="88">
        <v>6.0</v>
      </c>
      <c r="W153" s="88">
        <v>6.0</v>
      </c>
      <c r="X153" s="88">
        <v>22.0</v>
      </c>
    </row>
    <row r="154">
      <c r="A154" s="95" t="s">
        <v>6104</v>
      </c>
      <c r="B154" s="88" t="s">
        <v>441</v>
      </c>
      <c r="C154" s="88" t="s">
        <v>441</v>
      </c>
      <c r="D154" s="95">
        <v>4.67376778119E12</v>
      </c>
      <c r="E154" s="95" t="s">
        <v>6000</v>
      </c>
      <c r="F154" s="88" t="s">
        <v>133</v>
      </c>
      <c r="G154" s="88" t="s">
        <v>303</v>
      </c>
      <c r="H154" s="88" t="s">
        <v>454</v>
      </c>
      <c r="N154" s="88" t="s">
        <v>5878</v>
      </c>
      <c r="P154" s="88" t="s">
        <v>355</v>
      </c>
      <c r="Q154" s="88" t="s">
        <v>456</v>
      </c>
      <c r="T154" s="95" t="s">
        <v>458</v>
      </c>
      <c r="U154" s="88" t="s">
        <v>6105</v>
      </c>
      <c r="V154" s="88">
        <v>7.0</v>
      </c>
      <c r="W154" s="88">
        <v>7.0</v>
      </c>
      <c r="X154" s="88">
        <v>16.0</v>
      </c>
    </row>
    <row r="155">
      <c r="A155" s="95" t="s">
        <v>6106</v>
      </c>
      <c r="B155" s="88" t="s">
        <v>1843</v>
      </c>
      <c r="C155" s="88" t="s">
        <v>1843</v>
      </c>
      <c r="D155" s="95" t="s">
        <v>1854</v>
      </c>
      <c r="E155" s="95" t="s">
        <v>6000</v>
      </c>
      <c r="F155" s="88" t="s">
        <v>133</v>
      </c>
      <c r="G155" s="88" t="s">
        <v>303</v>
      </c>
      <c r="H155" s="88" t="s">
        <v>1856</v>
      </c>
      <c r="N155" s="88" t="s">
        <v>6045</v>
      </c>
      <c r="P155" s="88" t="s">
        <v>355</v>
      </c>
      <c r="Q155" s="88" t="s">
        <v>1859</v>
      </c>
      <c r="T155" s="95" t="s">
        <v>458</v>
      </c>
      <c r="U155" s="88" t="s">
        <v>6107</v>
      </c>
      <c r="V155" s="88">
        <v>4.5</v>
      </c>
      <c r="W155" s="88">
        <v>4.5</v>
      </c>
      <c r="X155" s="88">
        <v>16.0</v>
      </c>
    </row>
    <row r="156">
      <c r="A156" s="95" t="s">
        <v>6108</v>
      </c>
      <c r="B156" s="88" t="s">
        <v>1871</v>
      </c>
      <c r="C156" s="88" t="s">
        <v>1871</v>
      </c>
      <c r="D156" s="95" t="s">
        <v>1881</v>
      </c>
      <c r="E156" s="95" t="s">
        <v>6000</v>
      </c>
      <c r="F156" s="88" t="s">
        <v>133</v>
      </c>
      <c r="G156" s="88" t="s">
        <v>303</v>
      </c>
      <c r="H156" s="88" t="s">
        <v>1856</v>
      </c>
      <c r="N156" s="88" t="s">
        <v>5878</v>
      </c>
      <c r="P156" s="88" t="s">
        <v>355</v>
      </c>
      <c r="Q156" s="88" t="s">
        <v>1883</v>
      </c>
      <c r="T156" s="95" t="s">
        <v>458</v>
      </c>
      <c r="U156" s="88" t="s">
        <v>6105</v>
      </c>
      <c r="V156" s="88">
        <v>7.0</v>
      </c>
      <c r="W156" s="88">
        <v>7.0</v>
      </c>
      <c r="X156" s="88">
        <v>16.0</v>
      </c>
    </row>
    <row r="157">
      <c r="A157" s="95" t="s">
        <v>6109</v>
      </c>
      <c r="B157" s="88" t="s">
        <v>1411</v>
      </c>
      <c r="C157" s="88" t="s">
        <v>1411</v>
      </c>
      <c r="D157" s="95" t="s">
        <v>1429</v>
      </c>
      <c r="E157" s="95"/>
      <c r="F157" s="88" t="s">
        <v>133</v>
      </c>
      <c r="G157" s="88" t="s">
        <v>303</v>
      </c>
      <c r="H157" s="88" t="s">
        <v>1431</v>
      </c>
      <c r="N157" s="88" t="s">
        <v>5738</v>
      </c>
      <c r="P157" s="88" t="s">
        <v>355</v>
      </c>
      <c r="Q157" s="88" t="s">
        <v>1434</v>
      </c>
      <c r="T157" s="88" t="s">
        <v>309</v>
      </c>
      <c r="U157" s="88" t="s">
        <v>6110</v>
      </c>
      <c r="V157" s="88">
        <v>3.5</v>
      </c>
      <c r="W157" s="88">
        <v>3.5</v>
      </c>
      <c r="X157" s="88">
        <v>11.5</v>
      </c>
    </row>
    <row r="158">
      <c r="A158" s="95" t="s">
        <v>6111</v>
      </c>
      <c r="B158" s="88" t="s">
        <v>788</v>
      </c>
      <c r="C158" s="88" t="s">
        <v>788</v>
      </c>
      <c r="D158" s="95" t="s">
        <v>798</v>
      </c>
      <c r="E158" s="95"/>
      <c r="F158" s="88" t="s">
        <v>799</v>
      </c>
      <c r="G158" s="88" t="s">
        <v>303</v>
      </c>
      <c r="H158" s="88" t="s">
        <v>801</v>
      </c>
      <c r="N158" s="88" t="s">
        <v>5755</v>
      </c>
      <c r="P158" s="88" t="s">
        <v>355</v>
      </c>
      <c r="Q158" s="88" t="s">
        <v>803</v>
      </c>
      <c r="T158" s="88" t="s">
        <v>804</v>
      </c>
      <c r="U158" s="88" t="s">
        <v>6083</v>
      </c>
      <c r="V158" s="88">
        <v>5.0</v>
      </c>
      <c r="W158" s="88">
        <v>5.0</v>
      </c>
      <c r="X158" s="88">
        <v>8.5</v>
      </c>
    </row>
    <row r="159">
      <c r="A159" s="95" t="s">
        <v>6112</v>
      </c>
      <c r="B159" s="88" t="s">
        <v>1514</v>
      </c>
      <c r="C159" s="88" t="s">
        <v>1514</v>
      </c>
      <c r="D159" s="95" t="s">
        <v>1522</v>
      </c>
      <c r="E159" s="95" t="s">
        <v>6113</v>
      </c>
      <c r="F159" s="88" t="s">
        <v>690</v>
      </c>
      <c r="G159" s="88" t="s">
        <v>245</v>
      </c>
      <c r="H159" s="88" t="s">
        <v>1523</v>
      </c>
      <c r="M159" s="88" t="s">
        <v>694</v>
      </c>
      <c r="N159" s="88" t="s">
        <v>6114</v>
      </c>
      <c r="P159" s="88" t="s">
        <v>140</v>
      </c>
      <c r="Q159" s="48" t="s">
        <v>1525</v>
      </c>
      <c r="T159" s="88" t="s">
        <v>250</v>
      </c>
      <c r="U159" s="88" t="s">
        <v>6115</v>
      </c>
      <c r="V159" s="88">
        <v>4.5</v>
      </c>
      <c r="W159" s="88">
        <v>4.5</v>
      </c>
      <c r="X159" s="88">
        <v>16.5</v>
      </c>
    </row>
    <row r="160">
      <c r="A160" s="95" t="s">
        <v>6116</v>
      </c>
      <c r="B160" s="88" t="s">
        <v>1253</v>
      </c>
      <c r="C160" s="88" t="s">
        <v>1253</v>
      </c>
      <c r="D160" s="95">
        <v>4.680201379691E12</v>
      </c>
      <c r="E160" s="95" t="s">
        <v>6000</v>
      </c>
      <c r="F160" s="88" t="s">
        <v>1263</v>
      </c>
      <c r="H160" s="88" t="s">
        <v>1265</v>
      </c>
      <c r="N160" s="88" t="s">
        <v>6117</v>
      </c>
      <c r="P160" s="88" t="s">
        <v>332</v>
      </c>
      <c r="Q160" s="88" t="s">
        <v>1268</v>
      </c>
      <c r="T160" s="88" t="s">
        <v>250</v>
      </c>
      <c r="U160" s="88" t="s">
        <v>6118</v>
      </c>
      <c r="V160" s="88">
        <v>4.2</v>
      </c>
      <c r="W160" s="88">
        <v>4.2</v>
      </c>
      <c r="X160" s="88">
        <v>16.0</v>
      </c>
    </row>
    <row r="161">
      <c r="A161" s="95" t="s">
        <v>6119</v>
      </c>
      <c r="B161" s="88" t="s">
        <v>282</v>
      </c>
      <c r="C161" s="88" t="s">
        <v>282</v>
      </c>
      <c r="D161" s="95">
        <v>4.67002049842E12</v>
      </c>
      <c r="E161" s="95" t="s">
        <v>6120</v>
      </c>
      <c r="G161" s="88" t="s">
        <v>303</v>
      </c>
      <c r="H161" s="88" t="s">
        <v>304</v>
      </c>
      <c r="N161" s="88" t="s">
        <v>6075</v>
      </c>
      <c r="P161" s="88" t="s">
        <v>307</v>
      </c>
      <c r="Q161" s="88" t="s">
        <v>308</v>
      </c>
      <c r="T161" s="88" t="s">
        <v>309</v>
      </c>
      <c r="U161" s="88" t="s">
        <v>6121</v>
      </c>
      <c r="V161" s="88">
        <v>5.0</v>
      </c>
      <c r="W161" s="88">
        <v>5.0</v>
      </c>
      <c r="X161" s="88">
        <v>16.0</v>
      </c>
    </row>
    <row r="162">
      <c r="A162" s="95" t="s">
        <v>6122</v>
      </c>
      <c r="B162" s="88" t="s">
        <v>1455</v>
      </c>
      <c r="C162" s="88" t="s">
        <v>1455</v>
      </c>
      <c r="D162" s="95" t="s">
        <v>1467</v>
      </c>
      <c r="E162" s="95" t="s">
        <v>5736</v>
      </c>
      <c r="F162" s="88" t="s">
        <v>1468</v>
      </c>
      <c r="G162" s="88" t="s">
        <v>303</v>
      </c>
      <c r="H162" s="88" t="s">
        <v>1469</v>
      </c>
      <c r="N162" s="88" t="s">
        <v>6123</v>
      </c>
      <c r="P162" s="88" t="s">
        <v>307</v>
      </c>
      <c r="Q162" s="88" t="s">
        <v>1471</v>
      </c>
      <c r="T162" s="88" t="s">
        <v>309</v>
      </c>
      <c r="U162" s="88" t="s">
        <v>6124</v>
      </c>
      <c r="V162" s="88">
        <v>3.0</v>
      </c>
      <c r="W162" s="88">
        <v>3.0</v>
      </c>
      <c r="X162" s="88">
        <v>14.0</v>
      </c>
    </row>
    <row r="163">
      <c r="A163" s="95" t="s">
        <v>6125</v>
      </c>
      <c r="B163" s="88" t="s">
        <v>884</v>
      </c>
      <c r="C163" s="88" t="s">
        <v>884</v>
      </c>
      <c r="D163" s="95">
        <v>4.607025204626E12</v>
      </c>
      <c r="E163" s="95"/>
      <c r="F163" s="88" t="s">
        <v>894</v>
      </c>
      <c r="G163" s="88" t="s">
        <v>245</v>
      </c>
      <c r="H163" s="88" t="s">
        <v>896</v>
      </c>
      <c r="N163" s="88" t="s">
        <v>5842</v>
      </c>
      <c r="P163" s="88" t="s">
        <v>355</v>
      </c>
      <c r="Q163" s="88" t="s">
        <v>899</v>
      </c>
      <c r="T163" s="88" t="s">
        <v>901</v>
      </c>
      <c r="U163" s="88" t="s">
        <v>5761</v>
      </c>
      <c r="V163" s="88">
        <v>5.5</v>
      </c>
      <c r="W163" s="88">
        <v>5.5</v>
      </c>
      <c r="X163" s="88">
        <v>9.5</v>
      </c>
    </row>
    <row r="164">
      <c r="A164" s="95" t="s">
        <v>6126</v>
      </c>
      <c r="B164" s="88" t="s">
        <v>357</v>
      </c>
      <c r="C164" s="88" t="s">
        <v>357</v>
      </c>
      <c r="D164" s="95">
        <v>4.640332830317E12</v>
      </c>
      <c r="E164" s="95" t="s">
        <v>5722</v>
      </c>
      <c r="F164" s="88" t="s">
        <v>375</v>
      </c>
      <c r="G164" s="88" t="s">
        <v>245</v>
      </c>
      <c r="H164" s="88" t="s">
        <v>377</v>
      </c>
      <c r="N164" s="88" t="s">
        <v>6127</v>
      </c>
      <c r="P164" s="88" t="s">
        <v>355</v>
      </c>
      <c r="Q164" s="88" t="s">
        <v>382</v>
      </c>
      <c r="T164" s="88" t="s">
        <v>383</v>
      </c>
      <c r="U164" s="88" t="s">
        <v>6128</v>
      </c>
      <c r="V164" s="88">
        <v>7.0</v>
      </c>
      <c r="W164" s="88">
        <v>7.0</v>
      </c>
      <c r="X164" s="88">
        <v>13.0</v>
      </c>
    </row>
    <row r="165">
      <c r="A165" s="95" t="s">
        <v>6129</v>
      </c>
      <c r="B165" s="88" t="s">
        <v>425</v>
      </c>
      <c r="C165" s="88" t="s">
        <v>425</v>
      </c>
      <c r="D165" s="95">
        <v>4.6403328303E12</v>
      </c>
      <c r="E165" s="95" t="s">
        <v>5722</v>
      </c>
      <c r="F165" s="88" t="s">
        <v>436</v>
      </c>
      <c r="G165" s="88" t="s">
        <v>245</v>
      </c>
      <c r="H165" s="88" t="s">
        <v>438</v>
      </c>
      <c r="N165" s="88" t="s">
        <v>6127</v>
      </c>
      <c r="P165" s="88" t="s">
        <v>355</v>
      </c>
      <c r="Q165" s="88" t="s">
        <v>440</v>
      </c>
      <c r="T165" s="88" t="s">
        <v>383</v>
      </c>
      <c r="U165" s="88" t="s">
        <v>6128</v>
      </c>
      <c r="V165" s="88">
        <v>7.0</v>
      </c>
      <c r="W165" s="88">
        <v>7.0</v>
      </c>
      <c r="X165" s="88">
        <v>13.0</v>
      </c>
    </row>
    <row r="166">
      <c r="A166" s="95" t="s">
        <v>6130</v>
      </c>
      <c r="B166" s="88" t="s">
        <v>1435</v>
      </c>
      <c r="C166" s="88" t="s">
        <v>1435</v>
      </c>
      <c r="D166" s="95">
        <v>4.670020498468E12</v>
      </c>
      <c r="E166" s="95"/>
      <c r="F166" s="88" t="s">
        <v>1450</v>
      </c>
      <c r="G166" s="88" t="s">
        <v>303</v>
      </c>
      <c r="H166" s="88" t="s">
        <v>1452</v>
      </c>
      <c r="N166" s="88" t="s">
        <v>6075</v>
      </c>
      <c r="P166" s="88" t="s">
        <v>355</v>
      </c>
      <c r="Q166" s="88" t="s">
        <v>1454</v>
      </c>
      <c r="T166" s="88" t="s">
        <v>309</v>
      </c>
      <c r="U166" s="88" t="s">
        <v>6131</v>
      </c>
      <c r="V166" s="88">
        <v>17.5</v>
      </c>
      <c r="W166" s="88">
        <v>11.5</v>
      </c>
      <c r="X166" s="88">
        <v>6.0</v>
      </c>
    </row>
    <row r="167">
      <c r="A167" s="95" t="s">
        <v>6132</v>
      </c>
      <c r="B167" s="88" t="s">
        <v>311</v>
      </c>
      <c r="C167" s="88" t="s">
        <v>311</v>
      </c>
      <c r="D167" s="95">
        <v>4.603320465434E12</v>
      </c>
      <c r="E167" s="95" t="s">
        <v>6120</v>
      </c>
      <c r="F167" s="88" t="s">
        <v>328</v>
      </c>
      <c r="G167" s="88" t="s">
        <v>303</v>
      </c>
      <c r="H167" s="88" t="s">
        <v>330</v>
      </c>
      <c r="N167" s="88" t="s">
        <v>6117</v>
      </c>
      <c r="P167" s="88" t="s">
        <v>332</v>
      </c>
      <c r="Q167" s="88" t="s">
        <v>333</v>
      </c>
      <c r="T167" s="88" t="s">
        <v>335</v>
      </c>
      <c r="U167" s="88" t="s">
        <v>6133</v>
      </c>
      <c r="V167" s="88">
        <v>9.0</v>
      </c>
      <c r="W167" s="88">
        <v>4.0</v>
      </c>
      <c r="X167" s="88">
        <v>13.0</v>
      </c>
    </row>
    <row r="168">
      <c r="A168" s="95" t="s">
        <v>6134</v>
      </c>
      <c r="B168" s="88" t="s">
        <v>1474</v>
      </c>
      <c r="C168" s="88" t="s">
        <v>1474</v>
      </c>
      <c r="D168" s="95">
        <v>4.670020498727E12</v>
      </c>
      <c r="E168" s="95"/>
      <c r="F168" s="88" t="s">
        <v>1496</v>
      </c>
      <c r="G168" s="88" t="s">
        <v>303</v>
      </c>
      <c r="H168" s="88" t="s">
        <v>1498</v>
      </c>
      <c r="N168" s="88" t="s">
        <v>6114</v>
      </c>
      <c r="P168" s="88" t="s">
        <v>355</v>
      </c>
      <c r="Q168" s="88" t="s">
        <v>1501</v>
      </c>
      <c r="T168" s="88" t="s">
        <v>309</v>
      </c>
      <c r="U168" s="88" t="s">
        <v>6135</v>
      </c>
      <c r="V168" s="88">
        <v>4.5</v>
      </c>
      <c r="W168" s="88">
        <v>4.5</v>
      </c>
      <c r="X168" s="88">
        <v>17.5</v>
      </c>
    </row>
    <row r="169">
      <c r="A169" s="95"/>
      <c r="B169" s="88" t="s">
        <v>5437</v>
      </c>
      <c r="C169" s="88" t="s">
        <v>5437</v>
      </c>
      <c r="D169" s="95">
        <v>4.670227419051E12</v>
      </c>
      <c r="E169" s="95"/>
      <c r="G169" s="88" t="s">
        <v>303</v>
      </c>
      <c r="H169" s="88" t="s">
        <v>5442</v>
      </c>
      <c r="N169" s="88">
        <v>60.0</v>
      </c>
      <c r="P169" s="88" t="s">
        <v>355</v>
      </c>
      <c r="Q169" s="88" t="s">
        <v>5443</v>
      </c>
      <c r="T169" s="88" t="s">
        <v>494</v>
      </c>
      <c r="U169" s="88" t="s">
        <v>5859</v>
      </c>
      <c r="V169" s="88">
        <v>6.0</v>
      </c>
      <c r="W169" s="88">
        <v>6.0</v>
      </c>
      <c r="X169" s="88">
        <v>11.5</v>
      </c>
    </row>
    <row r="170">
      <c r="A170" s="95" t="s">
        <v>6136</v>
      </c>
      <c r="B170" s="88" t="s">
        <v>1007</v>
      </c>
      <c r="C170" s="88" t="s">
        <v>1007</v>
      </c>
      <c r="D170" s="95" t="s">
        <v>1017</v>
      </c>
      <c r="E170" s="95"/>
      <c r="F170" s="88" t="s">
        <v>1018</v>
      </c>
      <c r="G170" s="88" t="s">
        <v>303</v>
      </c>
      <c r="H170" s="88" t="s">
        <v>6137</v>
      </c>
      <c r="K170" s="88" t="s">
        <v>6138</v>
      </c>
      <c r="N170" s="88" t="s">
        <v>6139</v>
      </c>
      <c r="P170" s="88" t="s">
        <v>332</v>
      </c>
      <c r="Q170" s="48" t="s">
        <v>1023</v>
      </c>
      <c r="T170" s="88" t="s">
        <v>250</v>
      </c>
      <c r="U170" s="88" t="s">
        <v>6140</v>
      </c>
      <c r="V170" s="88">
        <v>3.5</v>
      </c>
      <c r="W170" s="88">
        <v>3.5</v>
      </c>
      <c r="X170" s="88">
        <v>10.0</v>
      </c>
    </row>
    <row r="171">
      <c r="A171" s="95" t="s">
        <v>6141</v>
      </c>
      <c r="B171" s="88" t="s">
        <v>582</v>
      </c>
      <c r="C171" s="88" t="s">
        <v>582</v>
      </c>
      <c r="D171" s="95">
        <v>4.66041742152E12</v>
      </c>
      <c r="E171" s="95"/>
      <c r="G171" s="88" t="s">
        <v>303</v>
      </c>
      <c r="H171" s="88" t="s">
        <v>599</v>
      </c>
      <c r="N171" s="88" t="s">
        <v>6139</v>
      </c>
      <c r="P171" s="88" t="s">
        <v>332</v>
      </c>
      <c r="Q171" s="88" t="s">
        <v>602</v>
      </c>
      <c r="T171" s="88" t="s">
        <v>604</v>
      </c>
      <c r="U171" s="88" t="s">
        <v>6142</v>
      </c>
      <c r="V171" s="88">
        <v>3.0</v>
      </c>
      <c r="W171" s="88">
        <v>3.0</v>
      </c>
      <c r="X171" s="88">
        <v>11.0</v>
      </c>
    </row>
    <row r="172">
      <c r="A172" s="95" t="s">
        <v>6143</v>
      </c>
      <c r="B172" s="88" t="s">
        <v>626</v>
      </c>
      <c r="C172" s="88" t="s">
        <v>626</v>
      </c>
      <c r="D172" s="95" t="s">
        <v>636</v>
      </c>
      <c r="E172" s="95"/>
      <c r="G172" s="88" t="s">
        <v>303</v>
      </c>
      <c r="H172" s="88" t="s">
        <v>638</v>
      </c>
      <c r="N172" s="88" t="s">
        <v>6139</v>
      </c>
      <c r="P172" s="88" t="s">
        <v>355</v>
      </c>
      <c r="Q172" s="88" t="s">
        <v>638</v>
      </c>
      <c r="T172" s="95" t="s">
        <v>472</v>
      </c>
      <c r="U172" s="88" t="s">
        <v>6144</v>
      </c>
      <c r="V172" s="88">
        <v>5.0</v>
      </c>
      <c r="W172" s="88">
        <v>2.5</v>
      </c>
      <c r="X172" s="88">
        <v>11.0</v>
      </c>
    </row>
    <row r="173">
      <c r="A173" s="95" t="s">
        <v>6145</v>
      </c>
      <c r="B173" s="88" t="s">
        <v>563</v>
      </c>
      <c r="C173" s="88" t="s">
        <v>563</v>
      </c>
      <c r="D173" s="95">
        <v>4.670020499243E12</v>
      </c>
      <c r="E173" s="95"/>
      <c r="G173" s="88" t="s">
        <v>303</v>
      </c>
      <c r="H173" s="88" t="s">
        <v>578</v>
      </c>
      <c r="N173" s="88" t="s">
        <v>6146</v>
      </c>
      <c r="P173" s="88" t="s">
        <v>355</v>
      </c>
      <c r="Q173" s="88" t="s">
        <v>581</v>
      </c>
      <c r="T173" s="88" t="s">
        <v>309</v>
      </c>
      <c r="U173" s="88" t="s">
        <v>6147</v>
      </c>
      <c r="V173" s="88">
        <v>4.5</v>
      </c>
      <c r="W173" s="88">
        <v>4.5</v>
      </c>
      <c r="X173" s="88">
        <v>14.0</v>
      </c>
    </row>
    <row r="174">
      <c r="A174" s="95" t="s">
        <v>6148</v>
      </c>
      <c r="B174" s="88" t="s">
        <v>606</v>
      </c>
      <c r="C174" s="88" t="s">
        <v>606</v>
      </c>
      <c r="D174" s="95">
        <v>4.63026390638E12</v>
      </c>
      <c r="E174" s="95"/>
      <c r="F174" s="88" t="s">
        <v>615</v>
      </c>
      <c r="G174" s="88" t="s">
        <v>245</v>
      </c>
      <c r="H174" s="88" t="s">
        <v>617</v>
      </c>
      <c r="N174" s="88" t="s">
        <v>5842</v>
      </c>
      <c r="P174" s="88" t="s">
        <v>355</v>
      </c>
      <c r="Q174" s="88" t="s">
        <v>622</v>
      </c>
      <c r="T174" s="88" t="s">
        <v>624</v>
      </c>
      <c r="U174" s="88" t="s">
        <v>6149</v>
      </c>
      <c r="V174" s="88">
        <v>4.7</v>
      </c>
      <c r="W174" s="88">
        <v>4.7</v>
      </c>
      <c r="X174" s="88">
        <v>11.0</v>
      </c>
    </row>
    <row r="175">
      <c r="A175" s="95" t="s">
        <v>6150</v>
      </c>
      <c r="B175" s="88" t="s">
        <v>639</v>
      </c>
      <c r="C175" s="88" t="s">
        <v>639</v>
      </c>
      <c r="D175" s="95">
        <v>4.657796830517E12</v>
      </c>
      <c r="E175" s="95" t="s">
        <v>5722</v>
      </c>
      <c r="G175" s="88" t="s">
        <v>303</v>
      </c>
      <c r="H175" s="88" t="s">
        <v>651</v>
      </c>
      <c r="N175" s="88" t="s">
        <v>5842</v>
      </c>
      <c r="P175" s="88" t="s">
        <v>355</v>
      </c>
      <c r="Q175" s="88" t="s">
        <v>655</v>
      </c>
      <c r="T175" s="88" t="s">
        <v>657</v>
      </c>
      <c r="U175" s="88" t="s">
        <v>5891</v>
      </c>
      <c r="V175" s="88">
        <v>5.0</v>
      </c>
      <c r="W175" s="88">
        <v>5.0</v>
      </c>
      <c r="X175" s="88">
        <v>9.0</v>
      </c>
    </row>
    <row r="176">
      <c r="A176" s="95" t="s">
        <v>6151</v>
      </c>
      <c r="B176" s="88" t="s">
        <v>659</v>
      </c>
      <c r="C176" s="88" t="s">
        <v>659</v>
      </c>
      <c r="D176" s="95">
        <v>4.627102679765E12</v>
      </c>
      <c r="E176" s="95" t="s">
        <v>5722</v>
      </c>
      <c r="F176" s="88" t="s">
        <v>671</v>
      </c>
      <c r="G176" s="88" t="s">
        <v>245</v>
      </c>
      <c r="H176" s="88" t="s">
        <v>673</v>
      </c>
      <c r="N176" s="88" t="s">
        <v>6152</v>
      </c>
      <c r="P176" s="88" t="s">
        <v>355</v>
      </c>
      <c r="Q176" s="88" t="s">
        <v>677</v>
      </c>
      <c r="T176" s="88" t="s">
        <v>678</v>
      </c>
      <c r="U176" s="88" t="s">
        <v>6153</v>
      </c>
      <c r="V176" s="88">
        <v>5.5</v>
      </c>
      <c r="W176" s="88">
        <v>5.5</v>
      </c>
      <c r="X176" s="88">
        <v>11.0</v>
      </c>
    </row>
    <row r="177">
      <c r="A177" s="95" t="s">
        <v>6154</v>
      </c>
      <c r="B177" s="88" t="s">
        <v>680</v>
      </c>
      <c r="C177" s="88" t="s">
        <v>680</v>
      </c>
      <c r="D177" s="88">
        <v>4.620290621356E12</v>
      </c>
      <c r="E177" s="95" t="s">
        <v>6062</v>
      </c>
      <c r="F177" s="88" t="s">
        <v>690</v>
      </c>
      <c r="G177" s="88" t="s">
        <v>245</v>
      </c>
      <c r="H177" s="88" t="s">
        <v>692</v>
      </c>
      <c r="N177" s="88" t="s">
        <v>6045</v>
      </c>
      <c r="P177" s="88" t="s">
        <v>140</v>
      </c>
      <c r="Q177" s="88" t="s">
        <v>695</v>
      </c>
      <c r="T177" s="88" t="s">
        <v>250</v>
      </c>
      <c r="U177" s="88" t="s">
        <v>6155</v>
      </c>
      <c r="V177" s="88">
        <v>7.0</v>
      </c>
      <c r="W177" s="88">
        <v>3.5</v>
      </c>
      <c r="X177" s="88">
        <v>17.0</v>
      </c>
    </row>
    <row r="178">
      <c r="A178" s="95" t="s">
        <v>6156</v>
      </c>
      <c r="B178" s="88" t="s">
        <v>729</v>
      </c>
      <c r="C178" s="88" t="s">
        <v>729</v>
      </c>
      <c r="D178" s="95" t="s">
        <v>737</v>
      </c>
      <c r="E178" s="95"/>
      <c r="G178" s="88" t="s">
        <v>245</v>
      </c>
      <c r="H178" s="88" t="s">
        <v>599</v>
      </c>
      <c r="P178" s="88" t="s">
        <v>332</v>
      </c>
      <c r="Q178" s="88" t="s">
        <v>738</v>
      </c>
      <c r="T178" s="88" t="s">
        <v>604</v>
      </c>
      <c r="U178" s="88" t="s">
        <v>6142</v>
      </c>
      <c r="V178" s="88">
        <v>3.0</v>
      </c>
      <c r="W178" s="88">
        <v>3.0</v>
      </c>
      <c r="X178" s="88">
        <v>11.0</v>
      </c>
    </row>
    <row r="179">
      <c r="A179" s="95" t="s">
        <v>6157</v>
      </c>
      <c r="B179" s="88" t="s">
        <v>740</v>
      </c>
      <c r="C179" s="88" t="s">
        <v>740</v>
      </c>
      <c r="D179" s="95" t="s">
        <v>748</v>
      </c>
      <c r="E179" s="95"/>
      <c r="G179" s="88" t="s">
        <v>245</v>
      </c>
      <c r="H179" s="88" t="s">
        <v>599</v>
      </c>
      <c r="P179" s="88" t="s">
        <v>332</v>
      </c>
      <c r="Q179" s="88" t="s">
        <v>749</v>
      </c>
      <c r="T179" s="88" t="s">
        <v>604</v>
      </c>
      <c r="U179" s="88" t="s">
        <v>6142</v>
      </c>
      <c r="V179" s="88">
        <v>3.0</v>
      </c>
      <c r="W179" s="88">
        <v>3.0</v>
      </c>
      <c r="X179" s="88">
        <v>11.0</v>
      </c>
    </row>
    <row r="180">
      <c r="A180" s="95" t="s">
        <v>6158</v>
      </c>
      <c r="B180" s="88" t="s">
        <v>714</v>
      </c>
      <c r="C180" s="88" t="s">
        <v>714</v>
      </c>
      <c r="D180" s="95">
        <v>4.660417421773E12</v>
      </c>
      <c r="E180" s="95"/>
      <c r="G180" s="88" t="s">
        <v>245</v>
      </c>
      <c r="H180" s="88" t="s">
        <v>724</v>
      </c>
      <c r="P180" s="88" t="s">
        <v>726</v>
      </c>
      <c r="Q180" s="88" t="s">
        <v>728</v>
      </c>
      <c r="T180" s="88" t="s">
        <v>604</v>
      </c>
      <c r="U180" s="88" t="s">
        <v>6159</v>
      </c>
      <c r="V180" s="97">
        <v>46145.0</v>
      </c>
      <c r="W180" s="88">
        <v>3.5</v>
      </c>
      <c r="X180" s="88">
        <v>11.0</v>
      </c>
    </row>
    <row r="181">
      <c r="A181" s="95" t="s">
        <v>6160</v>
      </c>
      <c r="B181" s="88" t="e">
        <v>#N/A</v>
      </c>
      <c r="C181" s="88" t="s">
        <v>5366</v>
      </c>
      <c r="D181" s="95">
        <v>4.670020499809E12</v>
      </c>
      <c r="E181" s="95"/>
      <c r="G181" s="88" t="s">
        <v>245</v>
      </c>
      <c r="H181" s="88" t="s">
        <v>6161</v>
      </c>
      <c r="N181" s="88" t="s">
        <v>6075</v>
      </c>
      <c r="P181" s="88" t="s">
        <v>355</v>
      </c>
      <c r="Q181" s="88" t="s">
        <v>5373</v>
      </c>
      <c r="T181" s="88" t="s">
        <v>309</v>
      </c>
      <c r="U181" s="88" t="s">
        <v>6162</v>
      </c>
      <c r="V181" s="97">
        <v>46146.0</v>
      </c>
      <c r="W181" s="88">
        <v>4.5</v>
      </c>
      <c r="X181" s="88">
        <v>19.0</v>
      </c>
    </row>
    <row r="182">
      <c r="A182" s="95" t="s">
        <v>6163</v>
      </c>
      <c r="B182" s="88" t="e">
        <v>#N/A</v>
      </c>
      <c r="C182" s="88" t="s">
        <v>5374</v>
      </c>
      <c r="D182" s="95" t="s">
        <v>6164</v>
      </c>
      <c r="E182" s="95"/>
      <c r="G182" s="88" t="s">
        <v>6165</v>
      </c>
      <c r="N182" s="88" t="s">
        <v>6166</v>
      </c>
      <c r="P182" s="88" t="s">
        <v>355</v>
      </c>
      <c r="Q182" s="88" t="s">
        <v>6167</v>
      </c>
      <c r="V182" s="88" t="e">
        <v>#VALUE!</v>
      </c>
    </row>
    <row r="183">
      <c r="A183" s="95" t="s">
        <v>6168</v>
      </c>
      <c r="B183" s="88" t="e">
        <v>#N/A</v>
      </c>
      <c r="C183" s="88" t="s">
        <v>5378</v>
      </c>
      <c r="D183" s="95" t="s">
        <v>6169</v>
      </c>
      <c r="E183" s="95"/>
      <c r="G183" s="88" t="s">
        <v>6165</v>
      </c>
      <c r="N183" s="88" t="s">
        <v>6170</v>
      </c>
      <c r="P183" s="88" t="s">
        <v>355</v>
      </c>
      <c r="V183" s="88" t="e">
        <v>#VALUE!</v>
      </c>
    </row>
    <row r="184">
      <c r="A184" s="95" t="s">
        <v>6171</v>
      </c>
      <c r="B184" s="88" t="e">
        <v>#N/A</v>
      </c>
      <c r="C184" s="88" t="s">
        <v>5382</v>
      </c>
      <c r="D184" s="95" t="s">
        <v>6172</v>
      </c>
      <c r="E184" s="95"/>
      <c r="G184" s="88" t="s">
        <v>6165</v>
      </c>
      <c r="N184" s="88" t="s">
        <v>6173</v>
      </c>
      <c r="P184" s="88" t="s">
        <v>355</v>
      </c>
      <c r="V184" s="88" t="e">
        <v>#VALUE!</v>
      </c>
    </row>
    <row r="185">
      <c r="A185" s="88" t="e">
        <v>#N/A</v>
      </c>
      <c r="B185" s="88" t="e">
        <v>#N/A</v>
      </c>
      <c r="D185" s="88" t="e">
        <v>#N/A</v>
      </c>
      <c r="E185" s="88" t="e">
        <v>#N/A</v>
      </c>
      <c r="F185" s="88" t="e">
        <v>#N/A</v>
      </c>
      <c r="G185" s="88" t="e">
        <v>#N/A</v>
      </c>
      <c r="H185" s="88" t="e">
        <v>#N/A</v>
      </c>
      <c r="J185" s="88" t="e">
        <v>#N/A</v>
      </c>
      <c r="K185" s="88" t="e">
        <v>#N/A</v>
      </c>
      <c r="L185" s="88" t="e">
        <v>#N/A</v>
      </c>
      <c r="M185" s="88" t="e">
        <v>#N/A</v>
      </c>
      <c r="N185" s="88" t="e">
        <v>#N/A</v>
      </c>
      <c r="P185" s="88" t="e">
        <v>#N/A</v>
      </c>
      <c r="Q185" s="88" t="e">
        <v>#N/A</v>
      </c>
      <c r="T185" s="88" t="e">
        <v>#N/A</v>
      </c>
      <c r="U185" s="88" t="e">
        <v>#N/A</v>
      </c>
      <c r="V185" s="88" t="e">
        <v>#N/A</v>
      </c>
      <c r="Y185" s="88" t="e">
        <v>#N/A</v>
      </c>
      <c r="Z185" s="88" t="e">
        <v>#N/A</v>
      </c>
      <c r="AA185" s="88" t="e">
        <v>#N/A</v>
      </c>
    </row>
    <row r="186">
      <c r="A186" s="88" t="e">
        <v>#N/A</v>
      </c>
      <c r="B186" s="88" t="e">
        <v>#N/A</v>
      </c>
      <c r="D186" s="88" t="e">
        <v>#N/A</v>
      </c>
      <c r="E186" s="88" t="e">
        <v>#N/A</v>
      </c>
      <c r="F186" s="88" t="e">
        <v>#N/A</v>
      </c>
      <c r="G186" s="88" t="e">
        <v>#N/A</v>
      </c>
      <c r="H186" s="88" t="e">
        <v>#N/A</v>
      </c>
      <c r="J186" s="88" t="e">
        <v>#N/A</v>
      </c>
      <c r="K186" s="88" t="e">
        <v>#N/A</v>
      </c>
      <c r="L186" s="88" t="e">
        <v>#N/A</v>
      </c>
      <c r="M186" s="88" t="e">
        <v>#N/A</v>
      </c>
      <c r="N186" s="88" t="e">
        <v>#N/A</v>
      </c>
      <c r="P186" s="88" t="e">
        <v>#N/A</v>
      </c>
      <c r="Q186" s="88" t="e">
        <v>#N/A</v>
      </c>
      <c r="T186" s="88" t="e">
        <v>#N/A</v>
      </c>
      <c r="U186" s="88" t="e">
        <v>#N/A</v>
      </c>
      <c r="V186" s="88" t="e">
        <v>#N/A</v>
      </c>
      <c r="Y186" s="88" t="e">
        <v>#N/A</v>
      </c>
      <c r="Z186" s="88" t="e">
        <v>#N/A</v>
      </c>
      <c r="AA186" s="88" t="e">
        <v>#N/A</v>
      </c>
    </row>
    <row r="187">
      <c r="A187" s="88" t="e">
        <v>#N/A</v>
      </c>
      <c r="B187" s="88" t="e">
        <v>#N/A</v>
      </c>
      <c r="D187" s="88" t="e">
        <v>#N/A</v>
      </c>
      <c r="E187" s="88" t="e">
        <v>#N/A</v>
      </c>
      <c r="F187" s="88" t="e">
        <v>#N/A</v>
      </c>
      <c r="G187" s="88" t="e">
        <v>#N/A</v>
      </c>
      <c r="H187" s="88" t="e">
        <v>#N/A</v>
      </c>
      <c r="J187" s="88" t="e">
        <v>#N/A</v>
      </c>
      <c r="K187" s="88" t="e">
        <v>#N/A</v>
      </c>
      <c r="L187" s="88" t="e">
        <v>#N/A</v>
      </c>
      <c r="M187" s="88" t="e">
        <v>#N/A</v>
      </c>
      <c r="N187" s="88" t="e">
        <v>#N/A</v>
      </c>
      <c r="P187" s="88" t="e">
        <v>#N/A</v>
      </c>
      <c r="Q187" s="88" t="e">
        <v>#N/A</v>
      </c>
      <c r="T187" s="88" t="e">
        <v>#N/A</v>
      </c>
      <c r="U187" s="88" t="e">
        <v>#N/A</v>
      </c>
      <c r="V187" s="88" t="e">
        <v>#N/A</v>
      </c>
      <c r="Y187" s="88" t="e">
        <v>#N/A</v>
      </c>
      <c r="Z187" s="88" t="e">
        <v>#N/A</v>
      </c>
      <c r="AA187" s="88" t="e">
        <v>#N/A</v>
      </c>
    </row>
    <row r="188">
      <c r="A188" s="88" t="e">
        <v>#N/A</v>
      </c>
      <c r="B188" s="88" t="e">
        <v>#N/A</v>
      </c>
      <c r="D188" s="88" t="e">
        <v>#N/A</v>
      </c>
      <c r="E188" s="88" t="e">
        <v>#N/A</v>
      </c>
      <c r="F188" s="88" t="e">
        <v>#N/A</v>
      </c>
      <c r="G188" s="88" t="e">
        <v>#N/A</v>
      </c>
      <c r="H188" s="88" t="e">
        <v>#N/A</v>
      </c>
      <c r="J188" s="88" t="e">
        <v>#N/A</v>
      </c>
      <c r="K188" s="88" t="e">
        <v>#N/A</v>
      </c>
      <c r="L188" s="88" t="e">
        <v>#N/A</v>
      </c>
      <c r="M188" s="88" t="e">
        <v>#N/A</v>
      </c>
      <c r="N188" s="88" t="e">
        <v>#N/A</v>
      </c>
      <c r="P188" s="88" t="e">
        <v>#N/A</v>
      </c>
      <c r="Q188" s="88" t="e">
        <v>#N/A</v>
      </c>
      <c r="T188" s="88" t="e">
        <v>#N/A</v>
      </c>
      <c r="U188" s="88" t="e">
        <v>#N/A</v>
      </c>
      <c r="V188" s="88" t="e">
        <v>#N/A</v>
      </c>
      <c r="Y188" s="88" t="e">
        <v>#N/A</v>
      </c>
      <c r="Z188" s="88" t="e">
        <v>#N/A</v>
      </c>
      <c r="AA188" s="88" t="e">
        <v>#N/A</v>
      </c>
    </row>
    <row r="189">
      <c r="A189" s="88" t="e">
        <v>#N/A</v>
      </c>
      <c r="B189" s="88" t="e">
        <v>#N/A</v>
      </c>
      <c r="D189" s="88" t="e">
        <v>#N/A</v>
      </c>
      <c r="E189" s="88" t="e">
        <v>#N/A</v>
      </c>
      <c r="F189" s="88" t="e">
        <v>#N/A</v>
      </c>
      <c r="G189" s="88" t="e">
        <v>#N/A</v>
      </c>
      <c r="H189" s="88" t="e">
        <v>#N/A</v>
      </c>
      <c r="J189" s="88" t="e">
        <v>#N/A</v>
      </c>
      <c r="K189" s="88" t="e">
        <v>#N/A</v>
      </c>
      <c r="L189" s="88" t="e">
        <v>#N/A</v>
      </c>
      <c r="M189" s="88" t="e">
        <v>#N/A</v>
      </c>
      <c r="N189" s="88" t="e">
        <v>#N/A</v>
      </c>
      <c r="P189" s="88" t="e">
        <v>#N/A</v>
      </c>
      <c r="Q189" s="88" t="e">
        <v>#N/A</v>
      </c>
      <c r="T189" s="88" t="e">
        <v>#N/A</v>
      </c>
      <c r="U189" s="88" t="e">
        <v>#N/A</v>
      </c>
      <c r="V189" s="88" t="e">
        <v>#N/A</v>
      </c>
      <c r="Y189" s="88" t="e">
        <v>#N/A</v>
      </c>
      <c r="Z189" s="88" t="e">
        <v>#N/A</v>
      </c>
      <c r="AA189" s="88" t="e">
        <v>#N/A</v>
      </c>
    </row>
    <row r="190">
      <c r="A190" s="88" t="e">
        <v>#N/A</v>
      </c>
      <c r="B190" s="88" t="e">
        <v>#N/A</v>
      </c>
      <c r="D190" s="88" t="e">
        <v>#N/A</v>
      </c>
      <c r="E190" s="88" t="e">
        <v>#N/A</v>
      </c>
      <c r="F190" s="88" t="e">
        <v>#N/A</v>
      </c>
      <c r="G190" s="88" t="e">
        <v>#N/A</v>
      </c>
      <c r="H190" s="88" t="e">
        <v>#N/A</v>
      </c>
      <c r="J190" s="88" t="e">
        <v>#N/A</v>
      </c>
      <c r="K190" s="88" t="e">
        <v>#N/A</v>
      </c>
      <c r="L190" s="88" t="e">
        <v>#N/A</v>
      </c>
      <c r="M190" s="88" t="e">
        <v>#N/A</v>
      </c>
      <c r="N190" s="88" t="e">
        <v>#N/A</v>
      </c>
      <c r="P190" s="88" t="e">
        <v>#N/A</v>
      </c>
      <c r="Q190" s="88" t="e">
        <v>#N/A</v>
      </c>
      <c r="T190" s="88" t="e">
        <v>#N/A</v>
      </c>
      <c r="U190" s="88" t="e">
        <v>#N/A</v>
      </c>
      <c r="V190" s="88" t="e">
        <v>#N/A</v>
      </c>
      <c r="Y190" s="88" t="e">
        <v>#N/A</v>
      </c>
      <c r="Z190" s="88" t="e">
        <v>#N/A</v>
      </c>
      <c r="AA190" s="88" t="e">
        <v>#N/A</v>
      </c>
    </row>
    <row r="191">
      <c r="A191" s="88" t="e">
        <v>#N/A</v>
      </c>
      <c r="B191" s="88" t="e">
        <v>#N/A</v>
      </c>
      <c r="D191" s="88" t="e">
        <v>#N/A</v>
      </c>
      <c r="E191" s="88" t="e">
        <v>#N/A</v>
      </c>
      <c r="F191" s="88" t="e">
        <v>#N/A</v>
      </c>
      <c r="G191" s="88" t="e">
        <v>#N/A</v>
      </c>
      <c r="H191" s="88" t="e">
        <v>#N/A</v>
      </c>
      <c r="J191" s="88" t="e">
        <v>#N/A</v>
      </c>
      <c r="K191" s="88" t="e">
        <v>#N/A</v>
      </c>
      <c r="L191" s="88" t="e">
        <v>#N/A</v>
      </c>
      <c r="M191" s="88" t="e">
        <v>#N/A</v>
      </c>
      <c r="N191" s="88" t="e">
        <v>#N/A</v>
      </c>
      <c r="P191" s="88" t="e">
        <v>#N/A</v>
      </c>
      <c r="Q191" s="88" t="e">
        <v>#N/A</v>
      </c>
      <c r="T191" s="88" t="e">
        <v>#N/A</v>
      </c>
      <c r="U191" s="88" t="e">
        <v>#N/A</v>
      </c>
      <c r="V191" s="88" t="e">
        <v>#N/A</v>
      </c>
      <c r="Y191" s="88" t="e">
        <v>#N/A</v>
      </c>
      <c r="Z191" s="88" t="e">
        <v>#N/A</v>
      </c>
      <c r="AA191" s="88" t="e">
        <v>#N/A</v>
      </c>
    </row>
    <row r="192">
      <c r="A192" s="88" t="e">
        <v>#N/A</v>
      </c>
      <c r="B192" s="88" t="e">
        <v>#N/A</v>
      </c>
      <c r="D192" s="88" t="e">
        <v>#N/A</v>
      </c>
      <c r="E192" s="88" t="e">
        <v>#N/A</v>
      </c>
      <c r="F192" s="88" t="e">
        <v>#N/A</v>
      </c>
      <c r="G192" s="88" t="e">
        <v>#N/A</v>
      </c>
      <c r="H192" s="88" t="e">
        <v>#N/A</v>
      </c>
      <c r="J192" s="88" t="e">
        <v>#N/A</v>
      </c>
      <c r="K192" s="88" t="e">
        <v>#N/A</v>
      </c>
      <c r="L192" s="88" t="e">
        <v>#N/A</v>
      </c>
      <c r="M192" s="88" t="e">
        <v>#N/A</v>
      </c>
      <c r="N192" s="88" t="e">
        <v>#N/A</v>
      </c>
      <c r="P192" s="88" t="e">
        <v>#N/A</v>
      </c>
      <c r="Q192" s="88" t="e">
        <v>#N/A</v>
      </c>
      <c r="T192" s="88" t="e">
        <v>#N/A</v>
      </c>
      <c r="U192" s="88" t="e">
        <v>#N/A</v>
      </c>
      <c r="V192" s="88" t="e">
        <v>#N/A</v>
      </c>
      <c r="Y192" s="88" t="e">
        <v>#N/A</v>
      </c>
      <c r="Z192" s="88" t="e">
        <v>#N/A</v>
      </c>
      <c r="AA192" s="88" t="e">
        <v>#N/A</v>
      </c>
    </row>
    <row r="193">
      <c r="A193" s="88" t="e">
        <v>#N/A</v>
      </c>
      <c r="B193" s="88" t="e">
        <v>#N/A</v>
      </c>
      <c r="D193" s="88" t="e">
        <v>#N/A</v>
      </c>
      <c r="E193" s="88" t="e">
        <v>#N/A</v>
      </c>
      <c r="F193" s="88" t="e">
        <v>#N/A</v>
      </c>
      <c r="G193" s="88" t="e">
        <v>#N/A</v>
      </c>
      <c r="H193" s="88" t="e">
        <v>#N/A</v>
      </c>
      <c r="J193" s="88" t="e">
        <v>#N/A</v>
      </c>
      <c r="K193" s="88" t="e">
        <v>#N/A</v>
      </c>
      <c r="L193" s="88" t="e">
        <v>#N/A</v>
      </c>
      <c r="M193" s="88" t="e">
        <v>#N/A</v>
      </c>
      <c r="N193" s="88" t="e">
        <v>#N/A</v>
      </c>
      <c r="P193" s="88" t="e">
        <v>#N/A</v>
      </c>
      <c r="Q193" s="88" t="e">
        <v>#N/A</v>
      </c>
      <c r="T193" s="88" t="e">
        <v>#N/A</v>
      </c>
      <c r="U193" s="88" t="e">
        <v>#N/A</v>
      </c>
      <c r="V193" s="88" t="e">
        <v>#N/A</v>
      </c>
      <c r="Y193" s="88" t="e">
        <v>#N/A</v>
      </c>
      <c r="Z193" s="88" t="e">
        <v>#N/A</v>
      </c>
      <c r="AA193" s="88" t="e">
        <v>#N/A</v>
      </c>
    </row>
    <row r="194">
      <c r="A194" s="88" t="e">
        <v>#N/A</v>
      </c>
      <c r="B194" s="88" t="e">
        <v>#N/A</v>
      </c>
      <c r="D194" s="88" t="e">
        <v>#N/A</v>
      </c>
      <c r="E194" s="88" t="e">
        <v>#N/A</v>
      </c>
      <c r="F194" s="88" t="e">
        <v>#N/A</v>
      </c>
      <c r="G194" s="88" t="e">
        <v>#N/A</v>
      </c>
      <c r="H194" s="88" t="e">
        <v>#N/A</v>
      </c>
      <c r="J194" s="88" t="e">
        <v>#N/A</v>
      </c>
      <c r="K194" s="88" t="e">
        <v>#N/A</v>
      </c>
      <c r="L194" s="88" t="e">
        <v>#N/A</v>
      </c>
      <c r="M194" s="88" t="e">
        <v>#N/A</v>
      </c>
      <c r="N194" s="88" t="e">
        <v>#N/A</v>
      </c>
      <c r="P194" s="88" t="e">
        <v>#N/A</v>
      </c>
      <c r="Q194" s="88" t="e">
        <v>#N/A</v>
      </c>
      <c r="T194" s="88" t="e">
        <v>#N/A</v>
      </c>
      <c r="U194" s="88" t="e">
        <v>#N/A</v>
      </c>
      <c r="V194" s="88" t="e">
        <v>#N/A</v>
      </c>
      <c r="Y194" s="88" t="e">
        <v>#N/A</v>
      </c>
      <c r="Z194" s="88" t="e">
        <v>#N/A</v>
      </c>
      <c r="AA194" s="88" t="e">
        <v>#N/A</v>
      </c>
    </row>
    <row r="195">
      <c r="A195" s="88" t="e">
        <v>#N/A</v>
      </c>
      <c r="B195" s="88" t="e">
        <v>#N/A</v>
      </c>
      <c r="D195" s="88" t="e">
        <v>#N/A</v>
      </c>
      <c r="E195" s="88" t="e">
        <v>#N/A</v>
      </c>
      <c r="F195" s="88" t="e">
        <v>#N/A</v>
      </c>
      <c r="G195" s="88" t="e">
        <v>#N/A</v>
      </c>
      <c r="H195" s="88" t="e">
        <v>#N/A</v>
      </c>
      <c r="J195" s="88" t="e">
        <v>#N/A</v>
      </c>
      <c r="K195" s="88" t="e">
        <v>#N/A</v>
      </c>
      <c r="L195" s="88" t="e">
        <v>#N/A</v>
      </c>
      <c r="M195" s="88" t="e">
        <v>#N/A</v>
      </c>
      <c r="N195" s="88" t="e">
        <v>#N/A</v>
      </c>
      <c r="P195" s="88" t="e">
        <v>#N/A</v>
      </c>
      <c r="Q195" s="88" t="e">
        <v>#N/A</v>
      </c>
      <c r="T195" s="88" t="e">
        <v>#N/A</v>
      </c>
      <c r="U195" s="88" t="e">
        <v>#N/A</v>
      </c>
      <c r="V195" s="88" t="e">
        <v>#N/A</v>
      </c>
      <c r="Y195" s="88" t="e">
        <v>#N/A</v>
      </c>
      <c r="Z195" s="88" t="e">
        <v>#N/A</v>
      </c>
      <c r="AA195" s="88" t="e">
        <v>#N/A</v>
      </c>
    </row>
    <row r="196">
      <c r="A196" s="88" t="e">
        <v>#N/A</v>
      </c>
      <c r="B196" s="88" t="e">
        <v>#N/A</v>
      </c>
      <c r="D196" s="88" t="e">
        <v>#N/A</v>
      </c>
      <c r="E196" s="88" t="e">
        <v>#N/A</v>
      </c>
      <c r="F196" s="88" t="e">
        <v>#N/A</v>
      </c>
      <c r="G196" s="88" t="e">
        <v>#N/A</v>
      </c>
      <c r="H196" s="88" t="e">
        <v>#N/A</v>
      </c>
      <c r="J196" s="88" t="e">
        <v>#N/A</v>
      </c>
      <c r="K196" s="88" t="e">
        <v>#N/A</v>
      </c>
      <c r="L196" s="88" t="e">
        <v>#N/A</v>
      </c>
      <c r="M196" s="88" t="e">
        <v>#N/A</v>
      </c>
      <c r="N196" s="88" t="e">
        <v>#N/A</v>
      </c>
      <c r="P196" s="88" t="e">
        <v>#N/A</v>
      </c>
      <c r="Q196" s="88" t="e">
        <v>#N/A</v>
      </c>
      <c r="T196" s="88" t="e">
        <v>#N/A</v>
      </c>
      <c r="U196" s="88" t="e">
        <v>#N/A</v>
      </c>
      <c r="V196" s="88" t="e">
        <v>#N/A</v>
      </c>
      <c r="Y196" s="88" t="e">
        <v>#N/A</v>
      </c>
      <c r="Z196" s="88" t="e">
        <v>#N/A</v>
      </c>
      <c r="AA196" s="88" t="e">
        <v>#N/A</v>
      </c>
    </row>
    <row r="197">
      <c r="A197" s="88" t="e">
        <v>#N/A</v>
      </c>
      <c r="B197" s="88" t="e">
        <v>#N/A</v>
      </c>
      <c r="E197" s="88" t="e">
        <v>#N/A</v>
      </c>
      <c r="H197" s="88" t="e">
        <v>#N/A</v>
      </c>
      <c r="Z197" s="88" t="e">
        <v>#N/A</v>
      </c>
      <c r="AA197" s="88" t="e">
        <v>#N/A</v>
      </c>
    </row>
    <row r="198">
      <c r="A198" s="88" t="e">
        <v>#N/A</v>
      </c>
      <c r="B198" s="88" t="e">
        <v>#N/A</v>
      </c>
      <c r="E198" s="88" t="e">
        <v>#N/A</v>
      </c>
      <c r="H198" s="88" t="e">
        <v>#N/A</v>
      </c>
    </row>
    <row r="199">
      <c r="A199" s="88" t="e">
        <v>#N/A</v>
      </c>
      <c r="B199" s="88" t="e">
        <v>#N/A</v>
      </c>
      <c r="E199" s="88" t="e">
        <v>#N/A</v>
      </c>
      <c r="H199" s="88" t="e">
        <v>#N/A</v>
      </c>
    </row>
    <row r="200">
      <c r="A200" s="88" t="e">
        <v>#N/A</v>
      </c>
      <c r="B200" s="88" t="e">
        <v>#N/A</v>
      </c>
      <c r="E200" s="88" t="e">
        <v>#N/A</v>
      </c>
      <c r="H200" s="88" t="e">
        <v>#N/A</v>
      </c>
    </row>
    <row r="201">
      <c r="A201" s="88" t="e">
        <v>#N/A</v>
      </c>
      <c r="B201" s="88" t="e">
        <v>#N/A</v>
      </c>
      <c r="E201" s="88" t="e">
        <v>#N/A</v>
      </c>
    </row>
    <row r="202">
      <c r="B202" s="88" t="e">
        <v>#N/A</v>
      </c>
      <c r="E202" s="88" t="e">
        <v>#N/A</v>
      </c>
    </row>
    <row r="203">
      <c r="B203" s="88" t="e">
        <v>#N/A</v>
      </c>
    </row>
    <row r="204">
      <c r="B204" s="88" t="e">
        <v>#N/A</v>
      </c>
    </row>
    <row r="205">
      <c r="B205" s="88" t="e">
        <v>#N/A</v>
      </c>
      <c r="C205" s="88" t="s">
        <v>5695</v>
      </c>
      <c r="D205" s="90" t="s">
        <v>74</v>
      </c>
      <c r="E205" s="91" t="s">
        <v>75</v>
      </c>
      <c r="F205" s="91" t="s">
        <v>5696</v>
      </c>
      <c r="G205" s="91" t="s">
        <v>78</v>
      </c>
      <c r="H205" s="92" t="s">
        <v>79</v>
      </c>
      <c r="I205" s="93" t="s">
        <v>91</v>
      </c>
      <c r="J205" s="92" t="s">
        <v>5697</v>
      </c>
      <c r="K205" s="92" t="s">
        <v>5698</v>
      </c>
      <c r="L205" s="92" t="s">
        <v>82</v>
      </c>
      <c r="M205" s="92" t="s">
        <v>83</v>
      </c>
      <c r="N205" s="92" t="s">
        <v>84</v>
      </c>
      <c r="O205" s="93" t="s">
        <v>85</v>
      </c>
      <c r="P205" s="92" t="s">
        <v>5699</v>
      </c>
      <c r="Q205" s="92" t="s">
        <v>89</v>
      </c>
      <c r="S205" s="94" t="s">
        <v>95</v>
      </c>
      <c r="T205" s="62" t="s">
        <v>96</v>
      </c>
      <c r="V205" s="38" t="s">
        <v>109</v>
      </c>
      <c r="W205" s="39" t="s">
        <v>110</v>
      </c>
      <c r="X205" s="39" t="s">
        <v>111</v>
      </c>
      <c r="Y205" s="39"/>
      <c r="Z205" s="27"/>
    </row>
    <row r="206">
      <c r="B206" s="88" t="e">
        <v>#N/A</v>
      </c>
      <c r="C206" s="88" t="s">
        <v>6174</v>
      </c>
      <c r="D206" s="95" t="s">
        <v>74</v>
      </c>
      <c r="E206" s="95" t="s">
        <v>75</v>
      </c>
      <c r="F206" s="95" t="s">
        <v>6175</v>
      </c>
      <c r="G206" s="95" t="s">
        <v>245</v>
      </c>
      <c r="H206" s="95" t="s">
        <v>79</v>
      </c>
      <c r="I206" s="96"/>
      <c r="J206" s="98"/>
      <c r="K206" s="95" t="s">
        <v>81</v>
      </c>
      <c r="L206" s="95" t="s">
        <v>82</v>
      </c>
      <c r="M206" s="95" t="s">
        <v>83</v>
      </c>
      <c r="N206" s="95" t="s">
        <v>84</v>
      </c>
      <c r="O206" s="96"/>
      <c r="P206" s="95" t="s">
        <v>6176</v>
      </c>
      <c r="Q206" s="95" t="s">
        <v>6177</v>
      </c>
      <c r="T206" s="95" t="s">
        <v>5704</v>
      </c>
      <c r="U206" s="95" t="s">
        <v>6178</v>
      </c>
      <c r="Z206" s="95" t="s">
        <v>5701</v>
      </c>
      <c r="AA206" s="95" t="s">
        <v>5702</v>
      </c>
    </row>
    <row r="207">
      <c r="A207" s="95">
        <v>1.67208205E8</v>
      </c>
      <c r="B207" s="88" t="e">
        <v>#N/A</v>
      </c>
      <c r="C207" s="88" t="s">
        <v>5624</v>
      </c>
      <c r="D207" s="88">
        <v>4.627193453701E12</v>
      </c>
      <c r="E207" s="88">
        <v>2.106909808E9</v>
      </c>
      <c r="F207" s="88" t="s">
        <v>5154</v>
      </c>
      <c r="G207" s="88" t="s">
        <v>496</v>
      </c>
      <c r="H207" s="88" t="s">
        <v>6179</v>
      </c>
      <c r="K207" s="88" t="s">
        <v>6180</v>
      </c>
      <c r="L207" s="88" t="s">
        <v>3272</v>
      </c>
      <c r="M207" s="88" t="s">
        <v>3273</v>
      </c>
      <c r="N207" s="88" t="s">
        <v>5777</v>
      </c>
      <c r="P207" s="88" t="s">
        <v>355</v>
      </c>
      <c r="Q207" s="88" t="s">
        <v>6181</v>
      </c>
      <c r="T207" s="88" t="s">
        <v>4690</v>
      </c>
      <c r="U207" s="88" t="s">
        <v>6182</v>
      </c>
      <c r="V207" s="88">
        <v>4.0</v>
      </c>
      <c r="W207" s="88">
        <v>5.0</v>
      </c>
      <c r="X207" s="88">
        <v>9.0</v>
      </c>
      <c r="Z207" s="88" t="s">
        <v>6183</v>
      </c>
      <c r="AA207" s="88" t="s">
        <v>6184</v>
      </c>
    </row>
    <row r="208">
      <c r="A208" s="88">
        <v>2.23762749E8</v>
      </c>
      <c r="B208" s="88" t="s">
        <v>4673</v>
      </c>
      <c r="C208" s="88" t="s">
        <v>4673</v>
      </c>
      <c r="D208" s="88">
        <v>4.627193453732E12</v>
      </c>
      <c r="E208" s="88">
        <v>2.106909808E9</v>
      </c>
      <c r="F208" s="88" t="s">
        <v>4684</v>
      </c>
      <c r="G208" s="88" t="s">
        <v>496</v>
      </c>
      <c r="H208" s="88" t="s">
        <v>4685</v>
      </c>
      <c r="K208" s="88" t="s">
        <v>4686</v>
      </c>
      <c r="L208" s="88" t="s">
        <v>653</v>
      </c>
      <c r="M208" s="88" t="s">
        <v>4687</v>
      </c>
      <c r="N208" s="88" t="s">
        <v>6185</v>
      </c>
      <c r="P208" s="88" t="s">
        <v>355</v>
      </c>
      <c r="Q208" s="88" t="s">
        <v>4689</v>
      </c>
      <c r="T208" s="88" t="s">
        <v>4690</v>
      </c>
      <c r="U208" s="88" t="s">
        <v>6186</v>
      </c>
      <c r="V208" s="88">
        <v>9.0</v>
      </c>
      <c r="W208" s="88">
        <v>9.0</v>
      </c>
      <c r="X208" s="88">
        <v>9.8</v>
      </c>
      <c r="Z208" s="88" t="s">
        <v>6187</v>
      </c>
      <c r="AA208" s="88" t="s">
        <v>361</v>
      </c>
    </row>
    <row r="209">
      <c r="A209" s="88">
        <v>2.23763016E8</v>
      </c>
      <c r="B209" s="88" t="s">
        <v>5134</v>
      </c>
      <c r="C209" s="88" t="s">
        <v>5134</v>
      </c>
      <c r="D209" s="88">
        <v>4.627193453695E12</v>
      </c>
      <c r="E209" s="88">
        <v>2.106909808E9</v>
      </c>
      <c r="F209" s="88" t="s">
        <v>5142</v>
      </c>
      <c r="G209" s="88" t="s">
        <v>496</v>
      </c>
      <c r="H209" s="88" t="s">
        <v>5143</v>
      </c>
      <c r="K209" s="88" t="s">
        <v>5144</v>
      </c>
      <c r="L209" s="88" t="s">
        <v>3272</v>
      </c>
      <c r="M209" s="88" t="s">
        <v>3273</v>
      </c>
      <c r="N209" s="88" t="s">
        <v>5777</v>
      </c>
      <c r="P209" s="88" t="s">
        <v>355</v>
      </c>
      <c r="Q209" s="88" t="s">
        <v>5145</v>
      </c>
      <c r="T209" s="88" t="s">
        <v>4690</v>
      </c>
      <c r="U209" s="88" t="s">
        <v>6188</v>
      </c>
      <c r="V209" s="88">
        <v>3.0</v>
      </c>
      <c r="W209" s="88">
        <v>4.0</v>
      </c>
      <c r="X209" s="88">
        <v>9.0</v>
      </c>
      <c r="Z209" s="88" t="s">
        <v>6187</v>
      </c>
      <c r="AA209" s="88" t="s">
        <v>361</v>
      </c>
    </row>
    <row r="210">
      <c r="A210" s="88">
        <v>1.74464512E8</v>
      </c>
      <c r="B210" s="88" t="s">
        <v>5545</v>
      </c>
      <c r="C210" s="88" t="s">
        <v>5545</v>
      </c>
      <c r="D210" s="88">
        <v>4.67014296494E12</v>
      </c>
      <c r="E210" s="88">
        <v>2.106909808E9</v>
      </c>
      <c r="F210" s="88" t="s">
        <v>6189</v>
      </c>
      <c r="G210" s="88" t="s">
        <v>496</v>
      </c>
      <c r="H210" s="88" t="s">
        <v>6190</v>
      </c>
      <c r="K210" s="88" t="s">
        <v>6191</v>
      </c>
      <c r="L210" s="88" t="s">
        <v>6192</v>
      </c>
      <c r="M210" s="88" t="s">
        <v>1004</v>
      </c>
      <c r="N210" s="88" t="s">
        <v>5777</v>
      </c>
      <c r="P210" s="88" t="s">
        <v>726</v>
      </c>
      <c r="Q210" s="88" t="s">
        <v>6193</v>
      </c>
      <c r="T210" s="88" t="s">
        <v>6194</v>
      </c>
      <c r="U210" s="88" t="s">
        <v>6195</v>
      </c>
      <c r="V210" s="88">
        <v>5.5</v>
      </c>
      <c r="W210" s="88">
        <v>5.5</v>
      </c>
      <c r="X210" s="88">
        <v>10.0</v>
      </c>
      <c r="Z210" s="88" t="s">
        <v>5986</v>
      </c>
      <c r="AA210" s="88" t="s">
        <v>5830</v>
      </c>
    </row>
    <row r="211">
      <c r="A211" s="88">
        <v>1.74458749E8</v>
      </c>
      <c r="B211" s="88" t="s">
        <v>4422</v>
      </c>
      <c r="C211" s="88" t="s">
        <v>4422</v>
      </c>
      <c r="D211" s="88">
        <v>4.673748455218E12</v>
      </c>
      <c r="E211" s="88">
        <v>2.106909808E9</v>
      </c>
      <c r="F211" s="88" t="s">
        <v>4432</v>
      </c>
      <c r="G211" s="88" t="s">
        <v>496</v>
      </c>
      <c r="H211" s="88" t="s">
        <v>4433</v>
      </c>
      <c r="K211" s="88" t="s">
        <v>4434</v>
      </c>
      <c r="L211" s="88" t="s">
        <v>4435</v>
      </c>
      <c r="M211" s="88" t="s">
        <v>4436</v>
      </c>
      <c r="N211" s="88" t="s">
        <v>5777</v>
      </c>
      <c r="P211" s="88" t="s">
        <v>726</v>
      </c>
      <c r="Q211" s="88" t="s">
        <v>4437</v>
      </c>
      <c r="T211" s="88" t="s">
        <v>3929</v>
      </c>
      <c r="U211" s="88" t="s">
        <v>6083</v>
      </c>
      <c r="V211" s="88">
        <v>5.0</v>
      </c>
      <c r="W211" s="88">
        <v>5.0</v>
      </c>
      <c r="X211" s="88">
        <v>8.5</v>
      </c>
      <c r="Z211" s="88" t="s">
        <v>5806</v>
      </c>
      <c r="AA211" s="88" t="s">
        <v>960</v>
      </c>
    </row>
    <row r="212">
      <c r="A212" s="88">
        <v>1.75788642E8</v>
      </c>
      <c r="B212" s="88" t="s">
        <v>4642</v>
      </c>
      <c r="C212" s="88" t="s">
        <v>4642</v>
      </c>
      <c r="D212" s="88">
        <v>4.607025203162E12</v>
      </c>
      <c r="E212" s="88">
        <v>2.106909808E9</v>
      </c>
      <c r="F212" s="88" t="s">
        <v>4651</v>
      </c>
      <c r="G212" s="88" t="s">
        <v>496</v>
      </c>
      <c r="H212" s="88" t="s">
        <v>4652</v>
      </c>
      <c r="K212" s="88" t="s">
        <v>4653</v>
      </c>
      <c r="L212" s="88" t="s">
        <v>4654</v>
      </c>
      <c r="M212" s="88" t="s">
        <v>4436</v>
      </c>
      <c r="N212" s="88" t="s">
        <v>5777</v>
      </c>
      <c r="P212" s="88" t="s">
        <v>355</v>
      </c>
      <c r="Q212" s="88" t="s">
        <v>4655</v>
      </c>
      <c r="T212" s="88" t="s">
        <v>4656</v>
      </c>
      <c r="U212" s="88" t="s">
        <v>6196</v>
      </c>
      <c r="V212" s="88">
        <v>5.0</v>
      </c>
      <c r="W212" s="88">
        <v>9.5</v>
      </c>
      <c r="X212" s="88">
        <v>5.0</v>
      </c>
      <c r="Z212" s="88" t="s">
        <v>5986</v>
      </c>
      <c r="AA212" s="88" t="s">
        <v>4845</v>
      </c>
    </row>
    <row r="213">
      <c r="A213" s="88">
        <v>4.09911126E8</v>
      </c>
      <c r="B213" s="88" t="s">
        <v>4522</v>
      </c>
      <c r="C213" s="88" t="s">
        <v>4522</v>
      </c>
      <c r="D213" s="88">
        <v>4.673748455355E12</v>
      </c>
      <c r="E213" s="88">
        <v>2.106909808E9</v>
      </c>
      <c r="F213" s="88" t="s">
        <v>4531</v>
      </c>
      <c r="G213" s="88" t="s">
        <v>145</v>
      </c>
      <c r="H213" s="88" t="s">
        <v>4532</v>
      </c>
      <c r="K213" s="88" t="s">
        <v>4533</v>
      </c>
      <c r="L213" s="88" t="s">
        <v>4534</v>
      </c>
      <c r="M213" s="88" t="s">
        <v>2997</v>
      </c>
      <c r="N213" s="88" t="s">
        <v>5777</v>
      </c>
      <c r="P213" s="88" t="s">
        <v>355</v>
      </c>
      <c r="Q213" s="88" t="s">
        <v>4535</v>
      </c>
      <c r="T213" s="88" t="s">
        <v>3929</v>
      </c>
      <c r="U213" s="88" t="s">
        <v>5951</v>
      </c>
      <c r="V213" s="88">
        <v>4.5</v>
      </c>
      <c r="W213" s="88">
        <v>4.5</v>
      </c>
      <c r="X213" s="88">
        <v>8.5</v>
      </c>
    </row>
    <row r="214">
      <c r="A214" s="88">
        <v>2.80107477E8</v>
      </c>
      <c r="B214" s="88" t="s">
        <v>3913</v>
      </c>
      <c r="C214" s="88" t="s">
        <v>3913</v>
      </c>
      <c r="D214" s="88">
        <v>4.640257810869E12</v>
      </c>
      <c r="E214" s="88">
        <v>2.106909808E9</v>
      </c>
      <c r="F214" s="88" t="s">
        <v>3923</v>
      </c>
      <c r="G214" s="88" t="s">
        <v>496</v>
      </c>
      <c r="H214" s="88" t="s">
        <v>3924</v>
      </c>
      <c r="K214" s="88" t="s">
        <v>3925</v>
      </c>
      <c r="L214" s="88" t="s">
        <v>3926</v>
      </c>
      <c r="M214" s="88" t="s">
        <v>3927</v>
      </c>
      <c r="N214" s="88" t="s">
        <v>5777</v>
      </c>
      <c r="P214" s="88" t="s">
        <v>726</v>
      </c>
      <c r="Q214" s="88" t="s">
        <v>3928</v>
      </c>
      <c r="T214" s="88" t="s">
        <v>3929</v>
      </c>
      <c r="U214" s="88" t="s">
        <v>5951</v>
      </c>
      <c r="V214" s="88">
        <v>4.5</v>
      </c>
      <c r="W214" s="88">
        <v>4.5</v>
      </c>
      <c r="X214" s="88">
        <v>8.5</v>
      </c>
    </row>
    <row r="215">
      <c r="A215" s="88">
        <v>1.86787859E8</v>
      </c>
      <c r="B215" s="88" t="s">
        <v>5323</v>
      </c>
      <c r="C215" s="88" t="s">
        <v>5323</v>
      </c>
      <c r="D215" s="88">
        <v>4.620153905647E12</v>
      </c>
      <c r="E215" s="88">
        <v>2.106909808E9</v>
      </c>
      <c r="F215" s="88" t="s">
        <v>5331</v>
      </c>
      <c r="G215" s="88" t="s">
        <v>496</v>
      </c>
      <c r="H215" s="88" t="s">
        <v>5332</v>
      </c>
      <c r="K215" s="88" t="s">
        <v>5333</v>
      </c>
      <c r="L215" s="88" t="s">
        <v>557</v>
      </c>
      <c r="M215" s="88" t="s">
        <v>1791</v>
      </c>
      <c r="N215" s="88" t="s">
        <v>5777</v>
      </c>
      <c r="P215" s="88" t="s">
        <v>2375</v>
      </c>
      <c r="Q215" s="88" t="s">
        <v>5334</v>
      </c>
      <c r="T215" s="88" t="s">
        <v>5335</v>
      </c>
      <c r="U215" s="88" t="s">
        <v>6197</v>
      </c>
      <c r="V215" s="88">
        <v>5.6</v>
      </c>
      <c r="W215" s="88">
        <v>10.0</v>
      </c>
      <c r="X215" s="88">
        <v>5.6</v>
      </c>
      <c r="Z215" s="88" t="s">
        <v>5986</v>
      </c>
      <c r="AA215" s="88" t="s">
        <v>361</v>
      </c>
    </row>
    <row r="216">
      <c r="A216" s="88">
        <v>1.81469548E8</v>
      </c>
      <c r="B216" s="88" t="s">
        <v>5310</v>
      </c>
      <c r="C216" s="88" t="s">
        <v>5310</v>
      </c>
      <c r="D216" s="88">
        <v>4.670017991798E12</v>
      </c>
      <c r="E216" s="88">
        <v>3.30499E9</v>
      </c>
      <c r="G216" s="88" t="s">
        <v>145</v>
      </c>
      <c r="H216" s="88" t="s">
        <v>5318</v>
      </c>
      <c r="K216" s="88" t="s">
        <v>5319</v>
      </c>
      <c r="M216" s="88" t="s">
        <v>5320</v>
      </c>
      <c r="N216" s="88" t="s">
        <v>6067</v>
      </c>
      <c r="P216" s="88" t="s">
        <v>726</v>
      </c>
      <c r="Q216" s="88" t="s">
        <v>5321</v>
      </c>
      <c r="T216" s="88" t="s">
        <v>5322</v>
      </c>
      <c r="U216" s="88" t="s">
        <v>6198</v>
      </c>
      <c r="V216" s="88">
        <v>13.8</v>
      </c>
      <c r="W216" s="88">
        <v>5.2</v>
      </c>
      <c r="X216" s="88">
        <v>13.8</v>
      </c>
      <c r="Z216" s="88" t="s">
        <v>3084</v>
      </c>
      <c r="AA216" s="88" t="s">
        <v>594</v>
      </c>
    </row>
    <row r="217">
      <c r="A217" s="88">
        <v>2.05072071E8</v>
      </c>
      <c r="B217" s="88" t="s">
        <v>3972</v>
      </c>
      <c r="C217" s="88" t="s">
        <v>3972</v>
      </c>
      <c r="D217" s="88" t="s">
        <v>3992</v>
      </c>
      <c r="E217" s="88">
        <v>3.30499E9</v>
      </c>
      <c r="F217" s="88" t="s">
        <v>3993</v>
      </c>
      <c r="G217" s="88" t="s">
        <v>145</v>
      </c>
      <c r="H217" s="88" t="s">
        <v>3994</v>
      </c>
      <c r="K217" s="88" t="s">
        <v>3995</v>
      </c>
      <c r="L217" s="88" t="s">
        <v>3996</v>
      </c>
      <c r="M217" s="88" t="s">
        <v>3320</v>
      </c>
      <c r="N217" s="88" t="s">
        <v>6067</v>
      </c>
      <c r="P217" s="88" t="s">
        <v>355</v>
      </c>
      <c r="Q217" s="88" t="s">
        <v>3997</v>
      </c>
      <c r="T217" s="88" t="s">
        <v>3155</v>
      </c>
      <c r="U217" s="88" t="s">
        <v>6199</v>
      </c>
      <c r="V217" s="88">
        <v>4.5</v>
      </c>
      <c r="W217" s="88">
        <v>14.5</v>
      </c>
      <c r="X217" s="88">
        <v>4.5</v>
      </c>
      <c r="Z217" s="88" t="s">
        <v>3084</v>
      </c>
      <c r="AA217" s="88" t="s">
        <v>594</v>
      </c>
    </row>
    <row r="218">
      <c r="A218" s="88">
        <v>2.05074596E8</v>
      </c>
      <c r="B218" s="88" t="s">
        <v>4364</v>
      </c>
      <c r="C218" s="88" t="s">
        <v>4364</v>
      </c>
      <c r="D218" s="88" t="s">
        <v>4379</v>
      </c>
      <c r="E218" s="88">
        <v>3.30499E9</v>
      </c>
      <c r="F218" s="88" t="s">
        <v>4380</v>
      </c>
      <c r="G218" s="88" t="s">
        <v>145</v>
      </c>
      <c r="H218" s="88" t="s">
        <v>4381</v>
      </c>
      <c r="K218" s="88" t="s">
        <v>4382</v>
      </c>
      <c r="L218" s="88" t="s">
        <v>4383</v>
      </c>
      <c r="M218" s="88" t="s">
        <v>4384</v>
      </c>
      <c r="N218" s="88" t="s">
        <v>6117</v>
      </c>
      <c r="P218" s="88" t="s">
        <v>355</v>
      </c>
      <c r="Q218" s="88" t="s">
        <v>4385</v>
      </c>
      <c r="T218" s="88" t="s">
        <v>4387</v>
      </c>
      <c r="U218" s="88" t="s">
        <v>6200</v>
      </c>
      <c r="V218" s="88">
        <v>6.5</v>
      </c>
      <c r="W218" s="88">
        <v>6.5</v>
      </c>
      <c r="X218" s="88">
        <v>4.5</v>
      </c>
    </row>
    <row r="219">
      <c r="A219" s="88">
        <v>2.63003602E8</v>
      </c>
      <c r="B219" s="88" t="s">
        <v>4758</v>
      </c>
      <c r="C219" s="88" t="s">
        <v>4758</v>
      </c>
      <c r="D219" s="88">
        <v>4.690222978568E12</v>
      </c>
      <c r="E219" s="88">
        <v>3.30499E9</v>
      </c>
      <c r="F219" s="88" t="s">
        <v>4771</v>
      </c>
      <c r="G219" s="88" t="s">
        <v>145</v>
      </c>
      <c r="H219" s="88" t="s">
        <v>4772</v>
      </c>
      <c r="K219" s="88" t="s">
        <v>4773</v>
      </c>
      <c r="L219" s="88" t="s">
        <v>4774</v>
      </c>
      <c r="M219" s="88" t="s">
        <v>4775</v>
      </c>
      <c r="N219" s="88" t="s">
        <v>6201</v>
      </c>
      <c r="P219" s="88" t="s">
        <v>355</v>
      </c>
      <c r="Q219" s="88" t="s">
        <v>4777</v>
      </c>
      <c r="T219" s="88" t="s">
        <v>4778</v>
      </c>
      <c r="U219" s="88" t="s">
        <v>6202</v>
      </c>
      <c r="V219" s="88">
        <v>1.5</v>
      </c>
      <c r="W219" s="88">
        <v>3.5</v>
      </c>
      <c r="X219" s="88">
        <v>7.5</v>
      </c>
    </row>
    <row r="220">
      <c r="A220" s="88">
        <v>4.18262202E8</v>
      </c>
      <c r="B220" s="88" t="s">
        <v>3066</v>
      </c>
      <c r="C220" s="88" t="s">
        <v>3066</v>
      </c>
      <c r="D220" s="88">
        <v>4.603320465427E12</v>
      </c>
      <c r="E220" s="88">
        <v>3.30499E9</v>
      </c>
      <c r="F220" s="88" t="s">
        <v>3085</v>
      </c>
      <c r="H220" s="88" t="s">
        <v>3086</v>
      </c>
      <c r="K220" s="88" t="s">
        <v>3087</v>
      </c>
      <c r="L220" s="88" t="s">
        <v>1840</v>
      </c>
      <c r="M220" s="88" t="s">
        <v>3088</v>
      </c>
      <c r="N220" s="88" t="s">
        <v>6045</v>
      </c>
      <c r="P220" s="88" t="s">
        <v>726</v>
      </c>
      <c r="Q220" s="88" t="s">
        <v>3089</v>
      </c>
      <c r="T220" s="88" t="s">
        <v>2942</v>
      </c>
      <c r="U220" s="88" t="s">
        <v>6203</v>
      </c>
      <c r="V220" s="88">
        <v>6.0</v>
      </c>
      <c r="W220" s="88">
        <v>6.0</v>
      </c>
      <c r="X220" s="88">
        <v>7.0</v>
      </c>
    </row>
    <row r="221">
      <c r="A221" s="88">
        <v>2.60388016E8</v>
      </c>
      <c r="B221" s="88" t="s">
        <v>3347</v>
      </c>
      <c r="C221" s="88" t="s">
        <v>3347</v>
      </c>
      <c r="D221" s="88" t="s">
        <v>3362</v>
      </c>
      <c r="E221" s="88">
        <v>3.30499E9</v>
      </c>
      <c r="F221" s="88" t="s">
        <v>3363</v>
      </c>
      <c r="G221" s="88" t="s">
        <v>145</v>
      </c>
      <c r="H221" s="88" t="s">
        <v>3364</v>
      </c>
      <c r="K221" s="88" t="s">
        <v>3365</v>
      </c>
      <c r="L221" s="88" t="s">
        <v>3366</v>
      </c>
      <c r="M221" s="88" t="s">
        <v>1433</v>
      </c>
      <c r="N221" s="88" t="s">
        <v>6075</v>
      </c>
      <c r="P221" s="88" t="s">
        <v>355</v>
      </c>
      <c r="Q221" s="88" t="s">
        <v>3367</v>
      </c>
      <c r="T221" s="88" t="s">
        <v>3368</v>
      </c>
      <c r="U221" s="88" t="s">
        <v>6204</v>
      </c>
      <c r="V221" s="88">
        <v>4.0</v>
      </c>
      <c r="W221" s="88">
        <v>4.0</v>
      </c>
      <c r="X221" s="88">
        <v>19.0</v>
      </c>
    </row>
    <row r="222">
      <c r="A222" s="88">
        <v>1.92909505E8</v>
      </c>
      <c r="B222" s="88" t="s">
        <v>4588</v>
      </c>
      <c r="C222" s="88" t="s">
        <v>4588</v>
      </c>
      <c r="D222" s="88" t="s">
        <v>4596</v>
      </c>
      <c r="E222" s="88">
        <v>3.30499E9</v>
      </c>
      <c r="F222" s="88" t="s">
        <v>4597</v>
      </c>
      <c r="G222" s="88" t="s">
        <v>145</v>
      </c>
      <c r="H222" s="88" t="s">
        <v>4598</v>
      </c>
      <c r="K222" s="88" t="s">
        <v>4599</v>
      </c>
      <c r="L222" s="88" t="s">
        <v>4600</v>
      </c>
      <c r="M222" s="88" t="s">
        <v>4601</v>
      </c>
      <c r="N222" s="88" t="s">
        <v>6117</v>
      </c>
      <c r="P222" s="88" t="s">
        <v>355</v>
      </c>
      <c r="Q222" s="88" t="s">
        <v>4602</v>
      </c>
      <c r="T222" s="88" t="s">
        <v>3155</v>
      </c>
      <c r="U222" s="88" t="s">
        <v>6205</v>
      </c>
      <c r="V222" s="88">
        <v>8.0</v>
      </c>
      <c r="W222" s="88">
        <v>14.0</v>
      </c>
      <c r="X222" s="88">
        <v>5.0</v>
      </c>
      <c r="Z222" s="88" t="s">
        <v>4979</v>
      </c>
      <c r="AA222" s="88" t="s">
        <v>594</v>
      </c>
    </row>
    <row r="223">
      <c r="A223" s="88">
        <v>1.9780449E8</v>
      </c>
      <c r="B223" s="88" t="s">
        <v>3114</v>
      </c>
      <c r="C223" s="88" t="s">
        <v>3114</v>
      </c>
      <c r="D223" s="88">
        <v>4.670142965251E12</v>
      </c>
      <c r="E223" s="88">
        <v>3.30499E9</v>
      </c>
      <c r="F223" s="88" t="s">
        <v>3124</v>
      </c>
      <c r="G223" s="88" t="s">
        <v>145</v>
      </c>
      <c r="H223" s="88" t="s">
        <v>3125</v>
      </c>
      <c r="K223" s="88" t="s">
        <v>3126</v>
      </c>
      <c r="L223" s="88" t="s">
        <v>2831</v>
      </c>
      <c r="M223" s="88" t="s">
        <v>3127</v>
      </c>
      <c r="N223" s="88" t="s">
        <v>6067</v>
      </c>
      <c r="P223" s="88" t="s">
        <v>355</v>
      </c>
      <c r="Q223" s="88" t="s">
        <v>3128</v>
      </c>
      <c r="T223" s="88" t="s">
        <v>3129</v>
      </c>
      <c r="U223" s="88" t="s">
        <v>6206</v>
      </c>
      <c r="V223" s="88">
        <v>5.0</v>
      </c>
      <c r="W223" s="88">
        <v>15.0</v>
      </c>
      <c r="X223" s="88">
        <v>4.0</v>
      </c>
      <c r="Z223" s="88" t="s">
        <v>4979</v>
      </c>
      <c r="AA223" s="88" t="s">
        <v>594</v>
      </c>
    </row>
    <row r="224">
      <c r="A224" s="88">
        <v>2.86568838E8</v>
      </c>
      <c r="B224" s="88" t="s">
        <v>3726</v>
      </c>
      <c r="C224" s="88" t="s">
        <v>3726</v>
      </c>
      <c r="D224" s="88">
        <v>4.610030631967E12</v>
      </c>
      <c r="E224" s="88">
        <v>2.106909808E9</v>
      </c>
      <c r="F224" s="88" t="s">
        <v>3735</v>
      </c>
      <c r="G224" s="88" t="s">
        <v>496</v>
      </c>
      <c r="H224" s="88" t="s">
        <v>3736</v>
      </c>
      <c r="K224" s="88" t="s">
        <v>802</v>
      </c>
      <c r="L224" s="88" t="s">
        <v>3671</v>
      </c>
      <c r="M224" s="88" t="s">
        <v>3672</v>
      </c>
      <c r="N224" s="88" t="s">
        <v>5777</v>
      </c>
      <c r="P224" s="88" t="s">
        <v>355</v>
      </c>
      <c r="Q224" s="88" t="s">
        <v>3737</v>
      </c>
      <c r="T224" s="88" t="s">
        <v>3275</v>
      </c>
      <c r="U224" s="88" t="s">
        <v>6083</v>
      </c>
      <c r="V224" s="88">
        <v>5.0</v>
      </c>
      <c r="W224" s="88">
        <v>5.0</v>
      </c>
      <c r="X224" s="88">
        <v>8.5</v>
      </c>
      <c r="Z224" s="88" t="s">
        <v>5986</v>
      </c>
      <c r="AA224" s="88" t="s">
        <v>6029</v>
      </c>
    </row>
    <row r="225">
      <c r="A225" s="88">
        <v>1.92907992E8</v>
      </c>
      <c r="B225" s="88" t="s">
        <v>3871</v>
      </c>
      <c r="C225" s="88" t="s">
        <v>3871</v>
      </c>
      <c r="D225" s="88" t="s">
        <v>3879</v>
      </c>
      <c r="E225" s="88">
        <v>3.30499E9</v>
      </c>
      <c r="F225" s="88" t="s">
        <v>3880</v>
      </c>
      <c r="G225" s="88" t="s">
        <v>145</v>
      </c>
      <c r="H225" s="88" t="s">
        <v>3881</v>
      </c>
      <c r="K225" s="88" t="s">
        <v>3882</v>
      </c>
      <c r="L225" s="88" t="s">
        <v>3883</v>
      </c>
      <c r="M225" s="88" t="s">
        <v>3884</v>
      </c>
      <c r="N225" s="88" t="s">
        <v>6207</v>
      </c>
      <c r="P225" s="88" t="s">
        <v>355</v>
      </c>
      <c r="Q225" s="88" t="s">
        <v>3885</v>
      </c>
      <c r="T225" s="88" t="s">
        <v>3155</v>
      </c>
      <c r="U225" s="88" t="s">
        <v>6208</v>
      </c>
      <c r="V225" s="88">
        <v>4.0</v>
      </c>
      <c r="W225" s="88">
        <v>4.0</v>
      </c>
      <c r="X225" s="88">
        <v>11.5</v>
      </c>
      <c r="Z225" s="88" t="s">
        <v>4979</v>
      </c>
      <c r="AA225" s="88" t="s">
        <v>594</v>
      </c>
    </row>
    <row r="226">
      <c r="A226" s="88">
        <v>1.97560593E8</v>
      </c>
      <c r="B226" s="62" t="s">
        <v>5467</v>
      </c>
      <c r="C226" s="88" t="s">
        <v>6209</v>
      </c>
      <c r="D226" s="88">
        <v>4.607050974747E12</v>
      </c>
      <c r="G226" s="88" t="s">
        <v>145</v>
      </c>
      <c r="H226" s="88" t="s">
        <v>1648</v>
      </c>
      <c r="K226" s="88" t="s">
        <v>1649</v>
      </c>
      <c r="L226" s="88" t="s">
        <v>1650</v>
      </c>
      <c r="M226" s="88" t="s">
        <v>1651</v>
      </c>
      <c r="N226" s="88" t="s">
        <v>6055</v>
      </c>
      <c r="P226" s="88" t="s">
        <v>726</v>
      </c>
      <c r="Q226" s="88" t="s">
        <v>4701</v>
      </c>
      <c r="T226" s="88" t="s">
        <v>1653</v>
      </c>
      <c r="U226" s="88" t="s">
        <v>6056</v>
      </c>
      <c r="V226" s="88">
        <v>15.0</v>
      </c>
      <c r="W226" s="88">
        <v>9.0</v>
      </c>
      <c r="X226" s="88">
        <v>6.0</v>
      </c>
      <c r="Z226" s="88" t="s">
        <v>5469</v>
      </c>
      <c r="AA226" s="88" t="s">
        <v>1642</v>
      </c>
    </row>
    <row r="227">
      <c r="A227" s="88">
        <v>3.99759797E8</v>
      </c>
      <c r="B227" s="88" t="s">
        <v>4691</v>
      </c>
      <c r="C227" s="88" t="s">
        <v>4691</v>
      </c>
      <c r="D227" s="88">
        <v>4.656887467946E12</v>
      </c>
      <c r="N227" s="88" t="s">
        <v>1666</v>
      </c>
      <c r="U227" s="88" t="s">
        <v>6058</v>
      </c>
      <c r="V227" s="88">
        <v>14.5</v>
      </c>
      <c r="W227" s="88">
        <v>9.5</v>
      </c>
      <c r="X227" s="88">
        <v>4.5</v>
      </c>
    </row>
    <row r="228">
      <c r="A228" s="88">
        <v>2.08745988E8</v>
      </c>
      <c r="B228" s="88" t="s">
        <v>3675</v>
      </c>
      <c r="C228" s="88" t="s">
        <v>3675</v>
      </c>
      <c r="D228" s="88">
        <v>4.670020496679E12</v>
      </c>
      <c r="E228" s="88">
        <v>3.3051E9</v>
      </c>
      <c r="G228" s="88" t="s">
        <v>145</v>
      </c>
      <c r="H228" s="88" t="s">
        <v>3693</v>
      </c>
      <c r="K228" s="88" t="s">
        <v>2830</v>
      </c>
      <c r="L228" s="88" t="s">
        <v>2831</v>
      </c>
      <c r="M228" s="88" t="s">
        <v>2832</v>
      </c>
      <c r="N228" s="88" t="s">
        <v>6045</v>
      </c>
      <c r="P228" s="88" t="s">
        <v>355</v>
      </c>
      <c r="Q228" s="88" t="s">
        <v>3694</v>
      </c>
      <c r="T228" s="88" t="s">
        <v>2834</v>
      </c>
      <c r="U228" s="88" t="s">
        <v>6210</v>
      </c>
      <c r="V228" s="88">
        <v>5.5</v>
      </c>
      <c r="W228" s="88">
        <v>16.7</v>
      </c>
      <c r="X228" s="88">
        <v>5.5</v>
      </c>
      <c r="Z228" s="88" t="s">
        <v>6211</v>
      </c>
      <c r="AA228" s="88" t="s">
        <v>2824</v>
      </c>
    </row>
    <row r="229">
      <c r="A229" s="88">
        <v>3.99134789E8</v>
      </c>
      <c r="B229" s="88" t="s">
        <v>3224</v>
      </c>
      <c r="C229" s="88" t="s">
        <v>3224</v>
      </c>
      <c r="D229" s="88">
        <v>4.603320465441E12</v>
      </c>
      <c r="E229" s="88">
        <v>3.3051E9</v>
      </c>
      <c r="G229" s="88" t="s">
        <v>145</v>
      </c>
      <c r="H229" s="88" t="s">
        <v>3238</v>
      </c>
      <c r="K229" s="88" t="s">
        <v>3239</v>
      </c>
      <c r="L229" s="88" t="s">
        <v>3240</v>
      </c>
      <c r="M229" s="88" t="s">
        <v>2939</v>
      </c>
      <c r="N229" s="88" t="s">
        <v>6212</v>
      </c>
      <c r="P229" s="88" t="s">
        <v>726</v>
      </c>
      <c r="Q229" s="88" t="s">
        <v>3241</v>
      </c>
      <c r="T229" s="88" t="s">
        <v>2942</v>
      </c>
      <c r="U229" s="88" t="s">
        <v>6131</v>
      </c>
      <c r="V229" s="88">
        <v>17.5</v>
      </c>
      <c r="W229" s="88">
        <v>11.5</v>
      </c>
      <c r="X229" s="88">
        <v>6.0</v>
      </c>
    </row>
    <row r="230">
      <c r="A230" s="88">
        <v>3.99763E8</v>
      </c>
      <c r="B230" s="88" t="s">
        <v>3243</v>
      </c>
      <c r="C230" s="88" t="s">
        <v>3243</v>
      </c>
      <c r="D230" s="88">
        <v>4.670020498611E12</v>
      </c>
      <c r="E230" s="88">
        <v>3.3051E9</v>
      </c>
      <c r="G230" s="88" t="s">
        <v>145</v>
      </c>
      <c r="H230" s="88" t="s">
        <v>3259</v>
      </c>
      <c r="K230" s="88" t="s">
        <v>1499</v>
      </c>
      <c r="L230" s="88" t="s">
        <v>3260</v>
      </c>
      <c r="M230" s="88" t="s">
        <v>1500</v>
      </c>
      <c r="N230" s="88" t="s">
        <v>6114</v>
      </c>
      <c r="P230" s="88" t="s">
        <v>355</v>
      </c>
      <c r="Q230" s="88" t="s">
        <v>3261</v>
      </c>
      <c r="T230" s="88" t="s">
        <v>2834</v>
      </c>
      <c r="U230" s="88" t="s">
        <v>6135</v>
      </c>
      <c r="V230" s="88">
        <v>4.5</v>
      </c>
      <c r="W230" s="88">
        <v>4.5</v>
      </c>
      <c r="X230" s="88">
        <v>17.5</v>
      </c>
    </row>
    <row r="231">
      <c r="A231" s="88">
        <v>4.18209838E8</v>
      </c>
      <c r="B231" s="88" t="s">
        <v>3466</v>
      </c>
      <c r="C231" s="88" t="s">
        <v>3466</v>
      </c>
      <c r="D231" s="88">
        <v>4.603320465304E12</v>
      </c>
      <c r="E231" s="88">
        <v>3.3051E9</v>
      </c>
      <c r="G231" s="88" t="s">
        <v>145</v>
      </c>
      <c r="H231" s="88" t="s">
        <v>3486</v>
      </c>
      <c r="K231" s="88" t="s">
        <v>3487</v>
      </c>
      <c r="L231" s="88" t="s">
        <v>2938</v>
      </c>
      <c r="M231" s="88" t="s">
        <v>1500</v>
      </c>
      <c r="N231" s="88" t="s">
        <v>6139</v>
      </c>
      <c r="P231" s="88" t="s">
        <v>726</v>
      </c>
      <c r="Q231" s="88" t="s">
        <v>3488</v>
      </c>
      <c r="T231" s="88" t="s">
        <v>2942</v>
      </c>
      <c r="U231" s="88" t="s">
        <v>6213</v>
      </c>
      <c r="V231" s="88">
        <v>14.7</v>
      </c>
      <c r="W231" s="88">
        <v>9.5</v>
      </c>
      <c r="X231" s="88">
        <v>4.4</v>
      </c>
    </row>
    <row r="232">
      <c r="A232" s="88">
        <v>5.38087651E8</v>
      </c>
      <c r="B232" s="88" t="s">
        <v>5242</v>
      </c>
      <c r="C232" s="88" t="s">
        <v>5242</v>
      </c>
      <c r="D232" s="88">
        <v>4.670207150196E12</v>
      </c>
      <c r="E232" s="88">
        <v>3.3051E9</v>
      </c>
      <c r="G232" s="88" t="s">
        <v>2937</v>
      </c>
      <c r="H232" s="88" t="s">
        <v>5254</v>
      </c>
      <c r="K232" s="88" t="s">
        <v>5255</v>
      </c>
      <c r="L232" s="88" t="s">
        <v>6214</v>
      </c>
      <c r="M232" s="88" t="s">
        <v>5257</v>
      </c>
      <c r="N232" s="88" t="s">
        <v>6215</v>
      </c>
      <c r="P232" s="88" t="s">
        <v>355</v>
      </c>
      <c r="Q232" s="88" t="s">
        <v>5258</v>
      </c>
      <c r="T232" s="88" t="s">
        <v>5259</v>
      </c>
      <c r="U232" s="88" t="s">
        <v>6216</v>
      </c>
      <c r="V232" s="88">
        <v>7.5</v>
      </c>
      <c r="W232" s="88">
        <v>3.5</v>
      </c>
      <c r="X232" s="88">
        <v>2.0</v>
      </c>
    </row>
    <row r="233">
      <c r="A233" s="88">
        <v>3.99766297E8</v>
      </c>
      <c r="B233" s="88" t="s">
        <v>3575</v>
      </c>
      <c r="C233" s="88" t="s">
        <v>3575</v>
      </c>
      <c r="D233" s="88">
        <v>4.603320465465E12</v>
      </c>
      <c r="E233" s="88">
        <v>3.3051E9</v>
      </c>
      <c r="G233" s="88" t="s">
        <v>145</v>
      </c>
      <c r="H233" s="88" t="s">
        <v>3592</v>
      </c>
      <c r="K233" s="88" t="s">
        <v>3593</v>
      </c>
      <c r="L233" s="88" t="s">
        <v>3594</v>
      </c>
      <c r="M233" s="88" t="s">
        <v>2939</v>
      </c>
      <c r="N233" s="88" t="s">
        <v>6212</v>
      </c>
      <c r="P233" s="88" t="s">
        <v>726</v>
      </c>
      <c r="Q233" s="88" t="s">
        <v>3595</v>
      </c>
      <c r="T233" s="88" t="s">
        <v>2942</v>
      </c>
      <c r="U233" s="88" t="s">
        <v>6217</v>
      </c>
      <c r="V233" s="88">
        <v>17.5</v>
      </c>
      <c r="W233" s="88">
        <v>6.0</v>
      </c>
      <c r="X233" s="88">
        <v>11.5</v>
      </c>
    </row>
    <row r="234">
      <c r="A234" s="88">
        <v>4.56967436E8</v>
      </c>
      <c r="B234" s="88" t="s">
        <v>3301</v>
      </c>
      <c r="C234" s="88" t="s">
        <v>3301</v>
      </c>
      <c r="D234" s="88">
        <v>4.660417421476E12</v>
      </c>
      <c r="E234" s="88">
        <v>3304.0</v>
      </c>
      <c r="H234" s="88" t="s">
        <v>3317</v>
      </c>
      <c r="K234" s="88" t="s">
        <v>3318</v>
      </c>
      <c r="L234" s="88" t="s">
        <v>3319</v>
      </c>
      <c r="M234" s="88" t="s">
        <v>3320</v>
      </c>
      <c r="N234" s="88" t="s">
        <v>6075</v>
      </c>
      <c r="P234" s="88" t="s">
        <v>355</v>
      </c>
      <c r="Q234" s="88" t="s">
        <v>3321</v>
      </c>
      <c r="T234" s="88" t="s">
        <v>2681</v>
      </c>
      <c r="U234" s="88" t="s">
        <v>6076</v>
      </c>
      <c r="V234" s="88">
        <v>4.5</v>
      </c>
      <c r="W234" s="88">
        <v>4.5</v>
      </c>
      <c r="X234" s="88">
        <v>18.0</v>
      </c>
    </row>
    <row r="235">
      <c r="A235" s="88">
        <v>4.18228094E8</v>
      </c>
      <c r="B235" s="88" t="s">
        <v>2919</v>
      </c>
      <c r="C235" s="88" t="s">
        <v>2919</v>
      </c>
      <c r="D235" s="88">
        <v>4.603320465359E12</v>
      </c>
      <c r="E235" s="88">
        <v>3.305900009E9</v>
      </c>
      <c r="G235" s="88" t="s">
        <v>2937</v>
      </c>
      <c r="H235" s="88" t="s">
        <v>330</v>
      </c>
      <c r="K235" s="88" t="s">
        <v>331</v>
      </c>
      <c r="L235" s="88" t="s">
        <v>2938</v>
      </c>
      <c r="M235" s="88" t="s">
        <v>2939</v>
      </c>
      <c r="N235" s="88" t="s">
        <v>6117</v>
      </c>
      <c r="P235" s="88" t="s">
        <v>726</v>
      </c>
      <c r="Q235" s="88" t="s">
        <v>2940</v>
      </c>
      <c r="T235" s="88" t="s">
        <v>2942</v>
      </c>
      <c r="U235" s="88" t="s">
        <v>6133</v>
      </c>
      <c r="V235" s="88">
        <v>9.0</v>
      </c>
      <c r="W235" s="88">
        <v>4.0</v>
      </c>
      <c r="X235" s="88">
        <v>13.0</v>
      </c>
    </row>
    <row r="236">
      <c r="A236" s="88">
        <v>2.14976664E8</v>
      </c>
      <c r="B236" s="88" t="s">
        <v>2810</v>
      </c>
      <c r="C236" s="88" t="s">
        <v>2810</v>
      </c>
      <c r="D236" s="88">
        <v>4.670020496747E12</v>
      </c>
      <c r="E236" s="88">
        <v>3.3051E9</v>
      </c>
      <c r="G236" s="88" t="s">
        <v>145</v>
      </c>
      <c r="H236" s="88" t="s">
        <v>2829</v>
      </c>
      <c r="K236" s="88" t="s">
        <v>2830</v>
      </c>
      <c r="L236" s="88" t="s">
        <v>2831</v>
      </c>
      <c r="M236" s="88" t="s">
        <v>2832</v>
      </c>
      <c r="N236" s="88" t="s">
        <v>6045</v>
      </c>
      <c r="P236" s="88" t="s">
        <v>355</v>
      </c>
      <c r="Q236" s="88" t="s">
        <v>2833</v>
      </c>
      <c r="T236" s="88" t="s">
        <v>2834</v>
      </c>
      <c r="U236" s="88" t="s">
        <v>6218</v>
      </c>
      <c r="V236" s="88">
        <v>5.5</v>
      </c>
      <c r="W236" s="88">
        <v>5.5</v>
      </c>
      <c r="X236" s="88">
        <v>17.0</v>
      </c>
      <c r="Z236" s="88" t="s">
        <v>6211</v>
      </c>
      <c r="AA236" s="88" t="s">
        <v>2824</v>
      </c>
    </row>
    <row r="237">
      <c r="A237" s="88">
        <v>2.16502265E8</v>
      </c>
      <c r="B237" s="88" t="s">
        <v>4115</v>
      </c>
      <c r="C237" s="88" t="s">
        <v>4115</v>
      </c>
      <c r="D237" s="88">
        <v>4.670020496761E12</v>
      </c>
      <c r="E237" s="88">
        <v>3.305900009E9</v>
      </c>
      <c r="G237" s="88" t="s">
        <v>145</v>
      </c>
      <c r="H237" s="88" t="s">
        <v>4134</v>
      </c>
      <c r="K237" s="88" t="s">
        <v>4135</v>
      </c>
      <c r="L237" s="88" t="s">
        <v>4136</v>
      </c>
      <c r="M237" s="88" t="s">
        <v>4137</v>
      </c>
      <c r="N237" s="88" t="s">
        <v>6117</v>
      </c>
      <c r="P237" s="88" t="s">
        <v>355</v>
      </c>
      <c r="Q237" s="88" t="s">
        <v>4138</v>
      </c>
      <c r="T237" s="88" t="s">
        <v>2834</v>
      </c>
      <c r="U237" s="88" t="s">
        <v>6219</v>
      </c>
      <c r="V237" s="88">
        <v>4.5</v>
      </c>
      <c r="W237" s="88">
        <v>4.7</v>
      </c>
      <c r="X237" s="88">
        <v>14.0</v>
      </c>
      <c r="Z237" s="88" t="s">
        <v>6220</v>
      </c>
      <c r="AA237" s="88" t="s">
        <v>1426</v>
      </c>
    </row>
    <row r="238">
      <c r="A238" s="88">
        <v>2.68373587E8</v>
      </c>
      <c r="B238" s="88" t="s">
        <v>4501</v>
      </c>
      <c r="C238" s="88" t="s">
        <v>4501</v>
      </c>
      <c r="D238" s="88" t="s">
        <v>3798</v>
      </c>
      <c r="E238" s="88">
        <v>3.305900009E9</v>
      </c>
      <c r="G238" s="88" t="s">
        <v>145</v>
      </c>
      <c r="H238" s="88" t="s">
        <v>4518</v>
      </c>
      <c r="K238" s="88" t="s">
        <v>4519</v>
      </c>
      <c r="L238" s="88" t="s">
        <v>145</v>
      </c>
      <c r="M238" s="88" t="s">
        <v>4520</v>
      </c>
      <c r="N238" s="88" t="s">
        <v>6075</v>
      </c>
      <c r="P238" s="88" t="s">
        <v>355</v>
      </c>
      <c r="Q238" s="88" t="s">
        <v>4521</v>
      </c>
      <c r="T238" s="88" t="s">
        <v>2834</v>
      </c>
      <c r="U238" s="88" t="s">
        <v>6076</v>
      </c>
      <c r="V238" s="88">
        <v>4.5</v>
      </c>
      <c r="W238" s="88">
        <v>4.5</v>
      </c>
      <c r="X238" s="88">
        <v>18.0</v>
      </c>
    </row>
    <row r="239">
      <c r="A239" s="88">
        <v>2.33125715E8</v>
      </c>
      <c r="B239" s="88" t="s">
        <v>4174</v>
      </c>
      <c r="C239" s="88" t="s">
        <v>4174</v>
      </c>
      <c r="D239" s="88">
        <v>4.610172186875E12</v>
      </c>
      <c r="E239" s="88">
        <v>3.305900009E9</v>
      </c>
      <c r="G239" s="88" t="s">
        <v>145</v>
      </c>
      <c r="H239" s="88" t="s">
        <v>3752</v>
      </c>
      <c r="K239" s="88" t="s">
        <v>3753</v>
      </c>
      <c r="L239" s="88" t="s">
        <v>3754</v>
      </c>
      <c r="M239" s="88" t="s">
        <v>2760</v>
      </c>
      <c r="N239" s="88" t="s">
        <v>6221</v>
      </c>
      <c r="P239" s="88" t="s">
        <v>355</v>
      </c>
      <c r="Q239" s="88" t="s">
        <v>4185</v>
      </c>
      <c r="T239" s="88" t="s">
        <v>1553</v>
      </c>
      <c r="U239" s="88" t="s">
        <v>6222</v>
      </c>
      <c r="V239" s="88">
        <v>3.0</v>
      </c>
      <c r="W239" s="88">
        <v>5.0</v>
      </c>
      <c r="X239" s="88">
        <v>16.0</v>
      </c>
      <c r="Z239" s="88" t="s">
        <v>6223</v>
      </c>
      <c r="AA239" s="88" t="s">
        <v>2438</v>
      </c>
    </row>
    <row r="240">
      <c r="A240" s="88">
        <v>4.23392974E8</v>
      </c>
      <c r="B240" s="88" t="s">
        <v>3738</v>
      </c>
      <c r="C240" s="88" t="s">
        <v>6224</v>
      </c>
      <c r="D240" s="88">
        <v>4.610172181559E12</v>
      </c>
      <c r="E240" s="88">
        <v>3.305900009E9</v>
      </c>
      <c r="H240" s="88" t="s">
        <v>3752</v>
      </c>
      <c r="K240" s="88" t="s">
        <v>3753</v>
      </c>
      <c r="L240" s="88" t="s">
        <v>3754</v>
      </c>
      <c r="M240" s="88" t="s">
        <v>2760</v>
      </c>
      <c r="N240" s="88" t="s">
        <v>6221</v>
      </c>
      <c r="Q240" s="88" t="s">
        <v>3756</v>
      </c>
      <c r="T240" s="88" t="s">
        <v>1553</v>
      </c>
      <c r="V240" s="88" t="e">
        <v>#VALUE!</v>
      </c>
    </row>
    <row r="241">
      <c r="A241" s="88">
        <v>3.26913593E8</v>
      </c>
      <c r="B241" s="88" t="s">
        <v>4070</v>
      </c>
      <c r="C241" s="88" t="s">
        <v>4070</v>
      </c>
      <c r="D241" s="88" t="s">
        <v>4087</v>
      </c>
      <c r="E241" s="88">
        <v>3.305900009E9</v>
      </c>
      <c r="H241" s="88" t="s">
        <v>4089</v>
      </c>
      <c r="K241" s="88" t="s">
        <v>4090</v>
      </c>
      <c r="L241" s="88" t="s">
        <v>4091</v>
      </c>
      <c r="M241" s="88" t="s">
        <v>4092</v>
      </c>
      <c r="N241" s="88" t="s">
        <v>6075</v>
      </c>
      <c r="P241" s="88" t="s">
        <v>355</v>
      </c>
      <c r="Q241" s="88" t="s">
        <v>4093</v>
      </c>
      <c r="T241" s="88" t="s">
        <v>2834</v>
      </c>
      <c r="U241" s="88" t="s">
        <v>6121</v>
      </c>
      <c r="V241" s="88">
        <v>5.0</v>
      </c>
      <c r="W241" s="88">
        <v>5.0</v>
      </c>
      <c r="X241" s="88">
        <v>16.0</v>
      </c>
    </row>
    <row r="242">
      <c r="A242" s="88">
        <v>3.44464243E8</v>
      </c>
      <c r="B242" s="88" t="s">
        <v>3369</v>
      </c>
      <c r="C242" s="88" t="s">
        <v>3369</v>
      </c>
      <c r="D242" s="88">
        <v>4.603320465366E12</v>
      </c>
      <c r="E242" s="88">
        <v>3.305900009E9</v>
      </c>
      <c r="H242" s="88" t="s">
        <v>3384</v>
      </c>
      <c r="K242" s="88" t="s">
        <v>3385</v>
      </c>
      <c r="L242" s="88" t="s">
        <v>3386</v>
      </c>
      <c r="M242" s="88" t="s">
        <v>3088</v>
      </c>
      <c r="N242" s="88" t="s">
        <v>5878</v>
      </c>
      <c r="P242" s="88" t="s">
        <v>726</v>
      </c>
      <c r="Q242" s="88" t="s">
        <v>3387</v>
      </c>
      <c r="U242" s="88" t="s">
        <v>6225</v>
      </c>
      <c r="V242" s="88">
        <v>9.2</v>
      </c>
      <c r="W242" s="88">
        <v>9.2</v>
      </c>
      <c r="X242" s="88">
        <v>9.5</v>
      </c>
    </row>
    <row r="243">
      <c r="A243" s="88">
        <v>2.60383031E8</v>
      </c>
      <c r="B243" s="88" t="s">
        <v>3413</v>
      </c>
      <c r="C243" s="88" t="s">
        <v>3413</v>
      </c>
      <c r="D243" s="88">
        <v>4.670020497546E12</v>
      </c>
      <c r="E243" s="88">
        <v>3.305900009E9</v>
      </c>
      <c r="G243" s="88" t="s">
        <v>145</v>
      </c>
      <c r="H243" s="88" t="s">
        <v>3432</v>
      </c>
      <c r="K243" s="88" t="s">
        <v>3433</v>
      </c>
      <c r="L243" s="88" t="s">
        <v>145</v>
      </c>
      <c r="M243" s="88" t="s">
        <v>2832</v>
      </c>
      <c r="N243" s="88" t="s">
        <v>6045</v>
      </c>
      <c r="P243" s="88" t="s">
        <v>355</v>
      </c>
      <c r="Q243" s="88" t="s">
        <v>3434</v>
      </c>
      <c r="T243" s="88" t="s">
        <v>2834</v>
      </c>
      <c r="U243" s="88" t="s">
        <v>6226</v>
      </c>
      <c r="V243" s="88">
        <v>8.5</v>
      </c>
      <c r="W243" s="88">
        <v>8.5</v>
      </c>
      <c r="X243" s="88">
        <v>6.0</v>
      </c>
    </row>
    <row r="244">
      <c r="A244" s="88">
        <v>7.34865504E8</v>
      </c>
      <c r="B244" s="88" t="s">
        <v>4265</v>
      </c>
      <c r="C244" s="88" t="s">
        <v>5649</v>
      </c>
      <c r="D244" s="88">
        <v>4.630446234156E12</v>
      </c>
      <c r="E244" s="88">
        <v>3.305900009E9</v>
      </c>
      <c r="G244" s="88" t="s">
        <v>496</v>
      </c>
      <c r="H244" s="88" t="s">
        <v>4274</v>
      </c>
      <c r="K244" s="88" t="s">
        <v>4275</v>
      </c>
      <c r="L244" s="88" t="s">
        <v>4276</v>
      </c>
      <c r="M244" s="88" t="s">
        <v>4277</v>
      </c>
      <c r="P244" s="88" t="s">
        <v>726</v>
      </c>
      <c r="Q244" s="88" t="s">
        <v>4278</v>
      </c>
      <c r="T244" s="88" t="s">
        <v>3412</v>
      </c>
      <c r="V244" s="88" t="e">
        <v>#VALUE!</v>
      </c>
    </row>
    <row r="245">
      <c r="A245" s="88">
        <v>2.09229089E8</v>
      </c>
      <c r="B245" s="88" t="s">
        <v>4703</v>
      </c>
      <c r="C245" s="88" t="s">
        <v>4703</v>
      </c>
      <c r="D245" s="88">
        <v>4.627193453404E12</v>
      </c>
      <c r="E245" s="88">
        <v>2.106909803E9</v>
      </c>
      <c r="G245" s="88" t="s">
        <v>496</v>
      </c>
      <c r="H245" s="88" t="s">
        <v>4713</v>
      </c>
      <c r="K245" s="88" t="s">
        <v>4714</v>
      </c>
      <c r="L245" s="88" t="s">
        <v>3272</v>
      </c>
      <c r="M245" s="88" t="s">
        <v>3273</v>
      </c>
      <c r="N245" s="88" t="s">
        <v>5777</v>
      </c>
      <c r="P245" s="88" t="s">
        <v>355</v>
      </c>
      <c r="Q245" s="88" t="s">
        <v>4715</v>
      </c>
      <c r="T245" s="88" t="s">
        <v>4690</v>
      </c>
      <c r="U245" s="88" t="s">
        <v>6227</v>
      </c>
      <c r="V245" s="88">
        <v>5.0</v>
      </c>
      <c r="W245" s="88">
        <v>9.0</v>
      </c>
      <c r="X245" s="88">
        <v>5.0</v>
      </c>
      <c r="Z245" s="88" t="s">
        <v>5459</v>
      </c>
      <c r="AA245" s="88" t="s">
        <v>361</v>
      </c>
    </row>
    <row r="246">
      <c r="A246" s="88">
        <v>2.29280202E8</v>
      </c>
      <c r="B246" s="88" t="s">
        <v>3262</v>
      </c>
      <c r="C246" s="88" t="s">
        <v>3262</v>
      </c>
      <c r="D246" s="88">
        <v>4.627193453961E12</v>
      </c>
      <c r="E246" s="88">
        <v>2.106909803E9</v>
      </c>
      <c r="G246" s="88" t="s">
        <v>496</v>
      </c>
      <c r="H246" s="88" t="s">
        <v>3271</v>
      </c>
      <c r="K246" s="88" t="s">
        <v>802</v>
      </c>
      <c r="L246" s="88" t="s">
        <v>3272</v>
      </c>
      <c r="M246" s="88" t="s">
        <v>3273</v>
      </c>
      <c r="N246" s="88" t="s">
        <v>5777</v>
      </c>
      <c r="P246" s="88" t="s">
        <v>355</v>
      </c>
      <c r="Q246" s="88" t="s">
        <v>3274</v>
      </c>
      <c r="T246" s="88" t="s">
        <v>3275</v>
      </c>
      <c r="U246" s="88" t="s">
        <v>5891</v>
      </c>
      <c r="V246" s="88">
        <v>5.0</v>
      </c>
      <c r="W246" s="88">
        <v>5.0</v>
      </c>
      <c r="X246" s="88">
        <v>9.0</v>
      </c>
      <c r="Z246" s="88" t="s">
        <v>5986</v>
      </c>
      <c r="AA246" s="88" t="s">
        <v>361</v>
      </c>
    </row>
    <row r="247">
      <c r="A247" s="88">
        <v>2.80577427E8</v>
      </c>
      <c r="B247" s="88" t="s">
        <v>3645</v>
      </c>
      <c r="C247" s="88" t="s">
        <v>3645</v>
      </c>
      <c r="D247" s="88">
        <v>4.610030633862E12</v>
      </c>
      <c r="E247" s="88">
        <v>2106.0</v>
      </c>
      <c r="G247" s="88" t="s">
        <v>145</v>
      </c>
      <c r="H247" s="88" t="s">
        <v>3655</v>
      </c>
      <c r="K247" s="88" t="s">
        <v>802</v>
      </c>
      <c r="L247" s="88" t="s">
        <v>3656</v>
      </c>
      <c r="M247" s="88" t="s">
        <v>3273</v>
      </c>
      <c r="N247" s="88" t="s">
        <v>5777</v>
      </c>
      <c r="P247" s="88" t="s">
        <v>355</v>
      </c>
      <c r="Q247" s="88" t="s">
        <v>3657</v>
      </c>
      <c r="T247" s="88" t="s">
        <v>3275</v>
      </c>
      <c r="U247" s="88" t="s">
        <v>6083</v>
      </c>
      <c r="V247" s="88">
        <v>5.0</v>
      </c>
      <c r="W247" s="88">
        <v>5.0</v>
      </c>
      <c r="X247" s="88">
        <v>8.5</v>
      </c>
    </row>
    <row r="248">
      <c r="A248" s="88">
        <v>2.2122964E8</v>
      </c>
      <c r="B248" s="88" t="s">
        <v>5546</v>
      </c>
      <c r="C248" s="88" t="s">
        <v>5546</v>
      </c>
      <c r="D248" s="88">
        <v>4.610172186202E12</v>
      </c>
      <c r="E248" s="88">
        <v>3.30499E9</v>
      </c>
      <c r="G248" s="88" t="s">
        <v>145</v>
      </c>
      <c r="H248" s="88" t="s">
        <v>6228</v>
      </c>
      <c r="K248" s="88" t="s">
        <v>6229</v>
      </c>
      <c r="L248" s="88" t="s">
        <v>6230</v>
      </c>
      <c r="M248" s="88" t="s">
        <v>6231</v>
      </c>
      <c r="N248" s="88" t="s">
        <v>6114</v>
      </c>
      <c r="P248" s="88" t="s">
        <v>355</v>
      </c>
      <c r="Q248" s="88" t="s">
        <v>6232</v>
      </c>
      <c r="T248" s="88" t="s">
        <v>1553</v>
      </c>
      <c r="U248" s="88" t="s">
        <v>6233</v>
      </c>
      <c r="V248" s="88">
        <v>5.0</v>
      </c>
      <c r="W248" s="88">
        <v>5.0</v>
      </c>
      <c r="X248" s="88">
        <v>14.0</v>
      </c>
      <c r="Z248" s="88" t="s">
        <v>6234</v>
      </c>
      <c r="AA248" s="88" t="s">
        <v>6235</v>
      </c>
    </row>
    <row r="249">
      <c r="A249" s="88">
        <v>2.23763841E8</v>
      </c>
      <c r="B249" s="88" t="e">
        <v>#N/A</v>
      </c>
      <c r="C249" s="88" t="s">
        <v>6236</v>
      </c>
      <c r="D249" s="88">
        <v>4.657786831418E12</v>
      </c>
      <c r="E249" s="88">
        <v>3.30499E9</v>
      </c>
      <c r="G249" s="88" t="s">
        <v>145</v>
      </c>
      <c r="H249" s="88" t="s">
        <v>6237</v>
      </c>
      <c r="K249" s="88" t="s">
        <v>5239</v>
      </c>
      <c r="L249" s="88" t="s">
        <v>5240</v>
      </c>
      <c r="M249" s="88" t="s">
        <v>2760</v>
      </c>
      <c r="N249" s="88" t="s">
        <v>6215</v>
      </c>
      <c r="P249" s="88" t="s">
        <v>355</v>
      </c>
      <c r="Q249" s="88" t="s">
        <v>5241</v>
      </c>
      <c r="T249" s="88" t="s">
        <v>4778</v>
      </c>
      <c r="U249" s="88" t="s">
        <v>6238</v>
      </c>
      <c r="V249" s="88">
        <v>7.0</v>
      </c>
      <c r="W249" s="88">
        <v>4.0</v>
      </c>
      <c r="X249" s="88">
        <v>2.0</v>
      </c>
      <c r="Z249" s="88" t="s">
        <v>6239</v>
      </c>
      <c r="AA249" s="88" t="s">
        <v>594</v>
      </c>
    </row>
    <row r="250">
      <c r="A250" s="88">
        <v>2.44341711E8</v>
      </c>
      <c r="B250" s="88" t="s">
        <v>4279</v>
      </c>
      <c r="C250" s="88" t="s">
        <v>4279</v>
      </c>
      <c r="D250" s="88">
        <v>4.630084864777E12</v>
      </c>
      <c r="E250" s="88">
        <v>3.4013E9</v>
      </c>
      <c r="G250" s="88" t="s">
        <v>145</v>
      </c>
      <c r="H250" s="88" t="s">
        <v>4294</v>
      </c>
      <c r="K250" s="88" t="s">
        <v>4295</v>
      </c>
      <c r="L250" s="88" t="s">
        <v>145</v>
      </c>
      <c r="M250" s="88" t="s">
        <v>4296</v>
      </c>
      <c r="N250" s="88" t="s">
        <v>6240</v>
      </c>
      <c r="P250" s="88" t="s">
        <v>355</v>
      </c>
      <c r="Q250" s="88" t="s">
        <v>4297</v>
      </c>
      <c r="T250" s="88" t="s">
        <v>2834</v>
      </c>
      <c r="U250" s="88" t="s">
        <v>6241</v>
      </c>
      <c r="V250" s="88">
        <v>4.0</v>
      </c>
      <c r="W250" s="88">
        <v>5.0</v>
      </c>
      <c r="X250" s="88">
        <v>18.0</v>
      </c>
      <c r="AA250" s="88" t="s">
        <v>1491</v>
      </c>
    </row>
    <row r="251">
      <c r="A251" s="88">
        <v>3.02460733E8</v>
      </c>
      <c r="B251" s="88" t="s">
        <v>5212</v>
      </c>
      <c r="C251" s="88" t="s">
        <v>5212</v>
      </c>
      <c r="D251" s="88">
        <v>4.656784976558E12</v>
      </c>
      <c r="E251" s="88">
        <v>3.30499E9</v>
      </c>
      <c r="G251" s="88" t="s">
        <v>145</v>
      </c>
      <c r="H251" s="88" t="s">
        <v>5223</v>
      </c>
      <c r="K251" s="88" t="s">
        <v>5224</v>
      </c>
      <c r="L251" s="88" t="s">
        <v>2759</v>
      </c>
      <c r="M251" s="88" t="s">
        <v>2760</v>
      </c>
      <c r="P251" s="88" t="s">
        <v>355</v>
      </c>
      <c r="U251" s="88" t="s">
        <v>6056</v>
      </c>
      <c r="V251" s="88">
        <v>15.0</v>
      </c>
      <c r="W251" s="88">
        <v>9.0</v>
      </c>
      <c r="X251" s="88">
        <v>6.0</v>
      </c>
    </row>
    <row r="252">
      <c r="A252" s="88">
        <v>2.23764453E8</v>
      </c>
      <c r="B252" s="88" t="s">
        <v>3000</v>
      </c>
      <c r="C252" s="88" t="s">
        <v>3000</v>
      </c>
      <c r="D252" s="88" t="s">
        <v>3017</v>
      </c>
      <c r="E252" s="88">
        <v>3.30499E9</v>
      </c>
      <c r="G252" s="88" t="s">
        <v>145</v>
      </c>
      <c r="H252" s="88" t="s">
        <v>2757</v>
      </c>
      <c r="K252" s="88" t="s">
        <v>2758</v>
      </c>
      <c r="L252" s="88" t="s">
        <v>2759</v>
      </c>
      <c r="M252" s="88" t="s">
        <v>2760</v>
      </c>
      <c r="N252" s="88" t="s">
        <v>6139</v>
      </c>
      <c r="P252" s="88" t="s">
        <v>726</v>
      </c>
      <c r="Q252" s="88" t="s">
        <v>2980</v>
      </c>
      <c r="T252" s="88" t="s">
        <v>1553</v>
      </c>
      <c r="U252" s="88" t="s">
        <v>6242</v>
      </c>
      <c r="V252" s="88">
        <v>3.0</v>
      </c>
      <c r="W252" s="88">
        <v>3.0</v>
      </c>
      <c r="X252" s="88">
        <v>11.3</v>
      </c>
      <c r="Z252" s="88" t="s">
        <v>6243</v>
      </c>
      <c r="AA252" s="88" t="s">
        <v>594</v>
      </c>
    </row>
    <row r="253">
      <c r="A253" s="88">
        <v>2.39879972E8</v>
      </c>
      <c r="B253" s="88" t="s">
        <v>3156</v>
      </c>
      <c r="C253" s="88" t="s">
        <v>3156</v>
      </c>
      <c r="D253" s="88">
        <v>4.610172186882E12</v>
      </c>
      <c r="E253" s="88">
        <v>3.305900009E9</v>
      </c>
      <c r="G253" s="88" t="s">
        <v>145</v>
      </c>
      <c r="H253" s="88" t="s">
        <v>3174</v>
      </c>
      <c r="K253" s="88" t="s">
        <v>3175</v>
      </c>
      <c r="L253" s="88" t="s">
        <v>3176</v>
      </c>
      <c r="M253" s="88" t="s">
        <v>2760</v>
      </c>
      <c r="N253" s="88" t="s">
        <v>6139</v>
      </c>
      <c r="P253" s="88" t="s">
        <v>355</v>
      </c>
      <c r="Q253" s="88" t="s">
        <v>3177</v>
      </c>
      <c r="T253" s="88" t="s">
        <v>1553</v>
      </c>
      <c r="U253" s="88" t="s">
        <v>6244</v>
      </c>
      <c r="V253" s="88">
        <v>5.0</v>
      </c>
      <c r="W253" s="88">
        <v>3.0</v>
      </c>
      <c r="X253" s="88">
        <v>10.0</v>
      </c>
      <c r="AA253" s="88" t="s">
        <v>2438</v>
      </c>
    </row>
    <row r="254">
      <c r="A254" s="88">
        <v>4.84548663E8</v>
      </c>
      <c r="B254" s="88" t="s">
        <v>4897</v>
      </c>
      <c r="C254" s="88" t="s">
        <v>4897</v>
      </c>
      <c r="D254" s="88">
        <v>4.603320465458E12</v>
      </c>
      <c r="E254" s="88">
        <v>3.3071E9</v>
      </c>
      <c r="G254" s="88" t="s">
        <v>145</v>
      </c>
      <c r="H254" s="88" t="s">
        <v>4912</v>
      </c>
      <c r="K254" s="88" t="s">
        <v>4913</v>
      </c>
      <c r="L254" s="88" t="s">
        <v>3061</v>
      </c>
      <c r="M254" s="88" t="s">
        <v>4914</v>
      </c>
      <c r="N254" s="88" t="s">
        <v>6212</v>
      </c>
      <c r="P254" s="88" t="s">
        <v>726</v>
      </c>
      <c r="Q254" s="88" t="s">
        <v>4915</v>
      </c>
      <c r="T254" s="88" t="s">
        <v>4114</v>
      </c>
      <c r="U254" s="88" t="s">
        <v>6245</v>
      </c>
      <c r="V254" s="88">
        <v>6.0</v>
      </c>
      <c r="W254" s="88">
        <v>6.0</v>
      </c>
      <c r="X254" s="88">
        <v>16.0</v>
      </c>
    </row>
    <row r="255">
      <c r="A255" s="88">
        <v>4.84586518E8</v>
      </c>
      <c r="B255" s="88" t="s">
        <v>4094</v>
      </c>
      <c r="C255" s="88" t="s">
        <v>4094</v>
      </c>
      <c r="D255" s="88">
        <v>4.603320465342E12</v>
      </c>
      <c r="E255" s="88">
        <v>3.30499E9</v>
      </c>
      <c r="G255" s="88" t="s">
        <v>145</v>
      </c>
      <c r="H255" s="88" t="s">
        <v>4110</v>
      </c>
      <c r="K255" s="88" t="s">
        <v>4111</v>
      </c>
      <c r="L255" s="88" t="s">
        <v>4112</v>
      </c>
      <c r="M255" s="88" t="s">
        <v>2939</v>
      </c>
      <c r="N255" s="88" t="s">
        <v>6139</v>
      </c>
      <c r="P255" s="88" t="s">
        <v>726</v>
      </c>
      <c r="Q255" s="88" t="s">
        <v>4113</v>
      </c>
      <c r="T255" s="88" t="s">
        <v>4114</v>
      </c>
      <c r="U255" s="88" t="s">
        <v>6246</v>
      </c>
      <c r="V255" s="88">
        <v>5.5</v>
      </c>
      <c r="W255" s="88">
        <v>5.5</v>
      </c>
      <c r="X255" s="88">
        <v>6.5</v>
      </c>
    </row>
    <row r="256">
      <c r="A256" s="88">
        <v>4.84600035E8</v>
      </c>
      <c r="B256" s="88" t="e">
        <v>#N/A</v>
      </c>
      <c r="C256" s="88" t="s">
        <v>6247</v>
      </c>
      <c r="D256" s="88">
        <v>4.603320465403E12</v>
      </c>
      <c r="E256" s="88">
        <v>3.30499E9</v>
      </c>
      <c r="G256" s="88" t="s">
        <v>145</v>
      </c>
      <c r="H256" s="88" t="s">
        <v>6248</v>
      </c>
      <c r="K256" s="88" t="s">
        <v>3060</v>
      </c>
      <c r="L256" s="88" t="s">
        <v>3061</v>
      </c>
      <c r="M256" s="88" t="s">
        <v>3062</v>
      </c>
      <c r="N256" s="88" t="s">
        <v>5738</v>
      </c>
      <c r="P256" s="88" t="s">
        <v>726</v>
      </c>
      <c r="Q256" s="88" t="s">
        <v>6249</v>
      </c>
      <c r="T256" s="88" t="s">
        <v>4114</v>
      </c>
      <c r="U256" s="88" t="s">
        <v>6250</v>
      </c>
      <c r="V256" s="88">
        <v>3.5</v>
      </c>
      <c r="W256" s="88">
        <v>3.5</v>
      </c>
      <c r="X256" s="88">
        <v>10.5</v>
      </c>
    </row>
    <row r="257">
      <c r="A257" s="88">
        <v>7.27028589E8</v>
      </c>
      <c r="C257" s="88" t="s">
        <v>5261</v>
      </c>
      <c r="D257" s="88">
        <v>4.660417421827E12</v>
      </c>
      <c r="E257" s="88">
        <v>3.30499E9</v>
      </c>
      <c r="G257" s="88" t="s">
        <v>496</v>
      </c>
      <c r="H257" s="88" t="s">
        <v>2757</v>
      </c>
      <c r="L257" s="88" t="s">
        <v>3061</v>
      </c>
      <c r="M257" s="88" t="s">
        <v>4914</v>
      </c>
      <c r="N257" s="88" t="s">
        <v>6139</v>
      </c>
      <c r="P257" s="88" t="s">
        <v>726</v>
      </c>
      <c r="Q257" s="88" t="s">
        <v>3064</v>
      </c>
      <c r="T257" s="88" t="s">
        <v>2681</v>
      </c>
      <c r="U257" s="88" t="s">
        <v>6251</v>
      </c>
      <c r="V257" s="88">
        <v>9.0</v>
      </c>
      <c r="W257" s="88">
        <v>4.0</v>
      </c>
      <c r="X257" s="88">
        <v>14.0</v>
      </c>
    </row>
    <row r="258">
      <c r="A258" s="88">
        <v>5.26299109E8</v>
      </c>
      <c r="B258" s="88" t="s">
        <v>2740</v>
      </c>
      <c r="C258" s="88" t="s">
        <v>2740</v>
      </c>
      <c r="D258" s="88">
        <v>4.660417421605E12</v>
      </c>
      <c r="E258" s="88">
        <v>3.30499E9</v>
      </c>
      <c r="G258" s="88" t="s">
        <v>145</v>
      </c>
      <c r="H258" s="88" t="s">
        <v>2757</v>
      </c>
      <c r="K258" s="88" t="s">
        <v>2758</v>
      </c>
      <c r="L258" s="88" t="s">
        <v>2759</v>
      </c>
      <c r="M258" s="88" t="s">
        <v>2760</v>
      </c>
      <c r="N258" s="88" t="s">
        <v>6139</v>
      </c>
      <c r="P258" s="88" t="s">
        <v>726</v>
      </c>
      <c r="Q258" s="88" t="s">
        <v>2761</v>
      </c>
      <c r="T258" s="88" t="s">
        <v>2681</v>
      </c>
      <c r="U258" s="88" t="s">
        <v>6252</v>
      </c>
      <c r="V258" s="88">
        <v>4.0</v>
      </c>
      <c r="W258" s="88">
        <v>9.0</v>
      </c>
      <c r="X258" s="88">
        <v>13.0</v>
      </c>
    </row>
    <row r="259">
      <c r="A259" s="88">
        <v>5.26620725E8</v>
      </c>
      <c r="B259" s="88" t="s">
        <v>2954</v>
      </c>
      <c r="C259" s="88" t="s">
        <v>2954</v>
      </c>
      <c r="D259" s="88">
        <v>4.660417421599E12</v>
      </c>
      <c r="E259" s="88">
        <v>3.30499E9</v>
      </c>
      <c r="G259" s="88" t="s">
        <v>145</v>
      </c>
      <c r="H259" s="88" t="s">
        <v>2757</v>
      </c>
      <c r="K259" s="88" t="s">
        <v>2758</v>
      </c>
      <c r="L259" s="88" t="s">
        <v>2759</v>
      </c>
      <c r="M259" s="88" t="s">
        <v>2760</v>
      </c>
      <c r="N259" s="88" t="s">
        <v>6139</v>
      </c>
      <c r="P259" s="88" t="s">
        <v>726</v>
      </c>
      <c r="Q259" s="88" t="s">
        <v>2968</v>
      </c>
      <c r="T259" s="88" t="s">
        <v>2681</v>
      </c>
      <c r="U259" s="88" t="s">
        <v>6252</v>
      </c>
      <c r="V259" s="88">
        <v>4.0</v>
      </c>
      <c r="W259" s="88">
        <v>9.0</v>
      </c>
      <c r="X259" s="88">
        <v>13.0</v>
      </c>
    </row>
    <row r="260">
      <c r="A260" s="88">
        <v>5.55457305E8</v>
      </c>
      <c r="B260" s="88" t="s">
        <v>2970</v>
      </c>
      <c r="C260" s="88" t="s">
        <v>2970</v>
      </c>
      <c r="D260" s="88" t="s">
        <v>2979</v>
      </c>
      <c r="E260" s="88">
        <v>3.30499E9</v>
      </c>
      <c r="G260" s="88" t="s">
        <v>145</v>
      </c>
      <c r="H260" s="88" t="s">
        <v>2757</v>
      </c>
      <c r="K260" s="88" t="s">
        <v>2758</v>
      </c>
      <c r="L260" s="88" t="s">
        <v>2759</v>
      </c>
      <c r="M260" s="88" t="s">
        <v>2760</v>
      </c>
      <c r="N260" s="88" t="s">
        <v>6139</v>
      </c>
      <c r="P260" s="88" t="s">
        <v>726</v>
      </c>
      <c r="Q260" s="88" t="s">
        <v>2980</v>
      </c>
      <c r="T260" s="88" t="s">
        <v>2681</v>
      </c>
      <c r="U260" s="88" t="s">
        <v>6253</v>
      </c>
      <c r="V260" s="88">
        <v>3.0</v>
      </c>
      <c r="W260" s="88">
        <v>3.0</v>
      </c>
      <c r="X260" s="88">
        <v>11.4</v>
      </c>
    </row>
    <row r="261">
      <c r="A261" s="88">
        <v>5.80359518E8</v>
      </c>
      <c r="B261" s="88" t="s">
        <v>5198</v>
      </c>
      <c r="C261" s="88" t="s">
        <v>5198</v>
      </c>
      <c r="D261" s="88">
        <v>4.660417421629E12</v>
      </c>
      <c r="E261" s="88">
        <v>3.30499E9</v>
      </c>
      <c r="G261" s="88" t="s">
        <v>145</v>
      </c>
      <c r="H261" s="88" t="s">
        <v>5208</v>
      </c>
      <c r="K261" s="88" t="s">
        <v>5209</v>
      </c>
      <c r="L261" s="88" t="s">
        <v>2759</v>
      </c>
      <c r="M261" s="88" t="s">
        <v>2760</v>
      </c>
      <c r="N261" s="88" t="s">
        <v>6139</v>
      </c>
      <c r="P261" s="88" t="s">
        <v>726</v>
      </c>
      <c r="Q261" s="88" t="s">
        <v>5210</v>
      </c>
      <c r="T261" s="88" t="s">
        <v>2681</v>
      </c>
      <c r="U261" s="88" t="s">
        <v>6253</v>
      </c>
      <c r="V261" s="88">
        <v>3.0</v>
      </c>
      <c r="W261" s="88">
        <v>3.0</v>
      </c>
      <c r="X261" s="88">
        <v>11.4</v>
      </c>
    </row>
    <row r="262">
      <c r="B262" s="88" t="s">
        <v>4258</v>
      </c>
      <c r="C262" s="88" t="s">
        <v>4258</v>
      </c>
      <c r="D262" s="88">
        <v>4.660401460092E12</v>
      </c>
      <c r="Q262" s="88" t="s">
        <v>4264</v>
      </c>
      <c r="V262" s="88" t="e">
        <v>#VALUE!</v>
      </c>
    </row>
    <row r="263">
      <c r="A263" s="88">
        <v>2.76289241E8</v>
      </c>
      <c r="B263" s="88" t="s">
        <v>3628</v>
      </c>
      <c r="C263" s="88" t="s">
        <v>3628</v>
      </c>
      <c r="D263" s="88">
        <v>4.670020498017E12</v>
      </c>
      <c r="E263" s="88">
        <v>3.30499E9</v>
      </c>
      <c r="G263" s="88" t="s">
        <v>145</v>
      </c>
      <c r="H263" s="88" t="s">
        <v>578</v>
      </c>
      <c r="K263" s="88" t="s">
        <v>579</v>
      </c>
      <c r="L263" s="88" t="s">
        <v>3642</v>
      </c>
      <c r="M263" s="88" t="s">
        <v>2832</v>
      </c>
      <c r="N263" s="88" t="s">
        <v>6254</v>
      </c>
      <c r="P263" s="88" t="s">
        <v>355</v>
      </c>
      <c r="Q263" s="88" t="s">
        <v>3644</v>
      </c>
      <c r="T263" s="88" t="s">
        <v>2834</v>
      </c>
      <c r="U263" s="88" t="s">
        <v>6255</v>
      </c>
      <c r="V263" s="88">
        <v>4.5</v>
      </c>
      <c r="W263" s="88">
        <v>4.5</v>
      </c>
      <c r="X263" s="88">
        <v>13.0</v>
      </c>
      <c r="Z263" s="88" t="s">
        <v>6256</v>
      </c>
    </row>
    <row r="264">
      <c r="B264" s="88" t="s">
        <v>4339</v>
      </c>
      <c r="C264" s="88" t="s">
        <v>4339</v>
      </c>
      <c r="D264" s="88">
        <v>4.645565747487E12</v>
      </c>
      <c r="E264" s="88">
        <v>3.30499E9</v>
      </c>
      <c r="G264" s="88" t="s">
        <v>496</v>
      </c>
      <c r="H264" s="88" t="s">
        <v>578</v>
      </c>
      <c r="K264" s="88" t="s">
        <v>579</v>
      </c>
      <c r="L264" s="88" t="s">
        <v>3642</v>
      </c>
      <c r="M264" s="88" t="s">
        <v>2832</v>
      </c>
      <c r="N264" s="88" t="s">
        <v>6254</v>
      </c>
      <c r="P264" s="88" t="s">
        <v>355</v>
      </c>
      <c r="Q264" s="88" t="s">
        <v>3644</v>
      </c>
      <c r="T264" s="88" t="s">
        <v>2834</v>
      </c>
      <c r="U264" s="88" t="s">
        <v>6147</v>
      </c>
      <c r="V264" s="88">
        <v>4.5</v>
      </c>
      <c r="W264" s="88">
        <v>4.5</v>
      </c>
      <c r="X264" s="88">
        <v>14.0</v>
      </c>
    </row>
    <row r="265">
      <c r="C265" s="88" t="s">
        <v>5547</v>
      </c>
      <c r="D265" s="88">
        <v>4.630446231421E12</v>
      </c>
      <c r="E265" s="88">
        <v>3.30499E9</v>
      </c>
      <c r="G265" s="88" t="s">
        <v>496</v>
      </c>
      <c r="H265" s="88" t="s">
        <v>5481</v>
      </c>
      <c r="K265" s="88" t="s">
        <v>6257</v>
      </c>
      <c r="L265" s="88" t="s">
        <v>1840</v>
      </c>
      <c r="M265" s="88" t="s">
        <v>6258</v>
      </c>
      <c r="N265" s="88" t="s">
        <v>5738</v>
      </c>
      <c r="P265" s="88" t="s">
        <v>726</v>
      </c>
      <c r="T265" s="88" t="s">
        <v>4114</v>
      </c>
      <c r="V265" s="88" t="e">
        <v>#VALUE!</v>
      </c>
    </row>
    <row r="266">
      <c r="A266" s="88">
        <v>3.07871378E8</v>
      </c>
      <c r="B266" s="88" t="s">
        <v>3276</v>
      </c>
      <c r="C266" s="88" t="s">
        <v>3276</v>
      </c>
      <c r="D266" s="88" t="s">
        <v>6259</v>
      </c>
      <c r="G266" s="88" t="s">
        <v>145</v>
      </c>
      <c r="H266" s="88" t="s">
        <v>3294</v>
      </c>
      <c r="K266" s="88" t="s">
        <v>3295</v>
      </c>
      <c r="L266" s="88" t="s">
        <v>3296</v>
      </c>
      <c r="M266" s="88" t="s">
        <v>3297</v>
      </c>
      <c r="N266" s="88" t="s">
        <v>5738</v>
      </c>
      <c r="P266" s="88" t="s">
        <v>355</v>
      </c>
      <c r="Q266" s="88" t="s">
        <v>3298</v>
      </c>
      <c r="T266" s="88" t="s">
        <v>2834</v>
      </c>
      <c r="U266" s="88" t="s">
        <v>6110</v>
      </c>
      <c r="V266" s="88">
        <v>3.5</v>
      </c>
      <c r="W266" s="88">
        <v>3.5</v>
      </c>
      <c r="X266" s="88">
        <v>11.5</v>
      </c>
    </row>
    <row r="267">
      <c r="A267" s="88">
        <v>3.73703287E8</v>
      </c>
      <c r="B267" s="88" t="s">
        <v>3021</v>
      </c>
      <c r="C267" s="88" t="s">
        <v>3021</v>
      </c>
      <c r="D267" s="88">
        <v>4.670020498741E12</v>
      </c>
      <c r="E267" s="88">
        <v>3.30499E9</v>
      </c>
      <c r="G267" s="88" t="s">
        <v>145</v>
      </c>
      <c r="H267" s="88" t="s">
        <v>3039</v>
      </c>
      <c r="K267" s="88" t="s">
        <v>3040</v>
      </c>
      <c r="L267" s="88" t="s">
        <v>3041</v>
      </c>
      <c r="M267" s="88" t="s">
        <v>3042</v>
      </c>
      <c r="N267" s="88" t="s">
        <v>6117</v>
      </c>
      <c r="P267" s="88" t="s">
        <v>355</v>
      </c>
      <c r="Q267" s="88" t="s">
        <v>3043</v>
      </c>
      <c r="T267" s="88" t="s">
        <v>2834</v>
      </c>
      <c r="U267" s="88" t="s">
        <v>6260</v>
      </c>
      <c r="V267" s="88">
        <v>6.5</v>
      </c>
      <c r="W267" s="88">
        <v>6.5</v>
      </c>
      <c r="X267" s="88">
        <v>5.0</v>
      </c>
    </row>
    <row r="268">
      <c r="A268" s="88">
        <v>3.85736759E8</v>
      </c>
      <c r="B268" s="88" t="s">
        <v>3395</v>
      </c>
      <c r="C268" s="88" t="s">
        <v>3395</v>
      </c>
      <c r="D268" s="88">
        <v>4.670020498499E12</v>
      </c>
      <c r="E268" s="88">
        <v>3.30499E9</v>
      </c>
      <c r="G268" s="88" t="s">
        <v>496</v>
      </c>
      <c r="H268" s="88" t="s">
        <v>3407</v>
      </c>
      <c r="K268" s="88" t="s">
        <v>3408</v>
      </c>
      <c r="L268" s="88" t="s">
        <v>3409</v>
      </c>
      <c r="M268" s="88" t="s">
        <v>3410</v>
      </c>
      <c r="N268" s="88" t="s">
        <v>6075</v>
      </c>
      <c r="P268" s="88" t="s">
        <v>355</v>
      </c>
      <c r="Q268" s="88" t="s">
        <v>3411</v>
      </c>
      <c r="T268" s="88" t="s">
        <v>2834</v>
      </c>
      <c r="U268" s="88" t="s">
        <v>6131</v>
      </c>
      <c r="V268" s="88">
        <v>17.5</v>
      </c>
      <c r="W268" s="88">
        <v>11.5</v>
      </c>
      <c r="X268" s="88">
        <v>6.0</v>
      </c>
    </row>
    <row r="269">
      <c r="A269" s="88">
        <v>4.71396076E8</v>
      </c>
      <c r="B269" s="88" t="s">
        <v>3533</v>
      </c>
      <c r="C269" s="88" t="s">
        <v>3533</v>
      </c>
      <c r="D269" s="88" t="s">
        <v>3547</v>
      </c>
      <c r="E269" s="88">
        <v>3.30499E9</v>
      </c>
      <c r="G269" s="88" t="s">
        <v>145</v>
      </c>
      <c r="H269" s="88" t="s">
        <v>3549</v>
      </c>
      <c r="K269" s="88" t="s">
        <v>3550</v>
      </c>
      <c r="L269" s="88" t="s">
        <v>145</v>
      </c>
      <c r="M269" s="88" t="s">
        <v>3042</v>
      </c>
      <c r="N269" s="88" t="s">
        <v>5738</v>
      </c>
      <c r="P269" s="88" t="s">
        <v>355</v>
      </c>
      <c r="Q269" s="88" t="s">
        <v>3551</v>
      </c>
      <c r="T269" s="88" t="s">
        <v>2834</v>
      </c>
      <c r="U269" s="88" t="s">
        <v>6261</v>
      </c>
      <c r="V269" s="88">
        <v>4.3</v>
      </c>
      <c r="W269" s="88">
        <v>4.0</v>
      </c>
      <c r="X269" s="88">
        <v>10.5</v>
      </c>
    </row>
    <row r="270">
      <c r="A270" s="88">
        <v>3.81392982E8</v>
      </c>
      <c r="B270" s="88" t="s">
        <v>4224</v>
      </c>
      <c r="C270" s="88" t="s">
        <v>4224</v>
      </c>
      <c r="D270" s="88" t="s">
        <v>4233</v>
      </c>
      <c r="E270" s="88">
        <v>3.30499E9</v>
      </c>
      <c r="G270" s="88" t="s">
        <v>145</v>
      </c>
      <c r="H270" s="88" t="s">
        <v>1469</v>
      </c>
      <c r="K270" s="88" t="s">
        <v>1470</v>
      </c>
      <c r="L270" s="88" t="s">
        <v>3110</v>
      </c>
      <c r="M270" s="88" t="s">
        <v>3111</v>
      </c>
      <c r="N270" s="88" t="s">
        <v>6123</v>
      </c>
      <c r="P270" s="88" t="s">
        <v>355</v>
      </c>
      <c r="Q270" s="88" t="s">
        <v>3112</v>
      </c>
      <c r="T270" s="88" t="s">
        <v>2834</v>
      </c>
      <c r="U270" s="88" t="s">
        <v>6262</v>
      </c>
      <c r="V270" s="88">
        <v>3.5</v>
      </c>
      <c r="W270" s="88">
        <v>3.0</v>
      </c>
      <c r="X270" s="88">
        <v>12.5</v>
      </c>
    </row>
    <row r="271">
      <c r="A271" s="88">
        <v>4.88959127E8</v>
      </c>
      <c r="B271" s="88" t="s">
        <v>3092</v>
      </c>
      <c r="C271" s="88" t="s">
        <v>3092</v>
      </c>
      <c r="D271" s="88">
        <v>4.66041742011E12</v>
      </c>
      <c r="E271" s="88">
        <v>3.30499E9</v>
      </c>
      <c r="H271" s="88" t="s">
        <v>1469</v>
      </c>
      <c r="K271" s="88" t="s">
        <v>1470</v>
      </c>
      <c r="L271" s="88" t="s">
        <v>3110</v>
      </c>
      <c r="M271" s="88" t="s">
        <v>3111</v>
      </c>
      <c r="N271" s="88" t="s">
        <v>6123</v>
      </c>
      <c r="Q271" s="88" t="s">
        <v>3112</v>
      </c>
      <c r="T271" s="88" t="s">
        <v>3020</v>
      </c>
      <c r="U271" s="88" t="s">
        <v>6124</v>
      </c>
      <c r="V271" s="88">
        <v>3.0</v>
      </c>
      <c r="W271" s="88">
        <v>3.0</v>
      </c>
      <c r="X271" s="88">
        <v>14.0</v>
      </c>
    </row>
    <row r="272">
      <c r="A272" s="88">
        <v>6.68799528E8</v>
      </c>
      <c r="B272" s="88" t="s">
        <v>4736</v>
      </c>
      <c r="C272" s="88" t="s">
        <v>4736</v>
      </c>
      <c r="D272" s="88">
        <v>4.660417421766E12</v>
      </c>
      <c r="E272" s="88">
        <v>3.30499E9</v>
      </c>
      <c r="G272" s="88" t="s">
        <v>496</v>
      </c>
      <c r="H272" s="88" t="s">
        <v>4745</v>
      </c>
      <c r="K272" s="88" t="s">
        <v>4746</v>
      </c>
      <c r="L272" s="88" t="s">
        <v>2759</v>
      </c>
      <c r="M272" s="88" t="s">
        <v>4747</v>
      </c>
      <c r="N272" s="88" t="s">
        <v>6139</v>
      </c>
      <c r="P272" s="88" t="s">
        <v>726</v>
      </c>
      <c r="Q272" s="88" t="s">
        <v>4748</v>
      </c>
      <c r="T272" s="88" t="s">
        <v>3020</v>
      </c>
      <c r="U272" s="88" t="s">
        <v>5851</v>
      </c>
      <c r="V272" s="88">
        <v>3.5</v>
      </c>
      <c r="W272" s="88">
        <v>3.5</v>
      </c>
      <c r="X272" s="88">
        <v>11.0</v>
      </c>
    </row>
    <row r="273">
      <c r="A273" s="88">
        <v>2.76474398E8</v>
      </c>
      <c r="B273" s="88" t="s">
        <v>4206</v>
      </c>
      <c r="C273" s="88" t="s">
        <v>4206</v>
      </c>
      <c r="D273" s="88">
        <v>4.670020498093E12</v>
      </c>
      <c r="E273" s="88">
        <v>3.30499E9</v>
      </c>
      <c r="G273" s="88" t="s">
        <v>145</v>
      </c>
      <c r="H273" s="88" t="s">
        <v>4221</v>
      </c>
      <c r="K273" s="88" t="s">
        <v>4222</v>
      </c>
      <c r="L273" s="88" t="s">
        <v>145</v>
      </c>
      <c r="M273" s="88" t="s">
        <v>2854</v>
      </c>
      <c r="N273" s="88" t="s">
        <v>5738</v>
      </c>
      <c r="P273" s="88" t="s">
        <v>355</v>
      </c>
      <c r="Q273" s="88" t="s">
        <v>4223</v>
      </c>
      <c r="T273" s="88" t="s">
        <v>2834</v>
      </c>
      <c r="U273" s="88" t="s">
        <v>6263</v>
      </c>
      <c r="V273" s="88">
        <v>3.0</v>
      </c>
      <c r="W273" s="88">
        <v>3.0</v>
      </c>
      <c r="X273" s="88">
        <v>9.0</v>
      </c>
      <c r="Z273" s="88" t="s">
        <v>6264</v>
      </c>
    </row>
    <row r="274">
      <c r="C274" s="88" t="s">
        <v>3758</v>
      </c>
      <c r="D274" s="88">
        <v>4.660417421636E12</v>
      </c>
      <c r="E274" s="88">
        <v>3.30499E9</v>
      </c>
      <c r="G274" s="88" t="s">
        <v>496</v>
      </c>
      <c r="H274" s="88" t="s">
        <v>6265</v>
      </c>
      <c r="K274" s="88" t="s">
        <v>6266</v>
      </c>
      <c r="L274" s="88" t="s">
        <v>6267</v>
      </c>
      <c r="M274" s="88" t="s">
        <v>2760</v>
      </c>
      <c r="P274" s="88" t="s">
        <v>726</v>
      </c>
      <c r="Q274" s="88" t="s">
        <v>6268</v>
      </c>
      <c r="T274" s="88" t="s">
        <v>3020</v>
      </c>
      <c r="V274" s="88" t="e">
        <v>#VALUE!</v>
      </c>
    </row>
    <row r="275">
      <c r="A275" s="88">
        <v>2.39888358E8</v>
      </c>
      <c r="B275" s="88" t="s">
        <v>2836</v>
      </c>
      <c r="C275" s="88" t="s">
        <v>2836</v>
      </c>
      <c r="D275" s="88">
        <v>4.670020497034E12</v>
      </c>
      <c r="G275" s="88" t="s">
        <v>145</v>
      </c>
      <c r="H275" s="88" t="s">
        <v>2852</v>
      </c>
      <c r="K275" s="88" t="s">
        <v>2853</v>
      </c>
      <c r="L275" s="88" t="s">
        <v>145</v>
      </c>
      <c r="M275" s="88" t="s">
        <v>2854</v>
      </c>
      <c r="N275" s="88" t="s">
        <v>5738</v>
      </c>
      <c r="P275" s="88" t="s">
        <v>355</v>
      </c>
      <c r="Q275" s="88" t="s">
        <v>2855</v>
      </c>
      <c r="T275" s="88" t="s">
        <v>2834</v>
      </c>
      <c r="U275" s="88" t="s">
        <v>6269</v>
      </c>
      <c r="V275" s="88">
        <v>7.0</v>
      </c>
      <c r="W275" s="88">
        <v>12.0</v>
      </c>
      <c r="X275" s="88">
        <v>4.0</v>
      </c>
      <c r="AA275" s="88" t="s">
        <v>325</v>
      </c>
    </row>
    <row r="276">
      <c r="B276" s="43" t="s">
        <v>5000</v>
      </c>
      <c r="C276" s="88" t="s">
        <v>4728</v>
      </c>
      <c r="D276" s="88">
        <v>4.603312714069E12</v>
      </c>
      <c r="V276" s="88" t="e">
        <v>#VALUE!</v>
      </c>
    </row>
    <row r="277">
      <c r="A277" s="88">
        <v>4.80197142E8</v>
      </c>
      <c r="B277" s="88" t="s">
        <v>3506</v>
      </c>
      <c r="C277" s="88" t="s">
        <v>3506</v>
      </c>
      <c r="D277" s="88">
        <v>4.630084865477E12</v>
      </c>
      <c r="E277" s="88">
        <v>3.4013E9</v>
      </c>
      <c r="H277" s="88" t="s">
        <v>3529</v>
      </c>
      <c r="K277" s="88" t="s">
        <v>3530</v>
      </c>
      <c r="L277" s="88" t="s">
        <v>145</v>
      </c>
      <c r="M277" s="88" t="s">
        <v>2832</v>
      </c>
      <c r="N277" s="88" t="s">
        <v>6212</v>
      </c>
      <c r="P277" s="88" t="s">
        <v>355</v>
      </c>
      <c r="Q277" s="88" t="s">
        <v>3531</v>
      </c>
      <c r="T277" s="88" t="s">
        <v>3532</v>
      </c>
      <c r="U277" s="88" t="s">
        <v>6270</v>
      </c>
      <c r="V277" s="88">
        <v>9.0</v>
      </c>
      <c r="W277" s="88">
        <v>5.5</v>
      </c>
      <c r="X277" s="88">
        <v>17.5</v>
      </c>
    </row>
    <row r="278">
      <c r="A278" s="88">
        <v>3.19397405E8</v>
      </c>
      <c r="B278" s="88" t="s">
        <v>4187</v>
      </c>
      <c r="C278" s="88" t="s">
        <v>4187</v>
      </c>
      <c r="D278" s="88">
        <v>4.603320465274E12</v>
      </c>
      <c r="E278" s="88">
        <v>3305.0</v>
      </c>
      <c r="G278" s="88" t="s">
        <v>145</v>
      </c>
      <c r="H278" s="88" t="s">
        <v>4201</v>
      </c>
      <c r="K278" s="88" t="s">
        <v>4202</v>
      </c>
      <c r="L278" s="88" t="s">
        <v>4203</v>
      </c>
      <c r="M278" s="88" t="s">
        <v>4204</v>
      </c>
      <c r="N278" s="88" t="s">
        <v>6271</v>
      </c>
      <c r="P278" s="88" t="s">
        <v>726</v>
      </c>
      <c r="Q278" s="88" t="s">
        <v>4205</v>
      </c>
      <c r="T278" s="88" t="s">
        <v>4114</v>
      </c>
      <c r="U278" s="88" t="s">
        <v>6272</v>
      </c>
      <c r="V278" s="88">
        <v>8.0</v>
      </c>
      <c r="W278" s="88">
        <v>8.0</v>
      </c>
      <c r="X278" s="88">
        <v>28.0</v>
      </c>
    </row>
    <row r="279">
      <c r="A279" s="88">
        <v>3.02594163E8</v>
      </c>
      <c r="B279" s="88" t="s">
        <v>5170</v>
      </c>
      <c r="C279" s="88" t="s">
        <v>5170</v>
      </c>
      <c r="D279" s="88">
        <v>4.603320465267E12</v>
      </c>
      <c r="E279" s="88">
        <v>3305.0</v>
      </c>
      <c r="G279" s="88" t="s">
        <v>145</v>
      </c>
      <c r="H279" s="88" t="s">
        <v>5187</v>
      </c>
      <c r="K279" s="88" t="s">
        <v>5188</v>
      </c>
      <c r="L279" s="88" t="s">
        <v>5189</v>
      </c>
      <c r="M279" s="88" t="s">
        <v>5190</v>
      </c>
      <c r="N279" s="88" t="s">
        <v>6102</v>
      </c>
      <c r="P279" s="88" t="s">
        <v>726</v>
      </c>
      <c r="Q279" s="88" t="s">
        <v>5191</v>
      </c>
      <c r="T279" s="88" t="s">
        <v>4114</v>
      </c>
      <c r="U279" s="88" t="s">
        <v>6273</v>
      </c>
      <c r="V279" s="88">
        <v>5.5</v>
      </c>
      <c r="W279" s="88">
        <v>5.5</v>
      </c>
      <c r="X279" s="88">
        <v>21.0</v>
      </c>
    </row>
    <row r="280">
      <c r="A280" s="88">
        <v>2.39930196E8</v>
      </c>
      <c r="B280" s="88" t="s">
        <v>3859</v>
      </c>
      <c r="C280" s="88" t="s">
        <v>3859</v>
      </c>
      <c r="D280" s="88">
        <v>4.610030631714E12</v>
      </c>
      <c r="E280" s="88">
        <v>2.106909803E9</v>
      </c>
      <c r="G280" s="88" t="s">
        <v>496</v>
      </c>
      <c r="H280" s="88" t="s">
        <v>3868</v>
      </c>
      <c r="K280" s="88" t="s">
        <v>802</v>
      </c>
      <c r="L280" s="88" t="s">
        <v>3869</v>
      </c>
      <c r="M280" s="88" t="s">
        <v>3672</v>
      </c>
      <c r="N280" s="88" t="s">
        <v>5777</v>
      </c>
      <c r="P280" s="88" t="s">
        <v>355</v>
      </c>
      <c r="Q280" s="88" t="s">
        <v>3870</v>
      </c>
      <c r="T280" s="88" t="s">
        <v>3674</v>
      </c>
      <c r="U280" s="88" t="s">
        <v>6227</v>
      </c>
      <c r="V280" s="88">
        <v>5.0</v>
      </c>
      <c r="W280" s="88">
        <v>9.0</v>
      </c>
      <c r="X280" s="88">
        <v>5.0</v>
      </c>
      <c r="AA280" s="88" t="s">
        <v>6274</v>
      </c>
    </row>
    <row r="281">
      <c r="A281" s="88">
        <v>2.80062078E8</v>
      </c>
      <c r="B281" s="88" t="s">
        <v>3658</v>
      </c>
      <c r="C281" s="88" t="s">
        <v>3658</v>
      </c>
      <c r="D281" s="88">
        <v>4.61003063195E12</v>
      </c>
      <c r="E281" s="88">
        <v>2.106909803E9</v>
      </c>
      <c r="G281" s="88" t="s">
        <v>496</v>
      </c>
      <c r="H281" s="88" t="s">
        <v>3669</v>
      </c>
      <c r="K281" s="88" t="s">
        <v>3670</v>
      </c>
      <c r="L281" s="88" t="s">
        <v>3671</v>
      </c>
      <c r="M281" s="88" t="s">
        <v>3672</v>
      </c>
      <c r="N281" s="88" t="s">
        <v>5777</v>
      </c>
      <c r="P281" s="88" t="s">
        <v>355</v>
      </c>
      <c r="Q281" s="88" t="s">
        <v>3673</v>
      </c>
      <c r="T281" s="88" t="s">
        <v>3674</v>
      </c>
      <c r="U281" s="88" t="s">
        <v>6083</v>
      </c>
      <c r="V281" s="88">
        <v>5.0</v>
      </c>
      <c r="W281" s="88">
        <v>5.0</v>
      </c>
      <c r="X281" s="88">
        <v>8.5</v>
      </c>
    </row>
    <row r="282">
      <c r="A282" s="88">
        <v>2.44342184E8</v>
      </c>
      <c r="B282" s="88" t="s">
        <v>4851</v>
      </c>
      <c r="C282" s="88" t="s">
        <v>4851</v>
      </c>
      <c r="D282" s="88">
        <v>4.610030631738E12</v>
      </c>
      <c r="E282" s="88">
        <v>2.106909803E9</v>
      </c>
      <c r="G282" s="88" t="s">
        <v>496</v>
      </c>
      <c r="H282" s="88" t="s">
        <v>4861</v>
      </c>
      <c r="K282" s="88" t="s">
        <v>802</v>
      </c>
      <c r="L282" s="88" t="s">
        <v>3671</v>
      </c>
      <c r="M282" s="88" t="s">
        <v>3672</v>
      </c>
      <c r="N282" s="88" t="s">
        <v>5777</v>
      </c>
      <c r="P282" s="88" t="s">
        <v>355</v>
      </c>
      <c r="Q282" s="88" t="s">
        <v>4862</v>
      </c>
      <c r="T282" s="88" t="s">
        <v>3674</v>
      </c>
      <c r="U282" s="88" t="s">
        <v>6182</v>
      </c>
      <c r="V282" s="88">
        <v>4.0</v>
      </c>
      <c r="W282" s="88">
        <v>5.0</v>
      </c>
      <c r="X282" s="88">
        <v>9.0</v>
      </c>
      <c r="AA282" s="88" t="s">
        <v>5830</v>
      </c>
    </row>
    <row r="283">
      <c r="A283" s="88">
        <v>2.76258805E8</v>
      </c>
      <c r="B283" s="88" t="s">
        <v>4916</v>
      </c>
      <c r="C283" s="88" t="s">
        <v>4916</v>
      </c>
      <c r="D283" s="88">
        <v>4.610030631943E12</v>
      </c>
      <c r="E283" s="88">
        <v>2.106909803E9</v>
      </c>
      <c r="G283" s="88" t="s">
        <v>496</v>
      </c>
      <c r="H283" s="88" t="s">
        <v>4926</v>
      </c>
      <c r="K283" s="88" t="s">
        <v>4927</v>
      </c>
      <c r="L283" s="88" t="s">
        <v>3671</v>
      </c>
      <c r="M283" s="88" t="s">
        <v>4928</v>
      </c>
      <c r="N283" s="88" t="s">
        <v>6275</v>
      </c>
      <c r="P283" s="88" t="s">
        <v>355</v>
      </c>
      <c r="Q283" s="88" t="s">
        <v>4929</v>
      </c>
      <c r="T283" s="88" t="s">
        <v>3674</v>
      </c>
      <c r="U283" s="88" t="s">
        <v>6083</v>
      </c>
      <c r="V283" s="88">
        <v>5.0</v>
      </c>
      <c r="W283" s="88">
        <v>5.0</v>
      </c>
      <c r="X283" s="88">
        <v>8.5</v>
      </c>
      <c r="Z283" s="88" t="s">
        <v>5986</v>
      </c>
    </row>
    <row r="284">
      <c r="A284" s="88">
        <v>2.51796954E8</v>
      </c>
      <c r="B284" s="88" t="e">
        <v>#N/A</v>
      </c>
      <c r="C284" s="88" t="s">
        <v>6276</v>
      </c>
      <c r="D284" s="88">
        <v>4.629945399213E12</v>
      </c>
      <c r="E284" s="88">
        <v>3.30499E9</v>
      </c>
      <c r="G284" s="88" t="s">
        <v>145</v>
      </c>
      <c r="H284" s="88" t="s">
        <v>6277</v>
      </c>
      <c r="K284" s="88" t="s">
        <v>2804</v>
      </c>
      <c r="L284" s="88" t="s">
        <v>2805</v>
      </c>
      <c r="M284" s="88" t="s">
        <v>2806</v>
      </c>
      <c r="N284" s="88" t="s">
        <v>6278</v>
      </c>
      <c r="P284" s="88" t="s">
        <v>355</v>
      </c>
      <c r="Q284" s="88" t="s">
        <v>2807</v>
      </c>
      <c r="T284" s="88" t="s">
        <v>3844</v>
      </c>
      <c r="U284" s="88" t="s">
        <v>6056</v>
      </c>
      <c r="V284" s="88">
        <v>15.0</v>
      </c>
      <c r="W284" s="88">
        <v>9.0</v>
      </c>
      <c r="X284" s="88">
        <v>6.0</v>
      </c>
    </row>
    <row r="285">
      <c r="A285" s="88">
        <v>2.56005551E8</v>
      </c>
      <c r="B285" s="88" t="s">
        <v>3820</v>
      </c>
      <c r="C285" s="88" t="s">
        <v>3820</v>
      </c>
      <c r="D285" s="88">
        <v>4.609893777394E12</v>
      </c>
      <c r="E285" s="88">
        <v>3.30499E9</v>
      </c>
      <c r="G285" s="88" t="s">
        <v>145</v>
      </c>
      <c r="H285" s="88" t="s">
        <v>3839</v>
      </c>
      <c r="K285" s="88" t="s">
        <v>3840</v>
      </c>
      <c r="L285" s="88" t="s">
        <v>3841</v>
      </c>
      <c r="M285" s="88" t="s">
        <v>2806</v>
      </c>
      <c r="N285" s="88" t="s">
        <v>6279</v>
      </c>
      <c r="P285" s="88" t="s">
        <v>355</v>
      </c>
      <c r="Q285" s="88" t="s">
        <v>3842</v>
      </c>
      <c r="T285" s="88" t="s">
        <v>3844</v>
      </c>
      <c r="U285" s="88" t="s">
        <v>6280</v>
      </c>
      <c r="V285" s="88">
        <v>1.4</v>
      </c>
      <c r="W285" s="88">
        <v>1.4</v>
      </c>
      <c r="X285" s="88">
        <v>12.5</v>
      </c>
      <c r="AA285" s="88" t="s">
        <v>6281</v>
      </c>
    </row>
    <row r="286">
      <c r="A286" s="88">
        <v>3.48575805E8</v>
      </c>
      <c r="B286" s="88" t="s">
        <v>4139</v>
      </c>
      <c r="C286" s="88" t="s">
        <v>4139</v>
      </c>
      <c r="D286" s="88">
        <v>4.676574657436E12</v>
      </c>
      <c r="E286" s="88">
        <v>3.30499E9</v>
      </c>
      <c r="G286" s="88" t="s">
        <v>145</v>
      </c>
      <c r="H286" s="88" t="s">
        <v>4148</v>
      </c>
      <c r="K286" s="88" t="s">
        <v>3840</v>
      </c>
      <c r="L286" s="88" t="s">
        <v>4149</v>
      </c>
      <c r="M286" s="88" t="s">
        <v>2806</v>
      </c>
      <c r="N286" s="88" t="s">
        <v>6282</v>
      </c>
      <c r="P286" s="88" t="s">
        <v>355</v>
      </c>
      <c r="Q286" s="88" t="s">
        <v>4150</v>
      </c>
      <c r="T286" s="88" t="s">
        <v>3844</v>
      </c>
      <c r="U286" s="88" t="s">
        <v>6283</v>
      </c>
      <c r="V286" s="88">
        <v>11.5</v>
      </c>
      <c r="W286" s="88">
        <v>1.3</v>
      </c>
      <c r="X286" s="88">
        <v>1.3</v>
      </c>
    </row>
    <row r="287">
      <c r="A287" s="88">
        <v>3.19430962E8</v>
      </c>
      <c r="B287" s="88" t="s">
        <v>4239</v>
      </c>
      <c r="C287" s="88" t="s">
        <v>4239</v>
      </c>
      <c r="D287" s="88">
        <v>4.698878338125E12</v>
      </c>
      <c r="E287" s="88">
        <v>3.30499E9</v>
      </c>
      <c r="G287" s="88" t="s">
        <v>145</v>
      </c>
      <c r="H287" s="88" t="s">
        <v>4254</v>
      </c>
      <c r="K287" s="88" t="s">
        <v>4255</v>
      </c>
      <c r="L287" s="88" t="s">
        <v>4256</v>
      </c>
      <c r="M287" s="88" t="s">
        <v>2806</v>
      </c>
      <c r="N287" s="88" t="s">
        <v>6114</v>
      </c>
      <c r="P287" s="88" t="s">
        <v>355</v>
      </c>
      <c r="Q287" s="88" t="s">
        <v>4257</v>
      </c>
      <c r="T287" s="88" t="s">
        <v>3844</v>
      </c>
      <c r="U287" s="88" t="s">
        <v>6284</v>
      </c>
      <c r="V287" s="88">
        <v>25.0</v>
      </c>
      <c r="W287" s="88">
        <v>7.5</v>
      </c>
      <c r="X287" s="88">
        <v>7.0</v>
      </c>
    </row>
    <row r="288">
      <c r="A288" s="88">
        <v>3.05018458E8</v>
      </c>
      <c r="B288" s="88" t="s">
        <v>4388</v>
      </c>
      <c r="C288" s="88" t="s">
        <v>4388</v>
      </c>
      <c r="D288" s="88">
        <v>4.646784974555E12</v>
      </c>
      <c r="E288" s="88">
        <v>3.30499E9</v>
      </c>
      <c r="G288" s="88" t="s">
        <v>145</v>
      </c>
      <c r="H288" s="88" t="s">
        <v>4398</v>
      </c>
      <c r="K288" s="88" t="s">
        <v>4399</v>
      </c>
      <c r="L288" s="88" t="s">
        <v>3220</v>
      </c>
      <c r="M288" s="88" t="s">
        <v>2806</v>
      </c>
      <c r="P288" s="88" t="s">
        <v>355</v>
      </c>
      <c r="U288" s="88" t="s">
        <v>6285</v>
      </c>
      <c r="V288" s="88">
        <v>15.0</v>
      </c>
      <c r="W288" s="88">
        <v>9.0</v>
      </c>
      <c r="X288" s="88">
        <v>5.5</v>
      </c>
    </row>
    <row r="289">
      <c r="A289" s="88">
        <v>4.55797764E8</v>
      </c>
      <c r="B289" s="88" t="s">
        <v>3201</v>
      </c>
      <c r="C289" s="88" t="s">
        <v>3201</v>
      </c>
      <c r="D289" s="88">
        <v>4.656738598843E12</v>
      </c>
      <c r="G289" s="88" t="s">
        <v>145</v>
      </c>
      <c r="H289" s="88" t="s">
        <v>3219</v>
      </c>
      <c r="L289" s="88" t="s">
        <v>3220</v>
      </c>
      <c r="M289" s="88" t="s">
        <v>2806</v>
      </c>
      <c r="N289" s="88" t="s">
        <v>6279</v>
      </c>
      <c r="P289" s="88" t="s">
        <v>355</v>
      </c>
      <c r="Q289" s="88" t="s">
        <v>3221</v>
      </c>
      <c r="T289" s="88" t="s">
        <v>3222</v>
      </c>
      <c r="U289" s="88" t="s">
        <v>6286</v>
      </c>
      <c r="V289" s="88">
        <v>1.5</v>
      </c>
      <c r="W289" s="88">
        <v>1.5</v>
      </c>
      <c r="X289" s="88">
        <v>12.5</v>
      </c>
    </row>
    <row r="290">
      <c r="A290" s="88">
        <v>2.6637615E8</v>
      </c>
      <c r="B290" s="88" t="s">
        <v>4480</v>
      </c>
      <c r="C290" s="88" t="s">
        <v>4480</v>
      </c>
      <c r="D290" s="88">
        <v>4.685518825374E12</v>
      </c>
      <c r="E290" s="88">
        <v>3.30499E9</v>
      </c>
      <c r="G290" s="88" t="s">
        <v>145</v>
      </c>
      <c r="H290" s="88" t="s">
        <v>3219</v>
      </c>
      <c r="K290" s="88" t="s">
        <v>4493</v>
      </c>
      <c r="L290" s="88" t="s">
        <v>3220</v>
      </c>
      <c r="M290" s="88" t="s">
        <v>2806</v>
      </c>
      <c r="N290" s="88" t="s">
        <v>6279</v>
      </c>
      <c r="P290" s="88" t="s">
        <v>355</v>
      </c>
      <c r="Q290" s="88" t="s">
        <v>3221</v>
      </c>
      <c r="T290" s="88" t="s">
        <v>3222</v>
      </c>
      <c r="U290" s="88" t="s">
        <v>6286</v>
      </c>
      <c r="V290" s="88">
        <v>1.5</v>
      </c>
      <c r="W290" s="88">
        <v>1.5</v>
      </c>
      <c r="X290" s="88">
        <v>12.5</v>
      </c>
    </row>
    <row r="291">
      <c r="A291" s="88">
        <v>2.83835152E8</v>
      </c>
      <c r="B291" s="88" t="s">
        <v>3845</v>
      </c>
      <c r="C291" s="88" t="s">
        <v>3845</v>
      </c>
      <c r="D291" s="88">
        <v>4.610030631721E12</v>
      </c>
      <c r="E291" s="88">
        <v>2.106909803E9</v>
      </c>
      <c r="G291" s="88" t="s">
        <v>496</v>
      </c>
      <c r="H291" s="88" t="s">
        <v>3855</v>
      </c>
      <c r="K291" s="88" t="s">
        <v>3856</v>
      </c>
      <c r="L291" s="88" t="s">
        <v>653</v>
      </c>
      <c r="M291" s="88" t="s">
        <v>3273</v>
      </c>
      <c r="N291" s="88" t="s">
        <v>5777</v>
      </c>
      <c r="P291" s="88" t="s">
        <v>355</v>
      </c>
      <c r="Q291" s="88" t="s">
        <v>3857</v>
      </c>
      <c r="T291" s="88" t="s">
        <v>3858</v>
      </c>
      <c r="U291" s="88" t="s">
        <v>6083</v>
      </c>
      <c r="V291" s="88">
        <v>5.0</v>
      </c>
      <c r="W291" s="88">
        <v>5.0</v>
      </c>
      <c r="X291" s="88">
        <v>8.5</v>
      </c>
      <c r="Z291" s="88" t="s">
        <v>6287</v>
      </c>
      <c r="AA291" s="88" t="s">
        <v>6274</v>
      </c>
    </row>
    <row r="292">
      <c r="A292" s="88">
        <v>4.71341724E8</v>
      </c>
      <c r="B292" s="88" t="s">
        <v>2982</v>
      </c>
      <c r="C292" s="88" t="s">
        <v>2982</v>
      </c>
      <c r="D292" s="88">
        <v>4.673748455362E12</v>
      </c>
      <c r="G292" s="88" t="s">
        <v>145</v>
      </c>
      <c r="H292" s="88" t="s">
        <v>2995</v>
      </c>
      <c r="K292" s="88" t="s">
        <v>2996</v>
      </c>
      <c r="L292" s="88" t="s">
        <v>653</v>
      </c>
      <c r="M292" s="88" t="s">
        <v>2997</v>
      </c>
      <c r="N292" s="88" t="s">
        <v>5777</v>
      </c>
      <c r="P292" s="88" t="s">
        <v>355</v>
      </c>
      <c r="Q292" s="88" t="s">
        <v>2998</v>
      </c>
      <c r="T292" s="88" t="s">
        <v>2999</v>
      </c>
      <c r="U292" s="88" t="s">
        <v>5865</v>
      </c>
      <c r="V292" s="88">
        <v>5.0</v>
      </c>
      <c r="W292" s="88">
        <v>5.0</v>
      </c>
      <c r="X292" s="88">
        <v>11.0</v>
      </c>
    </row>
    <row r="293">
      <c r="A293" s="88">
        <v>1.67208205E8</v>
      </c>
      <c r="B293" s="88" t="s">
        <v>5146</v>
      </c>
      <c r="C293" s="88" t="s">
        <v>5146</v>
      </c>
      <c r="D293" s="88">
        <v>4.610030631134E12</v>
      </c>
      <c r="E293" s="88">
        <v>2.106909809E9</v>
      </c>
      <c r="H293" s="88" t="s">
        <v>5155</v>
      </c>
      <c r="K293" s="88" t="s">
        <v>4434</v>
      </c>
      <c r="L293" s="88" t="s">
        <v>675</v>
      </c>
      <c r="M293" s="88" t="s">
        <v>4436</v>
      </c>
      <c r="N293" s="88" t="s">
        <v>5777</v>
      </c>
      <c r="P293" s="88" t="s">
        <v>355</v>
      </c>
      <c r="Q293" s="88" t="s">
        <v>5156</v>
      </c>
      <c r="T293" s="88" t="s">
        <v>4690</v>
      </c>
      <c r="U293" s="88" t="s">
        <v>6083</v>
      </c>
      <c r="V293" s="88">
        <v>5.0</v>
      </c>
      <c r="W293" s="88">
        <v>5.0</v>
      </c>
      <c r="X293" s="88">
        <v>8.5</v>
      </c>
      <c r="Z293" s="88" t="s">
        <v>5986</v>
      </c>
      <c r="AA293" s="88" t="s">
        <v>528</v>
      </c>
    </row>
    <row r="294">
      <c r="A294" s="88" t="e">
        <v>#N/A</v>
      </c>
      <c r="B294" s="88" t="e">
        <v>#N/A</v>
      </c>
      <c r="C294" s="88" t="s">
        <v>6288</v>
      </c>
      <c r="D294" s="88" t="e">
        <v>#N/A</v>
      </c>
      <c r="E294" s="88" t="e">
        <v>#N/A</v>
      </c>
      <c r="G294" s="88" t="e">
        <v>#N/A</v>
      </c>
      <c r="H294" s="88" t="e">
        <v>#N/A</v>
      </c>
      <c r="K294" s="88" t="e">
        <v>#N/A</v>
      </c>
      <c r="L294" s="88" t="e">
        <v>#N/A</v>
      </c>
      <c r="M294" s="88" t="e">
        <v>#N/A</v>
      </c>
      <c r="N294" s="88" t="e">
        <v>#N/A</v>
      </c>
      <c r="P294" s="88" t="e">
        <v>#N/A</v>
      </c>
      <c r="Q294" s="88" t="e">
        <v>#N/A</v>
      </c>
      <c r="T294" s="88" t="e">
        <v>#N/A</v>
      </c>
      <c r="U294" s="88" t="e">
        <v>#N/A</v>
      </c>
      <c r="V294" s="88" t="e">
        <v>#N/A</v>
      </c>
      <c r="Z294" s="88" t="e">
        <v>#N/A</v>
      </c>
      <c r="AA294" s="88" t="e">
        <v>#N/A</v>
      </c>
    </row>
    <row r="295">
      <c r="A295" s="88" t="e">
        <v>#N/A</v>
      </c>
      <c r="B295" s="88" t="e">
        <v>#N/A</v>
      </c>
      <c r="D295" s="88" t="e">
        <v>#N/A</v>
      </c>
      <c r="E295" s="88" t="e">
        <v>#N/A</v>
      </c>
      <c r="G295" s="88" t="e">
        <v>#N/A</v>
      </c>
      <c r="H295" s="88" t="e">
        <v>#N/A</v>
      </c>
      <c r="K295" s="88" t="e">
        <v>#N/A</v>
      </c>
      <c r="L295" s="88" t="e">
        <v>#N/A</v>
      </c>
      <c r="M295" s="88" t="e">
        <v>#N/A</v>
      </c>
      <c r="N295" s="88" t="e">
        <v>#N/A</v>
      </c>
      <c r="P295" s="88" t="e">
        <v>#N/A</v>
      </c>
      <c r="Q295" s="88" t="e">
        <v>#N/A</v>
      </c>
      <c r="T295" s="88" t="e">
        <v>#N/A</v>
      </c>
      <c r="U295" s="88" t="e">
        <v>#N/A</v>
      </c>
      <c r="V295" s="88" t="e">
        <v>#N/A</v>
      </c>
      <c r="Z295" s="88" t="e">
        <v>#N/A</v>
      </c>
      <c r="AA295" s="88" t="e">
        <v>#N/A</v>
      </c>
    </row>
    <row r="296">
      <c r="A296" s="88" t="e">
        <v>#N/A</v>
      </c>
      <c r="B296" s="88" t="e">
        <v>#N/A</v>
      </c>
      <c r="E296" s="88" t="e">
        <v>#N/A</v>
      </c>
      <c r="G296" s="88" t="e">
        <v>#N/A</v>
      </c>
      <c r="H296" s="88" t="e">
        <v>#N/A</v>
      </c>
      <c r="K296" s="88" t="e">
        <v>#N/A</v>
      </c>
      <c r="L296" s="88" t="e">
        <v>#N/A</v>
      </c>
      <c r="M296" s="88" t="e">
        <v>#N/A</v>
      </c>
      <c r="N296" s="88" t="e">
        <v>#N/A</v>
      </c>
      <c r="P296" s="88" t="e">
        <v>#N/A</v>
      </c>
      <c r="Q296" s="88" t="e">
        <v>#N/A</v>
      </c>
      <c r="T296" s="88" t="e">
        <v>#N/A</v>
      </c>
      <c r="U296" s="88" t="e">
        <v>#N/A</v>
      </c>
      <c r="V296" s="88" t="e">
        <v>#N/A</v>
      </c>
      <c r="Z296" s="88" t="e">
        <v>#N/A</v>
      </c>
      <c r="AA296" s="88" t="e">
        <v>#N/A</v>
      </c>
    </row>
    <row r="297">
      <c r="A297" s="88" t="e">
        <v>#N/A</v>
      </c>
      <c r="B297" s="88" t="e">
        <v>#N/A</v>
      </c>
      <c r="G297" s="88" t="e">
        <v>#N/A</v>
      </c>
      <c r="H297" s="88" t="e">
        <v>#N/A</v>
      </c>
      <c r="K297" s="88" t="e">
        <v>#N/A</v>
      </c>
      <c r="L297" s="88" t="e">
        <v>#N/A</v>
      </c>
      <c r="M297" s="88" t="e">
        <v>#N/A</v>
      </c>
      <c r="N297" s="88" t="e">
        <v>#N/A</v>
      </c>
      <c r="P297" s="88" t="e">
        <v>#N/A</v>
      </c>
      <c r="Q297" s="88" t="e">
        <v>#N/A</v>
      </c>
      <c r="T297" s="88" t="e">
        <v>#N/A</v>
      </c>
      <c r="U297" s="88" t="e">
        <v>#N/A</v>
      </c>
      <c r="V297" s="88" t="e">
        <v>#N/A</v>
      </c>
      <c r="Z297" s="88" t="e">
        <v>#N/A</v>
      </c>
      <c r="AA297" s="88" t="e">
        <v>#N/A</v>
      </c>
    </row>
    <row r="298">
      <c r="A298" s="88" t="e">
        <v>#N/A</v>
      </c>
      <c r="B298" s="88" t="e">
        <v>#N/A</v>
      </c>
      <c r="Q298" s="88" t="e">
        <v>#N/A</v>
      </c>
      <c r="T298" s="88" t="e">
        <v>#N/A</v>
      </c>
      <c r="U298" s="88" t="e">
        <v>#N/A</v>
      </c>
      <c r="V298" s="88" t="e">
        <v>#N/A</v>
      </c>
      <c r="Z298" s="88" t="e">
        <v>#N/A</v>
      </c>
      <c r="AA298" s="88" t="e">
        <v>#N/A</v>
      </c>
    </row>
    <row r="299">
      <c r="A299" s="88" t="e">
        <v>#N/A</v>
      </c>
      <c r="B299" s="88" t="e">
        <v>#N/A</v>
      </c>
    </row>
    <row r="300">
      <c r="A300" s="88" t="e">
        <v>#N/A</v>
      </c>
      <c r="B300" s="88" t="e">
        <v>#N/A</v>
      </c>
    </row>
    <row r="301">
      <c r="A301" s="88" t="e">
        <v>#N/A</v>
      </c>
      <c r="B301" s="88" t="e">
        <v>#N/A</v>
      </c>
    </row>
    <row r="302">
      <c r="A302" s="88" t="e">
        <v>#N/A</v>
      </c>
      <c r="B302" s="88" t="e">
        <v>#N/A</v>
      </c>
    </row>
    <row r="303">
      <c r="A303" s="88" t="e">
        <v>#N/A</v>
      </c>
      <c r="B303" s="88" t="e">
        <v>#N/A</v>
      </c>
    </row>
    <row r="304">
      <c r="A304" s="88" t="e">
        <v>#N/A</v>
      </c>
      <c r="B304" s="88" t="e">
        <v>#N/A</v>
      </c>
    </row>
    <row r="305">
      <c r="A305" s="88" t="e">
        <v>#N/A</v>
      </c>
      <c r="B305" s="88" t="e">
        <v>#N/A</v>
      </c>
    </row>
    <row r="306">
      <c r="A306" s="88" t="e">
        <v>#N/A</v>
      </c>
      <c r="B306" s="88" t="e">
        <v>#N/A</v>
      </c>
    </row>
    <row r="307">
      <c r="A307" s="88" t="e">
        <v>#N/A</v>
      </c>
      <c r="B307" s="88" t="e">
        <v>#N/A</v>
      </c>
    </row>
    <row r="308">
      <c r="A308" s="88" t="e">
        <v>#N/A</v>
      </c>
      <c r="B308" s="88" t="e">
        <v>#N/A</v>
      </c>
    </row>
    <row r="309">
      <c r="A309" s="88" t="e">
        <v>#N/A</v>
      </c>
      <c r="B309" s="88" t="e">
        <v>#N/A</v>
      </c>
    </row>
    <row r="310">
      <c r="A310" s="88" t="e">
        <v>#N/A</v>
      </c>
      <c r="B310" s="88" t="e">
        <v>#N/A</v>
      </c>
    </row>
    <row r="311">
      <c r="A311" s="88" t="e">
        <v>#N/A</v>
      </c>
      <c r="B311" s="88" t="e">
        <v>#N/A</v>
      </c>
    </row>
    <row r="312">
      <c r="A312" s="88" t="e">
        <v>#N/A</v>
      </c>
      <c r="B312" s="88" t="e">
        <v>#N/A</v>
      </c>
    </row>
    <row r="313">
      <c r="A313" s="88" t="e">
        <v>#N/A</v>
      </c>
      <c r="B313" s="88" t="e">
        <v>#N/A</v>
      </c>
    </row>
    <row r="314">
      <c r="A314" s="88" t="e">
        <v>#N/A</v>
      </c>
      <c r="B314" s="88" t="e">
        <v>#N/A</v>
      </c>
    </row>
    <row r="315">
      <c r="A315" s="88" t="e">
        <v>#N/A</v>
      </c>
      <c r="B315" s="88" t="e">
        <v>#N/A</v>
      </c>
    </row>
    <row r="316">
      <c r="B316" s="88" t="e">
        <v>#N/A</v>
      </c>
    </row>
    <row r="317">
      <c r="B317" s="88" t="e">
        <v>#N/A</v>
      </c>
      <c r="C317" s="88" t="s">
        <v>5695</v>
      </c>
      <c r="D317" s="90" t="s">
        <v>74</v>
      </c>
      <c r="E317" s="91" t="s">
        <v>75</v>
      </c>
      <c r="F317" s="91" t="s">
        <v>5696</v>
      </c>
      <c r="G317" s="91" t="s">
        <v>78</v>
      </c>
      <c r="H317" s="92" t="s">
        <v>79</v>
      </c>
      <c r="I317" s="93" t="s">
        <v>91</v>
      </c>
      <c r="J317" s="92" t="s">
        <v>5697</v>
      </c>
      <c r="K317" s="92" t="s">
        <v>5698</v>
      </c>
      <c r="L317" s="92" t="s">
        <v>82</v>
      </c>
      <c r="M317" s="92" t="s">
        <v>83</v>
      </c>
      <c r="N317" s="92" t="s">
        <v>84</v>
      </c>
      <c r="O317" s="93" t="s">
        <v>85</v>
      </c>
      <c r="P317" s="92" t="s">
        <v>5699</v>
      </c>
      <c r="Q317" s="92" t="s">
        <v>89</v>
      </c>
      <c r="S317" s="94" t="s">
        <v>95</v>
      </c>
      <c r="T317" s="62" t="s">
        <v>96</v>
      </c>
      <c r="V317" s="38" t="s">
        <v>109</v>
      </c>
      <c r="W317" s="39" t="s">
        <v>110</v>
      </c>
      <c r="X317" s="39" t="s">
        <v>111</v>
      </c>
      <c r="Y317" s="39" t="s">
        <v>112</v>
      </c>
      <c r="Z317" s="27"/>
    </row>
    <row r="318">
      <c r="B318" s="88" t="e">
        <v>#N/A</v>
      </c>
      <c r="C318" s="88" t="s">
        <v>5588</v>
      </c>
      <c r="D318" s="95" t="s">
        <v>6289</v>
      </c>
      <c r="E318" s="88" t="s">
        <v>75</v>
      </c>
      <c r="F318" s="88" t="s">
        <v>6175</v>
      </c>
      <c r="G318" s="99" t="s">
        <v>6290</v>
      </c>
      <c r="H318" s="88" t="s">
        <v>79</v>
      </c>
      <c r="I318" s="96"/>
      <c r="J318" s="98"/>
      <c r="K318" s="99" t="s">
        <v>6291</v>
      </c>
      <c r="L318" s="88" t="s">
        <v>82</v>
      </c>
      <c r="M318" s="88" t="s">
        <v>83</v>
      </c>
      <c r="N318" s="88" t="s">
        <v>84</v>
      </c>
      <c r="O318" s="96"/>
      <c r="P318" s="88" t="s">
        <v>6176</v>
      </c>
      <c r="Q318" s="88" t="s">
        <v>6177</v>
      </c>
      <c r="T318" s="88" t="s">
        <v>5704</v>
      </c>
      <c r="U318" s="88" t="s">
        <v>6178</v>
      </c>
      <c r="Z318" s="88" t="s">
        <v>6292</v>
      </c>
      <c r="AA318" s="88" t="s">
        <v>6293</v>
      </c>
    </row>
    <row r="319">
      <c r="A319" s="88">
        <v>1.789162E7</v>
      </c>
      <c r="B319" s="88" t="s">
        <v>5020</v>
      </c>
      <c r="C319" s="88" t="s">
        <v>5020</v>
      </c>
      <c r="D319" s="88">
        <v>4.631146952982E12</v>
      </c>
      <c r="E319" s="88">
        <v>3.30499E9</v>
      </c>
      <c r="F319" s="88" t="s">
        <v>4309</v>
      </c>
      <c r="H319" s="88" t="s">
        <v>4669</v>
      </c>
      <c r="L319" s="88" t="s">
        <v>2777</v>
      </c>
      <c r="M319" s="88" t="s">
        <v>4671</v>
      </c>
      <c r="N319" s="88" t="s">
        <v>5738</v>
      </c>
      <c r="P319" s="88" t="s">
        <v>3960</v>
      </c>
      <c r="Q319" s="88" t="s">
        <v>5030</v>
      </c>
      <c r="U319" s="88" t="s">
        <v>6294</v>
      </c>
      <c r="V319" s="88">
        <v>10.0</v>
      </c>
      <c r="W319" s="88">
        <v>3.5</v>
      </c>
      <c r="X319" s="88">
        <v>3.5</v>
      </c>
      <c r="Z319" s="88" t="s">
        <v>6295</v>
      </c>
      <c r="AA319" s="88" t="s">
        <v>5390</v>
      </c>
    </row>
    <row r="320">
      <c r="A320" s="88">
        <v>1.7907051E7</v>
      </c>
      <c r="B320" s="62" t="s">
        <v>5450</v>
      </c>
      <c r="C320" s="88" t="s">
        <v>4658</v>
      </c>
      <c r="D320" s="88">
        <v>4.631146952975E12</v>
      </c>
      <c r="F320" s="88" t="s">
        <v>5454</v>
      </c>
      <c r="H320" s="88" t="s">
        <v>5455</v>
      </c>
      <c r="L320" s="88" t="s">
        <v>2831</v>
      </c>
      <c r="M320" s="88" t="s">
        <v>4671</v>
      </c>
      <c r="N320" s="88" t="s">
        <v>6296</v>
      </c>
      <c r="P320" s="88" t="s">
        <v>4672</v>
      </c>
      <c r="Q320" s="88" t="s">
        <v>5030</v>
      </c>
      <c r="U320" s="88" t="s">
        <v>6297</v>
      </c>
      <c r="V320" s="88">
        <v>9.0</v>
      </c>
      <c r="W320" s="88">
        <v>9.0</v>
      </c>
      <c r="X320" s="88">
        <v>4.5</v>
      </c>
      <c r="Z320" s="88" t="s">
        <v>5453</v>
      </c>
      <c r="AA320" s="88" t="s">
        <v>5390</v>
      </c>
    </row>
    <row r="321">
      <c r="A321" s="88">
        <v>1.7908721E7</v>
      </c>
      <c r="B321" s="62" t="s">
        <v>5386</v>
      </c>
      <c r="C321" s="88" t="s">
        <v>5272</v>
      </c>
      <c r="D321" s="88">
        <v>2.25209655626E12</v>
      </c>
      <c r="F321" s="88" t="s">
        <v>4309</v>
      </c>
      <c r="H321" s="88" t="s">
        <v>5280</v>
      </c>
      <c r="L321" s="88" t="s">
        <v>2777</v>
      </c>
      <c r="M321" s="88" t="s">
        <v>4671</v>
      </c>
      <c r="N321" s="88" t="s">
        <v>6298</v>
      </c>
      <c r="P321" s="88" t="s">
        <v>5282</v>
      </c>
      <c r="Q321" s="88" t="s">
        <v>5030</v>
      </c>
      <c r="U321" s="88" t="s">
        <v>6299</v>
      </c>
      <c r="V321" s="88">
        <v>22.0</v>
      </c>
      <c r="W321" s="88">
        <v>14.7</v>
      </c>
      <c r="X321" s="88">
        <v>6.0</v>
      </c>
      <c r="Z321" s="88" t="s">
        <v>5453</v>
      </c>
      <c r="AA321" s="88" t="s">
        <v>5390</v>
      </c>
    </row>
    <row r="322">
      <c r="A322" s="88">
        <v>1.03709897E8</v>
      </c>
      <c r="B322" s="88" t="s">
        <v>3762</v>
      </c>
      <c r="C322" s="88" t="s">
        <v>3762</v>
      </c>
      <c r="D322" s="88">
        <v>4.63114467307E12</v>
      </c>
      <c r="F322" s="88" t="s">
        <v>3771</v>
      </c>
      <c r="H322" s="88" t="s">
        <v>3772</v>
      </c>
      <c r="L322" s="88" t="s">
        <v>3774</v>
      </c>
      <c r="M322" s="88" t="s">
        <v>3775</v>
      </c>
      <c r="N322" s="88" t="s">
        <v>6300</v>
      </c>
      <c r="Q322" s="88" t="s">
        <v>3776</v>
      </c>
      <c r="T322" s="88" t="s">
        <v>3330</v>
      </c>
      <c r="U322" s="88" t="s">
        <v>6301</v>
      </c>
      <c r="V322" s="88">
        <v>11.0</v>
      </c>
      <c r="W322" s="88">
        <v>6.0</v>
      </c>
      <c r="X322" s="88">
        <v>1.5</v>
      </c>
      <c r="Z322" s="88" t="s">
        <v>5986</v>
      </c>
      <c r="AA322" s="88" t="s">
        <v>5830</v>
      </c>
    </row>
    <row r="323">
      <c r="A323" s="88">
        <v>2.22223364E8</v>
      </c>
      <c r="B323" s="88" t="s">
        <v>3560</v>
      </c>
      <c r="C323" s="88" t="s">
        <v>3560</v>
      </c>
      <c r="D323" s="88">
        <v>4.600867365678E12</v>
      </c>
      <c r="E323" s="88">
        <v>2.106909809E9</v>
      </c>
      <c r="F323" s="88" t="s">
        <v>3570</v>
      </c>
      <c r="H323" s="88" t="s">
        <v>3571</v>
      </c>
      <c r="M323" s="88" t="s">
        <v>2730</v>
      </c>
      <c r="N323" s="88" t="s">
        <v>6302</v>
      </c>
      <c r="Q323" s="88" t="s">
        <v>3573</v>
      </c>
      <c r="T323" s="88" t="s">
        <v>3574</v>
      </c>
      <c r="U323" s="88" t="s">
        <v>6303</v>
      </c>
      <c r="V323" s="88">
        <v>8.2</v>
      </c>
      <c r="W323" s="88">
        <v>6.2</v>
      </c>
      <c r="X323" s="88">
        <v>8.2</v>
      </c>
      <c r="Z323" s="88" t="s">
        <v>649</v>
      </c>
      <c r="AA323" s="88" t="s">
        <v>5830</v>
      </c>
    </row>
    <row r="324">
      <c r="A324" s="88">
        <v>3.12910723E8</v>
      </c>
      <c r="B324" s="88" t="s">
        <v>4466</v>
      </c>
      <c r="C324" s="88" t="s">
        <v>4466</v>
      </c>
      <c r="D324" s="88">
        <v>4.61003063393E12</v>
      </c>
      <c r="E324" s="88">
        <v>2106.0</v>
      </c>
      <c r="F324" s="88" t="s">
        <v>4475</v>
      </c>
      <c r="H324" s="88" t="s">
        <v>4476</v>
      </c>
      <c r="L324" s="88" t="s">
        <v>2697</v>
      </c>
      <c r="M324" s="88" t="s">
        <v>2730</v>
      </c>
      <c r="N324" s="88" t="s">
        <v>6302</v>
      </c>
      <c r="P324" s="88" t="s">
        <v>355</v>
      </c>
      <c r="Q324" s="88" t="s">
        <v>4478</v>
      </c>
      <c r="T324" s="88" t="s">
        <v>4479</v>
      </c>
      <c r="U324" s="88" t="s">
        <v>6304</v>
      </c>
      <c r="V324" s="88">
        <v>7.0</v>
      </c>
      <c r="W324" s="88">
        <v>8.0</v>
      </c>
      <c r="X324" s="88">
        <v>3.0</v>
      </c>
    </row>
    <row r="325">
      <c r="A325" s="88">
        <v>2.23155748E8</v>
      </c>
      <c r="B325" s="88" t="s">
        <v>5110</v>
      </c>
      <c r="C325" s="88" t="s">
        <v>5110</v>
      </c>
      <c r="D325" s="88">
        <v>4.610030632629E12</v>
      </c>
      <c r="E325" s="88">
        <v>2.106909809E9</v>
      </c>
      <c r="F325" s="88" t="s">
        <v>5119</v>
      </c>
      <c r="H325" s="88" t="s">
        <v>5120</v>
      </c>
      <c r="L325" s="88" t="s">
        <v>2697</v>
      </c>
      <c r="M325" s="88" t="s">
        <v>4034</v>
      </c>
      <c r="N325" s="88" t="s">
        <v>6023</v>
      </c>
      <c r="P325" s="88" t="s">
        <v>355</v>
      </c>
      <c r="Q325" s="88" t="s">
        <v>5122</v>
      </c>
      <c r="T325" s="88" t="s">
        <v>2715</v>
      </c>
      <c r="U325" s="88" t="s">
        <v>6305</v>
      </c>
      <c r="V325" s="88">
        <v>4.0</v>
      </c>
      <c r="W325" s="88">
        <v>4.0</v>
      </c>
      <c r="X325" s="88">
        <v>8.0</v>
      </c>
      <c r="Z325" s="88" t="s">
        <v>649</v>
      </c>
      <c r="AA325" s="88" t="s">
        <v>5830</v>
      </c>
    </row>
    <row r="326">
      <c r="A326" s="88">
        <v>1.7902935E7</v>
      </c>
      <c r="B326" s="88" t="s">
        <v>5095</v>
      </c>
      <c r="C326" s="88" t="s">
        <v>5095</v>
      </c>
      <c r="D326" s="88">
        <v>4.631148520929E12</v>
      </c>
      <c r="F326" s="88" t="s">
        <v>5104</v>
      </c>
      <c r="H326" s="88" t="s">
        <v>5105</v>
      </c>
      <c r="L326" s="88" t="s">
        <v>5107</v>
      </c>
      <c r="M326" s="88" t="s">
        <v>5108</v>
      </c>
      <c r="N326" s="88" t="s">
        <v>6300</v>
      </c>
      <c r="P326" s="88" t="s">
        <v>3960</v>
      </c>
      <c r="Q326" s="88" t="s">
        <v>5109</v>
      </c>
      <c r="U326" s="88" t="s">
        <v>6306</v>
      </c>
      <c r="V326" s="88">
        <v>6.0</v>
      </c>
      <c r="W326" s="88">
        <v>4.5</v>
      </c>
      <c r="X326" s="88">
        <v>4.5</v>
      </c>
      <c r="Z326" s="88" t="s">
        <v>5986</v>
      </c>
      <c r="AA326" s="88" t="s">
        <v>4667</v>
      </c>
    </row>
    <row r="327">
      <c r="A327" s="88">
        <v>4.5641409E7</v>
      </c>
      <c r="B327" s="88" t="s">
        <v>5123</v>
      </c>
      <c r="C327" s="88" t="s">
        <v>5123</v>
      </c>
      <c r="D327" s="88">
        <v>4.631148520912E12</v>
      </c>
      <c r="F327" s="88" t="s">
        <v>5130</v>
      </c>
      <c r="H327" s="88" t="s">
        <v>5131</v>
      </c>
      <c r="L327" s="88" t="s">
        <v>5107</v>
      </c>
      <c r="M327" s="88" t="s">
        <v>4848</v>
      </c>
      <c r="N327" s="88" t="s">
        <v>6307</v>
      </c>
      <c r="P327" s="88" t="s">
        <v>3960</v>
      </c>
      <c r="Q327" s="88" t="s">
        <v>5133</v>
      </c>
      <c r="T327" s="88" t="s">
        <v>3330</v>
      </c>
      <c r="U327" s="88" t="s">
        <v>6308</v>
      </c>
      <c r="V327" s="88">
        <v>8.0</v>
      </c>
      <c r="W327" s="88">
        <v>5.0</v>
      </c>
      <c r="X327" s="88">
        <v>5.0</v>
      </c>
      <c r="Z327" s="88" t="s">
        <v>5986</v>
      </c>
      <c r="AA327" s="88" t="s">
        <v>4667</v>
      </c>
    </row>
    <row r="328">
      <c r="A328" s="88">
        <v>2.22223765E8</v>
      </c>
      <c r="B328" s="88" t="s">
        <v>2716</v>
      </c>
      <c r="C328" s="88" t="s">
        <v>2716</v>
      </c>
      <c r="D328" s="88" t="s">
        <v>2726</v>
      </c>
      <c r="E328" s="88">
        <v>2.106909809E9</v>
      </c>
      <c r="F328" s="88" t="s">
        <v>2727</v>
      </c>
      <c r="H328" s="88" t="s">
        <v>2728</v>
      </c>
      <c r="L328" s="88" t="s">
        <v>2697</v>
      </c>
      <c r="M328" s="88" t="s">
        <v>2730</v>
      </c>
      <c r="N328" s="88" t="s">
        <v>6302</v>
      </c>
      <c r="Q328" s="88" t="s">
        <v>2731</v>
      </c>
      <c r="T328" s="88" t="s">
        <v>2715</v>
      </c>
      <c r="U328" s="88" t="s">
        <v>6303</v>
      </c>
      <c r="V328" s="88">
        <v>8.2</v>
      </c>
      <c r="W328" s="88">
        <v>6.2</v>
      </c>
      <c r="X328" s="88">
        <v>8.2</v>
      </c>
      <c r="Z328" s="88" t="s">
        <v>649</v>
      </c>
      <c r="AA328" s="88" t="s">
        <v>5830</v>
      </c>
    </row>
    <row r="329">
      <c r="A329" s="88">
        <v>3.18413341E8</v>
      </c>
      <c r="B329" s="88" t="s">
        <v>3179</v>
      </c>
      <c r="C329" s="88" t="s">
        <v>3179</v>
      </c>
      <c r="D329" s="88">
        <v>2.042608266288E12</v>
      </c>
      <c r="N329" s="88" t="s">
        <v>6309</v>
      </c>
      <c r="U329" s="88" t="s">
        <v>6285</v>
      </c>
      <c r="V329" s="88">
        <v>15.0</v>
      </c>
      <c r="W329" s="88">
        <v>9.0</v>
      </c>
      <c r="X329" s="88">
        <v>5.5</v>
      </c>
    </row>
    <row r="330">
      <c r="A330" s="88">
        <v>3.12907312E8</v>
      </c>
      <c r="B330" s="88" t="s">
        <v>4453</v>
      </c>
      <c r="C330" s="88" t="s">
        <v>4453</v>
      </c>
      <c r="D330" s="88">
        <v>4.610030633909E12</v>
      </c>
      <c r="E330" s="88">
        <v>2.106909809E9</v>
      </c>
      <c r="F330" s="88" t="s">
        <v>4462</v>
      </c>
      <c r="H330" s="88" t="s">
        <v>4463</v>
      </c>
      <c r="L330" s="88" t="s">
        <v>2697</v>
      </c>
      <c r="M330" s="88" t="s">
        <v>2730</v>
      </c>
      <c r="N330" s="88" t="s">
        <v>6302</v>
      </c>
      <c r="P330" s="88" t="s">
        <v>355</v>
      </c>
      <c r="Q330" s="88" t="s">
        <v>4465</v>
      </c>
      <c r="T330" s="88" t="s">
        <v>2715</v>
      </c>
      <c r="U330" s="88" t="s">
        <v>6310</v>
      </c>
      <c r="V330" s="88">
        <v>8.0</v>
      </c>
      <c r="W330" s="88">
        <v>8.0</v>
      </c>
      <c r="X330" s="88">
        <v>3.0</v>
      </c>
    </row>
    <row r="331">
      <c r="A331" s="88">
        <v>4.1656854E7</v>
      </c>
      <c r="B331" s="88" t="s">
        <v>4836</v>
      </c>
      <c r="C331" s="88" t="s">
        <v>4836</v>
      </c>
      <c r="D331" s="88">
        <v>4.631159687796E12</v>
      </c>
      <c r="E331" s="88">
        <v>2.106909809E9</v>
      </c>
      <c r="F331" s="88" t="s">
        <v>4846</v>
      </c>
      <c r="H331" s="88" t="s">
        <v>4847</v>
      </c>
      <c r="L331" s="88" t="s">
        <v>2777</v>
      </c>
      <c r="M331" s="88" t="s">
        <v>4848</v>
      </c>
      <c r="N331" s="88" t="s">
        <v>6302</v>
      </c>
      <c r="Q331" s="88" t="s">
        <v>4849</v>
      </c>
      <c r="T331" s="88" t="s">
        <v>4850</v>
      </c>
      <c r="U331" s="88" t="s">
        <v>6311</v>
      </c>
      <c r="V331" s="88">
        <v>11.0</v>
      </c>
      <c r="W331" s="88">
        <v>6.0</v>
      </c>
      <c r="X331" s="88">
        <v>3.0</v>
      </c>
      <c r="Z331" s="88" t="s">
        <v>5986</v>
      </c>
      <c r="AA331" s="88" t="s">
        <v>4845</v>
      </c>
    </row>
    <row r="332">
      <c r="A332" s="88">
        <v>2.34145577E8</v>
      </c>
      <c r="B332" s="88" t="s">
        <v>2682</v>
      </c>
      <c r="C332" s="88" t="s">
        <v>2682</v>
      </c>
      <c r="D332" s="88" t="s">
        <v>2693</v>
      </c>
      <c r="E332" s="88">
        <v>2.106909809E9</v>
      </c>
      <c r="F332" s="88" t="s">
        <v>2694</v>
      </c>
      <c r="H332" s="88" t="s">
        <v>2695</v>
      </c>
      <c r="L332" s="88" t="s">
        <v>2697</v>
      </c>
      <c r="M332" s="88" t="s">
        <v>2698</v>
      </c>
      <c r="N332" s="88" t="s">
        <v>6302</v>
      </c>
      <c r="P332" s="88" t="s">
        <v>355</v>
      </c>
      <c r="Q332" s="88" t="s">
        <v>2699</v>
      </c>
      <c r="T332" s="88" t="s">
        <v>2700</v>
      </c>
      <c r="U332" s="88" t="s">
        <v>6312</v>
      </c>
      <c r="V332" s="88">
        <v>6.0</v>
      </c>
      <c r="W332" s="88">
        <v>10.0</v>
      </c>
      <c r="X332" s="88">
        <v>3.0</v>
      </c>
      <c r="Z332" s="88" t="s">
        <v>649</v>
      </c>
      <c r="AA332" s="88" t="s">
        <v>5830</v>
      </c>
    </row>
    <row r="333">
      <c r="A333" s="88">
        <v>5.25496523E8</v>
      </c>
      <c r="B333" s="88" t="s">
        <v>3905</v>
      </c>
      <c r="C333" s="88" t="s">
        <v>3905</v>
      </c>
      <c r="D333" s="88">
        <v>4.634454567374E12</v>
      </c>
      <c r="E333" s="88">
        <v>2.106909809E9</v>
      </c>
      <c r="F333" s="88" t="s">
        <v>2694</v>
      </c>
      <c r="H333" s="88" t="s">
        <v>2695</v>
      </c>
      <c r="L333" s="88" t="s">
        <v>2697</v>
      </c>
      <c r="M333" s="88" t="s">
        <v>2698</v>
      </c>
      <c r="N333" s="88" t="s">
        <v>6302</v>
      </c>
      <c r="P333" s="88" t="s">
        <v>355</v>
      </c>
      <c r="Q333" s="88" t="s">
        <v>2699</v>
      </c>
      <c r="T333" s="88" t="s">
        <v>2700</v>
      </c>
      <c r="U333" s="88" t="s">
        <v>6313</v>
      </c>
      <c r="V333" s="88">
        <v>13.5</v>
      </c>
      <c r="W333" s="88">
        <v>8.5</v>
      </c>
      <c r="X333" s="88">
        <v>5.5</v>
      </c>
      <c r="Z333" s="88" t="s">
        <v>649</v>
      </c>
      <c r="AA333" s="88" t="s">
        <v>5830</v>
      </c>
    </row>
    <row r="334">
      <c r="A334" s="88">
        <v>3.429865E7</v>
      </c>
      <c r="B334" s="88" t="s">
        <v>4980</v>
      </c>
      <c r="C334" s="88" t="s">
        <v>4980</v>
      </c>
      <c r="D334" s="88">
        <v>4.631155494015E12</v>
      </c>
      <c r="F334" s="88" t="s">
        <v>4447</v>
      </c>
      <c r="H334" s="88" t="s">
        <v>4986</v>
      </c>
      <c r="L334" s="88" t="s">
        <v>2777</v>
      </c>
      <c r="M334" s="88" t="s">
        <v>4988</v>
      </c>
      <c r="N334" s="88" t="s">
        <v>6302</v>
      </c>
      <c r="P334" s="88" t="s">
        <v>3960</v>
      </c>
      <c r="Q334" s="88" t="s">
        <v>4989</v>
      </c>
      <c r="T334" s="88" t="s">
        <v>4452</v>
      </c>
      <c r="U334" s="88" t="s">
        <v>6314</v>
      </c>
      <c r="V334" s="88">
        <v>11.0</v>
      </c>
      <c r="W334" s="88">
        <v>2.5</v>
      </c>
      <c r="X334" s="88">
        <v>6.5</v>
      </c>
      <c r="Z334" s="88" t="s">
        <v>5986</v>
      </c>
      <c r="AA334" s="88" t="s">
        <v>4667</v>
      </c>
    </row>
    <row r="335">
      <c r="A335" s="88">
        <v>4.8591133E7</v>
      </c>
      <c r="B335" s="88" t="s">
        <v>4438</v>
      </c>
      <c r="C335" s="88" t="s">
        <v>4438</v>
      </c>
      <c r="D335" s="88">
        <v>4.631159649336E12</v>
      </c>
      <c r="F335" s="88" t="s">
        <v>4447</v>
      </c>
      <c r="H335" s="88" t="s">
        <v>4448</v>
      </c>
      <c r="L335" s="88" t="s">
        <v>2777</v>
      </c>
      <c r="M335" s="88" t="s">
        <v>4450</v>
      </c>
      <c r="N335" s="88" t="s">
        <v>6302</v>
      </c>
      <c r="Q335" s="88" t="s">
        <v>4451</v>
      </c>
      <c r="T335" s="88" t="s">
        <v>4452</v>
      </c>
      <c r="U335" s="88" t="s">
        <v>6315</v>
      </c>
      <c r="V335" s="88">
        <v>11.0</v>
      </c>
      <c r="W335" s="88">
        <v>6.5</v>
      </c>
      <c r="X335" s="88">
        <v>2.5</v>
      </c>
      <c r="Z335" s="88" t="s">
        <v>5986</v>
      </c>
      <c r="AA335" s="88" t="s">
        <v>5830</v>
      </c>
    </row>
    <row r="336">
      <c r="A336" s="88">
        <v>1.50790885E8</v>
      </c>
      <c r="B336" s="88" t="s">
        <v>4943</v>
      </c>
      <c r="C336" s="88" t="s">
        <v>4943</v>
      </c>
      <c r="D336" s="88">
        <v>4.627144543048E12</v>
      </c>
      <c r="F336" s="88" t="s">
        <v>4951</v>
      </c>
      <c r="H336" s="88" t="s">
        <v>4952</v>
      </c>
      <c r="L336" s="88" t="s">
        <v>4954</v>
      </c>
      <c r="M336" s="88" t="s">
        <v>3709</v>
      </c>
      <c r="N336" s="88" t="s">
        <v>6300</v>
      </c>
      <c r="Q336" s="88" t="s">
        <v>4955</v>
      </c>
      <c r="U336" s="88" t="s">
        <v>6316</v>
      </c>
      <c r="V336" s="88">
        <v>10.0</v>
      </c>
      <c r="W336" s="88">
        <v>6.5</v>
      </c>
      <c r="X336" s="88">
        <v>1.5</v>
      </c>
      <c r="Z336" s="88" t="s">
        <v>5986</v>
      </c>
      <c r="AA336" s="88" t="s">
        <v>4845</v>
      </c>
    </row>
    <row r="337">
      <c r="A337" s="88">
        <v>1.7903236E7</v>
      </c>
      <c r="B337" s="88" t="s">
        <v>4299</v>
      </c>
      <c r="C337" s="88" t="s">
        <v>4302</v>
      </c>
      <c r="D337" s="88">
        <v>4.631136905059E12</v>
      </c>
      <c r="E337" s="88">
        <v>3.30499E9</v>
      </c>
      <c r="F337" s="88" t="s">
        <v>4309</v>
      </c>
      <c r="H337" s="88" t="s">
        <v>4310</v>
      </c>
      <c r="L337" s="88" t="s">
        <v>2777</v>
      </c>
      <c r="M337" s="88" t="s">
        <v>3200</v>
      </c>
      <c r="N337" s="88" t="s">
        <v>5738</v>
      </c>
      <c r="P337" s="88" t="s">
        <v>3960</v>
      </c>
      <c r="Q337" s="88" t="s">
        <v>4312</v>
      </c>
      <c r="U337" s="88" t="s">
        <v>6294</v>
      </c>
      <c r="V337" s="88">
        <v>10.0</v>
      </c>
      <c r="W337" s="88">
        <v>3.5</v>
      </c>
      <c r="X337" s="88">
        <v>3.5</v>
      </c>
      <c r="Z337" s="88" t="s">
        <v>4979</v>
      </c>
      <c r="AA337" s="88" t="s">
        <v>594</v>
      </c>
    </row>
    <row r="338">
      <c r="A338" s="88">
        <v>1.72163562E8</v>
      </c>
      <c r="B338" s="88" t="s">
        <v>4401</v>
      </c>
      <c r="C338" s="88" t="s">
        <v>4401</v>
      </c>
      <c r="D338" s="88">
        <v>2.038301488324E12</v>
      </c>
      <c r="F338" s="88" t="s">
        <v>4309</v>
      </c>
      <c r="U338" s="88" t="s">
        <v>6317</v>
      </c>
      <c r="V338" s="88">
        <v>15.0</v>
      </c>
      <c r="W338" s="88">
        <v>22.0</v>
      </c>
      <c r="X338" s="88">
        <v>6.0</v>
      </c>
      <c r="Z338" s="88" t="s">
        <v>4979</v>
      </c>
      <c r="AA338" s="88" t="s">
        <v>594</v>
      </c>
    </row>
    <row r="339">
      <c r="A339" s="88">
        <v>1.92909505E8</v>
      </c>
      <c r="B339" s="88" t="s">
        <v>4588</v>
      </c>
      <c r="C339" s="88" t="s">
        <v>4588</v>
      </c>
      <c r="D339" s="88" t="s">
        <v>4596</v>
      </c>
      <c r="E339" s="88">
        <v>3.30499E9</v>
      </c>
      <c r="F339" s="88" t="s">
        <v>4597</v>
      </c>
      <c r="H339" s="88" t="s">
        <v>4600</v>
      </c>
      <c r="L339" s="88">
        <v>130.0</v>
      </c>
      <c r="M339" s="88" t="s">
        <v>6117</v>
      </c>
      <c r="N339" s="88" t="s">
        <v>6117</v>
      </c>
      <c r="P339" s="88" t="s">
        <v>3155</v>
      </c>
      <c r="Q339" s="88" t="s">
        <v>4602</v>
      </c>
      <c r="T339" s="88" t="s">
        <v>4979</v>
      </c>
      <c r="U339" s="88" t="s">
        <v>4597</v>
      </c>
      <c r="V339" s="88" t="s">
        <v>4597</v>
      </c>
      <c r="Z339" s="88" t="s">
        <v>4979</v>
      </c>
      <c r="AA339" s="88" t="s">
        <v>594</v>
      </c>
    </row>
    <row r="340">
      <c r="A340" s="88">
        <v>2.60523262E8</v>
      </c>
      <c r="B340" s="88" t="s">
        <v>4408</v>
      </c>
      <c r="C340" s="88" t="s">
        <v>4408</v>
      </c>
      <c r="D340" s="88">
        <v>4.610030633633E12</v>
      </c>
      <c r="E340" s="88">
        <v>3.30499E9</v>
      </c>
      <c r="F340" s="88" t="s">
        <v>4416</v>
      </c>
      <c r="H340" s="88" t="s">
        <v>4417</v>
      </c>
      <c r="L340" s="88" t="s">
        <v>2697</v>
      </c>
      <c r="M340" s="88" t="s">
        <v>4419</v>
      </c>
      <c r="N340" s="88" t="s">
        <v>5738</v>
      </c>
      <c r="Q340" s="88" t="s">
        <v>4420</v>
      </c>
      <c r="T340" s="88" t="s">
        <v>4421</v>
      </c>
      <c r="U340" s="88" t="s">
        <v>6318</v>
      </c>
      <c r="V340" s="88">
        <v>6.0</v>
      </c>
      <c r="W340" s="88">
        <v>6.0</v>
      </c>
      <c r="X340" s="88">
        <v>5.5</v>
      </c>
    </row>
    <row r="341">
      <c r="A341" s="88">
        <v>1.7905393E7</v>
      </c>
      <c r="B341" s="62" t="s">
        <v>5470</v>
      </c>
      <c r="C341" s="88" t="s">
        <v>3998</v>
      </c>
      <c r="D341" s="88">
        <v>4.63115187855E12</v>
      </c>
      <c r="E341" s="88">
        <v>3.30499E9</v>
      </c>
      <c r="F341" s="88" t="s">
        <v>5008</v>
      </c>
      <c r="H341" s="88" t="s">
        <v>5009</v>
      </c>
      <c r="L341" s="88" t="s">
        <v>2777</v>
      </c>
      <c r="M341" s="88" t="s">
        <v>2778</v>
      </c>
      <c r="N341" s="88" t="s">
        <v>5738</v>
      </c>
      <c r="P341" s="88" t="s">
        <v>3960</v>
      </c>
      <c r="Q341" s="88" t="s">
        <v>5473</v>
      </c>
      <c r="U341" s="88" t="s">
        <v>6294</v>
      </c>
      <c r="V341" s="88">
        <v>10.0</v>
      </c>
      <c r="W341" s="88">
        <v>3.5</v>
      </c>
      <c r="X341" s="88">
        <v>3.5</v>
      </c>
      <c r="Z341" s="88" t="s">
        <v>4979</v>
      </c>
      <c r="AA341" s="88" t="s">
        <v>594</v>
      </c>
    </row>
    <row r="342">
      <c r="A342" s="88">
        <v>1.92907992E8</v>
      </c>
      <c r="B342" s="88" t="s">
        <v>3871</v>
      </c>
      <c r="C342" s="88" t="s">
        <v>3871</v>
      </c>
      <c r="D342" s="88" t="s">
        <v>3879</v>
      </c>
      <c r="E342" s="88">
        <v>3.30499E9</v>
      </c>
      <c r="F342" s="88" t="s">
        <v>5008</v>
      </c>
      <c r="H342" s="88" t="s">
        <v>5009</v>
      </c>
      <c r="L342" s="88" t="s">
        <v>2777</v>
      </c>
      <c r="M342" s="88" t="s">
        <v>2778</v>
      </c>
      <c r="Q342" s="88" t="s">
        <v>5473</v>
      </c>
      <c r="T342" s="88" t="s">
        <v>2681</v>
      </c>
      <c r="U342" s="88" t="s">
        <v>6208</v>
      </c>
      <c r="V342" s="88">
        <v>4.0</v>
      </c>
      <c r="W342" s="88">
        <v>4.0</v>
      </c>
      <c r="X342" s="88">
        <v>11.5</v>
      </c>
    </row>
    <row r="343">
      <c r="A343" s="88">
        <v>3.18414683E8</v>
      </c>
      <c r="B343" s="88" t="s">
        <v>5000</v>
      </c>
      <c r="C343" s="88" t="s">
        <v>5000</v>
      </c>
      <c r="D343" s="88">
        <v>2.042608328689E12</v>
      </c>
      <c r="N343" s="88" t="s">
        <v>5012</v>
      </c>
      <c r="U343" s="88" t="s">
        <v>6285</v>
      </c>
      <c r="V343" s="88">
        <v>15.0</v>
      </c>
      <c r="W343" s="88">
        <v>9.0</v>
      </c>
      <c r="X343" s="88">
        <v>5.5</v>
      </c>
    </row>
    <row r="344">
      <c r="A344" s="88">
        <v>1.7905705E7</v>
      </c>
      <c r="B344" s="62" t="s">
        <v>5444</v>
      </c>
      <c r="C344" s="88" t="s">
        <v>4888</v>
      </c>
      <c r="D344" s="88">
        <v>4.631143681571E12</v>
      </c>
      <c r="E344" s="88">
        <v>3.30499E9</v>
      </c>
      <c r="F344" s="88" t="s">
        <v>3950</v>
      </c>
      <c r="H344" s="88" t="s">
        <v>3951</v>
      </c>
      <c r="L344" s="88" t="s">
        <v>2777</v>
      </c>
      <c r="M344" s="88" t="s">
        <v>2778</v>
      </c>
      <c r="N344" s="88" t="s">
        <v>5738</v>
      </c>
      <c r="P344" s="88" t="s">
        <v>3960</v>
      </c>
      <c r="Q344" s="88" t="s">
        <v>5446</v>
      </c>
      <c r="U344" s="88" t="s">
        <v>6319</v>
      </c>
      <c r="V344" s="88">
        <v>10.0</v>
      </c>
      <c r="W344" s="88">
        <v>3.7</v>
      </c>
      <c r="X344" s="88">
        <v>3.7</v>
      </c>
      <c r="Z344" s="88" t="s">
        <v>4979</v>
      </c>
      <c r="AA344" s="88" t="s">
        <v>594</v>
      </c>
    </row>
    <row r="345">
      <c r="A345" s="88">
        <v>1.86784742E8</v>
      </c>
      <c r="B345" s="88" t="s">
        <v>4969</v>
      </c>
      <c r="C345" s="88" t="s">
        <v>4969</v>
      </c>
      <c r="D345" s="88" t="s">
        <v>4978</v>
      </c>
      <c r="E345" s="88">
        <v>3.30499E9</v>
      </c>
      <c r="F345" s="88" t="s">
        <v>3950</v>
      </c>
      <c r="H345" s="88" t="s">
        <v>3951</v>
      </c>
      <c r="L345" s="88" t="s">
        <v>2777</v>
      </c>
      <c r="M345" s="88" t="s">
        <v>2778</v>
      </c>
      <c r="N345" s="88" t="s">
        <v>5738</v>
      </c>
      <c r="Q345" s="88" t="s">
        <v>4979</v>
      </c>
      <c r="T345" s="88" t="s">
        <v>594</v>
      </c>
      <c r="U345" s="88" t="s">
        <v>6319</v>
      </c>
      <c r="V345" s="88">
        <v>10.0</v>
      </c>
      <c r="W345" s="88">
        <v>3.7</v>
      </c>
      <c r="X345" s="88">
        <v>3.7</v>
      </c>
    </row>
    <row r="346">
      <c r="A346" s="88">
        <v>1.72161836E8</v>
      </c>
      <c r="B346" s="88" t="s">
        <v>5013</v>
      </c>
      <c r="C346" s="88" t="s">
        <v>5013</v>
      </c>
      <c r="D346" s="88">
        <v>2.038301429006E12</v>
      </c>
      <c r="U346" s="88" t="s">
        <v>6317</v>
      </c>
      <c r="V346" s="88">
        <v>15.0</v>
      </c>
      <c r="W346" s="88">
        <v>22.0</v>
      </c>
      <c r="X346" s="88">
        <v>6.0</v>
      </c>
      <c r="Z346" s="88" t="s">
        <v>4979</v>
      </c>
      <c r="AA346" s="88" t="s">
        <v>594</v>
      </c>
    </row>
    <row r="347">
      <c r="B347" s="88" t="s">
        <v>3145</v>
      </c>
      <c r="C347" s="88" t="s">
        <v>3145</v>
      </c>
      <c r="D347" s="88" t="s">
        <v>3154</v>
      </c>
      <c r="E347" s="88">
        <v>3.30499E9</v>
      </c>
      <c r="H347" s="88" t="s">
        <v>2677</v>
      </c>
      <c r="N347" s="88">
        <v>80.0</v>
      </c>
      <c r="P347" s="88" t="s">
        <v>355</v>
      </c>
      <c r="T347" s="88" t="s">
        <v>6320</v>
      </c>
      <c r="U347" s="88" t="s">
        <v>2953</v>
      </c>
      <c r="V347" s="88" t="s">
        <v>2953</v>
      </c>
      <c r="Z347" s="88" t="s">
        <v>594</v>
      </c>
    </row>
    <row r="348">
      <c r="A348" s="88">
        <v>1.72161991E8</v>
      </c>
      <c r="B348" s="88" t="s">
        <v>3942</v>
      </c>
      <c r="C348" s="88" t="s">
        <v>3942</v>
      </c>
      <c r="D348" s="88">
        <v>2.038301433485E12</v>
      </c>
      <c r="U348" s="88" t="s">
        <v>6317</v>
      </c>
      <c r="V348" s="88">
        <v>15.0</v>
      </c>
      <c r="W348" s="88">
        <v>22.0</v>
      </c>
      <c r="X348" s="88">
        <v>6.0</v>
      </c>
      <c r="AA348" s="88" t="s">
        <v>594</v>
      </c>
    </row>
    <row r="349">
      <c r="A349" s="88">
        <v>4.0812096E7</v>
      </c>
      <c r="B349" s="43" t="s">
        <v>3597</v>
      </c>
      <c r="C349" s="88" t="s">
        <v>6321</v>
      </c>
      <c r="D349" s="88" t="s">
        <v>3606</v>
      </c>
      <c r="E349" s="88">
        <v>3.30499E9</v>
      </c>
      <c r="F349" s="88" t="s">
        <v>3607</v>
      </c>
      <c r="H349" s="88" t="s">
        <v>3608</v>
      </c>
      <c r="L349" s="88" t="s">
        <v>2777</v>
      </c>
      <c r="M349" s="88" t="s">
        <v>2778</v>
      </c>
      <c r="N349" s="88" t="s">
        <v>6139</v>
      </c>
      <c r="Q349" s="88" t="s">
        <v>3610</v>
      </c>
      <c r="U349" s="88" t="s">
        <v>6322</v>
      </c>
      <c r="V349" s="88">
        <v>14.0</v>
      </c>
      <c r="W349" s="88">
        <v>6.0</v>
      </c>
      <c r="X349" s="88">
        <v>4.0</v>
      </c>
      <c r="Z349" s="88" t="s">
        <v>4979</v>
      </c>
      <c r="AA349" s="88" t="s">
        <v>594</v>
      </c>
    </row>
    <row r="350">
      <c r="A350" s="88">
        <v>1.72161336E8</v>
      </c>
      <c r="B350" s="88" t="s">
        <v>3790</v>
      </c>
      <c r="C350" s="88" t="s">
        <v>3790</v>
      </c>
      <c r="D350" s="88">
        <v>2.038301408919E12</v>
      </c>
      <c r="U350" s="88" t="s">
        <v>6317</v>
      </c>
      <c r="V350" s="88">
        <v>15.0</v>
      </c>
      <c r="W350" s="88">
        <v>22.0</v>
      </c>
      <c r="X350" s="88">
        <v>6.0</v>
      </c>
      <c r="Z350" s="88" t="s">
        <v>4979</v>
      </c>
      <c r="AA350" s="88" t="s">
        <v>594</v>
      </c>
    </row>
    <row r="351">
      <c r="B351" s="88" t="e">
        <v>#N/A</v>
      </c>
      <c r="C351" s="88" t="s">
        <v>5620</v>
      </c>
      <c r="D351" s="88" t="s">
        <v>6323</v>
      </c>
      <c r="E351" s="88">
        <v>3.30499E9</v>
      </c>
      <c r="F351" s="88" t="s">
        <v>6324</v>
      </c>
      <c r="H351" s="88" t="s">
        <v>5395</v>
      </c>
      <c r="L351" s="88" t="s">
        <v>5307</v>
      </c>
      <c r="M351" s="88" t="s">
        <v>5396</v>
      </c>
      <c r="N351" s="88" t="s">
        <v>6067</v>
      </c>
      <c r="U351" s="88" t="s">
        <v>6325</v>
      </c>
      <c r="V351" s="88">
        <v>14.5</v>
      </c>
      <c r="W351" s="88">
        <v>4.5</v>
      </c>
      <c r="X351" s="88">
        <v>14.5</v>
      </c>
    </row>
    <row r="352">
      <c r="A352" s="88">
        <v>1.09014186E8</v>
      </c>
      <c r="B352" s="88" t="s">
        <v>5296</v>
      </c>
      <c r="C352" s="88" t="s">
        <v>5296</v>
      </c>
      <c r="D352" s="88">
        <v>4.640012268409E12</v>
      </c>
      <c r="E352" s="88">
        <v>3.30499E9</v>
      </c>
      <c r="F352" s="88" t="s">
        <v>3124</v>
      </c>
      <c r="H352" s="88" t="s">
        <v>5305</v>
      </c>
      <c r="L352" s="88" t="s">
        <v>5307</v>
      </c>
      <c r="M352" s="88" t="s">
        <v>2778</v>
      </c>
      <c r="N352" s="88" t="s">
        <v>5738</v>
      </c>
      <c r="Q352" s="88" t="s">
        <v>5308</v>
      </c>
      <c r="T352" s="88" t="s">
        <v>5309</v>
      </c>
      <c r="U352" s="88" t="s">
        <v>6326</v>
      </c>
      <c r="V352" s="88">
        <v>14.0</v>
      </c>
      <c r="W352" s="88">
        <v>6.0</v>
      </c>
      <c r="X352" s="88">
        <v>6.0</v>
      </c>
      <c r="Z352" s="88" t="s">
        <v>4979</v>
      </c>
      <c r="AA352" s="88" t="s">
        <v>594</v>
      </c>
    </row>
    <row r="353">
      <c r="A353" s="88">
        <v>3.18415062E8</v>
      </c>
      <c r="B353" s="88" t="s">
        <v>5392</v>
      </c>
      <c r="C353" s="88" t="s">
        <v>5392</v>
      </c>
      <c r="D353" s="88">
        <v>2.042608334598E12</v>
      </c>
      <c r="N353" s="88" t="s">
        <v>5012</v>
      </c>
      <c r="U353" s="88" t="s">
        <v>6285</v>
      </c>
      <c r="V353" s="88">
        <v>15.0</v>
      </c>
      <c r="W353" s="88">
        <v>9.0</v>
      </c>
      <c r="X353" s="88">
        <v>5.5</v>
      </c>
    </row>
    <row r="354">
      <c r="A354" s="88">
        <v>2.22209699E8</v>
      </c>
      <c r="B354" s="88" t="e">
        <v>#N/A</v>
      </c>
      <c r="C354" s="88" t="s">
        <v>6327</v>
      </c>
      <c r="D354" s="88" t="s">
        <v>6328</v>
      </c>
      <c r="E354" s="88">
        <v>3.30499E9</v>
      </c>
      <c r="F354" s="88" t="s">
        <v>2953</v>
      </c>
      <c r="H354" s="88" t="s">
        <v>6329</v>
      </c>
      <c r="L354" s="88" t="s">
        <v>2679</v>
      </c>
      <c r="M354" s="88" t="s">
        <v>2680</v>
      </c>
      <c r="N354" s="88" t="s">
        <v>6055</v>
      </c>
      <c r="Q354" s="88" t="s">
        <v>3971</v>
      </c>
      <c r="T354" s="88" t="s">
        <v>6330</v>
      </c>
      <c r="U354" s="88" t="s">
        <v>6331</v>
      </c>
      <c r="V354" s="88">
        <v>4.4</v>
      </c>
      <c r="W354" s="88">
        <v>4.5</v>
      </c>
      <c r="X354" s="88">
        <v>12.0</v>
      </c>
      <c r="Z354" s="88" t="s">
        <v>6332</v>
      </c>
      <c r="AA354" s="88" t="s">
        <v>594</v>
      </c>
    </row>
    <row r="355">
      <c r="B355" s="88" t="s">
        <v>3962</v>
      </c>
      <c r="C355" s="88" t="s">
        <v>3962</v>
      </c>
      <c r="F355" s="88" t="s">
        <v>2953</v>
      </c>
      <c r="H355" s="88" t="s">
        <v>3970</v>
      </c>
      <c r="L355" s="88" t="s">
        <v>2679</v>
      </c>
      <c r="N355" s="88" t="s">
        <v>6067</v>
      </c>
      <c r="P355" s="88" t="s">
        <v>355</v>
      </c>
      <c r="Q355" s="88" t="s">
        <v>3971</v>
      </c>
      <c r="T355" s="88" t="s">
        <v>3330</v>
      </c>
      <c r="U355" s="88" t="s">
        <v>6325</v>
      </c>
      <c r="V355" s="88">
        <v>14.5</v>
      </c>
      <c r="W355" s="88">
        <v>4.5</v>
      </c>
      <c r="X355" s="88">
        <v>14.5</v>
      </c>
      <c r="AA355" s="88" t="s">
        <v>594</v>
      </c>
    </row>
    <row r="356">
      <c r="A356" s="88">
        <v>3.04495569E8</v>
      </c>
      <c r="B356" s="88" t="s">
        <v>2945</v>
      </c>
      <c r="C356" s="88" t="s">
        <v>2945</v>
      </c>
      <c r="D356" s="88">
        <v>2.042302907722E12</v>
      </c>
      <c r="F356" s="88" t="s">
        <v>2953</v>
      </c>
      <c r="N356" s="88" t="s">
        <v>6333</v>
      </c>
      <c r="U356" s="88" t="s">
        <v>6334</v>
      </c>
      <c r="V356" s="88">
        <v>17.5</v>
      </c>
      <c r="W356" s="88">
        <v>11.5</v>
      </c>
      <c r="X356" s="88">
        <v>6.5</v>
      </c>
    </row>
    <row r="357">
      <c r="A357" s="88">
        <v>1.7904962E7</v>
      </c>
      <c r="B357" s="62" t="s">
        <v>5474</v>
      </c>
      <c r="C357" s="88" t="s">
        <v>4554</v>
      </c>
      <c r="D357" s="88">
        <v>4.631137125906E12</v>
      </c>
      <c r="E357" s="88">
        <v>3.30499E9</v>
      </c>
      <c r="F357" s="88" t="s">
        <v>4309</v>
      </c>
      <c r="H357" s="88" t="s">
        <v>4564</v>
      </c>
      <c r="L357" s="88" t="s">
        <v>2777</v>
      </c>
      <c r="M357" s="88" t="s">
        <v>4566</v>
      </c>
      <c r="N357" s="88" t="s">
        <v>5738</v>
      </c>
      <c r="P357" s="88" t="s">
        <v>3960</v>
      </c>
      <c r="Q357" s="88" t="s">
        <v>5477</v>
      </c>
      <c r="T357" s="88" t="s">
        <v>3330</v>
      </c>
      <c r="U357" s="88" t="s">
        <v>6294</v>
      </c>
      <c r="V357" s="88">
        <v>10.0</v>
      </c>
      <c r="W357" s="88">
        <v>3.5</v>
      </c>
      <c r="X357" s="88">
        <v>3.5</v>
      </c>
      <c r="Z357" s="88" t="s">
        <v>4979</v>
      </c>
      <c r="AA357" s="88" t="s">
        <v>3445</v>
      </c>
    </row>
    <row r="358">
      <c r="A358" s="88">
        <v>4.4552189E7</v>
      </c>
      <c r="B358" s="88" t="s">
        <v>5192</v>
      </c>
      <c r="C358" s="88" t="s">
        <v>5192</v>
      </c>
      <c r="D358" s="88" t="s">
        <v>5196</v>
      </c>
      <c r="E358" s="88">
        <v>3.30499E9</v>
      </c>
      <c r="F358" s="88" t="s">
        <v>3607</v>
      </c>
      <c r="H358" s="88" t="s">
        <v>4322</v>
      </c>
      <c r="L358" s="88" t="s">
        <v>2777</v>
      </c>
      <c r="M358" s="88" t="s">
        <v>4324</v>
      </c>
      <c r="N358" s="88" t="s">
        <v>5738</v>
      </c>
      <c r="Q358" s="88" t="s">
        <v>5197</v>
      </c>
      <c r="U358" s="88" t="s">
        <v>6335</v>
      </c>
      <c r="V358" s="88">
        <v>13.5</v>
      </c>
      <c r="W358" s="88">
        <v>6.0</v>
      </c>
      <c r="X358" s="88">
        <v>4.0</v>
      </c>
      <c r="Z358" s="88" t="s">
        <v>4979</v>
      </c>
      <c r="AA358" s="88" t="s">
        <v>594</v>
      </c>
    </row>
    <row r="359">
      <c r="A359" s="88">
        <v>1.97567632E8</v>
      </c>
      <c r="B359" s="88" t="s">
        <v>4990</v>
      </c>
      <c r="C359" s="88" t="s">
        <v>4990</v>
      </c>
      <c r="D359" s="88">
        <v>4.670142965268E12</v>
      </c>
      <c r="E359" s="88">
        <v>3.30499E9</v>
      </c>
      <c r="F359" s="88" t="s">
        <v>4999</v>
      </c>
      <c r="H359" s="88" t="s">
        <v>4322</v>
      </c>
      <c r="L359" s="88" t="s">
        <v>2777</v>
      </c>
      <c r="M359" s="88" t="s">
        <v>4324</v>
      </c>
      <c r="N359" s="88" t="s">
        <v>6117</v>
      </c>
      <c r="U359" s="88" t="s">
        <v>6336</v>
      </c>
      <c r="V359" s="88">
        <v>1.0</v>
      </c>
      <c r="W359" s="88">
        <v>14.0</v>
      </c>
      <c r="X359" s="88">
        <v>6.0</v>
      </c>
    </row>
    <row r="360">
      <c r="A360" s="88">
        <v>1.76862987E8</v>
      </c>
      <c r="B360" s="88" t="s">
        <v>4313</v>
      </c>
      <c r="C360" s="88" t="s">
        <v>4313</v>
      </c>
      <c r="U360" s="88" t="s">
        <v>6317</v>
      </c>
      <c r="V360" s="88">
        <v>15.0</v>
      </c>
      <c r="W360" s="88">
        <v>22.0</v>
      </c>
      <c r="X360" s="88">
        <v>6.0</v>
      </c>
      <c r="Z360" s="88" t="s">
        <v>4979</v>
      </c>
      <c r="AA360" s="88" t="s">
        <v>594</v>
      </c>
    </row>
    <row r="361">
      <c r="A361" s="88">
        <v>1.448549E8</v>
      </c>
      <c r="B361" s="88" t="s">
        <v>4830</v>
      </c>
      <c r="C361" s="88" t="s">
        <v>4830</v>
      </c>
      <c r="D361" s="88">
        <v>4.627144543031E12</v>
      </c>
      <c r="E361" s="88">
        <v>3.30499E9</v>
      </c>
      <c r="F361" s="88" t="s">
        <v>4066</v>
      </c>
      <c r="H361" s="88" t="s">
        <v>4803</v>
      </c>
      <c r="L361" s="88" t="s">
        <v>965</v>
      </c>
      <c r="M361" s="88" t="s">
        <v>3503</v>
      </c>
      <c r="N361" s="88" t="s">
        <v>5738</v>
      </c>
      <c r="Q361" s="88" t="s">
        <v>4835</v>
      </c>
      <c r="T361" s="88" t="s">
        <v>3449</v>
      </c>
      <c r="U361" s="88" t="s">
        <v>6322</v>
      </c>
      <c r="V361" s="88">
        <v>14.0</v>
      </c>
      <c r="W361" s="88">
        <v>6.0</v>
      </c>
      <c r="X361" s="88">
        <v>4.0</v>
      </c>
      <c r="Z361" s="88" t="s">
        <v>4979</v>
      </c>
      <c r="AA361" s="88" t="s">
        <v>594</v>
      </c>
    </row>
    <row r="362">
      <c r="A362" s="88">
        <v>2.02337451E8</v>
      </c>
      <c r="B362" s="88" t="s">
        <v>4351</v>
      </c>
      <c r="C362" s="88" t="s">
        <v>4351</v>
      </c>
      <c r="D362" s="88" t="s">
        <v>4361</v>
      </c>
      <c r="E362" s="88">
        <v>3.30499E9</v>
      </c>
      <c r="F362" s="88" t="s">
        <v>4066</v>
      </c>
      <c r="H362" s="88" t="s">
        <v>4362</v>
      </c>
      <c r="L362" s="88" t="s">
        <v>965</v>
      </c>
      <c r="M362" s="88" t="s">
        <v>3503</v>
      </c>
      <c r="N362" s="88" t="s">
        <v>6117</v>
      </c>
      <c r="U362" s="88" t="s">
        <v>6337</v>
      </c>
      <c r="V362" s="88">
        <v>4.5</v>
      </c>
      <c r="W362" s="88">
        <v>4.5</v>
      </c>
      <c r="X362" s="88">
        <v>13.5</v>
      </c>
    </row>
    <row r="363">
      <c r="A363" s="88">
        <v>1.76859687E8</v>
      </c>
      <c r="B363" s="88" t="s">
        <v>4794</v>
      </c>
      <c r="C363" s="88" t="s">
        <v>4794</v>
      </c>
      <c r="U363" s="88" t="s">
        <v>6317</v>
      </c>
      <c r="V363" s="88">
        <v>15.0</v>
      </c>
      <c r="W363" s="88">
        <v>22.0</v>
      </c>
      <c r="X363" s="88">
        <v>6.0</v>
      </c>
      <c r="Z363" s="88" t="s">
        <v>4979</v>
      </c>
      <c r="AA363" s="88" t="s">
        <v>594</v>
      </c>
    </row>
    <row r="364">
      <c r="A364" s="88">
        <v>2.34147545E8</v>
      </c>
      <c r="B364" s="88" t="s">
        <v>3435</v>
      </c>
      <c r="C364" s="88" t="s">
        <v>3435</v>
      </c>
      <c r="D364" s="88">
        <v>4.693006790233E12</v>
      </c>
      <c r="E364" s="88">
        <v>3.30499E9</v>
      </c>
      <c r="F364" s="88" t="s">
        <v>3340</v>
      </c>
      <c r="H364" s="88" t="s">
        <v>3446</v>
      </c>
      <c r="L364" s="88" t="s">
        <v>2679</v>
      </c>
      <c r="M364" s="88" t="s">
        <v>3344</v>
      </c>
      <c r="N364" s="88" t="s">
        <v>5738</v>
      </c>
      <c r="P364" s="88" t="s">
        <v>355</v>
      </c>
      <c r="Q364" s="88" t="s">
        <v>3448</v>
      </c>
      <c r="T364" s="88" t="s">
        <v>3449</v>
      </c>
      <c r="U364" s="88" t="s">
        <v>6338</v>
      </c>
      <c r="V364" s="88">
        <v>4.5</v>
      </c>
      <c r="W364" s="88">
        <v>12.0</v>
      </c>
      <c r="X364" s="88">
        <v>4.5</v>
      </c>
      <c r="Z364" s="88" t="s">
        <v>6339</v>
      </c>
      <c r="AA364" s="88" t="s">
        <v>594</v>
      </c>
    </row>
    <row r="365">
      <c r="A365" s="88">
        <v>5.25497365E8</v>
      </c>
      <c r="B365" s="88" t="s">
        <v>4494</v>
      </c>
      <c r="C365" s="88" t="s">
        <v>4494</v>
      </c>
      <c r="D365" s="88">
        <v>4.645563784842E12</v>
      </c>
      <c r="E365" s="88">
        <v>3.30499E9</v>
      </c>
      <c r="F365" s="88" t="s">
        <v>3340</v>
      </c>
      <c r="H365" s="88" t="s">
        <v>3446</v>
      </c>
      <c r="L365" s="88" t="s">
        <v>2679</v>
      </c>
      <c r="M365" s="88" t="s">
        <v>3344</v>
      </c>
      <c r="N365" s="88" t="s">
        <v>5738</v>
      </c>
      <c r="P365" s="88" t="s">
        <v>355</v>
      </c>
      <c r="Q365" s="88" t="s">
        <v>3448</v>
      </c>
      <c r="T365" s="88" t="s">
        <v>3449</v>
      </c>
      <c r="U365" s="88" t="s">
        <v>6313</v>
      </c>
      <c r="V365" s="88">
        <v>13.5</v>
      </c>
      <c r="W365" s="88">
        <v>8.5</v>
      </c>
      <c r="X365" s="88">
        <v>5.5</v>
      </c>
      <c r="Z365" s="88" t="s">
        <v>6339</v>
      </c>
      <c r="AA365" s="88" t="s">
        <v>594</v>
      </c>
    </row>
    <row r="366">
      <c r="A366" s="88">
        <v>3.4283989E7</v>
      </c>
      <c r="B366" s="88" t="s">
        <v>5066</v>
      </c>
      <c r="C366" s="88" t="s">
        <v>5066</v>
      </c>
      <c r="D366" s="88">
        <v>4.631157255768E12</v>
      </c>
      <c r="F366" s="88" t="s">
        <v>5075</v>
      </c>
      <c r="H366" s="88" t="s">
        <v>5076</v>
      </c>
      <c r="L366" s="88" t="s">
        <v>2777</v>
      </c>
      <c r="M366" s="88" t="s">
        <v>5078</v>
      </c>
      <c r="N366" s="88" t="s">
        <v>6300</v>
      </c>
      <c r="P366" s="88" t="s">
        <v>3960</v>
      </c>
      <c r="Q366" s="88" t="s">
        <v>5079</v>
      </c>
      <c r="T366" s="88" t="s">
        <v>5080</v>
      </c>
      <c r="U366" s="88" t="s">
        <v>6340</v>
      </c>
      <c r="V366" s="88">
        <v>10.5</v>
      </c>
      <c r="W366" s="88">
        <v>1.0</v>
      </c>
      <c r="X366" s="88">
        <v>6.5</v>
      </c>
      <c r="Z366" s="88" t="s">
        <v>5813</v>
      </c>
      <c r="AA366" s="88" t="s">
        <v>528</v>
      </c>
    </row>
    <row r="367">
      <c r="A367" s="88">
        <v>1.11902604E8</v>
      </c>
      <c r="B367" s="88" t="s">
        <v>5055</v>
      </c>
      <c r="C367" s="88" t="s">
        <v>5055</v>
      </c>
      <c r="D367" s="88">
        <v>4.631144115839E12</v>
      </c>
      <c r="F367" s="88" t="s">
        <v>4637</v>
      </c>
      <c r="H367" s="88" t="s">
        <v>4638</v>
      </c>
      <c r="L367" s="88" t="s">
        <v>4640</v>
      </c>
      <c r="M367" s="88" t="s">
        <v>4641</v>
      </c>
      <c r="N367" s="88" t="s">
        <v>6341</v>
      </c>
      <c r="Q367" s="88" t="s">
        <v>5065</v>
      </c>
      <c r="T367" s="88" t="s">
        <v>2700</v>
      </c>
      <c r="U367" s="88" t="s">
        <v>6342</v>
      </c>
      <c r="V367" s="88">
        <v>10.0</v>
      </c>
      <c r="W367" s="88">
        <v>4.0</v>
      </c>
      <c r="X367" s="88">
        <v>3.5</v>
      </c>
      <c r="Z367" s="88" t="s">
        <v>5986</v>
      </c>
      <c r="AA367" s="88" t="s">
        <v>528</v>
      </c>
    </row>
    <row r="368">
      <c r="A368" s="88">
        <v>1.72160798E8</v>
      </c>
      <c r="B368" s="88" t="s">
        <v>4630</v>
      </c>
      <c r="C368" s="88" t="s">
        <v>4630</v>
      </c>
      <c r="D368" s="88">
        <v>2.038301341797E12</v>
      </c>
      <c r="U368" s="88" t="s">
        <v>6317</v>
      </c>
      <c r="V368" s="88">
        <v>15.0</v>
      </c>
      <c r="W368" s="88">
        <v>22.0</v>
      </c>
      <c r="X368" s="88">
        <v>6.0</v>
      </c>
      <c r="Z368" s="88" t="s">
        <v>5986</v>
      </c>
      <c r="AA368" s="88" t="s">
        <v>528</v>
      </c>
    </row>
    <row r="369">
      <c r="A369" s="88">
        <v>1.895363E7</v>
      </c>
      <c r="B369" s="88" t="s">
        <v>5158</v>
      </c>
      <c r="C369" s="88" t="s">
        <v>5158</v>
      </c>
      <c r="D369" s="88">
        <v>4.631153669927E12</v>
      </c>
      <c r="E369" s="88">
        <v>3.30499E9</v>
      </c>
      <c r="F369" s="88" t="s">
        <v>4309</v>
      </c>
      <c r="H369" s="88" t="s">
        <v>4827</v>
      </c>
      <c r="L369" s="88" t="s">
        <v>2777</v>
      </c>
      <c r="M369" s="88" t="s">
        <v>5168</v>
      </c>
      <c r="N369" s="88" t="s">
        <v>6215</v>
      </c>
      <c r="P369" s="88" t="s">
        <v>3960</v>
      </c>
      <c r="Q369" s="88" t="s">
        <v>5169</v>
      </c>
      <c r="T369" s="88" t="s">
        <v>3330</v>
      </c>
      <c r="U369" s="88" t="s">
        <v>6343</v>
      </c>
      <c r="V369" s="88">
        <v>9.6</v>
      </c>
      <c r="W369" s="88">
        <v>3.1</v>
      </c>
      <c r="X369" s="88">
        <v>3.1</v>
      </c>
      <c r="Z369" s="88" t="s">
        <v>4979</v>
      </c>
      <c r="AA369" s="88" t="s">
        <v>594</v>
      </c>
    </row>
    <row r="370">
      <c r="A370" s="88">
        <v>3.7671984E7</v>
      </c>
      <c r="B370" s="88" t="s">
        <v>4818</v>
      </c>
      <c r="C370" s="88" t="s">
        <v>4818</v>
      </c>
      <c r="D370" s="88">
        <v>4.631153669934E12</v>
      </c>
      <c r="E370" s="88">
        <v>3.30499E9</v>
      </c>
      <c r="F370" s="88" t="s">
        <v>4309</v>
      </c>
      <c r="H370" s="88" t="s">
        <v>4827</v>
      </c>
      <c r="L370" s="88" t="s">
        <v>2777</v>
      </c>
      <c r="M370" s="88" t="s">
        <v>2778</v>
      </c>
      <c r="N370" s="88" t="s">
        <v>6215</v>
      </c>
      <c r="Q370" s="88" t="s">
        <v>4829</v>
      </c>
      <c r="T370" s="88" t="s">
        <v>3330</v>
      </c>
      <c r="U370" s="88" t="s">
        <v>6344</v>
      </c>
      <c r="V370" s="88">
        <v>9.5</v>
      </c>
      <c r="W370" s="88">
        <v>2.8</v>
      </c>
      <c r="X370" s="88">
        <v>2.8</v>
      </c>
      <c r="Z370" s="88" t="s">
        <v>4979</v>
      </c>
      <c r="AA370" s="88" t="s">
        <v>594</v>
      </c>
    </row>
    <row r="371">
      <c r="A371" s="88">
        <v>4.1327376E7</v>
      </c>
      <c r="B371" s="88" t="s">
        <v>5284</v>
      </c>
      <c r="C371" s="88" t="s">
        <v>5284</v>
      </c>
      <c r="D371" s="88">
        <v>4.63113690508E12</v>
      </c>
      <c r="E371" s="88">
        <v>3.30499E9</v>
      </c>
      <c r="F371" s="88" t="s">
        <v>5291</v>
      </c>
      <c r="H371" s="88" t="s">
        <v>5292</v>
      </c>
      <c r="L371" s="88" t="s">
        <v>2777</v>
      </c>
      <c r="M371" s="88" t="s">
        <v>5294</v>
      </c>
      <c r="N371" s="88" t="s">
        <v>6023</v>
      </c>
      <c r="P371" s="88" t="s">
        <v>3960</v>
      </c>
      <c r="Q371" s="88" t="s">
        <v>5295</v>
      </c>
      <c r="T371" s="88" t="s">
        <v>3330</v>
      </c>
      <c r="U371" s="88" t="s">
        <v>6345</v>
      </c>
      <c r="V371" s="88">
        <v>9.5</v>
      </c>
      <c r="W371" s="88">
        <v>4.0</v>
      </c>
      <c r="X371" s="88">
        <v>3.0</v>
      </c>
      <c r="Z371" s="88" t="s">
        <v>4979</v>
      </c>
      <c r="AA371" s="88" t="s">
        <v>594</v>
      </c>
    </row>
    <row r="372">
      <c r="A372" s="88">
        <v>7.5182069E7</v>
      </c>
      <c r="B372" s="88" t="s">
        <v>4151</v>
      </c>
      <c r="C372" s="88" t="s">
        <v>4151</v>
      </c>
      <c r="D372" s="88" t="s">
        <v>4160</v>
      </c>
      <c r="E372" s="88">
        <v>3.30499E9</v>
      </c>
      <c r="F372" s="88" t="s">
        <v>3813</v>
      </c>
      <c r="H372" s="88" t="s">
        <v>3814</v>
      </c>
      <c r="L372" s="88" t="s">
        <v>3816</v>
      </c>
      <c r="M372" s="88" t="s">
        <v>3817</v>
      </c>
      <c r="N372" s="88" t="s">
        <v>6215</v>
      </c>
      <c r="Q372" s="88" t="s">
        <v>3818</v>
      </c>
      <c r="T372" s="88" t="s">
        <v>3330</v>
      </c>
      <c r="U372" s="88" t="s">
        <v>6346</v>
      </c>
      <c r="V372" s="88">
        <v>10.0</v>
      </c>
      <c r="W372" s="88">
        <v>3.0</v>
      </c>
      <c r="X372" s="88">
        <v>3.0</v>
      </c>
      <c r="Z372" s="88" t="s">
        <v>6347</v>
      </c>
      <c r="AA372" s="88" t="s">
        <v>594</v>
      </c>
    </row>
    <row r="373">
      <c r="A373" s="88">
        <v>1.97568699E8</v>
      </c>
      <c r="B373" s="88" t="s">
        <v>3804</v>
      </c>
      <c r="C373" s="88" t="s">
        <v>3804</v>
      </c>
      <c r="D373" s="88">
        <v>4.670142965244E12</v>
      </c>
      <c r="E373" s="88">
        <v>3.30499E9</v>
      </c>
      <c r="F373" s="88" t="s">
        <v>3813</v>
      </c>
      <c r="H373" s="88" t="s">
        <v>3814</v>
      </c>
      <c r="L373" s="88" t="s">
        <v>3816</v>
      </c>
      <c r="M373" s="88" t="s">
        <v>3817</v>
      </c>
      <c r="N373" s="88" t="s">
        <v>6067</v>
      </c>
      <c r="Q373" s="88" t="s">
        <v>3818</v>
      </c>
      <c r="T373" s="88" t="s">
        <v>3330</v>
      </c>
      <c r="U373" s="88" t="s">
        <v>6348</v>
      </c>
      <c r="V373" s="88">
        <v>3.0</v>
      </c>
      <c r="W373" s="88">
        <v>3.0</v>
      </c>
      <c r="X373" s="88">
        <v>15.0</v>
      </c>
    </row>
    <row r="374">
      <c r="A374" s="88">
        <v>1.51393048E8</v>
      </c>
      <c r="B374" s="88" t="s">
        <v>3491</v>
      </c>
      <c r="C374" s="88" t="s">
        <v>3491</v>
      </c>
      <c r="D374" s="88">
        <v>4.627144543055E12</v>
      </c>
      <c r="E374" s="88">
        <v>3.30499E9</v>
      </c>
      <c r="F374" s="88" t="s">
        <v>3500</v>
      </c>
      <c r="H374" s="88" t="s">
        <v>3501</v>
      </c>
      <c r="L374" s="88" t="s">
        <v>965</v>
      </c>
      <c r="M374" s="88" t="s">
        <v>3503</v>
      </c>
      <c r="N374" s="88" t="s">
        <v>6349</v>
      </c>
      <c r="Q374" s="88" t="s">
        <v>3505</v>
      </c>
      <c r="T374" s="88" t="s">
        <v>3346</v>
      </c>
      <c r="U374" s="88" t="s">
        <v>6346</v>
      </c>
      <c r="V374" s="88">
        <v>10.0</v>
      </c>
      <c r="W374" s="88">
        <v>3.0</v>
      </c>
      <c r="X374" s="88">
        <v>3.0</v>
      </c>
      <c r="Z374" s="88" t="s">
        <v>6347</v>
      </c>
      <c r="AA374" s="88" t="s">
        <v>594</v>
      </c>
    </row>
    <row r="375">
      <c r="A375" s="88">
        <v>2.60515862E8</v>
      </c>
      <c r="B375" s="88" t="s">
        <v>2858</v>
      </c>
      <c r="C375" s="88" t="s">
        <v>2858</v>
      </c>
      <c r="D375" s="88">
        <v>4.610030633572E12</v>
      </c>
      <c r="E375" s="88">
        <v>3.30499E9</v>
      </c>
      <c r="F375" s="88" t="s">
        <v>2868</v>
      </c>
      <c r="H375" s="88" t="s">
        <v>2869</v>
      </c>
      <c r="L375" s="88" t="s">
        <v>2697</v>
      </c>
      <c r="M375" s="88" t="s">
        <v>2871</v>
      </c>
      <c r="N375" s="88" t="s">
        <v>6215</v>
      </c>
      <c r="Q375" s="88" t="s">
        <v>2872</v>
      </c>
      <c r="U375" s="88" t="s">
        <v>6142</v>
      </c>
      <c r="V375" s="88">
        <v>3.0</v>
      </c>
      <c r="W375" s="88">
        <v>3.0</v>
      </c>
      <c r="X375" s="88">
        <v>11.0</v>
      </c>
    </row>
    <row r="376">
      <c r="A376" s="88">
        <v>5.25495859E8</v>
      </c>
      <c r="B376" s="88" t="s">
        <v>4235</v>
      </c>
      <c r="C376" s="88" t="s">
        <v>4235</v>
      </c>
      <c r="D376" s="88">
        <v>4.687489995674E12</v>
      </c>
      <c r="E376" s="88">
        <v>3.30499E9</v>
      </c>
      <c r="F376" s="88" t="s">
        <v>2868</v>
      </c>
      <c r="H376" s="88" t="s">
        <v>2869</v>
      </c>
      <c r="L376" s="88" t="s">
        <v>2697</v>
      </c>
      <c r="M376" s="88" t="s">
        <v>2871</v>
      </c>
      <c r="N376" s="88" t="s">
        <v>6215</v>
      </c>
      <c r="Q376" s="88" t="s">
        <v>2872</v>
      </c>
      <c r="U376" s="88" t="s">
        <v>6350</v>
      </c>
      <c r="V376" s="88">
        <v>13.0</v>
      </c>
      <c r="W376" s="88">
        <v>9.0</v>
      </c>
      <c r="X376" s="88">
        <v>4.0</v>
      </c>
    </row>
    <row r="377">
      <c r="A377" s="88">
        <v>2.34150851E8</v>
      </c>
      <c r="B377" s="88" t="s">
        <v>3331</v>
      </c>
      <c r="C377" s="88" t="s">
        <v>3331</v>
      </c>
      <c r="D377" s="88">
        <v>4.690766790237E12</v>
      </c>
      <c r="E377" s="88">
        <v>3.30499E9</v>
      </c>
      <c r="F377" s="88" t="s">
        <v>3340</v>
      </c>
      <c r="H377" s="88" t="s">
        <v>3341</v>
      </c>
      <c r="L377" s="88" t="s">
        <v>3343</v>
      </c>
      <c r="N377" s="88" t="s">
        <v>5738</v>
      </c>
      <c r="Q377" s="88" t="s">
        <v>3345</v>
      </c>
      <c r="T377" s="88" t="s">
        <v>3346</v>
      </c>
      <c r="U377" s="88" t="s">
        <v>6338</v>
      </c>
      <c r="V377" s="88">
        <v>4.5</v>
      </c>
      <c r="W377" s="88">
        <v>12.0</v>
      </c>
      <c r="X377" s="88">
        <v>4.5</v>
      </c>
      <c r="Z377" s="88" t="s">
        <v>6351</v>
      </c>
      <c r="AA377" s="88" t="s">
        <v>594</v>
      </c>
    </row>
    <row r="378">
      <c r="A378" s="88">
        <v>1.8836119E7</v>
      </c>
      <c r="B378" s="88" t="s">
        <v>4863</v>
      </c>
      <c r="C378" s="88" t="s">
        <v>4863</v>
      </c>
      <c r="D378" s="88">
        <v>4.63115359339E12</v>
      </c>
      <c r="F378" s="88" t="s">
        <v>3459</v>
      </c>
      <c r="H378" s="88" t="s">
        <v>4872</v>
      </c>
      <c r="L378" s="88" t="s">
        <v>2777</v>
      </c>
      <c r="M378" s="88" t="s">
        <v>4173</v>
      </c>
      <c r="N378" s="88" t="s">
        <v>6352</v>
      </c>
      <c r="P378" s="88" t="s">
        <v>3960</v>
      </c>
      <c r="Q378" s="88" t="s">
        <v>4874</v>
      </c>
      <c r="T378" s="88" t="s">
        <v>3330</v>
      </c>
      <c r="U378" s="88" t="s">
        <v>6353</v>
      </c>
      <c r="V378" s="88">
        <v>9.0</v>
      </c>
      <c r="W378" s="88">
        <v>5.5</v>
      </c>
      <c r="X378" s="88">
        <v>2.8</v>
      </c>
      <c r="Z378" s="88" t="s">
        <v>5986</v>
      </c>
      <c r="AA378" s="88" t="s">
        <v>5830</v>
      </c>
    </row>
    <row r="379">
      <c r="A379" s="88">
        <v>3.5422984E7</v>
      </c>
      <c r="B379" s="88" t="s">
        <v>5044</v>
      </c>
      <c r="C379" s="88" t="s">
        <v>5044</v>
      </c>
      <c r="D379" s="88">
        <v>4.631136905127E12</v>
      </c>
      <c r="E379" s="88">
        <v>2.103909009E9</v>
      </c>
      <c r="F379" s="88" t="s">
        <v>4575</v>
      </c>
      <c r="H379" s="88" t="s">
        <v>5051</v>
      </c>
      <c r="L379" s="88" t="s">
        <v>2777</v>
      </c>
      <c r="M379" s="88" t="s">
        <v>5053</v>
      </c>
      <c r="N379" s="88" t="s">
        <v>6023</v>
      </c>
      <c r="P379" s="88" t="s">
        <v>3960</v>
      </c>
      <c r="Q379" s="88" t="s">
        <v>5054</v>
      </c>
      <c r="U379" s="88" t="s">
        <v>5739</v>
      </c>
      <c r="V379" s="88">
        <v>10.0</v>
      </c>
      <c r="W379" s="88">
        <v>4.0</v>
      </c>
      <c r="X379" s="88">
        <v>3.0</v>
      </c>
      <c r="Z379" s="88" t="s">
        <v>5986</v>
      </c>
      <c r="AA379" s="88" t="s">
        <v>5830</v>
      </c>
    </row>
    <row r="380">
      <c r="A380" s="88">
        <v>1.00410811E8</v>
      </c>
      <c r="B380" s="88" t="s">
        <v>3886</v>
      </c>
      <c r="C380" s="88" t="s">
        <v>3886</v>
      </c>
      <c r="D380" s="88">
        <v>4.631144673087E12</v>
      </c>
      <c r="E380" s="88">
        <v>2.103909009E9</v>
      </c>
      <c r="F380" s="88" t="s">
        <v>3896</v>
      </c>
      <c r="H380" s="88" t="s">
        <v>3897</v>
      </c>
      <c r="L380" s="88" t="s">
        <v>3708</v>
      </c>
      <c r="M380" s="88" t="s">
        <v>3899</v>
      </c>
      <c r="N380" s="88" t="s">
        <v>6023</v>
      </c>
      <c r="Q380" s="88" t="s">
        <v>3900</v>
      </c>
      <c r="T380" s="88" t="s">
        <v>3762</v>
      </c>
      <c r="U380" s="88" t="s">
        <v>6354</v>
      </c>
      <c r="V380" s="88">
        <v>8.0</v>
      </c>
      <c r="W380" s="88">
        <v>3.0</v>
      </c>
      <c r="X380" s="88">
        <v>3.5</v>
      </c>
      <c r="Z380" s="88" t="s">
        <v>5986</v>
      </c>
      <c r="AA380" s="88" t="s">
        <v>5830</v>
      </c>
    </row>
    <row r="381">
      <c r="A381" s="88">
        <v>5.2533687E8</v>
      </c>
      <c r="B381" s="88" t="s">
        <v>5397</v>
      </c>
      <c r="C381" s="88" t="s">
        <v>5397</v>
      </c>
      <c r="D381" s="88">
        <v>4.683857637894E12</v>
      </c>
      <c r="V381" s="88" t="e">
        <v>#VALUE!</v>
      </c>
    </row>
    <row r="382">
      <c r="A382" s="88">
        <v>2.23410114E8</v>
      </c>
      <c r="B382" s="88" t="s">
        <v>4022</v>
      </c>
      <c r="C382" s="88" t="s">
        <v>4022</v>
      </c>
      <c r="D382" s="88">
        <v>4.61003063265E12</v>
      </c>
      <c r="E382" s="88">
        <v>2.103909009E9</v>
      </c>
      <c r="F382" s="88" t="s">
        <v>4031</v>
      </c>
      <c r="H382" s="88" t="s">
        <v>4032</v>
      </c>
      <c r="L382" s="88" t="s">
        <v>2697</v>
      </c>
      <c r="M382" s="88" t="s">
        <v>4034</v>
      </c>
      <c r="N382" s="88" t="s">
        <v>6302</v>
      </c>
      <c r="P382" s="88" t="s">
        <v>355</v>
      </c>
      <c r="Q382" s="88" t="s">
        <v>4035</v>
      </c>
      <c r="T382" s="88" t="s">
        <v>2715</v>
      </c>
      <c r="U382" s="88" t="s">
        <v>6355</v>
      </c>
      <c r="V382" s="88">
        <v>7.0</v>
      </c>
      <c r="W382" s="88">
        <v>8.0</v>
      </c>
      <c r="X382" s="88">
        <v>1.0</v>
      </c>
    </row>
    <row r="383">
      <c r="A383" s="88">
        <v>1.7905602E7</v>
      </c>
      <c r="B383" s="62" t="s">
        <v>5456</v>
      </c>
      <c r="C383" s="88" t="s">
        <v>2907</v>
      </c>
      <c r="D383" s="88">
        <v>4.631146328114E12</v>
      </c>
      <c r="E383" s="88">
        <v>2.103909009E9</v>
      </c>
      <c r="F383" s="88" t="s">
        <v>3459</v>
      </c>
      <c r="H383" s="88" t="s">
        <v>2916</v>
      </c>
      <c r="L383" s="88" t="s">
        <v>2777</v>
      </c>
      <c r="M383" s="88" t="s">
        <v>2778</v>
      </c>
      <c r="N383" s="88" t="s">
        <v>6352</v>
      </c>
      <c r="P383" s="88" t="s">
        <v>3960</v>
      </c>
      <c r="Q383" s="88" t="s">
        <v>4587</v>
      </c>
      <c r="U383" s="88" t="s">
        <v>6356</v>
      </c>
      <c r="V383" s="88">
        <v>7.5</v>
      </c>
      <c r="W383" s="88">
        <v>5.0</v>
      </c>
      <c r="X383" s="88">
        <v>6.0</v>
      </c>
      <c r="Z383" s="88" t="s">
        <v>5459</v>
      </c>
      <c r="AA383" s="88" t="s">
        <v>5830</v>
      </c>
    </row>
    <row r="384">
      <c r="A384" s="88">
        <v>5.25496072E8</v>
      </c>
      <c r="B384" s="88" t="s">
        <v>4580</v>
      </c>
      <c r="C384" s="88" t="s">
        <v>4580</v>
      </c>
      <c r="D384" s="88">
        <v>4.632456164782E12</v>
      </c>
      <c r="E384" s="88">
        <v>2.103909009E9</v>
      </c>
      <c r="F384" s="88" t="s">
        <v>3459</v>
      </c>
      <c r="H384" s="88" t="s">
        <v>2916</v>
      </c>
      <c r="L384" s="88" t="s">
        <v>2777</v>
      </c>
      <c r="M384" s="88" t="s">
        <v>2778</v>
      </c>
      <c r="N384" s="88" t="s">
        <v>6352</v>
      </c>
      <c r="P384" s="88" t="s">
        <v>3960</v>
      </c>
      <c r="Q384" s="88" t="s">
        <v>4587</v>
      </c>
      <c r="U384" s="88" t="s">
        <v>6313</v>
      </c>
      <c r="V384" s="88">
        <v>13.5</v>
      </c>
      <c r="W384" s="88">
        <v>8.5</v>
      </c>
      <c r="X384" s="88">
        <v>5.5</v>
      </c>
      <c r="Z384" s="88" t="s">
        <v>5459</v>
      </c>
      <c r="AA384" s="88" t="s">
        <v>5830</v>
      </c>
    </row>
    <row r="385">
      <c r="A385" s="88">
        <v>1.04628658E8</v>
      </c>
      <c r="B385" s="88" t="s">
        <v>3450</v>
      </c>
      <c r="C385" s="88" t="s">
        <v>3450</v>
      </c>
      <c r="D385" s="88">
        <v>4.631144673063E12</v>
      </c>
      <c r="F385" s="88" t="s">
        <v>3459</v>
      </c>
      <c r="H385" s="88" t="s">
        <v>3460</v>
      </c>
      <c r="L385" s="88" t="s">
        <v>3462</v>
      </c>
      <c r="M385" s="88" t="s">
        <v>3463</v>
      </c>
      <c r="N385" s="88" t="s">
        <v>6357</v>
      </c>
      <c r="Q385" s="88" t="s">
        <v>3465</v>
      </c>
      <c r="T385" s="88" t="s">
        <v>3330</v>
      </c>
      <c r="U385" s="88" t="s">
        <v>6358</v>
      </c>
      <c r="V385" s="88">
        <v>6.5</v>
      </c>
      <c r="W385" s="88">
        <v>6.5</v>
      </c>
      <c r="X385" s="88">
        <v>11.0</v>
      </c>
      <c r="Z385" s="88" t="s">
        <v>5986</v>
      </c>
      <c r="AA385" s="88" t="s">
        <v>3458</v>
      </c>
    </row>
    <row r="386">
      <c r="A386" s="88">
        <v>1.76858863E8</v>
      </c>
      <c r="B386" s="88" t="s">
        <v>3798</v>
      </c>
      <c r="C386" s="88" t="s">
        <v>3798</v>
      </c>
      <c r="F386" s="88" t="s">
        <v>3459</v>
      </c>
      <c r="U386" s="88" t="s">
        <v>6317</v>
      </c>
      <c r="V386" s="88">
        <v>15.0</v>
      </c>
      <c r="W386" s="88">
        <v>22.0</v>
      </c>
      <c r="X386" s="88">
        <v>6.0</v>
      </c>
      <c r="Z386" s="88" t="s">
        <v>5986</v>
      </c>
      <c r="AA386" s="88" t="s">
        <v>3458</v>
      </c>
    </row>
    <row r="387">
      <c r="A387" s="88">
        <v>1.7898843E7</v>
      </c>
      <c r="B387" s="62" t="s">
        <v>5460</v>
      </c>
      <c r="C387" s="88" t="s">
        <v>4930</v>
      </c>
      <c r="D387" s="88" t="s">
        <v>5464</v>
      </c>
      <c r="E387" s="88">
        <v>2.103909009E9</v>
      </c>
      <c r="F387" s="88" t="s">
        <v>4939</v>
      </c>
      <c r="H387" s="88" t="s">
        <v>4940</v>
      </c>
      <c r="L387" s="88" t="s">
        <v>2777</v>
      </c>
      <c r="M387" s="88" t="s">
        <v>4942</v>
      </c>
      <c r="N387" s="88" t="s">
        <v>6359</v>
      </c>
      <c r="P387" s="88" t="s">
        <v>3960</v>
      </c>
      <c r="Q387" s="88" t="s">
        <v>5465</v>
      </c>
      <c r="T387" s="88" t="s">
        <v>5466</v>
      </c>
      <c r="U387" s="88" t="s">
        <v>6360</v>
      </c>
      <c r="V387" s="88">
        <v>12.0</v>
      </c>
      <c r="W387" s="88">
        <v>8.0</v>
      </c>
      <c r="X387" s="88">
        <v>1.5</v>
      </c>
      <c r="Z387" s="88" t="s">
        <v>5463</v>
      </c>
      <c r="AA387" s="88" t="s">
        <v>5830</v>
      </c>
    </row>
    <row r="388">
      <c r="A388" s="88">
        <v>4.13496E7</v>
      </c>
      <c r="B388" s="88" t="s">
        <v>5031</v>
      </c>
      <c r="C388" s="88" t="s">
        <v>5031</v>
      </c>
      <c r="D388" s="88">
        <v>4.63113799355E12</v>
      </c>
      <c r="F388" s="88" t="s">
        <v>5039</v>
      </c>
      <c r="H388" s="88" t="s">
        <v>5040</v>
      </c>
      <c r="L388" s="88" t="s">
        <v>3724</v>
      </c>
      <c r="M388" s="88" t="s">
        <v>5042</v>
      </c>
      <c r="N388" s="88" t="s">
        <v>6023</v>
      </c>
      <c r="P388" s="88" t="s">
        <v>3960</v>
      </c>
      <c r="Q388" s="88" t="s">
        <v>5043</v>
      </c>
      <c r="U388" s="88" t="s">
        <v>6361</v>
      </c>
      <c r="V388" s="88">
        <v>7.8</v>
      </c>
      <c r="W388" s="88">
        <v>3.1</v>
      </c>
      <c r="X388" s="88">
        <v>3.1</v>
      </c>
      <c r="Z388" s="88" t="s">
        <v>5463</v>
      </c>
      <c r="AA388" s="88" t="s">
        <v>5830</v>
      </c>
    </row>
    <row r="389">
      <c r="A389" s="88">
        <v>2.24302599E8</v>
      </c>
      <c r="B389" s="88" t="s">
        <v>3712</v>
      </c>
      <c r="C389" s="88" t="s">
        <v>3712</v>
      </c>
      <c r="D389" s="88">
        <v>4.610030632612E12</v>
      </c>
      <c r="F389" s="88" t="s">
        <v>3721</v>
      </c>
      <c r="H389" s="88" t="s">
        <v>3722</v>
      </c>
      <c r="L389" s="88" t="s">
        <v>3724</v>
      </c>
      <c r="M389" s="88" t="s">
        <v>2905</v>
      </c>
      <c r="N389" s="88" t="s">
        <v>6300</v>
      </c>
      <c r="P389" s="88" t="s">
        <v>355</v>
      </c>
      <c r="Q389" s="88" t="s">
        <v>3725</v>
      </c>
      <c r="T389" s="88" t="s">
        <v>3711</v>
      </c>
      <c r="U389" s="88" t="s">
        <v>6362</v>
      </c>
      <c r="V389" s="88">
        <v>7.0</v>
      </c>
      <c r="W389" s="88">
        <v>10.0</v>
      </c>
      <c r="X389" s="88">
        <v>1.0</v>
      </c>
    </row>
    <row r="390">
      <c r="A390" s="88">
        <v>4.9570192E7</v>
      </c>
      <c r="B390" s="88" t="s">
        <v>4956</v>
      </c>
      <c r="C390" s="88" t="s">
        <v>4956</v>
      </c>
      <c r="D390" s="88">
        <v>4.631144115358E12</v>
      </c>
      <c r="F390" s="88" t="s">
        <v>3459</v>
      </c>
      <c r="H390" s="88" t="s">
        <v>4965</v>
      </c>
      <c r="L390" s="88" t="s">
        <v>2777</v>
      </c>
      <c r="M390" s="88" t="s">
        <v>4967</v>
      </c>
      <c r="N390" s="88" t="s">
        <v>6363</v>
      </c>
      <c r="Q390" s="88" t="s">
        <v>4968</v>
      </c>
      <c r="U390" s="88" t="s">
        <v>6364</v>
      </c>
      <c r="V390" s="88">
        <v>13.2</v>
      </c>
      <c r="W390" s="88">
        <v>5.0</v>
      </c>
      <c r="X390" s="88">
        <v>5.0</v>
      </c>
      <c r="Z390" s="88" t="s">
        <v>5463</v>
      </c>
      <c r="AA390" s="88" t="s">
        <v>5830</v>
      </c>
    </row>
    <row r="391">
      <c r="A391" s="88">
        <v>1.42843069E8</v>
      </c>
      <c r="B391" s="88" t="s">
        <v>3695</v>
      </c>
      <c r="C391" s="88" t="s">
        <v>3695</v>
      </c>
      <c r="D391" s="88">
        <v>4.631143285991E12</v>
      </c>
      <c r="F391" s="88" t="s">
        <v>3705</v>
      </c>
      <c r="H391" s="88" t="s">
        <v>3706</v>
      </c>
      <c r="L391" s="88" t="s">
        <v>3708</v>
      </c>
      <c r="M391" s="88" t="s">
        <v>3709</v>
      </c>
      <c r="N391" s="88" t="s">
        <v>6023</v>
      </c>
      <c r="Q391" s="88" t="s">
        <v>3710</v>
      </c>
      <c r="T391" s="88" t="s">
        <v>3711</v>
      </c>
      <c r="U391" s="88" t="s">
        <v>6365</v>
      </c>
      <c r="V391" s="88">
        <v>8.2</v>
      </c>
      <c r="W391" s="88">
        <v>3.5</v>
      </c>
      <c r="X391" s="88">
        <v>3.0</v>
      </c>
      <c r="Z391" s="88" t="s">
        <v>5463</v>
      </c>
      <c r="AA391" s="88" t="s">
        <v>5830</v>
      </c>
    </row>
    <row r="392">
      <c r="A392" s="88">
        <v>3.4282538E7</v>
      </c>
      <c r="B392" s="88" t="s">
        <v>3952</v>
      </c>
      <c r="C392" s="88" t="s">
        <v>3952</v>
      </c>
      <c r="D392" s="88">
        <v>4.631159171028E12</v>
      </c>
      <c r="E392" s="88">
        <v>2.106909809E9</v>
      </c>
      <c r="F392" s="88" t="s">
        <v>3959</v>
      </c>
      <c r="H392" s="88" t="s">
        <v>3197</v>
      </c>
      <c r="L392" s="88" t="s">
        <v>3199</v>
      </c>
      <c r="M392" s="88" t="s">
        <v>3200</v>
      </c>
      <c r="N392" s="88" t="s">
        <v>6300</v>
      </c>
      <c r="P392" s="88" t="s">
        <v>3960</v>
      </c>
      <c r="Q392" s="88" t="s">
        <v>3961</v>
      </c>
      <c r="U392" s="88" t="s">
        <v>6366</v>
      </c>
      <c r="V392" s="88">
        <v>11.0</v>
      </c>
      <c r="W392" s="88">
        <v>5.5</v>
      </c>
      <c r="X392" s="88">
        <v>5.0</v>
      </c>
      <c r="Z392" s="88" t="s">
        <v>5986</v>
      </c>
      <c r="AA392" s="88" t="s">
        <v>361</v>
      </c>
    </row>
    <row r="393">
      <c r="A393" s="88">
        <v>1.72162756E8</v>
      </c>
      <c r="B393" s="88" t="s">
        <v>4036</v>
      </c>
      <c r="C393" s="88" t="s">
        <v>4036</v>
      </c>
      <c r="D393" s="88">
        <v>2.038301460351E12</v>
      </c>
      <c r="E393" s="88">
        <v>2.106909809E9</v>
      </c>
      <c r="U393" s="88" t="s">
        <v>6317</v>
      </c>
      <c r="V393" s="88">
        <v>15.0</v>
      </c>
      <c r="W393" s="88">
        <v>22.0</v>
      </c>
      <c r="X393" s="88">
        <v>6.0</v>
      </c>
      <c r="Z393" s="88" t="s">
        <v>5966</v>
      </c>
      <c r="AA393" s="88" t="s">
        <v>361</v>
      </c>
    </row>
    <row r="394">
      <c r="A394" s="88">
        <v>1.72162757E8</v>
      </c>
      <c r="B394" s="88" t="s">
        <v>3187</v>
      </c>
      <c r="C394" s="88" t="s">
        <v>3187</v>
      </c>
      <c r="D394" s="88">
        <v>2.038301462911E12</v>
      </c>
      <c r="E394" s="88">
        <v>2.106909809E9</v>
      </c>
      <c r="U394" s="88" t="s">
        <v>6317</v>
      </c>
      <c r="V394" s="88">
        <v>15.0</v>
      </c>
      <c r="W394" s="88">
        <v>22.0</v>
      </c>
      <c r="X394" s="88">
        <v>6.0</v>
      </c>
      <c r="Z394" s="88" t="s">
        <v>5966</v>
      </c>
      <c r="AA394" s="88" t="s">
        <v>361</v>
      </c>
    </row>
    <row r="395">
      <c r="A395" s="88">
        <v>2.22225755E8</v>
      </c>
      <c r="B395" s="88" t="s">
        <v>2701</v>
      </c>
      <c r="C395" s="88" t="s">
        <v>2701</v>
      </c>
      <c r="D395" s="88">
        <v>4.610030631431E12</v>
      </c>
      <c r="E395" s="88">
        <v>2.106909808E9</v>
      </c>
      <c r="F395" s="88" t="s">
        <v>2710</v>
      </c>
      <c r="H395" s="88" t="s">
        <v>2711</v>
      </c>
      <c r="L395" s="88" t="s">
        <v>2713</v>
      </c>
      <c r="M395" s="88" t="s">
        <v>2133</v>
      </c>
      <c r="N395" s="88" t="s">
        <v>6023</v>
      </c>
      <c r="Q395" s="88" t="s">
        <v>2714</v>
      </c>
      <c r="T395" s="88" t="s">
        <v>2715</v>
      </c>
      <c r="U395" s="88" t="s">
        <v>6367</v>
      </c>
      <c r="V395" s="88">
        <v>5.0</v>
      </c>
      <c r="W395" s="88">
        <v>8.0</v>
      </c>
      <c r="X395" s="88">
        <v>3.0</v>
      </c>
      <c r="Z395" s="88" t="s">
        <v>6368</v>
      </c>
      <c r="AA395" s="88" t="s">
        <v>6369</v>
      </c>
    </row>
    <row r="396">
      <c r="A396" s="88">
        <v>5.25491703E8</v>
      </c>
      <c r="B396" s="88" t="s">
        <v>4603</v>
      </c>
      <c r="C396" s="88" t="s">
        <v>4603</v>
      </c>
      <c r="D396" s="88">
        <v>4.675893578767E12</v>
      </c>
      <c r="E396" s="88">
        <v>2.106909808E9</v>
      </c>
      <c r="F396" s="88" t="s">
        <v>2710</v>
      </c>
      <c r="H396" s="88" t="s">
        <v>2711</v>
      </c>
      <c r="L396" s="88" t="s">
        <v>2713</v>
      </c>
      <c r="M396" s="88" t="s">
        <v>2133</v>
      </c>
      <c r="N396" s="88" t="s">
        <v>6370</v>
      </c>
      <c r="Q396" s="88" t="s">
        <v>2714</v>
      </c>
      <c r="T396" s="88" t="s">
        <v>2715</v>
      </c>
      <c r="U396" s="88" t="s">
        <v>6133</v>
      </c>
      <c r="V396" s="88">
        <v>9.0</v>
      </c>
      <c r="W396" s="88">
        <v>4.0</v>
      </c>
      <c r="X396" s="88">
        <v>13.0</v>
      </c>
      <c r="Z396" s="88" t="s">
        <v>6368</v>
      </c>
      <c r="AA396" s="88" t="s">
        <v>6369</v>
      </c>
    </row>
    <row r="397">
      <c r="A397" s="88">
        <v>5.25494446E8</v>
      </c>
      <c r="B397" s="88" t="s">
        <v>2732</v>
      </c>
      <c r="C397" s="88" t="s">
        <v>2732</v>
      </c>
      <c r="D397" s="88">
        <v>4.627649874784E12</v>
      </c>
      <c r="E397" s="88">
        <v>2.106909808E9</v>
      </c>
      <c r="F397" s="88" t="s">
        <v>2710</v>
      </c>
      <c r="H397" s="88" t="s">
        <v>2711</v>
      </c>
      <c r="L397" s="88" t="s">
        <v>2713</v>
      </c>
      <c r="M397" s="88" t="s">
        <v>2133</v>
      </c>
      <c r="N397" s="88" t="s">
        <v>6370</v>
      </c>
      <c r="Q397" s="88" t="s">
        <v>2714</v>
      </c>
      <c r="T397" s="88" t="s">
        <v>2715</v>
      </c>
      <c r="U397" s="88" t="s">
        <v>6133</v>
      </c>
      <c r="V397" s="88">
        <v>9.0</v>
      </c>
      <c r="W397" s="88">
        <v>4.0</v>
      </c>
      <c r="X397" s="88">
        <v>13.0</v>
      </c>
      <c r="Z397" s="88" t="s">
        <v>6368</v>
      </c>
      <c r="AA397" s="88" t="s">
        <v>6369</v>
      </c>
    </row>
    <row r="398">
      <c r="A398" s="88">
        <v>3.9234691E7</v>
      </c>
      <c r="B398" s="43" t="s">
        <v>3930</v>
      </c>
      <c r="C398" s="88" t="s">
        <v>3933</v>
      </c>
      <c r="D398" s="88">
        <v>4.631158730707E12</v>
      </c>
      <c r="E398" s="88">
        <v>2.106909809E9</v>
      </c>
      <c r="F398" s="88" t="s">
        <v>3938</v>
      </c>
      <c r="H398" s="88" t="s">
        <v>3939</v>
      </c>
      <c r="L398" s="88" t="s">
        <v>2777</v>
      </c>
      <c r="M398" s="88" t="s">
        <v>3940</v>
      </c>
      <c r="N398" s="88" t="s">
        <v>6300</v>
      </c>
      <c r="Q398" s="88" t="s">
        <v>3941</v>
      </c>
      <c r="U398" s="88" t="s">
        <v>6371</v>
      </c>
      <c r="V398" s="88">
        <v>10.5</v>
      </c>
      <c r="W398" s="88">
        <v>6.5</v>
      </c>
      <c r="X398" s="88">
        <v>1.5</v>
      </c>
      <c r="AA398" s="88" t="s">
        <v>361</v>
      </c>
    </row>
    <row r="399">
      <c r="A399" s="88">
        <v>1.00410775E8</v>
      </c>
      <c r="B399" s="88" t="s">
        <v>3322</v>
      </c>
      <c r="C399" s="88" t="s">
        <v>3322</v>
      </c>
      <c r="D399" s="88">
        <v>4.631144673056E12</v>
      </c>
      <c r="E399" s="88">
        <v>2.103909009E9</v>
      </c>
      <c r="F399" s="88" t="s">
        <v>3140</v>
      </c>
      <c r="H399" s="88" t="s">
        <v>3141</v>
      </c>
      <c r="L399" s="88" t="s">
        <v>3143</v>
      </c>
      <c r="M399" s="88" t="s">
        <v>3144</v>
      </c>
      <c r="N399" s="88" t="s">
        <v>6300</v>
      </c>
      <c r="Q399" s="88" t="s">
        <v>3329</v>
      </c>
      <c r="T399" s="88" t="s">
        <v>3330</v>
      </c>
      <c r="U399" s="88" t="s">
        <v>6372</v>
      </c>
      <c r="V399" s="88">
        <v>11.0</v>
      </c>
      <c r="W399" s="88">
        <v>7.0</v>
      </c>
      <c r="X399" s="88">
        <v>1.5</v>
      </c>
      <c r="Z399" s="88" t="s">
        <v>5986</v>
      </c>
      <c r="AA399" s="88" t="s">
        <v>5830</v>
      </c>
    </row>
    <row r="400">
      <c r="B400" s="88" t="s">
        <v>3901</v>
      </c>
      <c r="C400" s="88" t="s">
        <v>3901</v>
      </c>
      <c r="D400" s="88">
        <v>2.038301521588E12</v>
      </c>
      <c r="E400" s="88">
        <v>2.103909009E9</v>
      </c>
      <c r="U400" s="88" t="s">
        <v>6317</v>
      </c>
      <c r="V400" s="88">
        <v>15.0</v>
      </c>
      <c r="W400" s="88">
        <v>22.0</v>
      </c>
      <c r="X400" s="88">
        <v>6.0</v>
      </c>
      <c r="Z400" s="88" t="s">
        <v>5986</v>
      </c>
      <c r="AA400" s="88" t="s">
        <v>5830</v>
      </c>
    </row>
    <row r="401">
      <c r="B401" s="88" t="s">
        <v>3131</v>
      </c>
      <c r="C401" s="88" t="s">
        <v>3131</v>
      </c>
      <c r="D401" s="88">
        <v>2.038301524237E12</v>
      </c>
      <c r="E401" s="88">
        <v>2.103909009E9</v>
      </c>
      <c r="U401" s="88" t="s">
        <v>6317</v>
      </c>
      <c r="V401" s="88">
        <v>15.0</v>
      </c>
      <c r="W401" s="88">
        <v>22.0</v>
      </c>
      <c r="X401" s="88">
        <v>6.0</v>
      </c>
      <c r="Z401" s="88" t="s">
        <v>5986</v>
      </c>
      <c r="AA401" s="88" t="s">
        <v>5830</v>
      </c>
    </row>
    <row r="402">
      <c r="A402" s="88">
        <v>3.4285227E7</v>
      </c>
      <c r="B402" s="88" t="s">
        <v>4749</v>
      </c>
      <c r="C402" s="88" t="s">
        <v>4749</v>
      </c>
      <c r="D402" s="88">
        <v>4.631141996004E12</v>
      </c>
      <c r="F402" s="88" t="s">
        <v>4756</v>
      </c>
      <c r="H402" s="88" t="s">
        <v>4171</v>
      </c>
      <c r="L402" s="88" t="s">
        <v>2777</v>
      </c>
      <c r="M402" s="88" t="s">
        <v>4173</v>
      </c>
      <c r="N402" s="88" t="s">
        <v>6302</v>
      </c>
      <c r="P402" s="88" t="s">
        <v>3960</v>
      </c>
      <c r="Q402" s="88" t="s">
        <v>4757</v>
      </c>
      <c r="U402" s="88" t="s">
        <v>6373</v>
      </c>
      <c r="V402" s="88">
        <v>8.0</v>
      </c>
      <c r="W402" s="88">
        <v>6.0</v>
      </c>
      <c r="X402" s="88">
        <v>2.0</v>
      </c>
      <c r="Z402" s="88" t="s">
        <v>5986</v>
      </c>
      <c r="AA402" s="88" t="s">
        <v>5830</v>
      </c>
    </row>
    <row r="403">
      <c r="A403" s="88">
        <v>6.16101955E8</v>
      </c>
      <c r="B403" s="88" t="s">
        <v>4716</v>
      </c>
      <c r="C403" s="88" t="s">
        <v>4716</v>
      </c>
      <c r="D403" s="88">
        <v>4.610030634135E12</v>
      </c>
      <c r="E403" s="88">
        <v>2.103909009E9</v>
      </c>
      <c r="H403" s="88" t="s">
        <v>4722</v>
      </c>
      <c r="L403" s="88" t="s">
        <v>4724</v>
      </c>
      <c r="M403" s="88" t="s">
        <v>3144</v>
      </c>
      <c r="Q403" s="88" t="s">
        <v>4725</v>
      </c>
      <c r="U403" s="88" t="s">
        <v>6374</v>
      </c>
      <c r="V403" s="88">
        <v>6.5</v>
      </c>
      <c r="W403" s="88">
        <v>10.5</v>
      </c>
      <c r="X403" s="97">
        <v>46143.0</v>
      </c>
      <c r="Z403" s="88" t="s">
        <v>5986</v>
      </c>
    </row>
    <row r="404">
      <c r="A404" s="88">
        <v>1.76855721E8</v>
      </c>
      <c r="B404" s="88" t="s">
        <v>4161</v>
      </c>
      <c r="C404" s="88" t="s">
        <v>4161</v>
      </c>
      <c r="U404" s="88" t="s">
        <v>6317</v>
      </c>
      <c r="V404" s="88">
        <v>15.0</v>
      </c>
      <c r="W404" s="88">
        <v>22.0</v>
      </c>
      <c r="X404" s="88">
        <v>6.0</v>
      </c>
      <c r="Z404" s="88" t="s">
        <v>5986</v>
      </c>
      <c r="AA404" s="88" t="s">
        <v>5830</v>
      </c>
    </row>
    <row r="405">
      <c r="A405" s="88">
        <v>2.22218347E8</v>
      </c>
      <c r="B405" s="88" t="s">
        <v>4043</v>
      </c>
      <c r="C405" s="88" t="s">
        <v>4043</v>
      </c>
      <c r="D405" s="88">
        <v>4.610030631462E12</v>
      </c>
      <c r="E405" s="88">
        <v>2.106909808E9</v>
      </c>
      <c r="F405" s="88" t="s">
        <v>3459</v>
      </c>
      <c r="H405" s="88" t="s">
        <v>4052</v>
      </c>
      <c r="L405" s="88" t="s">
        <v>2887</v>
      </c>
      <c r="M405" s="88" t="s">
        <v>4053</v>
      </c>
      <c r="N405" s="88" t="s">
        <v>6302</v>
      </c>
      <c r="P405" s="88" t="s">
        <v>4054</v>
      </c>
      <c r="Q405" s="88" t="s">
        <v>4055</v>
      </c>
      <c r="T405" s="88" t="s">
        <v>2715</v>
      </c>
      <c r="U405" s="88" t="s">
        <v>6303</v>
      </c>
      <c r="V405" s="88">
        <v>8.2</v>
      </c>
      <c r="W405" s="88">
        <v>6.2</v>
      </c>
      <c r="X405" s="88">
        <v>8.2</v>
      </c>
      <c r="Z405" s="88" t="s">
        <v>6368</v>
      </c>
      <c r="AA405" s="88" t="s">
        <v>6369</v>
      </c>
    </row>
    <row r="406">
      <c r="A406" s="88">
        <v>2.63802739E8</v>
      </c>
      <c r="B406" s="88" t="s">
        <v>2874</v>
      </c>
      <c r="C406" s="88" t="s">
        <v>2874</v>
      </c>
      <c r="D406" s="88">
        <v>4.610030633701E12</v>
      </c>
      <c r="E406" s="88">
        <v>2106.0</v>
      </c>
      <c r="F406" s="88" t="s">
        <v>2884</v>
      </c>
      <c r="H406" s="88" t="s">
        <v>2885</v>
      </c>
      <c r="L406" s="88" t="s">
        <v>2887</v>
      </c>
      <c r="M406" s="88" t="s">
        <v>2698</v>
      </c>
      <c r="N406" s="88" t="s">
        <v>6375</v>
      </c>
      <c r="Q406" s="88" t="s">
        <v>2888</v>
      </c>
      <c r="T406" s="88" t="s">
        <v>2889</v>
      </c>
      <c r="U406" s="88" t="s">
        <v>6376</v>
      </c>
      <c r="V406" s="88">
        <v>7.0</v>
      </c>
      <c r="W406" s="88">
        <v>11.0</v>
      </c>
      <c r="X406" s="88">
        <v>3.0</v>
      </c>
    </row>
    <row r="407">
      <c r="A407" s="88">
        <v>3.31501221E8</v>
      </c>
      <c r="B407" s="88" t="s">
        <v>3389</v>
      </c>
      <c r="C407" s="88" t="s">
        <v>3389</v>
      </c>
      <c r="D407" s="88">
        <v>2.042827589663E12</v>
      </c>
      <c r="N407" s="88" t="s">
        <v>6377</v>
      </c>
      <c r="U407" s="88" t="s">
        <v>6056</v>
      </c>
      <c r="V407" s="88">
        <v>15.0</v>
      </c>
      <c r="W407" s="88">
        <v>9.0</v>
      </c>
      <c r="X407" s="88">
        <v>6.0</v>
      </c>
    </row>
    <row r="408">
      <c r="A408" s="88">
        <v>1.19939935E8</v>
      </c>
      <c r="B408" s="88" t="s">
        <v>4875</v>
      </c>
      <c r="C408" s="88" t="s">
        <v>4875</v>
      </c>
      <c r="D408" s="88">
        <v>4.631144673049E12</v>
      </c>
      <c r="E408" s="88">
        <v>2.103909009E9</v>
      </c>
      <c r="F408" s="88" t="s">
        <v>3140</v>
      </c>
      <c r="H408" s="88" t="s">
        <v>4883</v>
      </c>
      <c r="L408" s="88" t="s">
        <v>4885</v>
      </c>
      <c r="M408" s="88" t="s">
        <v>4886</v>
      </c>
      <c r="N408" s="88" t="s">
        <v>6300</v>
      </c>
      <c r="Q408" s="88" t="s">
        <v>4887</v>
      </c>
      <c r="T408" s="88" t="s">
        <v>3330</v>
      </c>
      <c r="U408" s="88" t="s">
        <v>6373</v>
      </c>
      <c r="V408" s="88">
        <v>8.0</v>
      </c>
      <c r="W408" s="88">
        <v>6.0</v>
      </c>
      <c r="X408" s="88">
        <v>2.0</v>
      </c>
      <c r="Z408" s="88" t="s">
        <v>5986</v>
      </c>
      <c r="AA408" s="88" t="s">
        <v>5830</v>
      </c>
    </row>
    <row r="409">
      <c r="A409" s="88">
        <v>3.5495802E7</v>
      </c>
      <c r="B409" s="88" t="s">
        <v>4780</v>
      </c>
      <c r="C409" s="88" t="s">
        <v>4780</v>
      </c>
      <c r="D409" s="88">
        <v>4.631155368231E12</v>
      </c>
      <c r="E409" s="88">
        <v>2.103909009E9</v>
      </c>
      <c r="F409" s="88" t="s">
        <v>4789</v>
      </c>
      <c r="H409" s="88" t="s">
        <v>4790</v>
      </c>
      <c r="L409" s="88" t="s">
        <v>2777</v>
      </c>
      <c r="M409" s="88" t="s">
        <v>4792</v>
      </c>
      <c r="N409" s="88" t="s">
        <v>6139</v>
      </c>
      <c r="P409" s="88" t="s">
        <v>3960</v>
      </c>
      <c r="Q409" s="88" t="s">
        <v>4793</v>
      </c>
      <c r="U409" s="88" t="s">
        <v>6378</v>
      </c>
      <c r="V409" s="88">
        <v>10.0</v>
      </c>
      <c r="W409" s="88">
        <v>6.0</v>
      </c>
      <c r="X409" s="88">
        <v>5.0</v>
      </c>
      <c r="Z409" s="88" t="s">
        <v>5986</v>
      </c>
      <c r="AA409" s="88" t="s">
        <v>5830</v>
      </c>
    </row>
    <row r="410">
      <c r="A410" s="88">
        <v>1.22988457E8</v>
      </c>
      <c r="B410" s="88" t="s">
        <v>2764</v>
      </c>
      <c r="C410" s="88" t="s">
        <v>2764</v>
      </c>
      <c r="D410" s="88" t="s">
        <v>2774</v>
      </c>
      <c r="E410" s="88">
        <v>2.103909009E9</v>
      </c>
      <c r="F410" s="88" t="s">
        <v>2775</v>
      </c>
      <c r="H410" s="88" t="s">
        <v>2776</v>
      </c>
      <c r="L410" s="88" t="s">
        <v>2777</v>
      </c>
      <c r="M410" s="88" t="s">
        <v>2778</v>
      </c>
      <c r="N410" s="88" t="s">
        <v>6379</v>
      </c>
      <c r="Q410" s="88" t="s">
        <v>2779</v>
      </c>
      <c r="T410" s="88" t="s">
        <v>2780</v>
      </c>
      <c r="U410" s="88" t="s">
        <v>6380</v>
      </c>
      <c r="V410" s="88">
        <v>9.2</v>
      </c>
      <c r="W410" s="88">
        <v>6.5</v>
      </c>
      <c r="X410" s="88">
        <v>6.5</v>
      </c>
      <c r="Z410" s="88" t="s">
        <v>5986</v>
      </c>
      <c r="AA410" s="88" t="s">
        <v>5830</v>
      </c>
    </row>
    <row r="411">
      <c r="A411" s="88">
        <v>5.25494849E8</v>
      </c>
      <c r="B411" s="88" t="s">
        <v>3552</v>
      </c>
      <c r="C411" s="88" t="s">
        <v>3552</v>
      </c>
      <c r="D411" s="88">
        <v>4.683765887831E12</v>
      </c>
      <c r="E411" s="88">
        <v>2.103909009E9</v>
      </c>
      <c r="F411" s="88" t="s">
        <v>2775</v>
      </c>
      <c r="H411" s="88" t="s">
        <v>2776</v>
      </c>
      <c r="L411" s="88" t="s">
        <v>2777</v>
      </c>
      <c r="M411" s="88" t="s">
        <v>2778</v>
      </c>
      <c r="N411" s="88" t="s">
        <v>6379</v>
      </c>
      <c r="Q411" s="88" t="s">
        <v>2779</v>
      </c>
      <c r="T411" s="88" t="s">
        <v>2780</v>
      </c>
      <c r="U411" s="88" t="s">
        <v>6381</v>
      </c>
      <c r="V411" s="88">
        <v>16.0</v>
      </c>
      <c r="W411" s="88">
        <v>11.0</v>
      </c>
      <c r="X411" s="88">
        <v>6.0</v>
      </c>
      <c r="Z411" s="88" t="s">
        <v>5986</v>
      </c>
      <c r="AA411" s="88" t="s">
        <v>5830</v>
      </c>
    </row>
    <row r="412">
      <c r="A412" s="88">
        <v>2.34152631E8</v>
      </c>
      <c r="B412" s="88" t="s">
        <v>4804</v>
      </c>
      <c r="C412" s="88" t="s">
        <v>4804</v>
      </c>
      <c r="D412" s="88">
        <v>4.610030632698E12</v>
      </c>
      <c r="E412" s="88">
        <v>2.106909809E9</v>
      </c>
      <c r="F412" s="88" t="s">
        <v>4813</v>
      </c>
      <c r="H412" s="88" t="s">
        <v>4814</v>
      </c>
      <c r="L412" s="88" t="s">
        <v>4816</v>
      </c>
      <c r="M412" s="88" t="s">
        <v>2698</v>
      </c>
      <c r="N412" s="88" t="s">
        <v>6023</v>
      </c>
      <c r="P412" s="88" t="s">
        <v>355</v>
      </c>
      <c r="Q412" s="88" t="s">
        <v>4817</v>
      </c>
      <c r="T412" s="88" t="s">
        <v>2780</v>
      </c>
      <c r="U412" s="88" t="s">
        <v>6382</v>
      </c>
      <c r="V412" s="88">
        <v>3.0</v>
      </c>
      <c r="W412" s="88">
        <v>8.0</v>
      </c>
      <c r="X412" s="88">
        <v>3.0</v>
      </c>
      <c r="Z412" s="88" t="s">
        <v>649</v>
      </c>
      <c r="AA412" s="88" t="s">
        <v>5830</v>
      </c>
    </row>
    <row r="413">
      <c r="A413" s="88">
        <v>4.1351094E7</v>
      </c>
      <c r="B413" s="88" t="s">
        <v>5081</v>
      </c>
      <c r="C413" s="88" t="s">
        <v>5085</v>
      </c>
      <c r="D413" s="88">
        <v>4.631136905165E12</v>
      </c>
      <c r="E413" s="88">
        <v>2.103909009E9</v>
      </c>
      <c r="F413" s="88" t="s">
        <v>4575</v>
      </c>
      <c r="H413" s="88" t="s">
        <v>5091</v>
      </c>
      <c r="L413" s="88" t="s">
        <v>2777</v>
      </c>
      <c r="M413" s="88" t="s">
        <v>4848</v>
      </c>
      <c r="N413" s="88" t="s">
        <v>6023</v>
      </c>
      <c r="P413" s="88" t="s">
        <v>3960</v>
      </c>
      <c r="Q413" s="88" t="s">
        <v>5093</v>
      </c>
      <c r="T413" s="88" t="s">
        <v>5094</v>
      </c>
      <c r="U413" s="88" t="s">
        <v>6345</v>
      </c>
      <c r="V413" s="88">
        <v>9.5</v>
      </c>
      <c r="W413" s="88">
        <v>4.0</v>
      </c>
      <c r="X413" s="88">
        <v>3.0</v>
      </c>
      <c r="AA413" s="88" t="s">
        <v>5830</v>
      </c>
    </row>
    <row r="414">
      <c r="A414" s="88">
        <v>9.5461301E7</v>
      </c>
      <c r="B414" s="88" t="s">
        <v>4567</v>
      </c>
      <c r="C414" s="88" t="s">
        <v>4567</v>
      </c>
      <c r="D414" s="88">
        <v>4.631144115495E12</v>
      </c>
      <c r="E414" s="88">
        <v>2.103909009E9</v>
      </c>
      <c r="F414" s="88" t="s">
        <v>4575</v>
      </c>
      <c r="H414" s="88" t="s">
        <v>4576</v>
      </c>
      <c r="L414" s="88" t="s">
        <v>4578</v>
      </c>
      <c r="M414" s="88" t="s">
        <v>4566</v>
      </c>
      <c r="N414" s="88" t="s">
        <v>6023</v>
      </c>
      <c r="Q414" s="88" t="s">
        <v>4579</v>
      </c>
      <c r="U414" s="88" t="s">
        <v>6383</v>
      </c>
      <c r="V414" s="88">
        <v>4.0</v>
      </c>
      <c r="W414" s="88">
        <v>3.0</v>
      </c>
      <c r="X414" s="88">
        <v>9.5</v>
      </c>
      <c r="Z414" s="88" t="s">
        <v>5986</v>
      </c>
      <c r="AA414" s="88" t="s">
        <v>5830</v>
      </c>
    </row>
    <row r="415">
      <c r="A415" s="88">
        <v>1.36138948E8</v>
      </c>
      <c r="B415" s="88" t="s">
        <v>4006</v>
      </c>
      <c r="C415" s="88" t="s">
        <v>4006</v>
      </c>
      <c r="D415" s="88">
        <v>4.631143262213E12</v>
      </c>
      <c r="E415" s="88">
        <v>2.103909009E9</v>
      </c>
      <c r="F415" s="88" t="s">
        <v>4016</v>
      </c>
      <c r="H415" s="88" t="s">
        <v>4017</v>
      </c>
      <c r="L415" s="88" t="s">
        <v>4019</v>
      </c>
      <c r="M415" s="88" t="s">
        <v>4020</v>
      </c>
      <c r="N415" s="88" t="s">
        <v>6023</v>
      </c>
      <c r="Q415" s="88" t="s">
        <v>4021</v>
      </c>
      <c r="U415" s="88" t="s">
        <v>6384</v>
      </c>
      <c r="V415" s="88">
        <v>9.1</v>
      </c>
      <c r="W415" s="88">
        <v>3.0</v>
      </c>
      <c r="X415" s="88">
        <v>3.0</v>
      </c>
      <c r="Z415" s="88" t="s">
        <v>5986</v>
      </c>
      <c r="AA415" s="88" t="s">
        <v>5830</v>
      </c>
    </row>
    <row r="416">
      <c r="A416" s="88">
        <v>2.34207568E8</v>
      </c>
      <c r="B416" s="88" t="s">
        <v>2890</v>
      </c>
      <c r="C416" s="88" t="s">
        <v>2890</v>
      </c>
      <c r="D416" s="88" t="s">
        <v>2900</v>
      </c>
      <c r="E416" s="88">
        <v>2.106909809E9</v>
      </c>
      <c r="F416" s="88" t="s">
        <v>2901</v>
      </c>
      <c r="H416" s="88" t="s">
        <v>2902</v>
      </c>
      <c r="L416" s="88" t="s">
        <v>2904</v>
      </c>
      <c r="M416" s="88" t="s">
        <v>2905</v>
      </c>
      <c r="N416" s="88" t="s">
        <v>6302</v>
      </c>
      <c r="Q416" s="88" t="s">
        <v>2906</v>
      </c>
      <c r="U416" s="88" t="s">
        <v>6367</v>
      </c>
      <c r="V416" s="88">
        <v>5.0</v>
      </c>
      <c r="W416" s="88">
        <v>8.0</v>
      </c>
      <c r="X416" s="88">
        <v>3.0</v>
      </c>
      <c r="Z416" s="88" t="s">
        <v>649</v>
      </c>
      <c r="AA416" s="88" t="s">
        <v>5830</v>
      </c>
    </row>
    <row r="417">
      <c r="A417" s="88">
        <v>1.36537336E8</v>
      </c>
      <c r="B417" s="88" t="s">
        <v>4056</v>
      </c>
      <c r="C417" s="88" t="s">
        <v>4056</v>
      </c>
      <c r="D417" s="88">
        <v>4.631158757957E12</v>
      </c>
      <c r="E417" s="88">
        <v>3.30499E9</v>
      </c>
      <c r="F417" s="88" t="s">
        <v>4066</v>
      </c>
      <c r="H417" s="88" t="s">
        <v>4067</v>
      </c>
      <c r="L417" s="88" t="s">
        <v>965</v>
      </c>
      <c r="M417" s="88" t="s">
        <v>3503</v>
      </c>
      <c r="N417" s="88" t="s">
        <v>5738</v>
      </c>
      <c r="Q417" s="88" t="s">
        <v>4069</v>
      </c>
      <c r="U417" s="88" t="s">
        <v>6322</v>
      </c>
      <c r="V417" s="88">
        <v>14.0</v>
      </c>
      <c r="W417" s="88">
        <v>6.0</v>
      </c>
      <c r="X417" s="88">
        <v>4.0</v>
      </c>
      <c r="Z417" s="88" t="s">
        <v>3084</v>
      </c>
      <c r="AA417" s="88" t="s">
        <v>594</v>
      </c>
    </row>
    <row r="418">
      <c r="B418" s="88" t="s">
        <v>4536</v>
      </c>
      <c r="C418" s="88" t="s">
        <v>4536</v>
      </c>
      <c r="D418" s="88" t="s">
        <v>6385</v>
      </c>
      <c r="E418" s="88" t="s">
        <v>4067</v>
      </c>
      <c r="H418" s="88" t="s">
        <v>4550</v>
      </c>
      <c r="L418" s="88">
        <v>75.0</v>
      </c>
      <c r="M418" s="88" t="s">
        <v>6139</v>
      </c>
      <c r="N418" s="88" t="s">
        <v>355</v>
      </c>
      <c r="P418" s="88" t="s">
        <v>4553</v>
      </c>
      <c r="T418" s="88" t="s">
        <v>4979</v>
      </c>
      <c r="U418" s="88" t="s">
        <v>4548</v>
      </c>
      <c r="V418" s="88" t="s">
        <v>4548</v>
      </c>
      <c r="Z418" s="88" t="s">
        <v>594</v>
      </c>
    </row>
    <row r="419">
      <c r="A419" s="88">
        <v>2.23437682E8</v>
      </c>
      <c r="B419" s="88" t="s">
        <v>3777</v>
      </c>
      <c r="C419" s="88" t="s">
        <v>3777</v>
      </c>
      <c r="D419" s="88">
        <v>4.610030632605E12</v>
      </c>
      <c r="E419" s="88">
        <v>2.106909809E9</v>
      </c>
      <c r="F419" s="88" t="s">
        <v>3786</v>
      </c>
      <c r="H419" s="88" t="s">
        <v>3787</v>
      </c>
      <c r="L419" s="88" t="s">
        <v>2887</v>
      </c>
      <c r="M419" s="88" t="s">
        <v>2905</v>
      </c>
      <c r="N419" s="88" t="s">
        <v>6302</v>
      </c>
      <c r="Q419" s="88" t="s">
        <v>3789</v>
      </c>
      <c r="T419" s="88" t="s">
        <v>2780</v>
      </c>
      <c r="U419" s="88" t="s">
        <v>6304</v>
      </c>
      <c r="V419" s="88">
        <v>7.0</v>
      </c>
      <c r="W419" s="88">
        <v>8.0</v>
      </c>
      <c r="X419" s="88">
        <v>3.0</v>
      </c>
    </row>
    <row r="420">
      <c r="A420" s="88">
        <v>2.35967746E8</v>
      </c>
      <c r="B420" s="88" t="s">
        <v>4325</v>
      </c>
      <c r="C420" s="88" t="s">
        <v>4325</v>
      </c>
      <c r="D420" s="88">
        <v>4.610030632728E12</v>
      </c>
      <c r="E420" s="88">
        <v>3.30499E9</v>
      </c>
      <c r="F420" s="88" t="s">
        <v>4334</v>
      </c>
      <c r="H420" s="88" t="s">
        <v>4335</v>
      </c>
      <c r="L420" s="88" t="s">
        <v>2887</v>
      </c>
      <c r="M420" s="88" t="s">
        <v>3625</v>
      </c>
      <c r="N420" s="88" t="s">
        <v>6386</v>
      </c>
      <c r="Q420" s="88" t="s">
        <v>4338</v>
      </c>
      <c r="T420" s="88" t="s">
        <v>2780</v>
      </c>
      <c r="U420" s="88" t="s">
        <v>6387</v>
      </c>
      <c r="V420" s="88">
        <v>8.0</v>
      </c>
      <c r="W420" s="88">
        <v>10.0</v>
      </c>
      <c r="X420" s="88">
        <v>2.5</v>
      </c>
      <c r="Z420" s="88" t="s">
        <v>6388</v>
      </c>
    </row>
    <row r="421">
      <c r="A421" s="88">
        <v>2.34208976E8</v>
      </c>
      <c r="B421" s="88" t="s">
        <v>3611</v>
      </c>
      <c r="C421" s="88" t="s">
        <v>3611</v>
      </c>
      <c r="D421" s="88">
        <v>4.610030632742E12</v>
      </c>
      <c r="E421" s="88">
        <v>3.30499E9</v>
      </c>
      <c r="F421" s="88" t="s">
        <v>3621</v>
      </c>
      <c r="H421" s="88" t="s">
        <v>3622</v>
      </c>
      <c r="L421" s="88" t="s">
        <v>3624</v>
      </c>
      <c r="M421" s="88" t="s">
        <v>3625</v>
      </c>
      <c r="N421" s="88" t="s">
        <v>6215</v>
      </c>
      <c r="P421" s="88" t="s">
        <v>355</v>
      </c>
      <c r="Q421" s="88" t="s">
        <v>3626</v>
      </c>
      <c r="T421" s="88" t="s">
        <v>3627</v>
      </c>
      <c r="U421" s="88" t="s">
        <v>6389</v>
      </c>
      <c r="V421" s="88">
        <v>3.0</v>
      </c>
      <c r="W421" s="88">
        <v>12.0</v>
      </c>
      <c r="X421" s="88">
        <v>3.0</v>
      </c>
      <c r="Z421" s="88" t="s">
        <v>6390</v>
      </c>
      <c r="AA421" s="88" t="s">
        <v>594</v>
      </c>
    </row>
    <row r="422">
      <c r="A422" s="88">
        <v>3.5653411E7</v>
      </c>
      <c r="B422" s="88" t="e">
        <v>#N/A</v>
      </c>
      <c r="C422" s="88" t="s">
        <v>5652</v>
      </c>
      <c r="D422" s="88">
        <v>4.631136905226E12</v>
      </c>
      <c r="F422" s="88" t="s">
        <v>6391</v>
      </c>
      <c r="H422" s="88" t="s">
        <v>6392</v>
      </c>
      <c r="L422" s="88" t="s">
        <v>2777</v>
      </c>
      <c r="N422" s="88" t="s">
        <v>6023</v>
      </c>
      <c r="P422" s="88" t="s">
        <v>3960</v>
      </c>
      <c r="Q422" s="88" t="s">
        <v>6393</v>
      </c>
      <c r="U422" s="88" t="s">
        <v>6345</v>
      </c>
      <c r="V422" s="88">
        <v>9.5</v>
      </c>
      <c r="W422" s="88">
        <v>4.0</v>
      </c>
      <c r="X422" s="88">
        <v>3.0</v>
      </c>
    </row>
    <row r="423">
      <c r="A423" s="88">
        <v>4.139058E7</v>
      </c>
      <c r="B423" s="88" t="e">
        <v>#N/A</v>
      </c>
      <c r="C423" s="88" t="s">
        <v>6394</v>
      </c>
      <c r="D423" s="88">
        <v>4.631136905066E12</v>
      </c>
      <c r="F423" s="88" t="s">
        <v>6391</v>
      </c>
      <c r="H423" s="88" t="s">
        <v>6395</v>
      </c>
      <c r="L423" s="88" t="s">
        <v>2777</v>
      </c>
      <c r="N423" s="88" t="s">
        <v>6023</v>
      </c>
      <c r="P423" s="88" t="s">
        <v>3960</v>
      </c>
      <c r="Q423" s="88" t="s">
        <v>6396</v>
      </c>
      <c r="U423" s="88" t="s">
        <v>5739</v>
      </c>
      <c r="V423" s="88">
        <v>10.0</v>
      </c>
      <c r="W423" s="88">
        <v>4.0</v>
      </c>
      <c r="X423" s="88">
        <v>3.0</v>
      </c>
    </row>
    <row r="424">
      <c r="B424" s="88" t="e">
        <v>#N/A</v>
      </c>
      <c r="C424" s="88" t="s">
        <v>6397</v>
      </c>
      <c r="F424" s="88" t="s">
        <v>6391</v>
      </c>
      <c r="H424" s="88" t="s">
        <v>6398</v>
      </c>
      <c r="L424" s="88" t="s">
        <v>6399</v>
      </c>
      <c r="P424" s="88" t="s">
        <v>3960</v>
      </c>
      <c r="U424" s="88" t="s">
        <v>6400</v>
      </c>
      <c r="V424" s="88">
        <v>6.0</v>
      </c>
      <c r="W424" s="88">
        <v>4.5</v>
      </c>
      <c r="X424" s="88">
        <v>2.0</v>
      </c>
    </row>
    <row r="425">
      <c r="B425" s="88" t="e">
        <v>#N/A</v>
      </c>
      <c r="C425" s="88" t="s">
        <v>6401</v>
      </c>
      <c r="F425" s="88" t="s">
        <v>6402</v>
      </c>
      <c r="H425" s="88" t="s">
        <v>6403</v>
      </c>
      <c r="L425" s="88" t="s">
        <v>3816</v>
      </c>
      <c r="P425" s="88" t="s">
        <v>3960</v>
      </c>
      <c r="U425" s="88" t="s">
        <v>6294</v>
      </c>
      <c r="V425" s="88">
        <v>10.0</v>
      </c>
      <c r="W425" s="88">
        <v>3.5</v>
      </c>
      <c r="X425" s="88">
        <v>3.5</v>
      </c>
    </row>
    <row r="426">
      <c r="A426" s="88">
        <v>4.1332874E7</v>
      </c>
      <c r="B426" s="88" t="e">
        <v>#N/A</v>
      </c>
      <c r="C426" s="88" t="s">
        <v>5627</v>
      </c>
      <c r="D426" s="88">
        <v>4.631136905103E12</v>
      </c>
      <c r="F426" s="88" t="s">
        <v>6391</v>
      </c>
      <c r="H426" s="88" t="s">
        <v>6404</v>
      </c>
      <c r="L426" s="88" t="s">
        <v>2777</v>
      </c>
      <c r="P426" s="88" t="s">
        <v>6405</v>
      </c>
      <c r="Q426" s="88" t="s">
        <v>6406</v>
      </c>
      <c r="U426" s="88" t="s">
        <v>6407</v>
      </c>
      <c r="V426" s="88">
        <v>11.0</v>
      </c>
      <c r="W426" s="88">
        <v>3.5</v>
      </c>
      <c r="X426" s="88">
        <v>3.5</v>
      </c>
    </row>
    <row r="427">
      <c r="A427" s="88">
        <v>1.7908515E7</v>
      </c>
      <c r="B427" s="88" t="e">
        <v>#N/A</v>
      </c>
      <c r="C427" s="88" t="s">
        <v>6408</v>
      </c>
      <c r="F427" s="88" t="s">
        <v>6409</v>
      </c>
      <c r="H427" s="88" t="s">
        <v>6410</v>
      </c>
      <c r="P427" s="88" t="s">
        <v>4672</v>
      </c>
      <c r="U427" s="88" t="s">
        <v>6411</v>
      </c>
      <c r="V427" s="88">
        <v>10.0</v>
      </c>
      <c r="W427" s="88">
        <v>4.5</v>
      </c>
      <c r="X427" s="88">
        <v>3.5</v>
      </c>
    </row>
    <row r="428">
      <c r="B428" s="88" t="e">
        <v>#N/A</v>
      </c>
      <c r="C428" s="88" t="s">
        <v>6412</v>
      </c>
      <c r="F428" s="88" t="s">
        <v>6402</v>
      </c>
      <c r="H428" s="88" t="s">
        <v>6413</v>
      </c>
      <c r="L428" s="88" t="s">
        <v>6414</v>
      </c>
      <c r="P428" s="88" t="s">
        <v>3960</v>
      </c>
      <c r="U428" s="88" t="s">
        <v>6415</v>
      </c>
      <c r="V428" s="88">
        <v>5.0</v>
      </c>
      <c r="W428" s="88">
        <v>5.0</v>
      </c>
      <c r="X428" s="88">
        <v>2.0</v>
      </c>
    </row>
    <row r="429">
      <c r="B429" s="88" t="e">
        <v>#N/A</v>
      </c>
      <c r="C429" s="88" t="s">
        <v>6416</v>
      </c>
      <c r="F429" s="88" t="s">
        <v>6402</v>
      </c>
      <c r="H429" s="88" t="s">
        <v>6417</v>
      </c>
      <c r="L429" s="88" t="s">
        <v>6418</v>
      </c>
      <c r="P429" s="88" t="s">
        <v>6405</v>
      </c>
      <c r="U429" s="88" t="s">
        <v>6345</v>
      </c>
      <c r="V429" s="88">
        <v>9.5</v>
      </c>
      <c r="W429" s="88">
        <v>4.0</v>
      </c>
      <c r="X429" s="88">
        <v>3.0</v>
      </c>
    </row>
    <row r="430">
      <c r="B430" s="88" t="e">
        <v>#N/A</v>
      </c>
      <c r="C430" s="88" t="s">
        <v>6419</v>
      </c>
      <c r="F430" s="88" t="s">
        <v>6391</v>
      </c>
      <c r="H430" s="88" t="s">
        <v>6420</v>
      </c>
      <c r="L430" s="88" t="s">
        <v>3816</v>
      </c>
      <c r="P430" s="88" t="s">
        <v>3960</v>
      </c>
      <c r="U430" s="88" t="s">
        <v>6345</v>
      </c>
      <c r="V430" s="88">
        <v>9.5</v>
      </c>
      <c r="W430" s="88">
        <v>4.0</v>
      </c>
      <c r="X430" s="88">
        <v>3.0</v>
      </c>
    </row>
    <row r="431">
      <c r="B431" s="88" t="e">
        <v>#N/A</v>
      </c>
      <c r="C431" s="88" t="s">
        <v>6421</v>
      </c>
      <c r="F431" s="88" t="s">
        <v>6391</v>
      </c>
      <c r="H431" s="88" t="s">
        <v>6422</v>
      </c>
      <c r="L431" s="88" t="s">
        <v>3816</v>
      </c>
      <c r="P431" s="88" t="s">
        <v>3960</v>
      </c>
      <c r="U431" s="88" t="s">
        <v>6423</v>
      </c>
      <c r="V431" s="88">
        <v>11.0</v>
      </c>
      <c r="W431" s="88">
        <v>4.0</v>
      </c>
      <c r="X431" s="88">
        <v>3.0</v>
      </c>
    </row>
    <row r="432">
      <c r="B432" s="88" t="e">
        <v>#N/A</v>
      </c>
      <c r="C432" s="88" t="s">
        <v>6424</v>
      </c>
      <c r="F432" s="88" t="s">
        <v>6391</v>
      </c>
      <c r="H432" s="88" t="s">
        <v>6425</v>
      </c>
      <c r="L432" s="88" t="s">
        <v>3816</v>
      </c>
      <c r="P432" s="88" t="s">
        <v>3960</v>
      </c>
      <c r="U432" s="88" t="s">
        <v>6294</v>
      </c>
      <c r="V432" s="88">
        <v>10.0</v>
      </c>
      <c r="W432" s="88">
        <v>3.5</v>
      </c>
      <c r="X432" s="88">
        <v>3.5</v>
      </c>
    </row>
    <row r="433">
      <c r="B433" s="88" t="e">
        <v>#N/A</v>
      </c>
      <c r="C433" s="88" t="s">
        <v>6426</v>
      </c>
      <c r="F433" s="88" t="s">
        <v>6391</v>
      </c>
      <c r="H433" s="88" t="s">
        <v>6427</v>
      </c>
      <c r="L433" s="88" t="s">
        <v>3816</v>
      </c>
      <c r="P433" s="88" t="s">
        <v>3960</v>
      </c>
      <c r="U433" s="88" t="s">
        <v>6428</v>
      </c>
      <c r="V433" s="88">
        <v>32.2</v>
      </c>
      <c r="W433" s="88">
        <v>23.0</v>
      </c>
      <c r="X433" s="88">
        <v>5.0</v>
      </c>
    </row>
    <row r="434">
      <c r="B434" s="88" t="e">
        <v>#N/A</v>
      </c>
      <c r="C434" s="88" t="s">
        <v>6429</v>
      </c>
      <c r="F434" s="88" t="s">
        <v>6391</v>
      </c>
      <c r="H434" s="88" t="s">
        <v>6430</v>
      </c>
      <c r="L434" s="88" t="s">
        <v>6431</v>
      </c>
      <c r="P434" s="88" t="s">
        <v>3960</v>
      </c>
      <c r="U434" s="88" t="s">
        <v>6432</v>
      </c>
      <c r="V434" s="88">
        <v>5.5</v>
      </c>
      <c r="W434" s="88">
        <v>5.0</v>
      </c>
      <c r="X434" s="88">
        <v>5.0</v>
      </c>
    </row>
    <row r="435">
      <c r="B435" s="88" t="e">
        <v>#N/A</v>
      </c>
      <c r="C435" s="88" t="s">
        <v>6433</v>
      </c>
      <c r="F435" s="88" t="s">
        <v>6391</v>
      </c>
      <c r="H435" s="88" t="s">
        <v>6434</v>
      </c>
      <c r="L435" s="88" t="s">
        <v>6431</v>
      </c>
      <c r="P435" s="88" t="s">
        <v>3960</v>
      </c>
      <c r="U435" s="88" t="s">
        <v>6423</v>
      </c>
      <c r="V435" s="88">
        <v>11.0</v>
      </c>
      <c r="W435" s="88">
        <v>4.0</v>
      </c>
      <c r="X435" s="88">
        <v>3.0</v>
      </c>
    </row>
    <row r="436">
      <c r="A436" s="88">
        <v>1.7908305E7</v>
      </c>
      <c r="B436" s="88" t="e">
        <v>#N/A</v>
      </c>
      <c r="C436" s="88" t="s">
        <v>6435</v>
      </c>
      <c r="D436" s="88">
        <v>2.252023901422E12</v>
      </c>
      <c r="F436" s="88" t="s">
        <v>6391</v>
      </c>
      <c r="H436" s="88" t="s">
        <v>6436</v>
      </c>
      <c r="L436" s="88" t="s">
        <v>6437</v>
      </c>
      <c r="P436" s="88" t="s">
        <v>3960</v>
      </c>
      <c r="U436" s="88" t="s">
        <v>6438</v>
      </c>
      <c r="V436" s="88">
        <v>22.0</v>
      </c>
      <c r="W436" s="88">
        <v>15.0</v>
      </c>
      <c r="X436" s="88">
        <v>6.0</v>
      </c>
    </row>
    <row r="437">
      <c r="A437" s="88">
        <v>1.7905057E7</v>
      </c>
      <c r="B437" s="88" t="e">
        <v>#N/A</v>
      </c>
      <c r="C437" s="88" t="s">
        <v>6439</v>
      </c>
      <c r="D437" s="88">
        <v>4.631149772754E12</v>
      </c>
      <c r="F437" s="88" t="s">
        <v>6391</v>
      </c>
      <c r="H437" s="88" t="s">
        <v>6440</v>
      </c>
      <c r="L437" s="88" t="s">
        <v>2777</v>
      </c>
      <c r="N437" s="88" t="s">
        <v>5738</v>
      </c>
      <c r="P437" s="88" t="s">
        <v>3960</v>
      </c>
      <c r="Q437" s="88" t="s">
        <v>6441</v>
      </c>
      <c r="U437" s="88" t="s">
        <v>6294</v>
      </c>
      <c r="V437" s="88">
        <v>10.0</v>
      </c>
      <c r="W437" s="88">
        <v>3.5</v>
      </c>
      <c r="X437" s="88">
        <v>3.5</v>
      </c>
    </row>
    <row r="438">
      <c r="A438" s="88">
        <v>1.7908643E7</v>
      </c>
      <c r="B438" s="88" t="e">
        <v>#N/A</v>
      </c>
      <c r="C438" s="88" t="s">
        <v>6442</v>
      </c>
      <c r="D438" s="88">
        <v>2.252096556338E12</v>
      </c>
      <c r="F438" s="88" t="s">
        <v>6391</v>
      </c>
      <c r="H438" s="88" t="s">
        <v>6443</v>
      </c>
      <c r="L438" s="88" t="s">
        <v>2777</v>
      </c>
      <c r="N438" s="88" t="s">
        <v>6444</v>
      </c>
      <c r="P438" s="88" t="s">
        <v>3960</v>
      </c>
      <c r="Q438" s="88" t="s">
        <v>6445</v>
      </c>
      <c r="U438" s="88" t="s">
        <v>6446</v>
      </c>
      <c r="V438" s="88">
        <v>18.5</v>
      </c>
      <c r="W438" s="88">
        <v>14.0</v>
      </c>
      <c r="X438" s="88">
        <v>4.5</v>
      </c>
    </row>
    <row r="439">
      <c r="A439" s="88">
        <v>3.5447999E7</v>
      </c>
      <c r="B439" s="88" t="e">
        <v>#N/A</v>
      </c>
      <c r="C439" s="88" t="s">
        <v>6447</v>
      </c>
      <c r="D439" s="88">
        <v>4.63115222606E12</v>
      </c>
      <c r="F439" s="88" t="s">
        <v>6391</v>
      </c>
      <c r="H439" s="88" t="s">
        <v>6448</v>
      </c>
      <c r="L439" s="88" t="s">
        <v>2777</v>
      </c>
      <c r="N439" s="88" t="s">
        <v>6300</v>
      </c>
      <c r="P439" s="88" t="s">
        <v>3960</v>
      </c>
      <c r="Q439" s="88" t="s">
        <v>6449</v>
      </c>
      <c r="U439" s="88" t="s">
        <v>6450</v>
      </c>
      <c r="V439" s="88">
        <v>5.5</v>
      </c>
      <c r="W439" s="88">
        <v>4.0</v>
      </c>
      <c r="X439" s="88">
        <v>1.0</v>
      </c>
    </row>
    <row r="440">
      <c r="A440" s="88">
        <v>1.7898062E7</v>
      </c>
      <c r="B440" s="88" t="e">
        <v>#N/A</v>
      </c>
      <c r="C440" s="88" t="s">
        <v>6451</v>
      </c>
      <c r="D440" s="88">
        <v>4.631148633391E12</v>
      </c>
      <c r="F440" s="88" t="s">
        <v>6391</v>
      </c>
      <c r="H440" s="88" t="s">
        <v>6452</v>
      </c>
      <c r="L440" s="88" t="s">
        <v>6437</v>
      </c>
      <c r="P440" s="88" t="s">
        <v>6453</v>
      </c>
      <c r="Q440" s="88" t="s">
        <v>6454</v>
      </c>
      <c r="U440" s="88" t="s">
        <v>6455</v>
      </c>
      <c r="V440" s="88">
        <v>17.0</v>
      </c>
      <c r="W440" s="88">
        <v>5.0</v>
      </c>
      <c r="X440" s="88">
        <v>5.0</v>
      </c>
    </row>
    <row r="441">
      <c r="A441" s="88">
        <v>1.7908456E7</v>
      </c>
      <c r="B441" s="88" t="e">
        <v>#N/A</v>
      </c>
      <c r="C441" s="88" t="s">
        <v>6456</v>
      </c>
      <c r="D441" s="88">
        <v>2.252096556406E12</v>
      </c>
      <c r="F441" s="88" t="s">
        <v>6391</v>
      </c>
      <c r="H441" s="88" t="s">
        <v>6457</v>
      </c>
      <c r="L441" s="88" t="s">
        <v>6437</v>
      </c>
      <c r="P441" s="88" t="s">
        <v>3960</v>
      </c>
      <c r="U441" s="88" t="s">
        <v>6458</v>
      </c>
      <c r="V441" s="88">
        <v>25.6</v>
      </c>
      <c r="W441" s="88">
        <v>18.6</v>
      </c>
      <c r="X441" s="88">
        <v>5.0</v>
      </c>
    </row>
    <row r="442">
      <c r="A442" s="88">
        <v>3.4181749E7</v>
      </c>
      <c r="B442" s="88" t="e">
        <v>#N/A</v>
      </c>
      <c r="C442" s="88" t="s">
        <v>6459</v>
      </c>
      <c r="D442" s="88">
        <v>4.631149488372E12</v>
      </c>
      <c r="F442" s="88" t="s">
        <v>6391</v>
      </c>
      <c r="H442" s="88" t="s">
        <v>6460</v>
      </c>
      <c r="L442" s="88" t="s">
        <v>6461</v>
      </c>
      <c r="N442" s="88" t="s">
        <v>6296</v>
      </c>
      <c r="P442" s="88" t="s">
        <v>3960</v>
      </c>
      <c r="Q442" s="88" t="s">
        <v>6462</v>
      </c>
      <c r="U442" s="88" t="s">
        <v>6463</v>
      </c>
      <c r="V442" s="88">
        <v>11.0</v>
      </c>
      <c r="W442" s="88">
        <v>11.0</v>
      </c>
      <c r="X442" s="88">
        <v>1.0</v>
      </c>
    </row>
    <row r="443">
      <c r="A443" s="88">
        <v>3.4183917E7</v>
      </c>
      <c r="B443" s="88" t="e">
        <v>#N/A</v>
      </c>
      <c r="C443" s="88" t="s">
        <v>6464</v>
      </c>
      <c r="D443" s="88">
        <v>4.631149488365E12</v>
      </c>
      <c r="F443" s="88" t="s">
        <v>6391</v>
      </c>
      <c r="H443" s="88" t="s">
        <v>6465</v>
      </c>
      <c r="L443" s="88" t="s">
        <v>2777</v>
      </c>
      <c r="N443" s="88" t="s">
        <v>6302</v>
      </c>
      <c r="P443" s="88" t="s">
        <v>3960</v>
      </c>
      <c r="Q443" s="88" t="s">
        <v>6466</v>
      </c>
      <c r="U443" s="88" t="s">
        <v>6315</v>
      </c>
      <c r="V443" s="88">
        <v>11.0</v>
      </c>
      <c r="W443" s="88">
        <v>6.5</v>
      </c>
      <c r="X443" s="88">
        <v>2.5</v>
      </c>
    </row>
    <row r="444">
      <c r="A444" s="88">
        <v>1.7903342E7</v>
      </c>
      <c r="B444" s="88" t="e">
        <v>#N/A</v>
      </c>
      <c r="C444" s="88" t="s">
        <v>6467</v>
      </c>
      <c r="D444" s="88">
        <v>4.631141996011E12</v>
      </c>
      <c r="F444" s="88" t="s">
        <v>6391</v>
      </c>
      <c r="H444" s="88" t="s">
        <v>6468</v>
      </c>
      <c r="L444" s="88" t="s">
        <v>2777</v>
      </c>
      <c r="N444" s="88" t="s">
        <v>6469</v>
      </c>
      <c r="P444" s="88" t="s">
        <v>3960</v>
      </c>
      <c r="Q444" s="88" t="s">
        <v>6470</v>
      </c>
      <c r="U444" s="88" t="s">
        <v>5756</v>
      </c>
      <c r="V444" s="88">
        <v>10.0</v>
      </c>
      <c r="W444" s="88">
        <v>4.0</v>
      </c>
      <c r="X444" s="88">
        <v>4.0</v>
      </c>
    </row>
    <row r="445">
      <c r="A445" s="88">
        <v>4.156947E7</v>
      </c>
      <c r="B445" s="88" t="e">
        <v>#N/A</v>
      </c>
      <c r="C445" s="88" t="s">
        <v>6471</v>
      </c>
      <c r="F445" s="88" t="s">
        <v>6391</v>
      </c>
      <c r="H445" s="88" t="s">
        <v>6472</v>
      </c>
      <c r="L445" s="88" t="s">
        <v>2777</v>
      </c>
      <c r="N445" s="88" t="s">
        <v>6363</v>
      </c>
      <c r="Q445" s="88" t="s">
        <v>6473</v>
      </c>
      <c r="U445" s="88" t="s">
        <v>6474</v>
      </c>
      <c r="V445" s="88">
        <v>5.0</v>
      </c>
      <c r="W445" s="88">
        <v>5.0</v>
      </c>
      <c r="X445" s="88">
        <v>3.0</v>
      </c>
    </row>
    <row r="446">
      <c r="A446" s="88">
        <v>1.7905956E7</v>
      </c>
      <c r="B446" s="88" t="e">
        <v>#N/A</v>
      </c>
      <c r="C446" s="88" t="s">
        <v>6475</v>
      </c>
      <c r="D446" s="88">
        <v>4.631146680892E12</v>
      </c>
      <c r="F446" s="88" t="s">
        <v>6391</v>
      </c>
      <c r="H446" s="88" t="s">
        <v>6476</v>
      </c>
      <c r="L446" s="88" t="s">
        <v>2777</v>
      </c>
      <c r="N446" s="88" t="s">
        <v>6363</v>
      </c>
      <c r="P446" s="88" t="s">
        <v>6477</v>
      </c>
      <c r="Q446" s="88" t="s">
        <v>6478</v>
      </c>
      <c r="U446" s="88" t="s">
        <v>6474</v>
      </c>
      <c r="V446" s="88">
        <v>5.0</v>
      </c>
      <c r="W446" s="88">
        <v>5.0</v>
      </c>
      <c r="X446" s="88">
        <v>3.0</v>
      </c>
    </row>
    <row r="447">
      <c r="A447" s="88">
        <v>1.7794429E7</v>
      </c>
      <c r="B447" s="88" t="e">
        <v>#N/A</v>
      </c>
      <c r="C447" s="88" t="s">
        <v>6479</v>
      </c>
      <c r="D447" s="88">
        <v>4.631145481889E12</v>
      </c>
      <c r="F447" s="88" t="s">
        <v>6391</v>
      </c>
      <c r="H447" s="88" t="s">
        <v>6480</v>
      </c>
      <c r="L447" s="88" t="s">
        <v>2777</v>
      </c>
      <c r="N447" s="88" t="s">
        <v>6352</v>
      </c>
      <c r="P447" s="88" t="s">
        <v>3960</v>
      </c>
      <c r="Q447" s="88" t="s">
        <v>6481</v>
      </c>
      <c r="U447" s="88" t="s">
        <v>6482</v>
      </c>
      <c r="V447" s="88">
        <v>6.5</v>
      </c>
      <c r="W447" s="88">
        <v>6.0</v>
      </c>
      <c r="X447" s="88">
        <v>6.5</v>
      </c>
    </row>
    <row r="448">
      <c r="A448" s="88">
        <v>1.7906324E7</v>
      </c>
      <c r="B448" s="88" t="e">
        <v>#N/A</v>
      </c>
      <c r="C448" s="88" t="s">
        <v>6483</v>
      </c>
      <c r="D448" s="88">
        <v>4.631137993536E12</v>
      </c>
      <c r="F448" s="88" t="s">
        <v>6391</v>
      </c>
      <c r="H448" s="88" t="s">
        <v>6484</v>
      </c>
      <c r="L448" s="88" t="s">
        <v>2777</v>
      </c>
      <c r="N448" s="88" t="s">
        <v>6485</v>
      </c>
      <c r="P448" s="88" t="s">
        <v>6486</v>
      </c>
      <c r="Q448" s="88" t="s">
        <v>6487</v>
      </c>
      <c r="U448" s="88" t="s">
        <v>6488</v>
      </c>
      <c r="V448" s="88">
        <v>5.0</v>
      </c>
      <c r="W448" s="88">
        <v>2.0</v>
      </c>
      <c r="X448" s="88">
        <v>2.0</v>
      </c>
    </row>
    <row r="449">
      <c r="A449" s="88">
        <v>1.7908498E7</v>
      </c>
      <c r="B449" s="88" t="e">
        <v>#N/A</v>
      </c>
      <c r="C449" s="88" t="s">
        <v>6489</v>
      </c>
      <c r="D449" s="88">
        <v>2.000914459008E12</v>
      </c>
      <c r="F449" s="88" t="s">
        <v>6391</v>
      </c>
      <c r="H449" s="88" t="s">
        <v>6484</v>
      </c>
      <c r="L449" s="88" t="s">
        <v>2777</v>
      </c>
      <c r="N449" s="88" t="s">
        <v>6490</v>
      </c>
      <c r="P449" s="88" t="s">
        <v>6486</v>
      </c>
      <c r="Q449" s="88" t="s">
        <v>6491</v>
      </c>
      <c r="U449" s="88" t="s">
        <v>6492</v>
      </c>
      <c r="V449" s="88">
        <v>18.5</v>
      </c>
      <c r="W449" s="88">
        <v>14.0</v>
      </c>
      <c r="X449" s="88">
        <v>4.0</v>
      </c>
    </row>
    <row r="450">
      <c r="A450" s="88">
        <v>3.5052167E7</v>
      </c>
      <c r="B450" s="88" t="e">
        <v>#N/A</v>
      </c>
      <c r="C450" s="88" t="s">
        <v>6493</v>
      </c>
      <c r="D450" s="88">
        <v>4.62709978167E12</v>
      </c>
      <c r="F450" s="88" t="s">
        <v>6391</v>
      </c>
      <c r="H450" s="88" t="s">
        <v>6494</v>
      </c>
      <c r="L450" s="88" t="s">
        <v>6437</v>
      </c>
      <c r="N450" s="88" t="s">
        <v>6114</v>
      </c>
      <c r="P450" s="88" t="s">
        <v>3960</v>
      </c>
      <c r="Q450" s="88" t="s">
        <v>6454</v>
      </c>
      <c r="U450" s="88" t="s">
        <v>6495</v>
      </c>
      <c r="V450" s="88">
        <v>5.0</v>
      </c>
      <c r="W450" s="88">
        <v>5.0</v>
      </c>
      <c r="X450" s="97">
        <v>46155.0</v>
      </c>
    </row>
    <row r="451">
      <c r="A451" s="88">
        <v>4.0711104E7</v>
      </c>
      <c r="B451" s="88" t="e">
        <v>#N/A</v>
      </c>
      <c r="C451" s="88" t="s">
        <v>6496</v>
      </c>
      <c r="D451" s="88">
        <v>4.631159687789E12</v>
      </c>
      <c r="L451" s="88" t="s">
        <v>6437</v>
      </c>
      <c r="N451" s="88" t="s">
        <v>6114</v>
      </c>
      <c r="Q451" s="88" t="s">
        <v>6497</v>
      </c>
      <c r="U451" s="88" t="s">
        <v>6498</v>
      </c>
      <c r="V451" s="88">
        <v>5.0</v>
      </c>
      <c r="W451" s="88">
        <v>17.0</v>
      </c>
      <c r="X451" s="88">
        <v>5.0</v>
      </c>
    </row>
    <row r="452">
      <c r="A452" s="88">
        <v>3.5052411E7</v>
      </c>
      <c r="B452" s="88" t="e">
        <v>#N/A</v>
      </c>
      <c r="C452" s="88" t="s">
        <v>6499</v>
      </c>
      <c r="D452" s="88">
        <v>2.251931619986E12</v>
      </c>
      <c r="F452" s="88" t="s">
        <v>6391</v>
      </c>
      <c r="H452" s="88" t="s">
        <v>6494</v>
      </c>
      <c r="L452" s="88" t="s">
        <v>6437</v>
      </c>
      <c r="N452" s="88" t="s">
        <v>6500</v>
      </c>
      <c r="P452" s="88" t="s">
        <v>3960</v>
      </c>
      <c r="U452" s="88" t="s">
        <v>6501</v>
      </c>
      <c r="V452" s="88">
        <v>25.8</v>
      </c>
      <c r="W452" s="88">
        <v>19.0</v>
      </c>
      <c r="X452" s="88">
        <v>5.0</v>
      </c>
    </row>
    <row r="453">
      <c r="A453" s="88">
        <v>3.4186991E7</v>
      </c>
      <c r="B453" s="88" t="e">
        <v>#N/A</v>
      </c>
      <c r="C453" s="88" t="s">
        <v>6502</v>
      </c>
      <c r="D453" s="88">
        <v>4.63115391191E12</v>
      </c>
      <c r="F453" s="88" t="s">
        <v>6391</v>
      </c>
      <c r="H453" s="88" t="s">
        <v>6503</v>
      </c>
      <c r="L453" s="88" t="s">
        <v>2777</v>
      </c>
      <c r="N453" s="88" t="s">
        <v>6504</v>
      </c>
      <c r="P453" s="88" t="s">
        <v>3960</v>
      </c>
      <c r="Q453" s="88" t="s">
        <v>6505</v>
      </c>
      <c r="U453" s="88" t="s">
        <v>6506</v>
      </c>
      <c r="V453" s="88">
        <v>13.0</v>
      </c>
      <c r="W453" s="88">
        <v>9.0</v>
      </c>
      <c r="X453" s="88">
        <v>5.0</v>
      </c>
    </row>
    <row r="454">
      <c r="A454" s="88">
        <v>4.1324444E7</v>
      </c>
      <c r="B454" s="88" t="e">
        <v>#N/A</v>
      </c>
      <c r="C454" s="88" t="s">
        <v>5628</v>
      </c>
      <c r="D454" s="88">
        <v>4.631136905301E12</v>
      </c>
      <c r="F454" s="88" t="s">
        <v>6391</v>
      </c>
      <c r="H454" s="88" t="s">
        <v>6507</v>
      </c>
      <c r="L454" s="88" t="s">
        <v>2777</v>
      </c>
      <c r="N454" s="88" t="s">
        <v>6023</v>
      </c>
      <c r="P454" s="88" t="s">
        <v>3960</v>
      </c>
      <c r="Q454" s="88" t="s">
        <v>6508</v>
      </c>
      <c r="U454" s="88" t="s">
        <v>6509</v>
      </c>
      <c r="V454" s="88">
        <v>13.0</v>
      </c>
      <c r="W454" s="88">
        <v>6.0</v>
      </c>
      <c r="X454" s="88">
        <v>10.0</v>
      </c>
    </row>
    <row r="455">
      <c r="A455" s="88">
        <v>4.1325253E7</v>
      </c>
      <c r="B455" s="88" t="e">
        <v>#N/A</v>
      </c>
      <c r="C455" s="88" t="s">
        <v>6510</v>
      </c>
      <c r="D455" s="88">
        <v>4.631136905158E12</v>
      </c>
      <c r="F455" s="88" t="s">
        <v>6391</v>
      </c>
      <c r="H455" s="88" t="s">
        <v>6511</v>
      </c>
      <c r="L455" s="88" t="s">
        <v>2777</v>
      </c>
      <c r="N455" s="88" t="s">
        <v>6023</v>
      </c>
      <c r="P455" s="88" t="s">
        <v>3960</v>
      </c>
      <c r="Q455" s="88" t="s">
        <v>6512</v>
      </c>
      <c r="U455" s="88" t="s">
        <v>6407</v>
      </c>
      <c r="V455" s="88">
        <v>11.0</v>
      </c>
      <c r="W455" s="88">
        <v>3.5</v>
      </c>
      <c r="X455" s="88">
        <v>3.5</v>
      </c>
    </row>
    <row r="456">
      <c r="A456" s="88">
        <v>3.4189189E7</v>
      </c>
      <c r="B456" s="88" t="e">
        <v>#N/A</v>
      </c>
      <c r="C456" s="88" t="s">
        <v>5606</v>
      </c>
      <c r="D456" s="88">
        <v>4.631144702657E12</v>
      </c>
      <c r="F456" s="88" t="s">
        <v>6391</v>
      </c>
      <c r="H456" s="88" t="s">
        <v>6513</v>
      </c>
      <c r="L456" s="88" t="s">
        <v>2777</v>
      </c>
      <c r="N456" s="88" t="s">
        <v>6352</v>
      </c>
      <c r="P456" s="88" t="s">
        <v>3960</v>
      </c>
      <c r="Q456" s="88" t="s">
        <v>6514</v>
      </c>
      <c r="U456" s="88" t="s">
        <v>5756</v>
      </c>
      <c r="V456" s="88">
        <v>10.0</v>
      </c>
      <c r="W456" s="88">
        <v>4.0</v>
      </c>
      <c r="X456" s="88">
        <v>4.0</v>
      </c>
    </row>
    <row r="457">
      <c r="A457" s="88">
        <v>1.7906971E7</v>
      </c>
      <c r="B457" s="88" t="e">
        <v>#N/A</v>
      </c>
      <c r="C457" s="88" t="s">
        <v>6515</v>
      </c>
      <c r="D457" s="88">
        <v>4.631141305813E12</v>
      </c>
      <c r="F457" s="88" t="s">
        <v>6391</v>
      </c>
      <c r="H457" s="88" t="s">
        <v>6516</v>
      </c>
      <c r="L457" s="88" t="s">
        <v>2777</v>
      </c>
      <c r="N457" s="88" t="s">
        <v>6517</v>
      </c>
      <c r="P457" s="88" t="s">
        <v>3960</v>
      </c>
      <c r="Q457" s="88" t="s">
        <v>6518</v>
      </c>
      <c r="U457" s="88" t="s">
        <v>6519</v>
      </c>
      <c r="V457" s="88">
        <v>6.5</v>
      </c>
      <c r="W457" s="88">
        <v>6.5</v>
      </c>
      <c r="X457" s="88">
        <v>6.5</v>
      </c>
    </row>
    <row r="458">
      <c r="A458" s="88" t="e">
        <v>#N/A</v>
      </c>
      <c r="B458" s="88" t="e">
        <v>#N/A</v>
      </c>
      <c r="D458" s="88" t="e">
        <v>#N/A</v>
      </c>
      <c r="E458" s="88" t="e">
        <v>#N/A</v>
      </c>
      <c r="F458" s="88" t="e">
        <v>#N/A</v>
      </c>
      <c r="H458" s="88" t="e">
        <v>#N/A</v>
      </c>
      <c r="L458" s="88" t="e">
        <v>#N/A</v>
      </c>
      <c r="M458" s="88" t="e">
        <v>#N/A</v>
      </c>
      <c r="N458" s="88" t="e">
        <v>#N/A</v>
      </c>
      <c r="P458" s="88" t="e">
        <v>#N/A</v>
      </c>
      <c r="Q458" s="88" t="e">
        <v>#N/A</v>
      </c>
      <c r="T458" s="88" t="e">
        <v>#N/A</v>
      </c>
      <c r="U458" s="88" t="e">
        <v>#N/A</v>
      </c>
      <c r="V458" s="88" t="e">
        <v>#N/A</v>
      </c>
      <c r="Z458" s="88" t="e">
        <v>#N/A</v>
      </c>
      <c r="AA458" s="88" t="e">
        <v>#N/A</v>
      </c>
    </row>
    <row r="459">
      <c r="A459" s="88" t="e">
        <v>#N/A</v>
      </c>
      <c r="B459" s="88" t="e">
        <v>#N/A</v>
      </c>
      <c r="D459" s="88" t="e">
        <v>#N/A</v>
      </c>
      <c r="E459" s="88" t="e">
        <v>#N/A</v>
      </c>
      <c r="F459" s="88" t="e">
        <v>#N/A</v>
      </c>
      <c r="H459" s="88" t="e">
        <v>#N/A</v>
      </c>
      <c r="L459" s="88" t="e">
        <v>#N/A</v>
      </c>
      <c r="M459" s="88" t="e">
        <v>#N/A</v>
      </c>
      <c r="N459" s="88" t="e">
        <v>#N/A</v>
      </c>
      <c r="P459" s="88" t="e">
        <v>#N/A</v>
      </c>
      <c r="Q459" s="88" t="e">
        <v>#N/A</v>
      </c>
      <c r="T459" s="88" t="e">
        <v>#N/A</v>
      </c>
      <c r="U459" s="88" t="e">
        <v>#N/A</v>
      </c>
      <c r="V459" s="88" t="e">
        <v>#N/A</v>
      </c>
      <c r="Z459" s="88" t="e">
        <v>#N/A</v>
      </c>
      <c r="AA459" s="88" t="e">
        <v>#N/A</v>
      </c>
    </row>
    <row r="460">
      <c r="A460" s="88" t="e">
        <v>#N/A</v>
      </c>
      <c r="B460" s="88" t="e">
        <v>#N/A</v>
      </c>
      <c r="D460" s="88" t="e">
        <v>#N/A</v>
      </c>
      <c r="E460" s="88" t="e">
        <v>#N/A</v>
      </c>
      <c r="F460" s="88" t="e">
        <v>#N/A</v>
      </c>
      <c r="H460" s="88" t="e">
        <v>#N/A</v>
      </c>
      <c r="L460" s="88" t="e">
        <v>#N/A</v>
      </c>
      <c r="M460" s="88" t="e">
        <v>#N/A</v>
      </c>
      <c r="N460" s="88" t="e">
        <v>#N/A</v>
      </c>
      <c r="P460" s="88" t="e">
        <v>#N/A</v>
      </c>
      <c r="Q460" s="88" t="e">
        <v>#N/A</v>
      </c>
      <c r="T460" s="88" t="e">
        <v>#N/A</v>
      </c>
      <c r="U460" s="88" t="e">
        <v>#N/A</v>
      </c>
      <c r="V460" s="88" t="e">
        <v>#N/A</v>
      </c>
      <c r="Z460" s="88" t="e">
        <v>#N/A</v>
      </c>
      <c r="AA460" s="88" t="e">
        <v>#N/A</v>
      </c>
    </row>
    <row r="461">
      <c r="A461" s="88" t="e">
        <v>#N/A</v>
      </c>
      <c r="B461" s="88" t="e">
        <v>#N/A</v>
      </c>
      <c r="D461" s="88" t="e">
        <v>#N/A</v>
      </c>
      <c r="E461" s="88" t="e">
        <v>#N/A</v>
      </c>
      <c r="F461" s="88" t="e">
        <v>#N/A</v>
      </c>
      <c r="H461" s="88" t="e">
        <v>#N/A</v>
      </c>
      <c r="L461" s="88" t="e">
        <v>#N/A</v>
      </c>
      <c r="M461" s="88" t="e">
        <v>#N/A</v>
      </c>
      <c r="N461" s="88" t="e">
        <v>#N/A</v>
      </c>
      <c r="P461" s="88" t="e">
        <v>#N/A</v>
      </c>
      <c r="Q461" s="88" t="e">
        <v>#N/A</v>
      </c>
      <c r="T461" s="88" t="e">
        <v>#N/A</v>
      </c>
      <c r="U461" s="88" t="e">
        <v>#N/A</v>
      </c>
      <c r="V461" s="88" t="e">
        <v>#N/A</v>
      </c>
      <c r="Z461" s="88" t="e">
        <v>#N/A</v>
      </c>
      <c r="AA461" s="88" t="e">
        <v>#N/A</v>
      </c>
    </row>
    <row r="462">
      <c r="A462" s="88" t="e">
        <v>#N/A</v>
      </c>
      <c r="B462" s="88" t="e">
        <v>#N/A</v>
      </c>
      <c r="D462" s="88" t="e">
        <v>#N/A</v>
      </c>
      <c r="E462" s="88" t="e">
        <v>#N/A</v>
      </c>
      <c r="F462" s="88" t="e">
        <v>#N/A</v>
      </c>
      <c r="H462" s="88" t="e">
        <v>#N/A</v>
      </c>
      <c r="L462" s="88" t="e">
        <v>#N/A</v>
      </c>
      <c r="M462" s="88" t="e">
        <v>#N/A</v>
      </c>
      <c r="N462" s="88" t="e">
        <v>#N/A</v>
      </c>
      <c r="P462" s="88" t="e">
        <v>#N/A</v>
      </c>
      <c r="Q462" s="88" t="e">
        <v>#N/A</v>
      </c>
      <c r="T462" s="88" t="e">
        <v>#N/A</v>
      </c>
      <c r="U462" s="88" t="e">
        <v>#N/A</v>
      </c>
      <c r="V462" s="88" t="e">
        <v>#N/A</v>
      </c>
      <c r="Z462" s="88" t="e">
        <v>#N/A</v>
      </c>
      <c r="AA462" s="88" t="e">
        <v>#N/A</v>
      </c>
    </row>
    <row r="463">
      <c r="A463" s="88" t="e">
        <v>#N/A</v>
      </c>
      <c r="B463" s="88" t="e">
        <v>#N/A</v>
      </c>
      <c r="D463" s="88" t="e">
        <v>#N/A</v>
      </c>
      <c r="E463" s="88" t="e">
        <v>#N/A</v>
      </c>
      <c r="F463" s="88" t="e">
        <v>#N/A</v>
      </c>
      <c r="H463" s="88" t="e">
        <v>#N/A</v>
      </c>
      <c r="L463" s="88" t="e">
        <v>#N/A</v>
      </c>
      <c r="M463" s="88" t="e">
        <v>#N/A</v>
      </c>
      <c r="N463" s="88" t="e">
        <v>#N/A</v>
      </c>
      <c r="P463" s="88" t="e">
        <v>#N/A</v>
      </c>
      <c r="Q463" s="88" t="e">
        <v>#N/A</v>
      </c>
      <c r="T463" s="88" t="e">
        <v>#N/A</v>
      </c>
      <c r="U463" s="88" t="e">
        <v>#N/A</v>
      </c>
      <c r="V463" s="88" t="e">
        <v>#N/A</v>
      </c>
      <c r="Z463" s="88" t="e">
        <v>#N/A</v>
      </c>
      <c r="AA463" s="88" t="e">
        <v>#N/A</v>
      </c>
    </row>
    <row r="464">
      <c r="A464" s="88" t="e">
        <v>#N/A</v>
      </c>
      <c r="B464" s="88" t="e">
        <v>#N/A</v>
      </c>
      <c r="D464" s="88" t="e">
        <v>#N/A</v>
      </c>
      <c r="E464" s="88" t="e">
        <v>#N/A</v>
      </c>
      <c r="F464" s="88" t="e">
        <v>#N/A</v>
      </c>
      <c r="H464" s="88" t="e">
        <v>#N/A</v>
      </c>
      <c r="L464" s="88" t="e">
        <v>#N/A</v>
      </c>
      <c r="M464" s="88" t="e">
        <v>#N/A</v>
      </c>
      <c r="N464" s="88" t="e">
        <v>#N/A</v>
      </c>
      <c r="P464" s="88" t="e">
        <v>#N/A</v>
      </c>
      <c r="Q464" s="88" t="e">
        <v>#N/A</v>
      </c>
      <c r="T464" s="88" t="e">
        <v>#N/A</v>
      </c>
      <c r="U464" s="88" t="e">
        <v>#N/A</v>
      </c>
      <c r="V464" s="88" t="e">
        <v>#N/A</v>
      </c>
      <c r="Z464" s="88" t="e">
        <v>#N/A</v>
      </c>
      <c r="AA464" s="88" t="e">
        <v>#N/A</v>
      </c>
    </row>
    <row r="465">
      <c r="A465" s="88" t="e">
        <v>#N/A</v>
      </c>
      <c r="B465" s="88" t="e">
        <v>#N/A</v>
      </c>
      <c r="D465" s="88" t="e">
        <v>#N/A</v>
      </c>
      <c r="E465" s="88" t="e">
        <v>#N/A</v>
      </c>
      <c r="F465" s="88" t="e">
        <v>#N/A</v>
      </c>
      <c r="H465" s="88" t="e">
        <v>#N/A</v>
      </c>
      <c r="L465" s="88" t="e">
        <v>#N/A</v>
      </c>
      <c r="M465" s="88" t="e">
        <v>#N/A</v>
      </c>
      <c r="N465" s="88" t="e">
        <v>#N/A</v>
      </c>
      <c r="P465" s="88" t="e">
        <v>#N/A</v>
      </c>
      <c r="Q465" s="88" t="e">
        <v>#N/A</v>
      </c>
      <c r="T465" s="88" t="e">
        <v>#N/A</v>
      </c>
      <c r="U465" s="88" t="e">
        <v>#N/A</v>
      </c>
      <c r="V465" s="88" t="e">
        <v>#N/A</v>
      </c>
      <c r="Z465" s="88" t="e">
        <v>#N/A</v>
      </c>
      <c r="AA465" s="88" t="e">
        <v>#N/A</v>
      </c>
    </row>
    <row r="466">
      <c r="A466" s="88" t="e">
        <v>#N/A</v>
      </c>
      <c r="B466" s="88" t="e">
        <v>#N/A</v>
      </c>
      <c r="D466" s="88" t="e">
        <v>#N/A</v>
      </c>
      <c r="E466" s="88" t="e">
        <v>#N/A</v>
      </c>
      <c r="F466" s="88" t="e">
        <v>#N/A</v>
      </c>
      <c r="H466" s="88" t="e">
        <v>#N/A</v>
      </c>
      <c r="L466" s="88" t="e">
        <v>#N/A</v>
      </c>
      <c r="M466" s="88" t="e">
        <v>#N/A</v>
      </c>
      <c r="N466" s="88" t="e">
        <v>#N/A</v>
      </c>
      <c r="P466" s="88" t="e">
        <v>#N/A</v>
      </c>
      <c r="Q466" s="88" t="e">
        <v>#N/A</v>
      </c>
      <c r="T466" s="88" t="e">
        <v>#N/A</v>
      </c>
      <c r="U466" s="88" t="e">
        <v>#N/A</v>
      </c>
      <c r="V466" s="88" t="e">
        <v>#N/A</v>
      </c>
      <c r="Z466" s="88" t="e">
        <v>#N/A</v>
      </c>
      <c r="AA466" s="88" t="e">
        <v>#N/A</v>
      </c>
    </row>
    <row r="467">
      <c r="A467" s="88" t="e">
        <v>#N/A</v>
      </c>
      <c r="B467" s="88" t="e">
        <v>#N/A</v>
      </c>
      <c r="D467" s="88" t="e">
        <v>#N/A</v>
      </c>
      <c r="E467" s="88" t="e">
        <v>#N/A</v>
      </c>
      <c r="F467" s="88" t="e">
        <v>#N/A</v>
      </c>
      <c r="H467" s="88" t="e">
        <v>#N/A</v>
      </c>
      <c r="L467" s="88" t="e">
        <v>#N/A</v>
      </c>
      <c r="M467" s="88" t="e">
        <v>#N/A</v>
      </c>
      <c r="N467" s="88" t="e">
        <v>#N/A</v>
      </c>
      <c r="P467" s="88" t="e">
        <v>#N/A</v>
      </c>
      <c r="Q467" s="88" t="e">
        <v>#N/A</v>
      </c>
      <c r="T467" s="88" t="e">
        <v>#N/A</v>
      </c>
      <c r="U467" s="88" t="e">
        <v>#N/A</v>
      </c>
      <c r="V467" s="88" t="e">
        <v>#N/A</v>
      </c>
      <c r="Z467" s="88" t="e">
        <v>#N/A</v>
      </c>
      <c r="AA467" s="88" t="e">
        <v>#N/A</v>
      </c>
    </row>
    <row r="468">
      <c r="A468" s="88" t="e">
        <v>#N/A</v>
      </c>
      <c r="B468" s="88" t="e">
        <v>#N/A</v>
      </c>
      <c r="D468" s="88" t="e">
        <v>#N/A</v>
      </c>
      <c r="E468" s="88" t="e">
        <v>#N/A</v>
      </c>
      <c r="F468" s="88" t="e">
        <v>#N/A</v>
      </c>
      <c r="H468" s="88" t="e">
        <v>#N/A</v>
      </c>
      <c r="L468" s="88" t="e">
        <v>#N/A</v>
      </c>
      <c r="M468" s="88" t="e">
        <v>#N/A</v>
      </c>
      <c r="N468" s="88" t="e">
        <v>#N/A</v>
      </c>
      <c r="P468" s="88" t="e">
        <v>#N/A</v>
      </c>
      <c r="Q468" s="88" t="e">
        <v>#N/A</v>
      </c>
      <c r="T468" s="88" t="e">
        <v>#N/A</v>
      </c>
      <c r="U468" s="88" t="e">
        <v>#N/A</v>
      </c>
      <c r="V468" s="88" t="e">
        <v>#N/A</v>
      </c>
      <c r="Z468" s="88" t="e">
        <v>#N/A</v>
      </c>
      <c r="AA468" s="88" t="e">
        <v>#N/A</v>
      </c>
    </row>
    <row r="469">
      <c r="A469" s="88" t="e">
        <v>#N/A</v>
      </c>
      <c r="B469" s="88" t="e">
        <v>#N/A</v>
      </c>
      <c r="D469" s="88" t="e">
        <v>#N/A</v>
      </c>
      <c r="E469" s="88" t="e">
        <v>#N/A</v>
      </c>
      <c r="F469" s="88" t="e">
        <v>#N/A</v>
      </c>
      <c r="H469" s="88" t="e">
        <v>#N/A</v>
      </c>
      <c r="L469" s="88" t="e">
        <v>#N/A</v>
      </c>
      <c r="M469" s="88" t="e">
        <v>#N/A</v>
      </c>
      <c r="N469" s="88" t="e">
        <v>#N/A</v>
      </c>
      <c r="P469" s="88" t="e">
        <v>#N/A</v>
      </c>
      <c r="Q469" s="88" t="e">
        <v>#N/A</v>
      </c>
      <c r="T469" s="88" t="e">
        <v>#N/A</v>
      </c>
      <c r="U469" s="88" t="e">
        <v>#N/A</v>
      </c>
      <c r="V469" s="88" t="e">
        <v>#N/A</v>
      </c>
      <c r="Z469" s="88" t="e">
        <v>#N/A</v>
      </c>
      <c r="AA469" s="88" t="e">
        <v>#N/A</v>
      </c>
    </row>
    <row r="470">
      <c r="A470" s="88" t="e">
        <v>#N/A</v>
      </c>
      <c r="B470" s="88" t="e">
        <v>#N/A</v>
      </c>
    </row>
    <row r="471">
      <c r="A471" s="88" t="e">
        <v>#N/A</v>
      </c>
      <c r="B471" s="88" t="e">
        <v>#N/A</v>
      </c>
    </row>
    <row r="472">
      <c r="A472" s="88" t="e">
        <v>#N/A</v>
      </c>
      <c r="B472" s="88" t="e">
        <v>#N/A</v>
      </c>
    </row>
    <row r="473">
      <c r="A473" s="88" t="e">
        <v>#N/A</v>
      </c>
      <c r="B473" s="88" t="e">
        <v>#N/A</v>
      </c>
    </row>
    <row r="474">
      <c r="A474" s="88" t="e">
        <v>#N/A</v>
      </c>
      <c r="B474" s="88" t="e">
        <v>#N/A</v>
      </c>
    </row>
    <row r="475">
      <c r="A475" s="88" t="e">
        <v>#N/A</v>
      </c>
      <c r="B475" s="88" t="e">
        <v>#N/A</v>
      </c>
    </row>
    <row r="476">
      <c r="A476" s="88" t="e">
        <v>#N/A</v>
      </c>
      <c r="B476" s="88" t="e">
        <v>#N/A</v>
      </c>
    </row>
    <row r="477">
      <c r="A477" s="88" t="e">
        <v>#N/A</v>
      </c>
      <c r="B477" s="88" t="e">
        <v>#N/A</v>
      </c>
    </row>
    <row r="478">
      <c r="A478" s="88" t="e">
        <v>#N/A</v>
      </c>
      <c r="B478" s="88" t="e">
        <v>#N/A</v>
      </c>
    </row>
    <row r="479">
      <c r="A479" s="88" t="e">
        <v>#N/A</v>
      </c>
      <c r="B479" s="88" t="e">
        <v>#N/A</v>
      </c>
    </row>
    <row r="480">
      <c r="A480" s="88" t="e">
        <v>#N/A</v>
      </c>
      <c r="B480" s="88" t="e">
        <v>#N/A</v>
      </c>
    </row>
    <row r="481">
      <c r="A481" s="88" t="e">
        <v>#N/A</v>
      </c>
      <c r="B481" s="88" t="e">
        <v>#N/A</v>
      </c>
    </row>
    <row r="482">
      <c r="A482" s="88" t="e">
        <v>#N/A</v>
      </c>
      <c r="B482" s="88" t="e">
        <v>#N/A</v>
      </c>
    </row>
    <row r="483">
      <c r="A483" s="88" t="e">
        <v>#N/A</v>
      </c>
      <c r="B483" s="88" t="e">
        <v>#N/A</v>
      </c>
    </row>
    <row r="484">
      <c r="A484" s="88" t="e">
        <v>#N/A</v>
      </c>
      <c r="B484" s="88" t="e">
        <v>#N/A</v>
      </c>
    </row>
    <row r="485">
      <c r="A485" s="88" t="e">
        <v>#N/A</v>
      </c>
      <c r="B485" s="88" t="e">
        <v>#N/A</v>
      </c>
    </row>
    <row r="486">
      <c r="A486" s="88" t="e">
        <v>#N/A</v>
      </c>
      <c r="B486" s="88" t="e">
        <v>#N/A</v>
      </c>
    </row>
    <row r="487">
      <c r="A487" s="88" t="e">
        <v>#N/A</v>
      </c>
      <c r="B487" s="88" t="e">
        <v>#N/A</v>
      </c>
    </row>
    <row r="488">
      <c r="A488" s="88" t="e">
        <v>#N/A</v>
      </c>
      <c r="B488" s="88" t="e">
        <v>#N/A</v>
      </c>
    </row>
    <row r="489">
      <c r="A489" s="88" t="e">
        <v>#N/A</v>
      </c>
      <c r="B489" s="88" t="e">
        <v>#N/A</v>
      </c>
    </row>
    <row r="490">
      <c r="A490" s="88" t="e">
        <v>#N/A</v>
      </c>
      <c r="B490" s="88" t="e">
        <v>#N/A</v>
      </c>
    </row>
    <row r="491">
      <c r="A491" s="88" t="e">
        <v>#N/A</v>
      </c>
      <c r="B491" s="88" t="e">
        <v>#N/A</v>
      </c>
    </row>
    <row r="492">
      <c r="A492" s="88" t="e">
        <v>#N/A</v>
      </c>
      <c r="B492" s="88" t="e">
        <v>#N/A</v>
      </c>
    </row>
    <row r="493">
      <c r="A493" s="88" t="e">
        <v>#N/A</v>
      </c>
      <c r="B493" s="88" t="e">
        <v>#N/A</v>
      </c>
    </row>
    <row r="494">
      <c r="A494" s="88" t="e">
        <v>#N/A</v>
      </c>
      <c r="B494" s="88" t="e">
        <v>#N/A</v>
      </c>
    </row>
    <row r="495">
      <c r="A495" s="88" t="e">
        <v>#N/A</v>
      </c>
      <c r="B495" s="88" t="e">
        <v>#N/A</v>
      </c>
    </row>
    <row r="496">
      <c r="A496" s="88" t="e">
        <v>#N/A</v>
      </c>
      <c r="B496" s="88" t="e">
        <v>#N/A</v>
      </c>
    </row>
    <row r="497">
      <c r="A497" s="88" t="e">
        <v>#N/A</v>
      </c>
      <c r="B497" s="88" t="e">
        <v>#N/A</v>
      </c>
    </row>
    <row r="498">
      <c r="A498" s="88" t="e">
        <v>#N/A</v>
      </c>
      <c r="B498" s="88" t="e">
        <v>#N/A</v>
      </c>
    </row>
    <row r="499">
      <c r="A499" s="88" t="e">
        <v>#N/A</v>
      </c>
      <c r="B499" s="88" t="e">
        <v>#N/A</v>
      </c>
    </row>
    <row r="500">
      <c r="A500" s="88" t="e">
        <v>#N/A</v>
      </c>
      <c r="B500" s="88" t="e">
        <v>#N/A</v>
      </c>
    </row>
    <row r="501">
      <c r="A501" s="88" t="e">
        <v>#N/A</v>
      </c>
      <c r="B501" s="88" t="e">
        <v>#N/A</v>
      </c>
    </row>
    <row r="502">
      <c r="A502" s="88" t="e">
        <v>#N/A</v>
      </c>
      <c r="B502" s="88" t="e">
        <v>#N/A</v>
      </c>
    </row>
    <row r="503">
      <c r="A503" s="88" t="e">
        <v>#N/A</v>
      </c>
      <c r="B503" s="88" t="e">
        <v>#N/A</v>
      </c>
    </row>
    <row r="504">
      <c r="A504" s="88" t="e">
        <v>#N/A</v>
      </c>
      <c r="B504" s="88" t="e">
        <v>#N/A</v>
      </c>
    </row>
    <row r="505">
      <c r="A505" s="88" t="e">
        <v>#N/A</v>
      </c>
      <c r="B505" s="88" t="e">
        <v>#N/A</v>
      </c>
    </row>
    <row r="506">
      <c r="A506" s="88" t="e">
        <v>#N/A</v>
      </c>
      <c r="B506" s="88" t="e">
        <v>#N/A</v>
      </c>
    </row>
    <row r="507">
      <c r="A507" s="88" t="e">
        <v>#N/A</v>
      </c>
      <c r="B507" s="88" t="e">
        <v>#N/A</v>
      </c>
    </row>
  </sheetData>
  <hyperlinks>
    <hyperlink r:id="rId1" ref="Q26"/>
    <hyperlink r:id="rId2" ref="Q132"/>
    <hyperlink r:id="rId3" ref="Q134"/>
    <hyperlink r:id="rId4" ref="Q159"/>
    <hyperlink r:id="rId5" ref="Q170"/>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100"/>
      <c r="B1" s="101" t="s">
        <v>5695</v>
      </c>
      <c r="C1" s="102">
        <f t="shared" ref="C1:AA1" si="1">B1+1</f>
        <v>2</v>
      </c>
      <c r="D1" s="102">
        <f t="shared" si="1"/>
        <v>3</v>
      </c>
      <c r="E1" s="102">
        <f t="shared" si="1"/>
        <v>4</v>
      </c>
      <c r="F1" s="102">
        <f t="shared" si="1"/>
        <v>5</v>
      </c>
      <c r="G1" s="102">
        <f t="shared" si="1"/>
        <v>6</v>
      </c>
      <c r="H1" s="102">
        <f t="shared" si="1"/>
        <v>7</v>
      </c>
      <c r="I1" s="102">
        <f t="shared" si="1"/>
        <v>8</v>
      </c>
      <c r="J1" s="102">
        <f t="shared" si="1"/>
        <v>9</v>
      </c>
      <c r="K1" s="102">
        <f t="shared" si="1"/>
        <v>10</v>
      </c>
      <c r="L1" s="102">
        <f t="shared" si="1"/>
        <v>11</v>
      </c>
      <c r="M1" s="102">
        <f t="shared" si="1"/>
        <v>12</v>
      </c>
      <c r="N1" s="102">
        <f t="shared" si="1"/>
        <v>13</v>
      </c>
      <c r="O1" s="102">
        <f t="shared" si="1"/>
        <v>14</v>
      </c>
      <c r="P1" s="102">
        <f t="shared" si="1"/>
        <v>15</v>
      </c>
      <c r="Q1" s="102">
        <f t="shared" si="1"/>
        <v>16</v>
      </c>
      <c r="R1" s="102">
        <f t="shared" si="1"/>
        <v>17</v>
      </c>
      <c r="S1" s="102">
        <f t="shared" si="1"/>
        <v>18</v>
      </c>
      <c r="T1" s="102">
        <f t="shared" si="1"/>
        <v>19</v>
      </c>
      <c r="U1" s="102">
        <f t="shared" si="1"/>
        <v>20</v>
      </c>
      <c r="V1" s="102">
        <f t="shared" si="1"/>
        <v>21</v>
      </c>
      <c r="W1" s="102">
        <f t="shared" si="1"/>
        <v>22</v>
      </c>
      <c r="X1" s="102">
        <f t="shared" si="1"/>
        <v>23</v>
      </c>
      <c r="Y1" s="102">
        <f t="shared" si="1"/>
        <v>24</v>
      </c>
      <c r="Z1" s="102">
        <f t="shared" si="1"/>
        <v>25</v>
      </c>
      <c r="AA1" s="102">
        <f t="shared" si="1"/>
        <v>26</v>
      </c>
      <c r="AB1" s="103"/>
      <c r="AC1" s="103"/>
      <c r="AD1" s="103"/>
      <c r="AE1" s="103"/>
      <c r="AF1" s="103"/>
      <c r="AG1" s="103"/>
      <c r="AH1" s="103"/>
      <c r="AI1" s="103"/>
      <c r="AJ1" s="103"/>
      <c r="AK1" s="103"/>
      <c r="AL1" s="103"/>
      <c r="AM1" s="103"/>
      <c r="AN1" s="103"/>
      <c r="AO1" s="104"/>
      <c r="AP1" s="104"/>
      <c r="AQ1" s="103"/>
      <c r="AR1" s="103"/>
    </row>
    <row r="2">
      <c r="A2" s="105" t="str">
        <f>IFERROR(__xludf.DUMMYFUNCTION("IMPORTRANGE(""https://docs.google.com/spreadsheets/d/1LR__5ROKBkaIcEHxXYak771Ja7zPr-wSzyfHGTyh2vo/edit"", ""Товары Смарт (Алтея)!A:AN"")"),"#REF!")</f>
        <v>#REF!</v>
      </c>
      <c r="B2" s="106"/>
      <c r="C2" s="107"/>
      <c r="D2" s="106"/>
      <c r="E2" s="108"/>
      <c r="F2" s="106"/>
      <c r="G2" s="106"/>
      <c r="H2" s="106"/>
      <c r="I2" s="106"/>
      <c r="J2" s="106"/>
      <c r="K2" s="106"/>
      <c r="L2" s="106"/>
      <c r="M2" s="106"/>
      <c r="N2" s="106"/>
      <c r="O2" s="106"/>
      <c r="P2" s="106"/>
      <c r="Q2" s="109"/>
      <c r="R2" s="106"/>
      <c r="S2" s="106"/>
      <c r="T2" s="106"/>
      <c r="U2" s="106"/>
      <c r="V2" s="106"/>
      <c r="W2" s="106"/>
      <c r="X2" s="106"/>
      <c r="Y2" s="107"/>
      <c r="Z2" s="110"/>
      <c r="AA2" s="110"/>
      <c r="AB2" s="111"/>
      <c r="AC2" s="111"/>
      <c r="AD2" s="111"/>
      <c r="AE2" s="111"/>
      <c r="AF2" s="111"/>
      <c r="AG2" s="111"/>
      <c r="AH2" s="111"/>
      <c r="AI2" s="111"/>
      <c r="AJ2" s="111"/>
      <c r="AK2" s="111"/>
      <c r="AL2" s="111"/>
      <c r="AM2" s="111"/>
      <c r="AN2" s="111"/>
      <c r="AO2" s="104"/>
      <c r="AP2" s="104"/>
      <c r="AQ2" s="111"/>
      <c r="AR2" s="103"/>
    </row>
    <row r="3">
      <c r="A3" s="112"/>
      <c r="B3" s="108"/>
      <c r="C3" s="107"/>
      <c r="D3" s="108"/>
      <c r="E3" s="108"/>
      <c r="F3" s="113"/>
      <c r="G3" s="113"/>
      <c r="H3" s="113"/>
      <c r="I3" s="113"/>
      <c r="J3" s="113"/>
      <c r="K3" s="113"/>
      <c r="L3" s="113"/>
      <c r="M3" s="113"/>
      <c r="N3" s="113"/>
      <c r="O3" s="113"/>
      <c r="P3" s="113"/>
      <c r="Q3" s="113"/>
      <c r="R3" s="113"/>
      <c r="S3" s="71"/>
      <c r="T3" s="114"/>
      <c r="U3" s="113"/>
      <c r="V3" s="71"/>
      <c r="W3" s="113"/>
      <c r="X3" s="113"/>
      <c r="Y3" s="71"/>
      <c r="Z3" s="71"/>
      <c r="AA3" s="71"/>
      <c r="AB3" s="71"/>
      <c r="AC3" s="71"/>
      <c r="AD3" s="71"/>
      <c r="AE3" s="71"/>
      <c r="AF3" s="71"/>
      <c r="AG3" s="71"/>
      <c r="AH3" s="71"/>
      <c r="AI3" s="71"/>
      <c r="AJ3" s="71"/>
      <c r="AK3" s="71"/>
      <c r="AL3" s="71"/>
      <c r="AM3" s="71"/>
      <c r="AN3" s="71"/>
      <c r="AO3" s="115"/>
      <c r="AP3" s="115"/>
      <c r="AQ3" s="77"/>
      <c r="AR3" s="77"/>
    </row>
    <row r="4">
      <c r="A4" s="116"/>
      <c r="B4" s="113"/>
      <c r="C4" s="71"/>
      <c r="D4" s="113"/>
      <c r="E4" s="113"/>
      <c r="F4" s="113"/>
      <c r="G4" s="113"/>
      <c r="H4" s="113"/>
      <c r="I4" s="113"/>
      <c r="J4" s="113"/>
      <c r="K4" s="113"/>
      <c r="L4" s="113"/>
      <c r="M4" s="113"/>
      <c r="N4" s="113"/>
      <c r="O4" s="113"/>
      <c r="P4" s="113"/>
      <c r="Q4" s="113"/>
      <c r="R4" s="113"/>
      <c r="S4" s="71"/>
      <c r="T4" s="114"/>
      <c r="U4" s="113"/>
      <c r="V4" s="71"/>
      <c r="W4" s="113"/>
      <c r="X4" s="113"/>
      <c r="Y4" s="71"/>
      <c r="Z4" s="71"/>
      <c r="AA4" s="71"/>
      <c r="AB4" s="71"/>
      <c r="AC4" s="71"/>
      <c r="AD4" s="71"/>
      <c r="AE4" s="71"/>
      <c r="AF4" s="71"/>
      <c r="AG4" s="71"/>
      <c r="AH4" s="71"/>
      <c r="AI4" s="71"/>
      <c r="AJ4" s="71"/>
      <c r="AK4" s="71"/>
      <c r="AL4" s="71"/>
      <c r="AM4" s="71"/>
      <c r="AN4" s="71"/>
      <c r="AO4" s="115"/>
      <c r="AP4" s="115"/>
      <c r="AQ4" s="77"/>
      <c r="AR4" s="77"/>
    </row>
    <row r="5">
      <c r="A5" s="117"/>
      <c r="B5" s="113"/>
      <c r="C5" s="71"/>
      <c r="D5" s="113"/>
      <c r="E5" s="113"/>
      <c r="F5" s="113"/>
      <c r="G5" s="113"/>
      <c r="H5" s="113"/>
      <c r="I5" s="113"/>
      <c r="J5" s="113"/>
      <c r="K5" s="113"/>
      <c r="L5" s="113"/>
      <c r="M5" s="113"/>
      <c r="N5" s="113"/>
      <c r="O5" s="113"/>
      <c r="P5" s="113"/>
      <c r="Q5" s="113"/>
      <c r="R5" s="113"/>
      <c r="S5" s="71"/>
      <c r="T5" s="114"/>
      <c r="U5" s="113"/>
      <c r="V5" s="71"/>
      <c r="W5" s="113"/>
      <c r="X5" s="113"/>
      <c r="Y5" s="71"/>
      <c r="Z5" s="71"/>
      <c r="AA5" s="71"/>
      <c r="AB5" s="71"/>
      <c r="AC5" s="71"/>
      <c r="AD5" s="71"/>
      <c r="AE5" s="71"/>
      <c r="AF5" s="71"/>
      <c r="AG5" s="71"/>
      <c r="AH5" s="71"/>
      <c r="AI5" s="71"/>
      <c r="AJ5" s="71"/>
      <c r="AK5" s="71"/>
      <c r="AL5" s="71"/>
      <c r="AM5" s="71"/>
      <c r="AN5" s="71"/>
      <c r="AO5" s="115"/>
      <c r="AP5" s="115"/>
      <c r="AQ5" s="77"/>
      <c r="AR5" s="77"/>
    </row>
    <row r="6">
      <c r="A6" s="118"/>
      <c r="B6" s="113"/>
      <c r="C6" s="71"/>
      <c r="D6" s="113"/>
      <c r="E6" s="113"/>
      <c r="F6" s="113"/>
      <c r="G6" s="113"/>
      <c r="H6" s="113"/>
      <c r="I6" s="113"/>
      <c r="J6" s="113"/>
      <c r="K6" s="113"/>
      <c r="L6" s="113"/>
      <c r="M6" s="113"/>
      <c r="N6" s="113"/>
      <c r="O6" s="113"/>
      <c r="P6" s="113"/>
      <c r="Q6" s="113"/>
      <c r="R6" s="113"/>
      <c r="S6" s="71"/>
      <c r="T6" s="114"/>
      <c r="U6" s="113"/>
      <c r="V6" s="71"/>
      <c r="W6" s="113"/>
      <c r="X6" s="113"/>
      <c r="Y6" s="71"/>
      <c r="Z6" s="113"/>
      <c r="AA6" s="113"/>
      <c r="AB6" s="71"/>
      <c r="AC6" s="71"/>
      <c r="AD6" s="71"/>
      <c r="AE6" s="71"/>
      <c r="AF6" s="71"/>
      <c r="AG6" s="71"/>
      <c r="AH6" s="71"/>
      <c r="AI6" s="71"/>
      <c r="AJ6" s="71"/>
      <c r="AK6" s="71"/>
      <c r="AL6" s="71"/>
      <c r="AM6" s="71"/>
      <c r="AN6" s="71"/>
      <c r="AO6" s="115"/>
      <c r="AP6" s="115"/>
      <c r="AQ6" s="77"/>
      <c r="AR6" s="77"/>
    </row>
    <row r="7">
      <c r="A7" s="119"/>
      <c r="B7" s="113"/>
      <c r="C7" s="71"/>
      <c r="D7" s="113"/>
      <c r="E7" s="113"/>
      <c r="F7" s="113"/>
      <c r="G7" s="113"/>
      <c r="H7" s="113"/>
      <c r="I7" s="113"/>
      <c r="J7" s="113"/>
      <c r="K7" s="113"/>
      <c r="L7" s="113"/>
      <c r="M7" s="113"/>
      <c r="N7" s="113"/>
      <c r="O7" s="113"/>
      <c r="P7" s="113"/>
      <c r="Q7" s="113"/>
      <c r="R7" s="113"/>
      <c r="S7" s="71"/>
      <c r="T7" s="114"/>
      <c r="U7" s="113"/>
      <c r="V7" s="71"/>
      <c r="W7" s="113"/>
      <c r="X7" s="113"/>
      <c r="Y7" s="71"/>
      <c r="Z7" s="71"/>
      <c r="AA7" s="71"/>
      <c r="AB7" s="71"/>
      <c r="AC7" s="71"/>
      <c r="AD7" s="71"/>
      <c r="AE7" s="71"/>
      <c r="AF7" s="71"/>
      <c r="AG7" s="71"/>
      <c r="AH7" s="71"/>
      <c r="AI7" s="71"/>
      <c r="AJ7" s="71"/>
      <c r="AK7" s="71"/>
      <c r="AL7" s="71"/>
      <c r="AM7" s="71"/>
      <c r="AN7" s="71"/>
      <c r="AO7" s="115"/>
      <c r="AP7" s="115"/>
      <c r="AQ7" s="77"/>
      <c r="AR7" s="77"/>
    </row>
    <row r="8">
      <c r="A8" s="120"/>
      <c r="B8" s="113"/>
      <c r="C8" s="71"/>
      <c r="D8" s="113"/>
      <c r="E8" s="113"/>
      <c r="F8" s="113"/>
      <c r="G8" s="113"/>
      <c r="H8" s="113"/>
      <c r="I8" s="113"/>
      <c r="J8" s="113"/>
      <c r="K8" s="113"/>
      <c r="L8" s="113"/>
      <c r="M8" s="113"/>
      <c r="N8" s="113"/>
      <c r="O8" s="113"/>
      <c r="P8" s="113"/>
      <c r="Q8" s="113"/>
      <c r="R8" s="113"/>
      <c r="S8" s="71"/>
      <c r="T8" s="114"/>
      <c r="U8" s="113"/>
      <c r="V8" s="71"/>
      <c r="W8" s="113"/>
      <c r="X8" s="113"/>
      <c r="Y8" s="71"/>
      <c r="Z8" s="113"/>
      <c r="AA8" s="113"/>
      <c r="AB8" s="71"/>
      <c r="AC8" s="71"/>
      <c r="AD8" s="71"/>
      <c r="AE8" s="71"/>
      <c r="AF8" s="71"/>
      <c r="AG8" s="71"/>
      <c r="AH8" s="71"/>
      <c r="AI8" s="71"/>
      <c r="AJ8" s="71"/>
      <c r="AK8" s="71"/>
      <c r="AL8" s="71"/>
      <c r="AM8" s="71"/>
      <c r="AN8" s="71"/>
      <c r="AO8" s="115"/>
      <c r="AP8" s="115"/>
      <c r="AQ8" s="77"/>
      <c r="AR8" s="77"/>
    </row>
    <row r="9">
      <c r="A9" s="116"/>
      <c r="B9" s="113"/>
      <c r="C9" s="71"/>
      <c r="D9" s="113"/>
      <c r="E9" s="113"/>
      <c r="F9" s="113"/>
      <c r="G9" s="113"/>
      <c r="H9" s="113"/>
      <c r="I9" s="113"/>
      <c r="J9" s="113"/>
      <c r="K9" s="113"/>
      <c r="L9" s="113"/>
      <c r="M9" s="113"/>
      <c r="N9" s="113"/>
      <c r="O9" s="113"/>
      <c r="P9" s="113"/>
      <c r="Q9" s="113"/>
      <c r="R9" s="113"/>
      <c r="S9" s="71"/>
      <c r="T9" s="114"/>
      <c r="U9" s="113"/>
      <c r="V9" s="71"/>
      <c r="W9" s="71"/>
      <c r="X9" s="71"/>
      <c r="Y9" s="71"/>
      <c r="Z9" s="71"/>
      <c r="AA9" s="71"/>
      <c r="AB9" s="71"/>
      <c r="AC9" s="71"/>
      <c r="AD9" s="71"/>
      <c r="AE9" s="71"/>
      <c r="AF9" s="71"/>
      <c r="AG9" s="71"/>
      <c r="AH9" s="71"/>
      <c r="AI9" s="71"/>
      <c r="AJ9" s="71"/>
      <c r="AK9" s="71"/>
      <c r="AL9" s="71"/>
      <c r="AM9" s="71"/>
      <c r="AN9" s="71"/>
      <c r="AO9" s="115"/>
      <c r="AP9" s="115"/>
      <c r="AQ9" s="77"/>
      <c r="AR9" s="77"/>
    </row>
    <row r="10">
      <c r="A10" s="117"/>
      <c r="B10" s="113"/>
      <c r="C10" s="71"/>
      <c r="D10" s="113"/>
      <c r="E10" s="113"/>
      <c r="F10" s="113"/>
      <c r="G10" s="113"/>
      <c r="H10" s="113"/>
      <c r="I10" s="113"/>
      <c r="J10" s="113"/>
      <c r="K10" s="113"/>
      <c r="L10" s="113"/>
      <c r="M10" s="113"/>
      <c r="N10" s="113"/>
      <c r="O10" s="113"/>
      <c r="P10" s="113"/>
      <c r="Q10" s="113"/>
      <c r="R10" s="113"/>
      <c r="S10" s="71"/>
      <c r="T10" s="114"/>
      <c r="U10" s="113"/>
      <c r="V10" s="71"/>
      <c r="W10" s="71"/>
      <c r="X10" s="71"/>
      <c r="Y10" s="71"/>
      <c r="Z10" s="71"/>
      <c r="AA10" s="71"/>
      <c r="AB10" s="71"/>
      <c r="AC10" s="71"/>
      <c r="AD10" s="71"/>
      <c r="AE10" s="71"/>
      <c r="AF10" s="71"/>
      <c r="AG10" s="71"/>
      <c r="AH10" s="71"/>
      <c r="AI10" s="71"/>
      <c r="AJ10" s="71"/>
      <c r="AK10" s="71"/>
      <c r="AL10" s="71"/>
      <c r="AM10" s="71"/>
      <c r="AN10" s="71"/>
      <c r="AO10" s="115"/>
      <c r="AP10" s="115"/>
      <c r="AQ10" s="77"/>
      <c r="AR10" s="77"/>
    </row>
    <row r="11">
      <c r="A11" s="121"/>
      <c r="B11" s="122"/>
      <c r="C11" s="123"/>
      <c r="D11" s="122"/>
      <c r="E11" s="121"/>
      <c r="F11" s="122"/>
      <c r="G11" s="121"/>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4"/>
      <c r="AP11" s="124"/>
      <c r="AQ11" s="77"/>
      <c r="AR11" s="77"/>
    </row>
    <row r="12">
      <c r="A12" s="121"/>
      <c r="B12" s="122"/>
      <c r="C12" s="123"/>
      <c r="D12" s="122"/>
      <c r="E12" s="121"/>
      <c r="F12" s="122"/>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4"/>
      <c r="AP12" s="124"/>
      <c r="AQ12" s="77"/>
      <c r="AR12" s="77"/>
    </row>
    <row r="13">
      <c r="A13" s="121"/>
      <c r="B13" s="122"/>
      <c r="C13" s="123"/>
      <c r="D13" s="122"/>
      <c r="E13" s="121"/>
      <c r="F13" s="122"/>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4"/>
      <c r="AP13" s="124"/>
      <c r="AQ13" s="77"/>
      <c r="AR13" s="77"/>
    </row>
    <row r="14">
      <c r="A14" s="121"/>
      <c r="B14" s="122"/>
      <c r="C14" s="123"/>
      <c r="D14" s="122"/>
      <c r="E14" s="121"/>
      <c r="F14" s="122"/>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4"/>
      <c r="AP14" s="124"/>
      <c r="AQ14" s="77"/>
      <c r="AR14" s="77"/>
    </row>
    <row r="15">
      <c r="A15" s="121"/>
      <c r="B15" s="122"/>
      <c r="C15" s="123"/>
      <c r="D15" s="122"/>
      <c r="E15" s="121"/>
      <c r="F15" s="122"/>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4"/>
      <c r="AP15" s="124"/>
      <c r="AQ15" s="77"/>
      <c r="AR15" s="77"/>
    </row>
    <row r="16">
      <c r="A16" s="121"/>
      <c r="B16" s="122"/>
      <c r="C16" s="123"/>
      <c r="D16" s="122"/>
      <c r="E16" s="121"/>
      <c r="F16" s="122"/>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4"/>
      <c r="AP16" s="124"/>
      <c r="AQ16" s="77"/>
      <c r="AR16" s="77"/>
    </row>
    <row r="17">
      <c r="A17" s="121"/>
      <c r="B17" s="122"/>
      <c r="C17" s="123"/>
      <c r="D17" s="122"/>
      <c r="E17" s="121"/>
      <c r="F17" s="122"/>
      <c r="G17" s="121"/>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4"/>
      <c r="AP17" s="124"/>
      <c r="AQ17" s="77"/>
      <c r="AR17" s="77"/>
    </row>
    <row r="18">
      <c r="A18" s="121"/>
      <c r="B18" s="122"/>
      <c r="C18" s="123"/>
      <c r="D18" s="122"/>
      <c r="E18" s="121"/>
      <c r="F18" s="122"/>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4"/>
      <c r="AP18" s="124"/>
      <c r="AQ18" s="77"/>
      <c r="AR18" s="77"/>
    </row>
    <row r="19">
      <c r="A19" s="121"/>
      <c r="B19" s="122"/>
      <c r="C19" s="123"/>
      <c r="D19" s="122"/>
      <c r="E19" s="121"/>
      <c r="F19" s="122"/>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4"/>
      <c r="AP19" s="124"/>
      <c r="AQ19" s="77"/>
      <c r="AR19" s="77"/>
    </row>
    <row r="20">
      <c r="A20" s="121"/>
      <c r="B20" s="122"/>
      <c r="C20" s="123"/>
      <c r="D20" s="122"/>
      <c r="E20" s="121"/>
      <c r="F20" s="122"/>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4"/>
      <c r="AP20" s="124"/>
      <c r="AQ20" s="77"/>
      <c r="AR20" s="77"/>
    </row>
    <row r="21">
      <c r="A21" s="125"/>
      <c r="B21" s="113"/>
      <c r="C21" s="71"/>
      <c r="D21" s="113"/>
      <c r="E21" s="113"/>
      <c r="F21" s="113"/>
      <c r="G21" s="113"/>
      <c r="H21" s="113"/>
      <c r="I21" s="113"/>
      <c r="J21" s="113"/>
      <c r="K21" s="113"/>
      <c r="L21" s="113"/>
      <c r="M21" s="113"/>
      <c r="N21" s="113"/>
      <c r="O21" s="113"/>
      <c r="P21" s="113"/>
      <c r="Q21" s="113"/>
      <c r="R21" s="113"/>
      <c r="S21" s="71"/>
      <c r="T21" s="114"/>
      <c r="U21" s="113"/>
      <c r="V21" s="71"/>
      <c r="W21" s="113"/>
      <c r="X21" s="113"/>
      <c r="Y21" s="71"/>
      <c r="Z21" s="71"/>
      <c r="AA21" s="113"/>
      <c r="AB21" s="71"/>
      <c r="AC21" s="71"/>
      <c r="AD21" s="71"/>
      <c r="AE21" s="71"/>
      <c r="AF21" s="71"/>
      <c r="AG21" s="71"/>
      <c r="AH21" s="71"/>
      <c r="AI21" s="71"/>
      <c r="AJ21" s="71"/>
      <c r="AK21" s="71"/>
      <c r="AL21" s="71"/>
      <c r="AM21" s="71"/>
      <c r="AN21" s="71"/>
      <c r="AO21" s="115"/>
      <c r="AP21" s="115"/>
      <c r="AQ21" s="77"/>
      <c r="AR21" s="77"/>
    </row>
    <row r="22">
      <c r="A22" s="126"/>
      <c r="B22" s="127"/>
      <c r="C22" s="128"/>
      <c r="D22" s="127"/>
      <c r="E22" s="127"/>
      <c r="F22" s="127"/>
      <c r="G22" s="127"/>
      <c r="H22" s="127"/>
      <c r="I22" s="127"/>
      <c r="J22" s="127"/>
      <c r="K22" s="128"/>
      <c r="L22" s="127"/>
      <c r="M22" s="127"/>
      <c r="N22" s="127"/>
      <c r="O22" s="127"/>
      <c r="P22" s="128"/>
      <c r="Q22" s="127"/>
      <c r="R22" s="127"/>
      <c r="S22" s="128"/>
      <c r="T22" s="129"/>
      <c r="U22" s="127"/>
      <c r="V22" s="128"/>
      <c r="W22" s="127"/>
      <c r="X22" s="127"/>
      <c r="Y22" s="128"/>
      <c r="Z22" s="128"/>
      <c r="AA22" s="128"/>
      <c r="AB22" s="128"/>
      <c r="AC22" s="128"/>
      <c r="AD22" s="128"/>
      <c r="AE22" s="128"/>
      <c r="AF22" s="128"/>
      <c r="AG22" s="128"/>
      <c r="AH22" s="128"/>
      <c r="AI22" s="128"/>
      <c r="AJ22" s="128"/>
      <c r="AK22" s="128"/>
      <c r="AL22" s="128"/>
      <c r="AM22" s="128"/>
      <c r="AN22" s="128"/>
      <c r="AO22" s="115"/>
      <c r="AP22" s="115"/>
      <c r="AQ22" s="77"/>
      <c r="AR22" s="77"/>
    </row>
    <row r="23">
      <c r="A23" s="116"/>
      <c r="B23" s="113"/>
      <c r="C23" s="71"/>
      <c r="D23" s="113"/>
      <c r="E23" s="113"/>
      <c r="F23" s="113"/>
      <c r="G23" s="113"/>
      <c r="H23" s="113"/>
      <c r="I23" s="113"/>
      <c r="J23" s="113"/>
      <c r="K23" s="113"/>
      <c r="L23" s="113"/>
      <c r="M23" s="113"/>
      <c r="N23" s="113"/>
      <c r="O23" s="113"/>
      <c r="P23" s="113"/>
      <c r="Q23" s="113"/>
      <c r="R23" s="113"/>
      <c r="S23" s="71"/>
      <c r="T23" s="114"/>
      <c r="U23" s="113"/>
      <c r="V23" s="71"/>
      <c r="W23" s="113"/>
      <c r="X23" s="113"/>
      <c r="Y23" s="71"/>
      <c r="Z23" s="71"/>
      <c r="AA23" s="71"/>
      <c r="AB23" s="71"/>
      <c r="AC23" s="71"/>
      <c r="AD23" s="71"/>
      <c r="AE23" s="71"/>
      <c r="AF23" s="71"/>
      <c r="AG23" s="71"/>
      <c r="AH23" s="71"/>
      <c r="AI23" s="71"/>
      <c r="AJ23" s="71"/>
      <c r="AK23" s="71"/>
      <c r="AL23" s="71"/>
      <c r="AM23" s="71"/>
      <c r="AN23" s="71"/>
      <c r="AO23" s="115"/>
      <c r="AP23" s="115"/>
      <c r="AQ23" s="77"/>
      <c r="AR23" s="77"/>
    </row>
    <row r="24">
      <c r="A24" s="116"/>
      <c r="B24" s="113"/>
      <c r="C24" s="71"/>
      <c r="D24" s="113"/>
      <c r="E24" s="113"/>
      <c r="F24" s="113"/>
      <c r="G24" s="113"/>
      <c r="H24" s="113"/>
      <c r="I24" s="113"/>
      <c r="J24" s="113"/>
      <c r="K24" s="113"/>
      <c r="L24" s="113"/>
      <c r="M24" s="113"/>
      <c r="N24" s="113"/>
      <c r="O24" s="113"/>
      <c r="P24" s="113"/>
      <c r="Q24" s="113"/>
      <c r="R24" s="113"/>
      <c r="S24" s="71"/>
      <c r="T24" s="114"/>
      <c r="U24" s="113"/>
      <c r="V24" s="71"/>
      <c r="W24" s="71"/>
      <c r="X24" s="71"/>
      <c r="Y24" s="71"/>
      <c r="Z24" s="71"/>
      <c r="AA24" s="71"/>
      <c r="AB24" s="71"/>
      <c r="AC24" s="71"/>
      <c r="AD24" s="71"/>
      <c r="AE24" s="71"/>
      <c r="AF24" s="71"/>
      <c r="AG24" s="71"/>
      <c r="AH24" s="71"/>
      <c r="AI24" s="71"/>
      <c r="AJ24" s="71"/>
      <c r="AK24" s="71"/>
      <c r="AL24" s="71"/>
      <c r="AM24" s="71"/>
      <c r="AN24" s="71"/>
      <c r="AO24" s="115"/>
      <c r="AP24" s="115"/>
      <c r="AQ24" s="77"/>
      <c r="AR24" s="77"/>
    </row>
    <row r="25">
      <c r="A25" s="116"/>
      <c r="B25" s="113"/>
      <c r="C25" s="71"/>
      <c r="D25" s="113"/>
      <c r="E25" s="113"/>
      <c r="F25" s="113"/>
      <c r="G25" s="113"/>
      <c r="H25" s="113"/>
      <c r="I25" s="113"/>
      <c r="J25" s="113"/>
      <c r="K25" s="113"/>
      <c r="L25" s="113"/>
      <c r="M25" s="113"/>
      <c r="N25" s="113"/>
      <c r="O25" s="113"/>
      <c r="P25" s="113"/>
      <c r="Q25" s="113"/>
      <c r="R25" s="113"/>
      <c r="S25" s="71"/>
      <c r="T25" s="114"/>
      <c r="U25" s="113"/>
      <c r="V25" s="71"/>
      <c r="W25" s="71"/>
      <c r="X25" s="71"/>
      <c r="Y25" s="71"/>
      <c r="Z25" s="71"/>
      <c r="AA25" s="71"/>
      <c r="AB25" s="71"/>
      <c r="AC25" s="71"/>
      <c r="AD25" s="71"/>
      <c r="AE25" s="71"/>
      <c r="AF25" s="71"/>
      <c r="AG25" s="71"/>
      <c r="AH25" s="71"/>
      <c r="AI25" s="71"/>
      <c r="AJ25" s="71"/>
      <c r="AK25" s="71"/>
      <c r="AL25" s="71"/>
      <c r="AM25" s="71"/>
      <c r="AN25" s="71"/>
      <c r="AO25" s="115"/>
      <c r="AP25" s="115"/>
      <c r="AQ25" s="77"/>
      <c r="AR25" s="77"/>
    </row>
    <row r="26">
      <c r="A26" s="116"/>
      <c r="B26" s="130"/>
      <c r="C26" s="121"/>
      <c r="D26" s="130"/>
      <c r="E26" s="121"/>
      <c r="F26" s="130"/>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15"/>
      <c r="AP26" s="124"/>
      <c r="AQ26" s="77"/>
      <c r="AR26" s="77"/>
    </row>
    <row r="27">
      <c r="A27" s="116"/>
      <c r="B27" s="130"/>
      <c r="C27" s="121"/>
      <c r="D27" s="130"/>
      <c r="E27" s="121"/>
      <c r="F27" s="130"/>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15"/>
      <c r="AP27" s="124"/>
      <c r="AQ27" s="77"/>
      <c r="AR27" s="77"/>
    </row>
    <row r="28">
      <c r="A28" s="116"/>
      <c r="B28" s="130"/>
      <c r="C28" s="121"/>
      <c r="D28" s="130"/>
      <c r="E28" s="121"/>
      <c r="F28" s="130"/>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15"/>
      <c r="AP28" s="124"/>
      <c r="AQ28" s="77"/>
      <c r="AR28" s="77"/>
    </row>
    <row r="29">
      <c r="A29" s="116"/>
      <c r="B29" s="130"/>
      <c r="C29" s="121"/>
      <c r="D29" s="130"/>
      <c r="E29" s="121"/>
      <c r="F29" s="130"/>
      <c r="G29" s="121"/>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15"/>
      <c r="AP29" s="124"/>
      <c r="AQ29" s="77"/>
      <c r="AR29" s="77"/>
    </row>
    <row r="30">
      <c r="A30" s="116"/>
      <c r="B30" s="130"/>
      <c r="C30" s="121"/>
      <c r="D30" s="130"/>
      <c r="E30" s="121"/>
      <c r="F30" s="130"/>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15"/>
      <c r="AP30" s="124"/>
      <c r="AQ30" s="77"/>
      <c r="AR30" s="77"/>
    </row>
    <row r="31">
      <c r="A31" s="116"/>
      <c r="B31" s="130"/>
      <c r="C31" s="121"/>
      <c r="D31" s="130"/>
      <c r="E31" s="121"/>
      <c r="F31" s="130"/>
      <c r="G31" s="121"/>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15"/>
      <c r="AP31" s="124"/>
      <c r="AQ31" s="77"/>
      <c r="AR31" s="77"/>
    </row>
    <row r="32">
      <c r="A32" s="116"/>
      <c r="B32" s="130"/>
      <c r="C32" s="121"/>
      <c r="D32" s="130"/>
      <c r="E32" s="121"/>
      <c r="F32" s="130"/>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15"/>
      <c r="AP32" s="124"/>
      <c r="AQ32" s="77"/>
      <c r="AR32" s="77"/>
    </row>
    <row r="33">
      <c r="A33" s="116"/>
      <c r="B33" s="130"/>
      <c r="C33" s="121"/>
      <c r="D33" s="130"/>
      <c r="E33" s="121"/>
      <c r="F33" s="130"/>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15"/>
      <c r="AP33" s="124"/>
      <c r="AQ33" s="77"/>
      <c r="AR33" s="77"/>
    </row>
    <row r="34">
      <c r="A34" s="116"/>
      <c r="B34" s="130"/>
      <c r="C34" s="121"/>
      <c r="D34" s="130"/>
      <c r="E34" s="121"/>
      <c r="F34" s="130"/>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15"/>
      <c r="AP34" s="124"/>
      <c r="AQ34" s="77"/>
      <c r="AR34" s="77"/>
    </row>
    <row r="35">
      <c r="A35" s="116"/>
      <c r="B35" s="130"/>
      <c r="C35" s="121"/>
      <c r="D35" s="130"/>
      <c r="E35" s="121"/>
      <c r="F35" s="130"/>
      <c r="G35" s="121"/>
      <c r="H35" s="121"/>
      <c r="I35" s="121"/>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15"/>
      <c r="AP35" s="124"/>
      <c r="AQ35" s="77"/>
      <c r="AR35" s="77"/>
    </row>
    <row r="36">
      <c r="A36" s="116"/>
      <c r="B36" s="130"/>
      <c r="C36" s="121"/>
      <c r="D36" s="130"/>
      <c r="E36" s="121"/>
      <c r="F36" s="130"/>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15"/>
      <c r="AP36" s="124"/>
      <c r="AQ36" s="77"/>
      <c r="AR36" s="77"/>
    </row>
    <row r="37">
      <c r="A37" s="116"/>
      <c r="B37" s="130"/>
      <c r="C37" s="121"/>
      <c r="D37" s="130"/>
      <c r="E37" s="121"/>
      <c r="F37" s="130"/>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15"/>
      <c r="AP37" s="124"/>
      <c r="AQ37" s="77"/>
      <c r="AR37" s="77"/>
    </row>
    <row r="38">
      <c r="A38" s="116"/>
      <c r="B38" s="130"/>
      <c r="C38" s="121"/>
      <c r="D38" s="130"/>
      <c r="E38" s="121"/>
      <c r="F38" s="130"/>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15"/>
      <c r="AP38" s="124"/>
      <c r="AQ38" s="77"/>
      <c r="AR38" s="77"/>
    </row>
    <row r="39">
      <c r="A39" s="116"/>
      <c r="B39" s="130"/>
      <c r="C39" s="121"/>
      <c r="D39" s="130"/>
      <c r="E39" s="121"/>
      <c r="F39" s="130"/>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15"/>
      <c r="AP39" s="124"/>
      <c r="AQ39" s="77"/>
      <c r="AR39" s="77"/>
    </row>
    <row r="40">
      <c r="A40" s="116"/>
      <c r="B40" s="130"/>
      <c r="C40" s="121"/>
      <c r="D40" s="130"/>
      <c r="E40" s="121"/>
      <c r="F40" s="130"/>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15"/>
      <c r="AP40" s="124"/>
      <c r="AQ40" s="77"/>
      <c r="AR40" s="77"/>
    </row>
    <row r="41">
      <c r="A41" s="116"/>
      <c r="B41" s="113"/>
      <c r="C41" s="71"/>
      <c r="D41" s="113"/>
      <c r="E41" s="113"/>
      <c r="F41" s="113"/>
      <c r="G41" s="113"/>
      <c r="H41" s="113"/>
      <c r="I41" s="113"/>
      <c r="J41" s="113"/>
      <c r="K41" s="113"/>
      <c r="L41" s="113"/>
      <c r="M41" s="113"/>
      <c r="N41" s="113"/>
      <c r="O41" s="113"/>
      <c r="P41" s="113"/>
      <c r="Q41" s="71"/>
      <c r="R41" s="113"/>
      <c r="S41" s="71"/>
      <c r="T41" s="114"/>
      <c r="U41" s="113"/>
      <c r="V41" s="71"/>
      <c r="W41" s="71"/>
      <c r="X41" s="71"/>
      <c r="Y41" s="71"/>
      <c r="Z41" s="71"/>
      <c r="AA41" s="71"/>
      <c r="AB41" s="71"/>
      <c r="AC41" s="71"/>
      <c r="AD41" s="71"/>
      <c r="AE41" s="71"/>
      <c r="AF41" s="71"/>
      <c r="AG41" s="71"/>
      <c r="AH41" s="71"/>
      <c r="AI41" s="71"/>
      <c r="AJ41" s="71"/>
      <c r="AK41" s="71"/>
      <c r="AL41" s="71"/>
      <c r="AM41" s="71"/>
      <c r="AN41" s="71"/>
      <c r="AO41" s="124"/>
      <c r="AP41" s="124"/>
      <c r="AQ41" s="115"/>
      <c r="AR41" s="115"/>
    </row>
    <row r="42">
      <c r="A42" s="117"/>
      <c r="B42" s="113"/>
      <c r="C42" s="71"/>
      <c r="D42" s="113"/>
      <c r="E42" s="113"/>
      <c r="F42" s="113"/>
      <c r="G42" s="113"/>
      <c r="H42" s="113"/>
      <c r="I42" s="113"/>
      <c r="J42" s="113"/>
      <c r="K42" s="113"/>
      <c r="L42" s="113"/>
      <c r="M42" s="113"/>
      <c r="N42" s="113"/>
      <c r="O42" s="113"/>
      <c r="P42" s="113"/>
      <c r="Q42" s="113"/>
      <c r="R42" s="113"/>
      <c r="S42" s="71"/>
      <c r="T42" s="114"/>
      <c r="U42" s="113"/>
      <c r="V42" s="71"/>
      <c r="W42" s="71"/>
      <c r="X42" s="71"/>
      <c r="Y42" s="71"/>
      <c r="Z42" s="71"/>
      <c r="AA42" s="71"/>
      <c r="AB42" s="71"/>
      <c r="AC42" s="71"/>
      <c r="AD42" s="71"/>
      <c r="AE42" s="71"/>
      <c r="AF42" s="71"/>
      <c r="AG42" s="71"/>
      <c r="AH42" s="71"/>
      <c r="AI42" s="71"/>
      <c r="AJ42" s="71"/>
      <c r="AK42" s="71"/>
      <c r="AL42" s="71"/>
      <c r="AM42" s="71"/>
      <c r="AN42" s="71"/>
      <c r="AO42" s="115"/>
      <c r="AP42" s="115"/>
      <c r="AQ42" s="77"/>
      <c r="AR42" s="77"/>
    </row>
    <row r="43">
      <c r="A43" s="121"/>
      <c r="B43" s="130"/>
      <c r="C43" s="121"/>
      <c r="D43" s="130"/>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15"/>
      <c r="AP43" s="124"/>
      <c r="AQ43" s="77"/>
      <c r="AR43" s="77"/>
    </row>
    <row r="44">
      <c r="A44" s="121"/>
      <c r="B44" s="130"/>
      <c r="C44" s="121"/>
      <c r="D44" s="130"/>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15"/>
      <c r="AP44" s="124"/>
      <c r="AQ44" s="77"/>
      <c r="AR44" s="77"/>
    </row>
    <row r="45">
      <c r="A45" s="121"/>
      <c r="B45" s="130"/>
      <c r="C45" s="121"/>
      <c r="D45" s="130"/>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15"/>
      <c r="AP45" s="124"/>
      <c r="AQ45" s="77"/>
      <c r="AR45" s="77"/>
    </row>
    <row r="46">
      <c r="A46" s="121"/>
      <c r="B46" s="130"/>
      <c r="C46" s="121"/>
      <c r="D46" s="130"/>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15"/>
      <c r="AP46" s="124"/>
      <c r="AQ46" s="77"/>
      <c r="AR46" s="77"/>
    </row>
    <row r="47">
      <c r="A47" s="121"/>
      <c r="B47" s="130"/>
      <c r="C47" s="121"/>
      <c r="D47" s="130"/>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15"/>
      <c r="AP47" s="124"/>
      <c r="AQ47" s="77"/>
      <c r="AR47" s="77"/>
    </row>
    <row r="48">
      <c r="A48" s="121"/>
      <c r="B48" s="130"/>
      <c r="C48" s="121"/>
      <c r="D48" s="130"/>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15"/>
      <c r="AP48" s="124"/>
      <c r="AQ48" s="77"/>
      <c r="AR48" s="77"/>
    </row>
    <row r="49">
      <c r="A49" s="121"/>
      <c r="B49" s="130"/>
      <c r="C49" s="121"/>
      <c r="D49" s="130"/>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15"/>
      <c r="AP49" s="124"/>
      <c r="AQ49" s="77"/>
      <c r="AR49" s="77"/>
    </row>
    <row r="50">
      <c r="A50" s="121"/>
      <c r="B50" s="130"/>
      <c r="C50" s="121"/>
      <c r="D50" s="130"/>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15"/>
      <c r="AP50" s="124"/>
      <c r="AQ50" s="77"/>
      <c r="AR50" s="77"/>
    </row>
    <row r="51">
      <c r="A51" s="121"/>
      <c r="B51" s="130"/>
      <c r="C51" s="121"/>
      <c r="D51" s="130"/>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15"/>
      <c r="AP51" s="124"/>
      <c r="AQ51" s="77"/>
      <c r="AR51" s="77"/>
    </row>
    <row r="52">
      <c r="A52" s="121"/>
      <c r="B52" s="130"/>
      <c r="C52" s="121"/>
      <c r="D52" s="130"/>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121"/>
      <c r="AL52" s="121"/>
      <c r="AM52" s="121"/>
      <c r="AN52" s="121"/>
      <c r="AO52" s="115"/>
      <c r="AP52" s="124"/>
      <c r="AQ52" s="77"/>
      <c r="AR52" s="77"/>
    </row>
    <row r="53">
      <c r="A53" s="121"/>
      <c r="B53" s="130"/>
      <c r="C53" s="121"/>
      <c r="D53" s="130"/>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15"/>
      <c r="AP53" s="124"/>
      <c r="AQ53" s="77"/>
      <c r="AR53" s="77"/>
    </row>
    <row r="54">
      <c r="A54" s="121"/>
      <c r="B54" s="130"/>
      <c r="C54" s="121"/>
      <c r="D54" s="130"/>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15"/>
      <c r="AP54" s="124"/>
      <c r="AQ54" s="77"/>
      <c r="AR54" s="77"/>
    </row>
    <row r="55">
      <c r="A55" s="121"/>
      <c r="B55" s="130"/>
      <c r="C55" s="121"/>
      <c r="D55" s="130"/>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15"/>
      <c r="AP55" s="124"/>
      <c r="AQ55" s="77"/>
      <c r="AR55" s="77"/>
    </row>
    <row r="56">
      <c r="A56" s="121"/>
      <c r="B56" s="130"/>
      <c r="C56" s="121"/>
      <c r="D56" s="130"/>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15"/>
      <c r="AP56" s="124"/>
      <c r="AQ56" s="77"/>
      <c r="AR56" s="77"/>
    </row>
    <row r="57">
      <c r="A57" s="121"/>
      <c r="B57" s="130"/>
      <c r="C57" s="121"/>
      <c r="D57" s="130"/>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15"/>
      <c r="AP57" s="124"/>
      <c r="AQ57" s="77"/>
      <c r="AR57" s="77"/>
    </row>
    <row r="58">
      <c r="A58" s="121"/>
      <c r="B58" s="130"/>
      <c r="C58" s="121"/>
      <c r="D58" s="130"/>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15"/>
      <c r="AP58" s="124"/>
      <c r="AQ58" s="77"/>
      <c r="AR58" s="77"/>
    </row>
    <row r="59">
      <c r="A59" s="121"/>
      <c r="B59" s="130"/>
      <c r="C59" s="121"/>
      <c r="D59" s="130"/>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15"/>
      <c r="AP59" s="124"/>
      <c r="AQ59" s="77"/>
      <c r="AR59" s="77"/>
    </row>
    <row r="60">
      <c r="A60" s="121"/>
      <c r="B60" s="130"/>
      <c r="C60" s="121"/>
      <c r="D60" s="130"/>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15"/>
      <c r="AP60" s="124"/>
      <c r="AQ60" s="77"/>
      <c r="AR60" s="77"/>
    </row>
    <row r="61">
      <c r="A61" s="121"/>
      <c r="B61" s="130"/>
      <c r="C61" s="121"/>
      <c r="D61" s="130"/>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15"/>
      <c r="AP61" s="124"/>
      <c r="AQ61" s="77"/>
      <c r="AR61" s="77"/>
    </row>
    <row r="62">
      <c r="A62" s="121"/>
      <c r="B62" s="130"/>
      <c r="C62" s="121"/>
      <c r="D62" s="130"/>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15"/>
      <c r="AP62" s="124"/>
      <c r="AQ62" s="77"/>
      <c r="AR62" s="77"/>
    </row>
    <row r="63">
      <c r="A63" s="121"/>
      <c r="B63" s="130"/>
      <c r="C63" s="121"/>
      <c r="D63" s="130"/>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15"/>
      <c r="AP63" s="124"/>
      <c r="AQ63" s="77"/>
      <c r="AR63" s="77"/>
    </row>
    <row r="64">
      <c r="A64" s="121"/>
      <c r="B64" s="130"/>
      <c r="C64" s="121"/>
      <c r="D64" s="130"/>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15"/>
      <c r="AP64" s="124"/>
      <c r="AQ64" s="77"/>
      <c r="AR64" s="77"/>
    </row>
    <row r="65">
      <c r="A65" s="121"/>
      <c r="B65" s="130"/>
      <c r="C65" s="121"/>
      <c r="D65" s="130"/>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15"/>
      <c r="AP65" s="124"/>
      <c r="AQ65" s="77"/>
      <c r="AR65" s="77"/>
    </row>
    <row r="66">
      <c r="A66" s="121"/>
      <c r="B66" s="130"/>
      <c r="C66" s="121"/>
      <c r="D66" s="130"/>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15"/>
      <c r="AP66" s="124"/>
      <c r="AQ66" s="77"/>
      <c r="AR66" s="77"/>
    </row>
    <row r="67">
      <c r="A67" s="121"/>
      <c r="B67" s="130"/>
      <c r="C67" s="121"/>
      <c r="D67" s="130"/>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15"/>
      <c r="AP67" s="124"/>
      <c r="AQ67" s="77"/>
      <c r="AR67" s="77"/>
    </row>
    <row r="68">
      <c r="A68" s="121"/>
      <c r="B68" s="130"/>
      <c r="C68" s="121"/>
      <c r="D68" s="130"/>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15"/>
      <c r="AP68" s="124"/>
      <c r="AQ68" s="77"/>
      <c r="AR68" s="77"/>
    </row>
    <row r="69">
      <c r="A69" s="121"/>
      <c r="B69" s="130"/>
      <c r="C69" s="121"/>
      <c r="D69" s="130"/>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15"/>
      <c r="AP69" s="124"/>
      <c r="AQ69" s="77"/>
      <c r="AR69" s="77"/>
    </row>
    <row r="70">
      <c r="A70" s="121"/>
      <c r="B70" s="130"/>
      <c r="C70" s="121"/>
      <c r="D70" s="130"/>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15"/>
      <c r="AP70" s="124"/>
      <c r="AQ70" s="77"/>
      <c r="AR70" s="77"/>
    </row>
    <row r="71">
      <c r="A71" s="121"/>
      <c r="B71" s="130"/>
      <c r="C71" s="121"/>
      <c r="D71" s="130"/>
      <c r="E71" s="121"/>
      <c r="F71" s="130"/>
      <c r="G71" s="121"/>
      <c r="H71" s="121"/>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15"/>
      <c r="AP71" s="124"/>
      <c r="AQ71" s="77"/>
      <c r="AR71" s="77"/>
    </row>
    <row r="72">
      <c r="A72" s="121"/>
      <c r="B72" s="130"/>
      <c r="C72" s="121"/>
      <c r="D72" s="130"/>
      <c r="E72" s="121"/>
      <c r="F72" s="130"/>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15"/>
      <c r="AP72" s="124"/>
      <c r="AQ72" s="77"/>
      <c r="AR72" s="77"/>
    </row>
    <row r="73">
      <c r="A73" s="121"/>
      <c r="B73" s="130"/>
      <c r="C73" s="121"/>
      <c r="D73" s="130"/>
      <c r="E73" s="121"/>
      <c r="F73" s="130"/>
      <c r="G73" s="121"/>
      <c r="H73" s="121"/>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15"/>
      <c r="AP73" s="124"/>
      <c r="AQ73" s="77"/>
      <c r="AR73" s="77"/>
    </row>
    <row r="74">
      <c r="A74" s="121"/>
      <c r="B74" s="130"/>
      <c r="C74" s="121"/>
      <c r="D74" s="130"/>
      <c r="E74" s="121"/>
      <c r="F74" s="130"/>
      <c r="G74" s="121"/>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15"/>
      <c r="AP74" s="124"/>
      <c r="AQ74" s="77"/>
      <c r="AR74" s="77"/>
    </row>
    <row r="75">
      <c r="A75" s="121"/>
      <c r="B75" s="130"/>
      <c r="C75" s="121"/>
      <c r="D75" s="130"/>
      <c r="E75" s="121"/>
      <c r="F75" s="130"/>
      <c r="G75" s="121"/>
      <c r="H75" s="121"/>
      <c r="I75" s="121"/>
      <c r="J75" s="121"/>
      <c r="K75" s="121"/>
      <c r="L75" s="121"/>
      <c r="M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15"/>
      <c r="AP75" s="124"/>
      <c r="AQ75" s="77"/>
      <c r="AR75" s="77"/>
    </row>
    <row r="76">
      <c r="A76" s="121"/>
      <c r="B76" s="130"/>
      <c r="C76" s="121"/>
      <c r="D76" s="130"/>
      <c r="E76" s="121"/>
      <c r="F76" s="130"/>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15"/>
      <c r="AP76" s="124"/>
      <c r="AQ76" s="77"/>
      <c r="AR76" s="77"/>
    </row>
    <row r="77">
      <c r="A77" s="121"/>
      <c r="B77" s="130"/>
      <c r="C77" s="121"/>
      <c r="D77" s="130"/>
      <c r="E77" s="121"/>
      <c r="F77" s="130"/>
      <c r="G77" s="121"/>
      <c r="H77" s="121"/>
      <c r="I77" s="121"/>
      <c r="J77" s="121"/>
      <c r="K77" s="121"/>
      <c r="L77" s="121"/>
      <c r="M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15"/>
      <c r="AP77" s="124"/>
      <c r="AQ77" s="77"/>
      <c r="AR77" s="77"/>
    </row>
    <row r="78">
      <c r="A78" s="121"/>
      <c r="B78" s="130"/>
      <c r="C78" s="121"/>
      <c r="D78" s="130"/>
      <c r="E78" s="121"/>
      <c r="F78" s="130"/>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15"/>
      <c r="AP78" s="124"/>
      <c r="AQ78" s="77"/>
      <c r="AR78" s="77"/>
    </row>
    <row r="79">
      <c r="A79" s="121"/>
      <c r="B79" s="130"/>
      <c r="C79" s="121"/>
      <c r="D79" s="130"/>
      <c r="E79" s="121"/>
      <c r="F79" s="130"/>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15"/>
      <c r="AP79" s="124"/>
      <c r="AQ79" s="77"/>
      <c r="AR79" s="77"/>
    </row>
    <row r="80">
      <c r="A80" s="121"/>
      <c r="B80" s="130"/>
      <c r="C80" s="121"/>
      <c r="D80" s="130"/>
      <c r="E80" s="121"/>
      <c r="F80" s="130"/>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15"/>
      <c r="AP80" s="124"/>
      <c r="AQ80" s="77"/>
      <c r="AR80" s="77"/>
    </row>
    <row r="81">
      <c r="A81" s="121"/>
      <c r="B81" s="130"/>
      <c r="C81" s="121"/>
      <c r="D81" s="130"/>
      <c r="E81" s="121"/>
      <c r="F81" s="130"/>
      <c r="G81" s="121"/>
      <c r="H81" s="121"/>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15"/>
      <c r="AP81" s="124"/>
      <c r="AQ81" s="77"/>
      <c r="AR81" s="77"/>
    </row>
    <row r="82">
      <c r="A82" s="121"/>
      <c r="B82" s="130"/>
      <c r="C82" s="121"/>
      <c r="D82" s="130"/>
      <c r="E82" s="121"/>
      <c r="F82" s="130"/>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15"/>
      <c r="AP82" s="124"/>
      <c r="AQ82" s="77"/>
      <c r="AR82" s="77"/>
    </row>
    <row r="83">
      <c r="A83" s="121"/>
      <c r="B83" s="130"/>
      <c r="C83" s="121"/>
      <c r="D83" s="130"/>
      <c r="E83" s="121"/>
      <c r="F83" s="130"/>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15"/>
      <c r="AP83" s="124"/>
      <c r="AQ83" s="77"/>
      <c r="AR83" s="77"/>
    </row>
    <row r="84">
      <c r="A84" s="121"/>
      <c r="B84" s="130"/>
      <c r="C84" s="121"/>
      <c r="D84" s="130"/>
      <c r="E84" s="121"/>
      <c r="F84" s="130"/>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15"/>
      <c r="AP84" s="124"/>
      <c r="AQ84" s="77"/>
      <c r="AR84" s="77"/>
    </row>
    <row r="85">
      <c r="A85" s="121"/>
      <c r="B85" s="130"/>
      <c r="C85" s="121"/>
      <c r="D85" s="130"/>
      <c r="E85" s="121"/>
      <c r="F85" s="130"/>
      <c r="G85" s="121"/>
      <c r="H85" s="121"/>
      <c r="I85" s="121"/>
      <c r="J85" s="121"/>
      <c r="K85" s="121"/>
      <c r="L85" s="121"/>
      <c r="M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15"/>
      <c r="AP85" s="124"/>
      <c r="AQ85" s="77"/>
      <c r="AR85" s="77"/>
    </row>
    <row r="86">
      <c r="A86" s="131"/>
      <c r="B86" s="113"/>
      <c r="C86" s="71"/>
      <c r="D86" s="113"/>
      <c r="E86" s="113"/>
      <c r="F86" s="113"/>
      <c r="G86" s="113"/>
      <c r="H86" s="113"/>
      <c r="I86" s="113"/>
      <c r="J86" s="113"/>
      <c r="K86" s="113"/>
      <c r="L86" s="113"/>
      <c r="M86" s="113"/>
      <c r="N86" s="113"/>
      <c r="O86" s="113"/>
      <c r="P86" s="113"/>
      <c r="Q86" s="113"/>
      <c r="R86" s="113"/>
      <c r="S86" s="71"/>
      <c r="T86" s="114"/>
      <c r="U86" s="113"/>
      <c r="V86" s="71"/>
      <c r="W86" s="113"/>
      <c r="X86" s="113"/>
      <c r="Y86" s="71"/>
      <c r="Z86" s="113"/>
      <c r="AA86" s="113"/>
      <c r="AB86" s="71"/>
      <c r="AC86" s="71"/>
      <c r="AD86" s="71"/>
      <c r="AE86" s="71"/>
      <c r="AF86" s="71"/>
      <c r="AG86" s="71"/>
      <c r="AH86" s="71"/>
      <c r="AI86" s="71"/>
      <c r="AJ86" s="71"/>
      <c r="AK86" s="71"/>
      <c r="AL86" s="71"/>
      <c r="AM86" s="71"/>
      <c r="AN86" s="71"/>
      <c r="AO86" s="115"/>
      <c r="AP86" s="115"/>
      <c r="AQ86" s="77"/>
      <c r="AR86" s="77"/>
    </row>
    <row r="87">
      <c r="A87" s="116"/>
      <c r="B87" s="113"/>
      <c r="C87" s="71"/>
      <c r="D87" s="113"/>
      <c r="E87" s="113"/>
      <c r="F87" s="113"/>
      <c r="G87" s="113"/>
      <c r="H87" s="113"/>
      <c r="I87" s="113"/>
      <c r="J87" s="113"/>
      <c r="K87" s="113"/>
      <c r="L87" s="113"/>
      <c r="M87" s="113"/>
      <c r="N87" s="113"/>
      <c r="O87" s="113"/>
      <c r="P87" s="113"/>
      <c r="Q87" s="113"/>
      <c r="R87" s="113"/>
      <c r="S87" s="71"/>
      <c r="T87" s="114"/>
      <c r="U87" s="113"/>
      <c r="V87" s="71"/>
      <c r="W87" s="113"/>
      <c r="X87" s="113"/>
      <c r="Y87" s="71"/>
      <c r="Z87" s="113"/>
      <c r="AA87" s="113"/>
      <c r="AB87" s="71"/>
      <c r="AC87" s="71"/>
      <c r="AD87" s="71"/>
      <c r="AE87" s="71"/>
      <c r="AF87" s="71"/>
      <c r="AG87" s="71"/>
      <c r="AH87" s="71"/>
      <c r="AI87" s="71"/>
      <c r="AJ87" s="71"/>
      <c r="AK87" s="71"/>
      <c r="AL87" s="71"/>
      <c r="AM87" s="71"/>
      <c r="AN87" s="71"/>
      <c r="AO87" s="115"/>
      <c r="AP87" s="115"/>
      <c r="AQ87" s="77"/>
      <c r="AR87" s="77"/>
    </row>
    <row r="88">
      <c r="A88" s="116"/>
      <c r="B88" s="113"/>
      <c r="C88" s="71"/>
      <c r="D88" s="113"/>
      <c r="E88" s="113"/>
      <c r="F88" s="113"/>
      <c r="G88" s="113"/>
      <c r="H88" s="113"/>
      <c r="I88" s="113"/>
      <c r="J88" s="113"/>
      <c r="K88" s="113"/>
      <c r="L88" s="113"/>
      <c r="M88" s="113"/>
      <c r="N88" s="113"/>
      <c r="O88" s="113"/>
      <c r="P88" s="113"/>
      <c r="Q88" s="113"/>
      <c r="R88" s="113"/>
      <c r="S88" s="71"/>
      <c r="T88" s="114"/>
      <c r="U88" s="113"/>
      <c r="V88" s="71"/>
      <c r="W88" s="113"/>
      <c r="X88" s="113"/>
      <c r="Y88" s="71"/>
      <c r="Z88" s="71"/>
      <c r="AA88" s="71"/>
      <c r="AB88" s="71"/>
      <c r="AC88" s="71"/>
      <c r="AD88" s="71"/>
      <c r="AE88" s="71"/>
      <c r="AF88" s="71"/>
      <c r="AG88" s="71"/>
      <c r="AH88" s="71"/>
      <c r="AI88" s="71"/>
      <c r="AJ88" s="71"/>
      <c r="AK88" s="71"/>
      <c r="AL88" s="71"/>
      <c r="AM88" s="71"/>
      <c r="AN88" s="71"/>
      <c r="AO88" s="115"/>
      <c r="AP88" s="115"/>
      <c r="AQ88" s="77"/>
      <c r="AR88" s="77"/>
    </row>
    <row r="89">
      <c r="A89" s="117"/>
      <c r="B89" s="113"/>
      <c r="C89" s="71"/>
      <c r="D89" s="113"/>
      <c r="E89" s="113"/>
      <c r="F89" s="113"/>
      <c r="G89" s="113"/>
      <c r="H89" s="113"/>
      <c r="I89" s="113"/>
      <c r="J89" s="113"/>
      <c r="K89" s="113"/>
      <c r="L89" s="113"/>
      <c r="M89" s="113"/>
      <c r="N89" s="113"/>
      <c r="O89" s="113"/>
      <c r="P89" s="113"/>
      <c r="Q89" s="113"/>
      <c r="R89" s="113"/>
      <c r="S89" s="71"/>
      <c r="T89" s="114"/>
      <c r="U89" s="113"/>
      <c r="V89" s="71"/>
      <c r="W89" s="113"/>
      <c r="X89" s="113"/>
      <c r="Y89" s="71"/>
      <c r="Z89" s="113"/>
      <c r="AA89" s="113"/>
      <c r="AB89" s="71"/>
      <c r="AC89" s="71"/>
      <c r="AD89" s="71"/>
      <c r="AE89" s="71"/>
      <c r="AF89" s="71"/>
      <c r="AG89" s="71"/>
      <c r="AH89" s="71"/>
      <c r="AI89" s="71"/>
      <c r="AJ89" s="71"/>
      <c r="AK89" s="71"/>
      <c r="AL89" s="71"/>
      <c r="AM89" s="71"/>
      <c r="AN89" s="71"/>
      <c r="AO89" s="115"/>
      <c r="AP89" s="115"/>
      <c r="AQ89" s="77"/>
      <c r="AR89" s="77"/>
    </row>
    <row r="90">
      <c r="A90" s="121"/>
      <c r="B90" s="130"/>
      <c r="C90" s="121"/>
      <c r="D90" s="130"/>
      <c r="E90" s="121"/>
      <c r="F90" s="130"/>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15"/>
      <c r="AP90" s="124"/>
      <c r="AQ90" s="77"/>
      <c r="AR90" s="77"/>
    </row>
    <row r="91">
      <c r="A91" s="121"/>
      <c r="B91" s="130"/>
      <c r="C91" s="121"/>
      <c r="D91" s="130"/>
      <c r="E91" s="121"/>
      <c r="F91" s="130"/>
      <c r="G91" s="121"/>
      <c r="H91" s="121"/>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15"/>
      <c r="AP91" s="124"/>
      <c r="AQ91" s="77"/>
      <c r="AR91" s="77"/>
    </row>
    <row r="92">
      <c r="A92" s="121"/>
      <c r="B92" s="130"/>
      <c r="C92" s="121"/>
      <c r="D92" s="130"/>
      <c r="E92" s="121"/>
      <c r="F92" s="130"/>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15"/>
      <c r="AP92" s="124"/>
      <c r="AQ92" s="77"/>
      <c r="AR92" s="77"/>
    </row>
    <row r="93">
      <c r="A93" s="121"/>
      <c r="B93" s="130"/>
      <c r="C93" s="121"/>
      <c r="D93" s="130"/>
      <c r="E93" s="121"/>
      <c r="F93" s="130"/>
      <c r="G93" s="121"/>
      <c r="H93" s="121"/>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15"/>
      <c r="AP93" s="124"/>
      <c r="AQ93" s="77"/>
      <c r="AR93" s="77"/>
    </row>
    <row r="94">
      <c r="A94" s="121"/>
      <c r="B94" s="130"/>
      <c r="C94" s="121"/>
      <c r="D94" s="130"/>
      <c r="E94" s="121"/>
      <c r="F94" s="130"/>
      <c r="G94" s="121"/>
      <c r="H94" s="121"/>
      <c r="I94" s="121"/>
      <c r="J94" s="121"/>
      <c r="K94" s="121"/>
      <c r="L94" s="121"/>
      <c r="M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15"/>
      <c r="AP94" s="124"/>
      <c r="AQ94" s="77"/>
      <c r="AR94" s="77"/>
    </row>
    <row r="95">
      <c r="A95" s="121"/>
      <c r="B95" s="130"/>
      <c r="C95" s="121"/>
      <c r="D95" s="130"/>
      <c r="E95" s="121"/>
      <c r="F95" s="130"/>
      <c r="G95" s="121"/>
      <c r="H95" s="121"/>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15"/>
      <c r="AP95" s="124"/>
      <c r="AQ95" s="77"/>
      <c r="AR95" s="77"/>
    </row>
    <row r="96">
      <c r="A96" s="121"/>
      <c r="B96" s="130"/>
      <c r="C96" s="121"/>
      <c r="D96" s="130"/>
      <c r="E96" s="121"/>
      <c r="F96" s="130"/>
      <c r="G96" s="121"/>
      <c r="H96" s="121"/>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15"/>
      <c r="AP96" s="124"/>
      <c r="AQ96" s="77"/>
      <c r="AR96" s="77"/>
    </row>
    <row r="97">
      <c r="A97" s="121"/>
      <c r="B97" s="130"/>
      <c r="C97" s="121"/>
      <c r="D97" s="130"/>
      <c r="E97" s="121"/>
      <c r="F97" s="130"/>
      <c r="G97" s="121"/>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15"/>
      <c r="AP97" s="124"/>
      <c r="AQ97" s="77"/>
      <c r="AR97" s="77"/>
    </row>
    <row r="98">
      <c r="A98" s="121"/>
      <c r="B98" s="130"/>
      <c r="C98" s="121"/>
      <c r="D98" s="130"/>
      <c r="E98" s="121"/>
      <c r="F98" s="130"/>
      <c r="G98" s="121"/>
      <c r="H98" s="121"/>
      <c r="I98" s="121"/>
      <c r="J98" s="121"/>
      <c r="K98" s="121"/>
      <c r="L98" s="121"/>
      <c r="M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15"/>
      <c r="AP98" s="124"/>
      <c r="AQ98" s="77"/>
      <c r="AR98" s="77"/>
    </row>
    <row r="99">
      <c r="A99" s="121"/>
      <c r="B99" s="130"/>
      <c r="C99" s="121"/>
      <c r="D99" s="130"/>
      <c r="E99" s="121"/>
      <c r="F99" s="130"/>
      <c r="G99" s="121"/>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15"/>
      <c r="AP99" s="124"/>
      <c r="AQ99" s="77"/>
      <c r="AR99" s="77"/>
    </row>
    <row r="100">
      <c r="A100" s="121"/>
      <c r="B100" s="130"/>
      <c r="C100" s="121"/>
      <c r="D100" s="130"/>
      <c r="E100" s="121"/>
      <c r="F100" s="130"/>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15"/>
      <c r="AP100" s="124"/>
      <c r="AQ100" s="77"/>
      <c r="AR100" s="77"/>
    </row>
    <row r="101">
      <c r="A101" s="121"/>
      <c r="B101" s="130"/>
      <c r="C101" s="121"/>
      <c r="D101" s="130"/>
      <c r="E101" s="121"/>
      <c r="F101" s="130"/>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15"/>
      <c r="AP101" s="124"/>
      <c r="AQ101" s="77"/>
      <c r="AR101" s="77"/>
    </row>
    <row r="102">
      <c r="A102" s="121"/>
      <c r="B102" s="130"/>
      <c r="C102" s="121"/>
      <c r="D102" s="130"/>
      <c r="E102" s="121"/>
      <c r="F102" s="130"/>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15"/>
      <c r="AP102" s="124"/>
      <c r="AQ102" s="77"/>
      <c r="AR102" s="77"/>
    </row>
    <row r="103">
      <c r="A103" s="121"/>
      <c r="B103" s="130"/>
      <c r="C103" s="121"/>
      <c r="D103" s="130"/>
      <c r="E103" s="121"/>
      <c r="F103" s="130"/>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15"/>
      <c r="AP103" s="124"/>
      <c r="AQ103" s="77"/>
      <c r="AR103" s="77"/>
    </row>
    <row r="104">
      <c r="A104" s="121"/>
      <c r="B104" s="130"/>
      <c r="C104" s="121"/>
      <c r="D104" s="130"/>
      <c r="E104" s="121"/>
      <c r="F104" s="130"/>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15"/>
      <c r="AP104" s="124"/>
      <c r="AQ104" s="77"/>
      <c r="AR104" s="77"/>
    </row>
    <row r="105">
      <c r="A105" s="132"/>
      <c r="B105" s="113"/>
      <c r="C105" s="71"/>
      <c r="D105" s="113"/>
      <c r="E105" s="113"/>
      <c r="F105" s="113"/>
      <c r="G105" s="71"/>
      <c r="H105" s="113"/>
      <c r="I105" s="113"/>
      <c r="J105" s="113"/>
      <c r="K105" s="113"/>
      <c r="L105" s="113"/>
      <c r="M105" s="113"/>
      <c r="N105" s="113"/>
      <c r="O105" s="113"/>
      <c r="P105" s="113"/>
      <c r="Q105" s="113"/>
      <c r="R105" s="113"/>
      <c r="S105" s="71"/>
      <c r="T105" s="114"/>
      <c r="U105" s="113"/>
      <c r="V105" s="71"/>
      <c r="W105" s="113"/>
      <c r="X105" s="113"/>
      <c r="Y105" s="71"/>
      <c r="Z105" s="71"/>
      <c r="AA105" s="71"/>
      <c r="AB105" s="71"/>
      <c r="AC105" s="71"/>
      <c r="AD105" s="71"/>
      <c r="AE105" s="71"/>
      <c r="AF105" s="71"/>
      <c r="AG105" s="71"/>
      <c r="AH105" s="71"/>
      <c r="AI105" s="71"/>
      <c r="AJ105" s="71"/>
      <c r="AK105" s="71"/>
      <c r="AL105" s="71"/>
      <c r="AM105" s="71"/>
      <c r="AN105" s="71"/>
      <c r="AO105" s="124"/>
      <c r="AP105" s="124"/>
      <c r="AQ105" s="115"/>
      <c r="AR105" s="115"/>
    </row>
    <row r="106">
      <c r="A106" s="71"/>
      <c r="B106" s="113"/>
      <c r="C106" s="71"/>
      <c r="D106" s="113"/>
      <c r="E106" s="113"/>
      <c r="F106" s="113"/>
      <c r="G106" s="71"/>
      <c r="H106" s="113"/>
      <c r="I106" s="71"/>
      <c r="J106" s="71"/>
      <c r="K106" s="71"/>
      <c r="L106" s="71"/>
      <c r="M106" s="113"/>
      <c r="N106" s="113"/>
      <c r="O106" s="113"/>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115"/>
      <c r="AP106" s="115"/>
      <c r="AQ106" s="77"/>
      <c r="AR106" s="77"/>
    </row>
    <row r="107">
      <c r="A107" s="121"/>
      <c r="B107" s="130"/>
      <c r="C107" s="121"/>
      <c r="D107" s="130"/>
      <c r="E107" s="121"/>
      <c r="F107" s="130"/>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15"/>
      <c r="AP107" s="124"/>
      <c r="AQ107" s="77"/>
      <c r="AR107" s="77"/>
    </row>
    <row r="108">
      <c r="A108" s="121"/>
      <c r="B108" s="130"/>
      <c r="C108" s="121"/>
      <c r="D108" s="130"/>
      <c r="E108" s="121"/>
      <c r="F108" s="130"/>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15"/>
      <c r="AP108" s="124"/>
      <c r="AQ108" s="77"/>
      <c r="AR108" s="77"/>
    </row>
    <row r="109">
      <c r="A109" s="121"/>
      <c r="B109" s="130"/>
      <c r="C109" s="121"/>
      <c r="D109" s="130"/>
      <c r="E109" s="121"/>
      <c r="F109" s="130"/>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15"/>
      <c r="AP109" s="124"/>
      <c r="AQ109" s="77"/>
      <c r="AR109" s="77"/>
    </row>
    <row r="110">
      <c r="A110" s="121"/>
      <c r="B110" s="130"/>
      <c r="C110" s="121"/>
      <c r="D110" s="130"/>
      <c r="E110" s="121"/>
      <c r="F110" s="130"/>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15"/>
      <c r="AP110" s="124"/>
      <c r="AQ110" s="77"/>
      <c r="AR110" s="77"/>
    </row>
    <row r="111">
      <c r="A111" s="121"/>
      <c r="B111" s="130"/>
      <c r="C111" s="121"/>
      <c r="D111" s="130"/>
      <c r="E111" s="121"/>
      <c r="F111" s="130"/>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15"/>
      <c r="AP111" s="124"/>
      <c r="AQ111" s="77"/>
      <c r="AR111" s="77"/>
    </row>
    <row r="112">
      <c r="A112" s="121"/>
      <c r="B112" s="130"/>
      <c r="C112" s="121"/>
      <c r="D112" s="130"/>
      <c r="E112" s="121"/>
      <c r="F112" s="130"/>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15"/>
      <c r="AP112" s="124"/>
      <c r="AQ112" s="77"/>
      <c r="AR112" s="77"/>
    </row>
    <row r="113">
      <c r="A113" s="121"/>
      <c r="B113" s="130"/>
      <c r="C113" s="121"/>
      <c r="D113" s="130"/>
      <c r="E113" s="121"/>
      <c r="F113" s="130"/>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15"/>
      <c r="AP113" s="124"/>
      <c r="AQ113" s="77"/>
      <c r="AR113" s="77"/>
    </row>
    <row r="114">
      <c r="A114" s="121"/>
      <c r="B114" s="130"/>
      <c r="C114" s="121"/>
      <c r="D114" s="130"/>
      <c r="E114" s="121"/>
      <c r="F114" s="130"/>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15"/>
      <c r="AP114" s="124"/>
      <c r="AQ114" s="77"/>
      <c r="AR114" s="77"/>
    </row>
    <row r="115">
      <c r="A115" s="121"/>
      <c r="B115" s="130"/>
      <c r="C115" s="121"/>
      <c r="D115" s="130"/>
      <c r="E115" s="121"/>
      <c r="F115" s="130"/>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15"/>
      <c r="AP115" s="124"/>
      <c r="AQ115" s="77"/>
      <c r="AR115" s="77"/>
    </row>
    <row r="116">
      <c r="A116" s="121"/>
      <c r="B116" s="130"/>
      <c r="C116" s="121"/>
      <c r="D116" s="130"/>
      <c r="E116" s="121"/>
      <c r="F116" s="130"/>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15"/>
      <c r="AP116" s="124"/>
      <c r="AQ116" s="77"/>
      <c r="AR116" s="77"/>
    </row>
    <row r="117">
      <c r="A117" s="121"/>
      <c r="B117" s="130"/>
      <c r="C117" s="121"/>
      <c r="D117" s="130"/>
      <c r="E117" s="121"/>
      <c r="F117" s="130"/>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15"/>
      <c r="AP117" s="124"/>
      <c r="AQ117" s="77"/>
      <c r="AR117" s="77"/>
    </row>
    <row r="118">
      <c r="A118" s="121"/>
      <c r="B118" s="130"/>
      <c r="C118" s="121"/>
      <c r="D118" s="130"/>
      <c r="E118" s="121"/>
      <c r="F118" s="130"/>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15"/>
      <c r="AP118" s="124"/>
      <c r="AQ118" s="77"/>
      <c r="AR118" s="77"/>
    </row>
    <row r="119">
      <c r="A119" s="121"/>
      <c r="B119" s="130"/>
      <c r="C119" s="121"/>
      <c r="D119" s="130"/>
      <c r="E119" s="121"/>
      <c r="F119" s="130"/>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15"/>
      <c r="AP119" s="124"/>
      <c r="AQ119" s="77"/>
      <c r="AR119" s="77"/>
    </row>
    <row r="120">
      <c r="A120" s="121"/>
      <c r="B120" s="130"/>
      <c r="C120" s="121"/>
      <c r="D120" s="130"/>
      <c r="E120" s="121"/>
      <c r="F120" s="130"/>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15"/>
      <c r="AP120" s="124"/>
      <c r="AQ120" s="77"/>
      <c r="AR120" s="77"/>
    </row>
    <row r="121">
      <c r="A121" s="121"/>
      <c r="B121" s="130"/>
      <c r="C121" s="121"/>
      <c r="D121" s="130"/>
      <c r="E121" s="121"/>
      <c r="F121" s="130"/>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15"/>
      <c r="AP121" s="124"/>
      <c r="AQ121" s="77"/>
      <c r="AR121" s="77"/>
    </row>
    <row r="122">
      <c r="A122" s="133"/>
      <c r="B122" s="113"/>
      <c r="C122" s="71"/>
      <c r="D122" s="113"/>
      <c r="E122" s="113"/>
      <c r="F122" s="113"/>
      <c r="G122" s="113"/>
      <c r="H122" s="113"/>
      <c r="I122" s="113"/>
      <c r="J122" s="113"/>
      <c r="K122" s="113"/>
      <c r="L122" s="113"/>
      <c r="M122" s="113"/>
      <c r="N122" s="113"/>
      <c r="O122" s="113"/>
      <c r="P122" s="113"/>
      <c r="Q122" s="113"/>
      <c r="R122" s="113"/>
      <c r="S122" s="71"/>
      <c r="T122" s="114"/>
      <c r="U122" s="113"/>
      <c r="V122" s="71"/>
      <c r="W122" s="113"/>
      <c r="X122" s="113"/>
      <c r="Y122" s="71"/>
      <c r="Z122" s="71"/>
      <c r="AA122" s="113"/>
      <c r="AB122" s="71"/>
      <c r="AC122" s="71"/>
      <c r="AD122" s="71"/>
      <c r="AE122" s="71"/>
      <c r="AF122" s="71"/>
      <c r="AG122" s="71"/>
      <c r="AH122" s="71"/>
      <c r="AI122" s="71"/>
      <c r="AJ122" s="71"/>
      <c r="AK122" s="71"/>
      <c r="AL122" s="71"/>
      <c r="AM122" s="71"/>
      <c r="AN122" s="71"/>
      <c r="AO122" s="115"/>
      <c r="AP122" s="115"/>
      <c r="AQ122" s="77"/>
      <c r="AR122" s="77"/>
    </row>
    <row r="123">
      <c r="A123" s="116"/>
      <c r="B123" s="130"/>
      <c r="C123" s="121"/>
      <c r="D123" s="130"/>
      <c r="E123" s="121"/>
      <c r="F123" s="130"/>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15"/>
      <c r="AP123" s="124"/>
      <c r="AQ123" s="77"/>
      <c r="AR123" s="77"/>
    </row>
    <row r="124">
      <c r="A124" s="116"/>
      <c r="B124" s="134"/>
      <c r="C124" s="71"/>
      <c r="D124" s="134"/>
      <c r="E124" s="134"/>
      <c r="F124" s="134"/>
      <c r="G124" s="113"/>
      <c r="H124" s="113"/>
      <c r="I124" s="113"/>
      <c r="J124" s="113"/>
      <c r="K124" s="113"/>
      <c r="L124" s="113"/>
      <c r="M124" s="113"/>
      <c r="N124" s="113"/>
      <c r="O124" s="113"/>
      <c r="P124" s="113"/>
      <c r="Q124" s="113"/>
      <c r="R124" s="113"/>
      <c r="S124" s="71"/>
      <c r="T124" s="114"/>
      <c r="U124" s="113"/>
      <c r="V124" s="71"/>
      <c r="W124" s="71"/>
      <c r="X124" s="71"/>
      <c r="Y124" s="71"/>
      <c r="Z124" s="71"/>
      <c r="AA124" s="71"/>
      <c r="AB124" s="71"/>
      <c r="AC124" s="71"/>
      <c r="AD124" s="71"/>
      <c r="AE124" s="71"/>
      <c r="AF124" s="71"/>
      <c r="AG124" s="71"/>
      <c r="AH124" s="71"/>
      <c r="AI124" s="71"/>
      <c r="AJ124" s="71"/>
      <c r="AK124" s="71"/>
      <c r="AL124" s="71"/>
      <c r="AM124" s="71"/>
      <c r="AN124" s="71"/>
      <c r="AO124" s="115"/>
      <c r="AP124" s="115"/>
      <c r="AQ124" s="77"/>
      <c r="AR124" s="77"/>
    </row>
    <row r="125">
      <c r="A125" s="116"/>
      <c r="B125" s="122"/>
      <c r="C125" s="123"/>
      <c r="D125" s="122"/>
      <c r="E125" s="121"/>
      <c r="F125" s="122"/>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4"/>
      <c r="AP125" s="124"/>
      <c r="AQ125" s="77"/>
      <c r="AR125" s="77"/>
    </row>
    <row r="126">
      <c r="A126" s="116"/>
      <c r="B126" s="122"/>
      <c r="C126" s="123"/>
      <c r="D126" s="122"/>
      <c r="E126" s="121"/>
      <c r="F126" s="122"/>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4"/>
      <c r="AP126" s="124"/>
      <c r="AQ126" s="77"/>
      <c r="AR126" s="77"/>
    </row>
    <row r="127">
      <c r="A127" s="116"/>
      <c r="B127" s="122"/>
      <c r="C127" s="123"/>
      <c r="D127" s="122"/>
      <c r="E127" s="121"/>
      <c r="F127" s="122"/>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4"/>
      <c r="AP127" s="124"/>
      <c r="AQ127" s="77"/>
      <c r="AR127" s="77"/>
    </row>
    <row r="128">
      <c r="A128" s="116"/>
      <c r="B128" s="122"/>
      <c r="C128" s="123"/>
      <c r="D128" s="122"/>
      <c r="E128" s="121"/>
      <c r="F128" s="122"/>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4"/>
      <c r="AP128" s="124"/>
      <c r="AQ128" s="77"/>
      <c r="AR128" s="77"/>
    </row>
    <row r="129">
      <c r="A129" s="116"/>
      <c r="B129" s="122"/>
      <c r="C129" s="123"/>
      <c r="D129" s="122"/>
      <c r="E129" s="121"/>
      <c r="F129" s="122"/>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4"/>
      <c r="AP129" s="124"/>
      <c r="AQ129" s="77"/>
      <c r="AR129" s="77"/>
    </row>
    <row r="130">
      <c r="A130" s="116"/>
      <c r="B130" s="122"/>
      <c r="C130" s="123"/>
      <c r="D130" s="122"/>
      <c r="E130" s="121"/>
      <c r="F130" s="122"/>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4"/>
      <c r="AP130" s="124"/>
      <c r="AQ130" s="77"/>
      <c r="AR130" s="77"/>
    </row>
    <row r="131">
      <c r="A131" s="116"/>
      <c r="B131" s="122"/>
      <c r="C131" s="123"/>
      <c r="D131" s="122"/>
      <c r="E131" s="121"/>
      <c r="F131" s="122"/>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4"/>
      <c r="AP131" s="124"/>
      <c r="AQ131" s="77"/>
      <c r="AR131" s="77"/>
    </row>
    <row r="132">
      <c r="A132" s="116"/>
      <c r="B132" s="122"/>
      <c r="C132" s="123"/>
      <c r="D132" s="122"/>
      <c r="E132" s="121"/>
      <c r="F132" s="122"/>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4"/>
      <c r="AP132" s="124"/>
      <c r="AQ132" s="77"/>
      <c r="AR132" s="77"/>
    </row>
    <row r="133">
      <c r="A133" s="116"/>
      <c r="B133" s="122"/>
      <c r="C133" s="123"/>
      <c r="D133" s="122"/>
      <c r="E133" s="121"/>
      <c r="F133" s="122"/>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4"/>
      <c r="AP133" s="124"/>
      <c r="AQ133" s="77"/>
      <c r="AR133" s="77"/>
    </row>
    <row r="134">
      <c r="A134" s="116"/>
      <c r="B134" s="122"/>
      <c r="C134" s="123"/>
      <c r="D134" s="122"/>
      <c r="E134" s="121"/>
      <c r="F134" s="122"/>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4"/>
      <c r="AP134" s="124"/>
      <c r="AQ134" s="77"/>
      <c r="AR134" s="77"/>
    </row>
    <row r="135">
      <c r="A135" s="116"/>
      <c r="B135" s="134"/>
      <c r="C135" s="71"/>
      <c r="D135" s="134"/>
      <c r="E135" s="134"/>
      <c r="F135" s="134"/>
      <c r="G135" s="113"/>
      <c r="H135" s="113"/>
      <c r="I135" s="113"/>
      <c r="J135" s="113"/>
      <c r="K135" s="113"/>
      <c r="L135" s="113"/>
      <c r="M135" s="113"/>
      <c r="N135" s="113"/>
      <c r="O135" s="113"/>
      <c r="P135" s="113"/>
      <c r="Q135" s="113"/>
      <c r="R135" s="113"/>
      <c r="S135" s="71"/>
      <c r="T135" s="114"/>
      <c r="U135" s="113"/>
      <c r="V135" s="71"/>
      <c r="W135" s="71"/>
      <c r="X135" s="71"/>
      <c r="Y135" s="71"/>
      <c r="Z135" s="71"/>
      <c r="AA135" s="71"/>
      <c r="AB135" s="71"/>
      <c r="AC135" s="71"/>
      <c r="AD135" s="71"/>
      <c r="AE135" s="71"/>
      <c r="AF135" s="71"/>
      <c r="AG135" s="71"/>
      <c r="AH135" s="71"/>
      <c r="AI135" s="71"/>
      <c r="AJ135" s="71"/>
      <c r="AK135" s="71"/>
      <c r="AL135" s="71"/>
      <c r="AM135" s="71"/>
      <c r="AN135" s="71"/>
      <c r="AO135" s="115"/>
      <c r="AP135" s="115"/>
      <c r="AQ135" s="77"/>
      <c r="AR135" s="77"/>
    </row>
    <row r="136">
      <c r="A136" s="116"/>
      <c r="B136" s="135"/>
      <c r="C136" s="136"/>
      <c r="D136" s="135"/>
      <c r="E136" s="135"/>
      <c r="F136" s="135"/>
      <c r="G136" s="137"/>
      <c r="H136" s="137"/>
      <c r="I136" s="137"/>
      <c r="J136" s="137"/>
      <c r="K136" s="137"/>
      <c r="L136" s="138"/>
      <c r="M136" s="138"/>
      <c r="N136" s="138"/>
      <c r="O136" s="138"/>
      <c r="P136" s="138"/>
      <c r="Q136" s="138"/>
      <c r="R136" s="138"/>
      <c r="S136" s="139"/>
      <c r="T136" s="140"/>
      <c r="U136" s="141"/>
      <c r="V136" s="121"/>
      <c r="W136" s="121"/>
      <c r="X136" s="121"/>
      <c r="Y136" s="121"/>
      <c r="Z136" s="121"/>
      <c r="AA136" s="121"/>
      <c r="AB136" s="121"/>
      <c r="AC136" s="121"/>
      <c r="AD136" s="121"/>
      <c r="AE136" s="121"/>
      <c r="AF136" s="121"/>
      <c r="AG136" s="121"/>
      <c r="AH136" s="121"/>
      <c r="AI136" s="121"/>
      <c r="AJ136" s="121"/>
      <c r="AK136" s="121"/>
      <c r="AL136" s="121"/>
      <c r="AM136" s="121"/>
      <c r="AN136" s="121"/>
      <c r="AO136" s="115"/>
      <c r="AP136" s="115"/>
      <c r="AQ136" s="77"/>
      <c r="AR136" s="77"/>
    </row>
    <row r="137">
      <c r="A137" s="116"/>
      <c r="B137" s="142"/>
      <c r="C137" s="139"/>
      <c r="D137" s="142"/>
      <c r="E137" s="142"/>
      <c r="F137" s="142"/>
      <c r="G137" s="138"/>
      <c r="H137" s="138"/>
      <c r="I137" s="138"/>
      <c r="J137" s="138"/>
      <c r="K137" s="138"/>
      <c r="L137" s="138"/>
      <c r="M137" s="139"/>
      <c r="N137" s="139"/>
      <c r="O137" s="138"/>
      <c r="P137" s="138"/>
      <c r="Q137" s="138"/>
      <c r="R137" s="138"/>
      <c r="S137" s="139"/>
      <c r="T137" s="140"/>
      <c r="U137" s="141"/>
      <c r="V137" s="121"/>
      <c r="W137" s="121"/>
      <c r="X137" s="121"/>
      <c r="Y137" s="121"/>
      <c r="Z137" s="121"/>
      <c r="AA137" s="121"/>
      <c r="AB137" s="121"/>
      <c r="AC137" s="121"/>
      <c r="AD137" s="121"/>
      <c r="AE137" s="121"/>
      <c r="AF137" s="121"/>
      <c r="AG137" s="121"/>
      <c r="AH137" s="121"/>
      <c r="AI137" s="121"/>
      <c r="AJ137" s="121"/>
      <c r="AK137" s="121"/>
      <c r="AL137" s="121"/>
      <c r="AM137" s="121"/>
      <c r="AN137" s="121"/>
      <c r="AO137" s="77"/>
      <c r="AP137" s="77"/>
      <c r="AQ137" s="77"/>
      <c r="AR137" s="77"/>
    </row>
    <row r="138">
      <c r="A138" s="116"/>
      <c r="B138" s="134"/>
      <c r="C138" s="71"/>
      <c r="D138" s="134"/>
      <c r="E138" s="134"/>
      <c r="F138" s="134"/>
      <c r="G138" s="113"/>
      <c r="H138" s="113"/>
      <c r="I138" s="113"/>
      <c r="J138" s="113"/>
      <c r="K138" s="113"/>
      <c r="L138" s="113"/>
      <c r="M138" s="113"/>
      <c r="N138" s="113"/>
      <c r="O138" s="113"/>
      <c r="P138" s="113"/>
      <c r="Q138" s="113"/>
      <c r="R138" s="113"/>
      <c r="S138" s="71"/>
      <c r="T138" s="114"/>
      <c r="U138" s="113"/>
      <c r="V138" s="71"/>
      <c r="W138" s="71"/>
      <c r="X138" s="71"/>
      <c r="Y138" s="71"/>
      <c r="Z138" s="71"/>
      <c r="AA138" s="71"/>
      <c r="AB138" s="71"/>
      <c r="AC138" s="71"/>
      <c r="AD138" s="71"/>
      <c r="AE138" s="71"/>
      <c r="AF138" s="71"/>
      <c r="AG138" s="71"/>
      <c r="AH138" s="71"/>
      <c r="AI138" s="71"/>
      <c r="AJ138" s="71"/>
      <c r="AK138" s="71"/>
      <c r="AL138" s="71"/>
      <c r="AM138" s="71"/>
      <c r="AN138" s="71"/>
      <c r="AO138" s="115"/>
      <c r="AP138" s="115"/>
      <c r="AQ138" s="77"/>
      <c r="AR138" s="77"/>
    </row>
    <row r="139">
      <c r="A139" s="116"/>
      <c r="B139" s="134"/>
      <c r="C139" s="71"/>
      <c r="D139" s="134"/>
      <c r="E139" s="134"/>
      <c r="F139" s="134"/>
      <c r="G139" s="113"/>
      <c r="H139" s="113"/>
      <c r="I139" s="113"/>
      <c r="J139" s="113"/>
      <c r="K139" s="113"/>
      <c r="L139" s="113"/>
      <c r="M139" s="113"/>
      <c r="N139" s="113"/>
      <c r="O139" s="113"/>
      <c r="P139" s="113"/>
      <c r="Q139" s="71"/>
      <c r="R139" s="113"/>
      <c r="S139" s="71"/>
      <c r="T139" s="114"/>
      <c r="U139" s="113"/>
      <c r="V139" s="71"/>
      <c r="W139" s="71"/>
      <c r="X139" s="71"/>
      <c r="Y139" s="71"/>
      <c r="Z139" s="71"/>
      <c r="AA139" s="71"/>
      <c r="AB139" s="71"/>
      <c r="AC139" s="71"/>
      <c r="AD139" s="71"/>
      <c r="AE139" s="71"/>
      <c r="AF139" s="71"/>
      <c r="AG139" s="71"/>
      <c r="AH139" s="71"/>
      <c r="AI139" s="71"/>
      <c r="AJ139" s="71"/>
      <c r="AK139" s="71"/>
      <c r="AL139" s="71"/>
      <c r="AM139" s="71"/>
      <c r="AN139" s="71"/>
      <c r="AO139" s="124"/>
      <c r="AP139" s="124"/>
      <c r="AQ139" s="115"/>
      <c r="AR139" s="115"/>
    </row>
    <row r="140">
      <c r="A140" s="116"/>
      <c r="B140" s="134"/>
      <c r="C140" s="71"/>
      <c r="D140" s="134"/>
      <c r="E140" s="134"/>
      <c r="F140" s="134"/>
      <c r="G140" s="113"/>
      <c r="H140" s="113"/>
      <c r="I140" s="113"/>
      <c r="J140" s="113"/>
      <c r="K140" s="113"/>
      <c r="L140" s="113"/>
      <c r="M140" s="113"/>
      <c r="N140" s="113"/>
      <c r="O140" s="113"/>
      <c r="P140" s="113"/>
      <c r="Q140" s="113"/>
      <c r="R140" s="113"/>
      <c r="S140" s="71"/>
      <c r="T140" s="114"/>
      <c r="U140" s="113"/>
      <c r="V140" s="71"/>
      <c r="W140" s="71"/>
      <c r="X140" s="71"/>
      <c r="Y140" s="71"/>
      <c r="Z140" s="71"/>
      <c r="AA140" s="71"/>
      <c r="AB140" s="71"/>
      <c r="AC140" s="71"/>
      <c r="AD140" s="71"/>
      <c r="AE140" s="71"/>
      <c r="AF140" s="71"/>
      <c r="AG140" s="71"/>
      <c r="AH140" s="71"/>
      <c r="AI140" s="71"/>
      <c r="AJ140" s="71"/>
      <c r="AK140" s="71"/>
      <c r="AL140" s="71"/>
      <c r="AM140" s="71"/>
      <c r="AN140" s="71"/>
      <c r="AO140" s="115"/>
      <c r="AP140" s="115"/>
      <c r="AQ140" s="77"/>
      <c r="AR140" s="77"/>
    </row>
    <row r="141">
      <c r="A141" s="116"/>
      <c r="B141" s="130"/>
      <c r="C141" s="121"/>
      <c r="D141" s="130"/>
      <c r="E141" s="121"/>
      <c r="F141" s="130"/>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15"/>
      <c r="AP141" s="124"/>
      <c r="AQ141" s="77"/>
      <c r="AR141" s="77"/>
    </row>
    <row r="142">
      <c r="A142" s="116"/>
      <c r="B142" s="130"/>
      <c r="C142" s="121"/>
      <c r="D142" s="130"/>
      <c r="E142" s="121"/>
      <c r="F142" s="130"/>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15"/>
      <c r="AP142" s="124"/>
      <c r="AQ142" s="77"/>
      <c r="AR142" s="77"/>
    </row>
    <row r="143">
      <c r="A143" s="116"/>
      <c r="B143" s="130"/>
      <c r="C143" s="121"/>
      <c r="D143" s="130"/>
      <c r="E143" s="121"/>
      <c r="F143" s="130"/>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15"/>
      <c r="AP143" s="124"/>
      <c r="AQ143" s="77"/>
      <c r="AR143" s="77"/>
    </row>
    <row r="144">
      <c r="A144" s="116"/>
      <c r="B144" s="130"/>
      <c r="C144" s="121"/>
      <c r="D144" s="130"/>
      <c r="E144" s="121"/>
      <c r="F144" s="130"/>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15"/>
      <c r="AP144" s="124"/>
      <c r="AQ144" s="77"/>
      <c r="AR144" s="77"/>
    </row>
    <row r="145">
      <c r="A145" s="116"/>
      <c r="B145" s="130"/>
      <c r="C145" s="121"/>
      <c r="D145" s="130"/>
      <c r="E145" s="121"/>
      <c r="F145" s="130"/>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15"/>
      <c r="AP145" s="124"/>
      <c r="AQ145" s="77"/>
      <c r="AR145" s="77"/>
    </row>
    <row r="146">
      <c r="A146" s="116"/>
      <c r="B146" s="130"/>
      <c r="C146" s="121"/>
      <c r="D146" s="130"/>
      <c r="E146" s="121"/>
      <c r="F146" s="130"/>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15"/>
      <c r="AP146" s="124"/>
      <c r="AQ146" s="77"/>
      <c r="AR146" s="77"/>
    </row>
    <row r="147">
      <c r="A147" s="116"/>
      <c r="B147" s="130"/>
      <c r="C147" s="121"/>
      <c r="D147" s="130"/>
      <c r="E147" s="121"/>
      <c r="F147" s="130"/>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15"/>
      <c r="AP147" s="124"/>
      <c r="AQ147" s="77"/>
      <c r="AR147" s="77"/>
    </row>
    <row r="148">
      <c r="A148" s="116"/>
      <c r="B148" s="130"/>
      <c r="C148" s="121"/>
      <c r="D148" s="130"/>
      <c r="E148" s="121"/>
      <c r="F148" s="130"/>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15"/>
      <c r="AP148" s="124"/>
      <c r="AQ148" s="77"/>
      <c r="AR148" s="77"/>
    </row>
    <row r="149">
      <c r="A149" s="116"/>
      <c r="B149" s="130"/>
      <c r="C149" s="121"/>
      <c r="D149" s="130"/>
      <c r="E149" s="121"/>
      <c r="F149" s="130"/>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15"/>
      <c r="AP149" s="124"/>
      <c r="AQ149" s="77"/>
      <c r="AR149" s="77"/>
    </row>
    <row r="150">
      <c r="A150" s="116"/>
      <c r="B150" s="130"/>
      <c r="C150" s="121"/>
      <c r="D150" s="130"/>
      <c r="E150" s="121"/>
      <c r="F150" s="130"/>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15"/>
      <c r="AP150" s="124"/>
      <c r="AQ150" s="77"/>
      <c r="AR150" s="77"/>
    </row>
    <row r="151">
      <c r="A151" s="116"/>
      <c r="B151" s="130"/>
      <c r="C151" s="121"/>
      <c r="D151" s="130"/>
      <c r="E151" s="121"/>
      <c r="F151" s="130"/>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15"/>
      <c r="AP151" s="124"/>
      <c r="AQ151" s="77"/>
      <c r="AR151" s="77"/>
    </row>
    <row r="152">
      <c r="A152" s="116"/>
      <c r="B152" s="130"/>
      <c r="C152" s="121"/>
      <c r="D152" s="130"/>
      <c r="E152" s="121"/>
      <c r="F152" s="130"/>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15"/>
      <c r="AP152" s="124"/>
      <c r="AQ152" s="77"/>
      <c r="AR152" s="77"/>
    </row>
    <row r="153">
      <c r="A153" s="116"/>
      <c r="B153" s="130"/>
      <c r="C153" s="121"/>
      <c r="D153" s="130"/>
      <c r="E153" s="121"/>
      <c r="F153" s="130"/>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15"/>
      <c r="AP153" s="124"/>
      <c r="AQ153" s="77"/>
      <c r="AR153" s="77"/>
    </row>
    <row r="154">
      <c r="A154" s="116"/>
      <c r="B154" s="130"/>
      <c r="C154" s="121"/>
      <c r="D154" s="130"/>
      <c r="E154" s="121"/>
      <c r="F154" s="130"/>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15"/>
      <c r="AP154" s="124"/>
      <c r="AQ154" s="77"/>
      <c r="AR154" s="77"/>
    </row>
    <row r="155">
      <c r="A155" s="116"/>
      <c r="B155" s="113"/>
      <c r="C155" s="71"/>
      <c r="D155" s="113"/>
      <c r="E155" s="113"/>
      <c r="F155" s="113"/>
      <c r="G155" s="113"/>
      <c r="H155" s="113"/>
      <c r="I155" s="113"/>
      <c r="J155" s="113"/>
      <c r="K155" s="113"/>
      <c r="L155" s="113"/>
      <c r="M155" s="113"/>
      <c r="N155" s="113"/>
      <c r="O155" s="113"/>
      <c r="P155" s="113"/>
      <c r="Q155" s="113"/>
      <c r="R155" s="113"/>
      <c r="S155" s="71"/>
      <c r="T155" s="143"/>
      <c r="U155" s="113"/>
      <c r="V155" s="71"/>
      <c r="W155" s="113"/>
      <c r="X155" s="113"/>
      <c r="Y155" s="71"/>
      <c r="Z155" s="71"/>
      <c r="AA155" s="113"/>
      <c r="AB155" s="71"/>
      <c r="AC155" s="71"/>
      <c r="AD155" s="71"/>
      <c r="AE155" s="71"/>
      <c r="AF155" s="71"/>
      <c r="AG155" s="71"/>
      <c r="AH155" s="71"/>
      <c r="AI155" s="71"/>
      <c r="AJ155" s="71"/>
      <c r="AK155" s="71"/>
      <c r="AL155" s="71"/>
      <c r="AM155" s="71"/>
      <c r="AN155" s="71"/>
      <c r="AO155" s="115"/>
      <c r="AP155" s="115"/>
      <c r="AQ155" s="77"/>
      <c r="AR155" s="77"/>
    </row>
    <row r="156">
      <c r="A156" s="116"/>
      <c r="B156" s="130"/>
      <c r="C156" s="121"/>
      <c r="D156" s="130"/>
      <c r="E156" s="121"/>
      <c r="F156" s="130"/>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15"/>
      <c r="AP156" s="124"/>
      <c r="AQ156" s="77"/>
      <c r="AR156" s="77"/>
    </row>
    <row r="157">
      <c r="A157" s="116"/>
      <c r="B157" s="130"/>
      <c r="C157" s="121"/>
      <c r="D157" s="130"/>
      <c r="E157" s="121"/>
      <c r="F157" s="130"/>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15"/>
      <c r="AP157" s="124"/>
      <c r="AQ157" s="77"/>
      <c r="AR157" s="77"/>
    </row>
    <row r="158">
      <c r="A158" s="116"/>
      <c r="B158" s="130"/>
      <c r="C158" s="121"/>
      <c r="D158" s="130"/>
      <c r="E158" s="121"/>
      <c r="F158" s="130"/>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15"/>
      <c r="AP158" s="124"/>
      <c r="AQ158" s="77"/>
      <c r="AR158" s="77"/>
    </row>
    <row r="159">
      <c r="A159" s="116"/>
      <c r="B159" s="130"/>
      <c r="C159" s="121"/>
      <c r="D159" s="130"/>
      <c r="E159" s="121"/>
      <c r="F159" s="130"/>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15"/>
      <c r="AP159" s="124"/>
      <c r="AQ159" s="77"/>
      <c r="AR159" s="77"/>
    </row>
    <row r="160">
      <c r="A160" s="116"/>
      <c r="B160" s="130"/>
      <c r="C160" s="121"/>
      <c r="D160" s="130"/>
      <c r="E160" s="121"/>
      <c r="F160" s="130"/>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15"/>
      <c r="AP160" s="124"/>
      <c r="AQ160" s="77"/>
      <c r="AR160" s="77"/>
    </row>
    <row r="161">
      <c r="A161" s="116"/>
      <c r="B161" s="130"/>
      <c r="C161" s="121"/>
      <c r="D161" s="130"/>
      <c r="E161" s="121"/>
      <c r="F161" s="130"/>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15"/>
      <c r="AP161" s="124"/>
      <c r="AQ161" s="77"/>
      <c r="AR161" s="77"/>
    </row>
    <row r="162">
      <c r="A162" s="116"/>
      <c r="B162" s="130"/>
      <c r="C162" s="121"/>
      <c r="D162" s="130"/>
      <c r="E162" s="121"/>
      <c r="F162" s="130"/>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15"/>
      <c r="AP162" s="124"/>
      <c r="AQ162" s="77"/>
      <c r="AR162" s="77"/>
    </row>
    <row r="163">
      <c r="A163" s="116"/>
      <c r="B163" s="130"/>
      <c r="C163" s="121"/>
      <c r="D163" s="130"/>
      <c r="E163" s="121"/>
      <c r="F163" s="130"/>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15"/>
      <c r="AP163" s="124"/>
      <c r="AQ163" s="77"/>
      <c r="AR163" s="77"/>
    </row>
    <row r="164">
      <c r="A164" s="116"/>
      <c r="B164" s="130"/>
      <c r="C164" s="121"/>
      <c r="D164" s="130"/>
      <c r="E164" s="121"/>
      <c r="F164" s="130"/>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15"/>
      <c r="AP164" s="124"/>
      <c r="AQ164" s="77"/>
      <c r="AR164" s="77"/>
    </row>
    <row r="165">
      <c r="A165" s="116"/>
      <c r="B165" s="130"/>
      <c r="C165" s="121"/>
      <c r="D165" s="130"/>
      <c r="E165" s="121"/>
      <c r="F165" s="130"/>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15"/>
      <c r="AP165" s="124"/>
      <c r="AQ165" s="77"/>
      <c r="AR165" s="77"/>
    </row>
    <row r="166">
      <c r="A166" s="116"/>
      <c r="B166" s="130"/>
      <c r="C166" s="121"/>
      <c r="D166" s="130"/>
      <c r="E166" s="121"/>
      <c r="F166" s="130"/>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15"/>
      <c r="AP166" s="124"/>
      <c r="AQ166" s="77"/>
      <c r="AR166" s="77"/>
    </row>
    <row r="167">
      <c r="A167" s="116"/>
      <c r="B167" s="130"/>
      <c r="C167" s="121"/>
      <c r="D167" s="130"/>
      <c r="E167" s="121"/>
      <c r="F167" s="130"/>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15"/>
      <c r="AP167" s="124"/>
      <c r="AQ167" s="77"/>
      <c r="AR167" s="77"/>
    </row>
    <row r="168">
      <c r="A168" s="116"/>
      <c r="B168" s="130"/>
      <c r="C168" s="121"/>
      <c r="D168" s="130"/>
      <c r="E168" s="121"/>
      <c r="F168" s="130"/>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15"/>
      <c r="AP168" s="124"/>
      <c r="AQ168" s="77"/>
      <c r="AR168" s="77"/>
    </row>
    <row r="169">
      <c r="A169" s="116"/>
      <c r="B169" s="130"/>
      <c r="C169" s="121"/>
      <c r="D169" s="130"/>
      <c r="E169" s="121"/>
      <c r="F169" s="130"/>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15"/>
      <c r="AP169" s="124"/>
      <c r="AQ169" s="77"/>
      <c r="AR169" s="77"/>
    </row>
    <row r="170">
      <c r="A170" s="116"/>
      <c r="B170" s="130"/>
      <c r="C170" s="121"/>
      <c r="D170" s="130"/>
      <c r="E170" s="121"/>
      <c r="F170" s="130"/>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15"/>
      <c r="AP170" s="124"/>
      <c r="AQ170" s="77"/>
      <c r="AR170" s="77"/>
    </row>
    <row r="171">
      <c r="A171" s="116"/>
      <c r="B171" s="113"/>
      <c r="C171" s="71"/>
      <c r="D171" s="113"/>
      <c r="E171" s="113"/>
      <c r="F171" s="113"/>
      <c r="G171" s="113"/>
      <c r="H171" s="113"/>
      <c r="I171" s="113"/>
      <c r="J171" s="113"/>
      <c r="K171" s="113"/>
      <c r="L171" s="113"/>
      <c r="M171" s="113"/>
      <c r="N171" s="113"/>
      <c r="O171" s="113"/>
      <c r="P171" s="113"/>
      <c r="Q171" s="113"/>
      <c r="R171" s="113"/>
      <c r="S171" s="71"/>
      <c r="T171" s="114"/>
      <c r="U171" s="134"/>
      <c r="V171" s="71"/>
      <c r="W171" s="113"/>
      <c r="X171" s="113"/>
      <c r="Y171" s="71"/>
      <c r="Z171" s="71"/>
      <c r="AA171" s="71"/>
      <c r="AB171" s="71"/>
      <c r="AC171" s="71"/>
      <c r="AD171" s="71"/>
      <c r="AE171" s="71"/>
      <c r="AF171" s="71"/>
      <c r="AG171" s="71"/>
      <c r="AH171" s="71"/>
      <c r="AI171" s="71"/>
      <c r="AJ171" s="71"/>
      <c r="AK171" s="71"/>
      <c r="AL171" s="71"/>
      <c r="AM171" s="71"/>
      <c r="AN171" s="71"/>
      <c r="AO171" s="115"/>
      <c r="AP171" s="115"/>
      <c r="AQ171" s="77"/>
      <c r="AR171" s="77"/>
    </row>
    <row r="172">
      <c r="A172" s="116"/>
      <c r="B172" s="113"/>
      <c r="C172" s="71"/>
      <c r="D172" s="113"/>
      <c r="E172" s="113"/>
      <c r="F172" s="113"/>
      <c r="G172" s="113"/>
      <c r="H172" s="113"/>
      <c r="I172" s="113"/>
      <c r="J172" s="113"/>
      <c r="K172" s="113"/>
      <c r="L172" s="113"/>
      <c r="M172" s="113"/>
      <c r="N172" s="113"/>
      <c r="O172" s="113"/>
      <c r="P172" s="113"/>
      <c r="Q172" s="113"/>
      <c r="R172" s="113"/>
      <c r="S172" s="71"/>
      <c r="T172" s="114"/>
      <c r="U172" s="134"/>
      <c r="V172" s="71"/>
      <c r="W172" s="71"/>
      <c r="X172" s="71"/>
      <c r="Y172" s="71"/>
      <c r="Z172" s="71"/>
      <c r="AA172" s="71"/>
      <c r="AB172" s="71"/>
      <c r="AC172" s="71"/>
      <c r="AD172" s="71"/>
      <c r="AE172" s="71"/>
      <c r="AF172" s="71"/>
      <c r="AG172" s="71"/>
      <c r="AH172" s="71"/>
      <c r="AI172" s="71"/>
      <c r="AJ172" s="71"/>
      <c r="AK172" s="71"/>
      <c r="AL172" s="71"/>
      <c r="AM172" s="71"/>
      <c r="AN172" s="71"/>
      <c r="AO172" s="115"/>
      <c r="AP172" s="115"/>
      <c r="AQ172" s="77"/>
      <c r="AR172" s="77"/>
    </row>
    <row r="173">
      <c r="A173" s="116"/>
      <c r="B173" s="113"/>
      <c r="C173" s="71"/>
      <c r="D173" s="113"/>
      <c r="E173" s="113"/>
      <c r="F173" s="113"/>
      <c r="G173" s="113"/>
      <c r="H173" s="113"/>
      <c r="I173" s="113"/>
      <c r="J173" s="113"/>
      <c r="K173" s="113"/>
      <c r="L173" s="113"/>
      <c r="M173" s="113"/>
      <c r="N173" s="113"/>
      <c r="O173" s="113"/>
      <c r="P173" s="113"/>
      <c r="Q173" s="113"/>
      <c r="R173" s="113"/>
      <c r="S173" s="71"/>
      <c r="T173" s="113"/>
      <c r="U173" s="113"/>
      <c r="V173" s="71"/>
      <c r="W173" s="113"/>
      <c r="X173" s="113"/>
      <c r="Y173" s="71"/>
      <c r="Z173" s="71"/>
      <c r="AA173" s="71"/>
      <c r="AB173" s="71"/>
      <c r="AC173" s="71"/>
      <c r="AD173" s="71"/>
      <c r="AE173" s="71"/>
      <c r="AF173" s="71"/>
      <c r="AG173" s="71"/>
      <c r="AH173" s="71"/>
      <c r="AI173" s="71"/>
      <c r="AJ173" s="71"/>
      <c r="AK173" s="71"/>
      <c r="AL173" s="71"/>
      <c r="AM173" s="71"/>
      <c r="AN173" s="71"/>
      <c r="AO173" s="115"/>
      <c r="AP173" s="115"/>
      <c r="AQ173" s="77"/>
      <c r="AR173" s="77"/>
    </row>
    <row r="174">
      <c r="A174" s="116"/>
      <c r="B174" s="113"/>
      <c r="C174" s="71"/>
      <c r="D174" s="113"/>
      <c r="E174" s="113"/>
      <c r="F174" s="113"/>
      <c r="G174" s="113"/>
      <c r="H174" s="113"/>
      <c r="I174" s="113"/>
      <c r="J174" s="113"/>
      <c r="K174" s="113"/>
      <c r="L174" s="113"/>
      <c r="M174" s="71"/>
      <c r="N174" s="71"/>
      <c r="O174" s="113"/>
      <c r="P174" s="113"/>
      <c r="Q174" s="71"/>
      <c r="R174" s="71"/>
      <c r="S174" s="71"/>
      <c r="T174" s="114"/>
      <c r="U174" s="113"/>
      <c r="V174" s="71"/>
      <c r="W174" s="71"/>
      <c r="X174" s="71"/>
      <c r="Y174" s="71"/>
      <c r="Z174" s="71"/>
      <c r="AA174" s="71"/>
      <c r="AB174" s="71"/>
      <c r="AC174" s="71"/>
      <c r="AD174" s="71"/>
      <c r="AE174" s="71"/>
      <c r="AF174" s="71"/>
      <c r="AG174" s="71"/>
      <c r="AH174" s="71"/>
      <c r="AI174" s="71"/>
      <c r="AJ174" s="71"/>
      <c r="AK174" s="71"/>
      <c r="AL174" s="71"/>
      <c r="AM174" s="71"/>
      <c r="AN174" s="71"/>
      <c r="AO174" s="124"/>
      <c r="AP174" s="124"/>
      <c r="AQ174" s="115"/>
      <c r="AR174" s="115"/>
    </row>
    <row r="175">
      <c r="A175" s="116"/>
      <c r="B175" s="113"/>
      <c r="C175" s="71"/>
      <c r="D175" s="113"/>
      <c r="E175" s="113"/>
      <c r="F175" s="113"/>
      <c r="G175" s="113"/>
      <c r="H175" s="113"/>
      <c r="I175" s="113"/>
      <c r="J175" s="113"/>
      <c r="K175" s="113"/>
      <c r="L175" s="113"/>
      <c r="M175" s="113"/>
      <c r="N175" s="113"/>
      <c r="O175" s="113"/>
      <c r="P175" s="113"/>
      <c r="Q175" s="71"/>
      <c r="R175" s="113"/>
      <c r="S175" s="71"/>
      <c r="T175" s="114"/>
      <c r="U175" s="113"/>
      <c r="V175" s="71"/>
      <c r="W175" s="71"/>
      <c r="X175" s="71"/>
      <c r="Y175" s="71"/>
      <c r="Z175" s="71"/>
      <c r="AA175" s="71"/>
      <c r="AB175" s="71"/>
      <c r="AC175" s="71"/>
      <c r="AD175" s="71"/>
      <c r="AE175" s="71"/>
      <c r="AF175" s="71"/>
      <c r="AG175" s="71"/>
      <c r="AH175" s="71"/>
      <c r="AI175" s="71"/>
      <c r="AJ175" s="71"/>
      <c r="AK175" s="71"/>
      <c r="AL175" s="71"/>
      <c r="AM175" s="71"/>
      <c r="AN175" s="71"/>
      <c r="AO175" s="115"/>
      <c r="AP175" s="115"/>
      <c r="AQ175" s="77"/>
      <c r="AR175" s="77"/>
    </row>
    <row r="176">
      <c r="A176" s="116"/>
      <c r="B176" s="122"/>
      <c r="C176" s="123"/>
      <c r="D176" s="122"/>
      <c r="E176" s="121"/>
      <c r="F176" s="122"/>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4"/>
      <c r="AP176" s="124"/>
      <c r="AQ176" s="77"/>
      <c r="AR176" s="77"/>
    </row>
    <row r="177">
      <c r="A177" s="116"/>
      <c r="B177" s="122"/>
      <c r="C177" s="123"/>
      <c r="D177" s="122"/>
      <c r="E177" s="121"/>
      <c r="F177" s="122"/>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4"/>
      <c r="AP177" s="124"/>
      <c r="AQ177" s="77"/>
      <c r="AR177" s="77"/>
    </row>
    <row r="178">
      <c r="A178" s="116"/>
      <c r="B178" s="122"/>
      <c r="C178" s="123"/>
      <c r="D178" s="122"/>
      <c r="E178" s="121"/>
      <c r="F178" s="122"/>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4"/>
      <c r="AP178" s="124"/>
      <c r="AQ178" s="77"/>
      <c r="AR178" s="77"/>
    </row>
    <row r="179">
      <c r="A179" s="116"/>
      <c r="B179" s="122"/>
      <c r="C179" s="123"/>
      <c r="D179" s="122"/>
      <c r="E179" s="121"/>
      <c r="F179" s="122"/>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4"/>
      <c r="AP179" s="124"/>
      <c r="AQ179" s="77"/>
      <c r="AR179" s="77"/>
    </row>
    <row r="180">
      <c r="A180" s="116"/>
      <c r="B180" s="122"/>
      <c r="C180" s="123"/>
      <c r="D180" s="122"/>
      <c r="E180" s="121"/>
      <c r="F180" s="122"/>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4"/>
      <c r="AP180" s="124"/>
      <c r="AQ180" s="77"/>
      <c r="AR180" s="77"/>
    </row>
    <row r="181">
      <c r="A181" s="116"/>
      <c r="B181" s="122"/>
      <c r="C181" s="123"/>
      <c r="D181" s="122"/>
      <c r="E181" s="121"/>
      <c r="F181" s="122"/>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4"/>
      <c r="AP181" s="124"/>
      <c r="AQ181" s="77"/>
      <c r="AR181" s="77"/>
    </row>
    <row r="182">
      <c r="A182" s="116"/>
      <c r="B182" s="122"/>
      <c r="C182" s="123"/>
      <c r="D182" s="122"/>
      <c r="E182" s="121"/>
      <c r="F182" s="122"/>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4"/>
      <c r="AP182" s="124"/>
      <c r="AQ182" s="77"/>
      <c r="AR182" s="77"/>
    </row>
    <row r="183">
      <c r="A183" s="116"/>
      <c r="B183" s="122"/>
      <c r="C183" s="123"/>
      <c r="D183" s="122"/>
      <c r="E183" s="121"/>
      <c r="F183" s="122"/>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4"/>
      <c r="AP183" s="124"/>
      <c r="AQ183" s="77"/>
      <c r="AR183" s="77"/>
    </row>
    <row r="184">
      <c r="A184" s="116"/>
      <c r="B184" s="122"/>
      <c r="C184" s="123"/>
      <c r="D184" s="122"/>
      <c r="E184" s="121"/>
      <c r="F184" s="122"/>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4"/>
      <c r="AP184" s="124"/>
      <c r="AQ184" s="77"/>
      <c r="AR184" s="77"/>
    </row>
    <row r="185">
      <c r="A185" s="116"/>
      <c r="B185" s="122"/>
      <c r="C185" s="123"/>
      <c r="D185" s="122"/>
      <c r="E185" s="121"/>
      <c r="F185" s="122"/>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4"/>
      <c r="AP185" s="124"/>
      <c r="AQ185" s="77"/>
      <c r="AR185" s="77"/>
    </row>
    <row r="186">
      <c r="A186" s="116"/>
      <c r="B186" s="113"/>
      <c r="C186" s="71"/>
      <c r="D186" s="113"/>
      <c r="E186" s="113"/>
      <c r="F186" s="113"/>
      <c r="G186" s="113"/>
      <c r="H186" s="113"/>
      <c r="I186" s="113"/>
      <c r="J186" s="113"/>
      <c r="K186" s="113"/>
      <c r="L186" s="113"/>
      <c r="M186" s="113"/>
      <c r="N186" s="113"/>
      <c r="O186" s="113"/>
      <c r="P186" s="113"/>
      <c r="Q186" s="71"/>
      <c r="R186" s="113"/>
      <c r="S186" s="71"/>
      <c r="T186" s="114"/>
      <c r="U186" s="71"/>
      <c r="V186" s="71"/>
      <c r="W186" s="71"/>
      <c r="X186" s="71"/>
      <c r="Y186" s="71"/>
      <c r="Z186" s="71"/>
      <c r="AA186" s="71"/>
      <c r="AB186" s="71"/>
      <c r="AC186" s="71"/>
      <c r="AD186" s="71"/>
      <c r="AE186" s="71"/>
      <c r="AF186" s="71"/>
      <c r="AG186" s="71"/>
      <c r="AH186" s="71"/>
      <c r="AI186" s="71"/>
      <c r="AJ186" s="71"/>
      <c r="AK186" s="71"/>
      <c r="AL186" s="71"/>
      <c r="AM186" s="71"/>
      <c r="AN186" s="71"/>
      <c r="AO186" s="115"/>
      <c r="AP186" s="115"/>
      <c r="AQ186" s="77"/>
      <c r="AR186" s="77"/>
    </row>
    <row r="187">
      <c r="A187" s="117"/>
      <c r="B187" s="113"/>
      <c r="C187" s="71"/>
      <c r="D187" s="113"/>
      <c r="E187" s="113"/>
      <c r="F187" s="113"/>
      <c r="G187" s="113"/>
      <c r="H187" s="113"/>
      <c r="I187" s="113"/>
      <c r="J187" s="113"/>
      <c r="K187" s="113"/>
      <c r="L187" s="113"/>
      <c r="M187" s="113"/>
      <c r="N187" s="113"/>
      <c r="O187" s="113"/>
      <c r="P187" s="113"/>
      <c r="Q187" s="113"/>
      <c r="R187" s="113"/>
      <c r="S187" s="71"/>
      <c r="T187" s="114"/>
      <c r="U187" s="134"/>
      <c r="V187" s="71"/>
      <c r="W187" s="71"/>
      <c r="X187" s="71"/>
      <c r="Y187" s="71"/>
      <c r="Z187" s="71"/>
      <c r="AA187" s="71"/>
      <c r="AB187" s="71"/>
      <c r="AC187" s="71"/>
      <c r="AD187" s="71"/>
      <c r="AE187" s="71"/>
      <c r="AF187" s="71"/>
      <c r="AG187" s="71"/>
      <c r="AH187" s="71"/>
      <c r="AI187" s="71"/>
      <c r="AJ187" s="71"/>
      <c r="AK187" s="71"/>
      <c r="AL187" s="71"/>
      <c r="AM187" s="71"/>
      <c r="AN187" s="71"/>
      <c r="AO187" s="115"/>
      <c r="AP187" s="115"/>
      <c r="AQ187" s="77"/>
      <c r="AR187" s="77"/>
    </row>
    <row r="188">
      <c r="A188" s="144"/>
      <c r="B188" s="138"/>
      <c r="C188" s="139"/>
      <c r="D188" s="138"/>
      <c r="E188" s="138"/>
      <c r="F188" s="138"/>
      <c r="G188" s="138"/>
      <c r="H188" s="138"/>
      <c r="I188" s="138"/>
      <c r="J188" s="138"/>
      <c r="K188" s="138"/>
      <c r="L188" s="138"/>
      <c r="M188" s="139"/>
      <c r="N188" s="139"/>
      <c r="O188" s="139"/>
      <c r="P188" s="139"/>
      <c r="Q188" s="113"/>
      <c r="R188" s="113"/>
      <c r="S188" s="71"/>
      <c r="T188" s="114"/>
      <c r="U188" s="134"/>
      <c r="V188" s="71"/>
      <c r="W188" s="71"/>
      <c r="X188" s="71"/>
      <c r="Y188" s="71"/>
      <c r="Z188" s="71"/>
      <c r="AA188" s="71"/>
      <c r="AB188" s="71"/>
      <c r="AC188" s="71"/>
      <c r="AD188" s="71"/>
      <c r="AE188" s="71"/>
      <c r="AF188" s="71"/>
      <c r="AG188" s="71"/>
      <c r="AH188" s="71"/>
      <c r="AI188" s="71"/>
      <c r="AJ188" s="71"/>
      <c r="AK188" s="71"/>
      <c r="AL188" s="71"/>
      <c r="AM188" s="71"/>
      <c r="AN188" s="71"/>
      <c r="AO188" s="77"/>
      <c r="AP188" s="77"/>
      <c r="AQ188" s="77"/>
      <c r="AR188" s="77"/>
    </row>
    <row r="189">
      <c r="A189" s="121"/>
      <c r="B189" s="130"/>
      <c r="C189" s="121"/>
      <c r="D189" s="130"/>
      <c r="E189" s="121"/>
      <c r="F189" s="130"/>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15"/>
      <c r="AP189" s="124"/>
      <c r="AQ189" s="77"/>
      <c r="AR189" s="77"/>
    </row>
    <row r="190">
      <c r="A190" s="121"/>
      <c r="B190" s="130"/>
      <c r="C190" s="121"/>
      <c r="D190" s="130"/>
      <c r="E190" s="121"/>
      <c r="F190" s="130"/>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15"/>
      <c r="AP190" s="124"/>
      <c r="AQ190" s="77"/>
      <c r="AR190" s="77"/>
    </row>
    <row r="191">
      <c r="A191" s="121"/>
      <c r="B191" s="130"/>
      <c r="C191" s="121"/>
      <c r="D191" s="130"/>
      <c r="E191" s="121"/>
      <c r="F191" s="130"/>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15"/>
      <c r="AP191" s="124"/>
      <c r="AQ191" s="77"/>
      <c r="AR191" s="77"/>
    </row>
    <row r="192">
      <c r="A192" s="121"/>
      <c r="B192" s="130"/>
      <c r="C192" s="121"/>
      <c r="D192" s="130"/>
      <c r="E192" s="121"/>
      <c r="F192" s="130"/>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15"/>
      <c r="AP192" s="124"/>
      <c r="AQ192" s="77"/>
      <c r="AR192" s="77"/>
    </row>
    <row r="193">
      <c r="A193" s="121"/>
      <c r="B193" s="130"/>
      <c r="C193" s="121"/>
      <c r="D193" s="130"/>
      <c r="E193" s="121"/>
      <c r="F193" s="130"/>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15"/>
      <c r="AP193" s="124"/>
      <c r="AQ193" s="77"/>
      <c r="AR193" s="77"/>
    </row>
    <row r="194">
      <c r="A194" s="121"/>
      <c r="B194" s="130"/>
      <c r="C194" s="121"/>
      <c r="D194" s="130"/>
      <c r="E194" s="121"/>
      <c r="F194" s="130"/>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15"/>
      <c r="AP194" s="124"/>
      <c r="AQ194" s="77"/>
      <c r="AR194" s="77"/>
    </row>
    <row r="195">
      <c r="A195" s="121"/>
      <c r="B195" s="130"/>
      <c r="C195" s="121"/>
      <c r="D195" s="130"/>
      <c r="E195" s="121"/>
      <c r="F195" s="130"/>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15"/>
      <c r="AP195" s="124"/>
      <c r="AQ195" s="77"/>
      <c r="AR195" s="77"/>
    </row>
    <row r="196">
      <c r="A196" s="121"/>
      <c r="B196" s="130"/>
      <c r="C196" s="121"/>
      <c r="D196" s="130"/>
      <c r="E196" s="121"/>
      <c r="F196" s="130"/>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15"/>
      <c r="AP196" s="124"/>
      <c r="AQ196" s="77"/>
      <c r="AR196" s="77"/>
    </row>
    <row r="197">
      <c r="A197" s="121"/>
      <c r="B197" s="130"/>
      <c r="C197" s="121"/>
      <c r="D197" s="130"/>
      <c r="E197" s="121"/>
      <c r="F197" s="130"/>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15"/>
      <c r="AP197" s="124"/>
      <c r="AQ197" s="77"/>
      <c r="AR197" s="77"/>
    </row>
    <row r="198">
      <c r="A198" s="121"/>
      <c r="B198" s="130"/>
      <c r="C198" s="121"/>
      <c r="D198" s="130"/>
      <c r="E198" s="121"/>
      <c r="F198" s="130"/>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15"/>
      <c r="AP198" s="124"/>
      <c r="AQ198" s="77"/>
      <c r="AR198" s="77"/>
    </row>
    <row r="199">
      <c r="A199" s="121"/>
      <c r="B199" s="130"/>
      <c r="C199" s="121"/>
      <c r="D199" s="130"/>
      <c r="E199" s="121"/>
      <c r="F199" s="130"/>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15"/>
      <c r="AP199" s="124"/>
      <c r="AQ199" s="77"/>
      <c r="AR199" s="77"/>
    </row>
    <row r="200">
      <c r="A200" s="121"/>
      <c r="B200" s="130"/>
      <c r="C200" s="121"/>
      <c r="D200" s="130"/>
      <c r="E200" s="121"/>
      <c r="F200" s="130"/>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15"/>
      <c r="AP200" s="124"/>
      <c r="AQ200" s="77"/>
      <c r="AR200" s="77"/>
    </row>
    <row r="201">
      <c r="A201" s="121"/>
      <c r="B201" s="130"/>
      <c r="C201" s="121"/>
      <c r="D201" s="130"/>
      <c r="E201" s="121"/>
      <c r="F201" s="130"/>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15"/>
      <c r="AP201" s="124"/>
      <c r="AQ201" s="77"/>
      <c r="AR201" s="77"/>
    </row>
    <row r="202">
      <c r="A202" s="121"/>
      <c r="B202" s="130"/>
      <c r="C202" s="121"/>
      <c r="D202" s="130"/>
      <c r="E202" s="121"/>
      <c r="F202" s="130"/>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15"/>
      <c r="AP202" s="124"/>
      <c r="AQ202" s="77"/>
      <c r="AR202" s="77"/>
    </row>
    <row r="203">
      <c r="A203" s="121"/>
      <c r="B203" s="130"/>
      <c r="C203" s="121"/>
      <c r="D203" s="130"/>
      <c r="E203" s="121"/>
      <c r="F203" s="130"/>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15"/>
      <c r="AP203" s="124"/>
      <c r="AQ203" s="77"/>
      <c r="AR203" s="77"/>
    </row>
    <row r="204">
      <c r="A204" s="145"/>
      <c r="B204" s="113"/>
      <c r="C204" s="71"/>
      <c r="D204" s="113"/>
      <c r="E204" s="113"/>
      <c r="F204" s="113"/>
      <c r="G204" s="113"/>
      <c r="H204" s="113"/>
      <c r="I204" s="113"/>
      <c r="J204" s="113"/>
      <c r="K204" s="113"/>
      <c r="L204" s="113"/>
      <c r="M204" s="113"/>
      <c r="N204" s="113"/>
      <c r="O204" s="113"/>
      <c r="P204" s="113"/>
      <c r="Q204" s="113"/>
      <c r="R204" s="113"/>
      <c r="S204" s="71"/>
      <c r="T204" s="114"/>
      <c r="U204" s="113"/>
      <c r="V204" s="71"/>
      <c r="W204" s="113"/>
      <c r="X204" s="113"/>
      <c r="Y204" s="71"/>
      <c r="Z204" s="71"/>
      <c r="AA204" s="71"/>
      <c r="AB204" s="71"/>
      <c r="AC204" s="71"/>
      <c r="AD204" s="71"/>
      <c r="AE204" s="71"/>
      <c r="AF204" s="71"/>
      <c r="AG204" s="71"/>
      <c r="AH204" s="71"/>
      <c r="AI204" s="71"/>
      <c r="AJ204" s="71"/>
      <c r="AK204" s="71"/>
      <c r="AL204" s="71"/>
      <c r="AM204" s="71"/>
      <c r="AN204" s="71"/>
      <c r="AO204" s="115"/>
      <c r="AP204" s="115"/>
      <c r="AQ204" s="77"/>
      <c r="AR204" s="77"/>
    </row>
    <row r="205">
      <c r="A205" s="116"/>
      <c r="B205" s="130"/>
      <c r="C205" s="121"/>
      <c r="D205" s="130"/>
      <c r="E205" s="121"/>
      <c r="F205" s="130"/>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c r="AM205" s="121"/>
      <c r="AN205" s="121"/>
      <c r="AO205" s="115"/>
      <c r="AP205" s="124"/>
      <c r="AQ205" s="77"/>
      <c r="AR205" s="77"/>
    </row>
    <row r="206">
      <c r="A206" s="116"/>
      <c r="B206" s="130"/>
      <c r="C206" s="121"/>
      <c r="D206" s="130"/>
      <c r="E206" s="121"/>
      <c r="F206" s="130"/>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c r="AM206" s="121"/>
      <c r="AN206" s="121"/>
      <c r="AO206" s="115"/>
      <c r="AP206" s="124"/>
      <c r="AQ206" s="77"/>
      <c r="AR206" s="77"/>
    </row>
    <row r="207">
      <c r="A207" s="116"/>
      <c r="B207" s="130"/>
      <c r="C207" s="121"/>
      <c r="D207" s="130"/>
      <c r="E207" s="121"/>
      <c r="F207" s="130"/>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15"/>
      <c r="AP207" s="124"/>
      <c r="AQ207" s="77"/>
      <c r="AR207" s="77"/>
    </row>
    <row r="208">
      <c r="A208" s="116"/>
      <c r="B208" s="130"/>
      <c r="C208" s="121"/>
      <c r="D208" s="130"/>
      <c r="E208" s="121"/>
      <c r="F208" s="130"/>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15"/>
      <c r="AP208" s="124"/>
      <c r="AQ208" s="77"/>
      <c r="AR208" s="77"/>
    </row>
    <row r="209">
      <c r="A209" s="116"/>
      <c r="B209" s="130"/>
      <c r="C209" s="121"/>
      <c r="D209" s="130"/>
      <c r="E209" s="121"/>
      <c r="F209" s="130"/>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15"/>
      <c r="AP209" s="124"/>
      <c r="AQ209" s="77"/>
      <c r="AR209" s="77"/>
    </row>
    <row r="210">
      <c r="A210" s="116"/>
      <c r="B210" s="130"/>
      <c r="C210" s="121"/>
      <c r="D210" s="130"/>
      <c r="E210" s="121"/>
      <c r="F210" s="130"/>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c r="AM210" s="121"/>
      <c r="AN210" s="121"/>
      <c r="AO210" s="115"/>
      <c r="AP210" s="124"/>
      <c r="AQ210" s="77"/>
      <c r="AR210" s="77"/>
    </row>
    <row r="211">
      <c r="A211" s="116"/>
      <c r="B211" s="130"/>
      <c r="C211" s="121"/>
      <c r="D211" s="130"/>
      <c r="E211" s="121"/>
      <c r="F211" s="130"/>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c r="AH211" s="121"/>
      <c r="AI211" s="121"/>
      <c r="AJ211" s="121"/>
      <c r="AK211" s="121"/>
      <c r="AL211" s="121"/>
      <c r="AM211" s="121"/>
      <c r="AN211" s="121"/>
      <c r="AO211" s="115"/>
      <c r="AP211" s="124"/>
      <c r="AQ211" s="77"/>
      <c r="AR211" s="77"/>
    </row>
    <row r="212">
      <c r="A212" s="116"/>
      <c r="B212" s="130"/>
      <c r="C212" s="121"/>
      <c r="D212" s="130"/>
      <c r="E212" s="121"/>
      <c r="F212" s="130"/>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c r="AM212" s="121"/>
      <c r="AN212" s="121"/>
      <c r="AO212" s="115"/>
      <c r="AP212" s="124"/>
      <c r="AQ212" s="77"/>
      <c r="AR212" s="77"/>
    </row>
    <row r="213">
      <c r="A213" s="116"/>
      <c r="B213" s="130"/>
      <c r="C213" s="121"/>
      <c r="D213" s="130"/>
      <c r="E213" s="121"/>
      <c r="F213" s="130"/>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c r="AM213" s="121"/>
      <c r="AN213" s="121"/>
      <c r="AO213" s="115"/>
      <c r="AP213" s="124"/>
      <c r="AQ213" s="77"/>
      <c r="AR213" s="77"/>
    </row>
    <row r="214">
      <c r="A214" s="116"/>
      <c r="B214" s="130"/>
      <c r="C214" s="121"/>
      <c r="D214" s="130"/>
      <c r="E214" s="121"/>
      <c r="F214" s="130"/>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c r="AM214" s="121"/>
      <c r="AN214" s="121"/>
      <c r="AO214" s="115"/>
      <c r="AP214" s="124"/>
      <c r="AQ214" s="77"/>
      <c r="AR214" s="77"/>
    </row>
    <row r="215">
      <c r="A215" s="116"/>
      <c r="B215" s="130"/>
      <c r="C215" s="121"/>
      <c r="D215" s="130"/>
      <c r="E215" s="121"/>
      <c r="F215" s="130"/>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c r="AM215" s="121"/>
      <c r="AN215" s="121"/>
      <c r="AO215" s="115"/>
      <c r="AP215" s="124"/>
      <c r="AQ215" s="77"/>
      <c r="AR215" s="77"/>
    </row>
    <row r="216">
      <c r="A216" s="116"/>
      <c r="B216" s="130"/>
      <c r="C216" s="121"/>
      <c r="D216" s="130"/>
      <c r="E216" s="121"/>
      <c r="F216" s="130"/>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c r="AM216" s="121"/>
      <c r="AN216" s="121"/>
      <c r="AO216" s="115"/>
      <c r="AP216" s="124"/>
      <c r="AQ216" s="77"/>
      <c r="AR216" s="77"/>
    </row>
    <row r="217">
      <c r="A217" s="116"/>
      <c r="B217" s="130"/>
      <c r="C217" s="121"/>
      <c r="D217" s="130"/>
      <c r="E217" s="121"/>
      <c r="F217" s="130"/>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c r="AM217" s="121"/>
      <c r="AN217" s="121"/>
      <c r="AO217" s="115"/>
      <c r="AP217" s="124"/>
      <c r="AQ217" s="77"/>
      <c r="AR217" s="77"/>
    </row>
    <row r="218">
      <c r="A218" s="116"/>
      <c r="B218" s="130"/>
      <c r="C218" s="121"/>
      <c r="D218" s="130"/>
      <c r="E218" s="121"/>
      <c r="F218" s="130"/>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c r="AJ218" s="121"/>
      <c r="AK218" s="121"/>
      <c r="AL218" s="121"/>
      <c r="AM218" s="121"/>
      <c r="AN218" s="121"/>
      <c r="AO218" s="115"/>
      <c r="AP218" s="124"/>
      <c r="AQ218" s="77"/>
      <c r="AR218" s="77"/>
    </row>
    <row r="219">
      <c r="A219" s="116"/>
      <c r="B219" s="130"/>
      <c r="C219" s="121"/>
      <c r="D219" s="130"/>
      <c r="E219" s="121"/>
      <c r="F219" s="130"/>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c r="AJ219" s="121"/>
      <c r="AK219" s="121"/>
      <c r="AL219" s="121"/>
      <c r="AM219" s="121"/>
      <c r="AN219" s="121"/>
      <c r="AO219" s="115"/>
      <c r="AP219" s="124"/>
      <c r="AQ219" s="77"/>
      <c r="AR219" s="77"/>
    </row>
    <row r="220">
      <c r="A220" s="116"/>
      <c r="B220" s="113"/>
      <c r="C220" s="71"/>
      <c r="D220" s="113"/>
      <c r="E220" s="113"/>
      <c r="F220" s="113"/>
      <c r="G220" s="113"/>
      <c r="H220" s="113"/>
      <c r="I220" s="113"/>
      <c r="J220" s="113"/>
      <c r="K220" s="113"/>
      <c r="L220" s="113"/>
      <c r="M220" s="113"/>
      <c r="N220" s="113"/>
      <c r="O220" s="113"/>
      <c r="P220" s="113"/>
      <c r="Q220" s="113"/>
      <c r="R220" s="113"/>
      <c r="S220" s="71"/>
      <c r="T220" s="114"/>
      <c r="U220" s="113"/>
      <c r="V220" s="71"/>
      <c r="W220" s="113"/>
      <c r="X220" s="113"/>
      <c r="Y220" s="71"/>
      <c r="Z220" s="71"/>
      <c r="AA220" s="71"/>
      <c r="AB220" s="71"/>
      <c r="AC220" s="71"/>
      <c r="AD220" s="71"/>
      <c r="AE220" s="71"/>
      <c r="AF220" s="71"/>
      <c r="AG220" s="71"/>
      <c r="AH220" s="71"/>
      <c r="AI220" s="71"/>
      <c r="AJ220" s="71"/>
      <c r="AK220" s="71"/>
      <c r="AL220" s="71"/>
      <c r="AM220" s="71"/>
      <c r="AN220" s="71"/>
      <c r="AO220" s="115"/>
      <c r="AP220" s="115"/>
      <c r="AQ220" s="77"/>
      <c r="AR220" s="77"/>
    </row>
    <row r="221">
      <c r="A221" s="117"/>
      <c r="B221" s="113"/>
      <c r="C221" s="71"/>
      <c r="D221" s="113"/>
      <c r="E221" s="113"/>
      <c r="F221" s="113"/>
      <c r="G221" s="113"/>
      <c r="H221" s="113"/>
      <c r="I221" s="113"/>
      <c r="J221" s="113"/>
      <c r="K221" s="113"/>
      <c r="L221" s="113"/>
      <c r="M221" s="113"/>
      <c r="N221" s="113"/>
      <c r="O221" s="113"/>
      <c r="P221" s="113"/>
      <c r="Q221" s="113"/>
      <c r="R221" s="113"/>
      <c r="S221" s="71"/>
      <c r="T221" s="114"/>
      <c r="U221" s="113"/>
      <c r="V221" s="71"/>
      <c r="W221" s="71"/>
      <c r="X221" s="71"/>
      <c r="Y221" s="71"/>
      <c r="Z221" s="71"/>
      <c r="AA221" s="71"/>
      <c r="AB221" s="71"/>
      <c r="AC221" s="71"/>
      <c r="AD221" s="71"/>
      <c r="AE221" s="71"/>
      <c r="AF221" s="71"/>
      <c r="AG221" s="71"/>
      <c r="AH221" s="71"/>
      <c r="AI221" s="71"/>
      <c r="AJ221" s="71"/>
      <c r="AK221" s="71"/>
      <c r="AL221" s="71"/>
      <c r="AM221" s="71"/>
      <c r="AN221" s="71"/>
      <c r="AO221" s="115"/>
      <c r="AP221" s="115"/>
      <c r="AQ221" s="77"/>
      <c r="AR221" s="77"/>
    </row>
    <row r="222">
      <c r="A222" s="121"/>
      <c r="B222" s="130"/>
      <c r="C222" s="121"/>
      <c r="D222" s="130"/>
      <c r="E222" s="121"/>
      <c r="F222" s="130"/>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4"/>
      <c r="AP222" s="124"/>
      <c r="AQ222" s="77"/>
      <c r="AR222" s="77"/>
    </row>
    <row r="223">
      <c r="A223" s="121"/>
      <c r="B223" s="130"/>
      <c r="C223" s="121"/>
      <c r="D223" s="130"/>
      <c r="E223" s="121"/>
      <c r="F223" s="130"/>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4"/>
      <c r="AP223" s="124"/>
      <c r="AQ223" s="77"/>
      <c r="AR223" s="77"/>
    </row>
    <row r="224">
      <c r="A224" s="121"/>
      <c r="B224" s="130"/>
      <c r="C224" s="121"/>
      <c r="D224" s="130"/>
      <c r="E224" s="121"/>
      <c r="F224" s="130"/>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4"/>
      <c r="AP224" s="124"/>
      <c r="AQ224" s="77"/>
      <c r="AR224" s="77"/>
    </row>
    <row r="225">
      <c r="A225" s="121"/>
      <c r="B225" s="130"/>
      <c r="C225" s="121"/>
      <c r="D225" s="130"/>
      <c r="E225" s="121"/>
      <c r="F225" s="130"/>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4"/>
      <c r="AP225" s="124"/>
      <c r="AQ225" s="77"/>
      <c r="AR225" s="77"/>
    </row>
    <row r="226">
      <c r="A226" s="121"/>
      <c r="B226" s="130"/>
      <c r="C226" s="121"/>
      <c r="D226" s="130"/>
      <c r="E226" s="121"/>
      <c r="F226" s="130"/>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c r="AM226" s="121"/>
      <c r="AN226" s="121"/>
      <c r="AO226" s="124"/>
      <c r="AP226" s="124"/>
      <c r="AQ226" s="77"/>
      <c r="AR226" s="77"/>
    </row>
    <row r="227">
      <c r="A227" s="121"/>
      <c r="B227" s="130"/>
      <c r="C227" s="121"/>
      <c r="D227" s="130"/>
      <c r="E227" s="121"/>
      <c r="F227" s="130"/>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c r="AM227" s="121"/>
      <c r="AN227" s="121"/>
      <c r="AO227" s="124"/>
      <c r="AP227" s="124"/>
      <c r="AQ227" s="77"/>
      <c r="AR227" s="77"/>
    </row>
    <row r="228">
      <c r="A228" s="121"/>
      <c r="B228" s="130"/>
      <c r="C228" s="121"/>
      <c r="D228" s="130"/>
      <c r="E228" s="121"/>
      <c r="F228" s="130"/>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4"/>
      <c r="AP228" s="124"/>
      <c r="AQ228" s="77"/>
      <c r="AR228" s="77"/>
    </row>
    <row r="229">
      <c r="A229" s="121"/>
      <c r="B229" s="130"/>
      <c r="C229" s="121"/>
      <c r="D229" s="130"/>
      <c r="E229" s="121"/>
      <c r="F229" s="130"/>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4"/>
      <c r="AP229" s="124"/>
      <c r="AQ229" s="77"/>
      <c r="AR229" s="77"/>
    </row>
    <row r="230">
      <c r="A230" s="121"/>
      <c r="B230" s="130"/>
      <c r="C230" s="121"/>
      <c r="D230" s="130"/>
      <c r="E230" s="121"/>
      <c r="F230" s="130"/>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4"/>
      <c r="AP230" s="124"/>
      <c r="AQ230" s="77"/>
      <c r="AR230" s="77"/>
    </row>
    <row r="231">
      <c r="A231" s="121"/>
      <c r="B231" s="130"/>
      <c r="C231" s="121"/>
      <c r="D231" s="130"/>
      <c r="E231" s="121"/>
      <c r="F231" s="130"/>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4"/>
      <c r="AP231" s="124"/>
      <c r="AQ231" s="77"/>
      <c r="AR231" s="77"/>
    </row>
    <row r="232">
      <c r="A232" s="121"/>
      <c r="B232" s="130"/>
      <c r="C232" s="121"/>
      <c r="D232" s="130"/>
      <c r="E232" s="121"/>
      <c r="F232" s="130"/>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4"/>
      <c r="AP232" s="124"/>
      <c r="AQ232" s="77"/>
      <c r="AR232" s="77"/>
    </row>
    <row r="233">
      <c r="A233" s="121"/>
      <c r="B233" s="130"/>
      <c r="C233" s="121"/>
      <c r="D233" s="130"/>
      <c r="E233" s="121"/>
      <c r="F233" s="130"/>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4"/>
      <c r="AP233" s="124"/>
      <c r="AQ233" s="77"/>
      <c r="AR233" s="77"/>
    </row>
    <row r="234">
      <c r="A234" s="121"/>
      <c r="B234" s="130"/>
      <c r="C234" s="121"/>
      <c r="D234" s="130"/>
      <c r="E234" s="121"/>
      <c r="F234" s="130"/>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c r="AM234" s="121"/>
      <c r="AN234" s="121"/>
      <c r="AO234" s="124"/>
      <c r="AP234" s="124"/>
      <c r="AQ234" s="77"/>
      <c r="AR234" s="77"/>
    </row>
    <row r="235">
      <c r="A235" s="121"/>
      <c r="B235" s="130"/>
      <c r="C235" s="121"/>
      <c r="D235" s="130"/>
      <c r="E235" s="121"/>
      <c r="F235" s="130"/>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4"/>
      <c r="AP235" s="124"/>
      <c r="AQ235" s="77"/>
      <c r="AR235" s="77"/>
    </row>
    <row r="236">
      <c r="A236" s="121"/>
      <c r="B236" s="130"/>
      <c r="C236" s="121"/>
      <c r="D236" s="130"/>
      <c r="E236" s="121"/>
      <c r="F236" s="130"/>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4"/>
      <c r="AP236" s="124"/>
      <c r="AQ236" s="77"/>
      <c r="AR236" s="77"/>
    </row>
    <row r="237">
      <c r="A237" s="146"/>
      <c r="B237" s="113"/>
      <c r="C237" s="71"/>
      <c r="D237" s="113"/>
      <c r="E237" s="113"/>
      <c r="F237" s="113"/>
      <c r="G237" s="113"/>
      <c r="H237" s="113"/>
      <c r="I237" s="113"/>
      <c r="J237" s="113"/>
      <c r="K237" s="113"/>
      <c r="L237" s="113"/>
      <c r="M237" s="113"/>
      <c r="N237" s="113"/>
      <c r="O237" s="113"/>
      <c r="P237" s="113"/>
      <c r="Q237" s="113"/>
      <c r="R237" s="113"/>
      <c r="S237" s="71"/>
      <c r="T237" s="114"/>
      <c r="U237" s="113"/>
      <c r="V237" s="71"/>
      <c r="W237" s="113"/>
      <c r="X237" s="113"/>
      <c r="Y237" s="71"/>
      <c r="Z237" s="71"/>
      <c r="AA237" s="71"/>
      <c r="AB237" s="71"/>
      <c r="AC237" s="71"/>
      <c r="AD237" s="71"/>
      <c r="AE237" s="71"/>
      <c r="AF237" s="71"/>
      <c r="AG237" s="71"/>
      <c r="AH237" s="71"/>
      <c r="AI237" s="71"/>
      <c r="AJ237" s="71"/>
      <c r="AK237" s="71"/>
      <c r="AL237" s="71"/>
      <c r="AM237" s="71"/>
      <c r="AN237" s="71"/>
      <c r="AO237" s="115"/>
      <c r="AP237" s="115"/>
      <c r="AQ237" s="77"/>
      <c r="AR237" s="77"/>
    </row>
    <row r="238">
      <c r="A238" s="116"/>
      <c r="B238" s="113"/>
      <c r="C238" s="71"/>
      <c r="D238" s="113"/>
      <c r="E238" s="113"/>
      <c r="F238" s="113"/>
      <c r="G238" s="113"/>
      <c r="H238" s="113"/>
      <c r="I238" s="113"/>
      <c r="J238" s="113"/>
      <c r="K238" s="113"/>
      <c r="L238" s="113"/>
      <c r="M238" s="113"/>
      <c r="N238" s="113"/>
      <c r="O238" s="113"/>
      <c r="P238" s="113"/>
      <c r="Q238" s="113"/>
      <c r="R238" s="113"/>
      <c r="S238" s="71"/>
      <c r="T238" s="114"/>
      <c r="U238" s="113"/>
      <c r="V238" s="71"/>
      <c r="W238" s="113"/>
      <c r="X238" s="113"/>
      <c r="Y238" s="71"/>
      <c r="Z238" s="71"/>
      <c r="AA238" s="71"/>
      <c r="AB238" s="71"/>
      <c r="AC238" s="71"/>
      <c r="AD238" s="71"/>
      <c r="AE238" s="71"/>
      <c r="AF238" s="71"/>
      <c r="AG238" s="71"/>
      <c r="AH238" s="71"/>
      <c r="AI238" s="71"/>
      <c r="AJ238" s="71"/>
      <c r="AK238" s="71"/>
      <c r="AL238" s="71"/>
      <c r="AM238" s="71"/>
      <c r="AN238" s="71"/>
      <c r="AO238" s="124"/>
      <c r="AP238" s="124"/>
      <c r="AQ238" s="115"/>
      <c r="AR238" s="115"/>
    </row>
    <row r="239">
      <c r="A239" s="116"/>
      <c r="B239" s="130"/>
      <c r="C239" s="121"/>
      <c r="D239" s="130"/>
      <c r="E239" s="121"/>
      <c r="F239" s="130"/>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15"/>
      <c r="AP239" s="124"/>
      <c r="AQ239" s="77"/>
      <c r="AR239" s="77"/>
    </row>
    <row r="240">
      <c r="A240" s="116"/>
      <c r="B240" s="130"/>
      <c r="C240" s="121"/>
      <c r="D240" s="130"/>
      <c r="E240" s="121"/>
      <c r="F240" s="130"/>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15"/>
      <c r="AP240" s="124"/>
      <c r="AQ240" s="77"/>
      <c r="AR240" s="77"/>
    </row>
    <row r="241">
      <c r="A241" s="116"/>
      <c r="B241" s="130"/>
      <c r="C241" s="121"/>
      <c r="D241" s="130"/>
      <c r="E241" s="121"/>
      <c r="F241" s="130"/>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15"/>
      <c r="AP241" s="124"/>
      <c r="AQ241" s="77"/>
      <c r="AR241" s="77"/>
    </row>
    <row r="242">
      <c r="A242" s="116"/>
      <c r="B242" s="130"/>
      <c r="C242" s="121"/>
      <c r="D242" s="130"/>
      <c r="E242" s="121"/>
      <c r="F242" s="130"/>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c r="AM242" s="121"/>
      <c r="AN242" s="121"/>
      <c r="AO242" s="115"/>
      <c r="AP242" s="124"/>
      <c r="AQ242" s="77"/>
      <c r="AR242" s="77"/>
    </row>
    <row r="243">
      <c r="A243" s="116"/>
      <c r="B243" s="130"/>
      <c r="C243" s="121"/>
      <c r="D243" s="130"/>
      <c r="E243" s="121"/>
      <c r="F243" s="130"/>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c r="AM243" s="121"/>
      <c r="AN243" s="121"/>
      <c r="AO243" s="115"/>
      <c r="AP243" s="124"/>
      <c r="AQ243" s="77"/>
      <c r="AR243" s="77"/>
    </row>
    <row r="244">
      <c r="A244" s="116"/>
      <c r="B244" s="130"/>
      <c r="C244" s="121"/>
      <c r="D244" s="130"/>
      <c r="E244" s="121"/>
      <c r="F244" s="130"/>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15"/>
      <c r="AP244" s="124"/>
      <c r="AQ244" s="77"/>
      <c r="AR244" s="77"/>
    </row>
    <row r="245">
      <c r="A245" s="116"/>
      <c r="B245" s="130"/>
      <c r="C245" s="121"/>
      <c r="D245" s="130"/>
      <c r="E245" s="121"/>
      <c r="F245" s="130"/>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15"/>
      <c r="AP245" s="124"/>
      <c r="AQ245" s="77"/>
      <c r="AR245" s="77"/>
    </row>
    <row r="246">
      <c r="A246" s="116"/>
      <c r="B246" s="130"/>
      <c r="C246" s="121"/>
      <c r="D246" s="130"/>
      <c r="E246" s="121"/>
      <c r="F246" s="130"/>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15"/>
      <c r="AP246" s="124"/>
      <c r="AQ246" s="77"/>
      <c r="AR246" s="77"/>
    </row>
    <row r="247">
      <c r="A247" s="116"/>
      <c r="B247" s="130"/>
      <c r="C247" s="121"/>
      <c r="D247" s="130"/>
      <c r="E247" s="121"/>
      <c r="F247" s="130"/>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15"/>
      <c r="AP247" s="124"/>
      <c r="AQ247" s="77"/>
      <c r="AR247" s="77"/>
    </row>
    <row r="248">
      <c r="A248" s="116"/>
      <c r="B248" s="130"/>
      <c r="C248" s="121"/>
      <c r="D248" s="130"/>
      <c r="E248" s="121"/>
      <c r="F248" s="130"/>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15"/>
      <c r="AP248" s="124"/>
      <c r="AQ248" s="77"/>
      <c r="AR248" s="77"/>
    </row>
    <row r="249">
      <c r="A249" s="116"/>
      <c r="B249" s="130"/>
      <c r="C249" s="121"/>
      <c r="D249" s="130"/>
      <c r="E249" s="121"/>
      <c r="F249" s="130"/>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15"/>
      <c r="AP249" s="124"/>
      <c r="AQ249" s="77"/>
      <c r="AR249" s="77"/>
    </row>
    <row r="250">
      <c r="A250" s="116"/>
      <c r="B250" s="130"/>
      <c r="C250" s="121"/>
      <c r="D250" s="130"/>
      <c r="E250" s="121"/>
      <c r="F250" s="130"/>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c r="AM250" s="121"/>
      <c r="AN250" s="121"/>
      <c r="AO250" s="115"/>
      <c r="AP250" s="124"/>
      <c r="AQ250" s="77"/>
      <c r="AR250" s="77"/>
    </row>
    <row r="251">
      <c r="A251" s="116"/>
      <c r="B251" s="130"/>
      <c r="C251" s="121"/>
      <c r="D251" s="130"/>
      <c r="E251" s="121"/>
      <c r="F251" s="130"/>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c r="AM251" s="121"/>
      <c r="AN251" s="121"/>
      <c r="AO251" s="115"/>
      <c r="AP251" s="124"/>
      <c r="AQ251" s="77"/>
      <c r="AR251" s="77"/>
    </row>
    <row r="252">
      <c r="A252" s="116"/>
      <c r="B252" s="130"/>
      <c r="C252" s="121"/>
      <c r="D252" s="130"/>
      <c r="E252" s="121"/>
      <c r="F252" s="130"/>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15"/>
      <c r="AP252" s="124"/>
      <c r="AQ252" s="77"/>
      <c r="AR252" s="77"/>
    </row>
    <row r="253">
      <c r="A253" s="116"/>
      <c r="B253" s="130"/>
      <c r="C253" s="121"/>
      <c r="D253" s="130"/>
      <c r="E253" s="121"/>
      <c r="F253" s="130"/>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15"/>
      <c r="AP253" s="124"/>
      <c r="AQ253" s="77"/>
      <c r="AR253" s="77"/>
    </row>
    <row r="254">
      <c r="A254" s="116"/>
      <c r="B254" s="113"/>
      <c r="C254" s="71"/>
      <c r="D254" s="113"/>
      <c r="E254" s="113"/>
      <c r="F254" s="113"/>
      <c r="G254" s="113"/>
      <c r="H254" s="113"/>
      <c r="I254" s="113"/>
      <c r="J254" s="113"/>
      <c r="K254" s="113"/>
      <c r="L254" s="113"/>
      <c r="M254" s="113"/>
      <c r="N254" s="113"/>
      <c r="O254" s="113"/>
      <c r="P254" s="113"/>
      <c r="Q254" s="113"/>
      <c r="R254" s="113"/>
      <c r="S254" s="71"/>
      <c r="T254" s="114"/>
      <c r="U254" s="113"/>
      <c r="V254" s="71"/>
      <c r="W254" s="71"/>
      <c r="X254" s="113"/>
      <c r="Y254" s="71"/>
      <c r="Z254" s="71"/>
      <c r="AA254" s="71"/>
      <c r="AB254" s="71"/>
      <c r="AC254" s="71"/>
      <c r="AD254" s="71"/>
      <c r="AE254" s="71"/>
      <c r="AF254" s="71"/>
      <c r="AG254" s="71"/>
      <c r="AH254" s="71"/>
      <c r="AI254" s="71"/>
      <c r="AJ254" s="71"/>
      <c r="AK254" s="71"/>
      <c r="AL254" s="71"/>
      <c r="AM254" s="71"/>
      <c r="AN254" s="71"/>
      <c r="AO254" s="115"/>
      <c r="AP254" s="115"/>
      <c r="AQ254" s="77"/>
      <c r="AR254" s="77"/>
    </row>
    <row r="255">
      <c r="A255" s="116"/>
      <c r="B255" s="113"/>
      <c r="C255" s="71"/>
      <c r="D255" s="113"/>
      <c r="E255" s="113"/>
      <c r="F255" s="113"/>
      <c r="G255" s="113"/>
      <c r="H255" s="113"/>
      <c r="I255" s="113"/>
      <c r="J255" s="113"/>
      <c r="K255" s="113"/>
      <c r="L255" s="113"/>
      <c r="M255" s="113"/>
      <c r="N255" s="113"/>
      <c r="O255" s="71"/>
      <c r="P255" s="71"/>
      <c r="Q255" s="113"/>
      <c r="R255" s="113"/>
      <c r="S255" s="71"/>
      <c r="T255" s="71"/>
      <c r="U255" s="71"/>
      <c r="V255" s="71"/>
      <c r="W255" s="71"/>
      <c r="X255" s="71"/>
      <c r="Y255" s="71"/>
      <c r="Z255" s="71"/>
      <c r="AA255" s="71"/>
      <c r="AB255" s="71"/>
      <c r="AC255" s="71"/>
      <c r="AD255" s="71"/>
      <c r="AE255" s="71"/>
      <c r="AF255" s="71"/>
      <c r="AG255" s="71"/>
      <c r="AH255" s="71"/>
      <c r="AI255" s="71"/>
      <c r="AJ255" s="71"/>
      <c r="AK255" s="71"/>
      <c r="AL255" s="71"/>
      <c r="AM255" s="71"/>
      <c r="AN255" s="71"/>
      <c r="AO255" s="115"/>
      <c r="AP255" s="115"/>
      <c r="AQ255" s="77"/>
      <c r="AR255" s="77"/>
    </row>
    <row r="256">
      <c r="A256" s="116"/>
      <c r="B256" s="113"/>
      <c r="C256" s="71"/>
      <c r="D256" s="113"/>
      <c r="E256" s="113"/>
      <c r="F256" s="113"/>
      <c r="G256" s="113"/>
      <c r="H256" s="113"/>
      <c r="I256" s="113"/>
      <c r="J256" s="113"/>
      <c r="K256" s="113"/>
      <c r="L256" s="113"/>
      <c r="M256" s="113"/>
      <c r="N256" s="113"/>
      <c r="O256" s="113"/>
      <c r="P256" s="113"/>
      <c r="Q256" s="113"/>
      <c r="R256" s="113"/>
      <c r="S256" s="71"/>
      <c r="T256" s="114"/>
      <c r="U256" s="113"/>
      <c r="V256" s="71"/>
      <c r="W256" s="113"/>
      <c r="X256" s="113"/>
      <c r="Y256" s="71"/>
      <c r="Z256" s="71"/>
      <c r="AA256" s="71"/>
      <c r="AB256" s="71"/>
      <c r="AC256" s="71"/>
      <c r="AD256" s="71"/>
      <c r="AE256" s="71"/>
      <c r="AF256" s="71"/>
      <c r="AG256" s="71"/>
      <c r="AH256" s="71"/>
      <c r="AI256" s="71"/>
      <c r="AJ256" s="71"/>
      <c r="AK256" s="71"/>
      <c r="AL256" s="71"/>
      <c r="AM256" s="71"/>
      <c r="AN256" s="71"/>
      <c r="AO256" s="115"/>
      <c r="AP256" s="115"/>
      <c r="AQ256" s="77"/>
      <c r="AR256" s="77"/>
    </row>
    <row r="257">
      <c r="A257" s="116"/>
      <c r="B257" s="113"/>
      <c r="C257" s="71"/>
      <c r="D257" s="113"/>
      <c r="E257" s="113"/>
      <c r="F257" s="113"/>
      <c r="G257" s="113"/>
      <c r="H257" s="113"/>
      <c r="I257" s="113"/>
      <c r="J257" s="113"/>
      <c r="K257" s="113"/>
      <c r="L257" s="113"/>
      <c r="M257" s="113"/>
      <c r="N257" s="113"/>
      <c r="O257" s="113"/>
      <c r="P257" s="113"/>
      <c r="Q257" s="113"/>
      <c r="R257" s="113"/>
      <c r="S257" s="71"/>
      <c r="T257" s="114"/>
      <c r="U257" s="113"/>
      <c r="V257" s="71"/>
      <c r="W257" s="71"/>
      <c r="X257" s="113"/>
      <c r="Y257" s="71"/>
      <c r="Z257" s="71"/>
      <c r="AA257" s="71"/>
      <c r="AB257" s="71"/>
      <c r="AC257" s="71"/>
      <c r="AD257" s="71"/>
      <c r="AE257" s="71"/>
      <c r="AF257" s="71"/>
      <c r="AG257" s="71"/>
      <c r="AH257" s="71"/>
      <c r="AI257" s="71"/>
      <c r="AJ257" s="71"/>
      <c r="AK257" s="71"/>
      <c r="AL257" s="71"/>
      <c r="AM257" s="71"/>
      <c r="AN257" s="71"/>
      <c r="AO257" s="115"/>
      <c r="AP257" s="115"/>
      <c r="AQ257" s="77"/>
      <c r="AR257" s="77"/>
    </row>
    <row r="258">
      <c r="A258" s="116"/>
      <c r="B258" s="137"/>
      <c r="C258" s="136"/>
      <c r="D258" s="137"/>
      <c r="E258" s="137"/>
      <c r="F258" s="137"/>
      <c r="G258" s="137"/>
      <c r="H258" s="87"/>
      <c r="I258" s="137"/>
      <c r="J258" s="137"/>
      <c r="K258" s="137"/>
      <c r="L258" s="138"/>
      <c r="M258" s="113"/>
      <c r="N258" s="138"/>
      <c r="O258" s="138"/>
      <c r="P258" s="113"/>
      <c r="Q258" s="113"/>
      <c r="R258" s="113"/>
      <c r="S258" s="71"/>
      <c r="T258" s="114"/>
      <c r="U258" s="113"/>
      <c r="V258" s="71"/>
      <c r="W258" s="71"/>
      <c r="X258" s="71"/>
      <c r="Y258" s="71"/>
      <c r="Z258" s="71"/>
      <c r="AA258" s="71"/>
      <c r="AB258" s="71"/>
      <c r="AC258" s="71"/>
      <c r="AD258" s="71"/>
      <c r="AE258" s="71"/>
      <c r="AF258" s="71"/>
      <c r="AG258" s="71"/>
      <c r="AH258" s="71"/>
      <c r="AI258" s="71"/>
      <c r="AJ258" s="71"/>
      <c r="AK258" s="71"/>
      <c r="AL258" s="71"/>
      <c r="AM258" s="71"/>
      <c r="AN258" s="71"/>
      <c r="AO258" s="77"/>
      <c r="AP258" s="77"/>
      <c r="AQ258" s="77"/>
      <c r="AR258" s="77"/>
    </row>
    <row r="259">
      <c r="A259" s="116"/>
      <c r="B259" s="137"/>
      <c r="C259" s="136"/>
      <c r="D259" s="137"/>
      <c r="E259" s="137"/>
      <c r="F259" s="137"/>
      <c r="G259" s="137"/>
      <c r="H259" s="137"/>
      <c r="I259" s="137"/>
      <c r="J259" s="137"/>
      <c r="K259" s="137"/>
      <c r="L259" s="113"/>
      <c r="M259" s="113"/>
      <c r="N259" s="113"/>
      <c r="O259" s="113"/>
      <c r="P259" s="113"/>
      <c r="Q259" s="113"/>
      <c r="R259" s="113"/>
      <c r="S259" s="71"/>
      <c r="T259" s="114"/>
      <c r="U259" s="113"/>
      <c r="V259" s="71"/>
      <c r="W259" s="71"/>
      <c r="X259" s="71"/>
      <c r="Y259" s="71"/>
      <c r="Z259" s="71"/>
      <c r="AA259" s="71"/>
      <c r="AB259" s="71"/>
      <c r="AC259" s="71"/>
      <c r="AD259" s="71"/>
      <c r="AE259" s="71"/>
      <c r="AF259" s="71"/>
      <c r="AG259" s="71"/>
      <c r="AH259" s="71"/>
      <c r="AI259" s="71"/>
      <c r="AJ259" s="71"/>
      <c r="AK259" s="71"/>
      <c r="AL259" s="71"/>
      <c r="AM259" s="71"/>
      <c r="AN259" s="71"/>
      <c r="AO259" s="77"/>
      <c r="AP259" s="77"/>
      <c r="AQ259" s="77"/>
      <c r="AR259" s="77"/>
    </row>
    <row r="260">
      <c r="A260" s="116"/>
      <c r="B260" s="137"/>
      <c r="C260" s="136"/>
      <c r="D260" s="137"/>
      <c r="E260" s="135"/>
      <c r="F260" s="137"/>
      <c r="G260" s="137"/>
      <c r="H260" s="137"/>
      <c r="I260" s="137"/>
      <c r="J260" s="137"/>
      <c r="K260" s="137"/>
      <c r="L260" s="138"/>
      <c r="M260" s="138"/>
      <c r="N260" s="138"/>
      <c r="O260" s="138"/>
      <c r="P260" s="113"/>
      <c r="Q260" s="113"/>
      <c r="R260" s="113"/>
      <c r="S260" s="71"/>
      <c r="T260" s="114"/>
      <c r="U260" s="113"/>
      <c r="V260" s="71"/>
      <c r="W260" s="71"/>
      <c r="X260" s="71"/>
      <c r="Y260" s="71"/>
      <c r="Z260" s="71"/>
      <c r="AA260" s="71"/>
      <c r="AB260" s="71"/>
      <c r="AC260" s="71"/>
      <c r="AD260" s="71"/>
      <c r="AE260" s="71"/>
      <c r="AF260" s="71"/>
      <c r="AG260" s="71"/>
      <c r="AH260" s="71"/>
      <c r="AI260" s="71"/>
      <c r="AJ260" s="71"/>
      <c r="AK260" s="71"/>
      <c r="AL260" s="71"/>
      <c r="AM260" s="71"/>
      <c r="AN260" s="71"/>
      <c r="AO260" s="77"/>
      <c r="AP260" s="77"/>
      <c r="AQ260" s="77"/>
      <c r="AR260" s="77"/>
    </row>
    <row r="261">
      <c r="A261" s="116"/>
      <c r="B261" s="138"/>
      <c r="C261" s="139"/>
      <c r="D261" s="138"/>
      <c r="E261" s="142"/>
      <c r="F261" s="138"/>
      <c r="G261" s="138"/>
      <c r="H261" s="138"/>
      <c r="I261" s="138"/>
      <c r="J261" s="139"/>
      <c r="K261" s="138"/>
      <c r="L261" s="138"/>
      <c r="M261" s="139"/>
      <c r="N261" s="139"/>
      <c r="O261" s="138"/>
      <c r="P261" s="138"/>
      <c r="Q261" s="138"/>
      <c r="R261" s="138"/>
      <c r="S261" s="139"/>
      <c r="T261" s="140"/>
      <c r="U261" s="138"/>
      <c r="V261" s="71"/>
      <c r="W261" s="71"/>
      <c r="X261" s="71"/>
      <c r="Y261" s="71"/>
      <c r="Z261" s="71"/>
      <c r="AA261" s="71"/>
      <c r="AB261" s="71"/>
      <c r="AC261" s="71"/>
      <c r="AD261" s="71"/>
      <c r="AE261" s="71"/>
      <c r="AF261" s="71"/>
      <c r="AG261" s="71"/>
      <c r="AH261" s="71"/>
      <c r="AI261" s="71"/>
      <c r="AJ261" s="71"/>
      <c r="AK261" s="71"/>
      <c r="AL261" s="71"/>
      <c r="AM261" s="71"/>
      <c r="AN261" s="71"/>
      <c r="AO261" s="77"/>
      <c r="AP261" s="77"/>
      <c r="AQ261" s="77"/>
      <c r="AR261" s="77"/>
    </row>
    <row r="262">
      <c r="A262" s="116"/>
      <c r="B262" s="137"/>
      <c r="C262" s="136"/>
      <c r="D262" s="137"/>
      <c r="E262" s="135"/>
      <c r="F262" s="137"/>
      <c r="G262" s="137"/>
      <c r="H262" s="137"/>
      <c r="I262" s="137"/>
      <c r="J262" s="137"/>
      <c r="K262" s="137"/>
      <c r="L262" s="113"/>
      <c r="M262" s="113"/>
      <c r="N262" s="113"/>
      <c r="O262" s="113"/>
      <c r="P262" s="113"/>
      <c r="Q262" s="113"/>
      <c r="R262" s="113"/>
      <c r="S262" s="71"/>
      <c r="T262" s="114"/>
      <c r="U262" s="113"/>
      <c r="V262" s="71"/>
      <c r="W262" s="71"/>
      <c r="X262" s="71"/>
      <c r="Y262" s="71"/>
      <c r="Z262" s="71"/>
      <c r="AA262" s="71"/>
      <c r="AB262" s="71"/>
      <c r="AC262" s="71"/>
      <c r="AD262" s="71"/>
      <c r="AE262" s="71"/>
      <c r="AF262" s="71"/>
      <c r="AG262" s="71"/>
      <c r="AH262" s="71"/>
      <c r="AI262" s="71"/>
      <c r="AJ262" s="71"/>
      <c r="AK262" s="71"/>
      <c r="AL262" s="71"/>
      <c r="AM262" s="71"/>
      <c r="AN262" s="71"/>
      <c r="AO262" s="77"/>
      <c r="AP262" s="77"/>
      <c r="AQ262" s="77"/>
      <c r="AR262" s="77"/>
    </row>
    <row r="263">
      <c r="A263" s="116"/>
      <c r="B263" s="137"/>
      <c r="C263" s="136"/>
      <c r="D263" s="137"/>
      <c r="E263" s="135"/>
      <c r="F263" s="137"/>
      <c r="G263" s="137"/>
      <c r="H263" s="137"/>
      <c r="I263" s="137"/>
      <c r="J263" s="137"/>
      <c r="K263" s="137"/>
      <c r="L263" s="113"/>
      <c r="M263" s="113"/>
      <c r="N263" s="113"/>
      <c r="O263" s="113"/>
      <c r="P263" s="113"/>
      <c r="Q263" s="113"/>
      <c r="R263" s="113"/>
      <c r="S263" s="71"/>
      <c r="T263" s="114"/>
      <c r="U263" s="113"/>
      <c r="V263" s="71"/>
      <c r="W263" s="71"/>
      <c r="X263" s="71"/>
      <c r="Y263" s="71"/>
      <c r="Z263" s="71"/>
      <c r="AA263" s="71"/>
      <c r="AB263" s="71"/>
      <c r="AC263" s="71"/>
      <c r="AD263" s="71"/>
      <c r="AE263" s="71"/>
      <c r="AF263" s="71"/>
      <c r="AG263" s="71"/>
      <c r="AH263" s="71"/>
      <c r="AI263" s="71"/>
      <c r="AJ263" s="71"/>
      <c r="AK263" s="71"/>
      <c r="AL263" s="71"/>
      <c r="AM263" s="71"/>
      <c r="AN263" s="71"/>
      <c r="AO263" s="77"/>
      <c r="AP263" s="77"/>
      <c r="AQ263" s="77"/>
      <c r="AR263" s="77"/>
    </row>
    <row r="264">
      <c r="A264" s="116"/>
      <c r="B264" s="137"/>
      <c r="C264" s="136"/>
      <c r="D264" s="137"/>
      <c r="E264" s="135"/>
      <c r="F264" s="137"/>
      <c r="G264" s="137"/>
      <c r="H264" s="137"/>
      <c r="I264" s="137"/>
      <c r="J264" s="137"/>
      <c r="K264" s="137"/>
      <c r="L264" s="113"/>
      <c r="M264" s="113"/>
      <c r="N264" s="113"/>
      <c r="O264" s="113"/>
      <c r="P264" s="113"/>
      <c r="Q264" s="113"/>
      <c r="R264" s="113"/>
      <c r="S264" s="71"/>
      <c r="T264" s="114"/>
      <c r="U264" s="113"/>
      <c r="V264" s="71"/>
      <c r="W264" s="71"/>
      <c r="X264" s="71"/>
      <c r="Y264" s="71"/>
      <c r="Z264" s="71"/>
      <c r="AA264" s="71"/>
      <c r="AB264" s="71"/>
      <c r="AC264" s="71"/>
      <c r="AD264" s="71"/>
      <c r="AE264" s="71"/>
      <c r="AF264" s="71"/>
      <c r="AG264" s="71"/>
      <c r="AH264" s="71"/>
      <c r="AI264" s="71"/>
      <c r="AJ264" s="71"/>
      <c r="AK264" s="71"/>
      <c r="AL264" s="71"/>
      <c r="AM264" s="71"/>
      <c r="AN264" s="71"/>
      <c r="AO264" s="77"/>
      <c r="AP264" s="77"/>
      <c r="AQ264" s="77"/>
      <c r="AR264" s="77"/>
    </row>
    <row r="265">
      <c r="A265" s="116"/>
      <c r="B265" s="137"/>
      <c r="C265" s="136"/>
      <c r="D265" s="137"/>
      <c r="E265" s="135"/>
      <c r="F265" s="137"/>
      <c r="G265" s="137"/>
      <c r="H265" s="137"/>
      <c r="I265" s="137"/>
      <c r="J265" s="137"/>
      <c r="K265" s="137"/>
      <c r="L265" s="113"/>
      <c r="M265" s="113"/>
      <c r="N265" s="113"/>
      <c r="O265" s="113"/>
      <c r="P265" s="113"/>
      <c r="Q265" s="113"/>
      <c r="R265" s="113"/>
      <c r="S265" s="71"/>
      <c r="T265" s="114"/>
      <c r="U265" s="113"/>
      <c r="V265" s="71"/>
      <c r="W265" s="71"/>
      <c r="X265" s="71"/>
      <c r="Y265" s="71"/>
      <c r="Z265" s="71"/>
      <c r="AA265" s="71"/>
      <c r="AB265" s="71"/>
      <c r="AC265" s="71"/>
      <c r="AD265" s="71"/>
      <c r="AE265" s="71"/>
      <c r="AF265" s="71"/>
      <c r="AG265" s="71"/>
      <c r="AH265" s="71"/>
      <c r="AI265" s="71"/>
      <c r="AJ265" s="71"/>
      <c r="AK265" s="71"/>
      <c r="AL265" s="71"/>
      <c r="AM265" s="71"/>
      <c r="AN265" s="71"/>
      <c r="AO265" s="77"/>
      <c r="AP265" s="77"/>
      <c r="AQ265" s="77"/>
      <c r="AR265" s="77"/>
    </row>
    <row r="266">
      <c r="A266" s="116"/>
      <c r="B266" s="138"/>
      <c r="C266" s="139"/>
      <c r="D266" s="139"/>
      <c r="E266" s="139"/>
      <c r="F266" s="138"/>
      <c r="G266" s="139"/>
      <c r="H266" s="138"/>
      <c r="I266" s="139"/>
      <c r="J266" s="139"/>
      <c r="K266" s="139"/>
      <c r="L266" s="71"/>
      <c r="M266" s="71"/>
      <c r="N266" s="71"/>
      <c r="O266" s="71"/>
      <c r="P266" s="71"/>
      <c r="Q266" s="71"/>
      <c r="R266" s="71"/>
      <c r="S266" s="71"/>
      <c r="T266" s="114"/>
      <c r="U266" s="71"/>
      <c r="V266" s="71"/>
      <c r="W266" s="71"/>
      <c r="X266" s="71"/>
      <c r="Y266" s="71"/>
      <c r="Z266" s="71"/>
      <c r="AA266" s="71"/>
      <c r="AB266" s="71"/>
      <c r="AC266" s="71"/>
      <c r="AD266" s="71"/>
      <c r="AE266" s="71"/>
      <c r="AF266" s="71"/>
      <c r="AG266" s="71"/>
      <c r="AH266" s="71"/>
      <c r="AI266" s="71"/>
      <c r="AJ266" s="71"/>
      <c r="AK266" s="71"/>
      <c r="AL266" s="71"/>
      <c r="AM266" s="71"/>
      <c r="AN266" s="71"/>
      <c r="AO266" s="77"/>
      <c r="AP266" s="77"/>
      <c r="AQ266" s="77"/>
      <c r="AR266" s="77"/>
    </row>
    <row r="267">
      <c r="A267" s="116"/>
      <c r="B267" s="130"/>
      <c r="C267" s="121"/>
      <c r="D267" s="130"/>
      <c r="E267" s="121"/>
      <c r="F267" s="130"/>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c r="AH267" s="121"/>
      <c r="AI267" s="121"/>
      <c r="AJ267" s="121"/>
      <c r="AK267" s="121"/>
      <c r="AL267" s="121"/>
      <c r="AM267" s="121"/>
      <c r="AN267" s="121"/>
      <c r="AO267" s="115"/>
      <c r="AP267" s="124"/>
      <c r="AQ267" s="77"/>
      <c r="AR267" s="77"/>
    </row>
    <row r="268">
      <c r="A268" s="116"/>
      <c r="B268" s="130"/>
      <c r="C268" s="121"/>
      <c r="D268" s="130"/>
      <c r="E268" s="121"/>
      <c r="F268" s="130"/>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c r="AM268" s="121"/>
      <c r="AN268" s="121"/>
      <c r="AO268" s="115"/>
      <c r="AP268" s="124"/>
      <c r="AQ268" s="77"/>
      <c r="AR268" s="77"/>
    </row>
    <row r="269">
      <c r="A269" s="116"/>
      <c r="B269" s="130"/>
      <c r="C269" s="121"/>
      <c r="D269" s="130"/>
      <c r="E269" s="121"/>
      <c r="F269" s="130"/>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15"/>
      <c r="AP269" s="124"/>
      <c r="AQ269" s="77"/>
      <c r="AR269" s="77"/>
    </row>
    <row r="270">
      <c r="A270" s="116"/>
      <c r="B270" s="130"/>
      <c r="C270" s="121"/>
      <c r="D270" s="130"/>
      <c r="E270" s="121"/>
      <c r="F270" s="130"/>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15"/>
      <c r="AP270" s="124"/>
      <c r="AQ270" s="77"/>
      <c r="AR270" s="77"/>
    </row>
    <row r="271">
      <c r="A271" s="116"/>
      <c r="B271" s="130"/>
      <c r="C271" s="121"/>
      <c r="D271" s="130"/>
      <c r="E271" s="121"/>
      <c r="F271" s="130"/>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15"/>
      <c r="AP271" s="124"/>
      <c r="AQ271" s="77"/>
      <c r="AR271" s="77"/>
    </row>
    <row r="272">
      <c r="A272" s="116"/>
      <c r="B272" s="130"/>
      <c r="C272" s="121"/>
      <c r="D272" s="130"/>
      <c r="E272" s="121"/>
      <c r="F272" s="130"/>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15"/>
      <c r="AP272" s="124"/>
      <c r="AQ272" s="77"/>
      <c r="AR272" s="77"/>
    </row>
    <row r="273">
      <c r="A273" s="116"/>
      <c r="B273" s="130"/>
      <c r="C273" s="121"/>
      <c r="D273" s="130"/>
      <c r="E273" s="121"/>
      <c r="F273" s="130"/>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15"/>
      <c r="AP273" s="124"/>
      <c r="AQ273" s="77"/>
      <c r="AR273" s="77"/>
    </row>
    <row r="274">
      <c r="A274" s="116"/>
      <c r="B274" s="130"/>
      <c r="C274" s="121"/>
      <c r="D274" s="130"/>
      <c r="E274" s="121"/>
      <c r="F274" s="130"/>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15"/>
      <c r="AP274" s="124"/>
      <c r="AQ274" s="77"/>
      <c r="AR274" s="77"/>
    </row>
    <row r="275">
      <c r="A275" s="116"/>
      <c r="B275" s="130"/>
      <c r="C275" s="121"/>
      <c r="D275" s="130"/>
      <c r="E275" s="121"/>
      <c r="F275" s="130"/>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15"/>
      <c r="AP275" s="124"/>
      <c r="AQ275" s="77"/>
      <c r="AR275" s="77"/>
    </row>
    <row r="276">
      <c r="A276" s="116"/>
      <c r="B276" s="130"/>
      <c r="C276" s="121"/>
      <c r="D276" s="130"/>
      <c r="E276" s="121"/>
      <c r="F276" s="130"/>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15"/>
      <c r="AP276" s="124"/>
      <c r="AQ276" s="77"/>
      <c r="AR276" s="77"/>
    </row>
    <row r="277">
      <c r="A277" s="116"/>
      <c r="B277" s="130"/>
      <c r="C277" s="121"/>
      <c r="D277" s="130"/>
      <c r="E277" s="121"/>
      <c r="F277" s="130"/>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15"/>
      <c r="AP277" s="124"/>
      <c r="AQ277" s="77"/>
      <c r="AR277" s="77"/>
    </row>
    <row r="278">
      <c r="A278" s="116"/>
      <c r="B278" s="130"/>
      <c r="C278" s="121"/>
      <c r="D278" s="130"/>
      <c r="E278" s="121"/>
      <c r="F278" s="130"/>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15"/>
      <c r="AP278" s="124"/>
      <c r="AQ278" s="77"/>
      <c r="AR278" s="77"/>
    </row>
    <row r="279">
      <c r="A279" s="116"/>
      <c r="B279" s="130"/>
      <c r="C279" s="121"/>
      <c r="D279" s="130"/>
      <c r="E279" s="121"/>
      <c r="F279" s="130"/>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15"/>
      <c r="AP279" s="124"/>
      <c r="AQ279" s="77"/>
      <c r="AR279" s="77"/>
    </row>
    <row r="280">
      <c r="A280" s="116"/>
      <c r="B280" s="130"/>
      <c r="C280" s="121"/>
      <c r="D280" s="130"/>
      <c r="E280" s="121"/>
      <c r="F280" s="130"/>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15"/>
      <c r="AP280" s="124"/>
      <c r="AQ280" s="77"/>
      <c r="AR280" s="77"/>
    </row>
    <row r="281">
      <c r="A281" s="116"/>
      <c r="B281" s="130"/>
      <c r="C281" s="121"/>
      <c r="D281" s="130"/>
      <c r="E281" s="121"/>
      <c r="F281" s="130"/>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15"/>
      <c r="AP281" s="124"/>
      <c r="AQ281" s="77"/>
      <c r="AR281" s="77"/>
    </row>
    <row r="282">
      <c r="A282" s="116"/>
      <c r="B282" s="113"/>
      <c r="C282" s="71"/>
      <c r="D282" s="113"/>
      <c r="E282" s="113"/>
      <c r="F282" s="113"/>
      <c r="G282" s="113"/>
      <c r="H282" s="113"/>
      <c r="I282" s="113"/>
      <c r="J282" s="113"/>
      <c r="K282" s="113"/>
      <c r="L282" s="113"/>
      <c r="M282" s="113"/>
      <c r="N282" s="113"/>
      <c r="O282" s="113"/>
      <c r="P282" s="113"/>
      <c r="Q282" s="113"/>
      <c r="R282" s="113"/>
      <c r="S282" s="71"/>
      <c r="T282" s="114"/>
      <c r="U282" s="113"/>
      <c r="V282" s="71"/>
      <c r="W282" s="113"/>
      <c r="X282" s="71"/>
      <c r="Y282" s="71"/>
      <c r="Z282" s="71"/>
      <c r="AA282" s="71"/>
      <c r="AB282" s="71"/>
      <c r="AC282" s="71"/>
      <c r="AD282" s="71"/>
      <c r="AE282" s="71"/>
      <c r="AF282" s="71"/>
      <c r="AG282" s="71"/>
      <c r="AH282" s="71"/>
      <c r="AI282" s="71"/>
      <c r="AJ282" s="71"/>
      <c r="AK282" s="71"/>
      <c r="AL282" s="71"/>
      <c r="AM282" s="71"/>
      <c r="AN282" s="71"/>
      <c r="AO282" s="115"/>
      <c r="AP282" s="115"/>
      <c r="AQ282" s="77"/>
      <c r="AR282" s="77"/>
    </row>
    <row r="283">
      <c r="A283" s="116"/>
      <c r="B283" s="137"/>
      <c r="C283" s="136"/>
      <c r="D283" s="136"/>
      <c r="E283" s="137"/>
      <c r="F283" s="137"/>
      <c r="G283" s="137"/>
      <c r="H283" s="137"/>
      <c r="I283" s="137"/>
      <c r="J283" s="137"/>
      <c r="K283" s="137"/>
      <c r="L283" s="138"/>
      <c r="M283" s="113"/>
      <c r="N283" s="138"/>
      <c r="O283" s="113"/>
      <c r="P283" s="113"/>
      <c r="Q283" s="113"/>
      <c r="R283" s="113"/>
      <c r="S283" s="71"/>
      <c r="T283" s="114"/>
      <c r="U283" s="113"/>
      <c r="V283" s="71"/>
      <c r="W283" s="71"/>
      <c r="X283" s="71"/>
      <c r="Y283" s="71"/>
      <c r="Z283" s="71"/>
      <c r="AA283" s="71"/>
      <c r="AB283" s="71"/>
      <c r="AC283" s="71"/>
      <c r="AD283" s="71"/>
      <c r="AE283" s="71"/>
      <c r="AF283" s="71"/>
      <c r="AG283" s="71"/>
      <c r="AH283" s="71"/>
      <c r="AI283" s="71"/>
      <c r="AJ283" s="71"/>
      <c r="AK283" s="71"/>
      <c r="AL283" s="71"/>
      <c r="AM283" s="71"/>
      <c r="AN283" s="71"/>
      <c r="AO283" s="77"/>
      <c r="AP283" s="77"/>
      <c r="AQ283" s="77"/>
      <c r="AR283" s="77"/>
    </row>
    <row r="284">
      <c r="A284" s="116"/>
      <c r="B284" s="130"/>
      <c r="C284" s="121"/>
      <c r="D284" s="130"/>
      <c r="E284" s="121"/>
      <c r="F284" s="130"/>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4"/>
      <c r="AP284" s="124"/>
      <c r="AQ284" s="77"/>
      <c r="AR284" s="77"/>
    </row>
    <row r="285">
      <c r="A285" s="116"/>
      <c r="B285" s="130"/>
      <c r="C285" s="121"/>
      <c r="D285" s="130"/>
      <c r="E285" s="121"/>
      <c r="F285" s="130"/>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4"/>
      <c r="AP285" s="124"/>
      <c r="AQ285" s="77"/>
      <c r="AR285" s="77"/>
    </row>
    <row r="286">
      <c r="A286" s="116"/>
      <c r="B286" s="130"/>
      <c r="C286" s="121"/>
      <c r="D286" s="130"/>
      <c r="E286" s="121"/>
      <c r="F286" s="130"/>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4"/>
      <c r="AP286" s="124"/>
      <c r="AQ286" s="77"/>
      <c r="AR286" s="77"/>
    </row>
    <row r="287">
      <c r="A287" s="116"/>
      <c r="B287" s="130"/>
      <c r="C287" s="121"/>
      <c r="D287" s="130"/>
      <c r="E287" s="121"/>
      <c r="F287" s="130"/>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4"/>
      <c r="AP287" s="124"/>
      <c r="AQ287" s="77"/>
      <c r="AR287" s="77"/>
    </row>
    <row r="288">
      <c r="A288" s="116"/>
      <c r="B288" s="130"/>
      <c r="C288" s="121"/>
      <c r="D288" s="130"/>
      <c r="E288" s="121"/>
      <c r="F288" s="130"/>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4"/>
      <c r="AP288" s="124"/>
      <c r="AQ288" s="77"/>
      <c r="AR288" s="77"/>
    </row>
    <row r="289">
      <c r="A289" s="116"/>
      <c r="B289" s="130"/>
      <c r="C289" s="121"/>
      <c r="D289" s="130"/>
      <c r="E289" s="121"/>
      <c r="F289" s="130"/>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4"/>
      <c r="AP289" s="124"/>
      <c r="AQ289" s="77"/>
      <c r="AR289" s="77"/>
    </row>
    <row r="290">
      <c r="A290" s="116"/>
      <c r="B290" s="130"/>
      <c r="C290" s="121"/>
      <c r="D290" s="130"/>
      <c r="E290" s="121"/>
      <c r="F290" s="130"/>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4"/>
      <c r="AP290" s="124"/>
      <c r="AQ290" s="77"/>
      <c r="AR290" s="77"/>
    </row>
    <row r="291">
      <c r="A291" s="116"/>
      <c r="B291" s="130"/>
      <c r="C291" s="121"/>
      <c r="D291" s="130"/>
      <c r="E291" s="121"/>
      <c r="F291" s="130"/>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4"/>
      <c r="AP291" s="124"/>
      <c r="AQ291" s="77"/>
      <c r="AR291" s="77"/>
    </row>
    <row r="292">
      <c r="A292" s="116"/>
      <c r="B292" s="130"/>
      <c r="C292" s="121"/>
      <c r="D292" s="130"/>
      <c r="E292" s="121"/>
      <c r="F292" s="130"/>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4"/>
      <c r="AP292" s="124"/>
      <c r="AQ292" s="77"/>
      <c r="AR292" s="77"/>
    </row>
    <row r="293">
      <c r="A293" s="116"/>
      <c r="B293" s="130"/>
      <c r="C293" s="121"/>
      <c r="D293" s="130"/>
      <c r="E293" s="121"/>
      <c r="F293" s="130"/>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4"/>
      <c r="AP293" s="124"/>
      <c r="AQ293" s="77"/>
      <c r="AR293" s="77"/>
    </row>
    <row r="294">
      <c r="A294" s="116"/>
      <c r="B294" s="113"/>
      <c r="C294" s="71"/>
      <c r="D294" s="113"/>
      <c r="E294" s="113"/>
      <c r="F294" s="113"/>
      <c r="G294" s="71"/>
      <c r="H294" s="113"/>
      <c r="I294" s="113"/>
      <c r="J294" s="113"/>
      <c r="K294" s="113"/>
      <c r="L294" s="113"/>
      <c r="M294" s="113"/>
      <c r="N294" s="113"/>
      <c r="O294" s="113"/>
      <c r="P294" s="113"/>
      <c r="Q294" s="113"/>
      <c r="R294" s="113"/>
      <c r="S294" s="71"/>
      <c r="T294" s="114"/>
      <c r="U294" s="113"/>
      <c r="V294" s="71"/>
      <c r="W294" s="71"/>
      <c r="X294" s="71"/>
      <c r="Y294" s="71"/>
      <c r="Z294" s="71"/>
      <c r="AA294" s="71"/>
      <c r="AB294" s="71"/>
      <c r="AC294" s="71"/>
      <c r="AD294" s="71"/>
      <c r="AE294" s="71"/>
      <c r="AF294" s="71"/>
      <c r="AG294" s="71"/>
      <c r="AH294" s="71"/>
      <c r="AI294" s="71"/>
      <c r="AJ294" s="71"/>
      <c r="AK294" s="71"/>
      <c r="AL294" s="71"/>
      <c r="AM294" s="71"/>
      <c r="AN294" s="71"/>
      <c r="AO294" s="115"/>
      <c r="AP294" s="115"/>
      <c r="AQ294" s="77"/>
      <c r="AR294" s="77"/>
    </row>
    <row r="295">
      <c r="A295" s="116"/>
      <c r="B295" s="130"/>
      <c r="C295" s="121"/>
      <c r="D295" s="130"/>
      <c r="E295" s="121"/>
      <c r="F295" s="130"/>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15"/>
      <c r="AP295" s="124"/>
      <c r="AQ295" s="77"/>
      <c r="AR295" s="77"/>
    </row>
    <row r="296">
      <c r="A296" s="116"/>
      <c r="B296" s="134"/>
      <c r="C296" s="71"/>
      <c r="D296" s="134"/>
      <c r="E296" s="113"/>
      <c r="F296" s="134"/>
      <c r="G296" s="113"/>
      <c r="H296" s="113"/>
      <c r="I296" s="113"/>
      <c r="J296" s="113"/>
      <c r="K296" s="113"/>
      <c r="L296" s="113"/>
      <c r="M296" s="113"/>
      <c r="N296" s="113"/>
      <c r="O296" s="113"/>
      <c r="P296" s="113"/>
      <c r="Q296" s="113"/>
      <c r="R296" s="113"/>
      <c r="S296" s="71"/>
      <c r="T296" s="114"/>
      <c r="U296" s="113"/>
      <c r="V296" s="71"/>
      <c r="W296" s="71"/>
      <c r="X296" s="71"/>
      <c r="Y296" s="71"/>
      <c r="Z296" s="71"/>
      <c r="AA296" s="71"/>
      <c r="AB296" s="71"/>
      <c r="AC296" s="71"/>
      <c r="AD296" s="71"/>
      <c r="AE296" s="71"/>
      <c r="AF296" s="71"/>
      <c r="AG296" s="71"/>
      <c r="AH296" s="71"/>
      <c r="AI296" s="71"/>
      <c r="AJ296" s="71"/>
      <c r="AK296" s="71"/>
      <c r="AL296" s="71"/>
      <c r="AM296" s="71"/>
      <c r="AN296" s="71"/>
      <c r="AO296" s="115"/>
      <c r="AP296" s="115"/>
      <c r="AQ296" s="77"/>
      <c r="AR296" s="77"/>
    </row>
    <row r="297">
      <c r="A297" s="116"/>
      <c r="B297" s="134"/>
      <c r="C297" s="71"/>
      <c r="D297" s="134"/>
      <c r="E297" s="113"/>
      <c r="F297" s="134"/>
      <c r="G297" s="113"/>
      <c r="H297" s="113"/>
      <c r="I297" s="113"/>
      <c r="J297" s="113"/>
      <c r="K297" s="113"/>
      <c r="L297" s="113"/>
      <c r="M297" s="113"/>
      <c r="N297" s="113"/>
      <c r="O297" s="113"/>
      <c r="P297" s="113"/>
      <c r="Q297" s="113"/>
      <c r="R297" s="113"/>
      <c r="S297" s="71"/>
      <c r="T297" s="114"/>
      <c r="U297" s="113"/>
      <c r="V297" s="71"/>
      <c r="W297" s="71"/>
      <c r="X297" s="71"/>
      <c r="Y297" s="71"/>
      <c r="Z297" s="71"/>
      <c r="AA297" s="71"/>
      <c r="AB297" s="71"/>
      <c r="AC297" s="71"/>
      <c r="AD297" s="71"/>
      <c r="AE297" s="71"/>
      <c r="AF297" s="71"/>
      <c r="AG297" s="71"/>
      <c r="AH297" s="71"/>
      <c r="AI297" s="71"/>
      <c r="AJ297" s="71"/>
      <c r="AK297" s="71"/>
      <c r="AL297" s="71"/>
      <c r="AM297" s="71"/>
      <c r="AN297" s="71"/>
      <c r="AO297" s="115"/>
      <c r="AP297" s="115"/>
      <c r="AQ297" s="77"/>
      <c r="AR297" s="77"/>
    </row>
    <row r="298">
      <c r="A298" s="116"/>
      <c r="B298" s="147"/>
      <c r="C298" s="123"/>
      <c r="D298" s="122"/>
      <c r="E298" s="121"/>
      <c r="F298" s="122"/>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3"/>
      <c r="AP298" s="123"/>
      <c r="AQ298" s="123"/>
      <c r="AR298" s="123"/>
    </row>
    <row r="299">
      <c r="A299" s="116"/>
      <c r="B299" s="147"/>
      <c r="C299" s="123"/>
      <c r="D299" s="122"/>
      <c r="E299" s="121"/>
      <c r="F299" s="122"/>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3"/>
      <c r="AP299" s="123"/>
      <c r="AQ299" s="123"/>
      <c r="AR299" s="123"/>
    </row>
    <row r="300">
      <c r="A300" s="116"/>
      <c r="B300" s="147"/>
      <c r="C300" s="123"/>
      <c r="D300" s="122"/>
      <c r="E300" s="121"/>
      <c r="F300" s="122"/>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3"/>
      <c r="AP300" s="123"/>
      <c r="AQ300" s="123"/>
      <c r="AR300" s="123"/>
    </row>
    <row r="301">
      <c r="A301" s="116"/>
      <c r="B301" s="147"/>
      <c r="C301" s="123"/>
      <c r="D301" s="122"/>
      <c r="E301" s="121"/>
      <c r="F301" s="122"/>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3"/>
      <c r="AP301" s="123"/>
      <c r="AQ301" s="123"/>
      <c r="AR301" s="123"/>
    </row>
    <row r="302">
      <c r="A302" s="116"/>
      <c r="B302" s="147"/>
      <c r="C302" s="123"/>
      <c r="D302" s="122"/>
      <c r="E302" s="121"/>
      <c r="F302" s="122"/>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3"/>
      <c r="AP302" s="123"/>
      <c r="AQ302" s="123"/>
      <c r="AR302" s="123"/>
    </row>
    <row r="303">
      <c r="A303" s="116"/>
      <c r="B303" s="134"/>
      <c r="C303" s="71"/>
      <c r="D303" s="134"/>
      <c r="E303" s="113"/>
      <c r="F303" s="134"/>
      <c r="G303" s="113"/>
      <c r="H303" s="113"/>
      <c r="I303" s="113"/>
      <c r="J303" s="113"/>
      <c r="K303" s="113"/>
      <c r="L303" s="113"/>
      <c r="M303" s="113"/>
      <c r="N303" s="113"/>
      <c r="O303" s="113"/>
      <c r="P303" s="113"/>
      <c r="Q303" s="113"/>
      <c r="R303" s="113"/>
      <c r="S303" s="71"/>
      <c r="T303" s="114"/>
      <c r="U303" s="113"/>
      <c r="V303" s="71"/>
      <c r="W303" s="71"/>
      <c r="X303" s="71"/>
      <c r="Y303" s="71"/>
      <c r="Z303" s="71"/>
      <c r="AA303" s="71"/>
      <c r="AB303" s="71"/>
      <c r="AC303" s="71"/>
      <c r="AD303" s="71"/>
      <c r="AE303" s="71"/>
      <c r="AF303" s="71"/>
      <c r="AG303" s="71"/>
      <c r="AH303" s="71"/>
      <c r="AI303" s="71"/>
      <c r="AJ303" s="71"/>
      <c r="AK303" s="71"/>
      <c r="AL303" s="71"/>
      <c r="AM303" s="71"/>
      <c r="AN303" s="71"/>
      <c r="AO303" s="124"/>
      <c r="AP303" s="124"/>
      <c r="AQ303" s="115"/>
      <c r="AR303" s="115"/>
    </row>
    <row r="304">
      <c r="A304" s="116"/>
      <c r="B304" s="134"/>
      <c r="C304" s="71"/>
      <c r="D304" s="134"/>
      <c r="E304" s="113"/>
      <c r="F304" s="134"/>
      <c r="G304" s="113"/>
      <c r="H304" s="113"/>
      <c r="I304" s="113"/>
      <c r="J304" s="113"/>
      <c r="K304" s="113"/>
      <c r="L304" s="113"/>
      <c r="M304" s="113"/>
      <c r="N304" s="113"/>
      <c r="O304" s="113"/>
      <c r="P304" s="113"/>
      <c r="Q304" s="113"/>
      <c r="R304" s="113"/>
      <c r="S304" s="71"/>
      <c r="T304" s="114"/>
      <c r="U304" s="113"/>
      <c r="V304" s="71"/>
      <c r="W304" s="71"/>
      <c r="X304" s="71"/>
      <c r="Y304" s="71"/>
      <c r="Z304" s="71"/>
      <c r="AA304" s="71"/>
      <c r="AB304" s="71"/>
      <c r="AC304" s="71"/>
      <c r="AD304" s="71"/>
      <c r="AE304" s="71"/>
      <c r="AF304" s="71"/>
      <c r="AG304" s="71"/>
      <c r="AH304" s="71"/>
      <c r="AI304" s="71"/>
      <c r="AJ304" s="71"/>
      <c r="AK304" s="71"/>
      <c r="AL304" s="71"/>
      <c r="AM304" s="71"/>
      <c r="AN304" s="71"/>
      <c r="AO304" s="115"/>
      <c r="AP304" s="115"/>
      <c r="AQ304" s="77"/>
      <c r="AR304" s="77"/>
    </row>
    <row r="305">
      <c r="A305" s="116"/>
      <c r="B305" s="148"/>
      <c r="C305" s="87"/>
      <c r="D305" s="148"/>
      <c r="E305" s="137"/>
      <c r="F305" s="148"/>
      <c r="G305" s="137"/>
      <c r="H305" s="137"/>
      <c r="I305" s="137"/>
      <c r="J305" s="137"/>
      <c r="K305" s="137"/>
      <c r="L305" s="113"/>
      <c r="M305" s="138"/>
      <c r="N305" s="138"/>
      <c r="O305" s="113"/>
      <c r="P305" s="138"/>
      <c r="Q305" s="139"/>
      <c r="R305" s="71"/>
      <c r="S305" s="71"/>
      <c r="T305" s="114"/>
      <c r="U305" s="113"/>
      <c r="V305" s="71"/>
      <c r="W305" s="71"/>
      <c r="X305" s="71"/>
      <c r="Y305" s="71"/>
      <c r="Z305" s="71"/>
      <c r="AA305" s="71"/>
      <c r="AB305" s="71"/>
      <c r="AC305" s="71"/>
      <c r="AD305" s="71"/>
      <c r="AE305" s="71"/>
      <c r="AF305" s="71"/>
      <c r="AG305" s="71"/>
      <c r="AH305" s="71"/>
      <c r="AI305" s="71"/>
      <c r="AJ305" s="71"/>
      <c r="AK305" s="71"/>
      <c r="AL305" s="71"/>
      <c r="AM305" s="71"/>
      <c r="AN305" s="71"/>
      <c r="AO305" s="77"/>
      <c r="AP305" s="77"/>
      <c r="AQ305" s="77"/>
      <c r="AR305" s="77"/>
    </row>
    <row r="306">
      <c r="A306" s="116"/>
      <c r="B306" s="122"/>
      <c r="C306" s="123"/>
      <c r="D306" s="122"/>
      <c r="E306" s="121"/>
      <c r="F306" s="122"/>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4"/>
      <c r="AP306" s="124"/>
      <c r="AQ306" s="77"/>
      <c r="AR306" s="77"/>
    </row>
    <row r="307">
      <c r="A307" s="116"/>
      <c r="B307" s="148"/>
      <c r="C307" s="148"/>
      <c r="D307" s="148"/>
      <c r="E307" s="137"/>
      <c r="F307" s="148"/>
      <c r="G307" s="137"/>
      <c r="H307" s="137"/>
      <c r="I307" s="137"/>
      <c r="J307" s="137"/>
      <c r="K307" s="137"/>
      <c r="L307" s="138"/>
      <c r="M307" s="113"/>
      <c r="N307" s="138"/>
      <c r="O307" s="138"/>
      <c r="P307" s="139"/>
      <c r="Q307" s="138"/>
      <c r="R307" s="138"/>
      <c r="S307" s="139"/>
      <c r="T307" s="140"/>
      <c r="U307" s="113"/>
      <c r="V307" s="139"/>
      <c r="W307" s="121"/>
      <c r="X307" s="121"/>
      <c r="Y307" s="121"/>
      <c r="Z307" s="121"/>
      <c r="AA307" s="121"/>
      <c r="AB307" s="121"/>
      <c r="AC307" s="121"/>
      <c r="AD307" s="121"/>
      <c r="AE307" s="121"/>
      <c r="AF307" s="121"/>
      <c r="AG307" s="121"/>
      <c r="AH307" s="121"/>
      <c r="AI307" s="121"/>
      <c r="AJ307" s="121"/>
      <c r="AK307" s="121"/>
      <c r="AL307" s="121"/>
      <c r="AM307" s="121"/>
      <c r="AN307" s="121"/>
      <c r="AO307" s="77"/>
      <c r="AP307" s="77"/>
      <c r="AQ307" s="77"/>
      <c r="AR307" s="77"/>
    </row>
    <row r="308">
      <c r="A308" s="116"/>
      <c r="B308" s="122"/>
      <c r="C308" s="123"/>
      <c r="D308" s="122"/>
      <c r="E308" s="121"/>
      <c r="F308" s="122"/>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4"/>
      <c r="AP308" s="124"/>
      <c r="AQ308" s="77"/>
      <c r="AR308" s="77"/>
    </row>
    <row r="309">
      <c r="A309" s="116"/>
      <c r="B309" s="122"/>
      <c r="C309" s="123"/>
      <c r="D309" s="122"/>
      <c r="E309" s="121"/>
      <c r="F309" s="122"/>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4"/>
      <c r="AP309" s="124"/>
      <c r="AQ309" s="77"/>
      <c r="AR309" s="77"/>
    </row>
    <row r="310">
      <c r="A310" s="116"/>
      <c r="B310" s="122"/>
      <c r="C310" s="123"/>
      <c r="D310" s="122"/>
      <c r="E310" s="121"/>
      <c r="F310" s="122"/>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4"/>
      <c r="AP310" s="124"/>
      <c r="AQ310" s="77"/>
      <c r="AR310" s="77"/>
    </row>
    <row r="311">
      <c r="A311" s="116"/>
      <c r="B311" s="122"/>
      <c r="C311" s="123"/>
      <c r="D311" s="122"/>
      <c r="E311" s="121"/>
      <c r="F311" s="122"/>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4"/>
      <c r="AP311" s="124"/>
      <c r="AQ311" s="77"/>
      <c r="AR311" s="77"/>
    </row>
    <row r="312">
      <c r="A312" s="116"/>
      <c r="B312" s="122"/>
      <c r="C312" s="123"/>
      <c r="D312" s="122"/>
      <c r="E312" s="121"/>
      <c r="F312" s="122"/>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4"/>
      <c r="AP312" s="124"/>
      <c r="AQ312" s="77"/>
      <c r="AR312" s="77"/>
    </row>
    <row r="313">
      <c r="A313" s="116"/>
      <c r="B313" s="122"/>
      <c r="C313" s="123"/>
      <c r="D313" s="122"/>
      <c r="E313" s="121"/>
      <c r="F313" s="122"/>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4"/>
      <c r="AP313" s="124"/>
      <c r="AQ313" s="77"/>
      <c r="AR313" s="77"/>
    </row>
    <row r="314">
      <c r="A314" s="116"/>
      <c r="B314" s="122"/>
      <c r="C314" s="123"/>
      <c r="D314" s="122"/>
      <c r="E314" s="121"/>
      <c r="F314" s="122"/>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4"/>
      <c r="AP314" s="124"/>
      <c r="AQ314" s="77"/>
      <c r="AR314" s="77"/>
    </row>
    <row r="315">
      <c r="A315" s="116"/>
      <c r="B315" s="122"/>
      <c r="C315" s="123"/>
      <c r="D315" s="122"/>
      <c r="E315" s="121"/>
      <c r="F315" s="122"/>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4"/>
      <c r="AP315" s="124"/>
      <c r="AQ315" s="77"/>
      <c r="AR315" s="77"/>
    </row>
    <row r="316">
      <c r="A316" s="116"/>
      <c r="B316" s="122"/>
      <c r="C316" s="123"/>
      <c r="D316" s="122"/>
      <c r="E316" s="121"/>
      <c r="F316" s="122"/>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4"/>
      <c r="AP316" s="124"/>
      <c r="AQ316" s="77"/>
      <c r="AR316" s="77"/>
    </row>
    <row r="317">
      <c r="A317" s="116"/>
      <c r="B317" s="130"/>
      <c r="C317" s="121"/>
      <c r="D317" s="130"/>
      <c r="E317" s="121"/>
      <c r="F317" s="130"/>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15"/>
      <c r="AP317" s="124"/>
      <c r="AQ317" s="77"/>
      <c r="AR317" s="77"/>
    </row>
    <row r="318">
      <c r="A318" s="116"/>
      <c r="B318" s="130"/>
      <c r="C318" s="121"/>
      <c r="D318" s="130"/>
      <c r="E318" s="121"/>
      <c r="F318" s="130"/>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15"/>
      <c r="AP318" s="124"/>
      <c r="AQ318" s="77"/>
      <c r="AR318" s="77"/>
    </row>
    <row r="319">
      <c r="A319" s="116"/>
      <c r="B319" s="130"/>
      <c r="C319" s="121"/>
      <c r="D319" s="130"/>
      <c r="E319" s="121"/>
      <c r="F319" s="130"/>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15"/>
      <c r="AP319" s="124"/>
      <c r="AQ319" s="77"/>
      <c r="AR319" s="77"/>
    </row>
    <row r="320">
      <c r="A320" s="116"/>
      <c r="B320" s="130"/>
      <c r="C320" s="121"/>
      <c r="D320" s="130"/>
      <c r="E320" s="121"/>
      <c r="F320" s="130"/>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15"/>
      <c r="AP320" s="124"/>
      <c r="AQ320" s="77"/>
      <c r="AR320" s="77"/>
    </row>
    <row r="321">
      <c r="A321" s="116"/>
      <c r="B321" s="130"/>
      <c r="C321" s="121"/>
      <c r="D321" s="130"/>
      <c r="E321" s="121"/>
      <c r="F321" s="130"/>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15"/>
      <c r="AP321" s="124"/>
      <c r="AQ321" s="77"/>
      <c r="AR321" s="77"/>
    </row>
    <row r="322">
      <c r="A322" s="116"/>
      <c r="B322" s="130"/>
      <c r="C322" s="121"/>
      <c r="D322" s="130"/>
      <c r="E322" s="121"/>
      <c r="F322" s="130"/>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15"/>
      <c r="AP322" s="124"/>
      <c r="AQ322" s="77"/>
      <c r="AR322" s="77"/>
    </row>
    <row r="323">
      <c r="A323" s="116"/>
      <c r="B323" s="130"/>
      <c r="C323" s="121"/>
      <c r="D323" s="130"/>
      <c r="E323" s="121"/>
      <c r="F323" s="130"/>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15"/>
      <c r="AP323" s="124"/>
      <c r="AQ323" s="77"/>
      <c r="AR323" s="77"/>
    </row>
    <row r="324">
      <c r="A324" s="116"/>
      <c r="B324" s="130"/>
      <c r="C324" s="121"/>
      <c r="D324" s="130"/>
      <c r="E324" s="121"/>
      <c r="F324" s="130"/>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15"/>
      <c r="AP324" s="124"/>
      <c r="AQ324" s="77"/>
      <c r="AR324" s="77"/>
    </row>
    <row r="325">
      <c r="A325" s="116"/>
      <c r="B325" s="130"/>
      <c r="C325" s="121"/>
      <c r="D325" s="130"/>
      <c r="E325" s="121"/>
      <c r="F325" s="130"/>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15"/>
      <c r="AP325" s="124"/>
      <c r="AQ325" s="77"/>
      <c r="AR325" s="77"/>
    </row>
    <row r="326">
      <c r="A326" s="116"/>
      <c r="B326" s="113"/>
      <c r="C326" s="71"/>
      <c r="D326" s="113"/>
      <c r="E326" s="113"/>
      <c r="F326" s="113"/>
      <c r="G326" s="113"/>
      <c r="H326" s="113"/>
      <c r="I326" s="113"/>
      <c r="J326" s="113"/>
      <c r="K326" s="113"/>
      <c r="L326" s="113"/>
      <c r="M326" s="113"/>
      <c r="N326" s="113"/>
      <c r="O326" s="113"/>
      <c r="P326" s="113"/>
      <c r="Q326" s="113"/>
      <c r="R326" s="113"/>
      <c r="S326" s="71"/>
      <c r="T326" s="114"/>
      <c r="U326" s="113"/>
      <c r="V326" s="71"/>
      <c r="W326" s="113"/>
      <c r="X326" s="71"/>
      <c r="Y326" s="71"/>
      <c r="Z326" s="71"/>
      <c r="AA326" s="71"/>
      <c r="AB326" s="71"/>
      <c r="AC326" s="71"/>
      <c r="AD326" s="71"/>
      <c r="AE326" s="71"/>
      <c r="AF326" s="71"/>
      <c r="AG326" s="71"/>
      <c r="AH326" s="71"/>
      <c r="AI326" s="71"/>
      <c r="AJ326" s="71"/>
      <c r="AK326" s="71"/>
      <c r="AL326" s="71"/>
      <c r="AM326" s="71"/>
      <c r="AN326" s="71"/>
      <c r="AO326" s="115"/>
      <c r="AP326" s="115"/>
      <c r="AQ326" s="77"/>
      <c r="AR326" s="77"/>
    </row>
    <row r="327">
      <c r="A327" s="116"/>
      <c r="B327" s="138"/>
      <c r="C327" s="139"/>
      <c r="D327" s="139"/>
      <c r="E327" s="139"/>
      <c r="F327" s="138"/>
      <c r="G327" s="138"/>
      <c r="H327" s="138"/>
      <c r="I327" s="138"/>
      <c r="J327" s="138"/>
      <c r="K327" s="138"/>
      <c r="L327" s="138"/>
      <c r="M327" s="139"/>
      <c r="N327" s="139"/>
      <c r="O327" s="139"/>
      <c r="P327" s="139"/>
      <c r="Q327" s="138"/>
      <c r="R327" s="113"/>
      <c r="S327" s="71"/>
      <c r="T327" s="114"/>
      <c r="U327" s="113"/>
      <c r="V327" s="71"/>
      <c r="W327" s="71"/>
      <c r="X327" s="71"/>
      <c r="Y327" s="71"/>
      <c r="Z327" s="71"/>
      <c r="AA327" s="71"/>
      <c r="AB327" s="71"/>
      <c r="AC327" s="71"/>
      <c r="AD327" s="71"/>
      <c r="AE327" s="71"/>
      <c r="AF327" s="71"/>
      <c r="AG327" s="71"/>
      <c r="AH327" s="71"/>
      <c r="AI327" s="71"/>
      <c r="AJ327" s="71"/>
      <c r="AK327" s="71"/>
      <c r="AL327" s="71"/>
      <c r="AM327" s="71"/>
      <c r="AN327" s="71"/>
      <c r="AO327" s="77"/>
      <c r="AP327" s="77"/>
      <c r="AQ327" s="77"/>
      <c r="AR327" s="77"/>
    </row>
    <row r="328">
      <c r="A328" s="116"/>
      <c r="B328" s="134"/>
      <c r="C328" s="71"/>
      <c r="D328" s="134"/>
      <c r="E328" s="71"/>
      <c r="F328" s="134"/>
      <c r="G328" s="71"/>
      <c r="H328" s="71"/>
      <c r="I328" s="71"/>
      <c r="J328" s="71"/>
      <c r="K328" s="71"/>
      <c r="L328" s="71"/>
      <c r="M328" s="71"/>
      <c r="N328" s="71"/>
      <c r="O328" s="71"/>
      <c r="P328" s="71"/>
      <c r="Q328" s="71"/>
      <c r="R328" s="7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115"/>
      <c r="AP328" s="124"/>
      <c r="AQ328" s="77"/>
      <c r="AR328" s="77"/>
    </row>
    <row r="329">
      <c r="A329" s="116"/>
      <c r="B329" s="134"/>
      <c r="C329" s="71"/>
      <c r="D329" s="134"/>
      <c r="E329" s="71"/>
      <c r="F329" s="134"/>
      <c r="G329" s="71"/>
      <c r="H329" s="71"/>
      <c r="I329" s="71"/>
      <c r="J329" s="71"/>
      <c r="K329" s="71"/>
      <c r="L329" s="71"/>
      <c r="M329" s="71"/>
      <c r="N329" s="71"/>
      <c r="O329" s="71"/>
      <c r="P329" s="71"/>
      <c r="Q329" s="71"/>
      <c r="R329" s="71"/>
      <c r="S329" s="71"/>
      <c r="T329" s="71"/>
      <c r="U329" s="71"/>
      <c r="V329" s="71"/>
      <c r="W329" s="71"/>
      <c r="X329" s="71"/>
      <c r="Y329" s="71"/>
      <c r="Z329" s="71"/>
      <c r="AA329" s="71"/>
      <c r="AB329" s="71"/>
      <c r="AC329" s="71"/>
      <c r="AD329" s="71"/>
      <c r="AE329" s="71"/>
      <c r="AF329" s="71"/>
      <c r="AG329" s="71"/>
      <c r="AH329" s="71"/>
      <c r="AI329" s="71"/>
      <c r="AJ329" s="71"/>
      <c r="AK329" s="71"/>
      <c r="AL329" s="71"/>
      <c r="AM329" s="71"/>
      <c r="AN329" s="71"/>
      <c r="AO329" s="115"/>
      <c r="AP329" s="124"/>
      <c r="AQ329" s="77"/>
      <c r="AR329" s="77"/>
    </row>
    <row r="330">
      <c r="A330" s="116"/>
      <c r="B330" s="134"/>
      <c r="C330" s="71"/>
      <c r="D330" s="134"/>
      <c r="E330" s="71"/>
      <c r="F330" s="134"/>
      <c r="G330" s="71"/>
      <c r="H330" s="71"/>
      <c r="I330" s="71"/>
      <c r="J330" s="71"/>
      <c r="K330" s="71"/>
      <c r="L330" s="71"/>
      <c r="M330" s="71"/>
      <c r="N330" s="71"/>
      <c r="O330" s="71"/>
      <c r="P330" s="71"/>
      <c r="Q330" s="71"/>
      <c r="R330" s="71"/>
      <c r="S330" s="71"/>
      <c r="T330" s="71"/>
      <c r="U330" s="71"/>
      <c r="V330" s="71"/>
      <c r="W330" s="71"/>
      <c r="X330" s="71"/>
      <c r="Y330" s="71"/>
      <c r="Z330" s="71"/>
      <c r="AA330" s="71"/>
      <c r="AB330" s="71"/>
      <c r="AC330" s="71"/>
      <c r="AD330" s="71"/>
      <c r="AE330" s="71"/>
      <c r="AF330" s="71"/>
      <c r="AG330" s="71"/>
      <c r="AH330" s="71"/>
      <c r="AI330" s="71"/>
      <c r="AJ330" s="71"/>
      <c r="AK330" s="71"/>
      <c r="AL330" s="71"/>
      <c r="AM330" s="71"/>
      <c r="AN330" s="71"/>
      <c r="AO330" s="115"/>
      <c r="AP330" s="124"/>
      <c r="AQ330" s="77"/>
      <c r="AR330" s="77"/>
    </row>
    <row r="331">
      <c r="A331" s="116"/>
      <c r="B331" s="134"/>
      <c r="C331" s="71"/>
      <c r="D331" s="134"/>
      <c r="E331" s="71"/>
      <c r="F331" s="134"/>
      <c r="G331" s="71"/>
      <c r="H331" s="71"/>
      <c r="I331" s="71"/>
      <c r="J331" s="71"/>
      <c r="K331" s="71"/>
      <c r="L331" s="71"/>
      <c r="M331" s="71"/>
      <c r="N331" s="71"/>
      <c r="O331" s="71"/>
      <c r="P331" s="71"/>
      <c r="Q331" s="71"/>
      <c r="R331" s="71"/>
      <c r="S331" s="71"/>
      <c r="T331" s="71"/>
      <c r="U331" s="71"/>
      <c r="V331" s="71"/>
      <c r="W331" s="71"/>
      <c r="X331" s="71"/>
      <c r="Y331" s="71"/>
      <c r="Z331" s="71"/>
      <c r="AA331" s="71"/>
      <c r="AB331" s="71"/>
      <c r="AC331" s="71"/>
      <c r="AD331" s="71"/>
      <c r="AE331" s="71"/>
      <c r="AF331" s="71"/>
      <c r="AG331" s="71"/>
      <c r="AH331" s="71"/>
      <c r="AI331" s="71"/>
      <c r="AJ331" s="71"/>
      <c r="AK331" s="71"/>
      <c r="AL331" s="71"/>
      <c r="AM331" s="71"/>
      <c r="AN331" s="71"/>
      <c r="AO331" s="115"/>
      <c r="AP331" s="124"/>
      <c r="AQ331" s="77"/>
      <c r="AR331" s="77"/>
    </row>
    <row r="332">
      <c r="A332" s="116"/>
      <c r="B332" s="134"/>
      <c r="C332" s="71"/>
      <c r="D332" s="134"/>
      <c r="E332" s="71"/>
      <c r="F332" s="134"/>
      <c r="G332" s="71"/>
      <c r="H332" s="71"/>
      <c r="I332" s="71"/>
      <c r="J332" s="71"/>
      <c r="K332" s="71"/>
      <c r="L332" s="71"/>
      <c r="M332" s="71"/>
      <c r="N332" s="71"/>
      <c r="O332" s="71"/>
      <c r="P332" s="71"/>
      <c r="Q332" s="71"/>
      <c r="R332" s="71"/>
      <c r="S332" s="71"/>
      <c r="T332" s="71"/>
      <c r="U332" s="71"/>
      <c r="V332" s="71"/>
      <c r="W332" s="71"/>
      <c r="X332" s="71"/>
      <c r="Y332" s="71"/>
      <c r="Z332" s="71"/>
      <c r="AA332" s="71"/>
      <c r="AB332" s="71"/>
      <c r="AC332" s="71"/>
      <c r="AD332" s="71"/>
      <c r="AE332" s="71"/>
      <c r="AF332" s="71"/>
      <c r="AG332" s="71"/>
      <c r="AH332" s="71"/>
      <c r="AI332" s="71"/>
      <c r="AJ332" s="71"/>
      <c r="AK332" s="71"/>
      <c r="AL332" s="71"/>
      <c r="AM332" s="71"/>
      <c r="AN332" s="71"/>
      <c r="AO332" s="115"/>
      <c r="AP332" s="124"/>
      <c r="AQ332" s="77"/>
      <c r="AR332" s="77"/>
    </row>
    <row r="333">
      <c r="A333" s="116"/>
      <c r="B333" s="134"/>
      <c r="C333" s="71"/>
      <c r="D333" s="134"/>
      <c r="E333" s="71"/>
      <c r="F333" s="134"/>
      <c r="G333" s="71"/>
      <c r="H333" s="71"/>
      <c r="I333" s="71"/>
      <c r="J333" s="71"/>
      <c r="K333" s="71"/>
      <c r="L333" s="71"/>
      <c r="M333" s="71"/>
      <c r="N333" s="71"/>
      <c r="O333" s="71"/>
      <c r="P333" s="71"/>
      <c r="Q333" s="71"/>
      <c r="R333" s="71"/>
      <c r="S333" s="71"/>
      <c r="T333" s="71"/>
      <c r="U333" s="71"/>
      <c r="V333" s="71"/>
      <c r="W333" s="71"/>
      <c r="X333" s="71"/>
      <c r="Y333" s="71"/>
      <c r="Z333" s="71"/>
      <c r="AA333" s="71"/>
      <c r="AB333" s="71"/>
      <c r="AC333" s="71"/>
      <c r="AD333" s="71"/>
      <c r="AE333" s="71"/>
      <c r="AF333" s="71"/>
      <c r="AG333" s="71"/>
      <c r="AH333" s="71"/>
      <c r="AI333" s="71"/>
      <c r="AJ333" s="71"/>
      <c r="AK333" s="71"/>
      <c r="AL333" s="71"/>
      <c r="AM333" s="71"/>
      <c r="AN333" s="71"/>
      <c r="AO333" s="115"/>
      <c r="AP333" s="124"/>
      <c r="AQ333" s="77"/>
      <c r="AR333" s="77"/>
    </row>
    <row r="334">
      <c r="A334" s="116"/>
      <c r="B334" s="134"/>
      <c r="C334" s="71"/>
      <c r="D334" s="134"/>
      <c r="E334" s="71"/>
      <c r="F334" s="134"/>
      <c r="G334" s="71"/>
      <c r="H334" s="71"/>
      <c r="I334" s="71"/>
      <c r="J334" s="71"/>
      <c r="K334" s="71"/>
      <c r="L334" s="71"/>
      <c r="M334" s="71"/>
      <c r="N334" s="71"/>
      <c r="O334" s="71"/>
      <c r="P334" s="71"/>
      <c r="Q334" s="71"/>
      <c r="R334" s="71"/>
      <c r="S334" s="71"/>
      <c r="T334" s="71"/>
      <c r="U334" s="71"/>
      <c r="V334" s="71"/>
      <c r="W334" s="71"/>
      <c r="X334" s="71"/>
      <c r="Y334" s="71"/>
      <c r="Z334" s="71"/>
      <c r="AA334" s="71"/>
      <c r="AB334" s="71"/>
      <c r="AC334" s="71"/>
      <c r="AD334" s="71"/>
      <c r="AE334" s="71"/>
      <c r="AF334" s="71"/>
      <c r="AG334" s="71"/>
      <c r="AH334" s="71"/>
      <c r="AI334" s="71"/>
      <c r="AJ334" s="71"/>
      <c r="AK334" s="71"/>
      <c r="AL334" s="71"/>
      <c r="AM334" s="71"/>
      <c r="AN334" s="71"/>
      <c r="AO334" s="115"/>
      <c r="AP334" s="124"/>
      <c r="AQ334" s="77"/>
      <c r="AR334" s="77"/>
    </row>
    <row r="335">
      <c r="A335" s="116"/>
      <c r="B335" s="134"/>
      <c r="C335" s="71"/>
      <c r="D335" s="134"/>
      <c r="E335" s="71"/>
      <c r="F335" s="134"/>
      <c r="G335" s="71"/>
      <c r="H335" s="71"/>
      <c r="I335" s="71"/>
      <c r="J335" s="71"/>
      <c r="K335" s="71"/>
      <c r="L335" s="71"/>
      <c r="M335" s="71"/>
      <c r="N335" s="71"/>
      <c r="O335" s="71"/>
      <c r="P335" s="71"/>
      <c r="Q335" s="71"/>
      <c r="R335" s="71"/>
      <c r="S335" s="71"/>
      <c r="T335" s="71"/>
      <c r="U335" s="71"/>
      <c r="V335" s="71"/>
      <c r="W335" s="71"/>
      <c r="X335" s="71"/>
      <c r="Y335" s="71"/>
      <c r="Z335" s="71"/>
      <c r="AA335" s="71"/>
      <c r="AB335" s="71"/>
      <c r="AC335" s="71"/>
      <c r="AD335" s="71"/>
      <c r="AE335" s="71"/>
      <c r="AF335" s="71"/>
      <c r="AG335" s="71"/>
      <c r="AH335" s="71"/>
      <c r="AI335" s="71"/>
      <c r="AJ335" s="71"/>
      <c r="AK335" s="71"/>
      <c r="AL335" s="71"/>
      <c r="AM335" s="71"/>
      <c r="AN335" s="71"/>
      <c r="AO335" s="115"/>
      <c r="AP335" s="124"/>
      <c r="AQ335" s="77"/>
      <c r="AR335" s="77"/>
    </row>
    <row r="336">
      <c r="A336" s="116"/>
      <c r="B336" s="134"/>
      <c r="C336" s="71"/>
      <c r="D336" s="134"/>
      <c r="E336" s="71"/>
      <c r="F336" s="134"/>
      <c r="G336" s="71"/>
      <c r="H336" s="71"/>
      <c r="I336" s="71"/>
      <c r="J336" s="71"/>
      <c r="K336" s="71"/>
      <c r="L336" s="71"/>
      <c r="M336" s="71"/>
      <c r="N336" s="71"/>
      <c r="O336" s="71"/>
      <c r="P336" s="71"/>
      <c r="Q336" s="71"/>
      <c r="R336" s="71"/>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115"/>
      <c r="AP336" s="124"/>
      <c r="AQ336" s="77"/>
      <c r="AR336" s="77"/>
    </row>
    <row r="337">
      <c r="A337" s="116"/>
      <c r="B337" s="134"/>
      <c r="C337" s="71"/>
      <c r="D337" s="134"/>
      <c r="E337" s="71"/>
      <c r="F337" s="134"/>
      <c r="G337" s="71"/>
      <c r="H337" s="71"/>
      <c r="I337" s="71"/>
      <c r="J337" s="71"/>
      <c r="K337" s="71"/>
      <c r="L337" s="71"/>
      <c r="M337" s="71"/>
      <c r="N337" s="71"/>
      <c r="O337" s="71"/>
      <c r="P337" s="71"/>
      <c r="Q337" s="71"/>
      <c r="R337" s="71"/>
      <c r="S337" s="71"/>
      <c r="T337" s="71"/>
      <c r="U337" s="71"/>
      <c r="V337" s="71"/>
      <c r="W337" s="71"/>
      <c r="X337" s="71"/>
      <c r="Y337" s="71"/>
      <c r="Z337" s="71"/>
      <c r="AA337" s="71"/>
      <c r="AB337" s="71"/>
      <c r="AC337" s="71"/>
      <c r="AD337" s="71"/>
      <c r="AE337" s="71"/>
      <c r="AF337" s="71"/>
      <c r="AG337" s="71"/>
      <c r="AH337" s="71"/>
      <c r="AI337" s="71"/>
      <c r="AJ337" s="71"/>
      <c r="AK337" s="71"/>
      <c r="AL337" s="71"/>
      <c r="AM337" s="71"/>
      <c r="AN337" s="71"/>
      <c r="AO337" s="115"/>
      <c r="AP337" s="124"/>
      <c r="AQ337" s="77"/>
      <c r="AR337" s="77"/>
    </row>
    <row r="338">
      <c r="A338" s="116"/>
      <c r="B338" s="134"/>
      <c r="C338" s="71"/>
      <c r="D338" s="134"/>
      <c r="E338" s="71"/>
      <c r="F338" s="134"/>
      <c r="G338" s="71"/>
      <c r="H338" s="71"/>
      <c r="I338" s="71"/>
      <c r="J338" s="71"/>
      <c r="K338" s="71"/>
      <c r="L338" s="71"/>
      <c r="M338" s="71"/>
      <c r="N338" s="71"/>
      <c r="O338" s="71"/>
      <c r="P338" s="71"/>
      <c r="Q338" s="71"/>
      <c r="R338" s="71"/>
      <c r="S338" s="71"/>
      <c r="T338" s="71"/>
      <c r="U338" s="71"/>
      <c r="V338" s="71"/>
      <c r="W338" s="71"/>
      <c r="X338" s="71"/>
      <c r="Y338" s="71"/>
      <c r="Z338" s="71"/>
      <c r="AA338" s="71"/>
      <c r="AB338" s="71"/>
      <c r="AC338" s="71"/>
      <c r="AD338" s="71"/>
      <c r="AE338" s="71"/>
      <c r="AF338" s="71"/>
      <c r="AG338" s="71"/>
      <c r="AH338" s="71"/>
      <c r="AI338" s="71"/>
      <c r="AJ338" s="71"/>
      <c r="AK338" s="71"/>
      <c r="AL338" s="71"/>
      <c r="AM338" s="71"/>
      <c r="AN338" s="71"/>
      <c r="AO338" s="115"/>
      <c r="AP338" s="124"/>
      <c r="AQ338" s="77"/>
      <c r="AR338" s="77"/>
    </row>
    <row r="339">
      <c r="A339" s="116"/>
      <c r="B339" s="134"/>
      <c r="C339" s="71"/>
      <c r="D339" s="134"/>
      <c r="E339" s="71"/>
      <c r="F339" s="134"/>
      <c r="G339" s="71"/>
      <c r="H339" s="71"/>
      <c r="I339" s="71"/>
      <c r="J339" s="71"/>
      <c r="K339" s="71"/>
      <c r="L339" s="71"/>
      <c r="M339" s="71"/>
      <c r="N339" s="71"/>
      <c r="O339" s="71"/>
      <c r="P339" s="71"/>
      <c r="Q339" s="71"/>
      <c r="R339" s="71"/>
      <c r="S339" s="71"/>
      <c r="T339" s="71"/>
      <c r="U339" s="71"/>
      <c r="V339" s="71"/>
      <c r="W339" s="71"/>
      <c r="X339" s="71"/>
      <c r="Y339" s="71"/>
      <c r="Z339" s="71"/>
      <c r="AA339" s="71"/>
      <c r="AB339" s="71"/>
      <c r="AC339" s="71"/>
      <c r="AD339" s="71"/>
      <c r="AE339" s="71"/>
      <c r="AF339" s="71"/>
      <c r="AG339" s="71"/>
      <c r="AH339" s="71"/>
      <c r="AI339" s="71"/>
      <c r="AJ339" s="71"/>
      <c r="AK339" s="71"/>
      <c r="AL339" s="71"/>
      <c r="AM339" s="71"/>
      <c r="AN339" s="71"/>
      <c r="AO339" s="115"/>
      <c r="AP339" s="124"/>
      <c r="AQ339" s="77"/>
      <c r="AR339" s="77"/>
    </row>
    <row r="340">
      <c r="A340" s="116"/>
      <c r="B340" s="134"/>
      <c r="C340" s="71"/>
      <c r="D340" s="134"/>
      <c r="E340" s="71"/>
      <c r="F340" s="134"/>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c r="AF340" s="71"/>
      <c r="AG340" s="71"/>
      <c r="AH340" s="71"/>
      <c r="AI340" s="71"/>
      <c r="AJ340" s="71"/>
      <c r="AK340" s="71"/>
      <c r="AL340" s="71"/>
      <c r="AM340" s="71"/>
      <c r="AN340" s="71"/>
      <c r="AO340" s="115"/>
      <c r="AP340" s="124"/>
      <c r="AQ340" s="77"/>
      <c r="AR340" s="77"/>
    </row>
    <row r="341">
      <c r="A341" s="116"/>
      <c r="B341" s="134"/>
      <c r="C341" s="71"/>
      <c r="D341" s="134"/>
      <c r="E341" s="71"/>
      <c r="F341" s="134"/>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c r="AD341" s="71"/>
      <c r="AE341" s="71"/>
      <c r="AF341" s="71"/>
      <c r="AG341" s="71"/>
      <c r="AH341" s="71"/>
      <c r="AI341" s="71"/>
      <c r="AJ341" s="71"/>
      <c r="AK341" s="71"/>
      <c r="AL341" s="71"/>
      <c r="AM341" s="71"/>
      <c r="AN341" s="71"/>
      <c r="AO341" s="115"/>
      <c r="AP341" s="124"/>
      <c r="AQ341" s="77"/>
      <c r="AR341" s="77"/>
    </row>
    <row r="342">
      <c r="A342" s="116"/>
      <c r="B342" s="134"/>
      <c r="C342" s="71"/>
      <c r="D342" s="134"/>
      <c r="E342" s="71"/>
      <c r="F342" s="134"/>
      <c r="G342" s="71"/>
      <c r="H342" s="71"/>
      <c r="I342" s="71"/>
      <c r="J342" s="71"/>
      <c r="K342" s="71"/>
      <c r="L342" s="71"/>
      <c r="M342" s="71"/>
      <c r="N342" s="71"/>
      <c r="O342" s="71"/>
      <c r="P342" s="71"/>
      <c r="Q342" s="71"/>
      <c r="R342" s="7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115"/>
      <c r="AP342" s="124"/>
      <c r="AQ342" s="77"/>
      <c r="AR342" s="77"/>
    </row>
    <row r="343">
      <c r="A343" s="117"/>
      <c r="B343" s="113"/>
      <c r="C343" s="71"/>
      <c r="D343" s="113"/>
      <c r="E343" s="113"/>
      <c r="F343" s="113"/>
      <c r="G343" s="71"/>
      <c r="H343" s="113"/>
      <c r="I343" s="113"/>
      <c r="J343" s="113"/>
      <c r="K343" s="113"/>
      <c r="L343" s="113"/>
      <c r="M343" s="113"/>
      <c r="N343" s="113"/>
      <c r="O343" s="113"/>
      <c r="P343" s="113"/>
      <c r="Q343" s="113"/>
      <c r="R343" s="113"/>
      <c r="S343" s="71"/>
      <c r="T343" s="114"/>
      <c r="U343" s="113"/>
      <c r="V343" s="71"/>
      <c r="W343" s="71"/>
      <c r="X343" s="113"/>
      <c r="Y343" s="71"/>
      <c r="Z343" s="71"/>
      <c r="AA343" s="71"/>
      <c r="AB343" s="71"/>
      <c r="AC343" s="71"/>
      <c r="AD343" s="71"/>
      <c r="AE343" s="71"/>
      <c r="AF343" s="71"/>
      <c r="AG343" s="71"/>
      <c r="AH343" s="71"/>
      <c r="AI343" s="71"/>
      <c r="AJ343" s="71"/>
      <c r="AK343" s="71"/>
      <c r="AL343" s="71"/>
      <c r="AM343" s="71"/>
      <c r="AN343" s="71"/>
      <c r="AO343" s="115"/>
      <c r="AP343" s="115"/>
      <c r="AQ343" s="77"/>
      <c r="AR343" s="77"/>
    </row>
    <row r="344">
      <c r="A344" s="149"/>
      <c r="B344" s="113"/>
      <c r="C344" s="113"/>
      <c r="D344" s="71"/>
      <c r="E344" s="113"/>
      <c r="F344" s="113"/>
      <c r="G344" s="71"/>
      <c r="H344" s="71"/>
      <c r="I344" s="71"/>
      <c r="J344" s="71"/>
      <c r="K344" s="71"/>
      <c r="L344" s="71"/>
      <c r="M344" s="71"/>
      <c r="N344" s="71"/>
      <c r="O344" s="71"/>
      <c r="P344" s="71"/>
      <c r="Q344" s="71"/>
      <c r="R344" s="71"/>
      <c r="S344" s="71"/>
      <c r="T344" s="71"/>
      <c r="U344" s="71"/>
      <c r="V344" s="71"/>
      <c r="W344" s="71"/>
      <c r="X344" s="71"/>
      <c r="Y344" s="71"/>
      <c r="Z344" s="71"/>
      <c r="AA344" s="71"/>
      <c r="AB344" s="71"/>
      <c r="AC344" s="71"/>
      <c r="AD344" s="71"/>
      <c r="AE344" s="71"/>
      <c r="AF344" s="71"/>
      <c r="AG344" s="71"/>
      <c r="AH344" s="71"/>
      <c r="AI344" s="71"/>
      <c r="AJ344" s="71"/>
      <c r="AK344" s="71"/>
      <c r="AL344" s="71"/>
      <c r="AM344" s="71"/>
      <c r="AN344" s="71"/>
      <c r="AO344" s="77"/>
      <c r="AP344" s="77"/>
      <c r="AQ344" s="77"/>
      <c r="AR344" s="77"/>
    </row>
    <row r="345">
      <c r="A345" s="121"/>
      <c r="B345" s="130"/>
      <c r="C345" s="121"/>
      <c r="D345" s="130"/>
      <c r="E345" s="121"/>
      <c r="F345" s="130"/>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15"/>
      <c r="AP345" s="124"/>
      <c r="AQ345" s="77"/>
      <c r="AR345" s="77"/>
    </row>
    <row r="346">
      <c r="A346" s="121"/>
      <c r="B346" s="130"/>
      <c r="C346" s="121"/>
      <c r="D346" s="130"/>
      <c r="E346" s="121"/>
      <c r="F346" s="130"/>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15"/>
      <c r="AP346" s="124"/>
      <c r="AQ346" s="77"/>
      <c r="AR346" s="77"/>
    </row>
    <row r="347">
      <c r="A347" s="121"/>
      <c r="B347" s="130"/>
      <c r="C347" s="121"/>
      <c r="D347" s="130"/>
      <c r="E347" s="121"/>
      <c r="F347" s="130"/>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15"/>
      <c r="AP347" s="124"/>
      <c r="AQ347" s="77"/>
      <c r="AR347" s="77"/>
    </row>
    <row r="348">
      <c r="A348" s="121"/>
      <c r="B348" s="130"/>
      <c r="C348" s="121"/>
      <c r="D348" s="130"/>
      <c r="E348" s="121"/>
      <c r="F348" s="130"/>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15"/>
      <c r="AP348" s="124"/>
      <c r="AQ348" s="77"/>
      <c r="AR348" s="77"/>
    </row>
    <row r="349">
      <c r="A349" s="121"/>
      <c r="B349" s="130"/>
      <c r="C349" s="121"/>
      <c r="D349" s="130"/>
      <c r="E349" s="121"/>
      <c r="F349" s="130"/>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15"/>
      <c r="AP349" s="124"/>
      <c r="AQ349" s="77"/>
      <c r="AR349" s="77"/>
    </row>
    <row r="350">
      <c r="A350" s="121"/>
      <c r="B350" s="130"/>
      <c r="C350" s="121"/>
      <c r="D350" s="130"/>
      <c r="E350" s="121"/>
      <c r="F350" s="130"/>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15"/>
      <c r="AP350" s="124"/>
      <c r="AQ350" s="77"/>
      <c r="AR350" s="77"/>
    </row>
    <row r="351">
      <c r="A351" s="121"/>
      <c r="B351" s="130"/>
      <c r="C351" s="121"/>
      <c r="D351" s="130"/>
      <c r="E351" s="121"/>
      <c r="F351" s="130"/>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15"/>
      <c r="AP351" s="124"/>
      <c r="AQ351" s="77"/>
      <c r="AR351" s="77"/>
    </row>
    <row r="352">
      <c r="A352" s="121"/>
      <c r="B352" s="130"/>
      <c r="C352" s="121"/>
      <c r="D352" s="130"/>
      <c r="E352" s="121"/>
      <c r="F352" s="130"/>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15"/>
      <c r="AP352" s="124"/>
      <c r="AQ352" s="77"/>
      <c r="AR352" s="77"/>
    </row>
    <row r="353">
      <c r="A353" s="121"/>
      <c r="B353" s="130"/>
      <c r="C353" s="121"/>
      <c r="D353" s="130"/>
      <c r="E353" s="121"/>
      <c r="F353" s="130"/>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15"/>
      <c r="AP353" s="124"/>
      <c r="AQ353" s="77"/>
      <c r="AR353" s="77"/>
    </row>
    <row r="354">
      <c r="A354" s="121"/>
      <c r="B354" s="130"/>
      <c r="C354" s="121"/>
      <c r="D354" s="130"/>
      <c r="E354" s="121"/>
      <c r="F354" s="130"/>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15"/>
      <c r="AP354" s="124"/>
      <c r="AQ354" s="77"/>
      <c r="AR354" s="77"/>
    </row>
    <row r="355">
      <c r="A355" s="121"/>
      <c r="B355" s="130"/>
      <c r="C355" s="121"/>
      <c r="D355" s="130"/>
      <c r="E355" s="121"/>
      <c r="F355" s="130"/>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15"/>
      <c r="AP355" s="124"/>
      <c r="AQ355" s="77"/>
      <c r="AR355" s="77"/>
    </row>
    <row r="356">
      <c r="A356" s="121"/>
      <c r="B356" s="130"/>
      <c r="C356" s="121"/>
      <c r="D356" s="130"/>
      <c r="E356" s="121"/>
      <c r="F356" s="130"/>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15"/>
      <c r="AP356" s="124"/>
      <c r="AQ356" s="77"/>
      <c r="AR356" s="77"/>
    </row>
    <row r="357">
      <c r="A357" s="121"/>
      <c r="B357" s="130"/>
      <c r="C357" s="121"/>
      <c r="D357" s="130"/>
      <c r="E357" s="121"/>
      <c r="F357" s="130"/>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15"/>
      <c r="AP357" s="124"/>
      <c r="AQ357" s="77"/>
      <c r="AR357" s="77"/>
    </row>
    <row r="358">
      <c r="A358" s="121"/>
      <c r="B358" s="130"/>
      <c r="C358" s="121"/>
      <c r="D358" s="130"/>
      <c r="E358" s="121"/>
      <c r="F358" s="130"/>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15"/>
      <c r="AP358" s="124"/>
      <c r="AQ358" s="77"/>
      <c r="AR358" s="77"/>
    </row>
    <row r="359">
      <c r="A359" s="121"/>
      <c r="B359" s="130"/>
      <c r="C359" s="121"/>
      <c r="D359" s="130"/>
      <c r="E359" s="121"/>
      <c r="F359" s="130"/>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15"/>
      <c r="AP359" s="124"/>
      <c r="AQ359" s="77"/>
      <c r="AR359" s="77"/>
    </row>
    <row r="360">
      <c r="A360" s="150"/>
      <c r="B360" s="113"/>
      <c r="C360" s="71"/>
      <c r="D360" s="113"/>
      <c r="E360" s="113"/>
      <c r="F360" s="113"/>
      <c r="G360" s="113"/>
      <c r="H360" s="113"/>
      <c r="I360" s="113"/>
      <c r="J360" s="113"/>
      <c r="K360" s="113"/>
      <c r="L360" s="113"/>
      <c r="M360" s="113"/>
      <c r="N360" s="113"/>
      <c r="O360" s="113"/>
      <c r="P360" s="113"/>
      <c r="Q360" s="71"/>
      <c r="R360" s="113"/>
      <c r="S360" s="71"/>
      <c r="T360" s="114"/>
      <c r="U360" s="113"/>
      <c r="V360" s="71"/>
      <c r="W360" s="71"/>
      <c r="X360" s="71"/>
      <c r="Y360" s="71"/>
      <c r="Z360" s="71"/>
      <c r="AA360" s="71"/>
      <c r="AB360" s="71"/>
      <c r="AC360" s="71"/>
      <c r="AD360" s="71"/>
      <c r="AE360" s="71"/>
      <c r="AF360" s="71"/>
      <c r="AG360" s="71"/>
      <c r="AH360" s="71"/>
      <c r="AI360" s="71"/>
      <c r="AJ360" s="71"/>
      <c r="AK360" s="71"/>
      <c r="AL360" s="71"/>
      <c r="AM360" s="71"/>
      <c r="AN360" s="71"/>
      <c r="AO360" s="124"/>
      <c r="AP360" s="124"/>
      <c r="AQ360" s="151"/>
      <c r="AR360" s="151"/>
    </row>
    <row r="361">
      <c r="A361" s="116"/>
      <c r="B361" s="113"/>
      <c r="C361" s="71"/>
      <c r="D361" s="113"/>
      <c r="E361" s="113"/>
      <c r="F361" s="113"/>
      <c r="G361" s="113"/>
      <c r="H361" s="113"/>
      <c r="I361" s="113"/>
      <c r="J361" s="113"/>
      <c r="K361" s="113"/>
      <c r="L361" s="113"/>
      <c r="M361" s="113"/>
      <c r="N361" s="113"/>
      <c r="O361" s="113"/>
      <c r="P361" s="113"/>
      <c r="Q361" s="113"/>
      <c r="R361" s="113"/>
      <c r="S361" s="71"/>
      <c r="T361" s="114"/>
      <c r="U361" s="113"/>
      <c r="V361" s="71"/>
      <c r="W361" s="71"/>
      <c r="X361" s="71"/>
      <c r="Y361" s="71"/>
      <c r="Z361" s="71"/>
      <c r="AA361" s="71"/>
      <c r="AB361" s="71"/>
      <c r="AC361" s="71"/>
      <c r="AD361" s="71"/>
      <c r="AE361" s="71"/>
      <c r="AF361" s="71"/>
      <c r="AG361" s="71"/>
      <c r="AH361" s="71"/>
      <c r="AI361" s="71"/>
      <c r="AJ361" s="71"/>
      <c r="AK361" s="71"/>
      <c r="AL361" s="71"/>
      <c r="AM361" s="71"/>
      <c r="AN361" s="71"/>
      <c r="AO361" s="151"/>
      <c r="AP361" s="151"/>
      <c r="AQ361" s="77"/>
      <c r="AR361" s="77"/>
    </row>
    <row r="362">
      <c r="A362" s="116"/>
      <c r="B362" s="130"/>
      <c r="C362" s="121"/>
      <c r="D362" s="130"/>
      <c r="E362" s="121"/>
      <c r="F362" s="130"/>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c r="AH362" s="121"/>
      <c r="AI362" s="121"/>
      <c r="AJ362" s="121"/>
      <c r="AK362" s="121"/>
      <c r="AL362" s="121"/>
      <c r="AM362" s="121"/>
      <c r="AN362" s="121"/>
      <c r="AO362" s="124"/>
      <c r="AP362" s="124"/>
      <c r="AQ362" s="77"/>
      <c r="AR362" s="77"/>
    </row>
    <row r="363">
      <c r="A363" s="116"/>
      <c r="B363" s="130"/>
      <c r="C363" s="121"/>
      <c r="D363" s="130"/>
      <c r="E363" s="121"/>
      <c r="F363" s="130"/>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4"/>
      <c r="AP363" s="124"/>
      <c r="AQ363" s="77"/>
      <c r="AR363" s="77"/>
    </row>
    <row r="364">
      <c r="A364" s="116"/>
      <c r="B364" s="130"/>
      <c r="C364" s="121"/>
      <c r="D364" s="130"/>
      <c r="E364" s="121"/>
      <c r="F364" s="130"/>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4"/>
      <c r="AP364" s="124"/>
      <c r="AQ364" s="77"/>
      <c r="AR364" s="77"/>
    </row>
    <row r="365">
      <c r="A365" s="116"/>
      <c r="B365" s="130"/>
      <c r="C365" s="121"/>
      <c r="D365" s="130"/>
      <c r="E365" s="121"/>
      <c r="F365" s="130"/>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4"/>
      <c r="AP365" s="124"/>
      <c r="AQ365" s="77"/>
      <c r="AR365" s="77"/>
    </row>
    <row r="366">
      <c r="A366" s="116"/>
      <c r="B366" s="130"/>
      <c r="C366" s="121"/>
      <c r="D366" s="130"/>
      <c r="E366" s="121"/>
      <c r="F366" s="130"/>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4"/>
      <c r="AP366" s="124"/>
      <c r="AQ366" s="77"/>
      <c r="AR366" s="77"/>
    </row>
    <row r="367">
      <c r="A367" s="116"/>
      <c r="B367" s="130"/>
      <c r="C367" s="121"/>
      <c r="D367" s="130"/>
      <c r="E367" s="121"/>
      <c r="F367" s="130"/>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c r="AH367" s="121"/>
      <c r="AI367" s="121"/>
      <c r="AJ367" s="121"/>
      <c r="AK367" s="121"/>
      <c r="AL367" s="121"/>
      <c r="AM367" s="121"/>
      <c r="AN367" s="121"/>
      <c r="AO367" s="124"/>
      <c r="AP367" s="124"/>
      <c r="AQ367" s="77"/>
      <c r="AR367" s="77"/>
    </row>
    <row r="368">
      <c r="A368" s="116"/>
      <c r="B368" s="130"/>
      <c r="C368" s="121"/>
      <c r="D368" s="130"/>
      <c r="E368" s="121"/>
      <c r="F368" s="130"/>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4"/>
      <c r="AP368" s="124"/>
      <c r="AQ368" s="77"/>
      <c r="AR368" s="77"/>
    </row>
    <row r="369">
      <c r="A369" s="116"/>
      <c r="B369" s="130"/>
      <c r="C369" s="121"/>
      <c r="D369" s="130"/>
      <c r="E369" s="121"/>
      <c r="F369" s="130"/>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1"/>
      <c r="AI369" s="121"/>
      <c r="AJ369" s="121"/>
      <c r="AK369" s="121"/>
      <c r="AL369" s="121"/>
      <c r="AM369" s="121"/>
      <c r="AN369" s="121"/>
      <c r="AO369" s="124"/>
      <c r="AP369" s="124"/>
      <c r="AQ369" s="77"/>
      <c r="AR369" s="77"/>
    </row>
    <row r="370">
      <c r="A370" s="116"/>
      <c r="B370" s="130"/>
      <c r="C370" s="121"/>
      <c r="D370" s="130"/>
      <c r="E370" s="121"/>
      <c r="F370" s="130"/>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c r="AH370" s="121"/>
      <c r="AI370" s="121"/>
      <c r="AJ370" s="121"/>
      <c r="AK370" s="121"/>
      <c r="AL370" s="121"/>
      <c r="AM370" s="121"/>
      <c r="AN370" s="121"/>
      <c r="AO370" s="124"/>
      <c r="AP370" s="124"/>
      <c r="AQ370" s="77"/>
      <c r="AR370" s="77"/>
    </row>
    <row r="371">
      <c r="A371" s="116"/>
      <c r="B371" s="130"/>
      <c r="C371" s="121"/>
      <c r="D371" s="130"/>
      <c r="E371" s="121"/>
      <c r="F371" s="130"/>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c r="AH371" s="121"/>
      <c r="AI371" s="121"/>
      <c r="AJ371" s="121"/>
      <c r="AK371" s="121"/>
      <c r="AL371" s="121"/>
      <c r="AM371" s="121"/>
      <c r="AN371" s="121"/>
      <c r="AO371" s="124"/>
      <c r="AP371" s="124"/>
      <c r="AQ371" s="77"/>
      <c r="AR371" s="77"/>
    </row>
    <row r="372">
      <c r="A372" s="116"/>
      <c r="B372" s="130"/>
      <c r="C372" s="121"/>
      <c r="D372" s="130"/>
      <c r="E372" s="121"/>
      <c r="F372" s="130"/>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c r="AH372" s="121"/>
      <c r="AI372" s="121"/>
      <c r="AJ372" s="121"/>
      <c r="AK372" s="121"/>
      <c r="AL372" s="121"/>
      <c r="AM372" s="121"/>
      <c r="AN372" s="121"/>
      <c r="AO372" s="124"/>
      <c r="AP372" s="124"/>
      <c r="AQ372" s="77"/>
      <c r="AR372" s="77"/>
    </row>
    <row r="373">
      <c r="A373" s="116"/>
      <c r="B373" s="130"/>
      <c r="C373" s="121"/>
      <c r="D373" s="130"/>
      <c r="E373" s="121"/>
      <c r="F373" s="130"/>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c r="AH373" s="121"/>
      <c r="AI373" s="121"/>
      <c r="AJ373" s="121"/>
      <c r="AK373" s="121"/>
      <c r="AL373" s="121"/>
      <c r="AM373" s="121"/>
      <c r="AN373" s="121"/>
      <c r="AO373" s="124"/>
      <c r="AP373" s="124"/>
      <c r="AQ373" s="77"/>
      <c r="AR373" s="77"/>
    </row>
    <row r="374">
      <c r="A374" s="116"/>
      <c r="B374" s="130"/>
      <c r="C374" s="121"/>
      <c r="D374" s="130"/>
      <c r="E374" s="121"/>
      <c r="F374" s="130"/>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c r="AH374" s="121"/>
      <c r="AI374" s="121"/>
      <c r="AJ374" s="121"/>
      <c r="AK374" s="121"/>
      <c r="AL374" s="121"/>
      <c r="AM374" s="121"/>
      <c r="AN374" s="121"/>
      <c r="AO374" s="124"/>
      <c r="AP374" s="124"/>
      <c r="AQ374" s="77"/>
      <c r="AR374" s="77"/>
    </row>
    <row r="375">
      <c r="A375" s="116"/>
      <c r="B375" s="130"/>
      <c r="C375" s="121"/>
      <c r="D375" s="130"/>
      <c r="E375" s="121"/>
      <c r="F375" s="130"/>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c r="AH375" s="121"/>
      <c r="AI375" s="121"/>
      <c r="AJ375" s="121"/>
      <c r="AK375" s="121"/>
      <c r="AL375" s="121"/>
      <c r="AM375" s="121"/>
      <c r="AN375" s="121"/>
      <c r="AO375" s="124"/>
      <c r="AP375" s="124"/>
      <c r="AQ375" s="77"/>
      <c r="AR375" s="77"/>
    </row>
    <row r="376">
      <c r="A376" s="116"/>
      <c r="B376" s="130"/>
      <c r="C376" s="121"/>
      <c r="D376" s="130"/>
      <c r="E376" s="121"/>
      <c r="F376" s="130"/>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c r="AH376" s="121"/>
      <c r="AI376" s="121"/>
      <c r="AJ376" s="121"/>
      <c r="AK376" s="121"/>
      <c r="AL376" s="121"/>
      <c r="AM376" s="121"/>
      <c r="AN376" s="121"/>
      <c r="AO376" s="124"/>
      <c r="AP376" s="124"/>
      <c r="AQ376" s="77"/>
      <c r="AR376" s="77"/>
    </row>
    <row r="377">
      <c r="A377" s="117"/>
      <c r="B377" s="113"/>
      <c r="C377" s="121"/>
      <c r="D377" s="152"/>
      <c r="E377" s="152"/>
      <c r="F377" s="113"/>
      <c r="G377" s="113"/>
      <c r="H377" s="113"/>
      <c r="I377" s="113"/>
      <c r="J377" s="113"/>
      <c r="K377" s="113"/>
      <c r="L377" s="113"/>
      <c r="M377" s="113"/>
      <c r="N377" s="152"/>
      <c r="O377" s="113"/>
      <c r="P377" s="113"/>
      <c r="Q377" s="113"/>
      <c r="R377" s="113"/>
      <c r="S377" s="71"/>
      <c r="T377" s="153"/>
      <c r="U377" s="152"/>
      <c r="V377" s="71"/>
      <c r="W377" s="71"/>
      <c r="X377" s="71"/>
      <c r="Y377" s="71"/>
      <c r="Z377" s="71"/>
      <c r="AA377" s="71"/>
      <c r="AB377" s="71"/>
      <c r="AC377" s="71"/>
      <c r="AD377" s="71"/>
      <c r="AE377" s="71"/>
      <c r="AF377" s="71"/>
      <c r="AG377" s="71"/>
      <c r="AH377" s="71"/>
      <c r="AI377" s="71"/>
      <c r="AJ377" s="71"/>
      <c r="AK377" s="71"/>
      <c r="AL377" s="71"/>
      <c r="AM377" s="71"/>
      <c r="AN377" s="71"/>
      <c r="AO377" s="151"/>
      <c r="AP377" s="151"/>
      <c r="AQ377" s="77"/>
      <c r="AR377" s="77"/>
    </row>
    <row r="378">
      <c r="A378" s="121"/>
      <c r="B378" s="130"/>
      <c r="C378" s="121"/>
      <c r="D378" s="154"/>
      <c r="E378" s="121"/>
      <c r="F378" s="130"/>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c r="AH378" s="121"/>
      <c r="AI378" s="121"/>
      <c r="AJ378" s="121"/>
      <c r="AK378" s="121"/>
      <c r="AL378" s="121"/>
      <c r="AM378" s="121"/>
      <c r="AN378" s="121"/>
      <c r="AO378" s="124"/>
      <c r="AP378" s="124"/>
      <c r="AQ378" s="77"/>
      <c r="AR378" s="77"/>
    </row>
    <row r="379">
      <c r="A379" s="121"/>
      <c r="B379" s="130"/>
      <c r="C379" s="121"/>
      <c r="D379" s="154"/>
      <c r="E379" s="121"/>
      <c r="F379" s="130"/>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c r="AH379" s="121"/>
      <c r="AI379" s="121"/>
      <c r="AJ379" s="121"/>
      <c r="AK379" s="121"/>
      <c r="AL379" s="121"/>
      <c r="AM379" s="121"/>
      <c r="AN379" s="121"/>
      <c r="AO379" s="124"/>
      <c r="AP379" s="124"/>
      <c r="AQ379" s="77"/>
      <c r="AR379" s="77"/>
    </row>
    <row r="380">
      <c r="A380" s="121"/>
      <c r="B380" s="130"/>
      <c r="C380" s="121"/>
      <c r="D380" s="154"/>
      <c r="E380" s="121"/>
      <c r="F380" s="130"/>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c r="AH380" s="121"/>
      <c r="AI380" s="121"/>
      <c r="AJ380" s="121"/>
      <c r="AK380" s="121"/>
      <c r="AL380" s="121"/>
      <c r="AM380" s="121"/>
      <c r="AN380" s="121"/>
      <c r="AO380" s="124"/>
      <c r="AP380" s="124"/>
      <c r="AQ380" s="77"/>
      <c r="AR380" s="77"/>
    </row>
    <row r="381">
      <c r="A381" s="121"/>
      <c r="B381" s="130"/>
      <c r="C381" s="121"/>
      <c r="D381" s="154"/>
      <c r="E381" s="121"/>
      <c r="F381" s="130"/>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c r="AH381" s="121"/>
      <c r="AI381" s="121"/>
      <c r="AJ381" s="121"/>
      <c r="AK381" s="121"/>
      <c r="AL381" s="121"/>
      <c r="AM381" s="121"/>
      <c r="AN381" s="121"/>
      <c r="AO381" s="124"/>
      <c r="AP381" s="124"/>
      <c r="AQ381" s="77"/>
      <c r="AR381" s="77"/>
    </row>
    <row r="382">
      <c r="A382" s="121"/>
      <c r="B382" s="130"/>
      <c r="C382" s="121"/>
      <c r="D382" s="154"/>
      <c r="E382" s="121"/>
      <c r="F382" s="130"/>
      <c r="G382" s="121"/>
      <c r="H382" s="121"/>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c r="AH382" s="121"/>
      <c r="AI382" s="121"/>
      <c r="AJ382" s="121"/>
      <c r="AK382" s="121"/>
      <c r="AL382" s="121"/>
      <c r="AM382" s="121"/>
      <c r="AN382" s="121"/>
      <c r="AO382" s="124"/>
      <c r="AP382" s="124"/>
      <c r="AQ382" s="77"/>
      <c r="AR382" s="77"/>
    </row>
    <row r="383">
      <c r="A383" s="121"/>
      <c r="B383" s="130"/>
      <c r="C383" s="121"/>
      <c r="D383" s="154"/>
      <c r="E383" s="121"/>
      <c r="F383" s="130"/>
      <c r="G383" s="121"/>
      <c r="H383" s="121"/>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c r="AH383" s="121"/>
      <c r="AI383" s="121"/>
      <c r="AJ383" s="121"/>
      <c r="AK383" s="121"/>
      <c r="AL383" s="121"/>
      <c r="AM383" s="121"/>
      <c r="AN383" s="121"/>
      <c r="AO383" s="124"/>
      <c r="AP383" s="124"/>
      <c r="AQ383" s="77"/>
      <c r="AR383" s="77"/>
    </row>
    <row r="384">
      <c r="A384" s="121"/>
      <c r="B384" s="130"/>
      <c r="C384" s="121"/>
      <c r="D384" s="154"/>
      <c r="E384" s="121"/>
      <c r="F384" s="130"/>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c r="AH384" s="121"/>
      <c r="AI384" s="121"/>
      <c r="AJ384" s="121"/>
      <c r="AK384" s="121"/>
      <c r="AL384" s="121"/>
      <c r="AM384" s="121"/>
      <c r="AN384" s="121"/>
      <c r="AO384" s="124"/>
      <c r="AP384" s="124"/>
      <c r="AQ384" s="77"/>
      <c r="AR384" s="77"/>
    </row>
    <row r="385">
      <c r="A385" s="121"/>
      <c r="B385" s="130"/>
      <c r="C385" s="121"/>
      <c r="D385" s="154"/>
      <c r="E385" s="121"/>
      <c r="F385" s="130"/>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c r="AH385" s="121"/>
      <c r="AI385" s="121"/>
      <c r="AJ385" s="121"/>
      <c r="AK385" s="121"/>
      <c r="AL385" s="121"/>
      <c r="AM385" s="121"/>
      <c r="AN385" s="121"/>
      <c r="AO385" s="124"/>
      <c r="AP385" s="124"/>
      <c r="AQ385" s="77"/>
      <c r="AR385" s="77"/>
    </row>
    <row r="386">
      <c r="A386" s="121"/>
      <c r="B386" s="130"/>
      <c r="C386" s="121"/>
      <c r="D386" s="154"/>
      <c r="E386" s="121"/>
      <c r="F386" s="130"/>
      <c r="G386" s="121"/>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c r="AH386" s="121"/>
      <c r="AI386" s="121"/>
      <c r="AJ386" s="121"/>
      <c r="AK386" s="121"/>
      <c r="AL386" s="121"/>
      <c r="AM386" s="121"/>
      <c r="AN386" s="121"/>
      <c r="AO386" s="124"/>
      <c r="AP386" s="124"/>
      <c r="AQ386" s="77"/>
      <c r="AR386" s="77"/>
    </row>
    <row r="387">
      <c r="A387" s="121"/>
      <c r="B387" s="130"/>
      <c r="C387" s="121"/>
      <c r="D387" s="154"/>
      <c r="E387" s="121"/>
      <c r="F387" s="130"/>
      <c r="G387" s="121"/>
      <c r="H387" s="121"/>
      <c r="I387" s="121"/>
      <c r="J387" s="121"/>
      <c r="K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c r="AH387" s="121"/>
      <c r="AI387" s="121"/>
      <c r="AJ387" s="121"/>
      <c r="AK387" s="121"/>
      <c r="AL387" s="121"/>
      <c r="AM387" s="121"/>
      <c r="AN387" s="121"/>
      <c r="AO387" s="124"/>
      <c r="AP387" s="124"/>
      <c r="AQ387" s="77"/>
      <c r="AR387" s="77"/>
    </row>
    <row r="388">
      <c r="A388" s="121"/>
      <c r="B388" s="130"/>
      <c r="C388" s="121"/>
      <c r="D388" s="154"/>
      <c r="E388" s="121"/>
      <c r="F388" s="130"/>
      <c r="G388" s="121"/>
      <c r="H388" s="12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c r="AH388" s="121"/>
      <c r="AI388" s="121"/>
      <c r="AJ388" s="121"/>
      <c r="AK388" s="121"/>
      <c r="AL388" s="121"/>
      <c r="AM388" s="121"/>
      <c r="AN388" s="121"/>
      <c r="AO388" s="124"/>
      <c r="AP388" s="124"/>
      <c r="AQ388" s="77"/>
      <c r="AR388" s="77"/>
    </row>
    <row r="389">
      <c r="A389" s="121"/>
      <c r="B389" s="130"/>
      <c r="C389" s="121"/>
      <c r="D389" s="154"/>
      <c r="E389" s="121"/>
      <c r="F389" s="130"/>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4"/>
      <c r="AP389" s="124"/>
      <c r="AQ389" s="77"/>
      <c r="AR389" s="77"/>
    </row>
    <row r="390">
      <c r="A390" s="121"/>
      <c r="B390" s="130"/>
      <c r="C390" s="121"/>
      <c r="D390" s="154"/>
      <c r="E390" s="121"/>
      <c r="F390" s="130"/>
      <c r="G390" s="121"/>
      <c r="H390" s="12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c r="AH390" s="121"/>
      <c r="AI390" s="121"/>
      <c r="AJ390" s="121"/>
      <c r="AK390" s="121"/>
      <c r="AL390" s="121"/>
      <c r="AM390" s="121"/>
      <c r="AN390" s="121"/>
      <c r="AO390" s="124"/>
      <c r="AP390" s="124"/>
      <c r="AQ390" s="77"/>
      <c r="AR390" s="77"/>
    </row>
    <row r="391">
      <c r="A391" s="121"/>
      <c r="B391" s="130"/>
      <c r="C391" s="121"/>
      <c r="D391" s="154"/>
      <c r="E391" s="121"/>
      <c r="F391" s="130"/>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c r="AM391" s="121"/>
      <c r="AN391" s="121"/>
      <c r="AO391" s="124"/>
      <c r="AP391" s="124"/>
      <c r="AQ391" s="77"/>
      <c r="AR391" s="77"/>
    </row>
    <row r="392">
      <c r="A392" s="121"/>
      <c r="B392" s="130"/>
      <c r="C392" s="121"/>
      <c r="D392" s="154"/>
      <c r="E392" s="121"/>
      <c r="F392" s="130"/>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c r="AM392" s="121"/>
      <c r="AN392" s="121"/>
      <c r="AO392" s="124"/>
      <c r="AP392" s="124"/>
      <c r="AQ392" s="77"/>
      <c r="AR392" s="77"/>
    </row>
    <row r="393">
      <c r="A393" s="126"/>
      <c r="B393" s="113"/>
      <c r="C393" s="71"/>
      <c r="D393" s="113"/>
      <c r="E393" s="113"/>
      <c r="F393" s="113"/>
      <c r="G393" s="113"/>
      <c r="H393" s="113"/>
      <c r="I393" s="113"/>
      <c r="J393" s="113"/>
      <c r="K393" s="113"/>
      <c r="L393" s="113"/>
      <c r="M393" s="113"/>
      <c r="N393" s="113"/>
      <c r="O393" s="113"/>
      <c r="P393" s="113"/>
      <c r="Q393" s="113"/>
      <c r="R393" s="113"/>
      <c r="S393" s="71"/>
      <c r="T393" s="114"/>
      <c r="U393" s="113"/>
      <c r="V393" s="71"/>
      <c r="W393" s="71"/>
      <c r="X393" s="113"/>
      <c r="Y393" s="71"/>
      <c r="Z393" s="71"/>
      <c r="AA393" s="71"/>
      <c r="AB393" s="71"/>
      <c r="AC393" s="71"/>
      <c r="AD393" s="71"/>
      <c r="AE393" s="71"/>
      <c r="AF393" s="71"/>
      <c r="AG393" s="71"/>
      <c r="AH393" s="71"/>
      <c r="AI393" s="71"/>
      <c r="AJ393" s="71"/>
      <c r="AK393" s="71"/>
      <c r="AL393" s="71"/>
      <c r="AM393" s="71"/>
      <c r="AN393" s="71"/>
      <c r="AO393" s="115"/>
      <c r="AP393" s="115"/>
      <c r="AQ393" s="77"/>
      <c r="AR393" s="77"/>
    </row>
    <row r="394">
      <c r="A394" s="116"/>
      <c r="B394" s="130"/>
      <c r="C394" s="121"/>
      <c r="D394" s="130"/>
      <c r="E394" s="121"/>
      <c r="F394" s="130"/>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c r="AH394" s="121"/>
      <c r="AI394" s="121"/>
      <c r="AJ394" s="121"/>
      <c r="AK394" s="121"/>
      <c r="AL394" s="121"/>
      <c r="AM394" s="121"/>
      <c r="AN394" s="121"/>
      <c r="AO394" s="115"/>
      <c r="AP394" s="124"/>
      <c r="AQ394" s="77"/>
      <c r="AR394" s="77"/>
    </row>
    <row r="395">
      <c r="A395" s="116"/>
      <c r="B395" s="130"/>
      <c r="C395" s="121"/>
      <c r="D395" s="130"/>
      <c r="E395" s="121"/>
      <c r="F395" s="130"/>
      <c r="G395" s="121"/>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c r="AH395" s="121"/>
      <c r="AI395" s="121"/>
      <c r="AJ395" s="121"/>
      <c r="AK395" s="121"/>
      <c r="AL395" s="121"/>
      <c r="AM395" s="121"/>
      <c r="AN395" s="121"/>
      <c r="AO395" s="115"/>
      <c r="AP395" s="124"/>
      <c r="AQ395" s="77"/>
      <c r="AR395" s="77"/>
    </row>
    <row r="396">
      <c r="A396" s="116"/>
      <c r="B396" s="130"/>
      <c r="C396" s="121"/>
      <c r="D396" s="130"/>
      <c r="E396" s="121"/>
      <c r="F396" s="130"/>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15"/>
      <c r="AP396" s="124"/>
      <c r="AQ396" s="77"/>
      <c r="AR396" s="77"/>
    </row>
    <row r="397">
      <c r="A397" s="116"/>
      <c r="B397" s="130"/>
      <c r="C397" s="121"/>
      <c r="D397" s="130"/>
      <c r="E397" s="121"/>
      <c r="F397" s="130"/>
      <c r="G397" s="121"/>
      <c r="H397" s="12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c r="AH397" s="121"/>
      <c r="AI397" s="121"/>
      <c r="AJ397" s="121"/>
      <c r="AK397" s="121"/>
      <c r="AL397" s="121"/>
      <c r="AM397" s="121"/>
      <c r="AN397" s="121"/>
      <c r="AO397" s="115"/>
      <c r="AP397" s="124"/>
      <c r="AQ397" s="77"/>
      <c r="AR397" s="77"/>
    </row>
    <row r="398">
      <c r="A398" s="116"/>
      <c r="B398" s="130"/>
      <c r="C398" s="121"/>
      <c r="D398" s="130"/>
      <c r="E398" s="121"/>
      <c r="F398" s="130"/>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15"/>
      <c r="AP398" s="124"/>
      <c r="AQ398" s="77"/>
      <c r="AR398" s="77"/>
    </row>
    <row r="399">
      <c r="A399" s="116"/>
      <c r="B399" s="130"/>
      <c r="C399" s="121"/>
      <c r="D399" s="130"/>
      <c r="E399" s="121"/>
      <c r="F399" s="130"/>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c r="AH399" s="121"/>
      <c r="AI399" s="121"/>
      <c r="AJ399" s="121"/>
      <c r="AK399" s="121"/>
      <c r="AL399" s="121"/>
      <c r="AM399" s="121"/>
      <c r="AN399" s="121"/>
      <c r="AO399" s="115"/>
      <c r="AP399" s="124"/>
      <c r="AQ399" s="77"/>
      <c r="AR399" s="77"/>
    </row>
    <row r="400">
      <c r="A400" s="116"/>
      <c r="B400" s="130"/>
      <c r="C400" s="121"/>
      <c r="D400" s="130"/>
      <c r="E400" s="121"/>
      <c r="F400" s="130"/>
      <c r="G400" s="121"/>
      <c r="H400" s="12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c r="AH400" s="121"/>
      <c r="AI400" s="121"/>
      <c r="AJ400" s="121"/>
      <c r="AK400" s="121"/>
      <c r="AL400" s="121"/>
      <c r="AM400" s="121"/>
      <c r="AN400" s="121"/>
      <c r="AO400" s="115"/>
      <c r="AP400" s="124"/>
      <c r="AQ400" s="77"/>
      <c r="AR400" s="77"/>
    </row>
    <row r="401">
      <c r="A401" s="116"/>
      <c r="B401" s="130"/>
      <c r="C401" s="121"/>
      <c r="D401" s="130"/>
      <c r="E401" s="121"/>
      <c r="F401" s="130"/>
      <c r="G401" s="121"/>
      <c r="H401" s="12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c r="AH401" s="121"/>
      <c r="AI401" s="121"/>
      <c r="AJ401" s="121"/>
      <c r="AK401" s="121"/>
      <c r="AL401" s="121"/>
      <c r="AM401" s="121"/>
      <c r="AN401" s="121"/>
      <c r="AO401" s="115"/>
      <c r="AP401" s="124"/>
      <c r="AQ401" s="77"/>
      <c r="AR401" s="77"/>
    </row>
    <row r="402">
      <c r="A402" s="116"/>
      <c r="B402" s="130"/>
      <c r="C402" s="121"/>
      <c r="D402" s="130"/>
      <c r="E402" s="121"/>
      <c r="F402" s="130"/>
      <c r="G402" s="121"/>
      <c r="H402" s="121"/>
      <c r="I402" s="121"/>
      <c r="J402" s="121"/>
      <c r="K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c r="AH402" s="121"/>
      <c r="AI402" s="121"/>
      <c r="AJ402" s="121"/>
      <c r="AK402" s="121"/>
      <c r="AL402" s="121"/>
      <c r="AM402" s="121"/>
      <c r="AN402" s="121"/>
      <c r="AO402" s="115"/>
      <c r="AP402" s="124"/>
      <c r="AQ402" s="77"/>
      <c r="AR402" s="77"/>
    </row>
    <row r="403">
      <c r="A403" s="116"/>
      <c r="B403" s="130"/>
      <c r="C403" s="121"/>
      <c r="D403" s="130"/>
      <c r="E403" s="121"/>
      <c r="F403" s="130"/>
      <c r="G403" s="121"/>
      <c r="H403" s="121"/>
      <c r="I403" s="121"/>
      <c r="J403" s="121"/>
      <c r="K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c r="AH403" s="121"/>
      <c r="AI403" s="121"/>
      <c r="AJ403" s="121"/>
      <c r="AK403" s="121"/>
      <c r="AL403" s="121"/>
      <c r="AM403" s="121"/>
      <c r="AN403" s="121"/>
      <c r="AO403" s="115"/>
      <c r="AP403" s="124"/>
      <c r="AQ403" s="77"/>
      <c r="AR403" s="77"/>
    </row>
    <row r="404">
      <c r="A404" s="116"/>
      <c r="B404" s="130"/>
      <c r="C404" s="121"/>
      <c r="D404" s="130"/>
      <c r="E404" s="121"/>
      <c r="F404" s="130"/>
      <c r="G404" s="121"/>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c r="AH404" s="121"/>
      <c r="AI404" s="121"/>
      <c r="AJ404" s="121"/>
      <c r="AK404" s="121"/>
      <c r="AL404" s="121"/>
      <c r="AM404" s="121"/>
      <c r="AN404" s="121"/>
      <c r="AO404" s="115"/>
      <c r="AP404" s="124"/>
      <c r="AQ404" s="77"/>
      <c r="AR404" s="77"/>
    </row>
    <row r="405">
      <c r="A405" s="116"/>
      <c r="B405" s="130"/>
      <c r="C405" s="121"/>
      <c r="D405" s="130"/>
      <c r="E405" s="121"/>
      <c r="F405" s="130"/>
      <c r="G405" s="121"/>
      <c r="H405" s="12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c r="AH405" s="121"/>
      <c r="AI405" s="121"/>
      <c r="AJ405" s="121"/>
      <c r="AK405" s="121"/>
      <c r="AL405" s="121"/>
      <c r="AM405" s="121"/>
      <c r="AN405" s="121"/>
      <c r="AO405" s="115"/>
      <c r="AP405" s="124"/>
      <c r="AQ405" s="77"/>
      <c r="AR405" s="77"/>
    </row>
    <row r="406">
      <c r="A406" s="116"/>
      <c r="B406" s="130"/>
      <c r="C406" s="121"/>
      <c r="D406" s="130"/>
      <c r="E406" s="121"/>
      <c r="F406" s="130"/>
      <c r="G406" s="121"/>
      <c r="H406" s="12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c r="AH406" s="121"/>
      <c r="AI406" s="121"/>
      <c r="AJ406" s="121"/>
      <c r="AK406" s="121"/>
      <c r="AL406" s="121"/>
      <c r="AM406" s="121"/>
      <c r="AN406" s="121"/>
      <c r="AO406" s="115"/>
      <c r="AP406" s="124"/>
      <c r="AQ406" s="77"/>
      <c r="AR406" s="77"/>
    </row>
    <row r="407">
      <c r="A407" s="116"/>
      <c r="B407" s="130"/>
      <c r="C407" s="121"/>
      <c r="D407" s="130"/>
      <c r="E407" s="121"/>
      <c r="F407" s="130"/>
      <c r="G407" s="121"/>
      <c r="H407" s="12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c r="AH407" s="121"/>
      <c r="AI407" s="121"/>
      <c r="AJ407" s="121"/>
      <c r="AK407" s="121"/>
      <c r="AL407" s="121"/>
      <c r="AM407" s="121"/>
      <c r="AN407" s="121"/>
      <c r="AO407" s="115"/>
      <c r="AP407" s="124"/>
      <c r="AQ407" s="77"/>
      <c r="AR407" s="77"/>
    </row>
    <row r="408">
      <c r="A408" s="116"/>
      <c r="B408" s="130"/>
      <c r="C408" s="121"/>
      <c r="D408" s="130"/>
      <c r="E408" s="121"/>
      <c r="F408" s="130"/>
      <c r="G408" s="121"/>
      <c r="H408" s="12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c r="AH408" s="121"/>
      <c r="AI408" s="121"/>
      <c r="AJ408" s="121"/>
      <c r="AK408" s="121"/>
      <c r="AL408" s="121"/>
      <c r="AM408" s="121"/>
      <c r="AN408" s="121"/>
      <c r="AO408" s="115"/>
      <c r="AP408" s="124"/>
      <c r="AQ408" s="77"/>
      <c r="AR408" s="77"/>
    </row>
    <row r="409">
      <c r="A409" s="117"/>
      <c r="B409" s="113"/>
      <c r="C409" s="71"/>
      <c r="D409" s="113"/>
      <c r="E409" s="113"/>
      <c r="F409" s="113"/>
      <c r="G409" s="113"/>
      <c r="H409" s="113"/>
      <c r="I409" s="113"/>
      <c r="J409" s="113"/>
      <c r="K409" s="113"/>
      <c r="L409" s="113"/>
      <c r="M409" s="113"/>
      <c r="N409" s="113"/>
      <c r="O409" s="113"/>
      <c r="P409" s="113"/>
      <c r="Q409" s="113"/>
      <c r="R409" s="113"/>
      <c r="S409" s="71"/>
      <c r="T409" s="114"/>
      <c r="U409" s="113"/>
      <c r="V409" s="71"/>
      <c r="W409" s="71"/>
      <c r="X409" s="71"/>
      <c r="Y409" s="71"/>
      <c r="Z409" s="71"/>
      <c r="AA409" s="71"/>
      <c r="AB409" s="71"/>
      <c r="AC409" s="71"/>
      <c r="AD409" s="71"/>
      <c r="AE409" s="71"/>
      <c r="AF409" s="71"/>
      <c r="AG409" s="71"/>
      <c r="AH409" s="71"/>
      <c r="AI409" s="71"/>
      <c r="AJ409" s="71"/>
      <c r="AK409" s="71"/>
      <c r="AL409" s="71"/>
      <c r="AM409" s="71"/>
      <c r="AN409" s="71"/>
      <c r="AO409" s="115"/>
      <c r="AP409" s="115"/>
      <c r="AQ409" s="77"/>
      <c r="AR409" s="77"/>
    </row>
    <row r="410">
      <c r="A410" s="121"/>
      <c r="B410" s="130"/>
      <c r="C410" s="121"/>
      <c r="D410" s="130"/>
      <c r="E410" s="121"/>
      <c r="F410" s="130"/>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c r="AH410" s="121"/>
      <c r="AI410" s="121"/>
      <c r="AJ410" s="121"/>
      <c r="AK410" s="121"/>
      <c r="AL410" s="121"/>
      <c r="AM410" s="121"/>
      <c r="AN410" s="121"/>
      <c r="AO410" s="115"/>
      <c r="AP410" s="124"/>
      <c r="AQ410" s="77"/>
      <c r="AR410" s="77"/>
    </row>
    <row r="411">
      <c r="A411" s="121"/>
      <c r="B411" s="130"/>
      <c r="C411" s="121"/>
      <c r="D411" s="130"/>
      <c r="E411" s="121"/>
      <c r="F411" s="130"/>
      <c r="G411" s="121"/>
      <c r="H411" s="121"/>
      <c r="I411" s="121"/>
      <c r="J411" s="121"/>
      <c r="K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c r="AH411" s="121"/>
      <c r="AI411" s="121"/>
      <c r="AJ411" s="121"/>
      <c r="AK411" s="121"/>
      <c r="AL411" s="121"/>
      <c r="AM411" s="121"/>
      <c r="AN411" s="121"/>
      <c r="AO411" s="115"/>
      <c r="AP411" s="124"/>
      <c r="AQ411" s="77"/>
      <c r="AR411" s="77"/>
    </row>
    <row r="412">
      <c r="A412" s="121"/>
      <c r="B412" s="130"/>
      <c r="C412" s="121"/>
      <c r="D412" s="130"/>
      <c r="E412" s="121"/>
      <c r="F412" s="130"/>
      <c r="G412" s="121"/>
      <c r="H412" s="12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c r="AH412" s="121"/>
      <c r="AI412" s="121"/>
      <c r="AJ412" s="121"/>
      <c r="AK412" s="121"/>
      <c r="AL412" s="121"/>
      <c r="AM412" s="121"/>
      <c r="AN412" s="121"/>
      <c r="AO412" s="115"/>
      <c r="AP412" s="124"/>
      <c r="AQ412" s="77"/>
      <c r="AR412" s="77"/>
    </row>
    <row r="413">
      <c r="A413" s="121"/>
      <c r="B413" s="130"/>
      <c r="C413" s="121"/>
      <c r="D413" s="130"/>
      <c r="E413" s="121"/>
      <c r="F413" s="130"/>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15"/>
      <c r="AP413" s="124"/>
      <c r="AQ413" s="77"/>
      <c r="AR413" s="77"/>
    </row>
    <row r="414">
      <c r="A414" s="121"/>
      <c r="B414" s="130"/>
      <c r="C414" s="121"/>
      <c r="D414" s="130"/>
      <c r="E414" s="121"/>
      <c r="F414" s="130"/>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c r="AM414" s="121"/>
      <c r="AN414" s="121"/>
      <c r="AO414" s="115"/>
      <c r="AP414" s="124"/>
      <c r="AQ414" s="77"/>
      <c r="AR414" s="77"/>
    </row>
    <row r="415">
      <c r="A415" s="155"/>
      <c r="B415" s="113"/>
      <c r="C415" s="71"/>
      <c r="D415" s="113"/>
      <c r="E415" s="113"/>
      <c r="F415" s="113"/>
      <c r="G415" s="113"/>
      <c r="H415" s="113"/>
      <c r="I415" s="113"/>
      <c r="J415" s="113"/>
      <c r="K415" s="113"/>
      <c r="L415" s="113"/>
      <c r="M415" s="113"/>
      <c r="N415" s="113"/>
      <c r="O415" s="113"/>
      <c r="P415" s="113"/>
      <c r="Q415" s="113"/>
      <c r="R415" s="113"/>
      <c r="S415" s="71"/>
      <c r="T415" s="114"/>
      <c r="U415" s="113"/>
      <c r="V415" s="71"/>
      <c r="W415" s="71"/>
      <c r="X415" s="113"/>
      <c r="Y415" s="71"/>
      <c r="Z415" s="71"/>
      <c r="AA415" s="71"/>
      <c r="AB415" s="71"/>
      <c r="AC415" s="71"/>
      <c r="AD415" s="71"/>
      <c r="AE415" s="71"/>
      <c r="AF415" s="71"/>
      <c r="AG415" s="71"/>
      <c r="AH415" s="71"/>
      <c r="AI415" s="71"/>
      <c r="AJ415" s="71"/>
      <c r="AK415" s="71"/>
      <c r="AL415" s="71"/>
      <c r="AM415" s="71"/>
      <c r="AN415" s="71"/>
      <c r="AO415" s="115"/>
      <c r="AP415" s="115"/>
      <c r="AQ415" s="77"/>
      <c r="AR415" s="77"/>
    </row>
    <row r="416">
      <c r="A416" s="156"/>
      <c r="B416" s="113"/>
      <c r="C416" s="71"/>
      <c r="D416" s="113"/>
      <c r="E416" s="113"/>
      <c r="F416" s="113"/>
      <c r="G416" s="113"/>
      <c r="H416" s="113"/>
      <c r="I416" s="113"/>
      <c r="J416" s="113"/>
      <c r="K416" s="113"/>
      <c r="L416" s="113"/>
      <c r="M416" s="113"/>
      <c r="N416" s="113"/>
      <c r="O416" s="113"/>
      <c r="P416" s="113"/>
      <c r="Q416" s="113"/>
      <c r="R416" s="113"/>
      <c r="S416" s="71"/>
      <c r="T416" s="114"/>
      <c r="U416" s="113"/>
      <c r="V416" s="71"/>
      <c r="W416" s="113"/>
      <c r="X416" s="71"/>
      <c r="Y416" s="71"/>
      <c r="Z416" s="71"/>
      <c r="AA416" s="71"/>
      <c r="AB416" s="71"/>
      <c r="AC416" s="71"/>
      <c r="AD416" s="71"/>
      <c r="AE416" s="71"/>
      <c r="AF416" s="71"/>
      <c r="AG416" s="71"/>
      <c r="AH416" s="71"/>
      <c r="AI416" s="71"/>
      <c r="AJ416" s="71"/>
      <c r="AK416" s="71"/>
      <c r="AL416" s="71"/>
      <c r="AM416" s="71"/>
      <c r="AN416" s="71"/>
      <c r="AO416" s="115"/>
      <c r="AP416" s="115"/>
      <c r="AQ416" s="77"/>
      <c r="AR416" s="77"/>
    </row>
    <row r="417">
      <c r="A417" s="121"/>
      <c r="B417" s="130"/>
      <c r="C417" s="121"/>
      <c r="D417" s="130"/>
      <c r="E417" s="121"/>
      <c r="F417" s="130"/>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15"/>
      <c r="AP417" s="124"/>
      <c r="AQ417" s="77"/>
      <c r="AR417" s="77"/>
    </row>
    <row r="418">
      <c r="A418" s="121"/>
      <c r="B418" s="130"/>
      <c r="C418" s="121"/>
      <c r="D418" s="130"/>
      <c r="E418" s="121"/>
      <c r="F418" s="130"/>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c r="AM418" s="121"/>
      <c r="AN418" s="121"/>
      <c r="AO418" s="115"/>
      <c r="AP418" s="124"/>
      <c r="AQ418" s="77"/>
      <c r="AR418" s="77"/>
    </row>
    <row r="419">
      <c r="A419" s="121"/>
      <c r="B419" s="130"/>
      <c r="C419" s="121"/>
      <c r="D419" s="130"/>
      <c r="E419" s="121"/>
      <c r="F419" s="130"/>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c r="AH419" s="121"/>
      <c r="AI419" s="121"/>
      <c r="AJ419" s="121"/>
      <c r="AK419" s="121"/>
      <c r="AL419" s="121"/>
      <c r="AM419" s="121"/>
      <c r="AN419" s="121"/>
      <c r="AO419" s="115"/>
      <c r="AP419" s="124"/>
      <c r="AQ419" s="77"/>
      <c r="AR419" s="77"/>
    </row>
    <row r="420">
      <c r="A420" s="121"/>
      <c r="B420" s="130"/>
      <c r="C420" s="121"/>
      <c r="D420" s="130"/>
      <c r="E420" s="121"/>
      <c r="F420" s="130"/>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c r="AM420" s="121"/>
      <c r="AN420" s="121"/>
      <c r="AO420" s="115"/>
      <c r="AP420" s="124"/>
      <c r="AQ420" s="77"/>
      <c r="AR420" s="77"/>
    </row>
    <row r="421">
      <c r="A421" s="121"/>
      <c r="B421" s="130"/>
      <c r="C421" s="121"/>
      <c r="D421" s="130"/>
      <c r="E421" s="121"/>
      <c r="F421" s="130"/>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15"/>
      <c r="AP421" s="124"/>
      <c r="AQ421" s="77"/>
      <c r="AR421" s="77"/>
    </row>
    <row r="422">
      <c r="A422" s="121"/>
      <c r="B422" s="130"/>
      <c r="C422" s="121"/>
      <c r="D422" s="130"/>
      <c r="E422" s="121"/>
      <c r="F422" s="130"/>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15"/>
      <c r="AP422" s="124"/>
      <c r="AQ422" s="77"/>
      <c r="AR422" s="77"/>
    </row>
    <row r="423">
      <c r="A423" s="121"/>
      <c r="B423" s="130"/>
      <c r="C423" s="121"/>
      <c r="D423" s="130"/>
      <c r="E423" s="121"/>
      <c r="F423" s="130"/>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15"/>
      <c r="AP423" s="124"/>
      <c r="AQ423" s="77"/>
      <c r="AR423" s="77"/>
    </row>
    <row r="424">
      <c r="A424" s="157"/>
      <c r="B424" s="113"/>
      <c r="C424" s="71"/>
      <c r="D424" s="113"/>
      <c r="E424" s="113"/>
      <c r="F424" s="113"/>
      <c r="G424" s="113"/>
      <c r="H424" s="113"/>
      <c r="I424" s="113"/>
      <c r="J424" s="113"/>
      <c r="K424" s="113"/>
      <c r="L424" s="113"/>
      <c r="M424" s="113"/>
      <c r="N424" s="113"/>
      <c r="O424" s="113"/>
      <c r="P424" s="113"/>
      <c r="Q424" s="113"/>
      <c r="R424" s="113"/>
      <c r="S424" s="71"/>
      <c r="T424" s="114"/>
      <c r="U424" s="113"/>
      <c r="V424" s="71"/>
      <c r="W424" s="71"/>
      <c r="X424" s="71"/>
      <c r="Y424" s="71"/>
      <c r="Z424" s="71"/>
      <c r="AA424" s="71"/>
      <c r="AB424" s="71"/>
      <c r="AC424" s="71"/>
      <c r="AD424" s="71"/>
      <c r="AE424" s="71"/>
      <c r="AF424" s="71"/>
      <c r="AG424" s="71"/>
      <c r="AH424" s="71"/>
      <c r="AI424" s="71"/>
      <c r="AJ424" s="71"/>
      <c r="AK424" s="71"/>
      <c r="AL424" s="71"/>
      <c r="AM424" s="71"/>
      <c r="AN424" s="71"/>
      <c r="AO424" s="124"/>
      <c r="AP424" s="124"/>
      <c r="AQ424" s="115"/>
      <c r="AR424" s="115"/>
    </row>
    <row r="425">
      <c r="A425" s="116"/>
      <c r="B425" s="130"/>
      <c r="C425" s="121"/>
      <c r="D425" s="130"/>
      <c r="E425" s="121"/>
      <c r="F425" s="130"/>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15"/>
      <c r="AP425" s="124"/>
      <c r="AQ425" s="77"/>
      <c r="AR425" s="77"/>
    </row>
    <row r="426">
      <c r="A426" s="116"/>
      <c r="B426" s="130"/>
      <c r="C426" s="121"/>
      <c r="D426" s="130"/>
      <c r="E426" s="121"/>
      <c r="F426" s="130"/>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c r="AH426" s="121"/>
      <c r="AI426" s="121"/>
      <c r="AJ426" s="121"/>
      <c r="AK426" s="121"/>
      <c r="AL426" s="121"/>
      <c r="AM426" s="121"/>
      <c r="AN426" s="121"/>
      <c r="AO426" s="115"/>
      <c r="AP426" s="124"/>
      <c r="AQ426" s="77"/>
      <c r="AR426" s="77"/>
    </row>
    <row r="427">
      <c r="A427" s="116"/>
      <c r="B427" s="130"/>
      <c r="C427" s="121"/>
      <c r="D427" s="130"/>
      <c r="E427" s="121"/>
      <c r="F427" s="130"/>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c r="AH427" s="121"/>
      <c r="AI427" s="121"/>
      <c r="AJ427" s="121"/>
      <c r="AK427" s="121"/>
      <c r="AL427" s="121"/>
      <c r="AM427" s="121"/>
      <c r="AN427" s="121"/>
      <c r="AO427" s="115"/>
      <c r="AP427" s="124"/>
      <c r="AQ427" s="77"/>
      <c r="AR427" s="77"/>
    </row>
    <row r="428">
      <c r="A428" s="116"/>
      <c r="B428" s="130"/>
      <c r="C428" s="121"/>
      <c r="D428" s="130"/>
      <c r="E428" s="121"/>
      <c r="F428" s="130"/>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15"/>
      <c r="AP428" s="124"/>
      <c r="AQ428" s="77"/>
      <c r="AR428" s="77"/>
    </row>
    <row r="429">
      <c r="A429" s="116"/>
      <c r="B429" s="130"/>
      <c r="C429" s="121"/>
      <c r="D429" s="130"/>
      <c r="E429" s="121"/>
      <c r="F429" s="130"/>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15"/>
      <c r="AP429" s="124"/>
      <c r="AQ429" s="77"/>
      <c r="AR429" s="77"/>
    </row>
    <row r="430">
      <c r="A430" s="116"/>
      <c r="B430" s="130"/>
      <c r="C430" s="121"/>
      <c r="D430" s="130"/>
      <c r="E430" s="121"/>
      <c r="F430" s="130"/>
      <c r="G430" s="121"/>
      <c r="H430" s="12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c r="AH430" s="121"/>
      <c r="AI430" s="121"/>
      <c r="AJ430" s="121"/>
      <c r="AK430" s="121"/>
      <c r="AL430" s="121"/>
      <c r="AM430" s="121"/>
      <c r="AN430" s="121"/>
      <c r="AO430" s="115"/>
      <c r="AP430" s="124"/>
      <c r="AQ430" s="77"/>
      <c r="AR430" s="77"/>
    </row>
    <row r="431">
      <c r="A431" s="116"/>
      <c r="B431" s="130"/>
      <c r="C431" s="121"/>
      <c r="D431" s="130"/>
      <c r="E431" s="121"/>
      <c r="F431" s="130"/>
      <c r="G431" s="121"/>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c r="AH431" s="121"/>
      <c r="AI431" s="121"/>
      <c r="AJ431" s="121"/>
      <c r="AK431" s="121"/>
      <c r="AL431" s="121"/>
      <c r="AM431" s="121"/>
      <c r="AN431" s="121"/>
      <c r="AO431" s="115"/>
      <c r="AP431" s="124"/>
      <c r="AQ431" s="77"/>
      <c r="AR431" s="77"/>
    </row>
    <row r="432">
      <c r="A432" s="116"/>
      <c r="B432" s="130"/>
      <c r="C432" s="121"/>
      <c r="D432" s="130"/>
      <c r="E432" s="121"/>
      <c r="F432" s="130"/>
      <c r="G432" s="121"/>
      <c r="H432" s="12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c r="AH432" s="121"/>
      <c r="AI432" s="121"/>
      <c r="AJ432" s="121"/>
      <c r="AK432" s="121"/>
      <c r="AL432" s="121"/>
      <c r="AM432" s="121"/>
      <c r="AN432" s="121"/>
      <c r="AO432" s="115"/>
      <c r="AP432" s="124"/>
      <c r="AQ432" s="77"/>
      <c r="AR432" s="77"/>
    </row>
    <row r="433">
      <c r="A433" s="116"/>
      <c r="B433" s="130"/>
      <c r="C433" s="121"/>
      <c r="D433" s="130"/>
      <c r="E433" s="121"/>
      <c r="F433" s="130"/>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15"/>
      <c r="AP433" s="124"/>
      <c r="AQ433" s="77"/>
      <c r="AR433" s="77"/>
    </row>
    <row r="434">
      <c r="A434" s="116"/>
      <c r="B434" s="130"/>
      <c r="C434" s="121"/>
      <c r="D434" s="130"/>
      <c r="E434" s="121"/>
      <c r="F434" s="130"/>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c r="AH434" s="121"/>
      <c r="AI434" s="121"/>
      <c r="AJ434" s="121"/>
      <c r="AK434" s="121"/>
      <c r="AL434" s="121"/>
      <c r="AM434" s="121"/>
      <c r="AN434" s="121"/>
      <c r="AO434" s="115"/>
      <c r="AP434" s="124"/>
      <c r="AQ434" s="77"/>
      <c r="AR434" s="77"/>
    </row>
    <row r="435">
      <c r="A435" s="116"/>
      <c r="B435" s="130"/>
      <c r="C435" s="121"/>
      <c r="D435" s="130"/>
      <c r="E435" s="121"/>
      <c r="F435" s="130"/>
      <c r="G435" s="121"/>
      <c r="H435" s="121"/>
      <c r="I435" s="121"/>
      <c r="J435" s="121"/>
      <c r="K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c r="AH435" s="121"/>
      <c r="AI435" s="121"/>
      <c r="AJ435" s="121"/>
      <c r="AK435" s="121"/>
      <c r="AL435" s="121"/>
      <c r="AM435" s="121"/>
      <c r="AN435" s="121"/>
      <c r="AO435" s="115"/>
      <c r="AP435" s="124"/>
      <c r="AQ435" s="77"/>
      <c r="AR435" s="77"/>
    </row>
    <row r="436">
      <c r="A436" s="116"/>
      <c r="B436" s="130"/>
      <c r="C436" s="121"/>
      <c r="D436" s="130"/>
      <c r="E436" s="121"/>
      <c r="F436" s="130"/>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15"/>
      <c r="AP436" s="124"/>
      <c r="AQ436" s="77"/>
      <c r="AR436" s="77"/>
    </row>
    <row r="437">
      <c r="A437" s="116"/>
      <c r="B437" s="130"/>
      <c r="C437" s="121"/>
      <c r="D437" s="130"/>
      <c r="E437" s="121"/>
      <c r="F437" s="130"/>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15"/>
      <c r="AP437" s="124"/>
      <c r="AQ437" s="77"/>
      <c r="AR437" s="77"/>
    </row>
    <row r="438">
      <c r="A438" s="116"/>
      <c r="B438" s="130"/>
      <c r="C438" s="121"/>
      <c r="D438" s="130"/>
      <c r="E438" s="121"/>
      <c r="F438" s="130"/>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15"/>
      <c r="AP438" s="124"/>
      <c r="AQ438" s="77"/>
      <c r="AR438" s="77"/>
    </row>
    <row r="439">
      <c r="A439" s="116"/>
      <c r="B439" s="130"/>
      <c r="C439" s="121"/>
      <c r="D439" s="130"/>
      <c r="E439" s="121"/>
      <c r="F439" s="130"/>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15"/>
      <c r="AP439" s="124"/>
      <c r="AQ439" s="77"/>
      <c r="AR439" s="77"/>
    </row>
    <row r="440">
      <c r="A440" s="116"/>
      <c r="B440" s="130"/>
      <c r="C440" s="121"/>
      <c r="D440" s="130"/>
      <c r="E440" s="121"/>
      <c r="F440" s="130"/>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15"/>
      <c r="AP440" s="124"/>
      <c r="AQ440" s="77"/>
      <c r="AR440" s="77"/>
    </row>
    <row r="441">
      <c r="A441" s="116"/>
      <c r="B441" s="130"/>
      <c r="C441" s="121"/>
      <c r="D441" s="130"/>
      <c r="E441" s="121"/>
      <c r="F441" s="130"/>
      <c r="G441" s="121"/>
      <c r="H441" s="121"/>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c r="AH441" s="121"/>
      <c r="AI441" s="121"/>
      <c r="AJ441" s="121"/>
      <c r="AK441" s="121"/>
      <c r="AL441" s="121"/>
      <c r="AM441" s="121"/>
      <c r="AN441" s="121"/>
      <c r="AO441" s="115"/>
      <c r="AP441" s="124"/>
      <c r="AQ441" s="77"/>
      <c r="AR441" s="77"/>
    </row>
    <row r="442">
      <c r="A442" s="116"/>
      <c r="B442" s="130"/>
      <c r="C442" s="121"/>
      <c r="D442" s="130"/>
      <c r="E442" s="121"/>
      <c r="F442" s="130"/>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c r="AH442" s="121"/>
      <c r="AI442" s="121"/>
      <c r="AJ442" s="121"/>
      <c r="AK442" s="121"/>
      <c r="AL442" s="121"/>
      <c r="AM442" s="121"/>
      <c r="AN442" s="121"/>
      <c r="AO442" s="115"/>
      <c r="AP442" s="124"/>
      <c r="AQ442" s="77"/>
      <c r="AR442" s="77"/>
    </row>
    <row r="443">
      <c r="A443" s="116"/>
      <c r="B443" s="130"/>
      <c r="C443" s="121"/>
      <c r="D443" s="130"/>
      <c r="E443" s="121"/>
      <c r="F443" s="130"/>
      <c r="G443" s="121"/>
      <c r="H443" s="121"/>
      <c r="I443" s="121"/>
      <c r="J443" s="121"/>
      <c r="K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c r="AH443" s="121"/>
      <c r="AI443" s="121"/>
      <c r="AJ443" s="121"/>
      <c r="AK443" s="121"/>
      <c r="AL443" s="121"/>
      <c r="AM443" s="121"/>
      <c r="AN443" s="121"/>
      <c r="AO443" s="115"/>
      <c r="AP443" s="124"/>
      <c r="AQ443" s="77"/>
      <c r="AR443" s="77"/>
    </row>
    <row r="444">
      <c r="A444" s="116"/>
      <c r="B444" s="130"/>
      <c r="C444" s="121"/>
      <c r="D444" s="130"/>
      <c r="E444" s="121"/>
      <c r="F444" s="130"/>
      <c r="G444" s="121"/>
      <c r="H444" s="121"/>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c r="AH444" s="121"/>
      <c r="AI444" s="121"/>
      <c r="AJ444" s="121"/>
      <c r="AK444" s="121"/>
      <c r="AL444" s="121"/>
      <c r="AM444" s="121"/>
      <c r="AN444" s="121"/>
      <c r="AO444" s="115"/>
      <c r="AP444" s="124"/>
      <c r="AQ444" s="77"/>
      <c r="AR444" s="77"/>
    </row>
    <row r="445">
      <c r="A445" s="116"/>
      <c r="B445" s="113"/>
      <c r="C445" s="71"/>
      <c r="D445" s="113"/>
      <c r="E445" s="113"/>
      <c r="F445" s="113"/>
      <c r="G445" s="113"/>
      <c r="H445" s="113"/>
      <c r="I445" s="113"/>
      <c r="J445" s="113"/>
      <c r="K445" s="113"/>
      <c r="L445" s="113"/>
      <c r="M445" s="113"/>
      <c r="N445" s="113"/>
      <c r="O445" s="113"/>
      <c r="P445" s="113"/>
      <c r="Q445" s="113"/>
      <c r="R445" s="113"/>
      <c r="S445" s="71"/>
      <c r="T445" s="114"/>
      <c r="U445" s="113"/>
      <c r="V445" s="71"/>
      <c r="W445" s="71"/>
      <c r="X445" s="113"/>
      <c r="Y445" s="71"/>
      <c r="Z445" s="71"/>
      <c r="AA445" s="71"/>
      <c r="AB445" s="71"/>
      <c r="AC445" s="71"/>
      <c r="AD445" s="71"/>
      <c r="AE445" s="71"/>
      <c r="AF445" s="71"/>
      <c r="AG445" s="71"/>
      <c r="AH445" s="71"/>
      <c r="AI445" s="71"/>
      <c r="AJ445" s="71"/>
      <c r="AK445" s="71"/>
      <c r="AL445" s="71"/>
      <c r="AM445" s="71"/>
      <c r="AN445" s="71"/>
      <c r="AO445" s="115"/>
      <c r="AP445" s="115"/>
      <c r="AQ445" s="77"/>
      <c r="AR445" s="77"/>
    </row>
    <row r="446">
      <c r="A446" s="116"/>
      <c r="B446" s="113"/>
      <c r="C446" s="71"/>
      <c r="D446" s="113"/>
      <c r="E446" s="113"/>
      <c r="F446" s="113"/>
      <c r="G446" s="113"/>
      <c r="H446" s="113"/>
      <c r="I446" s="113"/>
      <c r="J446" s="113"/>
      <c r="K446" s="113"/>
      <c r="L446" s="113"/>
      <c r="M446" s="113"/>
      <c r="N446" s="113"/>
      <c r="O446" s="113"/>
      <c r="P446" s="113"/>
      <c r="Q446" s="113"/>
      <c r="R446" s="113"/>
      <c r="S446" s="71"/>
      <c r="T446" s="114"/>
      <c r="U446" s="113"/>
      <c r="V446" s="71"/>
      <c r="W446" s="71"/>
      <c r="X446" s="71"/>
      <c r="Y446" s="71"/>
      <c r="Z446" s="71"/>
      <c r="AA446" s="71"/>
      <c r="AB446" s="71"/>
      <c r="AC446" s="71"/>
      <c r="AD446" s="71"/>
      <c r="AE446" s="71"/>
      <c r="AF446" s="71"/>
      <c r="AG446" s="71"/>
      <c r="AH446" s="71"/>
      <c r="AI446" s="71"/>
      <c r="AJ446" s="71"/>
      <c r="AK446" s="71"/>
      <c r="AL446" s="71"/>
      <c r="AM446" s="71"/>
      <c r="AN446" s="71"/>
      <c r="AO446" s="115"/>
      <c r="AP446" s="115"/>
      <c r="AQ446" s="77"/>
      <c r="AR446" s="77"/>
    </row>
    <row r="447">
      <c r="A447" s="116"/>
      <c r="B447" s="130"/>
      <c r="C447" s="121"/>
      <c r="D447" s="130"/>
      <c r="E447" s="121"/>
      <c r="F447" s="158"/>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c r="AH447" s="121"/>
      <c r="AI447" s="121"/>
      <c r="AJ447" s="121"/>
      <c r="AK447" s="121"/>
      <c r="AL447" s="121"/>
      <c r="AM447" s="121"/>
      <c r="AN447" s="121"/>
      <c r="AO447" s="115"/>
      <c r="AP447" s="124"/>
      <c r="AQ447" s="77"/>
      <c r="AR447" s="77"/>
    </row>
    <row r="448">
      <c r="A448" s="116"/>
      <c r="B448" s="134"/>
      <c r="C448" s="71"/>
      <c r="D448" s="134"/>
      <c r="E448" s="159"/>
      <c r="F448" s="134"/>
      <c r="G448" s="134"/>
      <c r="H448" s="134"/>
      <c r="I448" s="113"/>
      <c r="J448" s="113"/>
      <c r="K448" s="113"/>
      <c r="L448" s="113"/>
      <c r="M448" s="134"/>
      <c r="N448" s="134"/>
      <c r="O448" s="134"/>
      <c r="P448" s="134"/>
      <c r="Q448" s="134"/>
      <c r="R448" s="134"/>
      <c r="S448" s="71"/>
      <c r="T448" s="160"/>
      <c r="U448" s="134"/>
      <c r="V448" s="71"/>
      <c r="W448" s="71"/>
      <c r="X448" s="71"/>
      <c r="Y448" s="71"/>
      <c r="Z448" s="71"/>
      <c r="AA448" s="71"/>
      <c r="AB448" s="71"/>
      <c r="AC448" s="71"/>
      <c r="AD448" s="71"/>
      <c r="AE448" s="71"/>
      <c r="AF448" s="71"/>
      <c r="AG448" s="71"/>
      <c r="AH448" s="71"/>
      <c r="AI448" s="71"/>
      <c r="AJ448" s="71"/>
      <c r="AK448" s="71"/>
      <c r="AL448" s="71"/>
      <c r="AM448" s="71"/>
      <c r="AN448" s="71"/>
      <c r="AO448" s="115"/>
      <c r="AP448" s="115"/>
      <c r="AQ448" s="77"/>
      <c r="AR448" s="77"/>
    </row>
    <row r="449">
      <c r="A449" s="116"/>
      <c r="B449" s="134"/>
      <c r="C449" s="71"/>
      <c r="D449" s="134"/>
      <c r="E449" s="113"/>
      <c r="F449" s="159"/>
      <c r="G449" s="113"/>
      <c r="H449" s="113"/>
      <c r="I449" s="113"/>
      <c r="J449" s="113"/>
      <c r="K449" s="113"/>
      <c r="L449" s="113"/>
      <c r="M449" s="113"/>
      <c r="N449" s="113"/>
      <c r="O449" s="71"/>
      <c r="P449" s="71"/>
      <c r="Q449" s="113"/>
      <c r="R449" s="113"/>
      <c r="S449" s="71"/>
      <c r="T449" s="71"/>
      <c r="U449" s="71"/>
      <c r="V449" s="71"/>
      <c r="W449" s="71"/>
      <c r="X449" s="71"/>
      <c r="Y449" s="71"/>
      <c r="Z449" s="71"/>
      <c r="AA449" s="71"/>
      <c r="AB449" s="71"/>
      <c r="AC449" s="71"/>
      <c r="AD449" s="71"/>
      <c r="AE449" s="71"/>
      <c r="AF449" s="71"/>
      <c r="AG449" s="71"/>
      <c r="AH449" s="71"/>
      <c r="AI449" s="71"/>
      <c r="AJ449" s="71"/>
      <c r="AK449" s="71"/>
      <c r="AL449" s="71"/>
      <c r="AM449" s="71"/>
      <c r="AN449" s="71"/>
      <c r="AO449" s="115"/>
      <c r="AP449" s="115"/>
      <c r="AQ449" s="77"/>
      <c r="AR449" s="77"/>
    </row>
    <row r="450">
      <c r="A450" s="116"/>
      <c r="B450" s="130"/>
      <c r="C450" s="121"/>
      <c r="D450" s="130"/>
      <c r="E450" s="121"/>
      <c r="F450" s="158"/>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c r="AH450" s="121"/>
      <c r="AI450" s="121"/>
      <c r="AJ450" s="121"/>
      <c r="AK450" s="121"/>
      <c r="AL450" s="121"/>
      <c r="AM450" s="121"/>
      <c r="AN450" s="121"/>
      <c r="AO450" s="115"/>
      <c r="AP450" s="124"/>
      <c r="AQ450" s="77"/>
      <c r="AR450" s="77"/>
    </row>
    <row r="451">
      <c r="A451" s="116"/>
      <c r="B451" s="130"/>
      <c r="C451" s="121"/>
      <c r="D451" s="130"/>
      <c r="E451" s="121"/>
      <c r="F451" s="158"/>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c r="AH451" s="121"/>
      <c r="AI451" s="121"/>
      <c r="AJ451" s="121"/>
      <c r="AK451" s="121"/>
      <c r="AL451" s="121"/>
      <c r="AM451" s="121"/>
      <c r="AN451" s="121"/>
      <c r="AO451" s="115"/>
      <c r="AP451" s="124"/>
      <c r="AQ451" s="77"/>
      <c r="AR451" s="77"/>
    </row>
    <row r="452">
      <c r="A452" s="116"/>
      <c r="B452" s="130"/>
      <c r="C452" s="121"/>
      <c r="D452" s="130"/>
      <c r="E452" s="121"/>
      <c r="F452" s="158"/>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c r="AH452" s="121"/>
      <c r="AI452" s="121"/>
      <c r="AJ452" s="121"/>
      <c r="AK452" s="121"/>
      <c r="AL452" s="121"/>
      <c r="AM452" s="121"/>
      <c r="AN452" s="121"/>
      <c r="AO452" s="115"/>
      <c r="AP452" s="124"/>
      <c r="AQ452" s="77"/>
      <c r="AR452" s="77"/>
    </row>
    <row r="453">
      <c r="A453" s="116"/>
      <c r="B453" s="130"/>
      <c r="C453" s="121"/>
      <c r="D453" s="130"/>
      <c r="E453" s="121"/>
      <c r="F453" s="158"/>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c r="AH453" s="121"/>
      <c r="AI453" s="121"/>
      <c r="AJ453" s="121"/>
      <c r="AK453" s="121"/>
      <c r="AL453" s="121"/>
      <c r="AM453" s="121"/>
      <c r="AN453" s="121"/>
      <c r="AO453" s="115"/>
      <c r="AP453" s="124"/>
      <c r="AQ453" s="77"/>
      <c r="AR453" s="77"/>
    </row>
    <row r="454">
      <c r="A454" s="116"/>
      <c r="B454" s="130"/>
      <c r="C454" s="121"/>
      <c r="D454" s="130"/>
      <c r="E454" s="121"/>
      <c r="F454" s="158"/>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c r="AH454" s="121"/>
      <c r="AI454" s="121"/>
      <c r="AJ454" s="121"/>
      <c r="AK454" s="121"/>
      <c r="AL454" s="121"/>
      <c r="AM454" s="121"/>
      <c r="AN454" s="121"/>
      <c r="AO454" s="115"/>
      <c r="AP454" s="124"/>
      <c r="AQ454" s="77"/>
      <c r="AR454" s="77"/>
    </row>
    <row r="455">
      <c r="A455" s="116"/>
      <c r="B455" s="130"/>
      <c r="C455" s="121"/>
      <c r="D455" s="130"/>
      <c r="E455" s="121"/>
      <c r="F455" s="158"/>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c r="AH455" s="121"/>
      <c r="AI455" s="121"/>
      <c r="AJ455" s="121"/>
      <c r="AK455" s="121"/>
      <c r="AL455" s="121"/>
      <c r="AM455" s="121"/>
      <c r="AN455" s="121"/>
      <c r="AO455" s="115"/>
      <c r="AP455" s="124"/>
      <c r="AQ455" s="77"/>
      <c r="AR455" s="77"/>
    </row>
    <row r="456">
      <c r="A456" s="116"/>
      <c r="B456" s="130"/>
      <c r="C456" s="121"/>
      <c r="D456" s="130"/>
      <c r="E456" s="121"/>
      <c r="F456" s="158"/>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c r="AH456" s="121"/>
      <c r="AI456" s="121"/>
      <c r="AJ456" s="121"/>
      <c r="AK456" s="121"/>
      <c r="AL456" s="121"/>
      <c r="AM456" s="121"/>
      <c r="AN456" s="121"/>
      <c r="AO456" s="115"/>
      <c r="AP456" s="124"/>
      <c r="AQ456" s="77"/>
      <c r="AR456" s="77"/>
    </row>
    <row r="457">
      <c r="A457" s="116"/>
      <c r="B457" s="130"/>
      <c r="C457" s="121"/>
      <c r="D457" s="130"/>
      <c r="E457" s="121"/>
      <c r="F457" s="158"/>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c r="AH457" s="121"/>
      <c r="AI457" s="121"/>
      <c r="AJ457" s="121"/>
      <c r="AK457" s="121"/>
      <c r="AL457" s="121"/>
      <c r="AM457" s="121"/>
      <c r="AN457" s="121"/>
      <c r="AO457" s="115"/>
      <c r="AP457" s="124"/>
      <c r="AQ457" s="77"/>
      <c r="AR457" s="77"/>
    </row>
    <row r="458">
      <c r="A458" s="116"/>
      <c r="B458" s="130"/>
      <c r="C458" s="121"/>
      <c r="D458" s="130"/>
      <c r="E458" s="121"/>
      <c r="F458" s="158"/>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c r="AH458" s="121"/>
      <c r="AI458" s="121"/>
      <c r="AJ458" s="121"/>
      <c r="AK458" s="121"/>
      <c r="AL458" s="121"/>
      <c r="AM458" s="121"/>
      <c r="AN458" s="121"/>
      <c r="AO458" s="115"/>
      <c r="AP458" s="124"/>
      <c r="AQ458" s="77"/>
      <c r="AR458" s="77"/>
    </row>
    <row r="459">
      <c r="A459" s="116"/>
      <c r="B459" s="130"/>
      <c r="C459" s="121"/>
      <c r="D459" s="130"/>
      <c r="E459" s="121"/>
      <c r="F459" s="158"/>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c r="AH459" s="121"/>
      <c r="AI459" s="121"/>
      <c r="AJ459" s="121"/>
      <c r="AK459" s="121"/>
      <c r="AL459" s="121"/>
      <c r="AM459" s="121"/>
      <c r="AN459" s="121"/>
      <c r="AO459" s="115"/>
      <c r="AP459" s="124"/>
      <c r="AQ459" s="77"/>
      <c r="AR459" s="77"/>
    </row>
    <row r="460">
      <c r="A460" s="116"/>
      <c r="B460" s="130"/>
      <c r="C460" s="121"/>
      <c r="D460" s="130"/>
      <c r="E460" s="121"/>
      <c r="F460" s="158"/>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15"/>
      <c r="AP460" s="124"/>
      <c r="AQ460" s="77"/>
      <c r="AR460" s="77"/>
    </row>
    <row r="461">
      <c r="A461" s="116"/>
      <c r="B461" s="130"/>
      <c r="C461" s="121"/>
      <c r="D461" s="130"/>
      <c r="E461" s="121"/>
      <c r="F461" s="158"/>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c r="AH461" s="121"/>
      <c r="AI461" s="121"/>
      <c r="AJ461" s="121"/>
      <c r="AK461" s="121"/>
      <c r="AL461" s="121"/>
      <c r="AM461" s="121"/>
      <c r="AN461" s="121"/>
      <c r="AO461" s="115"/>
      <c r="AP461" s="124"/>
      <c r="AQ461" s="77"/>
      <c r="AR461" s="77"/>
    </row>
    <row r="462">
      <c r="A462" s="116"/>
      <c r="B462" s="130"/>
      <c r="C462" s="121"/>
      <c r="D462" s="130"/>
      <c r="E462" s="121"/>
      <c r="F462" s="158"/>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c r="AH462" s="121"/>
      <c r="AI462" s="121"/>
      <c r="AJ462" s="121"/>
      <c r="AK462" s="121"/>
      <c r="AL462" s="121"/>
      <c r="AM462" s="121"/>
      <c r="AN462" s="121"/>
      <c r="AO462" s="115"/>
      <c r="AP462" s="124"/>
      <c r="AQ462" s="77"/>
      <c r="AR462" s="77"/>
    </row>
    <row r="463">
      <c r="A463" s="116"/>
      <c r="B463" s="130"/>
      <c r="C463" s="121"/>
      <c r="D463" s="130"/>
      <c r="E463" s="121"/>
      <c r="F463" s="158"/>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c r="AH463" s="121"/>
      <c r="AI463" s="121"/>
      <c r="AJ463" s="121"/>
      <c r="AK463" s="121"/>
      <c r="AL463" s="121"/>
      <c r="AM463" s="121"/>
      <c r="AN463" s="121"/>
      <c r="AO463" s="115"/>
      <c r="AP463" s="124"/>
      <c r="AQ463" s="77"/>
      <c r="AR463" s="77"/>
    </row>
    <row r="464">
      <c r="A464" s="116"/>
      <c r="B464" s="130"/>
      <c r="C464" s="121"/>
      <c r="D464" s="130"/>
      <c r="E464" s="121"/>
      <c r="F464" s="158"/>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15"/>
      <c r="AP464" s="124"/>
      <c r="AQ464" s="77"/>
      <c r="AR464" s="77"/>
    </row>
    <row r="465">
      <c r="A465" s="116"/>
      <c r="B465" s="130"/>
      <c r="C465" s="121"/>
      <c r="D465" s="130"/>
      <c r="E465" s="121"/>
      <c r="F465" s="158"/>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c r="AM465" s="121"/>
      <c r="AN465" s="121"/>
      <c r="AO465" s="115"/>
      <c r="AP465" s="124"/>
      <c r="AQ465" s="77"/>
      <c r="AR465" s="77"/>
    </row>
    <row r="466">
      <c r="A466" s="116"/>
      <c r="B466" s="130"/>
      <c r="C466" s="121"/>
      <c r="D466" s="130"/>
      <c r="E466" s="121"/>
      <c r="F466" s="158"/>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c r="AH466" s="121"/>
      <c r="AI466" s="121"/>
      <c r="AJ466" s="121"/>
      <c r="AK466" s="121"/>
      <c r="AL466" s="121"/>
      <c r="AM466" s="121"/>
      <c r="AN466" s="121"/>
      <c r="AO466" s="115"/>
      <c r="AP466" s="124"/>
      <c r="AQ466" s="77"/>
      <c r="AR466" s="77"/>
    </row>
    <row r="467">
      <c r="A467" s="116"/>
      <c r="B467" s="130"/>
      <c r="C467" s="121"/>
      <c r="D467" s="130"/>
      <c r="E467" s="121"/>
      <c r="F467" s="158"/>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c r="AH467" s="121"/>
      <c r="AI467" s="121"/>
      <c r="AJ467" s="121"/>
      <c r="AK467" s="121"/>
      <c r="AL467" s="121"/>
      <c r="AM467" s="121"/>
      <c r="AN467" s="121"/>
      <c r="AO467" s="115"/>
      <c r="AP467" s="124"/>
      <c r="AQ467" s="77"/>
      <c r="AR467" s="77"/>
    </row>
    <row r="468">
      <c r="A468" s="116"/>
      <c r="B468" s="130"/>
      <c r="C468" s="121"/>
      <c r="D468" s="130"/>
      <c r="E468" s="121"/>
      <c r="F468" s="158"/>
      <c r="G468" s="121"/>
      <c r="H468" s="121"/>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c r="AH468" s="121"/>
      <c r="AI468" s="121"/>
      <c r="AJ468" s="121"/>
      <c r="AK468" s="121"/>
      <c r="AL468" s="121"/>
      <c r="AM468" s="121"/>
      <c r="AN468" s="121"/>
      <c r="AO468" s="115"/>
      <c r="AP468" s="124"/>
      <c r="AQ468" s="77"/>
      <c r="AR468" s="77"/>
    </row>
    <row r="469">
      <c r="A469" s="116"/>
      <c r="B469" s="130"/>
      <c r="C469" s="121"/>
      <c r="D469" s="130"/>
      <c r="E469" s="121"/>
      <c r="F469" s="158"/>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c r="AM469" s="121"/>
      <c r="AN469" s="121"/>
      <c r="AO469" s="115"/>
      <c r="AP469" s="124"/>
      <c r="AQ469" s="77"/>
      <c r="AR469" s="77"/>
    </row>
    <row r="470">
      <c r="A470" s="116"/>
      <c r="B470" s="130"/>
      <c r="C470" s="121"/>
      <c r="D470" s="130"/>
      <c r="E470" s="121"/>
      <c r="F470" s="158"/>
      <c r="G470" s="121"/>
      <c r="H470" s="121"/>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c r="AH470" s="121"/>
      <c r="AI470" s="121"/>
      <c r="AJ470" s="121"/>
      <c r="AK470" s="121"/>
      <c r="AL470" s="121"/>
      <c r="AM470" s="121"/>
      <c r="AN470" s="121"/>
      <c r="AO470" s="115"/>
      <c r="AP470" s="124"/>
      <c r="AQ470" s="77"/>
      <c r="AR470" s="77"/>
    </row>
    <row r="471">
      <c r="A471" s="116"/>
      <c r="B471" s="130"/>
      <c r="C471" s="121"/>
      <c r="D471" s="130"/>
      <c r="E471" s="121"/>
      <c r="F471" s="158"/>
      <c r="G471" s="121"/>
      <c r="H471" s="121"/>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c r="AH471" s="121"/>
      <c r="AI471" s="121"/>
      <c r="AJ471" s="121"/>
      <c r="AK471" s="121"/>
      <c r="AL471" s="121"/>
      <c r="AM471" s="121"/>
      <c r="AN471" s="121"/>
      <c r="AO471" s="115"/>
      <c r="AP471" s="124"/>
      <c r="AQ471" s="77"/>
      <c r="AR471" s="77"/>
    </row>
    <row r="472">
      <c r="A472" s="116"/>
      <c r="B472" s="130"/>
      <c r="C472" s="121"/>
      <c r="D472" s="130"/>
      <c r="E472" s="121"/>
      <c r="F472" s="158"/>
      <c r="G472" s="121"/>
      <c r="H472" s="121"/>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c r="AH472" s="121"/>
      <c r="AI472" s="121"/>
      <c r="AJ472" s="121"/>
      <c r="AK472" s="121"/>
      <c r="AL472" s="121"/>
      <c r="AM472" s="121"/>
      <c r="AN472" s="121"/>
      <c r="AO472" s="115"/>
      <c r="AP472" s="124"/>
      <c r="AQ472" s="77"/>
      <c r="AR472" s="77"/>
    </row>
    <row r="473">
      <c r="A473" s="116"/>
      <c r="B473" s="130"/>
      <c r="C473" s="121"/>
      <c r="D473" s="130"/>
      <c r="E473" s="121"/>
      <c r="F473" s="158"/>
      <c r="G473" s="121"/>
      <c r="H473" s="121"/>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c r="AH473" s="121"/>
      <c r="AI473" s="121"/>
      <c r="AJ473" s="121"/>
      <c r="AK473" s="121"/>
      <c r="AL473" s="121"/>
      <c r="AM473" s="121"/>
      <c r="AN473" s="121"/>
      <c r="AO473" s="115"/>
      <c r="AP473" s="124"/>
      <c r="AQ473" s="77"/>
      <c r="AR473" s="77"/>
    </row>
    <row r="474">
      <c r="A474" s="116"/>
      <c r="B474" s="130"/>
      <c r="C474" s="121"/>
      <c r="D474" s="130"/>
      <c r="E474" s="121"/>
      <c r="F474" s="158"/>
      <c r="G474" s="121"/>
      <c r="H474" s="121"/>
      <c r="I474" s="121"/>
      <c r="J474" s="121"/>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c r="AH474" s="121"/>
      <c r="AI474" s="121"/>
      <c r="AJ474" s="121"/>
      <c r="AK474" s="121"/>
      <c r="AL474" s="121"/>
      <c r="AM474" s="121"/>
      <c r="AN474" s="121"/>
      <c r="AO474" s="115"/>
      <c r="AP474" s="124"/>
      <c r="AQ474" s="77"/>
      <c r="AR474" s="77"/>
    </row>
    <row r="475">
      <c r="A475" s="116"/>
      <c r="B475" s="130"/>
      <c r="C475" s="121"/>
      <c r="D475" s="130"/>
      <c r="E475" s="121"/>
      <c r="F475" s="158"/>
      <c r="G475" s="121"/>
      <c r="H475" s="121"/>
      <c r="I475" s="121"/>
      <c r="J475" s="121"/>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c r="AH475" s="121"/>
      <c r="AI475" s="121"/>
      <c r="AJ475" s="121"/>
      <c r="AK475" s="121"/>
      <c r="AL475" s="121"/>
      <c r="AM475" s="121"/>
      <c r="AN475" s="121"/>
      <c r="AO475" s="115"/>
      <c r="AP475" s="124"/>
      <c r="AQ475" s="77"/>
      <c r="AR475" s="77"/>
    </row>
    <row r="476">
      <c r="A476" s="116"/>
      <c r="B476" s="130"/>
      <c r="C476" s="121"/>
      <c r="D476" s="130"/>
      <c r="E476" s="121"/>
      <c r="F476" s="158"/>
      <c r="G476" s="121"/>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c r="AH476" s="121"/>
      <c r="AI476" s="121"/>
      <c r="AJ476" s="121"/>
      <c r="AK476" s="121"/>
      <c r="AL476" s="121"/>
      <c r="AM476" s="121"/>
      <c r="AN476" s="121"/>
      <c r="AO476" s="115"/>
      <c r="AP476" s="124"/>
      <c r="AQ476" s="77"/>
      <c r="AR476" s="77"/>
    </row>
    <row r="477">
      <c r="A477" s="116"/>
      <c r="B477" s="130"/>
      <c r="C477" s="121"/>
      <c r="D477" s="130"/>
      <c r="E477" s="121"/>
      <c r="F477" s="158"/>
      <c r="G477" s="121"/>
      <c r="H477" s="121"/>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c r="AH477" s="121"/>
      <c r="AI477" s="121"/>
      <c r="AJ477" s="121"/>
      <c r="AK477" s="121"/>
      <c r="AL477" s="121"/>
      <c r="AM477" s="121"/>
      <c r="AN477" s="121"/>
      <c r="AO477" s="115"/>
      <c r="AP477" s="124"/>
      <c r="AQ477" s="77"/>
      <c r="AR477" s="77"/>
    </row>
    <row r="478">
      <c r="A478" s="116"/>
      <c r="B478" s="113"/>
      <c r="C478" s="71"/>
      <c r="D478" s="113"/>
      <c r="E478" s="113"/>
      <c r="F478" s="113"/>
      <c r="G478" s="71"/>
      <c r="H478" s="113"/>
      <c r="I478" s="113"/>
      <c r="J478" s="71"/>
      <c r="K478" s="113"/>
      <c r="L478" s="113"/>
      <c r="M478" s="113"/>
      <c r="N478" s="113"/>
      <c r="O478" s="113"/>
      <c r="P478" s="113"/>
      <c r="Q478" s="113"/>
      <c r="R478" s="113"/>
      <c r="S478" s="71"/>
      <c r="T478" s="114"/>
      <c r="U478" s="113"/>
      <c r="V478" s="71"/>
      <c r="W478" s="71"/>
      <c r="X478" s="71"/>
      <c r="Y478" s="71"/>
      <c r="Z478" s="71"/>
      <c r="AA478" s="71"/>
      <c r="AB478" s="71"/>
      <c r="AC478" s="71"/>
      <c r="AD478" s="71"/>
      <c r="AE478" s="71"/>
      <c r="AF478" s="71"/>
      <c r="AG478" s="71"/>
      <c r="AH478" s="71"/>
      <c r="AI478" s="71"/>
      <c r="AJ478" s="71"/>
      <c r="AK478" s="71"/>
      <c r="AL478" s="71"/>
      <c r="AM478" s="71"/>
      <c r="AN478" s="71"/>
      <c r="AO478" s="77"/>
      <c r="AP478" s="77"/>
      <c r="AQ478" s="77"/>
      <c r="AR478" s="77"/>
    </row>
    <row r="479">
      <c r="A479" s="116"/>
      <c r="B479" s="161"/>
      <c r="C479" s="123"/>
      <c r="D479" s="161"/>
      <c r="E479" s="121"/>
      <c r="F479" s="161"/>
      <c r="G479" s="121"/>
      <c r="H479" s="121"/>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c r="AH479" s="121"/>
      <c r="AI479" s="121"/>
      <c r="AJ479" s="121"/>
      <c r="AK479" s="121"/>
      <c r="AL479" s="121"/>
      <c r="AM479" s="121"/>
      <c r="AN479" s="121"/>
      <c r="AO479" s="123"/>
      <c r="AP479" s="123"/>
      <c r="AQ479" s="123"/>
      <c r="AR479" s="123"/>
    </row>
    <row r="480">
      <c r="A480" s="116"/>
      <c r="B480" s="161"/>
      <c r="C480" s="123"/>
      <c r="D480" s="162"/>
      <c r="E480" s="121"/>
      <c r="F480" s="161"/>
      <c r="G480" s="121"/>
      <c r="H480" s="121"/>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c r="AH480" s="121"/>
      <c r="AI480" s="121"/>
      <c r="AJ480" s="121"/>
      <c r="AK480" s="121"/>
      <c r="AL480" s="121"/>
      <c r="AM480" s="121"/>
      <c r="AN480" s="121"/>
      <c r="AO480" s="123"/>
      <c r="AP480" s="123"/>
      <c r="AQ480" s="123"/>
      <c r="AR480" s="123"/>
    </row>
    <row r="481">
      <c r="A481" s="116"/>
      <c r="B481" s="161"/>
      <c r="C481" s="123"/>
      <c r="D481" s="162"/>
      <c r="E481" s="121"/>
      <c r="F481" s="161"/>
      <c r="G481" s="121"/>
      <c r="H481" s="121"/>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c r="AH481" s="121"/>
      <c r="AI481" s="121"/>
      <c r="AJ481" s="121"/>
      <c r="AK481" s="121"/>
      <c r="AL481" s="121"/>
      <c r="AM481" s="121"/>
      <c r="AN481" s="121"/>
      <c r="AO481" s="123"/>
      <c r="AP481" s="123"/>
      <c r="AQ481" s="123"/>
      <c r="AR481" s="123"/>
    </row>
    <row r="482">
      <c r="A482" s="116"/>
      <c r="B482" s="161"/>
      <c r="C482" s="123"/>
      <c r="D482" s="162"/>
      <c r="E482" s="121"/>
      <c r="F482" s="161"/>
      <c r="G482" s="121"/>
      <c r="H482" s="121"/>
      <c r="I482" s="121"/>
      <c r="J482" s="121"/>
      <c r="K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c r="AH482" s="121"/>
      <c r="AI482" s="121"/>
      <c r="AJ482" s="121"/>
      <c r="AK482" s="121"/>
      <c r="AL482" s="121"/>
      <c r="AM482" s="121"/>
      <c r="AN482" s="121"/>
      <c r="AO482" s="123"/>
      <c r="AP482" s="123"/>
      <c r="AQ482" s="123"/>
      <c r="AR482" s="123"/>
    </row>
    <row r="483">
      <c r="A483" s="116"/>
      <c r="B483" s="161"/>
      <c r="C483" s="123"/>
      <c r="D483" s="162"/>
      <c r="E483" s="121"/>
      <c r="F483" s="161"/>
      <c r="G483" s="121"/>
      <c r="H483" s="121"/>
      <c r="I483" s="121"/>
      <c r="J483" s="121"/>
      <c r="K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c r="AH483" s="121"/>
      <c r="AI483" s="121"/>
      <c r="AJ483" s="121"/>
      <c r="AK483" s="121"/>
      <c r="AL483" s="121"/>
      <c r="AM483" s="121"/>
      <c r="AN483" s="121"/>
      <c r="AO483" s="123"/>
      <c r="AP483" s="123"/>
      <c r="AQ483" s="123"/>
      <c r="AR483" s="123"/>
    </row>
    <row r="484">
      <c r="A484" s="116"/>
      <c r="B484" s="161"/>
      <c r="C484" s="123"/>
      <c r="D484" s="162"/>
      <c r="E484" s="121"/>
      <c r="F484" s="161"/>
      <c r="G484" s="121"/>
      <c r="H484" s="121"/>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c r="AH484" s="121"/>
      <c r="AI484" s="121"/>
      <c r="AJ484" s="121"/>
      <c r="AK484" s="121"/>
      <c r="AL484" s="121"/>
      <c r="AM484" s="121"/>
      <c r="AN484" s="121"/>
      <c r="AO484" s="123"/>
      <c r="AP484" s="123"/>
      <c r="AQ484" s="123"/>
      <c r="AR484" s="123"/>
    </row>
    <row r="485">
      <c r="A485" s="116"/>
      <c r="B485" s="161"/>
      <c r="C485" s="123"/>
      <c r="D485" s="162"/>
      <c r="E485" s="121"/>
      <c r="F485" s="161"/>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c r="AH485" s="121"/>
      <c r="AI485" s="121"/>
      <c r="AJ485" s="121"/>
      <c r="AK485" s="121"/>
      <c r="AL485" s="121"/>
      <c r="AM485" s="121"/>
      <c r="AN485" s="121"/>
      <c r="AO485" s="123"/>
      <c r="AP485" s="123"/>
      <c r="AQ485" s="123"/>
      <c r="AR485" s="123"/>
    </row>
    <row r="486">
      <c r="A486" s="116"/>
      <c r="B486" s="161"/>
      <c r="C486" s="123"/>
      <c r="D486" s="162"/>
      <c r="E486" s="121"/>
      <c r="F486" s="161"/>
      <c r="G486" s="121"/>
      <c r="H486" s="121"/>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c r="AH486" s="121"/>
      <c r="AI486" s="121"/>
      <c r="AJ486" s="121"/>
      <c r="AK486" s="121"/>
      <c r="AL486" s="121"/>
      <c r="AM486" s="121"/>
      <c r="AN486" s="121"/>
      <c r="AO486" s="123"/>
      <c r="AP486" s="123"/>
      <c r="AQ486" s="123"/>
      <c r="AR486" s="123"/>
    </row>
    <row r="487">
      <c r="A487" s="116"/>
      <c r="B487" s="161"/>
      <c r="C487" s="123"/>
      <c r="D487" s="162"/>
      <c r="E487" s="121"/>
      <c r="F487" s="161"/>
      <c r="G487" s="121"/>
      <c r="H487" s="121"/>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c r="AH487" s="121"/>
      <c r="AI487" s="121"/>
      <c r="AJ487" s="121"/>
      <c r="AK487" s="121"/>
      <c r="AL487" s="121"/>
      <c r="AM487" s="121"/>
      <c r="AN487" s="121"/>
      <c r="AO487" s="123"/>
      <c r="AP487" s="123"/>
      <c r="AQ487" s="123"/>
      <c r="AR487" s="123"/>
    </row>
    <row r="488">
      <c r="A488" s="116"/>
      <c r="B488" s="161"/>
      <c r="C488" s="123"/>
      <c r="D488" s="162"/>
      <c r="E488" s="121"/>
      <c r="F488" s="161"/>
      <c r="G488" s="121"/>
      <c r="H488" s="121"/>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c r="AH488" s="121"/>
      <c r="AI488" s="121"/>
      <c r="AJ488" s="121"/>
      <c r="AK488" s="121"/>
      <c r="AL488" s="121"/>
      <c r="AM488" s="121"/>
      <c r="AN488" s="121"/>
      <c r="AO488" s="123"/>
      <c r="AP488" s="123"/>
      <c r="AQ488" s="123"/>
      <c r="AR488" s="123"/>
    </row>
    <row r="489">
      <c r="A489" s="117"/>
      <c r="B489" s="113"/>
      <c r="C489" s="71"/>
      <c r="D489" s="113"/>
      <c r="E489" s="113"/>
      <c r="F489" s="113"/>
      <c r="G489" s="113"/>
      <c r="H489" s="113"/>
      <c r="I489" s="113"/>
      <c r="J489" s="113"/>
      <c r="K489" s="113"/>
      <c r="L489" s="113"/>
      <c r="M489" s="113"/>
      <c r="N489" s="113"/>
      <c r="O489" s="113"/>
      <c r="P489" s="113"/>
      <c r="Q489" s="113"/>
      <c r="R489" s="113"/>
      <c r="S489" s="71"/>
      <c r="T489" s="114"/>
      <c r="U489" s="113"/>
      <c r="V489" s="71"/>
      <c r="W489" s="71"/>
      <c r="X489" s="71"/>
      <c r="Y489" s="71"/>
      <c r="Z489" s="71"/>
      <c r="AA489" s="71"/>
      <c r="AB489" s="71"/>
      <c r="AC489" s="71"/>
      <c r="AD489" s="71"/>
      <c r="AE489" s="71"/>
      <c r="AF489" s="71"/>
      <c r="AG489" s="71"/>
      <c r="AH489" s="71"/>
      <c r="AI489" s="71"/>
      <c r="AJ489" s="71"/>
      <c r="AK489" s="71"/>
      <c r="AL489" s="71"/>
      <c r="AM489" s="71"/>
      <c r="AN489" s="71"/>
      <c r="AO489" s="115"/>
      <c r="AP489" s="115"/>
      <c r="AQ489" s="77"/>
      <c r="AR489" s="77"/>
    </row>
    <row r="490">
      <c r="A490" s="163"/>
      <c r="B490" s="113"/>
      <c r="C490" s="71"/>
      <c r="D490" s="113"/>
      <c r="E490" s="113"/>
      <c r="F490" s="113"/>
      <c r="G490" s="113"/>
      <c r="H490" s="113"/>
      <c r="I490" s="113"/>
      <c r="J490" s="113"/>
      <c r="K490" s="113"/>
      <c r="L490" s="113"/>
      <c r="M490" s="113"/>
      <c r="N490" s="113"/>
      <c r="O490" s="113"/>
      <c r="P490" s="113"/>
      <c r="Q490" s="113"/>
      <c r="R490" s="113"/>
      <c r="S490" s="71"/>
      <c r="T490" s="114"/>
      <c r="U490" s="113"/>
      <c r="V490" s="71"/>
      <c r="W490" s="113"/>
      <c r="X490" s="113"/>
      <c r="Y490" s="71"/>
      <c r="Z490" s="71"/>
      <c r="AA490" s="71"/>
      <c r="AB490" s="71"/>
      <c r="AC490" s="71"/>
      <c r="AD490" s="71"/>
      <c r="AE490" s="71"/>
      <c r="AF490" s="71"/>
      <c r="AG490" s="71"/>
      <c r="AH490" s="71"/>
      <c r="AI490" s="71"/>
      <c r="AJ490" s="71"/>
      <c r="AK490" s="71"/>
      <c r="AL490" s="71"/>
      <c r="AM490" s="71"/>
      <c r="AN490" s="71"/>
      <c r="AO490" s="115"/>
      <c r="AP490" s="115"/>
      <c r="AQ490" s="77"/>
      <c r="AR490" s="77"/>
    </row>
    <row r="491">
      <c r="A491" s="164"/>
      <c r="B491" s="113"/>
      <c r="C491" s="71"/>
      <c r="D491" s="113"/>
      <c r="E491" s="113"/>
      <c r="F491" s="113"/>
      <c r="G491" s="71"/>
      <c r="H491" s="113"/>
      <c r="I491" s="113"/>
      <c r="J491" s="113"/>
      <c r="K491" s="113"/>
      <c r="L491" s="113"/>
      <c r="M491" s="113"/>
      <c r="N491" s="113"/>
      <c r="O491" s="113"/>
      <c r="P491" s="113"/>
      <c r="Q491" s="113"/>
      <c r="R491" s="113"/>
      <c r="S491" s="71"/>
      <c r="T491" s="114"/>
      <c r="U491" s="113"/>
      <c r="V491" s="71"/>
      <c r="W491" s="71"/>
      <c r="X491" s="71"/>
      <c r="Y491" s="71"/>
      <c r="Z491" s="71"/>
      <c r="AA491" s="71"/>
      <c r="AB491" s="71"/>
      <c r="AC491" s="71"/>
      <c r="AD491" s="71"/>
      <c r="AE491" s="71"/>
      <c r="AF491" s="71"/>
      <c r="AG491" s="71"/>
      <c r="AH491" s="71"/>
      <c r="AI491" s="71"/>
      <c r="AJ491" s="71"/>
      <c r="AK491" s="71"/>
      <c r="AL491" s="71"/>
      <c r="AM491" s="71"/>
      <c r="AN491" s="71"/>
      <c r="AO491" s="124"/>
      <c r="AP491" s="124"/>
      <c r="AQ491" s="115"/>
      <c r="AR491" s="115"/>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71"/>
      <c r="Z492" s="71"/>
      <c r="AA492" s="71"/>
      <c r="AB492" s="71"/>
      <c r="AC492" s="71"/>
      <c r="AD492" s="71"/>
      <c r="AE492" s="71"/>
      <c r="AF492" s="71"/>
      <c r="AG492" s="71"/>
      <c r="AH492" s="71"/>
      <c r="AI492" s="71"/>
      <c r="AJ492" s="71"/>
      <c r="AK492" s="71"/>
      <c r="AL492" s="71"/>
      <c r="AM492" s="71"/>
      <c r="AN492" s="71"/>
      <c r="AO492" s="124"/>
      <c r="AP492" s="124"/>
      <c r="AQ492" s="77"/>
      <c r="AR492" s="77"/>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71"/>
      <c r="Z493" s="71"/>
      <c r="AA493" s="71"/>
      <c r="AB493" s="71"/>
      <c r="AC493" s="71"/>
      <c r="AD493" s="71"/>
      <c r="AE493" s="71"/>
      <c r="AF493" s="71"/>
      <c r="AG493" s="71"/>
      <c r="AH493" s="71"/>
      <c r="AI493" s="71"/>
      <c r="AJ493" s="71"/>
      <c r="AK493" s="71"/>
      <c r="AL493" s="71"/>
      <c r="AM493" s="71"/>
      <c r="AN493" s="71"/>
      <c r="AO493" s="124"/>
      <c r="AP493" s="124"/>
      <c r="AQ493" s="77"/>
      <c r="AR493" s="77"/>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71"/>
      <c r="Z494" s="71"/>
      <c r="AA494" s="71"/>
      <c r="AB494" s="71"/>
      <c r="AC494" s="71"/>
      <c r="AD494" s="71"/>
      <c r="AE494" s="71"/>
      <c r="AF494" s="71"/>
      <c r="AG494" s="71"/>
      <c r="AH494" s="71"/>
      <c r="AI494" s="71"/>
      <c r="AJ494" s="71"/>
      <c r="AK494" s="71"/>
      <c r="AL494" s="71"/>
      <c r="AM494" s="71"/>
      <c r="AN494" s="71"/>
      <c r="AO494" s="124"/>
      <c r="AP494" s="124"/>
      <c r="AQ494" s="77"/>
      <c r="AR494" s="77"/>
    </row>
    <row r="495">
      <c r="A495" s="137"/>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71"/>
      <c r="Z495" s="71"/>
      <c r="AA495" s="71"/>
      <c r="AB495" s="71"/>
      <c r="AC495" s="71"/>
      <c r="AD495" s="71"/>
      <c r="AE495" s="71"/>
      <c r="AF495" s="71"/>
      <c r="AG495" s="71"/>
      <c r="AH495" s="71"/>
      <c r="AI495" s="71"/>
      <c r="AJ495" s="71"/>
      <c r="AK495" s="71"/>
      <c r="AL495" s="71"/>
      <c r="AM495" s="71"/>
      <c r="AN495" s="71"/>
      <c r="AO495" s="124"/>
      <c r="AP495" s="124"/>
      <c r="AQ495" s="77"/>
      <c r="AR495" s="77"/>
    </row>
    <row r="496">
      <c r="A496" s="165"/>
      <c r="B496" s="166"/>
      <c r="C496" s="167"/>
      <c r="D496" s="166"/>
      <c r="E496" s="166"/>
      <c r="F496" s="166"/>
      <c r="G496" s="166"/>
      <c r="H496" s="166"/>
      <c r="I496" s="166"/>
      <c r="J496" s="166"/>
      <c r="K496" s="166"/>
      <c r="L496" s="166"/>
      <c r="M496" s="166"/>
      <c r="N496" s="166"/>
      <c r="O496" s="166"/>
      <c r="P496" s="166"/>
      <c r="Q496" s="167"/>
      <c r="R496" s="166"/>
      <c r="S496" s="167"/>
      <c r="T496" s="168"/>
      <c r="U496" s="166"/>
      <c r="V496" s="71"/>
      <c r="W496" s="113"/>
      <c r="X496" s="113"/>
      <c r="Y496" s="113"/>
      <c r="Z496" s="113"/>
      <c r="AA496" s="113"/>
      <c r="AB496" s="71"/>
      <c r="AC496" s="71"/>
      <c r="AD496" s="71"/>
      <c r="AE496" s="71"/>
      <c r="AF496" s="71"/>
      <c r="AG496" s="71"/>
      <c r="AH496" s="71"/>
      <c r="AI496" s="71"/>
      <c r="AJ496" s="71"/>
      <c r="AK496" s="71"/>
      <c r="AL496" s="71"/>
      <c r="AM496" s="71"/>
      <c r="AN496" s="71"/>
      <c r="AO496" s="115"/>
      <c r="AP496" s="115"/>
      <c r="AQ496" s="77"/>
      <c r="AR496" s="77"/>
    </row>
    <row r="497">
      <c r="A497" s="156"/>
      <c r="B497" s="156"/>
      <c r="C497" s="71"/>
      <c r="D497" s="156"/>
      <c r="E497" s="156"/>
      <c r="F497" s="156"/>
      <c r="G497" s="156"/>
      <c r="H497" s="156"/>
      <c r="I497" s="156"/>
      <c r="J497" s="156"/>
      <c r="K497" s="156"/>
      <c r="L497" s="156"/>
      <c r="M497" s="156"/>
      <c r="N497" s="156"/>
      <c r="O497" s="156"/>
      <c r="P497" s="156"/>
      <c r="Q497" s="156"/>
      <c r="R497" s="71"/>
      <c r="S497" s="143"/>
      <c r="T497" s="156"/>
      <c r="U497" s="71"/>
      <c r="V497" s="156"/>
      <c r="W497" s="71"/>
      <c r="X497" s="71"/>
      <c r="Y497" s="71"/>
      <c r="Z497" s="71"/>
      <c r="AA497" s="71"/>
      <c r="AB497" s="71"/>
      <c r="AC497" s="71"/>
      <c r="AD497" s="71"/>
      <c r="AE497" s="71"/>
      <c r="AF497" s="71"/>
      <c r="AG497" s="71"/>
      <c r="AH497" s="71"/>
      <c r="AI497" s="71"/>
      <c r="AJ497" s="71"/>
      <c r="AK497" s="71"/>
      <c r="AL497" s="71"/>
      <c r="AM497" s="71"/>
      <c r="AN497" s="71"/>
      <c r="AO497" s="124"/>
      <c r="AP497" s="124"/>
      <c r="AQ497" s="115"/>
      <c r="AR497" s="115"/>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c r="AB498" s="71"/>
      <c r="AC498" s="71"/>
      <c r="AD498" s="71"/>
      <c r="AE498" s="71"/>
      <c r="AF498" s="71"/>
      <c r="AG498" s="71"/>
      <c r="AH498" s="71"/>
      <c r="AI498" s="71"/>
      <c r="AJ498" s="71"/>
      <c r="AK498" s="71"/>
      <c r="AL498" s="71"/>
      <c r="AM498" s="71"/>
      <c r="AN498" s="71"/>
      <c r="AO498" s="71"/>
      <c r="AP498" s="71"/>
      <c r="AQ498" s="71"/>
      <c r="AR498" s="77"/>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c r="AB499" s="71"/>
      <c r="AC499" s="71"/>
      <c r="AD499" s="71"/>
      <c r="AE499" s="71"/>
      <c r="AF499" s="71"/>
      <c r="AG499" s="71"/>
      <c r="AH499" s="71"/>
      <c r="AI499" s="71"/>
      <c r="AJ499" s="71"/>
      <c r="AK499" s="71"/>
      <c r="AL499" s="71"/>
      <c r="AM499" s="71"/>
      <c r="AN499" s="71"/>
      <c r="AO499" s="71"/>
      <c r="AP499" s="71"/>
      <c r="AQ499" s="71"/>
      <c r="AR499" s="77"/>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c r="AR500" s="77"/>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c r="AB501" s="71"/>
      <c r="AC501" s="71"/>
      <c r="AD501" s="71"/>
      <c r="AE501" s="71"/>
      <c r="AF501" s="71"/>
      <c r="AG501" s="71"/>
      <c r="AH501" s="71"/>
      <c r="AI501" s="71"/>
      <c r="AJ501" s="71"/>
      <c r="AK501" s="71"/>
      <c r="AL501" s="71"/>
      <c r="AM501" s="71"/>
      <c r="AN501" s="71"/>
      <c r="AO501" s="71"/>
      <c r="AP501" s="71"/>
      <c r="AQ501" s="71"/>
      <c r="AR501" s="77"/>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c r="AR502" s="77"/>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c r="AB503" s="71"/>
      <c r="AC503" s="71"/>
      <c r="AD503" s="71"/>
      <c r="AE503" s="71"/>
      <c r="AF503" s="71"/>
      <c r="AG503" s="71"/>
      <c r="AH503" s="71"/>
      <c r="AI503" s="71"/>
      <c r="AJ503" s="71"/>
      <c r="AK503" s="71"/>
      <c r="AL503" s="71"/>
      <c r="AM503" s="71"/>
      <c r="AN503" s="71"/>
      <c r="AO503" s="71"/>
      <c r="AP503" s="71"/>
      <c r="AQ503" s="71"/>
      <c r="AR503" s="77"/>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c r="AA504" s="71"/>
      <c r="AB504" s="71"/>
      <c r="AC504" s="71"/>
      <c r="AD504" s="71"/>
      <c r="AE504" s="71"/>
      <c r="AF504" s="71"/>
      <c r="AG504" s="71"/>
      <c r="AH504" s="71"/>
      <c r="AI504" s="71"/>
      <c r="AJ504" s="71"/>
      <c r="AK504" s="71"/>
      <c r="AL504" s="71"/>
      <c r="AM504" s="71"/>
      <c r="AN504" s="71"/>
      <c r="AO504" s="71"/>
      <c r="AP504" s="71"/>
      <c r="AQ504" s="71"/>
      <c r="AR504" s="77"/>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c r="AA505" s="71"/>
      <c r="AB505" s="71"/>
      <c r="AC505" s="71"/>
      <c r="AD505" s="71"/>
      <c r="AE505" s="71"/>
      <c r="AF505" s="71"/>
      <c r="AG505" s="71"/>
      <c r="AH505" s="71"/>
      <c r="AI505" s="71"/>
      <c r="AJ505" s="71"/>
      <c r="AK505" s="71"/>
      <c r="AL505" s="71"/>
      <c r="AM505" s="71"/>
      <c r="AN505" s="71"/>
      <c r="AO505" s="71"/>
      <c r="AP505" s="71"/>
      <c r="AQ505" s="71"/>
      <c r="AR505" s="77"/>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c r="AA506" s="71"/>
      <c r="AB506" s="71"/>
      <c r="AC506" s="71"/>
      <c r="AD506" s="71"/>
      <c r="AE506" s="71"/>
      <c r="AF506" s="71"/>
      <c r="AG506" s="71"/>
      <c r="AH506" s="71"/>
      <c r="AI506" s="71"/>
      <c r="AJ506" s="71"/>
      <c r="AK506" s="71"/>
      <c r="AL506" s="71"/>
      <c r="AM506" s="71"/>
      <c r="AN506" s="71"/>
      <c r="AO506" s="71"/>
      <c r="AP506" s="71"/>
      <c r="AQ506" s="71"/>
      <c r="AR506" s="77"/>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c r="AA507" s="71"/>
      <c r="AB507" s="71"/>
      <c r="AC507" s="71"/>
      <c r="AD507" s="71"/>
      <c r="AE507" s="71"/>
      <c r="AF507" s="71"/>
      <c r="AG507" s="71"/>
      <c r="AH507" s="71"/>
      <c r="AI507" s="71"/>
      <c r="AJ507" s="71"/>
      <c r="AK507" s="71"/>
      <c r="AL507" s="71"/>
      <c r="AM507" s="71"/>
      <c r="AN507" s="71"/>
      <c r="AO507" s="71"/>
      <c r="AP507" s="71"/>
      <c r="AQ507" s="71"/>
      <c r="AR507" s="77"/>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c r="AR508" s="77"/>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c r="AA509" s="71"/>
      <c r="AB509" s="71"/>
      <c r="AC509" s="71"/>
      <c r="AD509" s="71"/>
      <c r="AE509" s="71"/>
      <c r="AF509" s="71"/>
      <c r="AG509" s="71"/>
      <c r="AH509" s="71"/>
      <c r="AI509" s="71"/>
      <c r="AJ509" s="71"/>
      <c r="AK509" s="71"/>
      <c r="AL509" s="71"/>
      <c r="AM509" s="71"/>
      <c r="AN509" s="71"/>
      <c r="AO509" s="71"/>
      <c r="AP509" s="71"/>
      <c r="AQ509" s="71"/>
      <c r="AR509" s="77"/>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c r="AA510" s="71"/>
      <c r="AB510" s="71"/>
      <c r="AC510" s="71"/>
      <c r="AD510" s="71"/>
      <c r="AE510" s="71"/>
      <c r="AF510" s="71"/>
      <c r="AG510" s="71"/>
      <c r="AH510" s="71"/>
      <c r="AI510" s="71"/>
      <c r="AJ510" s="71"/>
      <c r="AK510" s="71"/>
      <c r="AL510" s="71"/>
      <c r="AM510" s="71"/>
      <c r="AN510" s="71"/>
      <c r="AO510" s="71"/>
      <c r="AP510" s="71"/>
      <c r="AQ510" s="71"/>
      <c r="AR510" s="77"/>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c r="AA511" s="71"/>
      <c r="AB511" s="71"/>
      <c r="AC511" s="71"/>
      <c r="AD511" s="71"/>
      <c r="AE511" s="71"/>
      <c r="AF511" s="71"/>
      <c r="AG511" s="71"/>
      <c r="AH511" s="71"/>
      <c r="AI511" s="71"/>
      <c r="AJ511" s="71"/>
      <c r="AK511" s="71"/>
      <c r="AL511" s="71"/>
      <c r="AM511" s="71"/>
      <c r="AN511" s="71"/>
      <c r="AO511" s="71"/>
      <c r="AP511" s="71"/>
      <c r="AQ511" s="71"/>
      <c r="AR511" s="77"/>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c r="AA512" s="71"/>
      <c r="AB512" s="71"/>
      <c r="AC512" s="71"/>
      <c r="AD512" s="71"/>
      <c r="AE512" s="71"/>
      <c r="AF512" s="71"/>
      <c r="AG512" s="71"/>
      <c r="AH512" s="71"/>
      <c r="AI512" s="71"/>
      <c r="AJ512" s="71"/>
      <c r="AK512" s="71"/>
      <c r="AL512" s="71"/>
      <c r="AM512" s="71"/>
      <c r="AN512" s="71"/>
      <c r="AO512" s="71"/>
      <c r="AP512" s="71"/>
      <c r="AQ512" s="71"/>
      <c r="AR512" s="77"/>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c r="AA513" s="71"/>
      <c r="AB513" s="71"/>
      <c r="AC513" s="71"/>
      <c r="AD513" s="71"/>
      <c r="AE513" s="71"/>
      <c r="AF513" s="71"/>
      <c r="AG513" s="71"/>
      <c r="AH513" s="71"/>
      <c r="AI513" s="71"/>
      <c r="AJ513" s="71"/>
      <c r="AK513" s="71"/>
      <c r="AL513" s="71"/>
      <c r="AM513" s="71"/>
      <c r="AN513" s="71"/>
      <c r="AO513" s="71"/>
      <c r="AP513" s="71"/>
      <c r="AQ513" s="71"/>
      <c r="AR513" s="77"/>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c r="AA514" s="71"/>
      <c r="AB514" s="71"/>
      <c r="AC514" s="71"/>
      <c r="AD514" s="71"/>
      <c r="AE514" s="71"/>
      <c r="AF514" s="71"/>
      <c r="AG514" s="71"/>
      <c r="AH514" s="71"/>
      <c r="AI514" s="71"/>
      <c r="AJ514" s="71"/>
      <c r="AK514" s="71"/>
      <c r="AL514" s="71"/>
      <c r="AM514" s="71"/>
      <c r="AN514" s="71"/>
      <c r="AO514" s="71"/>
      <c r="AP514" s="71"/>
      <c r="AQ514" s="71"/>
      <c r="AR514" s="77"/>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c r="AA515" s="71"/>
      <c r="AB515" s="71"/>
      <c r="AC515" s="71"/>
      <c r="AD515" s="71"/>
      <c r="AE515" s="71"/>
      <c r="AF515" s="71"/>
      <c r="AG515" s="71"/>
      <c r="AH515" s="71"/>
      <c r="AI515" s="71"/>
      <c r="AJ515" s="71"/>
      <c r="AK515" s="71"/>
      <c r="AL515" s="71"/>
      <c r="AM515" s="71"/>
      <c r="AN515" s="71"/>
      <c r="AO515" s="71"/>
      <c r="AP515" s="71"/>
      <c r="AQ515" s="71"/>
      <c r="AR515" s="77"/>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c r="AR516" s="77"/>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c r="AA517" s="71"/>
      <c r="AB517" s="71"/>
      <c r="AC517" s="71"/>
      <c r="AD517" s="71"/>
      <c r="AE517" s="71"/>
      <c r="AF517" s="71"/>
      <c r="AG517" s="71"/>
      <c r="AH517" s="71"/>
      <c r="AI517" s="71"/>
      <c r="AJ517" s="71"/>
      <c r="AK517" s="71"/>
      <c r="AL517" s="71"/>
      <c r="AM517" s="71"/>
      <c r="AN517" s="71"/>
      <c r="AO517" s="71"/>
      <c r="AP517" s="71"/>
      <c r="AQ517" s="71"/>
      <c r="AR517" s="77"/>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c r="AR518" s="77"/>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c r="AA519" s="71"/>
      <c r="AB519" s="71"/>
      <c r="AC519" s="71"/>
      <c r="AD519" s="71"/>
      <c r="AE519" s="71"/>
      <c r="AF519" s="71"/>
      <c r="AG519" s="71"/>
      <c r="AH519" s="71"/>
      <c r="AI519" s="71"/>
      <c r="AJ519" s="71"/>
      <c r="AK519" s="71"/>
      <c r="AL519" s="71"/>
      <c r="AM519" s="71"/>
      <c r="AN519" s="71"/>
      <c r="AO519" s="71"/>
      <c r="AP519" s="71"/>
      <c r="AQ519" s="71"/>
      <c r="AR519" s="77"/>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c r="AA520" s="71"/>
      <c r="AB520" s="71"/>
      <c r="AC520" s="71"/>
      <c r="AD520" s="71"/>
      <c r="AE520" s="71"/>
      <c r="AF520" s="71"/>
      <c r="AG520" s="71"/>
      <c r="AH520" s="71"/>
      <c r="AI520" s="71"/>
      <c r="AJ520" s="71"/>
      <c r="AK520" s="71"/>
      <c r="AL520" s="71"/>
      <c r="AM520" s="71"/>
      <c r="AN520" s="71"/>
      <c r="AO520" s="71"/>
      <c r="AP520" s="71"/>
      <c r="AQ520" s="71"/>
      <c r="AR520" s="77"/>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c r="AA521" s="71"/>
      <c r="AB521" s="71"/>
      <c r="AC521" s="71"/>
      <c r="AD521" s="71"/>
      <c r="AE521" s="71"/>
      <c r="AF521" s="71"/>
      <c r="AG521" s="71"/>
      <c r="AH521" s="71"/>
      <c r="AI521" s="71"/>
      <c r="AJ521" s="71"/>
      <c r="AK521" s="71"/>
      <c r="AL521" s="71"/>
      <c r="AM521" s="71"/>
      <c r="AN521" s="71"/>
      <c r="AO521" s="71"/>
      <c r="AP521" s="71"/>
      <c r="AQ521" s="71"/>
      <c r="AR521" s="77"/>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c r="AA522" s="71"/>
      <c r="AB522" s="71"/>
      <c r="AC522" s="71"/>
      <c r="AD522" s="71"/>
      <c r="AE522" s="71"/>
      <c r="AF522" s="71"/>
      <c r="AG522" s="71"/>
      <c r="AH522" s="71"/>
      <c r="AI522" s="71"/>
      <c r="AJ522" s="71"/>
      <c r="AK522" s="71"/>
      <c r="AL522" s="71"/>
      <c r="AM522" s="71"/>
      <c r="AN522" s="71"/>
      <c r="AO522" s="71"/>
      <c r="AP522" s="71"/>
      <c r="AQ522" s="71"/>
      <c r="AR522" s="77"/>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c r="AA523" s="71"/>
      <c r="AB523" s="71"/>
      <c r="AC523" s="71"/>
      <c r="AD523" s="71"/>
      <c r="AE523" s="71"/>
      <c r="AF523" s="71"/>
      <c r="AG523" s="71"/>
      <c r="AH523" s="71"/>
      <c r="AI523" s="71"/>
      <c r="AJ523" s="71"/>
      <c r="AK523" s="71"/>
      <c r="AL523" s="71"/>
      <c r="AM523" s="71"/>
      <c r="AN523" s="71"/>
      <c r="AO523" s="71"/>
      <c r="AP523" s="71"/>
      <c r="AQ523" s="71"/>
      <c r="AR523" s="77"/>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c r="AR524" s="77"/>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c r="AB525" s="71"/>
      <c r="AC525" s="71"/>
      <c r="AD525" s="71"/>
      <c r="AE525" s="71"/>
      <c r="AF525" s="71"/>
      <c r="AG525" s="71"/>
      <c r="AH525" s="71"/>
      <c r="AI525" s="71"/>
      <c r="AJ525" s="71"/>
      <c r="AK525" s="71"/>
      <c r="AL525" s="71"/>
      <c r="AM525" s="71"/>
      <c r="AN525" s="71"/>
      <c r="AO525" s="71"/>
      <c r="AP525" s="71"/>
      <c r="AQ525" s="71"/>
      <c r="AR525" s="77"/>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c r="AA526" s="71"/>
      <c r="AB526" s="71"/>
      <c r="AC526" s="71"/>
      <c r="AD526" s="71"/>
      <c r="AE526" s="71"/>
      <c r="AF526" s="71"/>
      <c r="AG526" s="71"/>
      <c r="AH526" s="71"/>
      <c r="AI526" s="71"/>
      <c r="AJ526" s="71"/>
      <c r="AK526" s="71"/>
      <c r="AL526" s="71"/>
      <c r="AM526" s="71"/>
      <c r="AN526" s="71"/>
      <c r="AO526" s="71"/>
      <c r="AP526" s="71"/>
      <c r="AQ526" s="71"/>
      <c r="AR526" s="77"/>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c r="AB527" s="71"/>
      <c r="AC527" s="71"/>
      <c r="AD527" s="71"/>
      <c r="AE527" s="71"/>
      <c r="AF527" s="71"/>
      <c r="AG527" s="71"/>
      <c r="AH527" s="71"/>
      <c r="AI527" s="71"/>
      <c r="AJ527" s="71"/>
      <c r="AK527" s="71"/>
      <c r="AL527" s="71"/>
      <c r="AM527" s="71"/>
      <c r="AN527" s="71"/>
      <c r="AO527" s="71"/>
      <c r="AP527" s="71"/>
      <c r="AQ527" s="71"/>
      <c r="AR527" s="77"/>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c r="AA528" s="71"/>
      <c r="AB528" s="71"/>
      <c r="AC528" s="71"/>
      <c r="AD528" s="71"/>
      <c r="AE528" s="71"/>
      <c r="AF528" s="71"/>
      <c r="AG528" s="71"/>
      <c r="AH528" s="71"/>
      <c r="AI528" s="71"/>
      <c r="AJ528" s="71"/>
      <c r="AK528" s="71"/>
      <c r="AL528" s="71"/>
      <c r="AM528" s="71"/>
      <c r="AN528" s="71"/>
      <c r="AO528" s="71"/>
      <c r="AP528" s="71"/>
      <c r="AQ528" s="71"/>
      <c r="AR528" s="77"/>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c r="AA529" s="71"/>
      <c r="AB529" s="71"/>
      <c r="AC529" s="71"/>
      <c r="AD529" s="71"/>
      <c r="AE529" s="71"/>
      <c r="AF529" s="71"/>
      <c r="AG529" s="71"/>
      <c r="AH529" s="71"/>
      <c r="AI529" s="71"/>
      <c r="AJ529" s="71"/>
      <c r="AK529" s="71"/>
      <c r="AL529" s="71"/>
      <c r="AM529" s="71"/>
      <c r="AN529" s="71"/>
      <c r="AO529" s="71"/>
      <c r="AP529" s="71"/>
      <c r="AQ529" s="71"/>
      <c r="AR529" s="77"/>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c r="AA530" s="71"/>
      <c r="AB530" s="71"/>
      <c r="AC530" s="71"/>
      <c r="AD530" s="71"/>
      <c r="AE530" s="71"/>
      <c r="AF530" s="71"/>
      <c r="AG530" s="71"/>
      <c r="AH530" s="71"/>
      <c r="AI530" s="71"/>
      <c r="AJ530" s="71"/>
      <c r="AK530" s="71"/>
      <c r="AL530" s="71"/>
      <c r="AM530" s="71"/>
      <c r="AN530" s="71"/>
      <c r="AO530" s="71"/>
      <c r="AP530" s="71"/>
      <c r="AQ530" s="71"/>
      <c r="AR530" s="77"/>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c r="AA531" s="71"/>
      <c r="AB531" s="71"/>
      <c r="AC531" s="71"/>
      <c r="AD531" s="71"/>
      <c r="AE531" s="71"/>
      <c r="AF531" s="71"/>
      <c r="AG531" s="71"/>
      <c r="AH531" s="71"/>
      <c r="AI531" s="71"/>
      <c r="AJ531" s="71"/>
      <c r="AK531" s="71"/>
      <c r="AL531" s="71"/>
      <c r="AM531" s="71"/>
      <c r="AN531" s="71"/>
      <c r="AO531" s="71"/>
      <c r="AP531" s="71"/>
      <c r="AQ531" s="71"/>
      <c r="AR531" s="77"/>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7"/>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c r="AB533" s="71"/>
      <c r="AC533" s="71"/>
      <c r="AD533" s="71"/>
      <c r="AE533" s="71"/>
      <c r="AF533" s="71"/>
      <c r="AG533" s="71"/>
      <c r="AH533" s="71"/>
      <c r="AI533" s="71"/>
      <c r="AJ533" s="71"/>
      <c r="AK533" s="71"/>
      <c r="AL533" s="71"/>
      <c r="AM533" s="71"/>
      <c r="AN533" s="71"/>
      <c r="AO533" s="71"/>
      <c r="AP533" s="71"/>
      <c r="AQ533" s="71"/>
      <c r="AR533" s="77"/>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7"/>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c r="AA535" s="71"/>
      <c r="AB535" s="71"/>
      <c r="AC535" s="71"/>
      <c r="AD535" s="71"/>
      <c r="AE535" s="71"/>
      <c r="AF535" s="71"/>
      <c r="AG535" s="71"/>
      <c r="AH535" s="71"/>
      <c r="AI535" s="71"/>
      <c r="AJ535" s="71"/>
      <c r="AK535" s="71"/>
      <c r="AL535" s="71"/>
      <c r="AM535" s="71"/>
      <c r="AN535" s="71"/>
      <c r="AO535" s="71"/>
      <c r="AP535" s="71"/>
      <c r="AQ535" s="71"/>
      <c r="AR535" s="77"/>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c r="AA536" s="71"/>
      <c r="AB536" s="71"/>
      <c r="AC536" s="71"/>
      <c r="AD536" s="71"/>
      <c r="AE536" s="71"/>
      <c r="AF536" s="71"/>
      <c r="AG536" s="71"/>
      <c r="AH536" s="71"/>
      <c r="AI536" s="71"/>
      <c r="AJ536" s="71"/>
      <c r="AK536" s="71"/>
      <c r="AL536" s="71"/>
      <c r="AM536" s="71"/>
      <c r="AN536" s="71"/>
      <c r="AO536" s="71"/>
      <c r="AP536" s="71"/>
      <c r="AQ536" s="71"/>
      <c r="AR536" s="77"/>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c r="AA537" s="71"/>
      <c r="AB537" s="71"/>
      <c r="AC537" s="71"/>
      <c r="AD537" s="71"/>
      <c r="AE537" s="71"/>
      <c r="AF537" s="71"/>
      <c r="AG537" s="71"/>
      <c r="AH537" s="71"/>
      <c r="AI537" s="71"/>
      <c r="AJ537" s="71"/>
      <c r="AK537" s="71"/>
      <c r="AL537" s="71"/>
      <c r="AM537" s="71"/>
      <c r="AN537" s="71"/>
      <c r="AO537" s="71"/>
      <c r="AP537" s="71"/>
      <c r="AQ537" s="71"/>
      <c r="AR537" s="77"/>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c r="AA538" s="71"/>
      <c r="AB538" s="71"/>
      <c r="AC538" s="71"/>
      <c r="AD538" s="71"/>
      <c r="AE538" s="71"/>
      <c r="AF538" s="71"/>
      <c r="AG538" s="71"/>
      <c r="AH538" s="71"/>
      <c r="AI538" s="71"/>
      <c r="AJ538" s="71"/>
      <c r="AK538" s="71"/>
      <c r="AL538" s="71"/>
      <c r="AM538" s="71"/>
      <c r="AN538" s="71"/>
      <c r="AO538" s="71"/>
      <c r="AP538" s="71"/>
      <c r="AQ538" s="71"/>
      <c r="AR538" s="77"/>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c r="AA539" s="71"/>
      <c r="AB539" s="71"/>
      <c r="AC539" s="71"/>
      <c r="AD539" s="71"/>
      <c r="AE539" s="71"/>
      <c r="AF539" s="71"/>
      <c r="AG539" s="71"/>
      <c r="AH539" s="71"/>
      <c r="AI539" s="71"/>
      <c r="AJ539" s="71"/>
      <c r="AK539" s="71"/>
      <c r="AL539" s="71"/>
      <c r="AM539" s="71"/>
      <c r="AN539" s="71"/>
      <c r="AO539" s="71"/>
      <c r="AP539" s="71"/>
      <c r="AQ539" s="71"/>
      <c r="AR539" s="77"/>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c r="AR540" s="77"/>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c r="AA541" s="71"/>
      <c r="AB541" s="71"/>
      <c r="AC541" s="71"/>
      <c r="AD541" s="71"/>
      <c r="AE541" s="71"/>
      <c r="AF541" s="71"/>
      <c r="AG541" s="71"/>
      <c r="AH541" s="71"/>
      <c r="AI541" s="71"/>
      <c r="AJ541" s="71"/>
      <c r="AK541" s="71"/>
      <c r="AL541" s="71"/>
      <c r="AM541" s="71"/>
      <c r="AN541" s="71"/>
      <c r="AO541" s="71"/>
      <c r="AP541" s="71"/>
      <c r="AQ541" s="71"/>
      <c r="AR541" s="77"/>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c r="AR542" s="77"/>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c r="AA543" s="71"/>
      <c r="AB543" s="71"/>
      <c r="AC543" s="71"/>
      <c r="AD543" s="71"/>
      <c r="AE543" s="71"/>
      <c r="AF543" s="71"/>
      <c r="AG543" s="71"/>
      <c r="AH543" s="71"/>
      <c r="AI543" s="71"/>
      <c r="AJ543" s="71"/>
      <c r="AK543" s="71"/>
      <c r="AL543" s="71"/>
      <c r="AM543" s="71"/>
      <c r="AN543" s="71"/>
      <c r="AO543" s="71"/>
      <c r="AP543" s="71"/>
      <c r="AQ543" s="71"/>
      <c r="AR543" s="77"/>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c r="AA544" s="71"/>
      <c r="AB544" s="71"/>
      <c r="AC544" s="71"/>
      <c r="AD544" s="71"/>
      <c r="AE544" s="71"/>
      <c r="AF544" s="71"/>
      <c r="AG544" s="71"/>
      <c r="AH544" s="71"/>
      <c r="AI544" s="71"/>
      <c r="AJ544" s="71"/>
      <c r="AK544" s="71"/>
      <c r="AL544" s="71"/>
      <c r="AM544" s="71"/>
      <c r="AN544" s="71"/>
      <c r="AO544" s="71"/>
      <c r="AP544" s="71"/>
      <c r="AQ544" s="71"/>
      <c r="AR544" s="77"/>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c r="AB545" s="71"/>
      <c r="AC545" s="71"/>
      <c r="AD545" s="71"/>
      <c r="AE545" s="71"/>
      <c r="AF545" s="71"/>
      <c r="AG545" s="71"/>
      <c r="AH545" s="71"/>
      <c r="AI545" s="71"/>
      <c r="AJ545" s="71"/>
      <c r="AK545" s="71"/>
      <c r="AL545" s="71"/>
      <c r="AM545" s="71"/>
      <c r="AN545" s="71"/>
      <c r="AO545" s="71"/>
      <c r="AP545" s="71"/>
      <c r="AQ545" s="71"/>
      <c r="AR545" s="77"/>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c r="AA546" s="71"/>
      <c r="AB546" s="71"/>
      <c r="AC546" s="71"/>
      <c r="AD546" s="71"/>
      <c r="AE546" s="71"/>
      <c r="AF546" s="71"/>
      <c r="AG546" s="71"/>
      <c r="AH546" s="71"/>
      <c r="AI546" s="71"/>
      <c r="AJ546" s="71"/>
      <c r="AK546" s="71"/>
      <c r="AL546" s="71"/>
      <c r="AM546" s="71"/>
      <c r="AN546" s="71"/>
      <c r="AO546" s="71"/>
      <c r="AP546" s="71"/>
      <c r="AQ546" s="71"/>
      <c r="AR546" s="77"/>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c r="AA547" s="71"/>
      <c r="AB547" s="71"/>
      <c r="AC547" s="71"/>
      <c r="AD547" s="71"/>
      <c r="AE547" s="71"/>
      <c r="AF547" s="71"/>
      <c r="AG547" s="71"/>
      <c r="AH547" s="71"/>
      <c r="AI547" s="71"/>
      <c r="AJ547" s="71"/>
      <c r="AK547" s="71"/>
      <c r="AL547" s="71"/>
      <c r="AM547" s="71"/>
      <c r="AN547" s="71"/>
      <c r="AO547" s="71"/>
      <c r="AP547" s="71"/>
      <c r="AQ547" s="71"/>
      <c r="AR547" s="77"/>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c r="AR548" s="77"/>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c r="AA549" s="71"/>
      <c r="AB549" s="71"/>
      <c r="AC549" s="71"/>
      <c r="AD549" s="71"/>
      <c r="AE549" s="71"/>
      <c r="AF549" s="71"/>
      <c r="AG549" s="71"/>
      <c r="AH549" s="71"/>
      <c r="AI549" s="71"/>
      <c r="AJ549" s="71"/>
      <c r="AK549" s="71"/>
      <c r="AL549" s="71"/>
      <c r="AM549" s="71"/>
      <c r="AN549" s="71"/>
      <c r="AO549" s="71"/>
      <c r="AP549" s="71"/>
      <c r="AQ549" s="71"/>
      <c r="AR549" s="77"/>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c r="AR550" s="77"/>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c r="AA551" s="71"/>
      <c r="AB551" s="71"/>
      <c r="AC551" s="71"/>
      <c r="AD551" s="71"/>
      <c r="AE551" s="71"/>
      <c r="AF551" s="71"/>
      <c r="AG551" s="71"/>
      <c r="AH551" s="71"/>
      <c r="AI551" s="71"/>
      <c r="AJ551" s="71"/>
      <c r="AK551" s="71"/>
      <c r="AL551" s="71"/>
      <c r="AM551" s="71"/>
      <c r="AN551" s="71"/>
      <c r="AO551" s="71"/>
      <c r="AP551" s="71"/>
      <c r="AQ551" s="71"/>
      <c r="AR551" s="77"/>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c r="AA552" s="71"/>
      <c r="AB552" s="71"/>
      <c r="AC552" s="71"/>
      <c r="AD552" s="71"/>
      <c r="AE552" s="71"/>
      <c r="AF552" s="71"/>
      <c r="AG552" s="71"/>
      <c r="AH552" s="71"/>
      <c r="AI552" s="71"/>
      <c r="AJ552" s="71"/>
      <c r="AK552" s="71"/>
      <c r="AL552" s="71"/>
      <c r="AM552" s="71"/>
      <c r="AN552" s="71"/>
      <c r="AO552" s="71"/>
      <c r="AP552" s="71"/>
      <c r="AQ552" s="71"/>
      <c r="AR552" s="77"/>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c r="AA553" s="71"/>
      <c r="AB553" s="71"/>
      <c r="AC553" s="71"/>
      <c r="AD553" s="71"/>
      <c r="AE553" s="71"/>
      <c r="AF553" s="71"/>
      <c r="AG553" s="71"/>
      <c r="AH553" s="71"/>
      <c r="AI553" s="71"/>
      <c r="AJ553" s="71"/>
      <c r="AK553" s="71"/>
      <c r="AL553" s="71"/>
      <c r="AM553" s="71"/>
      <c r="AN553" s="71"/>
      <c r="AO553" s="71"/>
      <c r="AP553" s="71"/>
      <c r="AQ553" s="71"/>
      <c r="AR553" s="77"/>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c r="AA554" s="71"/>
      <c r="AB554" s="71"/>
      <c r="AC554" s="71"/>
      <c r="AD554" s="71"/>
      <c r="AE554" s="71"/>
      <c r="AF554" s="71"/>
      <c r="AG554" s="71"/>
      <c r="AH554" s="71"/>
      <c r="AI554" s="71"/>
      <c r="AJ554" s="71"/>
      <c r="AK554" s="71"/>
      <c r="AL554" s="71"/>
      <c r="AM554" s="71"/>
      <c r="AN554" s="71"/>
      <c r="AO554" s="71"/>
      <c r="AP554" s="71"/>
      <c r="AQ554" s="71"/>
      <c r="AR554" s="77"/>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c r="AA555" s="71"/>
      <c r="AB555" s="71"/>
      <c r="AC555" s="71"/>
      <c r="AD555" s="71"/>
      <c r="AE555" s="71"/>
      <c r="AF555" s="71"/>
      <c r="AG555" s="71"/>
      <c r="AH555" s="71"/>
      <c r="AI555" s="71"/>
      <c r="AJ555" s="71"/>
      <c r="AK555" s="71"/>
      <c r="AL555" s="71"/>
      <c r="AM555" s="71"/>
      <c r="AN555" s="71"/>
      <c r="AO555" s="71"/>
      <c r="AP555" s="71"/>
      <c r="AQ555" s="71"/>
      <c r="AR555" s="77"/>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c r="AR556" s="77"/>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c r="AA557" s="71"/>
      <c r="AB557" s="71"/>
      <c r="AC557" s="71"/>
      <c r="AD557" s="71"/>
      <c r="AE557" s="71"/>
      <c r="AF557" s="71"/>
      <c r="AG557" s="71"/>
      <c r="AH557" s="71"/>
      <c r="AI557" s="71"/>
      <c r="AJ557" s="71"/>
      <c r="AK557" s="71"/>
      <c r="AL557" s="71"/>
      <c r="AM557" s="71"/>
      <c r="AN557" s="71"/>
      <c r="AO557" s="71"/>
      <c r="AP557" s="71"/>
      <c r="AQ557" s="71"/>
      <c r="AR557" s="77"/>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c r="AA558" s="71"/>
      <c r="AB558" s="71"/>
      <c r="AC558" s="71"/>
      <c r="AD558" s="71"/>
      <c r="AE558" s="71"/>
      <c r="AF558" s="71"/>
      <c r="AG558" s="71"/>
      <c r="AH558" s="71"/>
      <c r="AI558" s="71"/>
      <c r="AJ558" s="71"/>
      <c r="AK558" s="71"/>
      <c r="AL558" s="71"/>
      <c r="AM558" s="71"/>
      <c r="AN558" s="71"/>
      <c r="AO558" s="71"/>
      <c r="AP558" s="71"/>
      <c r="AQ558" s="71"/>
      <c r="AR558" s="77"/>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c r="AA559" s="71"/>
      <c r="AB559" s="71"/>
      <c r="AC559" s="71"/>
      <c r="AD559" s="71"/>
      <c r="AE559" s="71"/>
      <c r="AF559" s="71"/>
      <c r="AG559" s="71"/>
      <c r="AH559" s="71"/>
      <c r="AI559" s="71"/>
      <c r="AJ559" s="71"/>
      <c r="AK559" s="71"/>
      <c r="AL559" s="71"/>
      <c r="AM559" s="71"/>
      <c r="AN559" s="71"/>
      <c r="AO559" s="71"/>
      <c r="AP559" s="71"/>
      <c r="AQ559" s="71"/>
      <c r="AR559" s="77"/>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c r="AA560" s="71"/>
      <c r="AB560" s="71"/>
      <c r="AC560" s="71"/>
      <c r="AD560" s="71"/>
      <c r="AE560" s="71"/>
      <c r="AF560" s="71"/>
      <c r="AG560" s="71"/>
      <c r="AH560" s="71"/>
      <c r="AI560" s="71"/>
      <c r="AJ560" s="71"/>
      <c r="AK560" s="71"/>
      <c r="AL560" s="71"/>
      <c r="AM560" s="71"/>
      <c r="AN560" s="71"/>
      <c r="AO560" s="71"/>
      <c r="AP560" s="71"/>
      <c r="AQ560" s="71"/>
      <c r="AR560" s="77"/>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c r="AA561" s="71"/>
      <c r="AB561" s="71"/>
      <c r="AC561" s="71"/>
      <c r="AD561" s="71"/>
      <c r="AE561" s="71"/>
      <c r="AF561" s="71"/>
      <c r="AG561" s="71"/>
      <c r="AH561" s="71"/>
      <c r="AI561" s="71"/>
      <c r="AJ561" s="71"/>
      <c r="AK561" s="71"/>
      <c r="AL561" s="71"/>
      <c r="AM561" s="71"/>
      <c r="AN561" s="71"/>
      <c r="AO561" s="71"/>
      <c r="AP561" s="71"/>
      <c r="AQ561" s="71"/>
      <c r="AR561" s="77"/>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c r="AA562" s="71"/>
      <c r="AB562" s="71"/>
      <c r="AC562" s="71"/>
      <c r="AD562" s="71"/>
      <c r="AE562" s="71"/>
      <c r="AF562" s="71"/>
      <c r="AG562" s="71"/>
      <c r="AH562" s="71"/>
      <c r="AI562" s="71"/>
      <c r="AJ562" s="71"/>
      <c r="AK562" s="71"/>
      <c r="AL562" s="71"/>
      <c r="AM562" s="71"/>
      <c r="AN562" s="71"/>
      <c r="AO562" s="71"/>
      <c r="AP562" s="71"/>
      <c r="AQ562" s="71"/>
      <c r="AR562" s="77"/>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c r="AA563" s="71"/>
      <c r="AB563" s="71"/>
      <c r="AC563" s="71"/>
      <c r="AD563" s="71"/>
      <c r="AE563" s="71"/>
      <c r="AF563" s="71"/>
      <c r="AG563" s="71"/>
      <c r="AH563" s="71"/>
      <c r="AI563" s="71"/>
      <c r="AJ563" s="71"/>
      <c r="AK563" s="71"/>
      <c r="AL563" s="71"/>
      <c r="AM563" s="71"/>
      <c r="AN563" s="71"/>
      <c r="AO563" s="71"/>
      <c r="AP563" s="71"/>
      <c r="AQ563" s="71"/>
      <c r="AR563" s="77"/>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c r="AR564" s="77"/>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c r="AA565" s="71"/>
      <c r="AB565" s="71"/>
      <c r="AC565" s="71"/>
      <c r="AD565" s="71"/>
      <c r="AE565" s="71"/>
      <c r="AF565" s="71"/>
      <c r="AG565" s="71"/>
      <c r="AH565" s="71"/>
      <c r="AI565" s="71"/>
      <c r="AJ565" s="71"/>
      <c r="AK565" s="71"/>
      <c r="AL565" s="71"/>
      <c r="AM565" s="71"/>
      <c r="AN565" s="71"/>
      <c r="AO565" s="71"/>
      <c r="AP565" s="71"/>
      <c r="AQ565" s="71"/>
      <c r="AR565" s="77"/>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c r="AR566" s="77"/>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c r="AA567" s="71"/>
      <c r="AB567" s="71"/>
      <c r="AC567" s="71"/>
      <c r="AD567" s="71"/>
      <c r="AE567" s="71"/>
      <c r="AF567" s="71"/>
      <c r="AG567" s="71"/>
      <c r="AH567" s="71"/>
      <c r="AI567" s="71"/>
      <c r="AJ567" s="71"/>
      <c r="AK567" s="71"/>
      <c r="AL567" s="71"/>
      <c r="AM567" s="71"/>
      <c r="AN567" s="71"/>
      <c r="AO567" s="71"/>
      <c r="AP567" s="71"/>
      <c r="AQ567" s="71"/>
      <c r="AR567" s="77"/>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c r="AA568" s="71"/>
      <c r="AB568" s="71"/>
      <c r="AC568" s="71"/>
      <c r="AD568" s="71"/>
      <c r="AE568" s="71"/>
      <c r="AF568" s="71"/>
      <c r="AG568" s="71"/>
      <c r="AH568" s="71"/>
      <c r="AI568" s="71"/>
      <c r="AJ568" s="71"/>
      <c r="AK568" s="71"/>
      <c r="AL568" s="71"/>
      <c r="AM568" s="71"/>
      <c r="AN568" s="71"/>
      <c r="AO568" s="71"/>
      <c r="AP568" s="71"/>
      <c r="AQ568" s="71"/>
      <c r="AR568" s="77"/>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c r="AA569" s="71"/>
      <c r="AB569" s="71"/>
      <c r="AC569" s="71"/>
      <c r="AD569" s="71"/>
      <c r="AE569" s="71"/>
      <c r="AF569" s="71"/>
      <c r="AG569" s="71"/>
      <c r="AH569" s="71"/>
      <c r="AI569" s="71"/>
      <c r="AJ569" s="71"/>
      <c r="AK569" s="71"/>
      <c r="AL569" s="71"/>
      <c r="AM569" s="71"/>
      <c r="AN569" s="71"/>
      <c r="AO569" s="71"/>
      <c r="AP569" s="71"/>
      <c r="AQ569" s="71"/>
      <c r="AR569" s="77"/>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c r="AA570" s="71"/>
      <c r="AB570" s="71"/>
      <c r="AC570" s="71"/>
      <c r="AD570" s="71"/>
      <c r="AE570" s="71"/>
      <c r="AF570" s="71"/>
      <c r="AG570" s="71"/>
      <c r="AH570" s="71"/>
      <c r="AI570" s="71"/>
      <c r="AJ570" s="71"/>
      <c r="AK570" s="71"/>
      <c r="AL570" s="71"/>
      <c r="AM570" s="71"/>
      <c r="AN570" s="71"/>
      <c r="AO570" s="71"/>
      <c r="AP570" s="71"/>
      <c r="AQ570" s="71"/>
      <c r="AR570" s="77"/>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c r="AA571" s="71"/>
      <c r="AB571" s="71"/>
      <c r="AC571" s="71"/>
      <c r="AD571" s="71"/>
      <c r="AE571" s="71"/>
      <c r="AF571" s="71"/>
      <c r="AG571" s="71"/>
      <c r="AH571" s="71"/>
      <c r="AI571" s="71"/>
      <c r="AJ571" s="71"/>
      <c r="AK571" s="71"/>
      <c r="AL571" s="71"/>
      <c r="AM571" s="71"/>
      <c r="AN571" s="71"/>
      <c r="AO571" s="71"/>
      <c r="AP571" s="71"/>
      <c r="AQ571" s="71"/>
      <c r="AR571" s="77"/>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c r="AR572" s="77"/>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c r="AA573" s="71"/>
      <c r="AB573" s="71"/>
      <c r="AC573" s="71"/>
      <c r="AD573" s="71"/>
      <c r="AE573" s="71"/>
      <c r="AF573" s="71"/>
      <c r="AG573" s="71"/>
      <c r="AH573" s="71"/>
      <c r="AI573" s="71"/>
      <c r="AJ573" s="71"/>
      <c r="AK573" s="71"/>
      <c r="AL573" s="71"/>
      <c r="AM573" s="71"/>
      <c r="AN573" s="71"/>
      <c r="AO573" s="71"/>
      <c r="AP573" s="71"/>
      <c r="AQ573" s="71"/>
      <c r="AR573" s="77"/>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c r="AR574" s="77"/>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c r="AA575" s="71"/>
      <c r="AB575" s="71"/>
      <c r="AC575" s="71"/>
      <c r="AD575" s="71"/>
      <c r="AE575" s="71"/>
      <c r="AF575" s="71"/>
      <c r="AG575" s="71"/>
      <c r="AH575" s="71"/>
      <c r="AI575" s="71"/>
      <c r="AJ575" s="71"/>
      <c r="AK575" s="71"/>
      <c r="AL575" s="71"/>
      <c r="AM575" s="71"/>
      <c r="AN575" s="71"/>
      <c r="AO575" s="71"/>
      <c r="AP575" s="71"/>
      <c r="AQ575" s="71"/>
      <c r="AR575" s="77"/>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c r="AA576" s="71"/>
      <c r="AB576" s="71"/>
      <c r="AC576" s="71"/>
      <c r="AD576" s="71"/>
      <c r="AE576" s="71"/>
      <c r="AF576" s="71"/>
      <c r="AG576" s="71"/>
      <c r="AH576" s="71"/>
      <c r="AI576" s="71"/>
      <c r="AJ576" s="71"/>
      <c r="AK576" s="71"/>
      <c r="AL576" s="71"/>
      <c r="AM576" s="71"/>
      <c r="AN576" s="71"/>
      <c r="AO576" s="71"/>
      <c r="AP576" s="71"/>
      <c r="AQ576" s="71"/>
      <c r="AR576" s="77"/>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c r="AA577" s="71"/>
      <c r="AB577" s="71"/>
      <c r="AC577" s="71"/>
      <c r="AD577" s="71"/>
      <c r="AE577" s="71"/>
      <c r="AF577" s="71"/>
      <c r="AG577" s="71"/>
      <c r="AH577" s="71"/>
      <c r="AI577" s="71"/>
      <c r="AJ577" s="71"/>
      <c r="AK577" s="71"/>
      <c r="AL577" s="71"/>
      <c r="AM577" s="71"/>
      <c r="AN577" s="71"/>
      <c r="AO577" s="71"/>
      <c r="AP577" s="71"/>
      <c r="AQ577" s="71"/>
      <c r="AR577" s="77"/>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c r="AA578" s="71"/>
      <c r="AB578" s="71"/>
      <c r="AC578" s="71"/>
      <c r="AD578" s="71"/>
      <c r="AE578" s="71"/>
      <c r="AF578" s="71"/>
      <c r="AG578" s="71"/>
      <c r="AH578" s="71"/>
      <c r="AI578" s="71"/>
      <c r="AJ578" s="71"/>
      <c r="AK578" s="71"/>
      <c r="AL578" s="71"/>
      <c r="AM578" s="71"/>
      <c r="AN578" s="71"/>
      <c r="AO578" s="71"/>
      <c r="AP578" s="71"/>
      <c r="AQ578" s="71"/>
      <c r="AR578" s="77"/>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c r="AA579" s="71"/>
      <c r="AB579" s="71"/>
      <c r="AC579" s="71"/>
      <c r="AD579" s="71"/>
      <c r="AE579" s="71"/>
      <c r="AF579" s="71"/>
      <c r="AG579" s="71"/>
      <c r="AH579" s="71"/>
      <c r="AI579" s="71"/>
      <c r="AJ579" s="71"/>
      <c r="AK579" s="71"/>
      <c r="AL579" s="71"/>
      <c r="AM579" s="71"/>
      <c r="AN579" s="71"/>
      <c r="AO579" s="71"/>
      <c r="AP579" s="71"/>
      <c r="AQ579" s="71"/>
      <c r="AR579" s="77"/>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c r="AR580" s="77"/>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c r="AA581" s="71"/>
      <c r="AB581" s="71"/>
      <c r="AC581" s="71"/>
      <c r="AD581" s="71"/>
      <c r="AE581" s="71"/>
      <c r="AF581" s="71"/>
      <c r="AG581" s="71"/>
      <c r="AH581" s="71"/>
      <c r="AI581" s="71"/>
      <c r="AJ581" s="71"/>
      <c r="AK581" s="71"/>
      <c r="AL581" s="71"/>
      <c r="AM581" s="71"/>
      <c r="AN581" s="71"/>
      <c r="AO581" s="71"/>
      <c r="AP581" s="71"/>
      <c r="AQ581" s="71"/>
      <c r="AR581" s="77"/>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c r="AR582" s="77"/>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c r="AA583" s="71"/>
      <c r="AB583" s="71"/>
      <c r="AC583" s="71"/>
      <c r="AD583" s="71"/>
      <c r="AE583" s="71"/>
      <c r="AF583" s="71"/>
      <c r="AG583" s="71"/>
      <c r="AH583" s="71"/>
      <c r="AI583" s="71"/>
      <c r="AJ583" s="71"/>
      <c r="AK583" s="71"/>
      <c r="AL583" s="71"/>
      <c r="AM583" s="71"/>
      <c r="AN583" s="71"/>
      <c r="AO583" s="71"/>
      <c r="AP583" s="71"/>
      <c r="AQ583" s="71"/>
      <c r="AR583" s="77"/>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c r="AB584" s="71"/>
      <c r="AC584" s="71"/>
      <c r="AD584" s="71"/>
      <c r="AE584" s="71"/>
      <c r="AF584" s="71"/>
      <c r="AG584" s="71"/>
      <c r="AH584" s="71"/>
      <c r="AI584" s="71"/>
      <c r="AJ584" s="71"/>
      <c r="AK584" s="71"/>
      <c r="AL584" s="71"/>
      <c r="AM584" s="71"/>
      <c r="AN584" s="71"/>
      <c r="AO584" s="71"/>
      <c r="AP584" s="71"/>
      <c r="AQ584" s="71"/>
      <c r="AR584" s="77"/>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c r="AA585" s="71"/>
      <c r="AB585" s="71"/>
      <c r="AC585" s="71"/>
      <c r="AD585" s="71"/>
      <c r="AE585" s="71"/>
      <c r="AF585" s="71"/>
      <c r="AG585" s="71"/>
      <c r="AH585" s="71"/>
      <c r="AI585" s="71"/>
      <c r="AJ585" s="71"/>
      <c r="AK585" s="71"/>
      <c r="AL585" s="71"/>
      <c r="AM585" s="71"/>
      <c r="AN585" s="71"/>
      <c r="AO585" s="71"/>
      <c r="AP585" s="71"/>
      <c r="AQ585" s="71"/>
      <c r="AR585" s="77"/>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c r="AA586" s="71"/>
      <c r="AB586" s="71"/>
      <c r="AC586" s="71"/>
      <c r="AD586" s="71"/>
      <c r="AE586" s="71"/>
      <c r="AF586" s="71"/>
      <c r="AG586" s="71"/>
      <c r="AH586" s="71"/>
      <c r="AI586" s="71"/>
      <c r="AJ586" s="71"/>
      <c r="AK586" s="71"/>
      <c r="AL586" s="71"/>
      <c r="AM586" s="71"/>
      <c r="AN586" s="71"/>
      <c r="AO586" s="71"/>
      <c r="AP586" s="71"/>
      <c r="AQ586" s="71"/>
      <c r="AR586" s="77"/>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c r="AA587" s="71"/>
      <c r="AB587" s="71"/>
      <c r="AC587" s="71"/>
      <c r="AD587" s="71"/>
      <c r="AE587" s="71"/>
      <c r="AF587" s="71"/>
      <c r="AG587" s="71"/>
      <c r="AH587" s="71"/>
      <c r="AI587" s="71"/>
      <c r="AJ587" s="71"/>
      <c r="AK587" s="71"/>
      <c r="AL587" s="71"/>
      <c r="AM587" s="71"/>
      <c r="AN587" s="71"/>
      <c r="AO587" s="71"/>
      <c r="AP587" s="71"/>
      <c r="AQ587" s="71"/>
      <c r="AR587" s="77"/>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c r="AR588" s="77"/>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c r="AA589" s="71"/>
      <c r="AB589" s="71"/>
      <c r="AC589" s="71"/>
      <c r="AD589" s="71"/>
      <c r="AE589" s="71"/>
      <c r="AF589" s="71"/>
      <c r="AG589" s="71"/>
      <c r="AH589" s="71"/>
      <c r="AI589" s="71"/>
      <c r="AJ589" s="71"/>
      <c r="AK589" s="71"/>
      <c r="AL589" s="71"/>
      <c r="AM589" s="71"/>
      <c r="AN589" s="71"/>
      <c r="AO589" s="71"/>
      <c r="AP589" s="71"/>
      <c r="AQ589" s="71"/>
      <c r="AR589" s="77"/>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c r="AR590" s="77"/>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c r="AA591" s="71"/>
      <c r="AB591" s="71"/>
      <c r="AC591" s="71"/>
      <c r="AD591" s="71"/>
      <c r="AE591" s="71"/>
      <c r="AF591" s="71"/>
      <c r="AG591" s="71"/>
      <c r="AH591" s="71"/>
      <c r="AI591" s="71"/>
      <c r="AJ591" s="71"/>
      <c r="AK591" s="71"/>
      <c r="AL591" s="71"/>
      <c r="AM591" s="71"/>
      <c r="AN591" s="71"/>
      <c r="AO591" s="71"/>
      <c r="AP591" s="71"/>
      <c r="AQ591" s="71"/>
      <c r="AR591" s="77"/>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c r="AA592" s="71"/>
      <c r="AB592" s="71"/>
      <c r="AC592" s="71"/>
      <c r="AD592" s="71"/>
      <c r="AE592" s="71"/>
      <c r="AF592" s="71"/>
      <c r="AG592" s="71"/>
      <c r="AH592" s="71"/>
      <c r="AI592" s="71"/>
      <c r="AJ592" s="71"/>
      <c r="AK592" s="71"/>
      <c r="AL592" s="71"/>
      <c r="AM592" s="71"/>
      <c r="AN592" s="71"/>
      <c r="AO592" s="71"/>
      <c r="AP592" s="71"/>
      <c r="AQ592" s="71"/>
      <c r="AR592" s="77"/>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c r="AA593" s="71"/>
      <c r="AB593" s="71"/>
      <c r="AC593" s="71"/>
      <c r="AD593" s="71"/>
      <c r="AE593" s="71"/>
      <c r="AF593" s="71"/>
      <c r="AG593" s="71"/>
      <c r="AH593" s="71"/>
      <c r="AI593" s="71"/>
      <c r="AJ593" s="71"/>
      <c r="AK593" s="71"/>
      <c r="AL593" s="71"/>
      <c r="AM593" s="71"/>
      <c r="AN593" s="71"/>
      <c r="AO593" s="71"/>
      <c r="AP593" s="71"/>
      <c r="AQ593" s="71"/>
      <c r="AR593" s="77"/>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c r="AA594" s="71"/>
      <c r="AB594" s="71"/>
      <c r="AC594" s="71"/>
      <c r="AD594" s="71"/>
      <c r="AE594" s="71"/>
      <c r="AF594" s="71"/>
      <c r="AG594" s="71"/>
      <c r="AH594" s="71"/>
      <c r="AI594" s="71"/>
      <c r="AJ594" s="71"/>
      <c r="AK594" s="71"/>
      <c r="AL594" s="71"/>
      <c r="AM594" s="71"/>
      <c r="AN594" s="71"/>
      <c r="AO594" s="71"/>
      <c r="AP594" s="71"/>
      <c r="AQ594" s="71"/>
      <c r="AR594" s="77"/>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c r="AA595" s="71"/>
      <c r="AB595" s="71"/>
      <c r="AC595" s="71"/>
      <c r="AD595" s="71"/>
      <c r="AE595" s="71"/>
      <c r="AF595" s="71"/>
      <c r="AG595" s="71"/>
      <c r="AH595" s="71"/>
      <c r="AI595" s="71"/>
      <c r="AJ595" s="71"/>
      <c r="AK595" s="71"/>
      <c r="AL595" s="71"/>
      <c r="AM595" s="71"/>
      <c r="AN595" s="71"/>
      <c r="AO595" s="71"/>
      <c r="AP595" s="71"/>
      <c r="AQ595" s="71"/>
      <c r="AR595" s="77"/>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c r="AA596" s="71"/>
      <c r="AB596" s="71"/>
      <c r="AC596" s="71"/>
      <c r="AD596" s="71"/>
      <c r="AE596" s="71"/>
      <c r="AF596" s="71"/>
      <c r="AG596" s="71"/>
      <c r="AH596" s="71"/>
      <c r="AI596" s="71"/>
      <c r="AJ596" s="71"/>
      <c r="AK596" s="71"/>
      <c r="AL596" s="71"/>
      <c r="AM596" s="71"/>
      <c r="AN596" s="71"/>
      <c r="AO596" s="71"/>
      <c r="AP596" s="71"/>
      <c r="AQ596" s="71"/>
      <c r="AR596" s="77"/>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c r="AA597" s="71"/>
      <c r="AB597" s="71"/>
      <c r="AC597" s="71"/>
      <c r="AD597" s="71"/>
      <c r="AE597" s="71"/>
      <c r="AF597" s="71"/>
      <c r="AG597" s="71"/>
      <c r="AH597" s="71"/>
      <c r="AI597" s="71"/>
      <c r="AJ597" s="71"/>
      <c r="AK597" s="71"/>
      <c r="AL597" s="71"/>
      <c r="AM597" s="71"/>
      <c r="AN597" s="71"/>
      <c r="AO597" s="71"/>
      <c r="AP597" s="71"/>
      <c r="AQ597" s="71"/>
      <c r="AR597" s="77"/>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c r="AA598" s="71"/>
      <c r="AB598" s="71"/>
      <c r="AC598" s="71"/>
      <c r="AD598" s="71"/>
      <c r="AE598" s="71"/>
      <c r="AF598" s="71"/>
      <c r="AG598" s="71"/>
      <c r="AH598" s="71"/>
      <c r="AI598" s="71"/>
      <c r="AJ598" s="71"/>
      <c r="AK598" s="71"/>
      <c r="AL598" s="71"/>
      <c r="AM598" s="71"/>
      <c r="AN598" s="71"/>
      <c r="AO598" s="71"/>
      <c r="AP598" s="71"/>
      <c r="AQ598" s="71"/>
      <c r="AR598" s="77"/>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c r="AA599" s="71"/>
      <c r="AB599" s="71"/>
      <c r="AC599" s="71"/>
      <c r="AD599" s="71"/>
      <c r="AE599" s="71"/>
      <c r="AF599" s="71"/>
      <c r="AG599" s="71"/>
      <c r="AH599" s="71"/>
      <c r="AI599" s="71"/>
      <c r="AJ599" s="71"/>
      <c r="AK599" s="71"/>
      <c r="AL599" s="71"/>
      <c r="AM599" s="71"/>
      <c r="AN599" s="71"/>
      <c r="AO599" s="71"/>
      <c r="AP599" s="71"/>
      <c r="AQ599" s="71"/>
      <c r="AR599" s="77"/>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c r="AA600" s="71"/>
      <c r="AB600" s="71"/>
      <c r="AC600" s="71"/>
      <c r="AD600" s="71"/>
      <c r="AE600" s="71"/>
      <c r="AF600" s="71"/>
      <c r="AG600" s="71"/>
      <c r="AH600" s="71"/>
      <c r="AI600" s="71"/>
      <c r="AJ600" s="71"/>
      <c r="AK600" s="71"/>
      <c r="AL600" s="71"/>
      <c r="AM600" s="71"/>
      <c r="AN600" s="71"/>
      <c r="AO600" s="71"/>
      <c r="AP600" s="71"/>
      <c r="AQ600" s="71"/>
      <c r="AR600" s="77"/>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c r="AA601" s="71"/>
      <c r="AB601" s="71"/>
      <c r="AC601" s="71"/>
      <c r="AD601" s="71"/>
      <c r="AE601" s="71"/>
      <c r="AF601" s="71"/>
      <c r="AG601" s="71"/>
      <c r="AH601" s="71"/>
      <c r="AI601" s="71"/>
      <c r="AJ601" s="71"/>
      <c r="AK601" s="71"/>
      <c r="AL601" s="71"/>
      <c r="AM601" s="71"/>
      <c r="AN601" s="71"/>
      <c r="AO601" s="71"/>
      <c r="AP601" s="71"/>
      <c r="AQ601" s="71"/>
      <c r="AR601" s="77"/>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c r="AA602" s="71"/>
      <c r="AB602" s="71"/>
      <c r="AC602" s="71"/>
      <c r="AD602" s="71"/>
      <c r="AE602" s="71"/>
      <c r="AF602" s="71"/>
      <c r="AG602" s="71"/>
      <c r="AH602" s="71"/>
      <c r="AI602" s="71"/>
      <c r="AJ602" s="71"/>
      <c r="AK602" s="71"/>
      <c r="AL602" s="71"/>
      <c r="AM602" s="71"/>
      <c r="AN602" s="71"/>
      <c r="AO602" s="71"/>
      <c r="AP602" s="71"/>
      <c r="AQ602" s="71"/>
      <c r="AR602" s="77"/>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c r="AA603" s="71"/>
      <c r="AB603" s="71"/>
      <c r="AC603" s="71"/>
      <c r="AD603" s="71"/>
      <c r="AE603" s="71"/>
      <c r="AF603" s="71"/>
      <c r="AG603" s="71"/>
      <c r="AH603" s="71"/>
      <c r="AI603" s="71"/>
      <c r="AJ603" s="71"/>
      <c r="AK603" s="71"/>
      <c r="AL603" s="71"/>
      <c r="AM603" s="71"/>
      <c r="AN603" s="71"/>
      <c r="AO603" s="71"/>
      <c r="AP603" s="71"/>
      <c r="AQ603" s="71"/>
      <c r="AR603" s="77"/>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c r="AA604" s="71"/>
      <c r="AB604" s="71"/>
      <c r="AC604" s="71"/>
      <c r="AD604" s="71"/>
      <c r="AE604" s="71"/>
      <c r="AF604" s="71"/>
      <c r="AG604" s="71"/>
      <c r="AH604" s="71"/>
      <c r="AI604" s="71"/>
      <c r="AJ604" s="71"/>
      <c r="AK604" s="71"/>
      <c r="AL604" s="71"/>
      <c r="AM604" s="71"/>
      <c r="AN604" s="71"/>
      <c r="AO604" s="71"/>
      <c r="AP604" s="71"/>
      <c r="AQ604" s="71"/>
      <c r="AR604" s="77"/>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c r="AA605" s="71"/>
      <c r="AB605" s="71"/>
      <c r="AC605" s="71"/>
      <c r="AD605" s="71"/>
      <c r="AE605" s="71"/>
      <c r="AF605" s="71"/>
      <c r="AG605" s="71"/>
      <c r="AH605" s="71"/>
      <c r="AI605" s="71"/>
      <c r="AJ605" s="71"/>
      <c r="AK605" s="71"/>
      <c r="AL605" s="71"/>
      <c r="AM605" s="71"/>
      <c r="AN605" s="71"/>
      <c r="AO605" s="71"/>
      <c r="AP605" s="71"/>
      <c r="AQ605" s="71"/>
      <c r="AR605" s="77"/>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c r="AA606" s="71"/>
      <c r="AB606" s="71"/>
      <c r="AC606" s="71"/>
      <c r="AD606" s="71"/>
      <c r="AE606" s="71"/>
      <c r="AF606" s="71"/>
      <c r="AG606" s="71"/>
      <c r="AH606" s="71"/>
      <c r="AI606" s="71"/>
      <c r="AJ606" s="71"/>
      <c r="AK606" s="71"/>
      <c r="AL606" s="71"/>
      <c r="AM606" s="71"/>
      <c r="AN606" s="71"/>
      <c r="AO606" s="71"/>
      <c r="AP606" s="71"/>
      <c r="AQ606" s="71"/>
      <c r="AR606" s="77"/>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c r="AA607" s="71"/>
      <c r="AB607" s="71"/>
      <c r="AC607" s="71"/>
      <c r="AD607" s="71"/>
      <c r="AE607" s="71"/>
      <c r="AF607" s="71"/>
      <c r="AG607" s="71"/>
      <c r="AH607" s="71"/>
      <c r="AI607" s="71"/>
      <c r="AJ607" s="71"/>
      <c r="AK607" s="71"/>
      <c r="AL607" s="71"/>
      <c r="AM607" s="71"/>
      <c r="AN607" s="71"/>
      <c r="AO607" s="71"/>
      <c r="AP607" s="71"/>
      <c r="AQ607" s="71"/>
      <c r="AR607" s="77"/>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c r="AA608" s="71"/>
      <c r="AB608" s="71"/>
      <c r="AC608" s="71"/>
      <c r="AD608" s="71"/>
      <c r="AE608" s="71"/>
      <c r="AF608" s="71"/>
      <c r="AG608" s="71"/>
      <c r="AH608" s="71"/>
      <c r="AI608" s="71"/>
      <c r="AJ608" s="71"/>
      <c r="AK608" s="71"/>
      <c r="AL608" s="71"/>
      <c r="AM608" s="71"/>
      <c r="AN608" s="71"/>
      <c r="AO608" s="71"/>
      <c r="AP608" s="71"/>
      <c r="AQ608" s="71"/>
      <c r="AR608" s="77"/>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c r="AA609" s="71"/>
      <c r="AB609" s="71"/>
      <c r="AC609" s="71"/>
      <c r="AD609" s="71"/>
      <c r="AE609" s="71"/>
      <c r="AF609" s="71"/>
      <c r="AG609" s="71"/>
      <c r="AH609" s="71"/>
      <c r="AI609" s="71"/>
      <c r="AJ609" s="71"/>
      <c r="AK609" s="71"/>
      <c r="AL609" s="71"/>
      <c r="AM609" s="71"/>
      <c r="AN609" s="71"/>
      <c r="AO609" s="71"/>
      <c r="AP609" s="71"/>
      <c r="AQ609" s="71"/>
      <c r="AR609" s="77"/>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c r="AA610" s="71"/>
      <c r="AB610" s="71"/>
      <c r="AC610" s="71"/>
      <c r="AD610" s="71"/>
      <c r="AE610" s="71"/>
      <c r="AF610" s="71"/>
      <c r="AG610" s="71"/>
      <c r="AH610" s="71"/>
      <c r="AI610" s="71"/>
      <c r="AJ610" s="71"/>
      <c r="AK610" s="71"/>
      <c r="AL610" s="71"/>
      <c r="AM610" s="71"/>
      <c r="AN610" s="71"/>
      <c r="AO610" s="71"/>
      <c r="AP610" s="71"/>
      <c r="AQ610" s="71"/>
      <c r="AR610" s="77"/>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c r="AA611" s="71"/>
      <c r="AB611" s="71"/>
      <c r="AC611" s="71"/>
      <c r="AD611" s="71"/>
      <c r="AE611" s="71"/>
      <c r="AF611" s="71"/>
      <c r="AG611" s="71"/>
      <c r="AH611" s="71"/>
      <c r="AI611" s="71"/>
      <c r="AJ611" s="71"/>
      <c r="AK611" s="71"/>
      <c r="AL611" s="71"/>
      <c r="AM611" s="71"/>
      <c r="AN611" s="71"/>
      <c r="AO611" s="71"/>
      <c r="AP611" s="71"/>
      <c r="AQ611" s="71"/>
      <c r="AR611" s="77"/>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c r="AA612" s="71"/>
      <c r="AB612" s="71"/>
      <c r="AC612" s="71"/>
      <c r="AD612" s="71"/>
      <c r="AE612" s="71"/>
      <c r="AF612" s="71"/>
      <c r="AG612" s="71"/>
      <c r="AH612" s="71"/>
      <c r="AI612" s="71"/>
      <c r="AJ612" s="71"/>
      <c r="AK612" s="71"/>
      <c r="AL612" s="71"/>
      <c r="AM612" s="71"/>
      <c r="AN612" s="71"/>
      <c r="AO612" s="71"/>
      <c r="AP612" s="71"/>
      <c r="AQ612" s="71"/>
      <c r="AR612" s="77"/>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c r="AA613" s="71"/>
      <c r="AB613" s="71"/>
      <c r="AC613" s="71"/>
      <c r="AD613" s="71"/>
      <c r="AE613" s="71"/>
      <c r="AF613" s="71"/>
      <c r="AG613" s="71"/>
      <c r="AH613" s="71"/>
      <c r="AI613" s="71"/>
      <c r="AJ613" s="71"/>
      <c r="AK613" s="71"/>
      <c r="AL613" s="71"/>
      <c r="AM613" s="71"/>
      <c r="AN613" s="71"/>
      <c r="AO613" s="71"/>
      <c r="AP613" s="71"/>
      <c r="AQ613" s="71"/>
      <c r="AR613" s="77"/>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c r="AA614" s="71"/>
      <c r="AB614" s="71"/>
      <c r="AC614" s="71"/>
      <c r="AD614" s="71"/>
      <c r="AE614" s="71"/>
      <c r="AF614" s="71"/>
      <c r="AG614" s="71"/>
      <c r="AH614" s="71"/>
      <c r="AI614" s="71"/>
      <c r="AJ614" s="71"/>
      <c r="AK614" s="71"/>
      <c r="AL614" s="71"/>
      <c r="AM614" s="71"/>
      <c r="AN614" s="71"/>
      <c r="AO614" s="71"/>
      <c r="AP614" s="71"/>
      <c r="AQ614" s="71"/>
      <c r="AR614" s="77"/>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c r="AA615" s="71"/>
      <c r="AB615" s="71"/>
      <c r="AC615" s="71"/>
      <c r="AD615" s="71"/>
      <c r="AE615" s="71"/>
      <c r="AF615" s="71"/>
      <c r="AG615" s="71"/>
      <c r="AH615" s="71"/>
      <c r="AI615" s="71"/>
      <c r="AJ615" s="71"/>
      <c r="AK615" s="71"/>
      <c r="AL615" s="71"/>
      <c r="AM615" s="71"/>
      <c r="AN615" s="71"/>
      <c r="AO615" s="71"/>
      <c r="AP615" s="71"/>
      <c r="AQ615" s="71"/>
      <c r="AR615" s="77"/>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c r="AA616" s="71"/>
      <c r="AB616" s="71"/>
      <c r="AC616" s="71"/>
      <c r="AD616" s="71"/>
      <c r="AE616" s="71"/>
      <c r="AF616" s="71"/>
      <c r="AG616" s="71"/>
      <c r="AH616" s="71"/>
      <c r="AI616" s="71"/>
      <c r="AJ616" s="71"/>
      <c r="AK616" s="71"/>
      <c r="AL616" s="71"/>
      <c r="AM616" s="71"/>
      <c r="AN616" s="71"/>
      <c r="AO616" s="71"/>
      <c r="AP616" s="71"/>
      <c r="AQ616" s="71"/>
      <c r="AR616" s="77"/>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c r="AA617" s="71"/>
      <c r="AB617" s="71"/>
      <c r="AC617" s="71"/>
      <c r="AD617" s="71"/>
      <c r="AE617" s="71"/>
      <c r="AF617" s="71"/>
      <c r="AG617" s="71"/>
      <c r="AH617" s="71"/>
      <c r="AI617" s="71"/>
      <c r="AJ617" s="71"/>
      <c r="AK617" s="71"/>
      <c r="AL617" s="71"/>
      <c r="AM617" s="71"/>
      <c r="AN617" s="71"/>
      <c r="AO617" s="71"/>
      <c r="AP617" s="71"/>
      <c r="AQ617" s="71"/>
      <c r="AR617" s="77"/>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c r="AA618" s="71"/>
      <c r="AB618" s="71"/>
      <c r="AC618" s="71"/>
      <c r="AD618" s="71"/>
      <c r="AE618" s="71"/>
      <c r="AF618" s="71"/>
      <c r="AG618" s="71"/>
      <c r="AH618" s="71"/>
      <c r="AI618" s="71"/>
      <c r="AJ618" s="71"/>
      <c r="AK618" s="71"/>
      <c r="AL618" s="71"/>
      <c r="AM618" s="71"/>
      <c r="AN618" s="71"/>
      <c r="AO618" s="71"/>
      <c r="AP618" s="71"/>
      <c r="AQ618" s="71"/>
      <c r="AR618" s="77"/>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c r="AA619" s="71"/>
      <c r="AB619" s="71"/>
      <c r="AC619" s="71"/>
      <c r="AD619" s="71"/>
      <c r="AE619" s="71"/>
      <c r="AF619" s="71"/>
      <c r="AG619" s="71"/>
      <c r="AH619" s="71"/>
      <c r="AI619" s="71"/>
      <c r="AJ619" s="71"/>
      <c r="AK619" s="71"/>
      <c r="AL619" s="71"/>
      <c r="AM619" s="71"/>
      <c r="AN619" s="71"/>
      <c r="AO619" s="71"/>
      <c r="AP619" s="71"/>
      <c r="AQ619" s="71"/>
      <c r="AR619" s="77"/>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c r="AA620" s="71"/>
      <c r="AB620" s="71"/>
      <c r="AC620" s="71"/>
      <c r="AD620" s="71"/>
      <c r="AE620" s="71"/>
      <c r="AF620" s="71"/>
      <c r="AG620" s="71"/>
      <c r="AH620" s="71"/>
      <c r="AI620" s="71"/>
      <c r="AJ620" s="71"/>
      <c r="AK620" s="71"/>
      <c r="AL620" s="71"/>
      <c r="AM620" s="71"/>
      <c r="AN620" s="71"/>
      <c r="AO620" s="71"/>
      <c r="AP620" s="71"/>
      <c r="AQ620" s="71"/>
      <c r="AR620" s="77"/>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c r="AA621" s="71"/>
      <c r="AB621" s="71"/>
      <c r="AC621" s="71"/>
      <c r="AD621" s="71"/>
      <c r="AE621" s="71"/>
      <c r="AF621" s="71"/>
      <c r="AG621" s="71"/>
      <c r="AH621" s="71"/>
      <c r="AI621" s="71"/>
      <c r="AJ621" s="71"/>
      <c r="AK621" s="71"/>
      <c r="AL621" s="71"/>
      <c r="AM621" s="71"/>
      <c r="AN621" s="71"/>
      <c r="AO621" s="71"/>
      <c r="AP621" s="71"/>
      <c r="AQ621" s="71"/>
      <c r="AR621" s="77"/>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c r="AA622" s="71"/>
      <c r="AB622" s="71"/>
      <c r="AC622" s="71"/>
      <c r="AD622" s="71"/>
      <c r="AE622" s="71"/>
      <c r="AF622" s="71"/>
      <c r="AG622" s="71"/>
      <c r="AH622" s="71"/>
      <c r="AI622" s="71"/>
      <c r="AJ622" s="71"/>
      <c r="AK622" s="71"/>
      <c r="AL622" s="71"/>
      <c r="AM622" s="71"/>
      <c r="AN622" s="71"/>
      <c r="AO622" s="71"/>
      <c r="AP622" s="71"/>
      <c r="AQ622" s="71"/>
      <c r="AR622" s="77"/>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c r="AA623" s="71"/>
      <c r="AB623" s="71"/>
      <c r="AC623" s="71"/>
      <c r="AD623" s="71"/>
      <c r="AE623" s="71"/>
      <c r="AF623" s="71"/>
      <c r="AG623" s="71"/>
      <c r="AH623" s="71"/>
      <c r="AI623" s="71"/>
      <c r="AJ623" s="71"/>
      <c r="AK623" s="71"/>
      <c r="AL623" s="71"/>
      <c r="AM623" s="71"/>
      <c r="AN623" s="71"/>
      <c r="AO623" s="71"/>
      <c r="AP623" s="71"/>
      <c r="AQ623" s="71"/>
      <c r="AR623" s="77"/>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c r="AA624" s="71"/>
      <c r="AB624" s="71"/>
      <c r="AC624" s="71"/>
      <c r="AD624" s="71"/>
      <c r="AE624" s="71"/>
      <c r="AF624" s="71"/>
      <c r="AG624" s="71"/>
      <c r="AH624" s="71"/>
      <c r="AI624" s="71"/>
      <c r="AJ624" s="71"/>
      <c r="AK624" s="71"/>
      <c r="AL624" s="71"/>
      <c r="AM624" s="71"/>
      <c r="AN624" s="71"/>
      <c r="AO624" s="71"/>
      <c r="AP624" s="71"/>
      <c r="AQ624" s="71"/>
      <c r="AR624" s="77"/>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c r="AA625" s="71"/>
      <c r="AB625" s="71"/>
      <c r="AC625" s="71"/>
      <c r="AD625" s="71"/>
      <c r="AE625" s="71"/>
      <c r="AF625" s="71"/>
      <c r="AG625" s="71"/>
      <c r="AH625" s="71"/>
      <c r="AI625" s="71"/>
      <c r="AJ625" s="71"/>
      <c r="AK625" s="71"/>
      <c r="AL625" s="71"/>
      <c r="AM625" s="71"/>
      <c r="AN625" s="71"/>
      <c r="AO625" s="71"/>
      <c r="AP625" s="71"/>
      <c r="AQ625" s="71"/>
      <c r="AR625" s="77"/>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c r="AA626" s="71"/>
      <c r="AB626" s="71"/>
      <c r="AC626" s="71"/>
      <c r="AD626" s="71"/>
      <c r="AE626" s="71"/>
      <c r="AF626" s="71"/>
      <c r="AG626" s="71"/>
      <c r="AH626" s="71"/>
      <c r="AI626" s="71"/>
      <c r="AJ626" s="71"/>
      <c r="AK626" s="71"/>
      <c r="AL626" s="71"/>
      <c r="AM626" s="71"/>
      <c r="AN626" s="71"/>
      <c r="AO626" s="71"/>
      <c r="AP626" s="71"/>
      <c r="AQ626" s="71"/>
      <c r="AR626" s="77"/>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c r="AA627" s="71"/>
      <c r="AB627" s="71"/>
      <c r="AC627" s="71"/>
      <c r="AD627" s="71"/>
      <c r="AE627" s="71"/>
      <c r="AF627" s="71"/>
      <c r="AG627" s="71"/>
      <c r="AH627" s="71"/>
      <c r="AI627" s="71"/>
      <c r="AJ627" s="71"/>
      <c r="AK627" s="71"/>
      <c r="AL627" s="71"/>
      <c r="AM627" s="71"/>
      <c r="AN627" s="71"/>
      <c r="AO627" s="71"/>
      <c r="AP627" s="71"/>
      <c r="AQ627" s="71"/>
      <c r="AR627" s="77"/>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c r="AA628" s="71"/>
      <c r="AB628" s="71"/>
      <c r="AC628" s="71"/>
      <c r="AD628" s="71"/>
      <c r="AE628" s="71"/>
      <c r="AF628" s="71"/>
      <c r="AG628" s="71"/>
      <c r="AH628" s="71"/>
      <c r="AI628" s="71"/>
      <c r="AJ628" s="71"/>
      <c r="AK628" s="71"/>
      <c r="AL628" s="71"/>
      <c r="AM628" s="71"/>
      <c r="AN628" s="71"/>
      <c r="AO628" s="71"/>
      <c r="AP628" s="71"/>
      <c r="AQ628" s="71"/>
      <c r="AR628" s="77"/>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c r="AA629" s="71"/>
      <c r="AB629" s="71"/>
      <c r="AC629" s="71"/>
      <c r="AD629" s="71"/>
      <c r="AE629" s="71"/>
      <c r="AF629" s="71"/>
      <c r="AG629" s="71"/>
      <c r="AH629" s="71"/>
      <c r="AI629" s="71"/>
      <c r="AJ629" s="71"/>
      <c r="AK629" s="71"/>
      <c r="AL629" s="71"/>
      <c r="AM629" s="71"/>
      <c r="AN629" s="71"/>
      <c r="AO629" s="71"/>
      <c r="AP629" s="71"/>
      <c r="AQ629" s="71"/>
      <c r="AR629" s="77"/>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c r="AA630" s="71"/>
      <c r="AB630" s="71"/>
      <c r="AC630" s="71"/>
      <c r="AD630" s="71"/>
      <c r="AE630" s="71"/>
      <c r="AF630" s="71"/>
      <c r="AG630" s="71"/>
      <c r="AH630" s="71"/>
      <c r="AI630" s="71"/>
      <c r="AJ630" s="71"/>
      <c r="AK630" s="71"/>
      <c r="AL630" s="71"/>
      <c r="AM630" s="71"/>
      <c r="AN630" s="71"/>
      <c r="AO630" s="71"/>
      <c r="AP630" s="71"/>
      <c r="AQ630" s="71"/>
      <c r="AR630" s="77"/>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c r="AA631" s="71"/>
      <c r="AB631" s="71"/>
      <c r="AC631" s="71"/>
      <c r="AD631" s="71"/>
      <c r="AE631" s="71"/>
      <c r="AF631" s="71"/>
      <c r="AG631" s="71"/>
      <c r="AH631" s="71"/>
      <c r="AI631" s="71"/>
      <c r="AJ631" s="71"/>
      <c r="AK631" s="71"/>
      <c r="AL631" s="71"/>
      <c r="AM631" s="71"/>
      <c r="AN631" s="71"/>
      <c r="AO631" s="71"/>
      <c r="AP631" s="71"/>
      <c r="AQ631" s="71"/>
      <c r="AR631" s="77"/>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c r="AA632" s="71"/>
      <c r="AB632" s="71"/>
      <c r="AC632" s="71"/>
      <c r="AD632" s="71"/>
      <c r="AE632" s="71"/>
      <c r="AF632" s="71"/>
      <c r="AG632" s="71"/>
      <c r="AH632" s="71"/>
      <c r="AI632" s="71"/>
      <c r="AJ632" s="71"/>
      <c r="AK632" s="71"/>
      <c r="AL632" s="71"/>
      <c r="AM632" s="71"/>
      <c r="AN632" s="71"/>
      <c r="AO632" s="71"/>
      <c r="AP632" s="71"/>
      <c r="AQ632" s="71"/>
      <c r="AR632" s="77"/>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c r="AA633" s="71"/>
      <c r="AB633" s="71"/>
      <c r="AC633" s="71"/>
      <c r="AD633" s="71"/>
      <c r="AE633" s="71"/>
      <c r="AF633" s="71"/>
      <c r="AG633" s="71"/>
      <c r="AH633" s="71"/>
      <c r="AI633" s="71"/>
      <c r="AJ633" s="71"/>
      <c r="AK633" s="71"/>
      <c r="AL633" s="71"/>
      <c r="AM633" s="71"/>
      <c r="AN633" s="71"/>
      <c r="AO633" s="71"/>
      <c r="AP633" s="71"/>
      <c r="AQ633" s="71"/>
      <c r="AR633" s="77"/>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c r="AA634" s="71"/>
      <c r="AB634" s="71"/>
      <c r="AC634" s="71"/>
      <c r="AD634" s="71"/>
      <c r="AE634" s="71"/>
      <c r="AF634" s="71"/>
      <c r="AG634" s="71"/>
      <c r="AH634" s="71"/>
      <c r="AI634" s="71"/>
      <c r="AJ634" s="71"/>
      <c r="AK634" s="71"/>
      <c r="AL634" s="71"/>
      <c r="AM634" s="71"/>
      <c r="AN634" s="71"/>
      <c r="AO634" s="71"/>
      <c r="AP634" s="71"/>
      <c r="AQ634" s="71"/>
      <c r="AR634" s="77"/>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c r="AA635" s="71"/>
      <c r="AB635" s="71"/>
      <c r="AC635" s="71"/>
      <c r="AD635" s="71"/>
      <c r="AE635" s="71"/>
      <c r="AF635" s="71"/>
      <c r="AG635" s="71"/>
      <c r="AH635" s="71"/>
      <c r="AI635" s="71"/>
      <c r="AJ635" s="71"/>
      <c r="AK635" s="71"/>
      <c r="AL635" s="71"/>
      <c r="AM635" s="71"/>
      <c r="AN635" s="71"/>
      <c r="AO635" s="71"/>
      <c r="AP635" s="71"/>
      <c r="AQ635" s="71"/>
      <c r="AR635" s="77"/>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c r="AA636" s="71"/>
      <c r="AB636" s="71"/>
      <c r="AC636" s="71"/>
      <c r="AD636" s="71"/>
      <c r="AE636" s="71"/>
      <c r="AF636" s="71"/>
      <c r="AG636" s="71"/>
      <c r="AH636" s="71"/>
      <c r="AI636" s="71"/>
      <c r="AJ636" s="71"/>
      <c r="AK636" s="71"/>
      <c r="AL636" s="71"/>
      <c r="AM636" s="71"/>
      <c r="AN636" s="71"/>
      <c r="AO636" s="71"/>
      <c r="AP636" s="71"/>
      <c r="AQ636" s="71"/>
      <c r="AR636" s="77"/>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c r="AA637" s="71"/>
      <c r="AB637" s="71"/>
      <c r="AC637" s="71"/>
      <c r="AD637" s="71"/>
      <c r="AE637" s="71"/>
      <c r="AF637" s="71"/>
      <c r="AG637" s="71"/>
      <c r="AH637" s="71"/>
      <c r="AI637" s="71"/>
      <c r="AJ637" s="71"/>
      <c r="AK637" s="71"/>
      <c r="AL637" s="71"/>
      <c r="AM637" s="71"/>
      <c r="AN637" s="71"/>
      <c r="AO637" s="71"/>
      <c r="AP637" s="71"/>
      <c r="AQ637" s="71"/>
      <c r="AR637" s="77"/>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c r="AA638" s="71"/>
      <c r="AB638" s="71"/>
      <c r="AC638" s="71"/>
      <c r="AD638" s="71"/>
      <c r="AE638" s="71"/>
      <c r="AF638" s="71"/>
      <c r="AG638" s="71"/>
      <c r="AH638" s="71"/>
      <c r="AI638" s="71"/>
      <c r="AJ638" s="71"/>
      <c r="AK638" s="71"/>
      <c r="AL638" s="71"/>
      <c r="AM638" s="71"/>
      <c r="AN638" s="71"/>
      <c r="AO638" s="71"/>
      <c r="AP638" s="71"/>
      <c r="AQ638" s="71"/>
      <c r="AR638" s="77"/>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c r="AA639" s="71"/>
      <c r="AB639" s="71"/>
      <c r="AC639" s="71"/>
      <c r="AD639" s="71"/>
      <c r="AE639" s="71"/>
      <c r="AF639" s="71"/>
      <c r="AG639" s="71"/>
      <c r="AH639" s="71"/>
      <c r="AI639" s="71"/>
      <c r="AJ639" s="71"/>
      <c r="AK639" s="71"/>
      <c r="AL639" s="71"/>
      <c r="AM639" s="71"/>
      <c r="AN639" s="71"/>
      <c r="AO639" s="71"/>
      <c r="AP639" s="71"/>
      <c r="AQ639" s="71"/>
      <c r="AR639" s="77"/>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c r="AA640" s="71"/>
      <c r="AB640" s="71"/>
      <c r="AC640" s="71"/>
      <c r="AD640" s="71"/>
      <c r="AE640" s="71"/>
      <c r="AF640" s="71"/>
      <c r="AG640" s="71"/>
      <c r="AH640" s="71"/>
      <c r="AI640" s="71"/>
      <c r="AJ640" s="71"/>
      <c r="AK640" s="71"/>
      <c r="AL640" s="71"/>
      <c r="AM640" s="71"/>
      <c r="AN640" s="71"/>
      <c r="AO640" s="71"/>
      <c r="AP640" s="71"/>
      <c r="AQ640" s="71"/>
      <c r="AR640" s="77"/>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c r="AA641" s="71"/>
      <c r="AB641" s="71"/>
      <c r="AC641" s="71"/>
      <c r="AD641" s="71"/>
      <c r="AE641" s="71"/>
      <c r="AF641" s="71"/>
      <c r="AG641" s="71"/>
      <c r="AH641" s="71"/>
      <c r="AI641" s="71"/>
      <c r="AJ641" s="71"/>
      <c r="AK641" s="71"/>
      <c r="AL641" s="71"/>
      <c r="AM641" s="71"/>
      <c r="AN641" s="71"/>
      <c r="AO641" s="71"/>
      <c r="AP641" s="71"/>
      <c r="AQ641" s="71"/>
      <c r="AR641" s="77"/>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c r="AA642" s="71"/>
      <c r="AB642" s="71"/>
      <c r="AC642" s="71"/>
      <c r="AD642" s="71"/>
      <c r="AE642" s="71"/>
      <c r="AF642" s="71"/>
      <c r="AG642" s="71"/>
      <c r="AH642" s="71"/>
      <c r="AI642" s="71"/>
      <c r="AJ642" s="71"/>
      <c r="AK642" s="71"/>
      <c r="AL642" s="71"/>
      <c r="AM642" s="71"/>
      <c r="AN642" s="71"/>
      <c r="AO642" s="71"/>
      <c r="AP642" s="71"/>
      <c r="AQ642" s="71"/>
      <c r="AR642" s="77"/>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c r="AA643" s="71"/>
      <c r="AB643" s="71"/>
      <c r="AC643" s="71"/>
      <c r="AD643" s="71"/>
      <c r="AE643" s="71"/>
      <c r="AF643" s="71"/>
      <c r="AG643" s="71"/>
      <c r="AH643" s="71"/>
      <c r="AI643" s="71"/>
      <c r="AJ643" s="71"/>
      <c r="AK643" s="71"/>
      <c r="AL643" s="71"/>
      <c r="AM643" s="71"/>
      <c r="AN643" s="71"/>
      <c r="AO643" s="71"/>
      <c r="AP643" s="71"/>
      <c r="AQ643" s="71"/>
      <c r="AR643" s="77"/>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c r="AA644" s="71"/>
      <c r="AB644" s="71"/>
      <c r="AC644" s="71"/>
      <c r="AD644" s="71"/>
      <c r="AE644" s="71"/>
      <c r="AF644" s="71"/>
      <c r="AG644" s="71"/>
      <c r="AH644" s="71"/>
      <c r="AI644" s="71"/>
      <c r="AJ644" s="71"/>
      <c r="AK644" s="71"/>
      <c r="AL644" s="71"/>
      <c r="AM644" s="71"/>
      <c r="AN644" s="71"/>
      <c r="AO644" s="71"/>
      <c r="AP644" s="71"/>
      <c r="AQ644" s="71"/>
      <c r="AR644" s="77"/>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c r="AA645" s="71"/>
      <c r="AB645" s="71"/>
      <c r="AC645" s="71"/>
      <c r="AD645" s="71"/>
      <c r="AE645" s="71"/>
      <c r="AF645" s="71"/>
      <c r="AG645" s="71"/>
      <c r="AH645" s="71"/>
      <c r="AI645" s="71"/>
      <c r="AJ645" s="71"/>
      <c r="AK645" s="71"/>
      <c r="AL645" s="71"/>
      <c r="AM645" s="71"/>
      <c r="AN645" s="71"/>
      <c r="AO645" s="71"/>
      <c r="AP645" s="71"/>
      <c r="AQ645" s="71"/>
      <c r="AR645" s="77"/>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c r="AA646" s="71"/>
      <c r="AB646" s="71"/>
      <c r="AC646" s="71"/>
      <c r="AD646" s="71"/>
      <c r="AE646" s="71"/>
      <c r="AF646" s="71"/>
      <c r="AG646" s="71"/>
      <c r="AH646" s="71"/>
      <c r="AI646" s="71"/>
      <c r="AJ646" s="71"/>
      <c r="AK646" s="71"/>
      <c r="AL646" s="71"/>
      <c r="AM646" s="71"/>
      <c r="AN646" s="71"/>
      <c r="AO646" s="71"/>
      <c r="AP646" s="71"/>
      <c r="AQ646" s="71"/>
      <c r="AR646" s="77"/>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c r="AA647" s="71"/>
      <c r="AB647" s="71"/>
      <c r="AC647" s="71"/>
      <c r="AD647" s="71"/>
      <c r="AE647" s="71"/>
      <c r="AF647" s="71"/>
      <c r="AG647" s="71"/>
      <c r="AH647" s="71"/>
      <c r="AI647" s="71"/>
      <c r="AJ647" s="71"/>
      <c r="AK647" s="71"/>
      <c r="AL647" s="71"/>
      <c r="AM647" s="71"/>
      <c r="AN647" s="71"/>
      <c r="AO647" s="71"/>
      <c r="AP647" s="71"/>
      <c r="AQ647" s="71"/>
      <c r="AR647" s="77"/>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c r="AA648" s="71"/>
      <c r="AB648" s="71"/>
      <c r="AC648" s="71"/>
      <c r="AD648" s="71"/>
      <c r="AE648" s="71"/>
      <c r="AF648" s="71"/>
      <c r="AG648" s="71"/>
      <c r="AH648" s="71"/>
      <c r="AI648" s="71"/>
      <c r="AJ648" s="71"/>
      <c r="AK648" s="71"/>
      <c r="AL648" s="71"/>
      <c r="AM648" s="71"/>
      <c r="AN648" s="71"/>
      <c r="AO648" s="71"/>
      <c r="AP648" s="71"/>
      <c r="AQ648" s="71"/>
      <c r="AR648" s="77"/>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c r="AA649" s="71"/>
      <c r="AB649" s="71"/>
      <c r="AC649" s="71"/>
      <c r="AD649" s="71"/>
      <c r="AE649" s="71"/>
      <c r="AF649" s="71"/>
      <c r="AG649" s="71"/>
      <c r="AH649" s="71"/>
      <c r="AI649" s="71"/>
      <c r="AJ649" s="71"/>
      <c r="AK649" s="71"/>
      <c r="AL649" s="71"/>
      <c r="AM649" s="71"/>
      <c r="AN649" s="71"/>
      <c r="AO649" s="71"/>
      <c r="AP649" s="71"/>
      <c r="AQ649" s="71"/>
      <c r="AR649" s="77"/>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c r="AA650" s="71"/>
      <c r="AB650" s="71"/>
      <c r="AC650" s="71"/>
      <c r="AD650" s="71"/>
      <c r="AE650" s="71"/>
      <c r="AF650" s="71"/>
      <c r="AG650" s="71"/>
      <c r="AH650" s="71"/>
      <c r="AI650" s="71"/>
      <c r="AJ650" s="71"/>
      <c r="AK650" s="71"/>
      <c r="AL650" s="71"/>
      <c r="AM650" s="71"/>
      <c r="AN650" s="71"/>
      <c r="AO650" s="71"/>
      <c r="AP650" s="71"/>
      <c r="AQ650" s="71"/>
      <c r="AR650" s="77"/>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c r="AA651" s="71"/>
      <c r="AB651" s="71"/>
      <c r="AC651" s="71"/>
      <c r="AD651" s="71"/>
      <c r="AE651" s="71"/>
      <c r="AF651" s="71"/>
      <c r="AG651" s="71"/>
      <c r="AH651" s="71"/>
      <c r="AI651" s="71"/>
      <c r="AJ651" s="71"/>
      <c r="AK651" s="71"/>
      <c r="AL651" s="71"/>
      <c r="AM651" s="71"/>
      <c r="AN651" s="71"/>
      <c r="AO651" s="71"/>
      <c r="AP651" s="71"/>
      <c r="AQ651" s="71"/>
      <c r="AR651" s="77"/>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c r="AA652" s="71"/>
      <c r="AB652" s="71"/>
      <c r="AC652" s="71"/>
      <c r="AD652" s="71"/>
      <c r="AE652" s="71"/>
      <c r="AF652" s="71"/>
      <c r="AG652" s="71"/>
      <c r="AH652" s="71"/>
      <c r="AI652" s="71"/>
      <c r="AJ652" s="71"/>
      <c r="AK652" s="71"/>
      <c r="AL652" s="71"/>
      <c r="AM652" s="71"/>
      <c r="AN652" s="71"/>
      <c r="AO652" s="71"/>
      <c r="AP652" s="71"/>
      <c r="AQ652" s="71"/>
      <c r="AR652" s="77"/>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c r="AA653" s="71"/>
      <c r="AB653" s="71"/>
      <c r="AC653" s="71"/>
      <c r="AD653" s="71"/>
      <c r="AE653" s="71"/>
      <c r="AF653" s="71"/>
      <c r="AG653" s="71"/>
      <c r="AH653" s="71"/>
      <c r="AI653" s="71"/>
      <c r="AJ653" s="71"/>
      <c r="AK653" s="71"/>
      <c r="AL653" s="71"/>
      <c r="AM653" s="71"/>
      <c r="AN653" s="71"/>
      <c r="AO653" s="71"/>
      <c r="AP653" s="71"/>
      <c r="AQ653" s="71"/>
      <c r="AR653" s="77"/>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c r="AA654" s="71"/>
      <c r="AB654" s="71"/>
      <c r="AC654" s="71"/>
      <c r="AD654" s="71"/>
      <c r="AE654" s="71"/>
      <c r="AF654" s="71"/>
      <c r="AG654" s="71"/>
      <c r="AH654" s="71"/>
      <c r="AI654" s="71"/>
      <c r="AJ654" s="71"/>
      <c r="AK654" s="71"/>
      <c r="AL654" s="71"/>
      <c r="AM654" s="71"/>
      <c r="AN654" s="71"/>
      <c r="AO654" s="71"/>
      <c r="AP654" s="71"/>
      <c r="AQ654" s="71"/>
      <c r="AR654" s="77"/>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c r="AA655" s="71"/>
      <c r="AB655" s="71"/>
      <c r="AC655" s="71"/>
      <c r="AD655" s="71"/>
      <c r="AE655" s="71"/>
      <c r="AF655" s="71"/>
      <c r="AG655" s="71"/>
      <c r="AH655" s="71"/>
      <c r="AI655" s="71"/>
      <c r="AJ655" s="71"/>
      <c r="AK655" s="71"/>
      <c r="AL655" s="71"/>
      <c r="AM655" s="71"/>
      <c r="AN655" s="71"/>
      <c r="AO655" s="71"/>
      <c r="AP655" s="71"/>
      <c r="AQ655" s="71"/>
      <c r="AR655" s="77"/>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c r="AA656" s="71"/>
      <c r="AB656" s="71"/>
      <c r="AC656" s="71"/>
      <c r="AD656" s="71"/>
      <c r="AE656" s="71"/>
      <c r="AF656" s="71"/>
      <c r="AG656" s="71"/>
      <c r="AH656" s="71"/>
      <c r="AI656" s="71"/>
      <c r="AJ656" s="71"/>
      <c r="AK656" s="71"/>
      <c r="AL656" s="71"/>
      <c r="AM656" s="71"/>
      <c r="AN656" s="71"/>
      <c r="AO656" s="71"/>
      <c r="AP656" s="71"/>
      <c r="AQ656" s="71"/>
      <c r="AR656" s="77"/>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c r="AA657" s="71"/>
      <c r="AB657" s="71"/>
      <c r="AC657" s="71"/>
      <c r="AD657" s="71"/>
      <c r="AE657" s="71"/>
      <c r="AF657" s="71"/>
      <c r="AG657" s="71"/>
      <c r="AH657" s="71"/>
      <c r="AI657" s="71"/>
      <c r="AJ657" s="71"/>
      <c r="AK657" s="71"/>
      <c r="AL657" s="71"/>
      <c r="AM657" s="71"/>
      <c r="AN657" s="71"/>
      <c r="AO657" s="71"/>
      <c r="AP657" s="71"/>
      <c r="AQ657" s="71"/>
      <c r="AR657" s="77"/>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c r="AA658" s="71"/>
      <c r="AB658" s="71"/>
      <c r="AC658" s="71"/>
      <c r="AD658" s="71"/>
      <c r="AE658" s="71"/>
      <c r="AF658" s="71"/>
      <c r="AG658" s="71"/>
      <c r="AH658" s="71"/>
      <c r="AI658" s="71"/>
      <c r="AJ658" s="71"/>
      <c r="AK658" s="71"/>
      <c r="AL658" s="71"/>
      <c r="AM658" s="71"/>
      <c r="AN658" s="71"/>
      <c r="AO658" s="71"/>
      <c r="AP658" s="71"/>
      <c r="AQ658" s="71"/>
      <c r="AR658" s="77"/>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c r="AA659" s="71"/>
      <c r="AB659" s="71"/>
      <c r="AC659" s="71"/>
      <c r="AD659" s="71"/>
      <c r="AE659" s="71"/>
      <c r="AF659" s="71"/>
      <c r="AG659" s="71"/>
      <c r="AH659" s="71"/>
      <c r="AI659" s="71"/>
      <c r="AJ659" s="71"/>
      <c r="AK659" s="71"/>
      <c r="AL659" s="71"/>
      <c r="AM659" s="71"/>
      <c r="AN659" s="71"/>
      <c r="AO659" s="71"/>
      <c r="AP659" s="71"/>
      <c r="AQ659" s="71"/>
      <c r="AR659" s="77"/>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c r="AA660" s="71"/>
      <c r="AB660" s="71"/>
      <c r="AC660" s="71"/>
      <c r="AD660" s="71"/>
      <c r="AE660" s="71"/>
      <c r="AF660" s="71"/>
      <c r="AG660" s="71"/>
      <c r="AH660" s="71"/>
      <c r="AI660" s="71"/>
      <c r="AJ660" s="71"/>
      <c r="AK660" s="71"/>
      <c r="AL660" s="71"/>
      <c r="AM660" s="71"/>
      <c r="AN660" s="71"/>
      <c r="AO660" s="71"/>
      <c r="AP660" s="71"/>
      <c r="AQ660" s="71"/>
      <c r="AR660" s="77"/>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c r="AA661" s="71"/>
      <c r="AB661" s="71"/>
      <c r="AC661" s="71"/>
      <c r="AD661" s="71"/>
      <c r="AE661" s="71"/>
      <c r="AF661" s="71"/>
      <c r="AG661" s="71"/>
      <c r="AH661" s="71"/>
      <c r="AI661" s="71"/>
      <c r="AJ661" s="71"/>
      <c r="AK661" s="71"/>
      <c r="AL661" s="71"/>
      <c r="AM661" s="71"/>
      <c r="AN661" s="71"/>
      <c r="AO661" s="71"/>
      <c r="AP661" s="71"/>
      <c r="AQ661" s="71"/>
      <c r="AR661" s="77"/>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c r="AA662" s="71"/>
      <c r="AB662" s="71"/>
      <c r="AC662" s="71"/>
      <c r="AD662" s="71"/>
      <c r="AE662" s="71"/>
      <c r="AF662" s="71"/>
      <c r="AG662" s="71"/>
      <c r="AH662" s="71"/>
      <c r="AI662" s="71"/>
      <c r="AJ662" s="71"/>
      <c r="AK662" s="71"/>
      <c r="AL662" s="71"/>
      <c r="AM662" s="71"/>
      <c r="AN662" s="71"/>
      <c r="AO662" s="71"/>
      <c r="AP662" s="71"/>
      <c r="AQ662" s="71"/>
      <c r="AR662" s="77"/>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c r="AA663" s="71"/>
      <c r="AB663" s="71"/>
      <c r="AC663" s="71"/>
      <c r="AD663" s="71"/>
      <c r="AE663" s="71"/>
      <c r="AF663" s="71"/>
      <c r="AG663" s="71"/>
      <c r="AH663" s="71"/>
      <c r="AI663" s="71"/>
      <c r="AJ663" s="71"/>
      <c r="AK663" s="71"/>
      <c r="AL663" s="71"/>
      <c r="AM663" s="71"/>
      <c r="AN663" s="71"/>
      <c r="AO663" s="71"/>
      <c r="AP663" s="71"/>
      <c r="AQ663" s="71"/>
      <c r="AR663" s="77"/>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c r="AA664" s="71"/>
      <c r="AB664" s="71"/>
      <c r="AC664" s="71"/>
      <c r="AD664" s="71"/>
      <c r="AE664" s="71"/>
      <c r="AF664" s="71"/>
      <c r="AG664" s="71"/>
      <c r="AH664" s="71"/>
      <c r="AI664" s="71"/>
      <c r="AJ664" s="71"/>
      <c r="AK664" s="71"/>
      <c r="AL664" s="71"/>
      <c r="AM664" s="71"/>
      <c r="AN664" s="71"/>
      <c r="AO664" s="71"/>
      <c r="AP664" s="71"/>
      <c r="AQ664" s="71"/>
      <c r="AR664" s="77"/>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c r="AA665" s="71"/>
      <c r="AB665" s="71"/>
      <c r="AC665" s="71"/>
      <c r="AD665" s="71"/>
      <c r="AE665" s="71"/>
      <c r="AF665" s="71"/>
      <c r="AG665" s="71"/>
      <c r="AH665" s="71"/>
      <c r="AI665" s="71"/>
      <c r="AJ665" s="71"/>
      <c r="AK665" s="71"/>
      <c r="AL665" s="71"/>
      <c r="AM665" s="71"/>
      <c r="AN665" s="71"/>
      <c r="AO665" s="71"/>
      <c r="AP665" s="71"/>
      <c r="AQ665" s="71"/>
      <c r="AR665" s="77"/>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c r="AA666" s="71"/>
      <c r="AB666" s="71"/>
      <c r="AC666" s="71"/>
      <c r="AD666" s="71"/>
      <c r="AE666" s="71"/>
      <c r="AF666" s="71"/>
      <c r="AG666" s="71"/>
      <c r="AH666" s="71"/>
      <c r="AI666" s="71"/>
      <c r="AJ666" s="71"/>
      <c r="AK666" s="71"/>
      <c r="AL666" s="71"/>
      <c r="AM666" s="71"/>
      <c r="AN666" s="71"/>
      <c r="AO666" s="71"/>
      <c r="AP666" s="71"/>
      <c r="AQ666" s="71"/>
      <c r="AR666" s="77"/>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c r="AA667" s="71"/>
      <c r="AB667" s="71"/>
      <c r="AC667" s="71"/>
      <c r="AD667" s="71"/>
      <c r="AE667" s="71"/>
      <c r="AF667" s="71"/>
      <c r="AG667" s="71"/>
      <c r="AH667" s="71"/>
      <c r="AI667" s="71"/>
      <c r="AJ667" s="71"/>
      <c r="AK667" s="71"/>
      <c r="AL667" s="71"/>
      <c r="AM667" s="71"/>
      <c r="AN667" s="71"/>
      <c r="AO667" s="71"/>
      <c r="AP667" s="71"/>
      <c r="AQ667" s="71"/>
      <c r="AR667" s="77"/>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c r="AA668" s="71"/>
      <c r="AB668" s="71"/>
      <c r="AC668" s="71"/>
      <c r="AD668" s="71"/>
      <c r="AE668" s="71"/>
      <c r="AF668" s="71"/>
      <c r="AG668" s="71"/>
      <c r="AH668" s="71"/>
      <c r="AI668" s="71"/>
      <c r="AJ668" s="71"/>
      <c r="AK668" s="71"/>
      <c r="AL668" s="71"/>
      <c r="AM668" s="71"/>
      <c r="AN668" s="71"/>
      <c r="AO668" s="71"/>
      <c r="AP668" s="71"/>
      <c r="AQ668" s="71"/>
      <c r="AR668" s="77"/>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c r="AA669" s="71"/>
      <c r="AB669" s="71"/>
      <c r="AC669" s="71"/>
      <c r="AD669" s="71"/>
      <c r="AE669" s="71"/>
      <c r="AF669" s="71"/>
      <c r="AG669" s="71"/>
      <c r="AH669" s="71"/>
      <c r="AI669" s="71"/>
      <c r="AJ669" s="71"/>
      <c r="AK669" s="71"/>
      <c r="AL669" s="71"/>
      <c r="AM669" s="71"/>
      <c r="AN669" s="71"/>
      <c r="AO669" s="71"/>
      <c r="AP669" s="71"/>
      <c r="AQ669" s="71"/>
      <c r="AR669" s="77"/>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c r="AA670" s="71"/>
      <c r="AB670" s="71"/>
      <c r="AC670" s="71"/>
      <c r="AD670" s="71"/>
      <c r="AE670" s="71"/>
      <c r="AF670" s="71"/>
      <c r="AG670" s="71"/>
      <c r="AH670" s="71"/>
      <c r="AI670" s="71"/>
      <c r="AJ670" s="71"/>
      <c r="AK670" s="71"/>
      <c r="AL670" s="71"/>
      <c r="AM670" s="71"/>
      <c r="AN670" s="71"/>
      <c r="AO670" s="71"/>
      <c r="AP670" s="71"/>
      <c r="AQ670" s="71"/>
      <c r="AR670" s="77"/>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c r="AA671" s="71"/>
      <c r="AB671" s="71"/>
      <c r="AC671" s="71"/>
      <c r="AD671" s="71"/>
      <c r="AE671" s="71"/>
      <c r="AF671" s="71"/>
      <c r="AG671" s="71"/>
      <c r="AH671" s="71"/>
      <c r="AI671" s="71"/>
      <c r="AJ671" s="71"/>
      <c r="AK671" s="71"/>
      <c r="AL671" s="71"/>
      <c r="AM671" s="71"/>
      <c r="AN671" s="71"/>
      <c r="AO671" s="71"/>
      <c r="AP671" s="71"/>
      <c r="AQ671" s="71"/>
      <c r="AR671" s="77"/>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c r="AA672" s="71"/>
      <c r="AB672" s="71"/>
      <c r="AC672" s="71"/>
      <c r="AD672" s="71"/>
      <c r="AE672" s="71"/>
      <c r="AF672" s="71"/>
      <c r="AG672" s="71"/>
      <c r="AH672" s="71"/>
      <c r="AI672" s="71"/>
      <c r="AJ672" s="71"/>
      <c r="AK672" s="71"/>
      <c r="AL672" s="71"/>
      <c r="AM672" s="71"/>
      <c r="AN672" s="71"/>
      <c r="AO672" s="71"/>
      <c r="AP672" s="71"/>
      <c r="AQ672" s="71"/>
      <c r="AR672" s="77"/>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c r="AA673" s="71"/>
      <c r="AB673" s="71"/>
      <c r="AC673" s="71"/>
      <c r="AD673" s="71"/>
      <c r="AE673" s="71"/>
      <c r="AF673" s="71"/>
      <c r="AG673" s="71"/>
      <c r="AH673" s="71"/>
      <c r="AI673" s="71"/>
      <c r="AJ673" s="71"/>
      <c r="AK673" s="71"/>
      <c r="AL673" s="71"/>
      <c r="AM673" s="71"/>
      <c r="AN673" s="71"/>
      <c r="AO673" s="71"/>
      <c r="AP673" s="71"/>
      <c r="AQ673" s="71"/>
      <c r="AR673" s="77"/>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c r="AA674" s="71"/>
      <c r="AB674" s="71"/>
      <c r="AC674" s="71"/>
      <c r="AD674" s="71"/>
      <c r="AE674" s="71"/>
      <c r="AF674" s="71"/>
      <c r="AG674" s="71"/>
      <c r="AH674" s="71"/>
      <c r="AI674" s="71"/>
      <c r="AJ674" s="71"/>
      <c r="AK674" s="71"/>
      <c r="AL674" s="71"/>
      <c r="AM674" s="71"/>
      <c r="AN674" s="71"/>
      <c r="AO674" s="71"/>
      <c r="AP674" s="71"/>
      <c r="AQ674" s="71"/>
      <c r="AR674" s="77"/>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c r="AA675" s="71"/>
      <c r="AB675" s="71"/>
      <c r="AC675" s="71"/>
      <c r="AD675" s="71"/>
      <c r="AE675" s="71"/>
      <c r="AF675" s="71"/>
      <c r="AG675" s="71"/>
      <c r="AH675" s="71"/>
      <c r="AI675" s="71"/>
      <c r="AJ675" s="71"/>
      <c r="AK675" s="71"/>
      <c r="AL675" s="71"/>
      <c r="AM675" s="71"/>
      <c r="AN675" s="71"/>
      <c r="AO675" s="71"/>
      <c r="AP675" s="71"/>
      <c r="AQ675" s="71"/>
      <c r="AR675" s="77"/>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c r="AA676" s="71"/>
      <c r="AB676" s="71"/>
      <c r="AC676" s="71"/>
      <c r="AD676" s="71"/>
      <c r="AE676" s="71"/>
      <c r="AF676" s="71"/>
      <c r="AG676" s="71"/>
      <c r="AH676" s="71"/>
      <c r="AI676" s="71"/>
      <c r="AJ676" s="71"/>
      <c r="AK676" s="71"/>
      <c r="AL676" s="71"/>
      <c r="AM676" s="71"/>
      <c r="AN676" s="71"/>
      <c r="AO676" s="71"/>
      <c r="AP676" s="71"/>
      <c r="AQ676" s="71"/>
      <c r="AR676" s="77"/>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c r="AA677" s="71"/>
      <c r="AB677" s="71"/>
      <c r="AC677" s="71"/>
      <c r="AD677" s="71"/>
      <c r="AE677" s="71"/>
      <c r="AF677" s="71"/>
      <c r="AG677" s="71"/>
      <c r="AH677" s="71"/>
      <c r="AI677" s="71"/>
      <c r="AJ677" s="71"/>
      <c r="AK677" s="71"/>
      <c r="AL677" s="71"/>
      <c r="AM677" s="71"/>
      <c r="AN677" s="71"/>
      <c r="AO677" s="71"/>
      <c r="AP677" s="71"/>
      <c r="AQ677" s="71"/>
      <c r="AR677" s="77"/>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c r="AA678" s="71"/>
      <c r="AB678" s="71"/>
      <c r="AC678" s="71"/>
      <c r="AD678" s="71"/>
      <c r="AE678" s="71"/>
      <c r="AF678" s="71"/>
      <c r="AG678" s="71"/>
      <c r="AH678" s="71"/>
      <c r="AI678" s="71"/>
      <c r="AJ678" s="71"/>
      <c r="AK678" s="71"/>
      <c r="AL678" s="71"/>
      <c r="AM678" s="71"/>
      <c r="AN678" s="71"/>
      <c r="AO678" s="71"/>
      <c r="AP678" s="71"/>
      <c r="AQ678" s="71"/>
      <c r="AR678" s="77"/>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c r="AA679" s="71"/>
      <c r="AB679" s="71"/>
      <c r="AC679" s="71"/>
      <c r="AD679" s="71"/>
      <c r="AE679" s="71"/>
      <c r="AF679" s="71"/>
      <c r="AG679" s="71"/>
      <c r="AH679" s="71"/>
      <c r="AI679" s="71"/>
      <c r="AJ679" s="71"/>
      <c r="AK679" s="71"/>
      <c r="AL679" s="71"/>
      <c r="AM679" s="71"/>
      <c r="AN679" s="71"/>
      <c r="AO679" s="71"/>
      <c r="AP679" s="71"/>
      <c r="AQ679" s="71"/>
      <c r="AR679" s="77"/>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c r="AA680" s="71"/>
      <c r="AB680" s="71"/>
      <c r="AC680" s="71"/>
      <c r="AD680" s="71"/>
      <c r="AE680" s="71"/>
      <c r="AF680" s="71"/>
      <c r="AG680" s="71"/>
      <c r="AH680" s="71"/>
      <c r="AI680" s="71"/>
      <c r="AJ680" s="71"/>
      <c r="AK680" s="71"/>
      <c r="AL680" s="71"/>
      <c r="AM680" s="71"/>
      <c r="AN680" s="71"/>
      <c r="AO680" s="71"/>
      <c r="AP680" s="71"/>
      <c r="AQ680" s="71"/>
      <c r="AR680" s="77"/>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c r="AA681" s="71"/>
      <c r="AB681" s="71"/>
      <c r="AC681" s="71"/>
      <c r="AD681" s="71"/>
      <c r="AE681" s="71"/>
      <c r="AF681" s="71"/>
      <c r="AG681" s="71"/>
      <c r="AH681" s="71"/>
      <c r="AI681" s="71"/>
      <c r="AJ681" s="71"/>
      <c r="AK681" s="71"/>
      <c r="AL681" s="71"/>
      <c r="AM681" s="71"/>
      <c r="AN681" s="71"/>
      <c r="AO681" s="71"/>
      <c r="AP681" s="71"/>
      <c r="AQ681" s="71"/>
      <c r="AR681" s="77"/>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c r="AA682" s="71"/>
      <c r="AB682" s="71"/>
      <c r="AC682" s="71"/>
      <c r="AD682" s="71"/>
      <c r="AE682" s="71"/>
      <c r="AF682" s="71"/>
      <c r="AG682" s="71"/>
      <c r="AH682" s="71"/>
      <c r="AI682" s="71"/>
      <c r="AJ682" s="71"/>
      <c r="AK682" s="71"/>
      <c r="AL682" s="71"/>
      <c r="AM682" s="71"/>
      <c r="AN682" s="71"/>
      <c r="AO682" s="71"/>
      <c r="AP682" s="71"/>
      <c r="AQ682" s="71"/>
      <c r="AR682" s="77"/>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c r="AA683" s="71"/>
      <c r="AB683" s="71"/>
      <c r="AC683" s="71"/>
      <c r="AD683" s="71"/>
      <c r="AE683" s="71"/>
      <c r="AF683" s="71"/>
      <c r="AG683" s="71"/>
      <c r="AH683" s="71"/>
      <c r="AI683" s="71"/>
      <c r="AJ683" s="71"/>
      <c r="AK683" s="71"/>
      <c r="AL683" s="71"/>
      <c r="AM683" s="71"/>
      <c r="AN683" s="71"/>
      <c r="AO683" s="71"/>
      <c r="AP683" s="71"/>
      <c r="AQ683" s="71"/>
      <c r="AR683" s="77"/>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c r="AA684" s="71"/>
      <c r="AB684" s="71"/>
      <c r="AC684" s="71"/>
      <c r="AD684" s="71"/>
      <c r="AE684" s="71"/>
      <c r="AF684" s="71"/>
      <c r="AG684" s="71"/>
      <c r="AH684" s="71"/>
      <c r="AI684" s="71"/>
      <c r="AJ684" s="71"/>
      <c r="AK684" s="71"/>
      <c r="AL684" s="71"/>
      <c r="AM684" s="71"/>
      <c r="AN684" s="71"/>
      <c r="AO684" s="71"/>
      <c r="AP684" s="71"/>
      <c r="AQ684" s="71"/>
      <c r="AR684" s="77"/>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c r="AA685" s="71"/>
      <c r="AB685" s="71"/>
      <c r="AC685" s="71"/>
      <c r="AD685" s="71"/>
      <c r="AE685" s="71"/>
      <c r="AF685" s="71"/>
      <c r="AG685" s="71"/>
      <c r="AH685" s="71"/>
      <c r="AI685" s="71"/>
      <c r="AJ685" s="71"/>
      <c r="AK685" s="71"/>
      <c r="AL685" s="71"/>
      <c r="AM685" s="71"/>
      <c r="AN685" s="71"/>
      <c r="AO685" s="71"/>
      <c r="AP685" s="71"/>
      <c r="AQ685" s="71"/>
      <c r="AR685" s="77"/>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c r="AA686" s="71"/>
      <c r="AB686" s="71"/>
      <c r="AC686" s="71"/>
      <c r="AD686" s="71"/>
      <c r="AE686" s="71"/>
      <c r="AF686" s="71"/>
      <c r="AG686" s="71"/>
      <c r="AH686" s="71"/>
      <c r="AI686" s="71"/>
      <c r="AJ686" s="71"/>
      <c r="AK686" s="71"/>
      <c r="AL686" s="71"/>
      <c r="AM686" s="71"/>
      <c r="AN686" s="71"/>
      <c r="AO686" s="71"/>
      <c r="AP686" s="71"/>
      <c r="AQ686" s="71"/>
      <c r="AR686" s="77"/>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c r="AA687" s="71"/>
      <c r="AB687" s="71"/>
      <c r="AC687" s="71"/>
      <c r="AD687" s="71"/>
      <c r="AE687" s="71"/>
      <c r="AF687" s="71"/>
      <c r="AG687" s="71"/>
      <c r="AH687" s="71"/>
      <c r="AI687" s="71"/>
      <c r="AJ687" s="71"/>
      <c r="AK687" s="71"/>
      <c r="AL687" s="71"/>
      <c r="AM687" s="71"/>
      <c r="AN687" s="71"/>
      <c r="AO687" s="71"/>
      <c r="AP687" s="71"/>
      <c r="AQ687" s="71"/>
      <c r="AR687" s="77"/>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c r="AA688" s="71"/>
      <c r="AB688" s="71"/>
      <c r="AC688" s="71"/>
      <c r="AD688" s="71"/>
      <c r="AE688" s="71"/>
      <c r="AF688" s="71"/>
      <c r="AG688" s="71"/>
      <c r="AH688" s="71"/>
      <c r="AI688" s="71"/>
      <c r="AJ688" s="71"/>
      <c r="AK688" s="71"/>
      <c r="AL688" s="71"/>
      <c r="AM688" s="71"/>
      <c r="AN688" s="71"/>
      <c r="AO688" s="71"/>
      <c r="AP688" s="71"/>
      <c r="AQ688" s="71"/>
      <c r="AR688" s="77"/>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c r="AA689" s="71"/>
      <c r="AB689" s="71"/>
      <c r="AC689" s="71"/>
      <c r="AD689" s="71"/>
      <c r="AE689" s="71"/>
      <c r="AF689" s="71"/>
      <c r="AG689" s="71"/>
      <c r="AH689" s="71"/>
      <c r="AI689" s="71"/>
      <c r="AJ689" s="71"/>
      <c r="AK689" s="71"/>
      <c r="AL689" s="71"/>
      <c r="AM689" s="71"/>
      <c r="AN689" s="71"/>
      <c r="AO689" s="71"/>
      <c r="AP689" s="71"/>
      <c r="AQ689" s="71"/>
      <c r="AR689" s="77"/>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c r="AA690" s="71"/>
      <c r="AB690" s="71"/>
      <c r="AC690" s="71"/>
      <c r="AD690" s="71"/>
      <c r="AE690" s="71"/>
      <c r="AF690" s="71"/>
      <c r="AG690" s="71"/>
      <c r="AH690" s="71"/>
      <c r="AI690" s="71"/>
      <c r="AJ690" s="71"/>
      <c r="AK690" s="71"/>
      <c r="AL690" s="71"/>
      <c r="AM690" s="71"/>
      <c r="AN690" s="71"/>
      <c r="AO690" s="71"/>
      <c r="AP690" s="71"/>
      <c r="AQ690" s="71"/>
      <c r="AR690" s="77"/>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c r="AA691" s="71"/>
      <c r="AB691" s="71"/>
      <c r="AC691" s="71"/>
      <c r="AD691" s="71"/>
      <c r="AE691" s="71"/>
      <c r="AF691" s="71"/>
      <c r="AG691" s="71"/>
      <c r="AH691" s="71"/>
      <c r="AI691" s="71"/>
      <c r="AJ691" s="71"/>
      <c r="AK691" s="71"/>
      <c r="AL691" s="71"/>
      <c r="AM691" s="71"/>
      <c r="AN691" s="71"/>
      <c r="AO691" s="71"/>
      <c r="AP691" s="71"/>
      <c r="AQ691" s="71"/>
      <c r="AR691" s="77"/>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c r="AA692" s="71"/>
      <c r="AB692" s="71"/>
      <c r="AC692" s="71"/>
      <c r="AD692" s="71"/>
      <c r="AE692" s="71"/>
      <c r="AF692" s="71"/>
      <c r="AG692" s="71"/>
      <c r="AH692" s="71"/>
      <c r="AI692" s="71"/>
      <c r="AJ692" s="71"/>
      <c r="AK692" s="71"/>
      <c r="AL692" s="71"/>
      <c r="AM692" s="71"/>
      <c r="AN692" s="71"/>
      <c r="AO692" s="71"/>
      <c r="AP692" s="71"/>
      <c r="AQ692" s="71"/>
      <c r="AR692" s="77"/>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c r="AA693" s="71"/>
      <c r="AB693" s="71"/>
      <c r="AC693" s="71"/>
      <c r="AD693" s="71"/>
      <c r="AE693" s="71"/>
      <c r="AF693" s="71"/>
      <c r="AG693" s="71"/>
      <c r="AH693" s="71"/>
      <c r="AI693" s="71"/>
      <c r="AJ693" s="71"/>
      <c r="AK693" s="71"/>
      <c r="AL693" s="71"/>
      <c r="AM693" s="71"/>
      <c r="AN693" s="71"/>
      <c r="AO693" s="71"/>
      <c r="AP693" s="71"/>
      <c r="AQ693" s="71"/>
      <c r="AR693" s="77"/>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c r="AA694" s="71"/>
      <c r="AB694" s="71"/>
      <c r="AC694" s="71"/>
      <c r="AD694" s="71"/>
      <c r="AE694" s="71"/>
      <c r="AF694" s="71"/>
      <c r="AG694" s="71"/>
      <c r="AH694" s="71"/>
      <c r="AI694" s="71"/>
      <c r="AJ694" s="71"/>
      <c r="AK694" s="71"/>
      <c r="AL694" s="71"/>
      <c r="AM694" s="71"/>
      <c r="AN694" s="71"/>
      <c r="AO694" s="71"/>
      <c r="AP694" s="71"/>
      <c r="AQ694" s="71"/>
      <c r="AR694" s="77"/>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c r="AA695" s="71"/>
      <c r="AB695" s="71"/>
      <c r="AC695" s="71"/>
      <c r="AD695" s="71"/>
      <c r="AE695" s="71"/>
      <c r="AF695" s="71"/>
      <c r="AG695" s="71"/>
      <c r="AH695" s="71"/>
      <c r="AI695" s="71"/>
      <c r="AJ695" s="71"/>
      <c r="AK695" s="71"/>
      <c r="AL695" s="71"/>
      <c r="AM695" s="71"/>
      <c r="AN695" s="71"/>
      <c r="AO695" s="71"/>
      <c r="AP695" s="71"/>
      <c r="AQ695" s="71"/>
      <c r="AR695" s="77"/>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c r="AA696" s="71"/>
      <c r="AB696" s="71"/>
      <c r="AC696" s="71"/>
      <c r="AD696" s="71"/>
      <c r="AE696" s="71"/>
      <c r="AF696" s="71"/>
      <c r="AG696" s="71"/>
      <c r="AH696" s="71"/>
      <c r="AI696" s="71"/>
      <c r="AJ696" s="71"/>
      <c r="AK696" s="71"/>
      <c r="AL696" s="71"/>
      <c r="AM696" s="71"/>
      <c r="AN696" s="71"/>
      <c r="AO696" s="71"/>
      <c r="AP696" s="71"/>
      <c r="AQ696" s="71"/>
      <c r="AR696" s="77"/>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c r="AA697" s="71"/>
      <c r="AB697" s="71"/>
      <c r="AC697" s="71"/>
      <c r="AD697" s="71"/>
      <c r="AE697" s="71"/>
      <c r="AF697" s="71"/>
      <c r="AG697" s="71"/>
      <c r="AH697" s="71"/>
      <c r="AI697" s="71"/>
      <c r="AJ697" s="71"/>
      <c r="AK697" s="71"/>
      <c r="AL697" s="71"/>
      <c r="AM697" s="71"/>
      <c r="AN697" s="71"/>
      <c r="AO697" s="71"/>
      <c r="AP697" s="71"/>
      <c r="AQ697" s="71"/>
      <c r="AR697" s="77"/>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c r="AA698" s="71"/>
      <c r="AB698" s="71"/>
      <c r="AC698" s="71"/>
      <c r="AD698" s="71"/>
      <c r="AE698" s="71"/>
      <c r="AF698" s="71"/>
      <c r="AG698" s="71"/>
      <c r="AH698" s="71"/>
      <c r="AI698" s="71"/>
      <c r="AJ698" s="71"/>
      <c r="AK698" s="71"/>
      <c r="AL698" s="71"/>
      <c r="AM698" s="71"/>
      <c r="AN698" s="71"/>
      <c r="AO698" s="71"/>
      <c r="AP698" s="71"/>
      <c r="AQ698" s="71"/>
      <c r="AR698" s="77"/>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c r="AA699" s="71"/>
      <c r="AB699" s="71"/>
      <c r="AC699" s="71"/>
      <c r="AD699" s="71"/>
      <c r="AE699" s="71"/>
      <c r="AF699" s="71"/>
      <c r="AG699" s="71"/>
      <c r="AH699" s="71"/>
      <c r="AI699" s="71"/>
      <c r="AJ699" s="71"/>
      <c r="AK699" s="71"/>
      <c r="AL699" s="71"/>
      <c r="AM699" s="71"/>
      <c r="AN699" s="71"/>
      <c r="AO699" s="71"/>
      <c r="AP699" s="71"/>
      <c r="AQ699" s="71"/>
      <c r="AR699" s="77"/>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c r="AA700" s="71"/>
      <c r="AB700" s="71"/>
      <c r="AC700" s="71"/>
      <c r="AD700" s="71"/>
      <c r="AE700" s="71"/>
      <c r="AF700" s="71"/>
      <c r="AG700" s="71"/>
      <c r="AH700" s="71"/>
      <c r="AI700" s="71"/>
      <c r="AJ700" s="71"/>
      <c r="AK700" s="71"/>
      <c r="AL700" s="71"/>
      <c r="AM700" s="71"/>
      <c r="AN700" s="71"/>
      <c r="AO700" s="71"/>
      <c r="AP700" s="71"/>
      <c r="AQ700" s="71"/>
      <c r="AR700" s="77"/>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c r="AA701" s="71"/>
      <c r="AB701" s="71"/>
      <c r="AC701" s="71"/>
      <c r="AD701" s="71"/>
      <c r="AE701" s="71"/>
      <c r="AF701" s="71"/>
      <c r="AG701" s="71"/>
      <c r="AH701" s="71"/>
      <c r="AI701" s="71"/>
      <c r="AJ701" s="71"/>
      <c r="AK701" s="71"/>
      <c r="AL701" s="71"/>
      <c r="AM701" s="71"/>
      <c r="AN701" s="71"/>
      <c r="AO701" s="71"/>
      <c r="AP701" s="71"/>
      <c r="AQ701" s="71"/>
      <c r="AR701" s="77"/>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c r="AA702" s="71"/>
      <c r="AB702" s="71"/>
      <c r="AC702" s="71"/>
      <c r="AD702" s="71"/>
      <c r="AE702" s="71"/>
      <c r="AF702" s="71"/>
      <c r="AG702" s="71"/>
      <c r="AH702" s="71"/>
      <c r="AI702" s="71"/>
      <c r="AJ702" s="71"/>
      <c r="AK702" s="71"/>
      <c r="AL702" s="71"/>
      <c r="AM702" s="71"/>
      <c r="AN702" s="71"/>
      <c r="AO702" s="71"/>
      <c r="AP702" s="71"/>
      <c r="AQ702" s="71"/>
      <c r="AR702" s="77"/>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c r="AA703" s="71"/>
      <c r="AB703" s="71"/>
      <c r="AC703" s="71"/>
      <c r="AD703" s="71"/>
      <c r="AE703" s="71"/>
      <c r="AF703" s="71"/>
      <c r="AG703" s="71"/>
      <c r="AH703" s="71"/>
      <c r="AI703" s="71"/>
      <c r="AJ703" s="71"/>
      <c r="AK703" s="71"/>
      <c r="AL703" s="71"/>
      <c r="AM703" s="71"/>
      <c r="AN703" s="71"/>
      <c r="AO703" s="71"/>
      <c r="AP703" s="71"/>
      <c r="AQ703" s="71"/>
      <c r="AR703" s="77"/>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c r="AA704" s="71"/>
      <c r="AB704" s="71"/>
      <c r="AC704" s="71"/>
      <c r="AD704" s="71"/>
      <c r="AE704" s="71"/>
      <c r="AF704" s="71"/>
      <c r="AG704" s="71"/>
      <c r="AH704" s="71"/>
      <c r="AI704" s="71"/>
      <c r="AJ704" s="71"/>
      <c r="AK704" s="71"/>
      <c r="AL704" s="71"/>
      <c r="AM704" s="71"/>
      <c r="AN704" s="71"/>
      <c r="AO704" s="71"/>
      <c r="AP704" s="71"/>
      <c r="AQ704" s="71"/>
      <c r="AR704" s="77"/>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c r="AA705" s="71"/>
      <c r="AB705" s="71"/>
      <c r="AC705" s="71"/>
      <c r="AD705" s="71"/>
      <c r="AE705" s="71"/>
      <c r="AF705" s="71"/>
      <c r="AG705" s="71"/>
      <c r="AH705" s="71"/>
      <c r="AI705" s="71"/>
      <c r="AJ705" s="71"/>
      <c r="AK705" s="71"/>
      <c r="AL705" s="71"/>
      <c r="AM705" s="71"/>
      <c r="AN705" s="71"/>
      <c r="AO705" s="71"/>
      <c r="AP705" s="71"/>
      <c r="AQ705" s="71"/>
      <c r="AR705" s="77"/>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c r="AA706" s="71"/>
      <c r="AB706" s="71"/>
      <c r="AC706" s="71"/>
      <c r="AD706" s="71"/>
      <c r="AE706" s="71"/>
      <c r="AF706" s="71"/>
      <c r="AG706" s="71"/>
      <c r="AH706" s="71"/>
      <c r="AI706" s="71"/>
      <c r="AJ706" s="71"/>
      <c r="AK706" s="71"/>
      <c r="AL706" s="71"/>
      <c r="AM706" s="71"/>
      <c r="AN706" s="71"/>
      <c r="AO706" s="71"/>
      <c r="AP706" s="71"/>
      <c r="AQ706" s="71"/>
      <c r="AR706" s="77"/>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c r="AA707" s="71"/>
      <c r="AB707" s="71"/>
      <c r="AC707" s="71"/>
      <c r="AD707" s="71"/>
      <c r="AE707" s="71"/>
      <c r="AF707" s="71"/>
      <c r="AG707" s="71"/>
      <c r="AH707" s="71"/>
      <c r="AI707" s="71"/>
      <c r="AJ707" s="71"/>
      <c r="AK707" s="71"/>
      <c r="AL707" s="71"/>
      <c r="AM707" s="71"/>
      <c r="AN707" s="71"/>
      <c r="AO707" s="71"/>
      <c r="AP707" s="71"/>
      <c r="AQ707" s="71"/>
      <c r="AR707" s="77"/>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c r="AA708" s="71"/>
      <c r="AB708" s="71"/>
      <c r="AC708" s="71"/>
      <c r="AD708" s="71"/>
      <c r="AE708" s="71"/>
      <c r="AF708" s="71"/>
      <c r="AG708" s="71"/>
      <c r="AH708" s="71"/>
      <c r="AI708" s="71"/>
      <c r="AJ708" s="71"/>
      <c r="AK708" s="71"/>
      <c r="AL708" s="71"/>
      <c r="AM708" s="71"/>
      <c r="AN708" s="71"/>
      <c r="AO708" s="71"/>
      <c r="AP708" s="71"/>
      <c r="AQ708" s="71"/>
      <c r="AR708" s="77"/>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c r="AA709" s="71"/>
      <c r="AB709" s="71"/>
      <c r="AC709" s="71"/>
      <c r="AD709" s="71"/>
      <c r="AE709" s="71"/>
      <c r="AF709" s="71"/>
      <c r="AG709" s="71"/>
      <c r="AH709" s="71"/>
      <c r="AI709" s="71"/>
      <c r="AJ709" s="71"/>
      <c r="AK709" s="71"/>
      <c r="AL709" s="71"/>
      <c r="AM709" s="71"/>
      <c r="AN709" s="71"/>
      <c r="AO709" s="71"/>
      <c r="AP709" s="71"/>
      <c r="AQ709" s="71"/>
      <c r="AR709" s="77"/>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c r="AA710" s="71"/>
      <c r="AB710" s="71"/>
      <c r="AC710" s="71"/>
      <c r="AD710" s="71"/>
      <c r="AE710" s="71"/>
      <c r="AF710" s="71"/>
      <c r="AG710" s="71"/>
      <c r="AH710" s="71"/>
      <c r="AI710" s="71"/>
      <c r="AJ710" s="71"/>
      <c r="AK710" s="71"/>
      <c r="AL710" s="71"/>
      <c r="AM710" s="71"/>
      <c r="AN710" s="71"/>
      <c r="AO710" s="71"/>
      <c r="AP710" s="71"/>
      <c r="AQ710" s="71"/>
      <c r="AR710" s="77"/>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c r="AA711" s="71"/>
      <c r="AB711" s="71"/>
      <c r="AC711" s="71"/>
      <c r="AD711" s="71"/>
      <c r="AE711" s="71"/>
      <c r="AF711" s="71"/>
      <c r="AG711" s="71"/>
      <c r="AH711" s="71"/>
      <c r="AI711" s="71"/>
      <c r="AJ711" s="71"/>
      <c r="AK711" s="71"/>
      <c r="AL711" s="71"/>
      <c r="AM711" s="71"/>
      <c r="AN711" s="71"/>
      <c r="AO711" s="71"/>
      <c r="AP711" s="71"/>
      <c r="AQ711" s="71"/>
      <c r="AR711" s="77"/>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c r="AA712" s="71"/>
      <c r="AB712" s="71"/>
      <c r="AC712" s="71"/>
      <c r="AD712" s="71"/>
      <c r="AE712" s="71"/>
      <c r="AF712" s="71"/>
      <c r="AG712" s="71"/>
      <c r="AH712" s="71"/>
      <c r="AI712" s="71"/>
      <c r="AJ712" s="71"/>
      <c r="AK712" s="71"/>
      <c r="AL712" s="71"/>
      <c r="AM712" s="71"/>
      <c r="AN712" s="71"/>
      <c r="AO712" s="71"/>
      <c r="AP712" s="71"/>
      <c r="AQ712" s="71"/>
      <c r="AR712" s="77"/>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c r="AA713" s="71"/>
      <c r="AB713" s="71"/>
      <c r="AC713" s="71"/>
      <c r="AD713" s="71"/>
      <c r="AE713" s="71"/>
      <c r="AF713" s="71"/>
      <c r="AG713" s="71"/>
      <c r="AH713" s="71"/>
      <c r="AI713" s="71"/>
      <c r="AJ713" s="71"/>
      <c r="AK713" s="71"/>
      <c r="AL713" s="71"/>
      <c r="AM713" s="71"/>
      <c r="AN713" s="71"/>
      <c r="AO713" s="71"/>
      <c r="AP713" s="71"/>
      <c r="AQ713" s="71"/>
      <c r="AR713" s="77"/>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c r="AA714" s="71"/>
      <c r="AB714" s="71"/>
      <c r="AC714" s="71"/>
      <c r="AD714" s="71"/>
      <c r="AE714" s="71"/>
      <c r="AF714" s="71"/>
      <c r="AG714" s="71"/>
      <c r="AH714" s="71"/>
      <c r="AI714" s="71"/>
      <c r="AJ714" s="71"/>
      <c r="AK714" s="71"/>
      <c r="AL714" s="71"/>
      <c r="AM714" s="71"/>
      <c r="AN714" s="71"/>
      <c r="AO714" s="71"/>
      <c r="AP714" s="71"/>
      <c r="AQ714" s="71"/>
      <c r="AR714" s="77"/>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c r="AA715" s="71"/>
      <c r="AB715" s="71"/>
      <c r="AC715" s="71"/>
      <c r="AD715" s="71"/>
      <c r="AE715" s="71"/>
      <c r="AF715" s="71"/>
      <c r="AG715" s="71"/>
      <c r="AH715" s="71"/>
      <c r="AI715" s="71"/>
      <c r="AJ715" s="71"/>
      <c r="AK715" s="71"/>
      <c r="AL715" s="71"/>
      <c r="AM715" s="71"/>
      <c r="AN715" s="71"/>
      <c r="AO715" s="71"/>
      <c r="AP715" s="71"/>
      <c r="AQ715" s="71"/>
      <c r="AR715" s="77"/>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c r="AA716" s="71"/>
      <c r="AB716" s="71"/>
      <c r="AC716" s="71"/>
      <c r="AD716" s="71"/>
      <c r="AE716" s="71"/>
      <c r="AF716" s="71"/>
      <c r="AG716" s="71"/>
      <c r="AH716" s="71"/>
      <c r="AI716" s="71"/>
      <c r="AJ716" s="71"/>
      <c r="AK716" s="71"/>
      <c r="AL716" s="71"/>
      <c r="AM716" s="71"/>
      <c r="AN716" s="71"/>
      <c r="AO716" s="71"/>
      <c r="AP716" s="71"/>
      <c r="AQ716" s="71"/>
      <c r="AR716" s="77"/>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c r="AA717" s="71"/>
      <c r="AB717" s="71"/>
      <c r="AC717" s="71"/>
      <c r="AD717" s="71"/>
      <c r="AE717" s="71"/>
      <c r="AF717" s="71"/>
      <c r="AG717" s="71"/>
      <c r="AH717" s="71"/>
      <c r="AI717" s="71"/>
      <c r="AJ717" s="71"/>
      <c r="AK717" s="71"/>
      <c r="AL717" s="71"/>
      <c r="AM717" s="71"/>
      <c r="AN717" s="71"/>
      <c r="AO717" s="71"/>
      <c r="AP717" s="71"/>
      <c r="AQ717" s="71"/>
      <c r="AR717" s="77"/>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c r="AA718" s="71"/>
      <c r="AB718" s="71"/>
      <c r="AC718" s="71"/>
      <c r="AD718" s="71"/>
      <c r="AE718" s="71"/>
      <c r="AF718" s="71"/>
      <c r="AG718" s="71"/>
      <c r="AH718" s="71"/>
      <c r="AI718" s="71"/>
      <c r="AJ718" s="71"/>
      <c r="AK718" s="71"/>
      <c r="AL718" s="71"/>
      <c r="AM718" s="71"/>
      <c r="AN718" s="71"/>
      <c r="AO718" s="71"/>
      <c r="AP718" s="71"/>
      <c r="AQ718" s="71"/>
      <c r="AR718" s="77"/>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c r="AA719" s="71"/>
      <c r="AB719" s="71"/>
      <c r="AC719" s="71"/>
      <c r="AD719" s="71"/>
      <c r="AE719" s="71"/>
      <c r="AF719" s="71"/>
      <c r="AG719" s="71"/>
      <c r="AH719" s="71"/>
      <c r="AI719" s="71"/>
      <c r="AJ719" s="71"/>
      <c r="AK719" s="71"/>
      <c r="AL719" s="71"/>
      <c r="AM719" s="71"/>
      <c r="AN719" s="71"/>
      <c r="AO719" s="71"/>
      <c r="AP719" s="71"/>
      <c r="AQ719" s="71"/>
      <c r="AR719" s="77"/>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c r="AA720" s="71"/>
      <c r="AB720" s="71"/>
      <c r="AC720" s="71"/>
      <c r="AD720" s="71"/>
      <c r="AE720" s="71"/>
      <c r="AF720" s="71"/>
      <c r="AG720" s="71"/>
      <c r="AH720" s="71"/>
      <c r="AI720" s="71"/>
      <c r="AJ720" s="71"/>
      <c r="AK720" s="71"/>
      <c r="AL720" s="71"/>
      <c r="AM720" s="71"/>
      <c r="AN720" s="71"/>
      <c r="AO720" s="71"/>
      <c r="AP720" s="71"/>
      <c r="AQ720" s="71"/>
      <c r="AR720" s="77"/>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c r="AA721" s="71"/>
      <c r="AB721" s="71"/>
      <c r="AC721" s="71"/>
      <c r="AD721" s="71"/>
      <c r="AE721" s="71"/>
      <c r="AF721" s="71"/>
      <c r="AG721" s="71"/>
      <c r="AH721" s="71"/>
      <c r="AI721" s="71"/>
      <c r="AJ721" s="71"/>
      <c r="AK721" s="71"/>
      <c r="AL721" s="71"/>
      <c r="AM721" s="71"/>
      <c r="AN721" s="71"/>
      <c r="AO721" s="71"/>
      <c r="AP721" s="71"/>
      <c r="AQ721" s="71"/>
      <c r="AR721" s="77"/>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c r="AA722" s="71"/>
      <c r="AB722" s="71"/>
      <c r="AC722" s="71"/>
      <c r="AD722" s="71"/>
      <c r="AE722" s="71"/>
      <c r="AF722" s="71"/>
      <c r="AG722" s="71"/>
      <c r="AH722" s="71"/>
      <c r="AI722" s="71"/>
      <c r="AJ722" s="71"/>
      <c r="AK722" s="71"/>
      <c r="AL722" s="71"/>
      <c r="AM722" s="71"/>
      <c r="AN722" s="71"/>
      <c r="AO722" s="71"/>
      <c r="AP722" s="71"/>
      <c r="AQ722" s="71"/>
      <c r="AR722" s="77"/>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c r="AA723" s="71"/>
      <c r="AB723" s="71"/>
      <c r="AC723" s="71"/>
      <c r="AD723" s="71"/>
      <c r="AE723" s="71"/>
      <c r="AF723" s="71"/>
      <c r="AG723" s="71"/>
      <c r="AH723" s="71"/>
      <c r="AI723" s="71"/>
      <c r="AJ723" s="71"/>
      <c r="AK723" s="71"/>
      <c r="AL723" s="71"/>
      <c r="AM723" s="71"/>
      <c r="AN723" s="71"/>
      <c r="AO723" s="71"/>
      <c r="AP723" s="71"/>
      <c r="AQ723" s="71"/>
      <c r="AR723" s="77"/>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c r="AR724" s="77"/>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c r="AA725" s="71"/>
      <c r="AB725" s="71"/>
      <c r="AC725" s="71"/>
      <c r="AD725" s="71"/>
      <c r="AE725" s="71"/>
      <c r="AF725" s="71"/>
      <c r="AG725" s="71"/>
      <c r="AH725" s="71"/>
      <c r="AI725" s="71"/>
      <c r="AJ725" s="71"/>
      <c r="AK725" s="71"/>
      <c r="AL725" s="71"/>
      <c r="AM725" s="71"/>
      <c r="AN725" s="71"/>
      <c r="AO725" s="71"/>
      <c r="AP725" s="71"/>
      <c r="AQ725" s="71"/>
      <c r="AR725" s="77"/>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c r="AR726" s="77"/>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c r="AA727" s="71"/>
      <c r="AB727" s="71"/>
      <c r="AC727" s="71"/>
      <c r="AD727" s="71"/>
      <c r="AE727" s="71"/>
      <c r="AF727" s="71"/>
      <c r="AG727" s="71"/>
      <c r="AH727" s="71"/>
      <c r="AI727" s="71"/>
      <c r="AJ727" s="71"/>
      <c r="AK727" s="71"/>
      <c r="AL727" s="71"/>
      <c r="AM727" s="71"/>
      <c r="AN727" s="71"/>
      <c r="AO727" s="71"/>
      <c r="AP727" s="71"/>
      <c r="AQ727" s="71"/>
      <c r="AR727" s="77"/>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c r="AA728" s="71"/>
      <c r="AB728" s="71"/>
      <c r="AC728" s="71"/>
      <c r="AD728" s="71"/>
      <c r="AE728" s="71"/>
      <c r="AF728" s="71"/>
      <c r="AG728" s="71"/>
      <c r="AH728" s="71"/>
      <c r="AI728" s="71"/>
      <c r="AJ728" s="71"/>
      <c r="AK728" s="71"/>
      <c r="AL728" s="71"/>
      <c r="AM728" s="71"/>
      <c r="AN728" s="71"/>
      <c r="AO728" s="71"/>
      <c r="AP728" s="71"/>
      <c r="AQ728" s="71"/>
      <c r="AR728" s="77"/>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c r="AA729" s="71"/>
      <c r="AB729" s="71"/>
      <c r="AC729" s="71"/>
      <c r="AD729" s="71"/>
      <c r="AE729" s="71"/>
      <c r="AF729" s="71"/>
      <c r="AG729" s="71"/>
      <c r="AH729" s="71"/>
      <c r="AI729" s="71"/>
      <c r="AJ729" s="71"/>
      <c r="AK729" s="71"/>
      <c r="AL729" s="71"/>
      <c r="AM729" s="71"/>
      <c r="AN729" s="71"/>
      <c r="AO729" s="71"/>
      <c r="AP729" s="71"/>
      <c r="AQ729" s="71"/>
      <c r="AR729" s="77"/>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c r="AA730" s="71"/>
      <c r="AB730" s="71"/>
      <c r="AC730" s="71"/>
      <c r="AD730" s="71"/>
      <c r="AE730" s="71"/>
      <c r="AF730" s="71"/>
      <c r="AG730" s="71"/>
      <c r="AH730" s="71"/>
      <c r="AI730" s="71"/>
      <c r="AJ730" s="71"/>
      <c r="AK730" s="71"/>
      <c r="AL730" s="71"/>
      <c r="AM730" s="71"/>
      <c r="AN730" s="71"/>
      <c r="AO730" s="71"/>
      <c r="AP730" s="71"/>
      <c r="AQ730" s="71"/>
      <c r="AR730" s="77"/>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c r="AA731" s="71"/>
      <c r="AB731" s="71"/>
      <c r="AC731" s="71"/>
      <c r="AD731" s="71"/>
      <c r="AE731" s="71"/>
      <c r="AF731" s="71"/>
      <c r="AG731" s="71"/>
      <c r="AH731" s="71"/>
      <c r="AI731" s="71"/>
      <c r="AJ731" s="71"/>
      <c r="AK731" s="71"/>
      <c r="AL731" s="71"/>
      <c r="AM731" s="71"/>
      <c r="AN731" s="71"/>
      <c r="AO731" s="71"/>
      <c r="AP731" s="71"/>
      <c r="AQ731" s="71"/>
      <c r="AR731" s="77"/>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c r="AR732" s="77"/>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c r="AA733" s="71"/>
      <c r="AB733" s="71"/>
      <c r="AC733" s="71"/>
      <c r="AD733" s="71"/>
      <c r="AE733" s="71"/>
      <c r="AF733" s="71"/>
      <c r="AG733" s="71"/>
      <c r="AH733" s="71"/>
      <c r="AI733" s="71"/>
      <c r="AJ733" s="71"/>
      <c r="AK733" s="71"/>
      <c r="AL733" s="71"/>
      <c r="AM733" s="71"/>
      <c r="AN733" s="71"/>
      <c r="AO733" s="71"/>
      <c r="AP733" s="71"/>
      <c r="AQ733" s="71"/>
      <c r="AR733" s="77"/>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c r="AA734" s="71"/>
      <c r="AB734" s="71"/>
      <c r="AC734" s="71"/>
      <c r="AD734" s="71"/>
      <c r="AE734" s="71"/>
      <c r="AF734" s="71"/>
      <c r="AG734" s="71"/>
      <c r="AH734" s="71"/>
      <c r="AI734" s="71"/>
      <c r="AJ734" s="71"/>
      <c r="AK734" s="71"/>
      <c r="AL734" s="71"/>
      <c r="AM734" s="71"/>
      <c r="AN734" s="71"/>
      <c r="AO734" s="71"/>
      <c r="AP734" s="71"/>
      <c r="AQ734" s="71"/>
      <c r="AR734" s="77"/>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c r="AA735" s="71"/>
      <c r="AB735" s="71"/>
      <c r="AC735" s="71"/>
      <c r="AD735" s="71"/>
      <c r="AE735" s="71"/>
      <c r="AF735" s="71"/>
      <c r="AG735" s="71"/>
      <c r="AH735" s="71"/>
      <c r="AI735" s="71"/>
      <c r="AJ735" s="71"/>
      <c r="AK735" s="71"/>
      <c r="AL735" s="71"/>
      <c r="AM735" s="71"/>
      <c r="AN735" s="71"/>
      <c r="AO735" s="71"/>
      <c r="AP735" s="71"/>
      <c r="AQ735" s="71"/>
      <c r="AR735" s="77"/>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c r="AA736" s="71"/>
      <c r="AB736" s="71"/>
      <c r="AC736" s="71"/>
      <c r="AD736" s="71"/>
      <c r="AE736" s="71"/>
      <c r="AF736" s="71"/>
      <c r="AG736" s="71"/>
      <c r="AH736" s="71"/>
      <c r="AI736" s="71"/>
      <c r="AJ736" s="71"/>
      <c r="AK736" s="71"/>
      <c r="AL736" s="71"/>
      <c r="AM736" s="71"/>
      <c r="AN736" s="71"/>
      <c r="AO736" s="71"/>
      <c r="AP736" s="71"/>
      <c r="AQ736" s="71"/>
      <c r="AR736" s="77"/>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c r="AA737" s="71"/>
      <c r="AB737" s="71"/>
      <c r="AC737" s="71"/>
      <c r="AD737" s="71"/>
      <c r="AE737" s="71"/>
      <c r="AF737" s="71"/>
      <c r="AG737" s="71"/>
      <c r="AH737" s="71"/>
      <c r="AI737" s="71"/>
      <c r="AJ737" s="71"/>
      <c r="AK737" s="71"/>
      <c r="AL737" s="71"/>
      <c r="AM737" s="71"/>
      <c r="AN737" s="71"/>
      <c r="AO737" s="71"/>
      <c r="AP737" s="71"/>
      <c r="AQ737" s="71"/>
      <c r="AR737" s="77"/>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c r="AA738" s="71"/>
      <c r="AB738" s="71"/>
      <c r="AC738" s="71"/>
      <c r="AD738" s="71"/>
      <c r="AE738" s="71"/>
      <c r="AF738" s="71"/>
      <c r="AG738" s="71"/>
      <c r="AH738" s="71"/>
      <c r="AI738" s="71"/>
      <c r="AJ738" s="71"/>
      <c r="AK738" s="71"/>
      <c r="AL738" s="71"/>
      <c r="AM738" s="71"/>
      <c r="AN738" s="71"/>
      <c r="AO738" s="71"/>
      <c r="AP738" s="71"/>
      <c r="AQ738" s="71"/>
      <c r="AR738" s="77"/>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c r="AA739" s="71"/>
      <c r="AB739" s="71"/>
      <c r="AC739" s="71"/>
      <c r="AD739" s="71"/>
      <c r="AE739" s="71"/>
      <c r="AF739" s="71"/>
      <c r="AG739" s="71"/>
      <c r="AH739" s="71"/>
      <c r="AI739" s="71"/>
      <c r="AJ739" s="71"/>
      <c r="AK739" s="71"/>
      <c r="AL739" s="71"/>
      <c r="AM739" s="71"/>
      <c r="AN739" s="71"/>
      <c r="AO739" s="71"/>
      <c r="AP739" s="71"/>
      <c r="AQ739" s="71"/>
      <c r="AR739" s="77"/>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c r="AA740" s="71"/>
      <c r="AB740" s="71"/>
      <c r="AC740" s="71"/>
      <c r="AD740" s="71"/>
      <c r="AE740" s="71"/>
      <c r="AF740" s="71"/>
      <c r="AG740" s="71"/>
      <c r="AH740" s="71"/>
      <c r="AI740" s="71"/>
      <c r="AJ740" s="71"/>
      <c r="AK740" s="71"/>
      <c r="AL740" s="71"/>
      <c r="AM740" s="71"/>
      <c r="AN740" s="71"/>
      <c r="AO740" s="71"/>
      <c r="AP740" s="71"/>
      <c r="AQ740" s="71"/>
      <c r="AR740" s="77"/>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c r="AA741" s="71"/>
      <c r="AB741" s="71"/>
      <c r="AC741" s="71"/>
      <c r="AD741" s="71"/>
      <c r="AE741" s="71"/>
      <c r="AF741" s="71"/>
      <c r="AG741" s="71"/>
      <c r="AH741" s="71"/>
      <c r="AI741" s="71"/>
      <c r="AJ741" s="71"/>
      <c r="AK741" s="71"/>
      <c r="AL741" s="71"/>
      <c r="AM741" s="71"/>
      <c r="AN741" s="71"/>
      <c r="AO741" s="71"/>
      <c r="AP741" s="71"/>
      <c r="AQ741" s="71"/>
      <c r="AR741" s="77"/>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c r="AA742" s="71"/>
      <c r="AB742" s="71"/>
      <c r="AC742" s="71"/>
      <c r="AD742" s="71"/>
      <c r="AE742" s="71"/>
      <c r="AF742" s="71"/>
      <c r="AG742" s="71"/>
      <c r="AH742" s="71"/>
      <c r="AI742" s="71"/>
      <c r="AJ742" s="71"/>
      <c r="AK742" s="71"/>
      <c r="AL742" s="71"/>
      <c r="AM742" s="71"/>
      <c r="AN742" s="71"/>
      <c r="AO742" s="71"/>
      <c r="AP742" s="71"/>
      <c r="AQ742" s="71"/>
      <c r="AR742" s="77"/>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c r="AA743" s="71"/>
      <c r="AB743" s="71"/>
      <c r="AC743" s="71"/>
      <c r="AD743" s="71"/>
      <c r="AE743" s="71"/>
      <c r="AF743" s="71"/>
      <c r="AG743" s="71"/>
      <c r="AH743" s="71"/>
      <c r="AI743" s="71"/>
      <c r="AJ743" s="71"/>
      <c r="AK743" s="71"/>
      <c r="AL743" s="71"/>
      <c r="AM743" s="71"/>
      <c r="AN743" s="71"/>
      <c r="AO743" s="71"/>
      <c r="AP743" s="71"/>
      <c r="AQ743" s="71"/>
      <c r="AR743" s="77"/>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c r="AA744" s="71"/>
      <c r="AB744" s="71"/>
      <c r="AC744" s="71"/>
      <c r="AD744" s="71"/>
      <c r="AE744" s="71"/>
      <c r="AF744" s="71"/>
      <c r="AG744" s="71"/>
      <c r="AH744" s="71"/>
      <c r="AI744" s="71"/>
      <c r="AJ744" s="71"/>
      <c r="AK744" s="71"/>
      <c r="AL744" s="71"/>
      <c r="AM744" s="71"/>
      <c r="AN744" s="71"/>
      <c r="AO744" s="71"/>
      <c r="AP744" s="71"/>
      <c r="AQ744" s="71"/>
      <c r="AR744" s="77"/>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c r="AA745" s="71"/>
      <c r="AB745" s="71"/>
      <c r="AC745" s="71"/>
      <c r="AD745" s="71"/>
      <c r="AE745" s="71"/>
      <c r="AF745" s="71"/>
      <c r="AG745" s="71"/>
      <c r="AH745" s="71"/>
      <c r="AI745" s="71"/>
      <c r="AJ745" s="71"/>
      <c r="AK745" s="71"/>
      <c r="AL745" s="71"/>
      <c r="AM745" s="71"/>
      <c r="AN745" s="71"/>
      <c r="AO745" s="71"/>
      <c r="AP745" s="71"/>
      <c r="AQ745" s="71"/>
      <c r="AR745" s="77"/>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c r="AA746" s="71"/>
      <c r="AB746" s="71"/>
      <c r="AC746" s="71"/>
      <c r="AD746" s="71"/>
      <c r="AE746" s="71"/>
      <c r="AF746" s="71"/>
      <c r="AG746" s="71"/>
      <c r="AH746" s="71"/>
      <c r="AI746" s="71"/>
      <c r="AJ746" s="71"/>
      <c r="AK746" s="71"/>
      <c r="AL746" s="71"/>
      <c r="AM746" s="71"/>
      <c r="AN746" s="71"/>
      <c r="AO746" s="71"/>
      <c r="AP746" s="71"/>
      <c r="AQ746" s="71"/>
      <c r="AR746" s="77"/>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c r="AA747" s="71"/>
      <c r="AB747" s="71"/>
      <c r="AC747" s="71"/>
      <c r="AD747" s="71"/>
      <c r="AE747" s="71"/>
      <c r="AF747" s="71"/>
      <c r="AG747" s="71"/>
      <c r="AH747" s="71"/>
      <c r="AI747" s="71"/>
      <c r="AJ747" s="71"/>
      <c r="AK747" s="71"/>
      <c r="AL747" s="71"/>
      <c r="AM747" s="71"/>
      <c r="AN747" s="71"/>
      <c r="AO747" s="71"/>
      <c r="AP747" s="71"/>
      <c r="AQ747" s="71"/>
      <c r="AR747" s="77"/>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c r="AA748" s="71"/>
      <c r="AB748" s="71"/>
      <c r="AC748" s="71"/>
      <c r="AD748" s="71"/>
      <c r="AE748" s="71"/>
      <c r="AF748" s="71"/>
      <c r="AG748" s="71"/>
      <c r="AH748" s="71"/>
      <c r="AI748" s="71"/>
      <c r="AJ748" s="71"/>
      <c r="AK748" s="71"/>
      <c r="AL748" s="71"/>
      <c r="AM748" s="71"/>
      <c r="AN748" s="71"/>
      <c r="AO748" s="71"/>
      <c r="AP748" s="71"/>
      <c r="AQ748" s="71"/>
      <c r="AR748" s="77"/>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c r="AA749" s="71"/>
      <c r="AB749" s="71"/>
      <c r="AC749" s="71"/>
      <c r="AD749" s="71"/>
      <c r="AE749" s="71"/>
      <c r="AF749" s="71"/>
      <c r="AG749" s="71"/>
      <c r="AH749" s="71"/>
      <c r="AI749" s="71"/>
      <c r="AJ749" s="71"/>
      <c r="AK749" s="71"/>
      <c r="AL749" s="71"/>
      <c r="AM749" s="71"/>
      <c r="AN749" s="71"/>
      <c r="AO749" s="71"/>
      <c r="AP749" s="71"/>
      <c r="AQ749" s="71"/>
      <c r="AR749" s="77"/>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c r="AA750" s="71"/>
      <c r="AB750" s="71"/>
      <c r="AC750" s="71"/>
      <c r="AD750" s="71"/>
      <c r="AE750" s="71"/>
      <c r="AF750" s="71"/>
      <c r="AG750" s="71"/>
      <c r="AH750" s="71"/>
      <c r="AI750" s="71"/>
      <c r="AJ750" s="71"/>
      <c r="AK750" s="71"/>
      <c r="AL750" s="71"/>
      <c r="AM750" s="71"/>
      <c r="AN750" s="71"/>
      <c r="AO750" s="71"/>
      <c r="AP750" s="71"/>
      <c r="AQ750" s="71"/>
      <c r="AR750" s="77"/>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c r="AA751" s="71"/>
      <c r="AB751" s="71"/>
      <c r="AC751" s="71"/>
      <c r="AD751" s="71"/>
      <c r="AE751" s="71"/>
      <c r="AF751" s="71"/>
      <c r="AG751" s="71"/>
      <c r="AH751" s="71"/>
      <c r="AI751" s="71"/>
      <c r="AJ751" s="71"/>
      <c r="AK751" s="71"/>
      <c r="AL751" s="71"/>
      <c r="AM751" s="71"/>
      <c r="AN751" s="71"/>
      <c r="AO751" s="71"/>
      <c r="AP751" s="71"/>
      <c r="AQ751" s="71"/>
      <c r="AR751" s="77"/>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c r="AA752" s="71"/>
      <c r="AB752" s="71"/>
      <c r="AC752" s="71"/>
      <c r="AD752" s="71"/>
      <c r="AE752" s="71"/>
      <c r="AF752" s="71"/>
      <c r="AG752" s="71"/>
      <c r="AH752" s="71"/>
      <c r="AI752" s="71"/>
      <c r="AJ752" s="71"/>
      <c r="AK752" s="71"/>
      <c r="AL752" s="71"/>
      <c r="AM752" s="71"/>
      <c r="AN752" s="71"/>
      <c r="AO752" s="71"/>
      <c r="AP752" s="71"/>
      <c r="AQ752" s="71"/>
      <c r="AR752" s="77"/>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c r="AA753" s="71"/>
      <c r="AB753" s="71"/>
      <c r="AC753" s="71"/>
      <c r="AD753" s="71"/>
      <c r="AE753" s="71"/>
      <c r="AF753" s="71"/>
      <c r="AG753" s="71"/>
      <c r="AH753" s="71"/>
      <c r="AI753" s="71"/>
      <c r="AJ753" s="71"/>
      <c r="AK753" s="71"/>
      <c r="AL753" s="71"/>
      <c r="AM753" s="71"/>
      <c r="AN753" s="71"/>
      <c r="AO753" s="71"/>
      <c r="AP753" s="71"/>
      <c r="AQ753" s="71"/>
      <c r="AR753" s="77"/>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c r="AA754" s="71"/>
      <c r="AB754" s="71"/>
      <c r="AC754" s="71"/>
      <c r="AD754" s="71"/>
      <c r="AE754" s="71"/>
      <c r="AF754" s="71"/>
      <c r="AG754" s="71"/>
      <c r="AH754" s="71"/>
      <c r="AI754" s="71"/>
      <c r="AJ754" s="71"/>
      <c r="AK754" s="71"/>
      <c r="AL754" s="71"/>
      <c r="AM754" s="71"/>
      <c r="AN754" s="71"/>
      <c r="AO754" s="71"/>
      <c r="AP754" s="71"/>
      <c r="AQ754" s="71"/>
      <c r="AR754" s="77"/>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c r="AA755" s="71"/>
      <c r="AB755" s="71"/>
      <c r="AC755" s="71"/>
      <c r="AD755" s="71"/>
      <c r="AE755" s="71"/>
      <c r="AF755" s="71"/>
      <c r="AG755" s="71"/>
      <c r="AH755" s="71"/>
      <c r="AI755" s="71"/>
      <c r="AJ755" s="71"/>
      <c r="AK755" s="71"/>
      <c r="AL755" s="71"/>
      <c r="AM755" s="71"/>
      <c r="AN755" s="71"/>
      <c r="AO755" s="71"/>
      <c r="AP755" s="71"/>
      <c r="AQ755" s="71"/>
      <c r="AR755" s="77"/>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c r="AA756" s="71"/>
      <c r="AB756" s="71"/>
      <c r="AC756" s="71"/>
      <c r="AD756" s="71"/>
      <c r="AE756" s="71"/>
      <c r="AF756" s="71"/>
      <c r="AG756" s="71"/>
      <c r="AH756" s="71"/>
      <c r="AI756" s="71"/>
      <c r="AJ756" s="71"/>
      <c r="AK756" s="71"/>
      <c r="AL756" s="71"/>
      <c r="AM756" s="71"/>
      <c r="AN756" s="71"/>
      <c r="AO756" s="71"/>
      <c r="AP756" s="71"/>
      <c r="AQ756" s="71"/>
      <c r="AR756" s="77"/>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c r="AA757" s="71"/>
      <c r="AB757" s="71"/>
      <c r="AC757" s="71"/>
      <c r="AD757" s="71"/>
      <c r="AE757" s="71"/>
      <c r="AF757" s="71"/>
      <c r="AG757" s="71"/>
      <c r="AH757" s="71"/>
      <c r="AI757" s="71"/>
      <c r="AJ757" s="71"/>
      <c r="AK757" s="71"/>
      <c r="AL757" s="71"/>
      <c r="AM757" s="71"/>
      <c r="AN757" s="71"/>
      <c r="AO757" s="71"/>
      <c r="AP757" s="71"/>
      <c r="AQ757" s="71"/>
      <c r="AR757" s="77"/>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c r="AA758" s="71"/>
      <c r="AB758" s="71"/>
      <c r="AC758" s="71"/>
      <c r="AD758" s="71"/>
      <c r="AE758" s="71"/>
      <c r="AF758" s="71"/>
      <c r="AG758" s="71"/>
      <c r="AH758" s="71"/>
      <c r="AI758" s="71"/>
      <c r="AJ758" s="71"/>
      <c r="AK758" s="71"/>
      <c r="AL758" s="71"/>
      <c r="AM758" s="71"/>
      <c r="AN758" s="71"/>
      <c r="AO758" s="71"/>
      <c r="AP758" s="71"/>
      <c r="AQ758" s="71"/>
      <c r="AR758" s="77"/>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c r="AA759" s="71"/>
      <c r="AB759" s="71"/>
      <c r="AC759" s="71"/>
      <c r="AD759" s="71"/>
      <c r="AE759" s="71"/>
      <c r="AF759" s="71"/>
      <c r="AG759" s="71"/>
      <c r="AH759" s="71"/>
      <c r="AI759" s="71"/>
      <c r="AJ759" s="71"/>
      <c r="AK759" s="71"/>
      <c r="AL759" s="71"/>
      <c r="AM759" s="71"/>
      <c r="AN759" s="71"/>
      <c r="AO759" s="71"/>
      <c r="AP759" s="71"/>
      <c r="AQ759" s="71"/>
      <c r="AR759" s="77"/>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c r="AA760" s="71"/>
      <c r="AB760" s="71"/>
      <c r="AC760" s="71"/>
      <c r="AD760" s="71"/>
      <c r="AE760" s="71"/>
      <c r="AF760" s="71"/>
      <c r="AG760" s="71"/>
      <c r="AH760" s="71"/>
      <c r="AI760" s="71"/>
      <c r="AJ760" s="71"/>
      <c r="AK760" s="71"/>
      <c r="AL760" s="71"/>
      <c r="AM760" s="71"/>
      <c r="AN760" s="71"/>
      <c r="AO760" s="71"/>
      <c r="AP760" s="71"/>
      <c r="AQ760" s="71"/>
      <c r="AR760" s="77"/>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c r="AA761" s="71"/>
      <c r="AB761" s="71"/>
      <c r="AC761" s="71"/>
      <c r="AD761" s="71"/>
      <c r="AE761" s="71"/>
      <c r="AF761" s="71"/>
      <c r="AG761" s="71"/>
      <c r="AH761" s="71"/>
      <c r="AI761" s="71"/>
      <c r="AJ761" s="71"/>
      <c r="AK761" s="71"/>
      <c r="AL761" s="71"/>
      <c r="AM761" s="71"/>
      <c r="AN761" s="71"/>
      <c r="AO761" s="71"/>
      <c r="AP761" s="71"/>
      <c r="AQ761" s="71"/>
      <c r="AR761" s="77"/>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c r="AA762" s="71"/>
      <c r="AB762" s="71"/>
      <c r="AC762" s="71"/>
      <c r="AD762" s="71"/>
      <c r="AE762" s="71"/>
      <c r="AF762" s="71"/>
      <c r="AG762" s="71"/>
      <c r="AH762" s="71"/>
      <c r="AI762" s="71"/>
      <c r="AJ762" s="71"/>
      <c r="AK762" s="71"/>
      <c r="AL762" s="71"/>
      <c r="AM762" s="71"/>
      <c r="AN762" s="71"/>
      <c r="AO762" s="71"/>
      <c r="AP762" s="71"/>
      <c r="AQ762" s="71"/>
      <c r="AR762" s="77"/>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c r="AA763" s="71"/>
      <c r="AB763" s="71"/>
      <c r="AC763" s="71"/>
      <c r="AD763" s="71"/>
      <c r="AE763" s="71"/>
      <c r="AF763" s="71"/>
      <c r="AG763" s="71"/>
      <c r="AH763" s="71"/>
      <c r="AI763" s="71"/>
      <c r="AJ763" s="71"/>
      <c r="AK763" s="71"/>
      <c r="AL763" s="71"/>
      <c r="AM763" s="71"/>
      <c r="AN763" s="71"/>
      <c r="AO763" s="71"/>
      <c r="AP763" s="71"/>
      <c r="AQ763" s="71"/>
      <c r="AR763" s="77"/>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c r="AA764" s="71"/>
      <c r="AB764" s="71"/>
      <c r="AC764" s="71"/>
      <c r="AD764" s="71"/>
      <c r="AE764" s="71"/>
      <c r="AF764" s="71"/>
      <c r="AG764" s="71"/>
      <c r="AH764" s="71"/>
      <c r="AI764" s="71"/>
      <c r="AJ764" s="71"/>
      <c r="AK764" s="71"/>
      <c r="AL764" s="71"/>
      <c r="AM764" s="71"/>
      <c r="AN764" s="71"/>
      <c r="AO764" s="71"/>
      <c r="AP764" s="71"/>
      <c r="AQ764" s="71"/>
      <c r="AR764" s="77"/>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c r="AA765" s="71"/>
      <c r="AB765" s="71"/>
      <c r="AC765" s="71"/>
      <c r="AD765" s="71"/>
      <c r="AE765" s="71"/>
      <c r="AF765" s="71"/>
      <c r="AG765" s="71"/>
      <c r="AH765" s="71"/>
      <c r="AI765" s="71"/>
      <c r="AJ765" s="71"/>
      <c r="AK765" s="71"/>
      <c r="AL765" s="71"/>
      <c r="AM765" s="71"/>
      <c r="AN765" s="71"/>
      <c r="AO765" s="71"/>
      <c r="AP765" s="71"/>
      <c r="AQ765" s="71"/>
      <c r="AR765" s="77"/>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c r="AA766" s="71"/>
      <c r="AB766" s="71"/>
      <c r="AC766" s="71"/>
      <c r="AD766" s="71"/>
      <c r="AE766" s="71"/>
      <c r="AF766" s="71"/>
      <c r="AG766" s="71"/>
      <c r="AH766" s="71"/>
      <c r="AI766" s="71"/>
      <c r="AJ766" s="71"/>
      <c r="AK766" s="71"/>
      <c r="AL766" s="71"/>
      <c r="AM766" s="71"/>
      <c r="AN766" s="71"/>
      <c r="AO766" s="71"/>
      <c r="AP766" s="71"/>
      <c r="AQ766" s="71"/>
      <c r="AR766" s="77"/>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c r="AA767" s="71"/>
      <c r="AB767" s="71"/>
      <c r="AC767" s="71"/>
      <c r="AD767" s="71"/>
      <c r="AE767" s="71"/>
      <c r="AF767" s="71"/>
      <c r="AG767" s="71"/>
      <c r="AH767" s="71"/>
      <c r="AI767" s="71"/>
      <c r="AJ767" s="71"/>
      <c r="AK767" s="71"/>
      <c r="AL767" s="71"/>
      <c r="AM767" s="71"/>
      <c r="AN767" s="71"/>
      <c r="AO767" s="71"/>
      <c r="AP767" s="71"/>
      <c r="AQ767" s="71"/>
      <c r="AR767" s="77"/>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c r="AA768" s="71"/>
      <c r="AB768" s="71"/>
      <c r="AC768" s="71"/>
      <c r="AD768" s="71"/>
      <c r="AE768" s="71"/>
      <c r="AF768" s="71"/>
      <c r="AG768" s="71"/>
      <c r="AH768" s="71"/>
      <c r="AI768" s="71"/>
      <c r="AJ768" s="71"/>
      <c r="AK768" s="71"/>
      <c r="AL768" s="71"/>
      <c r="AM768" s="71"/>
      <c r="AN768" s="71"/>
      <c r="AO768" s="71"/>
      <c r="AP768" s="71"/>
      <c r="AQ768" s="71"/>
      <c r="AR768" s="77"/>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c r="AA769" s="71"/>
      <c r="AB769" s="71"/>
      <c r="AC769" s="71"/>
      <c r="AD769" s="71"/>
      <c r="AE769" s="71"/>
      <c r="AF769" s="71"/>
      <c r="AG769" s="71"/>
      <c r="AH769" s="71"/>
      <c r="AI769" s="71"/>
      <c r="AJ769" s="71"/>
      <c r="AK769" s="71"/>
      <c r="AL769" s="71"/>
      <c r="AM769" s="71"/>
      <c r="AN769" s="71"/>
      <c r="AO769" s="71"/>
      <c r="AP769" s="71"/>
      <c r="AQ769" s="71"/>
      <c r="AR769" s="77"/>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c r="AA770" s="71"/>
      <c r="AB770" s="71"/>
      <c r="AC770" s="71"/>
      <c r="AD770" s="71"/>
      <c r="AE770" s="71"/>
      <c r="AF770" s="71"/>
      <c r="AG770" s="71"/>
      <c r="AH770" s="71"/>
      <c r="AI770" s="71"/>
      <c r="AJ770" s="71"/>
      <c r="AK770" s="71"/>
      <c r="AL770" s="71"/>
      <c r="AM770" s="71"/>
      <c r="AN770" s="71"/>
      <c r="AO770" s="71"/>
      <c r="AP770" s="71"/>
      <c r="AQ770" s="71"/>
      <c r="AR770" s="77"/>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c r="AA771" s="71"/>
      <c r="AB771" s="71"/>
      <c r="AC771" s="71"/>
      <c r="AD771" s="71"/>
      <c r="AE771" s="71"/>
      <c r="AF771" s="71"/>
      <c r="AG771" s="71"/>
      <c r="AH771" s="71"/>
      <c r="AI771" s="71"/>
      <c r="AJ771" s="71"/>
      <c r="AK771" s="71"/>
      <c r="AL771" s="71"/>
      <c r="AM771" s="71"/>
      <c r="AN771" s="71"/>
      <c r="AO771" s="71"/>
      <c r="AP771" s="71"/>
      <c r="AQ771" s="71"/>
      <c r="AR771" s="77"/>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c r="AA772" s="71"/>
      <c r="AB772" s="71"/>
      <c r="AC772" s="71"/>
      <c r="AD772" s="71"/>
      <c r="AE772" s="71"/>
      <c r="AF772" s="71"/>
      <c r="AG772" s="71"/>
      <c r="AH772" s="71"/>
      <c r="AI772" s="71"/>
      <c r="AJ772" s="71"/>
      <c r="AK772" s="71"/>
      <c r="AL772" s="71"/>
      <c r="AM772" s="71"/>
      <c r="AN772" s="71"/>
      <c r="AO772" s="71"/>
      <c r="AP772" s="71"/>
      <c r="AQ772" s="71"/>
      <c r="AR772" s="77"/>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c r="AA773" s="71"/>
      <c r="AB773" s="71"/>
      <c r="AC773" s="71"/>
      <c r="AD773" s="71"/>
      <c r="AE773" s="71"/>
      <c r="AF773" s="71"/>
      <c r="AG773" s="71"/>
      <c r="AH773" s="71"/>
      <c r="AI773" s="71"/>
      <c r="AJ773" s="71"/>
      <c r="AK773" s="71"/>
      <c r="AL773" s="71"/>
      <c r="AM773" s="71"/>
      <c r="AN773" s="71"/>
      <c r="AO773" s="71"/>
      <c r="AP773" s="71"/>
      <c r="AQ773" s="71"/>
      <c r="AR773" s="77"/>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c r="AA774" s="71"/>
      <c r="AB774" s="71"/>
      <c r="AC774" s="71"/>
      <c r="AD774" s="71"/>
      <c r="AE774" s="71"/>
      <c r="AF774" s="71"/>
      <c r="AG774" s="71"/>
      <c r="AH774" s="71"/>
      <c r="AI774" s="71"/>
      <c r="AJ774" s="71"/>
      <c r="AK774" s="71"/>
      <c r="AL774" s="71"/>
      <c r="AM774" s="71"/>
      <c r="AN774" s="71"/>
      <c r="AO774" s="71"/>
      <c r="AP774" s="71"/>
      <c r="AQ774" s="71"/>
      <c r="AR774" s="77"/>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c r="AA775" s="71"/>
      <c r="AB775" s="71"/>
      <c r="AC775" s="71"/>
      <c r="AD775" s="71"/>
      <c r="AE775" s="71"/>
      <c r="AF775" s="71"/>
      <c r="AG775" s="71"/>
      <c r="AH775" s="71"/>
      <c r="AI775" s="71"/>
      <c r="AJ775" s="71"/>
      <c r="AK775" s="71"/>
      <c r="AL775" s="71"/>
      <c r="AM775" s="71"/>
      <c r="AN775" s="71"/>
      <c r="AO775" s="71"/>
      <c r="AP775" s="71"/>
      <c r="AQ775" s="71"/>
      <c r="AR775" s="77"/>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c r="AA776" s="71"/>
      <c r="AB776" s="71"/>
      <c r="AC776" s="71"/>
      <c r="AD776" s="71"/>
      <c r="AE776" s="71"/>
      <c r="AF776" s="71"/>
      <c r="AG776" s="71"/>
      <c r="AH776" s="71"/>
      <c r="AI776" s="71"/>
      <c r="AJ776" s="71"/>
      <c r="AK776" s="71"/>
      <c r="AL776" s="71"/>
      <c r="AM776" s="71"/>
      <c r="AN776" s="71"/>
      <c r="AO776" s="71"/>
      <c r="AP776" s="71"/>
      <c r="AQ776" s="71"/>
      <c r="AR776" s="77"/>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c r="AA777" s="71"/>
      <c r="AB777" s="71"/>
      <c r="AC777" s="71"/>
      <c r="AD777" s="71"/>
      <c r="AE777" s="71"/>
      <c r="AF777" s="71"/>
      <c r="AG777" s="71"/>
      <c r="AH777" s="71"/>
      <c r="AI777" s="71"/>
      <c r="AJ777" s="71"/>
      <c r="AK777" s="71"/>
      <c r="AL777" s="71"/>
      <c r="AM777" s="71"/>
      <c r="AN777" s="71"/>
      <c r="AO777" s="71"/>
      <c r="AP777" s="71"/>
      <c r="AQ777" s="71"/>
      <c r="AR777" s="77"/>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c r="AA778" s="71"/>
      <c r="AB778" s="71"/>
      <c r="AC778" s="71"/>
      <c r="AD778" s="71"/>
      <c r="AE778" s="71"/>
      <c r="AF778" s="71"/>
      <c r="AG778" s="71"/>
      <c r="AH778" s="71"/>
      <c r="AI778" s="71"/>
      <c r="AJ778" s="71"/>
      <c r="AK778" s="71"/>
      <c r="AL778" s="71"/>
      <c r="AM778" s="71"/>
      <c r="AN778" s="71"/>
      <c r="AO778" s="71"/>
      <c r="AP778" s="71"/>
      <c r="AQ778" s="71"/>
      <c r="AR778" s="77"/>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c r="AA779" s="71"/>
      <c r="AB779" s="71"/>
      <c r="AC779" s="71"/>
      <c r="AD779" s="71"/>
      <c r="AE779" s="71"/>
      <c r="AF779" s="71"/>
      <c r="AG779" s="71"/>
      <c r="AH779" s="71"/>
      <c r="AI779" s="71"/>
      <c r="AJ779" s="71"/>
      <c r="AK779" s="71"/>
      <c r="AL779" s="71"/>
      <c r="AM779" s="71"/>
      <c r="AN779" s="71"/>
      <c r="AO779" s="71"/>
      <c r="AP779" s="71"/>
      <c r="AQ779" s="71"/>
      <c r="AR779" s="77"/>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c r="AA780" s="71"/>
      <c r="AB780" s="71"/>
      <c r="AC780" s="71"/>
      <c r="AD780" s="71"/>
      <c r="AE780" s="71"/>
      <c r="AF780" s="71"/>
      <c r="AG780" s="71"/>
      <c r="AH780" s="71"/>
      <c r="AI780" s="71"/>
      <c r="AJ780" s="71"/>
      <c r="AK780" s="71"/>
      <c r="AL780" s="71"/>
      <c r="AM780" s="71"/>
      <c r="AN780" s="71"/>
      <c r="AO780" s="71"/>
      <c r="AP780" s="71"/>
      <c r="AQ780" s="71"/>
      <c r="AR780" s="77"/>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c r="AA781" s="71"/>
      <c r="AB781" s="71"/>
      <c r="AC781" s="71"/>
      <c r="AD781" s="71"/>
      <c r="AE781" s="71"/>
      <c r="AF781" s="71"/>
      <c r="AG781" s="71"/>
      <c r="AH781" s="71"/>
      <c r="AI781" s="71"/>
      <c r="AJ781" s="71"/>
      <c r="AK781" s="71"/>
      <c r="AL781" s="71"/>
      <c r="AM781" s="71"/>
      <c r="AN781" s="71"/>
      <c r="AO781" s="71"/>
      <c r="AP781" s="71"/>
      <c r="AQ781" s="71"/>
      <c r="AR781" s="77"/>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c r="AA782" s="71"/>
      <c r="AB782" s="71"/>
      <c r="AC782" s="71"/>
      <c r="AD782" s="71"/>
      <c r="AE782" s="71"/>
      <c r="AF782" s="71"/>
      <c r="AG782" s="71"/>
      <c r="AH782" s="71"/>
      <c r="AI782" s="71"/>
      <c r="AJ782" s="71"/>
      <c r="AK782" s="71"/>
      <c r="AL782" s="71"/>
      <c r="AM782" s="71"/>
      <c r="AN782" s="71"/>
      <c r="AO782" s="71"/>
      <c r="AP782" s="71"/>
      <c r="AQ782" s="71"/>
      <c r="AR782" s="77"/>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c r="AA783" s="71"/>
      <c r="AB783" s="71"/>
      <c r="AC783" s="71"/>
      <c r="AD783" s="71"/>
      <c r="AE783" s="71"/>
      <c r="AF783" s="71"/>
      <c r="AG783" s="71"/>
      <c r="AH783" s="71"/>
      <c r="AI783" s="71"/>
      <c r="AJ783" s="71"/>
      <c r="AK783" s="71"/>
      <c r="AL783" s="71"/>
      <c r="AM783" s="71"/>
      <c r="AN783" s="71"/>
      <c r="AO783" s="71"/>
      <c r="AP783" s="71"/>
      <c r="AQ783" s="71"/>
      <c r="AR783" s="77"/>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c r="AA784" s="71"/>
      <c r="AB784" s="71"/>
      <c r="AC784" s="71"/>
      <c r="AD784" s="71"/>
      <c r="AE784" s="71"/>
      <c r="AF784" s="71"/>
      <c r="AG784" s="71"/>
      <c r="AH784" s="71"/>
      <c r="AI784" s="71"/>
      <c r="AJ784" s="71"/>
      <c r="AK784" s="71"/>
      <c r="AL784" s="71"/>
      <c r="AM784" s="71"/>
      <c r="AN784" s="71"/>
      <c r="AO784" s="71"/>
      <c r="AP784" s="71"/>
      <c r="AQ784" s="71"/>
      <c r="AR784" s="77"/>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c r="AA785" s="71"/>
      <c r="AB785" s="71"/>
      <c r="AC785" s="71"/>
      <c r="AD785" s="71"/>
      <c r="AE785" s="71"/>
      <c r="AF785" s="71"/>
      <c r="AG785" s="71"/>
      <c r="AH785" s="71"/>
      <c r="AI785" s="71"/>
      <c r="AJ785" s="71"/>
      <c r="AK785" s="71"/>
      <c r="AL785" s="71"/>
      <c r="AM785" s="71"/>
      <c r="AN785" s="71"/>
      <c r="AO785" s="71"/>
      <c r="AP785" s="71"/>
      <c r="AQ785" s="71"/>
      <c r="AR785" s="77"/>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c r="AA786" s="71"/>
      <c r="AB786" s="71"/>
      <c r="AC786" s="71"/>
      <c r="AD786" s="71"/>
      <c r="AE786" s="71"/>
      <c r="AF786" s="71"/>
      <c r="AG786" s="71"/>
      <c r="AH786" s="71"/>
      <c r="AI786" s="71"/>
      <c r="AJ786" s="71"/>
      <c r="AK786" s="71"/>
      <c r="AL786" s="71"/>
      <c r="AM786" s="71"/>
      <c r="AN786" s="71"/>
      <c r="AO786" s="71"/>
      <c r="AP786" s="71"/>
      <c r="AQ786" s="71"/>
      <c r="AR786" s="77"/>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c r="AA787" s="71"/>
      <c r="AB787" s="71"/>
      <c r="AC787" s="71"/>
      <c r="AD787" s="71"/>
      <c r="AE787" s="71"/>
      <c r="AF787" s="71"/>
      <c r="AG787" s="71"/>
      <c r="AH787" s="71"/>
      <c r="AI787" s="71"/>
      <c r="AJ787" s="71"/>
      <c r="AK787" s="71"/>
      <c r="AL787" s="71"/>
      <c r="AM787" s="71"/>
      <c r="AN787" s="71"/>
      <c r="AO787" s="71"/>
      <c r="AP787" s="71"/>
      <c r="AQ787" s="71"/>
      <c r="AR787" s="77"/>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c r="AA788" s="71"/>
      <c r="AB788" s="71"/>
      <c r="AC788" s="71"/>
      <c r="AD788" s="71"/>
      <c r="AE788" s="71"/>
      <c r="AF788" s="71"/>
      <c r="AG788" s="71"/>
      <c r="AH788" s="71"/>
      <c r="AI788" s="71"/>
      <c r="AJ788" s="71"/>
      <c r="AK788" s="71"/>
      <c r="AL788" s="71"/>
      <c r="AM788" s="71"/>
      <c r="AN788" s="71"/>
      <c r="AO788" s="71"/>
      <c r="AP788" s="71"/>
      <c r="AQ788" s="71"/>
      <c r="AR788" s="77"/>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c r="AA789" s="71"/>
      <c r="AB789" s="71"/>
      <c r="AC789" s="71"/>
      <c r="AD789" s="71"/>
      <c r="AE789" s="71"/>
      <c r="AF789" s="71"/>
      <c r="AG789" s="71"/>
      <c r="AH789" s="71"/>
      <c r="AI789" s="71"/>
      <c r="AJ789" s="71"/>
      <c r="AK789" s="71"/>
      <c r="AL789" s="71"/>
      <c r="AM789" s="71"/>
      <c r="AN789" s="71"/>
      <c r="AO789" s="71"/>
      <c r="AP789" s="71"/>
      <c r="AQ789" s="71"/>
      <c r="AR789" s="77"/>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c r="AA790" s="71"/>
      <c r="AB790" s="71"/>
      <c r="AC790" s="71"/>
      <c r="AD790" s="71"/>
      <c r="AE790" s="71"/>
      <c r="AF790" s="71"/>
      <c r="AG790" s="71"/>
      <c r="AH790" s="71"/>
      <c r="AI790" s="71"/>
      <c r="AJ790" s="71"/>
      <c r="AK790" s="71"/>
      <c r="AL790" s="71"/>
      <c r="AM790" s="71"/>
      <c r="AN790" s="71"/>
      <c r="AO790" s="71"/>
      <c r="AP790" s="71"/>
      <c r="AQ790" s="71"/>
      <c r="AR790" s="77"/>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c r="AA791" s="71"/>
      <c r="AB791" s="71"/>
      <c r="AC791" s="71"/>
      <c r="AD791" s="71"/>
      <c r="AE791" s="71"/>
      <c r="AF791" s="71"/>
      <c r="AG791" s="71"/>
      <c r="AH791" s="71"/>
      <c r="AI791" s="71"/>
      <c r="AJ791" s="71"/>
      <c r="AK791" s="71"/>
      <c r="AL791" s="71"/>
      <c r="AM791" s="71"/>
      <c r="AN791" s="71"/>
      <c r="AO791" s="71"/>
      <c r="AP791" s="71"/>
      <c r="AQ791" s="71"/>
      <c r="AR791" s="77"/>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c r="AA792" s="71"/>
      <c r="AB792" s="71"/>
      <c r="AC792" s="71"/>
      <c r="AD792" s="71"/>
      <c r="AE792" s="71"/>
      <c r="AF792" s="71"/>
      <c r="AG792" s="71"/>
      <c r="AH792" s="71"/>
      <c r="AI792" s="71"/>
      <c r="AJ792" s="71"/>
      <c r="AK792" s="71"/>
      <c r="AL792" s="71"/>
      <c r="AM792" s="71"/>
      <c r="AN792" s="71"/>
      <c r="AO792" s="71"/>
      <c r="AP792" s="71"/>
      <c r="AQ792" s="71"/>
      <c r="AR792" s="77"/>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c r="AA793" s="71"/>
      <c r="AB793" s="71"/>
      <c r="AC793" s="71"/>
      <c r="AD793" s="71"/>
      <c r="AE793" s="71"/>
      <c r="AF793" s="71"/>
      <c r="AG793" s="71"/>
      <c r="AH793" s="71"/>
      <c r="AI793" s="71"/>
      <c r="AJ793" s="71"/>
      <c r="AK793" s="71"/>
      <c r="AL793" s="71"/>
      <c r="AM793" s="71"/>
      <c r="AN793" s="71"/>
      <c r="AO793" s="71"/>
      <c r="AP793" s="71"/>
      <c r="AQ793" s="71"/>
      <c r="AR793" s="77"/>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c r="AA794" s="71"/>
      <c r="AB794" s="71"/>
      <c r="AC794" s="71"/>
      <c r="AD794" s="71"/>
      <c r="AE794" s="71"/>
      <c r="AF794" s="71"/>
      <c r="AG794" s="71"/>
      <c r="AH794" s="71"/>
      <c r="AI794" s="71"/>
      <c r="AJ794" s="71"/>
      <c r="AK794" s="71"/>
      <c r="AL794" s="71"/>
      <c r="AM794" s="71"/>
      <c r="AN794" s="71"/>
      <c r="AO794" s="71"/>
      <c r="AP794" s="71"/>
      <c r="AQ794" s="71"/>
      <c r="AR794" s="77"/>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c r="AA795" s="71"/>
      <c r="AB795" s="71"/>
      <c r="AC795" s="71"/>
      <c r="AD795" s="71"/>
      <c r="AE795" s="71"/>
      <c r="AF795" s="71"/>
      <c r="AG795" s="71"/>
      <c r="AH795" s="71"/>
      <c r="AI795" s="71"/>
      <c r="AJ795" s="71"/>
      <c r="AK795" s="71"/>
      <c r="AL795" s="71"/>
      <c r="AM795" s="71"/>
      <c r="AN795" s="71"/>
      <c r="AO795" s="71"/>
      <c r="AP795" s="71"/>
      <c r="AQ795" s="71"/>
      <c r="AR795" s="77"/>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c r="AA796" s="71"/>
      <c r="AB796" s="71"/>
      <c r="AC796" s="71"/>
      <c r="AD796" s="71"/>
      <c r="AE796" s="71"/>
      <c r="AF796" s="71"/>
      <c r="AG796" s="71"/>
      <c r="AH796" s="71"/>
      <c r="AI796" s="71"/>
      <c r="AJ796" s="71"/>
      <c r="AK796" s="71"/>
      <c r="AL796" s="71"/>
      <c r="AM796" s="71"/>
      <c r="AN796" s="71"/>
      <c r="AO796" s="71"/>
      <c r="AP796" s="71"/>
      <c r="AQ796" s="71"/>
      <c r="AR796" s="77"/>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c r="AA797" s="71"/>
      <c r="AB797" s="71"/>
      <c r="AC797" s="71"/>
      <c r="AD797" s="71"/>
      <c r="AE797" s="71"/>
      <c r="AF797" s="71"/>
      <c r="AG797" s="71"/>
      <c r="AH797" s="71"/>
      <c r="AI797" s="71"/>
      <c r="AJ797" s="71"/>
      <c r="AK797" s="71"/>
      <c r="AL797" s="71"/>
      <c r="AM797" s="71"/>
      <c r="AN797" s="71"/>
      <c r="AO797" s="71"/>
      <c r="AP797" s="71"/>
      <c r="AQ797" s="71"/>
      <c r="AR797" s="77"/>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c r="AA798" s="71"/>
      <c r="AB798" s="71"/>
      <c r="AC798" s="71"/>
      <c r="AD798" s="71"/>
      <c r="AE798" s="71"/>
      <c r="AF798" s="71"/>
      <c r="AG798" s="71"/>
      <c r="AH798" s="71"/>
      <c r="AI798" s="71"/>
      <c r="AJ798" s="71"/>
      <c r="AK798" s="71"/>
      <c r="AL798" s="71"/>
      <c r="AM798" s="71"/>
      <c r="AN798" s="71"/>
      <c r="AO798" s="71"/>
      <c r="AP798" s="71"/>
      <c r="AQ798" s="71"/>
      <c r="AR798" s="77"/>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c r="AA799" s="71"/>
      <c r="AB799" s="71"/>
      <c r="AC799" s="71"/>
      <c r="AD799" s="71"/>
      <c r="AE799" s="71"/>
      <c r="AF799" s="71"/>
      <c r="AG799" s="71"/>
      <c r="AH799" s="71"/>
      <c r="AI799" s="71"/>
      <c r="AJ799" s="71"/>
      <c r="AK799" s="71"/>
      <c r="AL799" s="71"/>
      <c r="AM799" s="71"/>
      <c r="AN799" s="71"/>
      <c r="AO799" s="71"/>
      <c r="AP799" s="71"/>
      <c r="AQ799" s="71"/>
      <c r="AR799" s="77"/>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c r="AA800" s="71"/>
      <c r="AB800" s="71"/>
      <c r="AC800" s="71"/>
      <c r="AD800" s="71"/>
      <c r="AE800" s="71"/>
      <c r="AF800" s="71"/>
      <c r="AG800" s="71"/>
      <c r="AH800" s="71"/>
      <c r="AI800" s="71"/>
      <c r="AJ800" s="71"/>
      <c r="AK800" s="71"/>
      <c r="AL800" s="71"/>
      <c r="AM800" s="71"/>
      <c r="AN800" s="71"/>
      <c r="AO800" s="71"/>
      <c r="AP800" s="71"/>
      <c r="AQ800" s="71"/>
      <c r="AR800" s="77"/>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c r="AA801" s="71"/>
      <c r="AB801" s="71"/>
      <c r="AC801" s="71"/>
      <c r="AD801" s="71"/>
      <c r="AE801" s="71"/>
      <c r="AF801" s="71"/>
      <c r="AG801" s="71"/>
      <c r="AH801" s="71"/>
      <c r="AI801" s="71"/>
      <c r="AJ801" s="71"/>
      <c r="AK801" s="71"/>
      <c r="AL801" s="71"/>
      <c r="AM801" s="71"/>
      <c r="AN801" s="71"/>
      <c r="AO801" s="71"/>
      <c r="AP801" s="71"/>
      <c r="AQ801" s="71"/>
      <c r="AR801" s="77"/>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c r="AA802" s="71"/>
      <c r="AB802" s="71"/>
      <c r="AC802" s="71"/>
      <c r="AD802" s="71"/>
      <c r="AE802" s="71"/>
      <c r="AF802" s="71"/>
      <c r="AG802" s="71"/>
      <c r="AH802" s="71"/>
      <c r="AI802" s="71"/>
      <c r="AJ802" s="71"/>
      <c r="AK802" s="71"/>
      <c r="AL802" s="71"/>
      <c r="AM802" s="71"/>
      <c r="AN802" s="71"/>
      <c r="AO802" s="71"/>
      <c r="AP802" s="71"/>
      <c r="AQ802" s="71"/>
      <c r="AR802" s="77"/>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c r="AA803" s="71"/>
      <c r="AB803" s="71"/>
      <c r="AC803" s="71"/>
      <c r="AD803" s="71"/>
      <c r="AE803" s="71"/>
      <c r="AF803" s="71"/>
      <c r="AG803" s="71"/>
      <c r="AH803" s="71"/>
      <c r="AI803" s="71"/>
      <c r="AJ803" s="71"/>
      <c r="AK803" s="71"/>
      <c r="AL803" s="71"/>
      <c r="AM803" s="71"/>
      <c r="AN803" s="71"/>
      <c r="AO803" s="71"/>
      <c r="AP803" s="71"/>
      <c r="AQ803" s="71"/>
      <c r="AR803" s="77"/>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c r="AA804" s="71"/>
      <c r="AB804" s="71"/>
      <c r="AC804" s="71"/>
      <c r="AD804" s="71"/>
      <c r="AE804" s="71"/>
      <c r="AF804" s="71"/>
      <c r="AG804" s="71"/>
      <c r="AH804" s="71"/>
      <c r="AI804" s="71"/>
      <c r="AJ804" s="71"/>
      <c r="AK804" s="71"/>
      <c r="AL804" s="71"/>
      <c r="AM804" s="71"/>
      <c r="AN804" s="71"/>
      <c r="AO804" s="71"/>
      <c r="AP804" s="71"/>
      <c r="AQ804" s="71"/>
      <c r="AR804" s="77"/>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c r="AA805" s="71"/>
      <c r="AB805" s="71"/>
      <c r="AC805" s="71"/>
      <c r="AD805" s="71"/>
      <c r="AE805" s="71"/>
      <c r="AF805" s="71"/>
      <c r="AG805" s="71"/>
      <c r="AH805" s="71"/>
      <c r="AI805" s="71"/>
      <c r="AJ805" s="71"/>
      <c r="AK805" s="71"/>
      <c r="AL805" s="71"/>
      <c r="AM805" s="71"/>
      <c r="AN805" s="71"/>
      <c r="AO805" s="71"/>
      <c r="AP805" s="71"/>
      <c r="AQ805" s="71"/>
      <c r="AR805" s="77"/>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c r="AA806" s="71"/>
      <c r="AB806" s="71"/>
      <c r="AC806" s="71"/>
      <c r="AD806" s="71"/>
      <c r="AE806" s="71"/>
      <c r="AF806" s="71"/>
      <c r="AG806" s="71"/>
      <c r="AH806" s="71"/>
      <c r="AI806" s="71"/>
      <c r="AJ806" s="71"/>
      <c r="AK806" s="71"/>
      <c r="AL806" s="71"/>
      <c r="AM806" s="71"/>
      <c r="AN806" s="71"/>
      <c r="AO806" s="71"/>
      <c r="AP806" s="71"/>
      <c r="AQ806" s="71"/>
      <c r="AR806" s="77"/>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c r="AA807" s="71"/>
      <c r="AB807" s="71"/>
      <c r="AC807" s="71"/>
      <c r="AD807" s="71"/>
      <c r="AE807" s="71"/>
      <c r="AF807" s="71"/>
      <c r="AG807" s="71"/>
      <c r="AH807" s="71"/>
      <c r="AI807" s="71"/>
      <c r="AJ807" s="71"/>
      <c r="AK807" s="71"/>
      <c r="AL807" s="71"/>
      <c r="AM807" s="71"/>
      <c r="AN807" s="71"/>
      <c r="AO807" s="71"/>
      <c r="AP807" s="71"/>
      <c r="AQ807" s="71"/>
      <c r="AR807" s="77"/>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c r="AA808" s="71"/>
      <c r="AB808" s="71"/>
      <c r="AC808" s="71"/>
      <c r="AD808" s="71"/>
      <c r="AE808" s="71"/>
      <c r="AF808" s="71"/>
      <c r="AG808" s="71"/>
      <c r="AH808" s="71"/>
      <c r="AI808" s="71"/>
      <c r="AJ808" s="71"/>
      <c r="AK808" s="71"/>
      <c r="AL808" s="71"/>
      <c r="AM808" s="71"/>
      <c r="AN808" s="71"/>
      <c r="AO808" s="71"/>
      <c r="AP808" s="71"/>
      <c r="AQ808" s="71"/>
      <c r="AR808" s="77"/>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c r="AA809" s="71"/>
      <c r="AB809" s="71"/>
      <c r="AC809" s="71"/>
      <c r="AD809" s="71"/>
      <c r="AE809" s="71"/>
      <c r="AF809" s="71"/>
      <c r="AG809" s="71"/>
      <c r="AH809" s="71"/>
      <c r="AI809" s="71"/>
      <c r="AJ809" s="71"/>
      <c r="AK809" s="71"/>
      <c r="AL809" s="71"/>
      <c r="AM809" s="71"/>
      <c r="AN809" s="71"/>
      <c r="AO809" s="71"/>
      <c r="AP809" s="71"/>
      <c r="AQ809" s="71"/>
      <c r="AR809" s="77"/>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c r="AA810" s="71"/>
      <c r="AB810" s="71"/>
      <c r="AC810" s="71"/>
      <c r="AD810" s="71"/>
      <c r="AE810" s="71"/>
      <c r="AF810" s="71"/>
      <c r="AG810" s="71"/>
      <c r="AH810" s="71"/>
      <c r="AI810" s="71"/>
      <c r="AJ810" s="71"/>
      <c r="AK810" s="71"/>
      <c r="AL810" s="71"/>
      <c r="AM810" s="71"/>
      <c r="AN810" s="71"/>
      <c r="AO810" s="71"/>
      <c r="AP810" s="71"/>
      <c r="AQ810" s="71"/>
      <c r="AR810" s="77"/>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c r="AA811" s="71"/>
      <c r="AB811" s="71"/>
      <c r="AC811" s="71"/>
      <c r="AD811" s="71"/>
      <c r="AE811" s="71"/>
      <c r="AF811" s="71"/>
      <c r="AG811" s="71"/>
      <c r="AH811" s="71"/>
      <c r="AI811" s="71"/>
      <c r="AJ811" s="71"/>
      <c r="AK811" s="71"/>
      <c r="AL811" s="71"/>
      <c r="AM811" s="71"/>
      <c r="AN811" s="71"/>
      <c r="AO811" s="71"/>
      <c r="AP811" s="71"/>
      <c r="AQ811" s="71"/>
      <c r="AR811" s="77"/>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c r="AA812" s="71"/>
      <c r="AB812" s="71"/>
      <c r="AC812" s="71"/>
      <c r="AD812" s="71"/>
      <c r="AE812" s="71"/>
      <c r="AF812" s="71"/>
      <c r="AG812" s="71"/>
      <c r="AH812" s="71"/>
      <c r="AI812" s="71"/>
      <c r="AJ812" s="71"/>
      <c r="AK812" s="71"/>
      <c r="AL812" s="71"/>
      <c r="AM812" s="71"/>
      <c r="AN812" s="71"/>
      <c r="AO812" s="71"/>
      <c r="AP812" s="71"/>
      <c r="AQ812" s="71"/>
      <c r="AR812" s="77"/>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c r="AA813" s="71"/>
      <c r="AB813" s="71"/>
      <c r="AC813" s="71"/>
      <c r="AD813" s="71"/>
      <c r="AE813" s="71"/>
      <c r="AF813" s="71"/>
      <c r="AG813" s="71"/>
      <c r="AH813" s="71"/>
      <c r="AI813" s="71"/>
      <c r="AJ813" s="71"/>
      <c r="AK813" s="71"/>
      <c r="AL813" s="71"/>
      <c r="AM813" s="71"/>
      <c r="AN813" s="71"/>
      <c r="AO813" s="71"/>
      <c r="AP813" s="71"/>
      <c r="AQ813" s="71"/>
      <c r="AR813" s="77"/>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c r="AA814" s="71"/>
      <c r="AB814" s="71"/>
      <c r="AC814" s="71"/>
      <c r="AD814" s="71"/>
      <c r="AE814" s="71"/>
      <c r="AF814" s="71"/>
      <c r="AG814" s="71"/>
      <c r="AH814" s="71"/>
      <c r="AI814" s="71"/>
      <c r="AJ814" s="71"/>
      <c r="AK814" s="71"/>
      <c r="AL814" s="71"/>
      <c r="AM814" s="71"/>
      <c r="AN814" s="71"/>
      <c r="AO814" s="71"/>
      <c r="AP814" s="71"/>
      <c r="AQ814" s="71"/>
      <c r="AR814" s="77"/>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c r="AA815" s="71"/>
      <c r="AB815" s="71"/>
      <c r="AC815" s="71"/>
      <c r="AD815" s="71"/>
      <c r="AE815" s="71"/>
      <c r="AF815" s="71"/>
      <c r="AG815" s="71"/>
      <c r="AH815" s="71"/>
      <c r="AI815" s="71"/>
      <c r="AJ815" s="71"/>
      <c r="AK815" s="71"/>
      <c r="AL815" s="71"/>
      <c r="AM815" s="71"/>
      <c r="AN815" s="71"/>
      <c r="AO815" s="71"/>
      <c r="AP815" s="71"/>
      <c r="AQ815" s="71"/>
      <c r="AR815" s="77"/>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c r="AA816" s="71"/>
      <c r="AB816" s="71"/>
      <c r="AC816" s="71"/>
      <c r="AD816" s="71"/>
      <c r="AE816" s="71"/>
      <c r="AF816" s="71"/>
      <c r="AG816" s="71"/>
      <c r="AH816" s="71"/>
      <c r="AI816" s="71"/>
      <c r="AJ816" s="71"/>
      <c r="AK816" s="71"/>
      <c r="AL816" s="71"/>
      <c r="AM816" s="71"/>
      <c r="AN816" s="71"/>
      <c r="AO816" s="71"/>
      <c r="AP816" s="71"/>
      <c r="AQ816" s="71"/>
      <c r="AR816" s="77"/>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c r="AA817" s="71"/>
      <c r="AB817" s="71"/>
      <c r="AC817" s="71"/>
      <c r="AD817" s="71"/>
      <c r="AE817" s="71"/>
      <c r="AF817" s="71"/>
      <c r="AG817" s="71"/>
      <c r="AH817" s="71"/>
      <c r="AI817" s="71"/>
      <c r="AJ817" s="71"/>
      <c r="AK817" s="71"/>
      <c r="AL817" s="71"/>
      <c r="AM817" s="71"/>
      <c r="AN817" s="71"/>
      <c r="AO817" s="71"/>
      <c r="AP817" s="71"/>
      <c r="AQ817" s="71"/>
      <c r="AR817" s="77"/>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c r="AA818" s="71"/>
      <c r="AB818" s="71"/>
      <c r="AC818" s="71"/>
      <c r="AD818" s="71"/>
      <c r="AE818" s="71"/>
      <c r="AF818" s="71"/>
      <c r="AG818" s="71"/>
      <c r="AH818" s="71"/>
      <c r="AI818" s="71"/>
      <c r="AJ818" s="71"/>
      <c r="AK818" s="71"/>
      <c r="AL818" s="71"/>
      <c r="AM818" s="71"/>
      <c r="AN818" s="71"/>
      <c r="AO818" s="71"/>
      <c r="AP818" s="71"/>
      <c r="AQ818" s="71"/>
      <c r="AR818" s="77"/>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c r="AA819" s="71"/>
      <c r="AB819" s="71"/>
      <c r="AC819" s="71"/>
      <c r="AD819" s="71"/>
      <c r="AE819" s="71"/>
      <c r="AF819" s="71"/>
      <c r="AG819" s="71"/>
      <c r="AH819" s="71"/>
      <c r="AI819" s="71"/>
      <c r="AJ819" s="71"/>
      <c r="AK819" s="71"/>
      <c r="AL819" s="71"/>
      <c r="AM819" s="71"/>
      <c r="AN819" s="71"/>
      <c r="AO819" s="71"/>
      <c r="AP819" s="71"/>
      <c r="AQ819" s="71"/>
      <c r="AR819" s="77"/>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c r="AA820" s="71"/>
      <c r="AB820" s="71"/>
      <c r="AC820" s="71"/>
      <c r="AD820" s="71"/>
      <c r="AE820" s="71"/>
      <c r="AF820" s="71"/>
      <c r="AG820" s="71"/>
      <c r="AH820" s="71"/>
      <c r="AI820" s="71"/>
      <c r="AJ820" s="71"/>
      <c r="AK820" s="71"/>
      <c r="AL820" s="71"/>
      <c r="AM820" s="71"/>
      <c r="AN820" s="71"/>
      <c r="AO820" s="71"/>
      <c r="AP820" s="71"/>
      <c r="AQ820" s="71"/>
      <c r="AR820" s="77"/>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c r="AA821" s="71"/>
      <c r="AB821" s="71"/>
      <c r="AC821" s="71"/>
      <c r="AD821" s="71"/>
      <c r="AE821" s="71"/>
      <c r="AF821" s="71"/>
      <c r="AG821" s="71"/>
      <c r="AH821" s="71"/>
      <c r="AI821" s="71"/>
      <c r="AJ821" s="71"/>
      <c r="AK821" s="71"/>
      <c r="AL821" s="71"/>
      <c r="AM821" s="71"/>
      <c r="AN821" s="71"/>
      <c r="AO821" s="71"/>
      <c r="AP821" s="71"/>
      <c r="AQ821" s="71"/>
      <c r="AR821" s="77"/>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c r="AA822" s="71"/>
      <c r="AB822" s="71"/>
      <c r="AC822" s="71"/>
      <c r="AD822" s="71"/>
      <c r="AE822" s="71"/>
      <c r="AF822" s="71"/>
      <c r="AG822" s="71"/>
      <c r="AH822" s="71"/>
      <c r="AI822" s="71"/>
      <c r="AJ822" s="71"/>
      <c r="AK822" s="71"/>
      <c r="AL822" s="71"/>
      <c r="AM822" s="71"/>
      <c r="AN822" s="71"/>
      <c r="AO822" s="71"/>
      <c r="AP822" s="71"/>
      <c r="AQ822" s="71"/>
      <c r="AR822" s="77"/>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c r="AA823" s="71"/>
      <c r="AB823" s="71"/>
      <c r="AC823" s="71"/>
      <c r="AD823" s="71"/>
      <c r="AE823" s="71"/>
      <c r="AF823" s="71"/>
      <c r="AG823" s="71"/>
      <c r="AH823" s="71"/>
      <c r="AI823" s="71"/>
      <c r="AJ823" s="71"/>
      <c r="AK823" s="71"/>
      <c r="AL823" s="71"/>
      <c r="AM823" s="71"/>
      <c r="AN823" s="71"/>
      <c r="AO823" s="71"/>
      <c r="AP823" s="71"/>
      <c r="AQ823" s="71"/>
      <c r="AR823" s="77"/>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c r="AA824" s="71"/>
      <c r="AB824" s="71"/>
      <c r="AC824" s="71"/>
      <c r="AD824" s="71"/>
      <c r="AE824" s="71"/>
      <c r="AF824" s="71"/>
      <c r="AG824" s="71"/>
      <c r="AH824" s="71"/>
      <c r="AI824" s="71"/>
      <c r="AJ824" s="71"/>
      <c r="AK824" s="71"/>
      <c r="AL824" s="71"/>
      <c r="AM824" s="71"/>
      <c r="AN824" s="71"/>
      <c r="AO824" s="71"/>
      <c r="AP824" s="71"/>
      <c r="AQ824" s="71"/>
      <c r="AR824" s="77"/>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c r="AA825" s="71"/>
      <c r="AB825" s="71"/>
      <c r="AC825" s="71"/>
      <c r="AD825" s="71"/>
      <c r="AE825" s="71"/>
      <c r="AF825" s="71"/>
      <c r="AG825" s="71"/>
      <c r="AH825" s="71"/>
      <c r="AI825" s="71"/>
      <c r="AJ825" s="71"/>
      <c r="AK825" s="71"/>
      <c r="AL825" s="71"/>
      <c r="AM825" s="71"/>
      <c r="AN825" s="71"/>
      <c r="AO825" s="71"/>
      <c r="AP825" s="71"/>
      <c r="AQ825" s="71"/>
      <c r="AR825" s="77"/>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c r="AA826" s="71"/>
      <c r="AB826" s="71"/>
      <c r="AC826" s="71"/>
      <c r="AD826" s="71"/>
      <c r="AE826" s="71"/>
      <c r="AF826" s="71"/>
      <c r="AG826" s="71"/>
      <c r="AH826" s="71"/>
      <c r="AI826" s="71"/>
      <c r="AJ826" s="71"/>
      <c r="AK826" s="71"/>
      <c r="AL826" s="71"/>
      <c r="AM826" s="71"/>
      <c r="AN826" s="71"/>
      <c r="AO826" s="71"/>
      <c r="AP826" s="71"/>
      <c r="AQ826" s="71"/>
      <c r="AR826" s="77"/>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c r="AA827" s="71"/>
      <c r="AB827" s="71"/>
      <c r="AC827" s="71"/>
      <c r="AD827" s="71"/>
      <c r="AE827" s="71"/>
      <c r="AF827" s="71"/>
      <c r="AG827" s="71"/>
      <c r="AH827" s="71"/>
      <c r="AI827" s="71"/>
      <c r="AJ827" s="71"/>
      <c r="AK827" s="71"/>
      <c r="AL827" s="71"/>
      <c r="AM827" s="71"/>
      <c r="AN827" s="71"/>
      <c r="AO827" s="71"/>
      <c r="AP827" s="71"/>
      <c r="AQ827" s="71"/>
      <c r="AR827" s="77"/>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c r="AA828" s="71"/>
      <c r="AB828" s="71"/>
      <c r="AC828" s="71"/>
      <c r="AD828" s="71"/>
      <c r="AE828" s="71"/>
      <c r="AF828" s="71"/>
      <c r="AG828" s="71"/>
      <c r="AH828" s="71"/>
      <c r="AI828" s="71"/>
      <c r="AJ828" s="71"/>
      <c r="AK828" s="71"/>
      <c r="AL828" s="71"/>
      <c r="AM828" s="71"/>
      <c r="AN828" s="71"/>
      <c r="AO828" s="71"/>
      <c r="AP828" s="71"/>
      <c r="AQ828" s="71"/>
      <c r="AR828" s="77"/>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c r="AA829" s="71"/>
      <c r="AB829" s="71"/>
      <c r="AC829" s="71"/>
      <c r="AD829" s="71"/>
      <c r="AE829" s="71"/>
      <c r="AF829" s="71"/>
      <c r="AG829" s="71"/>
      <c r="AH829" s="71"/>
      <c r="AI829" s="71"/>
      <c r="AJ829" s="71"/>
      <c r="AK829" s="71"/>
      <c r="AL829" s="71"/>
      <c r="AM829" s="71"/>
      <c r="AN829" s="71"/>
      <c r="AO829" s="71"/>
      <c r="AP829" s="71"/>
      <c r="AQ829" s="71"/>
      <c r="AR829" s="77"/>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c r="AA830" s="71"/>
      <c r="AB830" s="71"/>
      <c r="AC830" s="71"/>
      <c r="AD830" s="71"/>
      <c r="AE830" s="71"/>
      <c r="AF830" s="71"/>
      <c r="AG830" s="71"/>
      <c r="AH830" s="71"/>
      <c r="AI830" s="71"/>
      <c r="AJ830" s="71"/>
      <c r="AK830" s="71"/>
      <c r="AL830" s="71"/>
      <c r="AM830" s="71"/>
      <c r="AN830" s="71"/>
      <c r="AO830" s="71"/>
      <c r="AP830" s="71"/>
      <c r="AQ830" s="71"/>
      <c r="AR830" s="77"/>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c r="AA831" s="71"/>
      <c r="AB831" s="71"/>
      <c r="AC831" s="71"/>
      <c r="AD831" s="71"/>
      <c r="AE831" s="71"/>
      <c r="AF831" s="71"/>
      <c r="AG831" s="71"/>
      <c r="AH831" s="71"/>
      <c r="AI831" s="71"/>
      <c r="AJ831" s="71"/>
      <c r="AK831" s="71"/>
      <c r="AL831" s="71"/>
      <c r="AM831" s="71"/>
      <c r="AN831" s="71"/>
      <c r="AO831" s="71"/>
      <c r="AP831" s="71"/>
      <c r="AQ831" s="71"/>
      <c r="AR831" s="77"/>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c r="AA832" s="71"/>
      <c r="AB832" s="71"/>
      <c r="AC832" s="71"/>
      <c r="AD832" s="71"/>
      <c r="AE832" s="71"/>
      <c r="AF832" s="71"/>
      <c r="AG832" s="71"/>
      <c r="AH832" s="71"/>
      <c r="AI832" s="71"/>
      <c r="AJ832" s="71"/>
      <c r="AK832" s="71"/>
      <c r="AL832" s="71"/>
      <c r="AM832" s="71"/>
      <c r="AN832" s="71"/>
      <c r="AO832" s="71"/>
      <c r="AP832" s="71"/>
      <c r="AQ832" s="71"/>
      <c r="AR832" s="77"/>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c r="AA833" s="71"/>
      <c r="AB833" s="71"/>
      <c r="AC833" s="71"/>
      <c r="AD833" s="71"/>
      <c r="AE833" s="71"/>
      <c r="AF833" s="71"/>
      <c r="AG833" s="71"/>
      <c r="AH833" s="71"/>
      <c r="AI833" s="71"/>
      <c r="AJ833" s="71"/>
      <c r="AK833" s="71"/>
      <c r="AL833" s="71"/>
      <c r="AM833" s="71"/>
      <c r="AN833" s="71"/>
      <c r="AO833" s="71"/>
      <c r="AP833" s="71"/>
      <c r="AQ833" s="71"/>
      <c r="AR833" s="77"/>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c r="AA834" s="71"/>
      <c r="AB834" s="71"/>
      <c r="AC834" s="71"/>
      <c r="AD834" s="71"/>
      <c r="AE834" s="71"/>
      <c r="AF834" s="71"/>
      <c r="AG834" s="71"/>
      <c r="AH834" s="71"/>
      <c r="AI834" s="71"/>
      <c r="AJ834" s="71"/>
      <c r="AK834" s="71"/>
      <c r="AL834" s="71"/>
      <c r="AM834" s="71"/>
      <c r="AN834" s="71"/>
      <c r="AO834" s="71"/>
      <c r="AP834" s="71"/>
      <c r="AQ834" s="71"/>
      <c r="AR834" s="77"/>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c r="AA835" s="71"/>
      <c r="AB835" s="71"/>
      <c r="AC835" s="71"/>
      <c r="AD835" s="71"/>
      <c r="AE835" s="71"/>
      <c r="AF835" s="71"/>
      <c r="AG835" s="71"/>
      <c r="AH835" s="71"/>
      <c r="AI835" s="71"/>
      <c r="AJ835" s="71"/>
      <c r="AK835" s="71"/>
      <c r="AL835" s="71"/>
      <c r="AM835" s="71"/>
      <c r="AN835" s="71"/>
      <c r="AO835" s="71"/>
      <c r="AP835" s="71"/>
      <c r="AQ835" s="71"/>
      <c r="AR835" s="77"/>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c r="AA836" s="71"/>
      <c r="AB836" s="71"/>
      <c r="AC836" s="71"/>
      <c r="AD836" s="71"/>
      <c r="AE836" s="71"/>
      <c r="AF836" s="71"/>
      <c r="AG836" s="71"/>
      <c r="AH836" s="71"/>
      <c r="AI836" s="71"/>
      <c r="AJ836" s="71"/>
      <c r="AK836" s="71"/>
      <c r="AL836" s="71"/>
      <c r="AM836" s="71"/>
      <c r="AN836" s="71"/>
      <c r="AO836" s="71"/>
      <c r="AP836" s="71"/>
      <c r="AQ836" s="71"/>
      <c r="AR836" s="77"/>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c r="AA837" s="71"/>
      <c r="AB837" s="71"/>
      <c r="AC837" s="71"/>
      <c r="AD837" s="71"/>
      <c r="AE837" s="71"/>
      <c r="AF837" s="71"/>
      <c r="AG837" s="71"/>
      <c r="AH837" s="71"/>
      <c r="AI837" s="71"/>
      <c r="AJ837" s="71"/>
      <c r="AK837" s="71"/>
      <c r="AL837" s="71"/>
      <c r="AM837" s="71"/>
      <c r="AN837" s="71"/>
      <c r="AO837" s="71"/>
      <c r="AP837" s="71"/>
      <c r="AQ837" s="71"/>
      <c r="AR837" s="77"/>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c r="AA838" s="71"/>
      <c r="AB838" s="71"/>
      <c r="AC838" s="71"/>
      <c r="AD838" s="71"/>
      <c r="AE838" s="71"/>
      <c r="AF838" s="71"/>
      <c r="AG838" s="71"/>
      <c r="AH838" s="71"/>
      <c r="AI838" s="71"/>
      <c r="AJ838" s="71"/>
      <c r="AK838" s="71"/>
      <c r="AL838" s="71"/>
      <c r="AM838" s="71"/>
      <c r="AN838" s="71"/>
      <c r="AO838" s="71"/>
      <c r="AP838" s="71"/>
      <c r="AQ838" s="71"/>
      <c r="AR838" s="77"/>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c r="AA839" s="71"/>
      <c r="AB839" s="71"/>
      <c r="AC839" s="71"/>
      <c r="AD839" s="71"/>
      <c r="AE839" s="71"/>
      <c r="AF839" s="71"/>
      <c r="AG839" s="71"/>
      <c r="AH839" s="71"/>
      <c r="AI839" s="71"/>
      <c r="AJ839" s="71"/>
      <c r="AK839" s="71"/>
      <c r="AL839" s="71"/>
      <c r="AM839" s="71"/>
      <c r="AN839" s="71"/>
      <c r="AO839" s="71"/>
      <c r="AP839" s="71"/>
      <c r="AQ839" s="71"/>
      <c r="AR839" s="77"/>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c r="AA840" s="71"/>
      <c r="AB840" s="71"/>
      <c r="AC840" s="71"/>
      <c r="AD840" s="71"/>
      <c r="AE840" s="71"/>
      <c r="AF840" s="71"/>
      <c r="AG840" s="71"/>
      <c r="AH840" s="71"/>
      <c r="AI840" s="71"/>
      <c r="AJ840" s="71"/>
      <c r="AK840" s="71"/>
      <c r="AL840" s="71"/>
      <c r="AM840" s="71"/>
      <c r="AN840" s="71"/>
      <c r="AO840" s="71"/>
      <c r="AP840" s="71"/>
      <c r="AQ840" s="71"/>
      <c r="AR840" s="77"/>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c r="AA841" s="71"/>
      <c r="AB841" s="71"/>
      <c r="AC841" s="71"/>
      <c r="AD841" s="71"/>
      <c r="AE841" s="71"/>
      <c r="AF841" s="71"/>
      <c r="AG841" s="71"/>
      <c r="AH841" s="71"/>
      <c r="AI841" s="71"/>
      <c r="AJ841" s="71"/>
      <c r="AK841" s="71"/>
      <c r="AL841" s="71"/>
      <c r="AM841" s="71"/>
      <c r="AN841" s="71"/>
      <c r="AO841" s="71"/>
      <c r="AP841" s="71"/>
      <c r="AQ841" s="71"/>
      <c r="AR841" s="77"/>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c r="AA842" s="71"/>
      <c r="AB842" s="71"/>
      <c r="AC842" s="71"/>
      <c r="AD842" s="71"/>
      <c r="AE842" s="71"/>
      <c r="AF842" s="71"/>
      <c r="AG842" s="71"/>
      <c r="AH842" s="71"/>
      <c r="AI842" s="71"/>
      <c r="AJ842" s="71"/>
      <c r="AK842" s="71"/>
      <c r="AL842" s="71"/>
      <c r="AM842" s="71"/>
      <c r="AN842" s="71"/>
      <c r="AO842" s="71"/>
      <c r="AP842" s="71"/>
      <c r="AQ842" s="71"/>
      <c r="AR842" s="77"/>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c r="AA843" s="71"/>
      <c r="AB843" s="71"/>
      <c r="AC843" s="71"/>
      <c r="AD843" s="71"/>
      <c r="AE843" s="71"/>
      <c r="AF843" s="71"/>
      <c r="AG843" s="71"/>
      <c r="AH843" s="71"/>
      <c r="AI843" s="71"/>
      <c r="AJ843" s="71"/>
      <c r="AK843" s="71"/>
      <c r="AL843" s="71"/>
      <c r="AM843" s="71"/>
      <c r="AN843" s="71"/>
      <c r="AO843" s="71"/>
      <c r="AP843" s="71"/>
      <c r="AQ843" s="71"/>
      <c r="AR843" s="77"/>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c r="AA844" s="71"/>
      <c r="AB844" s="71"/>
      <c r="AC844" s="71"/>
      <c r="AD844" s="71"/>
      <c r="AE844" s="71"/>
      <c r="AF844" s="71"/>
      <c r="AG844" s="71"/>
      <c r="AH844" s="71"/>
      <c r="AI844" s="71"/>
      <c r="AJ844" s="71"/>
      <c r="AK844" s="71"/>
      <c r="AL844" s="71"/>
      <c r="AM844" s="71"/>
      <c r="AN844" s="71"/>
      <c r="AO844" s="71"/>
      <c r="AP844" s="71"/>
      <c r="AQ844" s="71"/>
      <c r="AR844" s="77"/>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c r="AA845" s="71"/>
      <c r="AB845" s="71"/>
      <c r="AC845" s="71"/>
      <c r="AD845" s="71"/>
      <c r="AE845" s="71"/>
      <c r="AF845" s="71"/>
      <c r="AG845" s="71"/>
      <c r="AH845" s="71"/>
      <c r="AI845" s="71"/>
      <c r="AJ845" s="71"/>
      <c r="AK845" s="71"/>
      <c r="AL845" s="71"/>
      <c r="AM845" s="71"/>
      <c r="AN845" s="71"/>
      <c r="AO845" s="71"/>
      <c r="AP845" s="71"/>
      <c r="AQ845" s="71"/>
      <c r="AR845" s="77"/>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c r="AA846" s="71"/>
      <c r="AB846" s="71"/>
      <c r="AC846" s="71"/>
      <c r="AD846" s="71"/>
      <c r="AE846" s="71"/>
      <c r="AF846" s="71"/>
      <c r="AG846" s="71"/>
      <c r="AH846" s="71"/>
      <c r="AI846" s="71"/>
      <c r="AJ846" s="71"/>
      <c r="AK846" s="71"/>
      <c r="AL846" s="71"/>
      <c r="AM846" s="71"/>
      <c r="AN846" s="71"/>
      <c r="AO846" s="71"/>
      <c r="AP846" s="71"/>
      <c r="AQ846" s="71"/>
      <c r="AR846" s="77"/>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c r="AA847" s="71"/>
      <c r="AB847" s="71"/>
      <c r="AC847" s="71"/>
      <c r="AD847" s="71"/>
      <c r="AE847" s="71"/>
      <c r="AF847" s="71"/>
      <c r="AG847" s="71"/>
      <c r="AH847" s="71"/>
      <c r="AI847" s="71"/>
      <c r="AJ847" s="71"/>
      <c r="AK847" s="71"/>
      <c r="AL847" s="71"/>
      <c r="AM847" s="71"/>
      <c r="AN847" s="71"/>
      <c r="AO847" s="71"/>
      <c r="AP847" s="71"/>
      <c r="AQ847" s="71"/>
      <c r="AR847" s="77"/>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c r="AA848" s="71"/>
      <c r="AB848" s="71"/>
      <c r="AC848" s="71"/>
      <c r="AD848" s="71"/>
      <c r="AE848" s="71"/>
      <c r="AF848" s="71"/>
      <c r="AG848" s="71"/>
      <c r="AH848" s="71"/>
      <c r="AI848" s="71"/>
      <c r="AJ848" s="71"/>
      <c r="AK848" s="71"/>
      <c r="AL848" s="71"/>
      <c r="AM848" s="71"/>
      <c r="AN848" s="71"/>
      <c r="AO848" s="71"/>
      <c r="AP848" s="71"/>
      <c r="AQ848" s="71"/>
      <c r="AR848" s="77"/>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c r="AA849" s="71"/>
      <c r="AB849" s="71"/>
      <c r="AC849" s="71"/>
      <c r="AD849" s="71"/>
      <c r="AE849" s="71"/>
      <c r="AF849" s="71"/>
      <c r="AG849" s="71"/>
      <c r="AH849" s="71"/>
      <c r="AI849" s="71"/>
      <c r="AJ849" s="71"/>
      <c r="AK849" s="71"/>
      <c r="AL849" s="71"/>
      <c r="AM849" s="71"/>
      <c r="AN849" s="71"/>
      <c r="AO849" s="71"/>
      <c r="AP849" s="71"/>
      <c r="AQ849" s="71"/>
      <c r="AR849" s="77"/>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c r="AA850" s="71"/>
      <c r="AB850" s="71"/>
      <c r="AC850" s="71"/>
      <c r="AD850" s="71"/>
      <c r="AE850" s="71"/>
      <c r="AF850" s="71"/>
      <c r="AG850" s="71"/>
      <c r="AH850" s="71"/>
      <c r="AI850" s="71"/>
      <c r="AJ850" s="71"/>
      <c r="AK850" s="71"/>
      <c r="AL850" s="71"/>
      <c r="AM850" s="71"/>
      <c r="AN850" s="71"/>
      <c r="AO850" s="71"/>
      <c r="AP850" s="71"/>
      <c r="AQ850" s="71"/>
      <c r="AR850" s="77"/>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c r="AA851" s="71"/>
      <c r="AB851" s="71"/>
      <c r="AC851" s="71"/>
      <c r="AD851" s="71"/>
      <c r="AE851" s="71"/>
      <c r="AF851" s="71"/>
      <c r="AG851" s="71"/>
      <c r="AH851" s="71"/>
      <c r="AI851" s="71"/>
      <c r="AJ851" s="71"/>
      <c r="AK851" s="71"/>
      <c r="AL851" s="71"/>
      <c r="AM851" s="71"/>
      <c r="AN851" s="71"/>
      <c r="AO851" s="71"/>
      <c r="AP851" s="71"/>
      <c r="AQ851" s="71"/>
      <c r="AR851" s="77"/>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c r="AA852" s="71"/>
      <c r="AB852" s="71"/>
      <c r="AC852" s="71"/>
      <c r="AD852" s="71"/>
      <c r="AE852" s="71"/>
      <c r="AF852" s="71"/>
      <c r="AG852" s="71"/>
      <c r="AH852" s="71"/>
      <c r="AI852" s="71"/>
      <c r="AJ852" s="71"/>
      <c r="AK852" s="71"/>
      <c r="AL852" s="71"/>
      <c r="AM852" s="71"/>
      <c r="AN852" s="71"/>
      <c r="AO852" s="71"/>
      <c r="AP852" s="71"/>
      <c r="AQ852" s="71"/>
      <c r="AR852" s="77"/>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c r="AA853" s="71"/>
      <c r="AB853" s="71"/>
      <c r="AC853" s="71"/>
      <c r="AD853" s="71"/>
      <c r="AE853" s="71"/>
      <c r="AF853" s="71"/>
      <c r="AG853" s="71"/>
      <c r="AH853" s="71"/>
      <c r="AI853" s="71"/>
      <c r="AJ853" s="71"/>
      <c r="AK853" s="71"/>
      <c r="AL853" s="71"/>
      <c r="AM853" s="71"/>
      <c r="AN853" s="71"/>
      <c r="AO853" s="71"/>
      <c r="AP853" s="71"/>
      <c r="AQ853" s="71"/>
      <c r="AR853" s="77"/>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c r="AA854" s="71"/>
      <c r="AB854" s="71"/>
      <c r="AC854" s="71"/>
      <c r="AD854" s="71"/>
      <c r="AE854" s="71"/>
      <c r="AF854" s="71"/>
      <c r="AG854" s="71"/>
      <c r="AH854" s="71"/>
      <c r="AI854" s="71"/>
      <c r="AJ854" s="71"/>
      <c r="AK854" s="71"/>
      <c r="AL854" s="71"/>
      <c r="AM854" s="71"/>
      <c r="AN854" s="71"/>
      <c r="AO854" s="71"/>
      <c r="AP854" s="71"/>
      <c r="AQ854" s="71"/>
      <c r="AR854" s="77"/>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c r="AA855" s="71"/>
      <c r="AB855" s="71"/>
      <c r="AC855" s="71"/>
      <c r="AD855" s="71"/>
      <c r="AE855" s="71"/>
      <c r="AF855" s="71"/>
      <c r="AG855" s="71"/>
      <c r="AH855" s="71"/>
      <c r="AI855" s="71"/>
      <c r="AJ855" s="71"/>
      <c r="AK855" s="71"/>
      <c r="AL855" s="71"/>
      <c r="AM855" s="71"/>
      <c r="AN855" s="71"/>
      <c r="AO855" s="71"/>
      <c r="AP855" s="71"/>
      <c r="AQ855" s="71"/>
      <c r="AR855" s="77"/>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c r="AA856" s="71"/>
      <c r="AB856" s="71"/>
      <c r="AC856" s="71"/>
      <c r="AD856" s="71"/>
      <c r="AE856" s="71"/>
      <c r="AF856" s="71"/>
      <c r="AG856" s="71"/>
      <c r="AH856" s="71"/>
      <c r="AI856" s="71"/>
      <c r="AJ856" s="71"/>
      <c r="AK856" s="71"/>
      <c r="AL856" s="71"/>
      <c r="AM856" s="71"/>
      <c r="AN856" s="71"/>
      <c r="AO856" s="71"/>
      <c r="AP856" s="71"/>
      <c r="AQ856" s="71"/>
      <c r="AR856" s="77"/>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c r="AA857" s="71"/>
      <c r="AB857" s="71"/>
      <c r="AC857" s="71"/>
      <c r="AD857" s="71"/>
      <c r="AE857" s="71"/>
      <c r="AF857" s="71"/>
      <c r="AG857" s="71"/>
      <c r="AH857" s="71"/>
      <c r="AI857" s="71"/>
      <c r="AJ857" s="71"/>
      <c r="AK857" s="71"/>
      <c r="AL857" s="71"/>
      <c r="AM857" s="71"/>
      <c r="AN857" s="71"/>
      <c r="AO857" s="71"/>
      <c r="AP857" s="71"/>
      <c r="AQ857" s="71"/>
      <c r="AR857" s="77"/>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c r="AA858" s="71"/>
      <c r="AB858" s="71"/>
      <c r="AC858" s="71"/>
      <c r="AD858" s="71"/>
      <c r="AE858" s="71"/>
      <c r="AF858" s="71"/>
      <c r="AG858" s="71"/>
      <c r="AH858" s="71"/>
      <c r="AI858" s="71"/>
      <c r="AJ858" s="71"/>
      <c r="AK858" s="71"/>
      <c r="AL858" s="71"/>
      <c r="AM858" s="71"/>
      <c r="AN858" s="71"/>
      <c r="AO858" s="71"/>
      <c r="AP858" s="71"/>
      <c r="AQ858" s="71"/>
      <c r="AR858" s="77"/>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c r="AA859" s="71"/>
      <c r="AB859" s="71"/>
      <c r="AC859" s="71"/>
      <c r="AD859" s="71"/>
      <c r="AE859" s="71"/>
      <c r="AF859" s="71"/>
      <c r="AG859" s="71"/>
      <c r="AH859" s="71"/>
      <c r="AI859" s="71"/>
      <c r="AJ859" s="71"/>
      <c r="AK859" s="71"/>
      <c r="AL859" s="71"/>
      <c r="AM859" s="71"/>
      <c r="AN859" s="71"/>
      <c r="AO859" s="71"/>
      <c r="AP859" s="71"/>
      <c r="AQ859" s="71"/>
      <c r="AR859" s="77"/>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c r="AA860" s="71"/>
      <c r="AB860" s="71"/>
      <c r="AC860" s="71"/>
      <c r="AD860" s="71"/>
      <c r="AE860" s="71"/>
      <c r="AF860" s="71"/>
      <c r="AG860" s="71"/>
      <c r="AH860" s="71"/>
      <c r="AI860" s="71"/>
      <c r="AJ860" s="71"/>
      <c r="AK860" s="71"/>
      <c r="AL860" s="71"/>
      <c r="AM860" s="71"/>
      <c r="AN860" s="71"/>
      <c r="AO860" s="71"/>
      <c r="AP860" s="71"/>
      <c r="AQ860" s="71"/>
      <c r="AR860" s="77"/>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c r="AA861" s="71"/>
      <c r="AB861" s="71"/>
      <c r="AC861" s="71"/>
      <c r="AD861" s="71"/>
      <c r="AE861" s="71"/>
      <c r="AF861" s="71"/>
      <c r="AG861" s="71"/>
      <c r="AH861" s="71"/>
      <c r="AI861" s="71"/>
      <c r="AJ861" s="71"/>
      <c r="AK861" s="71"/>
      <c r="AL861" s="71"/>
      <c r="AM861" s="71"/>
      <c r="AN861" s="71"/>
      <c r="AO861" s="71"/>
      <c r="AP861" s="71"/>
      <c r="AQ861" s="71"/>
      <c r="AR861" s="77"/>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c r="AA862" s="71"/>
      <c r="AB862" s="71"/>
      <c r="AC862" s="71"/>
      <c r="AD862" s="71"/>
      <c r="AE862" s="71"/>
      <c r="AF862" s="71"/>
      <c r="AG862" s="71"/>
      <c r="AH862" s="71"/>
      <c r="AI862" s="71"/>
      <c r="AJ862" s="71"/>
      <c r="AK862" s="71"/>
      <c r="AL862" s="71"/>
      <c r="AM862" s="71"/>
      <c r="AN862" s="71"/>
      <c r="AO862" s="71"/>
      <c r="AP862" s="71"/>
      <c r="AQ862" s="71"/>
      <c r="AR862" s="77"/>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c r="AA863" s="71"/>
      <c r="AB863" s="71"/>
      <c r="AC863" s="71"/>
      <c r="AD863" s="71"/>
      <c r="AE863" s="71"/>
      <c r="AF863" s="71"/>
      <c r="AG863" s="71"/>
      <c r="AH863" s="71"/>
      <c r="AI863" s="71"/>
      <c r="AJ863" s="71"/>
      <c r="AK863" s="71"/>
      <c r="AL863" s="71"/>
      <c r="AM863" s="71"/>
      <c r="AN863" s="71"/>
      <c r="AO863" s="71"/>
      <c r="AP863" s="71"/>
      <c r="AQ863" s="71"/>
      <c r="AR863" s="77"/>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c r="AA864" s="71"/>
      <c r="AB864" s="71"/>
      <c r="AC864" s="71"/>
      <c r="AD864" s="71"/>
      <c r="AE864" s="71"/>
      <c r="AF864" s="71"/>
      <c r="AG864" s="71"/>
      <c r="AH864" s="71"/>
      <c r="AI864" s="71"/>
      <c r="AJ864" s="71"/>
      <c r="AK864" s="71"/>
      <c r="AL864" s="71"/>
      <c r="AM864" s="71"/>
      <c r="AN864" s="71"/>
      <c r="AO864" s="71"/>
      <c r="AP864" s="71"/>
      <c r="AQ864" s="71"/>
      <c r="AR864" s="77"/>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c r="AA865" s="71"/>
      <c r="AB865" s="71"/>
      <c r="AC865" s="71"/>
      <c r="AD865" s="71"/>
      <c r="AE865" s="71"/>
      <c r="AF865" s="71"/>
      <c r="AG865" s="71"/>
      <c r="AH865" s="71"/>
      <c r="AI865" s="71"/>
      <c r="AJ865" s="71"/>
      <c r="AK865" s="71"/>
      <c r="AL865" s="71"/>
      <c r="AM865" s="71"/>
      <c r="AN865" s="71"/>
      <c r="AO865" s="71"/>
      <c r="AP865" s="71"/>
      <c r="AQ865" s="71"/>
      <c r="AR865" s="77"/>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c r="AA866" s="71"/>
      <c r="AB866" s="71"/>
      <c r="AC866" s="71"/>
      <c r="AD866" s="71"/>
      <c r="AE866" s="71"/>
      <c r="AF866" s="71"/>
      <c r="AG866" s="71"/>
      <c r="AH866" s="71"/>
      <c r="AI866" s="71"/>
      <c r="AJ866" s="71"/>
      <c r="AK866" s="71"/>
      <c r="AL866" s="71"/>
      <c r="AM866" s="71"/>
      <c r="AN866" s="71"/>
      <c r="AO866" s="71"/>
      <c r="AP866" s="71"/>
      <c r="AQ866" s="71"/>
      <c r="AR866" s="77"/>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c r="AA867" s="71"/>
      <c r="AB867" s="71"/>
      <c r="AC867" s="71"/>
      <c r="AD867" s="71"/>
      <c r="AE867" s="71"/>
      <c r="AF867" s="71"/>
      <c r="AG867" s="71"/>
      <c r="AH867" s="71"/>
      <c r="AI867" s="71"/>
      <c r="AJ867" s="71"/>
      <c r="AK867" s="71"/>
      <c r="AL867" s="71"/>
      <c r="AM867" s="71"/>
      <c r="AN867" s="71"/>
      <c r="AO867" s="71"/>
      <c r="AP867" s="71"/>
      <c r="AQ867" s="71"/>
      <c r="AR867" s="77"/>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c r="AA868" s="71"/>
      <c r="AB868" s="71"/>
      <c r="AC868" s="71"/>
      <c r="AD868" s="71"/>
      <c r="AE868" s="71"/>
      <c r="AF868" s="71"/>
      <c r="AG868" s="71"/>
      <c r="AH868" s="71"/>
      <c r="AI868" s="71"/>
      <c r="AJ868" s="71"/>
      <c r="AK868" s="71"/>
      <c r="AL868" s="71"/>
      <c r="AM868" s="71"/>
      <c r="AN868" s="71"/>
      <c r="AO868" s="71"/>
      <c r="AP868" s="71"/>
      <c r="AQ868" s="71"/>
      <c r="AR868" s="77"/>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c r="AA869" s="71"/>
      <c r="AB869" s="71"/>
      <c r="AC869" s="71"/>
      <c r="AD869" s="71"/>
      <c r="AE869" s="71"/>
      <c r="AF869" s="71"/>
      <c r="AG869" s="71"/>
      <c r="AH869" s="71"/>
      <c r="AI869" s="71"/>
      <c r="AJ869" s="71"/>
      <c r="AK869" s="71"/>
      <c r="AL869" s="71"/>
      <c r="AM869" s="71"/>
      <c r="AN869" s="71"/>
      <c r="AO869" s="71"/>
      <c r="AP869" s="71"/>
      <c r="AQ869" s="71"/>
      <c r="AR869" s="77"/>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c r="AA870" s="71"/>
      <c r="AB870" s="71"/>
      <c r="AC870" s="71"/>
      <c r="AD870" s="71"/>
      <c r="AE870" s="71"/>
      <c r="AF870" s="71"/>
      <c r="AG870" s="71"/>
      <c r="AH870" s="71"/>
      <c r="AI870" s="71"/>
      <c r="AJ870" s="71"/>
      <c r="AK870" s="71"/>
      <c r="AL870" s="71"/>
      <c r="AM870" s="71"/>
      <c r="AN870" s="71"/>
      <c r="AO870" s="71"/>
      <c r="AP870" s="71"/>
      <c r="AQ870" s="71"/>
      <c r="AR870" s="77"/>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c r="AA871" s="71"/>
      <c r="AB871" s="71"/>
      <c r="AC871" s="71"/>
      <c r="AD871" s="71"/>
      <c r="AE871" s="71"/>
      <c r="AF871" s="71"/>
      <c r="AG871" s="71"/>
      <c r="AH871" s="71"/>
      <c r="AI871" s="71"/>
      <c r="AJ871" s="71"/>
      <c r="AK871" s="71"/>
      <c r="AL871" s="71"/>
      <c r="AM871" s="71"/>
      <c r="AN871" s="71"/>
      <c r="AO871" s="71"/>
      <c r="AP871" s="71"/>
      <c r="AQ871" s="71"/>
      <c r="AR871" s="77"/>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c r="AA872" s="71"/>
      <c r="AB872" s="71"/>
      <c r="AC872" s="71"/>
      <c r="AD872" s="71"/>
      <c r="AE872" s="71"/>
      <c r="AF872" s="71"/>
      <c r="AG872" s="71"/>
      <c r="AH872" s="71"/>
      <c r="AI872" s="71"/>
      <c r="AJ872" s="71"/>
      <c r="AK872" s="71"/>
      <c r="AL872" s="71"/>
      <c r="AM872" s="71"/>
      <c r="AN872" s="71"/>
      <c r="AO872" s="71"/>
      <c r="AP872" s="71"/>
      <c r="AQ872" s="71"/>
      <c r="AR872" s="77"/>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c r="AA873" s="71"/>
      <c r="AB873" s="71"/>
      <c r="AC873" s="71"/>
      <c r="AD873" s="71"/>
      <c r="AE873" s="71"/>
      <c r="AF873" s="71"/>
      <c r="AG873" s="71"/>
      <c r="AH873" s="71"/>
      <c r="AI873" s="71"/>
      <c r="AJ873" s="71"/>
      <c r="AK873" s="71"/>
      <c r="AL873" s="71"/>
      <c r="AM873" s="71"/>
      <c r="AN873" s="71"/>
      <c r="AO873" s="71"/>
      <c r="AP873" s="71"/>
      <c r="AQ873" s="71"/>
      <c r="AR873" s="77"/>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c r="AA874" s="71"/>
      <c r="AB874" s="71"/>
      <c r="AC874" s="71"/>
      <c r="AD874" s="71"/>
      <c r="AE874" s="71"/>
      <c r="AF874" s="71"/>
      <c r="AG874" s="71"/>
      <c r="AH874" s="71"/>
      <c r="AI874" s="71"/>
      <c r="AJ874" s="71"/>
      <c r="AK874" s="71"/>
      <c r="AL874" s="71"/>
      <c r="AM874" s="71"/>
      <c r="AN874" s="71"/>
      <c r="AO874" s="71"/>
      <c r="AP874" s="71"/>
      <c r="AQ874" s="71"/>
      <c r="AR874" s="77"/>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c r="AA875" s="71"/>
      <c r="AB875" s="71"/>
      <c r="AC875" s="71"/>
      <c r="AD875" s="71"/>
      <c r="AE875" s="71"/>
      <c r="AF875" s="71"/>
      <c r="AG875" s="71"/>
      <c r="AH875" s="71"/>
      <c r="AI875" s="71"/>
      <c r="AJ875" s="71"/>
      <c r="AK875" s="71"/>
      <c r="AL875" s="71"/>
      <c r="AM875" s="71"/>
      <c r="AN875" s="71"/>
      <c r="AO875" s="71"/>
      <c r="AP875" s="71"/>
      <c r="AQ875" s="71"/>
      <c r="AR875" s="77"/>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c r="AA876" s="71"/>
      <c r="AB876" s="71"/>
      <c r="AC876" s="71"/>
      <c r="AD876" s="71"/>
      <c r="AE876" s="71"/>
      <c r="AF876" s="71"/>
      <c r="AG876" s="71"/>
      <c r="AH876" s="71"/>
      <c r="AI876" s="71"/>
      <c r="AJ876" s="71"/>
      <c r="AK876" s="71"/>
      <c r="AL876" s="71"/>
      <c r="AM876" s="71"/>
      <c r="AN876" s="71"/>
      <c r="AO876" s="71"/>
      <c r="AP876" s="71"/>
      <c r="AQ876" s="71"/>
      <c r="AR876" s="77"/>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c r="AA877" s="71"/>
      <c r="AB877" s="71"/>
      <c r="AC877" s="71"/>
      <c r="AD877" s="71"/>
      <c r="AE877" s="71"/>
      <c r="AF877" s="71"/>
      <c r="AG877" s="71"/>
      <c r="AH877" s="71"/>
      <c r="AI877" s="71"/>
      <c r="AJ877" s="71"/>
      <c r="AK877" s="71"/>
      <c r="AL877" s="71"/>
      <c r="AM877" s="71"/>
      <c r="AN877" s="71"/>
      <c r="AO877" s="71"/>
      <c r="AP877" s="71"/>
      <c r="AQ877" s="71"/>
      <c r="AR877" s="77"/>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7"/>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c r="AA879" s="71"/>
      <c r="AB879" s="71"/>
      <c r="AC879" s="71"/>
      <c r="AD879" s="71"/>
      <c r="AE879" s="71"/>
      <c r="AF879" s="71"/>
      <c r="AG879" s="71"/>
      <c r="AH879" s="71"/>
      <c r="AI879" s="71"/>
      <c r="AJ879" s="71"/>
      <c r="AK879" s="71"/>
      <c r="AL879" s="71"/>
      <c r="AM879" s="71"/>
      <c r="AN879" s="71"/>
      <c r="AO879" s="71"/>
      <c r="AP879" s="71"/>
      <c r="AQ879" s="71"/>
      <c r="AR879" s="77"/>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c r="AA880" s="71"/>
      <c r="AB880" s="71"/>
      <c r="AC880" s="71"/>
      <c r="AD880" s="71"/>
      <c r="AE880" s="71"/>
      <c r="AF880" s="71"/>
      <c r="AG880" s="71"/>
      <c r="AH880" s="71"/>
      <c r="AI880" s="71"/>
      <c r="AJ880" s="71"/>
      <c r="AK880" s="71"/>
      <c r="AL880" s="71"/>
      <c r="AM880" s="71"/>
      <c r="AN880" s="71"/>
      <c r="AO880" s="71"/>
      <c r="AP880" s="71"/>
      <c r="AQ880" s="71"/>
      <c r="AR880" s="77"/>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c r="AA881" s="71"/>
      <c r="AB881" s="71"/>
      <c r="AC881" s="71"/>
      <c r="AD881" s="71"/>
      <c r="AE881" s="71"/>
      <c r="AF881" s="71"/>
      <c r="AG881" s="71"/>
      <c r="AH881" s="71"/>
      <c r="AI881" s="71"/>
      <c r="AJ881" s="71"/>
      <c r="AK881" s="71"/>
      <c r="AL881" s="71"/>
      <c r="AM881" s="71"/>
      <c r="AN881" s="71"/>
      <c r="AO881" s="71"/>
      <c r="AP881" s="71"/>
      <c r="AQ881" s="71"/>
      <c r="AR881" s="77"/>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c r="AA882" s="71"/>
      <c r="AB882" s="71"/>
      <c r="AC882" s="71"/>
      <c r="AD882" s="71"/>
      <c r="AE882" s="71"/>
      <c r="AF882" s="71"/>
      <c r="AG882" s="71"/>
      <c r="AH882" s="71"/>
      <c r="AI882" s="71"/>
      <c r="AJ882" s="71"/>
      <c r="AK882" s="71"/>
      <c r="AL882" s="71"/>
      <c r="AM882" s="71"/>
      <c r="AN882" s="71"/>
      <c r="AO882" s="71"/>
      <c r="AP882" s="71"/>
      <c r="AQ882" s="71"/>
      <c r="AR882" s="77"/>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c r="AA883" s="71"/>
      <c r="AB883" s="71"/>
      <c r="AC883" s="71"/>
      <c r="AD883" s="71"/>
      <c r="AE883" s="71"/>
      <c r="AF883" s="71"/>
      <c r="AG883" s="71"/>
      <c r="AH883" s="71"/>
      <c r="AI883" s="71"/>
      <c r="AJ883" s="71"/>
      <c r="AK883" s="71"/>
      <c r="AL883" s="71"/>
      <c r="AM883" s="71"/>
      <c r="AN883" s="71"/>
      <c r="AO883" s="71"/>
      <c r="AP883" s="71"/>
      <c r="AQ883" s="71"/>
      <c r="AR883" s="77"/>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c r="AA884" s="71"/>
      <c r="AB884" s="71"/>
      <c r="AC884" s="71"/>
      <c r="AD884" s="71"/>
      <c r="AE884" s="71"/>
      <c r="AF884" s="71"/>
      <c r="AG884" s="71"/>
      <c r="AH884" s="71"/>
      <c r="AI884" s="71"/>
      <c r="AJ884" s="71"/>
      <c r="AK884" s="71"/>
      <c r="AL884" s="71"/>
      <c r="AM884" s="71"/>
      <c r="AN884" s="71"/>
      <c r="AO884" s="71"/>
      <c r="AP884" s="71"/>
      <c r="AQ884" s="71"/>
      <c r="AR884" s="77"/>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c r="AA885" s="71"/>
      <c r="AB885" s="71"/>
      <c r="AC885" s="71"/>
      <c r="AD885" s="71"/>
      <c r="AE885" s="71"/>
      <c r="AF885" s="71"/>
      <c r="AG885" s="71"/>
      <c r="AH885" s="71"/>
      <c r="AI885" s="71"/>
      <c r="AJ885" s="71"/>
      <c r="AK885" s="71"/>
      <c r="AL885" s="71"/>
      <c r="AM885" s="71"/>
      <c r="AN885" s="71"/>
      <c r="AO885" s="71"/>
      <c r="AP885" s="71"/>
      <c r="AQ885" s="71"/>
      <c r="AR885" s="77"/>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c r="AA886" s="71"/>
      <c r="AB886" s="71"/>
      <c r="AC886" s="71"/>
      <c r="AD886" s="71"/>
      <c r="AE886" s="71"/>
      <c r="AF886" s="71"/>
      <c r="AG886" s="71"/>
      <c r="AH886" s="71"/>
      <c r="AI886" s="71"/>
      <c r="AJ886" s="71"/>
      <c r="AK886" s="71"/>
      <c r="AL886" s="71"/>
      <c r="AM886" s="71"/>
      <c r="AN886" s="71"/>
      <c r="AO886" s="71"/>
      <c r="AP886" s="71"/>
      <c r="AQ886" s="71"/>
      <c r="AR886" s="77"/>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c r="AA887" s="71"/>
      <c r="AB887" s="71"/>
      <c r="AC887" s="71"/>
      <c r="AD887" s="71"/>
      <c r="AE887" s="71"/>
      <c r="AF887" s="71"/>
      <c r="AG887" s="71"/>
      <c r="AH887" s="71"/>
      <c r="AI887" s="71"/>
      <c r="AJ887" s="71"/>
      <c r="AK887" s="71"/>
      <c r="AL887" s="71"/>
      <c r="AM887" s="71"/>
      <c r="AN887" s="71"/>
      <c r="AO887" s="71"/>
      <c r="AP887" s="71"/>
      <c r="AQ887" s="71"/>
      <c r="AR887" s="77"/>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c r="AA888" s="71"/>
      <c r="AB888" s="71"/>
      <c r="AC888" s="71"/>
      <c r="AD888" s="71"/>
      <c r="AE888" s="71"/>
      <c r="AF888" s="71"/>
      <c r="AG888" s="71"/>
      <c r="AH888" s="71"/>
      <c r="AI888" s="71"/>
      <c r="AJ888" s="71"/>
      <c r="AK888" s="71"/>
      <c r="AL888" s="71"/>
      <c r="AM888" s="71"/>
      <c r="AN888" s="71"/>
      <c r="AO888" s="71"/>
      <c r="AP888" s="71"/>
      <c r="AQ888" s="71"/>
      <c r="AR888" s="77"/>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c r="AA889" s="71"/>
      <c r="AB889" s="71"/>
      <c r="AC889" s="71"/>
      <c r="AD889" s="71"/>
      <c r="AE889" s="71"/>
      <c r="AF889" s="71"/>
      <c r="AG889" s="71"/>
      <c r="AH889" s="71"/>
      <c r="AI889" s="71"/>
      <c r="AJ889" s="71"/>
      <c r="AK889" s="71"/>
      <c r="AL889" s="71"/>
      <c r="AM889" s="71"/>
      <c r="AN889" s="71"/>
      <c r="AO889" s="71"/>
      <c r="AP889" s="71"/>
      <c r="AQ889" s="71"/>
      <c r="AR889" s="77"/>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c r="AA890" s="71"/>
      <c r="AB890" s="71"/>
      <c r="AC890" s="71"/>
      <c r="AD890" s="71"/>
      <c r="AE890" s="71"/>
      <c r="AF890" s="71"/>
      <c r="AG890" s="71"/>
      <c r="AH890" s="71"/>
      <c r="AI890" s="71"/>
      <c r="AJ890" s="71"/>
      <c r="AK890" s="71"/>
      <c r="AL890" s="71"/>
      <c r="AM890" s="71"/>
      <c r="AN890" s="71"/>
      <c r="AO890" s="71"/>
      <c r="AP890" s="71"/>
      <c r="AQ890" s="71"/>
      <c r="AR890" s="77"/>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c r="AA891" s="71"/>
      <c r="AB891" s="71"/>
      <c r="AC891" s="71"/>
      <c r="AD891" s="71"/>
      <c r="AE891" s="71"/>
      <c r="AF891" s="71"/>
      <c r="AG891" s="71"/>
      <c r="AH891" s="71"/>
      <c r="AI891" s="71"/>
      <c r="AJ891" s="71"/>
      <c r="AK891" s="71"/>
      <c r="AL891" s="71"/>
      <c r="AM891" s="71"/>
      <c r="AN891" s="71"/>
      <c r="AO891" s="71"/>
      <c r="AP891" s="71"/>
      <c r="AQ891" s="71"/>
      <c r="AR891" s="77"/>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c r="AA892" s="71"/>
      <c r="AB892" s="71"/>
      <c r="AC892" s="71"/>
      <c r="AD892" s="71"/>
      <c r="AE892" s="71"/>
      <c r="AF892" s="71"/>
      <c r="AG892" s="71"/>
      <c r="AH892" s="71"/>
      <c r="AI892" s="71"/>
      <c r="AJ892" s="71"/>
      <c r="AK892" s="71"/>
      <c r="AL892" s="71"/>
      <c r="AM892" s="71"/>
      <c r="AN892" s="71"/>
      <c r="AO892" s="71"/>
      <c r="AP892" s="71"/>
      <c r="AQ892" s="71"/>
      <c r="AR892" s="77"/>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c r="AA893" s="71"/>
      <c r="AB893" s="71"/>
      <c r="AC893" s="71"/>
      <c r="AD893" s="71"/>
      <c r="AE893" s="71"/>
      <c r="AF893" s="71"/>
      <c r="AG893" s="71"/>
      <c r="AH893" s="71"/>
      <c r="AI893" s="71"/>
      <c r="AJ893" s="71"/>
      <c r="AK893" s="71"/>
      <c r="AL893" s="71"/>
      <c r="AM893" s="71"/>
      <c r="AN893" s="71"/>
      <c r="AO893" s="71"/>
      <c r="AP893" s="71"/>
      <c r="AQ893" s="71"/>
      <c r="AR893" s="77"/>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c r="AA894" s="71"/>
      <c r="AB894" s="71"/>
      <c r="AC894" s="71"/>
      <c r="AD894" s="71"/>
      <c r="AE894" s="71"/>
      <c r="AF894" s="71"/>
      <c r="AG894" s="71"/>
      <c r="AH894" s="71"/>
      <c r="AI894" s="71"/>
      <c r="AJ894" s="71"/>
      <c r="AK894" s="71"/>
      <c r="AL894" s="71"/>
      <c r="AM894" s="71"/>
      <c r="AN894" s="71"/>
      <c r="AO894" s="71"/>
      <c r="AP894" s="71"/>
      <c r="AQ894" s="71"/>
      <c r="AR894" s="77"/>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c r="AA895" s="71"/>
      <c r="AB895" s="71"/>
      <c r="AC895" s="71"/>
      <c r="AD895" s="71"/>
      <c r="AE895" s="71"/>
      <c r="AF895" s="71"/>
      <c r="AG895" s="71"/>
      <c r="AH895" s="71"/>
      <c r="AI895" s="71"/>
      <c r="AJ895" s="71"/>
      <c r="AK895" s="71"/>
      <c r="AL895" s="71"/>
      <c r="AM895" s="71"/>
      <c r="AN895" s="71"/>
      <c r="AO895" s="71"/>
      <c r="AP895" s="71"/>
      <c r="AQ895" s="71"/>
      <c r="AR895" s="77"/>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c r="AA896" s="71"/>
      <c r="AB896" s="71"/>
      <c r="AC896" s="71"/>
      <c r="AD896" s="71"/>
      <c r="AE896" s="71"/>
      <c r="AF896" s="71"/>
      <c r="AG896" s="71"/>
      <c r="AH896" s="71"/>
      <c r="AI896" s="71"/>
      <c r="AJ896" s="71"/>
      <c r="AK896" s="71"/>
      <c r="AL896" s="71"/>
      <c r="AM896" s="71"/>
      <c r="AN896" s="71"/>
      <c r="AO896" s="71"/>
      <c r="AP896" s="71"/>
      <c r="AQ896" s="71"/>
      <c r="AR896" s="77"/>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c r="AA897" s="71"/>
      <c r="AB897" s="71"/>
      <c r="AC897" s="71"/>
      <c r="AD897" s="71"/>
      <c r="AE897" s="71"/>
      <c r="AF897" s="71"/>
      <c r="AG897" s="71"/>
      <c r="AH897" s="71"/>
      <c r="AI897" s="71"/>
      <c r="AJ897" s="71"/>
      <c r="AK897" s="71"/>
      <c r="AL897" s="71"/>
      <c r="AM897" s="71"/>
      <c r="AN897" s="71"/>
      <c r="AO897" s="71"/>
      <c r="AP897" s="71"/>
      <c r="AQ897" s="71"/>
      <c r="AR897" s="77"/>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c r="AA898" s="71"/>
      <c r="AB898" s="71"/>
      <c r="AC898" s="71"/>
      <c r="AD898" s="71"/>
      <c r="AE898" s="71"/>
      <c r="AF898" s="71"/>
      <c r="AG898" s="71"/>
      <c r="AH898" s="71"/>
      <c r="AI898" s="71"/>
      <c r="AJ898" s="71"/>
      <c r="AK898" s="71"/>
      <c r="AL898" s="71"/>
      <c r="AM898" s="71"/>
      <c r="AN898" s="71"/>
      <c r="AO898" s="71"/>
      <c r="AP898" s="71"/>
      <c r="AQ898" s="71"/>
      <c r="AR898" s="77"/>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c r="AA899" s="71"/>
      <c r="AB899" s="71"/>
      <c r="AC899" s="71"/>
      <c r="AD899" s="71"/>
      <c r="AE899" s="71"/>
      <c r="AF899" s="71"/>
      <c r="AG899" s="71"/>
      <c r="AH899" s="71"/>
      <c r="AI899" s="71"/>
      <c r="AJ899" s="71"/>
      <c r="AK899" s="71"/>
      <c r="AL899" s="71"/>
      <c r="AM899" s="71"/>
      <c r="AN899" s="71"/>
      <c r="AO899" s="71"/>
      <c r="AP899" s="71"/>
      <c r="AQ899" s="71"/>
      <c r="AR899" s="77"/>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c r="AA900" s="71"/>
      <c r="AB900" s="71"/>
      <c r="AC900" s="71"/>
      <c r="AD900" s="71"/>
      <c r="AE900" s="71"/>
      <c r="AF900" s="71"/>
      <c r="AG900" s="71"/>
      <c r="AH900" s="71"/>
      <c r="AI900" s="71"/>
      <c r="AJ900" s="71"/>
      <c r="AK900" s="71"/>
      <c r="AL900" s="71"/>
      <c r="AM900" s="71"/>
      <c r="AN900" s="71"/>
      <c r="AO900" s="71"/>
      <c r="AP900" s="71"/>
      <c r="AQ900" s="71"/>
      <c r="AR900" s="77"/>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c r="AA901" s="71"/>
      <c r="AB901" s="71"/>
      <c r="AC901" s="71"/>
      <c r="AD901" s="71"/>
      <c r="AE901" s="71"/>
      <c r="AF901" s="71"/>
      <c r="AG901" s="71"/>
      <c r="AH901" s="71"/>
      <c r="AI901" s="71"/>
      <c r="AJ901" s="71"/>
      <c r="AK901" s="71"/>
      <c r="AL901" s="71"/>
      <c r="AM901" s="71"/>
      <c r="AN901" s="71"/>
      <c r="AO901" s="71"/>
      <c r="AP901" s="71"/>
      <c r="AQ901" s="71"/>
      <c r="AR901" s="77"/>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c r="AA902" s="71"/>
      <c r="AB902" s="71"/>
      <c r="AC902" s="71"/>
      <c r="AD902" s="71"/>
      <c r="AE902" s="71"/>
      <c r="AF902" s="71"/>
      <c r="AG902" s="71"/>
      <c r="AH902" s="71"/>
      <c r="AI902" s="71"/>
      <c r="AJ902" s="71"/>
      <c r="AK902" s="71"/>
      <c r="AL902" s="71"/>
      <c r="AM902" s="71"/>
      <c r="AN902" s="71"/>
      <c r="AO902" s="71"/>
      <c r="AP902" s="71"/>
      <c r="AQ902" s="71"/>
      <c r="AR902" s="77"/>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c r="AA903" s="71"/>
      <c r="AB903" s="71"/>
      <c r="AC903" s="71"/>
      <c r="AD903" s="71"/>
      <c r="AE903" s="71"/>
      <c r="AF903" s="71"/>
      <c r="AG903" s="71"/>
      <c r="AH903" s="71"/>
      <c r="AI903" s="71"/>
      <c r="AJ903" s="71"/>
      <c r="AK903" s="71"/>
      <c r="AL903" s="71"/>
      <c r="AM903" s="71"/>
      <c r="AN903" s="71"/>
      <c r="AO903" s="71"/>
      <c r="AP903" s="71"/>
      <c r="AQ903" s="71"/>
      <c r="AR903" s="77"/>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c r="AA904" s="71"/>
      <c r="AB904" s="71"/>
      <c r="AC904" s="71"/>
      <c r="AD904" s="71"/>
      <c r="AE904" s="71"/>
      <c r="AF904" s="71"/>
      <c r="AG904" s="71"/>
      <c r="AH904" s="71"/>
      <c r="AI904" s="71"/>
      <c r="AJ904" s="71"/>
      <c r="AK904" s="71"/>
      <c r="AL904" s="71"/>
      <c r="AM904" s="71"/>
      <c r="AN904" s="71"/>
      <c r="AO904" s="71"/>
      <c r="AP904" s="71"/>
      <c r="AQ904" s="71"/>
      <c r="AR904" s="77"/>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c r="AA905" s="71"/>
      <c r="AB905" s="71"/>
      <c r="AC905" s="71"/>
      <c r="AD905" s="71"/>
      <c r="AE905" s="71"/>
      <c r="AF905" s="71"/>
      <c r="AG905" s="71"/>
      <c r="AH905" s="71"/>
      <c r="AI905" s="71"/>
      <c r="AJ905" s="71"/>
      <c r="AK905" s="71"/>
      <c r="AL905" s="71"/>
      <c r="AM905" s="71"/>
      <c r="AN905" s="71"/>
      <c r="AO905" s="71"/>
      <c r="AP905" s="71"/>
      <c r="AQ905" s="71"/>
      <c r="AR905" s="77"/>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c r="AA906" s="71"/>
      <c r="AB906" s="71"/>
      <c r="AC906" s="71"/>
      <c r="AD906" s="71"/>
      <c r="AE906" s="71"/>
      <c r="AF906" s="71"/>
      <c r="AG906" s="71"/>
      <c r="AH906" s="71"/>
      <c r="AI906" s="71"/>
      <c r="AJ906" s="71"/>
      <c r="AK906" s="71"/>
      <c r="AL906" s="71"/>
      <c r="AM906" s="71"/>
      <c r="AN906" s="71"/>
      <c r="AO906" s="71"/>
      <c r="AP906" s="71"/>
      <c r="AQ906" s="71"/>
      <c r="AR906" s="77"/>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c r="AA907" s="71"/>
      <c r="AB907" s="71"/>
      <c r="AC907" s="71"/>
      <c r="AD907" s="71"/>
      <c r="AE907" s="71"/>
      <c r="AF907" s="71"/>
      <c r="AG907" s="71"/>
      <c r="AH907" s="71"/>
      <c r="AI907" s="71"/>
      <c r="AJ907" s="71"/>
      <c r="AK907" s="71"/>
      <c r="AL907" s="71"/>
      <c r="AM907" s="71"/>
      <c r="AN907" s="71"/>
      <c r="AO907" s="71"/>
      <c r="AP907" s="71"/>
      <c r="AQ907" s="71"/>
      <c r="AR907" s="77"/>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c r="AA908" s="71"/>
      <c r="AB908" s="71"/>
      <c r="AC908" s="71"/>
      <c r="AD908" s="71"/>
      <c r="AE908" s="71"/>
      <c r="AF908" s="71"/>
      <c r="AG908" s="71"/>
      <c r="AH908" s="71"/>
      <c r="AI908" s="71"/>
      <c r="AJ908" s="71"/>
      <c r="AK908" s="71"/>
      <c r="AL908" s="71"/>
      <c r="AM908" s="71"/>
      <c r="AN908" s="71"/>
      <c r="AO908" s="71"/>
      <c r="AP908" s="71"/>
      <c r="AQ908" s="71"/>
      <c r="AR908" s="77"/>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c r="AA909" s="71"/>
      <c r="AB909" s="71"/>
      <c r="AC909" s="71"/>
      <c r="AD909" s="71"/>
      <c r="AE909" s="71"/>
      <c r="AF909" s="71"/>
      <c r="AG909" s="71"/>
      <c r="AH909" s="71"/>
      <c r="AI909" s="71"/>
      <c r="AJ909" s="71"/>
      <c r="AK909" s="71"/>
      <c r="AL909" s="71"/>
      <c r="AM909" s="71"/>
      <c r="AN909" s="71"/>
      <c r="AO909" s="71"/>
      <c r="AP909" s="71"/>
      <c r="AQ909" s="71"/>
      <c r="AR909" s="77"/>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c r="AA910" s="71"/>
      <c r="AB910" s="71"/>
      <c r="AC910" s="71"/>
      <c r="AD910" s="71"/>
      <c r="AE910" s="71"/>
      <c r="AF910" s="71"/>
      <c r="AG910" s="71"/>
      <c r="AH910" s="71"/>
      <c r="AI910" s="71"/>
      <c r="AJ910" s="71"/>
      <c r="AK910" s="71"/>
      <c r="AL910" s="71"/>
      <c r="AM910" s="71"/>
      <c r="AN910" s="71"/>
      <c r="AO910" s="71"/>
      <c r="AP910" s="71"/>
      <c r="AQ910" s="71"/>
      <c r="AR910" s="77"/>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c r="AA911" s="71"/>
      <c r="AB911" s="71"/>
      <c r="AC911" s="71"/>
      <c r="AD911" s="71"/>
      <c r="AE911" s="71"/>
      <c r="AF911" s="71"/>
      <c r="AG911" s="71"/>
      <c r="AH911" s="71"/>
      <c r="AI911" s="71"/>
      <c r="AJ911" s="71"/>
      <c r="AK911" s="71"/>
      <c r="AL911" s="71"/>
      <c r="AM911" s="71"/>
      <c r="AN911" s="71"/>
      <c r="AO911" s="71"/>
      <c r="AP911" s="71"/>
      <c r="AQ911" s="71"/>
      <c r="AR911" s="77"/>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c r="AA912" s="71"/>
      <c r="AB912" s="71"/>
      <c r="AC912" s="71"/>
      <c r="AD912" s="71"/>
      <c r="AE912" s="71"/>
      <c r="AF912" s="71"/>
      <c r="AG912" s="71"/>
      <c r="AH912" s="71"/>
      <c r="AI912" s="71"/>
      <c r="AJ912" s="71"/>
      <c r="AK912" s="71"/>
      <c r="AL912" s="71"/>
      <c r="AM912" s="71"/>
      <c r="AN912" s="71"/>
      <c r="AO912" s="71"/>
      <c r="AP912" s="71"/>
      <c r="AQ912" s="71"/>
      <c r="AR912" s="77"/>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c r="AA913" s="71"/>
      <c r="AB913" s="71"/>
      <c r="AC913" s="71"/>
      <c r="AD913" s="71"/>
      <c r="AE913" s="71"/>
      <c r="AF913" s="71"/>
      <c r="AG913" s="71"/>
      <c r="AH913" s="71"/>
      <c r="AI913" s="71"/>
      <c r="AJ913" s="71"/>
      <c r="AK913" s="71"/>
      <c r="AL913" s="71"/>
      <c r="AM913" s="71"/>
      <c r="AN913" s="71"/>
      <c r="AO913" s="71"/>
      <c r="AP913" s="71"/>
      <c r="AQ913" s="71"/>
      <c r="AR913" s="77"/>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c r="AA914" s="71"/>
      <c r="AB914" s="71"/>
      <c r="AC914" s="71"/>
      <c r="AD914" s="71"/>
      <c r="AE914" s="71"/>
      <c r="AF914" s="71"/>
      <c r="AG914" s="71"/>
      <c r="AH914" s="71"/>
      <c r="AI914" s="71"/>
      <c r="AJ914" s="71"/>
      <c r="AK914" s="71"/>
      <c r="AL914" s="71"/>
      <c r="AM914" s="71"/>
      <c r="AN914" s="71"/>
      <c r="AO914" s="71"/>
      <c r="AP914" s="71"/>
      <c r="AQ914" s="71"/>
      <c r="AR914" s="77"/>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c r="AA915" s="71"/>
      <c r="AB915" s="71"/>
      <c r="AC915" s="71"/>
      <c r="AD915" s="71"/>
      <c r="AE915" s="71"/>
      <c r="AF915" s="71"/>
      <c r="AG915" s="71"/>
      <c r="AH915" s="71"/>
      <c r="AI915" s="71"/>
      <c r="AJ915" s="71"/>
      <c r="AK915" s="71"/>
      <c r="AL915" s="71"/>
      <c r="AM915" s="71"/>
      <c r="AN915" s="71"/>
      <c r="AO915" s="71"/>
      <c r="AP915" s="71"/>
      <c r="AQ915" s="71"/>
      <c r="AR915" s="77"/>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c r="AA916" s="71"/>
      <c r="AB916" s="71"/>
      <c r="AC916" s="71"/>
      <c r="AD916" s="71"/>
      <c r="AE916" s="71"/>
      <c r="AF916" s="71"/>
      <c r="AG916" s="71"/>
      <c r="AH916" s="71"/>
      <c r="AI916" s="71"/>
      <c r="AJ916" s="71"/>
      <c r="AK916" s="71"/>
      <c r="AL916" s="71"/>
      <c r="AM916" s="71"/>
      <c r="AN916" s="71"/>
      <c r="AO916" s="71"/>
      <c r="AP916" s="71"/>
      <c r="AQ916" s="71"/>
      <c r="AR916" s="77"/>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c r="AA917" s="71"/>
      <c r="AB917" s="71"/>
      <c r="AC917" s="71"/>
      <c r="AD917" s="71"/>
      <c r="AE917" s="71"/>
      <c r="AF917" s="71"/>
      <c r="AG917" s="71"/>
      <c r="AH917" s="71"/>
      <c r="AI917" s="71"/>
      <c r="AJ917" s="71"/>
      <c r="AK917" s="71"/>
      <c r="AL917" s="71"/>
      <c r="AM917" s="71"/>
      <c r="AN917" s="71"/>
      <c r="AO917" s="71"/>
      <c r="AP917" s="71"/>
      <c r="AQ917" s="71"/>
      <c r="AR917" s="77"/>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c r="AA918" s="71"/>
      <c r="AB918" s="71"/>
      <c r="AC918" s="71"/>
      <c r="AD918" s="71"/>
      <c r="AE918" s="71"/>
      <c r="AF918" s="71"/>
      <c r="AG918" s="71"/>
      <c r="AH918" s="71"/>
      <c r="AI918" s="71"/>
      <c r="AJ918" s="71"/>
      <c r="AK918" s="71"/>
      <c r="AL918" s="71"/>
      <c r="AM918" s="71"/>
      <c r="AN918" s="71"/>
      <c r="AO918" s="71"/>
      <c r="AP918" s="71"/>
      <c r="AQ918" s="71"/>
      <c r="AR918" s="77"/>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c r="AA919" s="71"/>
      <c r="AB919" s="71"/>
      <c r="AC919" s="71"/>
      <c r="AD919" s="71"/>
      <c r="AE919" s="71"/>
      <c r="AF919" s="71"/>
      <c r="AG919" s="71"/>
      <c r="AH919" s="71"/>
      <c r="AI919" s="71"/>
      <c r="AJ919" s="71"/>
      <c r="AK919" s="71"/>
      <c r="AL919" s="71"/>
      <c r="AM919" s="71"/>
      <c r="AN919" s="71"/>
      <c r="AO919" s="71"/>
      <c r="AP919" s="71"/>
      <c r="AQ919" s="71"/>
      <c r="AR919" s="77"/>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c r="AA920" s="71"/>
      <c r="AB920" s="71"/>
      <c r="AC920" s="71"/>
      <c r="AD920" s="71"/>
      <c r="AE920" s="71"/>
      <c r="AF920" s="71"/>
      <c r="AG920" s="71"/>
      <c r="AH920" s="71"/>
      <c r="AI920" s="71"/>
      <c r="AJ920" s="71"/>
      <c r="AK920" s="71"/>
      <c r="AL920" s="71"/>
      <c r="AM920" s="71"/>
      <c r="AN920" s="71"/>
      <c r="AO920" s="71"/>
      <c r="AP920" s="71"/>
      <c r="AQ920" s="71"/>
      <c r="AR920" s="77"/>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c r="AA921" s="71"/>
      <c r="AB921" s="71"/>
      <c r="AC921" s="71"/>
      <c r="AD921" s="71"/>
      <c r="AE921" s="71"/>
      <c r="AF921" s="71"/>
      <c r="AG921" s="71"/>
      <c r="AH921" s="71"/>
      <c r="AI921" s="71"/>
      <c r="AJ921" s="71"/>
      <c r="AK921" s="71"/>
      <c r="AL921" s="71"/>
      <c r="AM921" s="71"/>
      <c r="AN921" s="71"/>
      <c r="AO921" s="71"/>
      <c r="AP921" s="71"/>
      <c r="AQ921" s="71"/>
      <c r="AR921" s="77"/>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c r="AA922" s="71"/>
      <c r="AB922" s="71"/>
      <c r="AC922" s="71"/>
      <c r="AD922" s="71"/>
      <c r="AE922" s="71"/>
      <c r="AF922" s="71"/>
      <c r="AG922" s="71"/>
      <c r="AH922" s="71"/>
      <c r="AI922" s="71"/>
      <c r="AJ922" s="71"/>
      <c r="AK922" s="71"/>
      <c r="AL922" s="71"/>
      <c r="AM922" s="71"/>
      <c r="AN922" s="71"/>
      <c r="AO922" s="71"/>
      <c r="AP922" s="71"/>
      <c r="AQ922" s="71"/>
      <c r="AR922" s="77"/>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c r="AA923" s="71"/>
      <c r="AB923" s="71"/>
      <c r="AC923" s="71"/>
      <c r="AD923" s="71"/>
      <c r="AE923" s="71"/>
      <c r="AF923" s="71"/>
      <c r="AG923" s="71"/>
      <c r="AH923" s="71"/>
      <c r="AI923" s="71"/>
      <c r="AJ923" s="71"/>
      <c r="AK923" s="71"/>
      <c r="AL923" s="71"/>
      <c r="AM923" s="71"/>
      <c r="AN923" s="71"/>
      <c r="AO923" s="71"/>
      <c r="AP923" s="71"/>
      <c r="AQ923" s="71"/>
      <c r="AR923" s="77"/>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c r="AA924" s="71"/>
      <c r="AB924" s="71"/>
      <c r="AC924" s="71"/>
      <c r="AD924" s="71"/>
      <c r="AE924" s="71"/>
      <c r="AF924" s="71"/>
      <c r="AG924" s="71"/>
      <c r="AH924" s="71"/>
      <c r="AI924" s="71"/>
      <c r="AJ924" s="71"/>
      <c r="AK924" s="71"/>
      <c r="AL924" s="71"/>
      <c r="AM924" s="71"/>
      <c r="AN924" s="71"/>
      <c r="AO924" s="71"/>
      <c r="AP924" s="71"/>
      <c r="AQ924" s="71"/>
      <c r="AR924" s="77"/>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c r="AA925" s="71"/>
      <c r="AB925" s="71"/>
      <c r="AC925" s="71"/>
      <c r="AD925" s="71"/>
      <c r="AE925" s="71"/>
      <c r="AF925" s="71"/>
      <c r="AG925" s="71"/>
      <c r="AH925" s="71"/>
      <c r="AI925" s="71"/>
      <c r="AJ925" s="71"/>
      <c r="AK925" s="71"/>
      <c r="AL925" s="71"/>
      <c r="AM925" s="71"/>
      <c r="AN925" s="71"/>
      <c r="AO925" s="71"/>
      <c r="AP925" s="71"/>
      <c r="AQ925" s="71"/>
      <c r="AR925" s="77"/>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c r="AA926" s="71"/>
      <c r="AB926" s="71"/>
      <c r="AC926" s="71"/>
      <c r="AD926" s="71"/>
      <c r="AE926" s="71"/>
      <c r="AF926" s="71"/>
      <c r="AG926" s="71"/>
      <c r="AH926" s="71"/>
      <c r="AI926" s="71"/>
      <c r="AJ926" s="71"/>
      <c r="AK926" s="71"/>
      <c r="AL926" s="71"/>
      <c r="AM926" s="71"/>
      <c r="AN926" s="71"/>
      <c r="AO926" s="71"/>
      <c r="AP926" s="71"/>
      <c r="AQ926" s="71"/>
      <c r="AR926" s="77"/>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c r="AA927" s="71"/>
      <c r="AB927" s="71"/>
      <c r="AC927" s="71"/>
      <c r="AD927" s="71"/>
      <c r="AE927" s="71"/>
      <c r="AF927" s="71"/>
      <c r="AG927" s="71"/>
      <c r="AH927" s="71"/>
      <c r="AI927" s="71"/>
      <c r="AJ927" s="71"/>
      <c r="AK927" s="71"/>
      <c r="AL927" s="71"/>
      <c r="AM927" s="71"/>
      <c r="AN927" s="71"/>
      <c r="AO927" s="71"/>
      <c r="AP927" s="71"/>
      <c r="AQ927" s="71"/>
      <c r="AR927" s="77"/>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c r="AA928" s="71"/>
      <c r="AB928" s="71"/>
      <c r="AC928" s="71"/>
      <c r="AD928" s="71"/>
      <c r="AE928" s="71"/>
      <c r="AF928" s="71"/>
      <c r="AG928" s="71"/>
      <c r="AH928" s="71"/>
      <c r="AI928" s="71"/>
      <c r="AJ928" s="71"/>
      <c r="AK928" s="71"/>
      <c r="AL928" s="71"/>
      <c r="AM928" s="71"/>
      <c r="AN928" s="71"/>
      <c r="AO928" s="71"/>
      <c r="AP928" s="71"/>
      <c r="AQ928" s="71"/>
      <c r="AR928" s="77"/>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c r="AA929" s="71"/>
      <c r="AB929" s="71"/>
      <c r="AC929" s="71"/>
      <c r="AD929" s="71"/>
      <c r="AE929" s="71"/>
      <c r="AF929" s="71"/>
      <c r="AG929" s="71"/>
      <c r="AH929" s="71"/>
      <c r="AI929" s="71"/>
      <c r="AJ929" s="71"/>
      <c r="AK929" s="71"/>
      <c r="AL929" s="71"/>
      <c r="AM929" s="71"/>
      <c r="AN929" s="71"/>
      <c r="AO929" s="71"/>
      <c r="AP929" s="71"/>
      <c r="AQ929" s="71"/>
      <c r="AR929" s="77"/>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c r="AA930" s="71"/>
      <c r="AB930" s="71"/>
      <c r="AC930" s="71"/>
      <c r="AD930" s="71"/>
      <c r="AE930" s="71"/>
      <c r="AF930" s="71"/>
      <c r="AG930" s="71"/>
      <c r="AH930" s="71"/>
      <c r="AI930" s="71"/>
      <c r="AJ930" s="71"/>
      <c r="AK930" s="71"/>
      <c r="AL930" s="71"/>
      <c r="AM930" s="71"/>
      <c r="AN930" s="71"/>
      <c r="AO930" s="71"/>
      <c r="AP930" s="71"/>
      <c r="AQ930" s="71"/>
      <c r="AR930" s="77"/>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c r="AA931" s="71"/>
      <c r="AB931" s="71"/>
      <c r="AC931" s="71"/>
      <c r="AD931" s="71"/>
      <c r="AE931" s="71"/>
      <c r="AF931" s="71"/>
      <c r="AG931" s="71"/>
      <c r="AH931" s="71"/>
      <c r="AI931" s="71"/>
      <c r="AJ931" s="71"/>
      <c r="AK931" s="71"/>
      <c r="AL931" s="71"/>
      <c r="AM931" s="71"/>
      <c r="AN931" s="71"/>
      <c r="AO931" s="71"/>
      <c r="AP931" s="71"/>
      <c r="AQ931" s="71"/>
      <c r="AR931" s="77"/>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c r="AA932" s="71"/>
      <c r="AB932" s="71"/>
      <c r="AC932" s="71"/>
      <c r="AD932" s="71"/>
      <c r="AE932" s="71"/>
      <c r="AF932" s="71"/>
      <c r="AG932" s="71"/>
      <c r="AH932" s="71"/>
      <c r="AI932" s="71"/>
      <c r="AJ932" s="71"/>
      <c r="AK932" s="71"/>
      <c r="AL932" s="71"/>
      <c r="AM932" s="71"/>
      <c r="AN932" s="71"/>
      <c r="AO932" s="71"/>
      <c r="AP932" s="71"/>
      <c r="AQ932" s="71"/>
      <c r="AR932" s="77"/>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c r="AA933" s="71"/>
      <c r="AB933" s="71"/>
      <c r="AC933" s="71"/>
      <c r="AD933" s="71"/>
      <c r="AE933" s="71"/>
      <c r="AF933" s="71"/>
      <c r="AG933" s="71"/>
      <c r="AH933" s="71"/>
      <c r="AI933" s="71"/>
      <c r="AJ933" s="71"/>
      <c r="AK933" s="71"/>
      <c r="AL933" s="71"/>
      <c r="AM933" s="71"/>
      <c r="AN933" s="71"/>
      <c r="AO933" s="71"/>
      <c r="AP933" s="71"/>
      <c r="AQ933" s="71"/>
      <c r="AR933" s="77"/>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c r="AA934" s="71"/>
      <c r="AB934" s="71"/>
      <c r="AC934" s="71"/>
      <c r="AD934" s="71"/>
      <c r="AE934" s="71"/>
      <c r="AF934" s="71"/>
      <c r="AG934" s="71"/>
      <c r="AH934" s="71"/>
      <c r="AI934" s="71"/>
      <c r="AJ934" s="71"/>
      <c r="AK934" s="71"/>
      <c r="AL934" s="71"/>
      <c r="AM934" s="71"/>
      <c r="AN934" s="71"/>
      <c r="AO934" s="71"/>
      <c r="AP934" s="71"/>
      <c r="AQ934" s="71"/>
      <c r="AR934" s="77"/>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c r="AA935" s="71"/>
      <c r="AB935" s="71"/>
      <c r="AC935" s="71"/>
      <c r="AD935" s="71"/>
      <c r="AE935" s="71"/>
      <c r="AF935" s="71"/>
      <c r="AG935" s="71"/>
      <c r="AH935" s="71"/>
      <c r="AI935" s="71"/>
      <c r="AJ935" s="71"/>
      <c r="AK935" s="71"/>
      <c r="AL935" s="71"/>
      <c r="AM935" s="71"/>
      <c r="AN935" s="71"/>
      <c r="AO935" s="71"/>
      <c r="AP935" s="71"/>
      <c r="AQ935" s="71"/>
      <c r="AR935" s="77"/>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c r="AA936" s="71"/>
      <c r="AB936" s="71"/>
      <c r="AC936" s="71"/>
      <c r="AD936" s="71"/>
      <c r="AE936" s="71"/>
      <c r="AF936" s="71"/>
      <c r="AG936" s="71"/>
      <c r="AH936" s="71"/>
      <c r="AI936" s="71"/>
      <c r="AJ936" s="71"/>
      <c r="AK936" s="71"/>
      <c r="AL936" s="71"/>
      <c r="AM936" s="71"/>
      <c r="AN936" s="71"/>
      <c r="AO936" s="71"/>
      <c r="AP936" s="71"/>
      <c r="AQ936" s="71"/>
      <c r="AR936" s="77"/>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c r="AA937" s="71"/>
      <c r="AB937" s="71"/>
      <c r="AC937" s="71"/>
      <c r="AD937" s="71"/>
      <c r="AE937" s="71"/>
      <c r="AF937" s="71"/>
      <c r="AG937" s="71"/>
      <c r="AH937" s="71"/>
      <c r="AI937" s="71"/>
      <c r="AJ937" s="71"/>
      <c r="AK937" s="71"/>
      <c r="AL937" s="71"/>
      <c r="AM937" s="71"/>
      <c r="AN937" s="71"/>
      <c r="AO937" s="71"/>
      <c r="AP937" s="71"/>
      <c r="AQ937" s="71"/>
      <c r="AR937" s="77"/>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c r="AA938" s="71"/>
      <c r="AB938" s="71"/>
      <c r="AC938" s="71"/>
      <c r="AD938" s="71"/>
      <c r="AE938" s="71"/>
      <c r="AF938" s="71"/>
      <c r="AG938" s="71"/>
      <c r="AH938" s="71"/>
      <c r="AI938" s="71"/>
      <c r="AJ938" s="71"/>
      <c r="AK938" s="71"/>
      <c r="AL938" s="71"/>
      <c r="AM938" s="71"/>
      <c r="AN938" s="71"/>
      <c r="AO938" s="71"/>
      <c r="AP938" s="71"/>
      <c r="AQ938" s="71"/>
      <c r="AR938" s="77"/>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c r="AA939" s="71"/>
      <c r="AB939" s="71"/>
      <c r="AC939" s="71"/>
      <c r="AD939" s="71"/>
      <c r="AE939" s="71"/>
      <c r="AF939" s="71"/>
      <c r="AG939" s="71"/>
      <c r="AH939" s="71"/>
      <c r="AI939" s="71"/>
      <c r="AJ939" s="71"/>
      <c r="AK939" s="71"/>
      <c r="AL939" s="71"/>
      <c r="AM939" s="71"/>
      <c r="AN939" s="71"/>
      <c r="AO939" s="71"/>
      <c r="AP939" s="71"/>
      <c r="AQ939" s="71"/>
      <c r="AR939" s="77"/>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c r="AA940" s="71"/>
      <c r="AB940" s="71"/>
      <c r="AC940" s="71"/>
      <c r="AD940" s="71"/>
      <c r="AE940" s="71"/>
      <c r="AF940" s="71"/>
      <c r="AG940" s="71"/>
      <c r="AH940" s="71"/>
      <c r="AI940" s="71"/>
      <c r="AJ940" s="71"/>
      <c r="AK940" s="71"/>
      <c r="AL940" s="71"/>
      <c r="AM940" s="71"/>
      <c r="AN940" s="71"/>
      <c r="AO940" s="71"/>
      <c r="AP940" s="71"/>
      <c r="AQ940" s="71"/>
      <c r="AR940" s="77"/>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c r="AA941" s="71"/>
      <c r="AB941" s="71"/>
      <c r="AC941" s="71"/>
      <c r="AD941" s="71"/>
      <c r="AE941" s="71"/>
      <c r="AF941" s="71"/>
      <c r="AG941" s="71"/>
      <c r="AH941" s="71"/>
      <c r="AI941" s="71"/>
      <c r="AJ941" s="71"/>
      <c r="AK941" s="71"/>
      <c r="AL941" s="71"/>
      <c r="AM941" s="71"/>
      <c r="AN941" s="71"/>
      <c r="AO941" s="71"/>
      <c r="AP941" s="71"/>
      <c r="AQ941" s="71"/>
      <c r="AR941" s="77"/>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c r="AA942" s="71"/>
      <c r="AB942" s="71"/>
      <c r="AC942" s="71"/>
      <c r="AD942" s="71"/>
      <c r="AE942" s="71"/>
      <c r="AF942" s="71"/>
      <c r="AG942" s="71"/>
      <c r="AH942" s="71"/>
      <c r="AI942" s="71"/>
      <c r="AJ942" s="71"/>
      <c r="AK942" s="71"/>
      <c r="AL942" s="71"/>
      <c r="AM942" s="71"/>
      <c r="AN942" s="71"/>
      <c r="AO942" s="71"/>
      <c r="AP942" s="71"/>
      <c r="AQ942" s="71"/>
      <c r="AR942" s="77"/>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c r="AA943" s="71"/>
      <c r="AB943" s="71"/>
      <c r="AC943" s="71"/>
      <c r="AD943" s="71"/>
      <c r="AE943" s="71"/>
      <c r="AF943" s="71"/>
      <c r="AG943" s="71"/>
      <c r="AH943" s="71"/>
      <c r="AI943" s="71"/>
      <c r="AJ943" s="71"/>
      <c r="AK943" s="71"/>
      <c r="AL943" s="71"/>
      <c r="AM943" s="71"/>
      <c r="AN943" s="71"/>
      <c r="AO943" s="71"/>
      <c r="AP943" s="71"/>
      <c r="AQ943" s="71"/>
      <c r="AR943" s="77"/>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c r="AA944" s="71"/>
      <c r="AB944" s="71"/>
      <c r="AC944" s="71"/>
      <c r="AD944" s="71"/>
      <c r="AE944" s="71"/>
      <c r="AF944" s="71"/>
      <c r="AG944" s="71"/>
      <c r="AH944" s="71"/>
      <c r="AI944" s="71"/>
      <c r="AJ944" s="71"/>
      <c r="AK944" s="71"/>
      <c r="AL944" s="71"/>
      <c r="AM944" s="71"/>
      <c r="AN944" s="71"/>
      <c r="AO944" s="71"/>
      <c r="AP944" s="71"/>
      <c r="AQ944" s="71"/>
      <c r="AR944" s="77"/>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c r="AA945" s="71"/>
      <c r="AB945" s="71"/>
      <c r="AC945" s="71"/>
      <c r="AD945" s="71"/>
      <c r="AE945" s="71"/>
      <c r="AF945" s="71"/>
      <c r="AG945" s="71"/>
      <c r="AH945" s="71"/>
      <c r="AI945" s="71"/>
      <c r="AJ945" s="71"/>
      <c r="AK945" s="71"/>
      <c r="AL945" s="71"/>
      <c r="AM945" s="71"/>
      <c r="AN945" s="71"/>
      <c r="AO945" s="71"/>
      <c r="AP945" s="71"/>
      <c r="AQ945" s="71"/>
      <c r="AR945" s="77"/>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c r="AA946" s="71"/>
      <c r="AB946" s="71"/>
      <c r="AC946" s="71"/>
      <c r="AD946" s="71"/>
      <c r="AE946" s="71"/>
      <c r="AF946" s="71"/>
      <c r="AG946" s="71"/>
      <c r="AH946" s="71"/>
      <c r="AI946" s="71"/>
      <c r="AJ946" s="71"/>
      <c r="AK946" s="71"/>
      <c r="AL946" s="71"/>
      <c r="AM946" s="71"/>
      <c r="AN946" s="71"/>
      <c r="AO946" s="71"/>
      <c r="AP946" s="71"/>
      <c r="AQ946" s="71"/>
      <c r="AR946" s="77"/>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c r="AA947" s="71"/>
      <c r="AB947" s="71"/>
      <c r="AC947" s="71"/>
      <c r="AD947" s="71"/>
      <c r="AE947" s="71"/>
      <c r="AF947" s="71"/>
      <c r="AG947" s="71"/>
      <c r="AH947" s="71"/>
      <c r="AI947" s="71"/>
      <c r="AJ947" s="71"/>
      <c r="AK947" s="71"/>
      <c r="AL947" s="71"/>
      <c r="AM947" s="71"/>
      <c r="AN947" s="71"/>
      <c r="AO947" s="71"/>
      <c r="AP947" s="71"/>
      <c r="AQ947" s="71"/>
      <c r="AR947" s="77"/>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c r="AA948" s="71"/>
      <c r="AB948" s="71"/>
      <c r="AC948" s="71"/>
      <c r="AD948" s="71"/>
      <c r="AE948" s="71"/>
      <c r="AF948" s="71"/>
      <c r="AG948" s="71"/>
      <c r="AH948" s="71"/>
      <c r="AI948" s="71"/>
      <c r="AJ948" s="71"/>
      <c r="AK948" s="71"/>
      <c r="AL948" s="71"/>
      <c r="AM948" s="71"/>
      <c r="AN948" s="71"/>
      <c r="AO948" s="71"/>
      <c r="AP948" s="71"/>
      <c r="AQ948" s="71"/>
      <c r="AR948" s="77"/>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c r="AA949" s="71"/>
      <c r="AB949" s="71"/>
      <c r="AC949" s="71"/>
      <c r="AD949" s="71"/>
      <c r="AE949" s="71"/>
      <c r="AF949" s="71"/>
      <c r="AG949" s="71"/>
      <c r="AH949" s="71"/>
      <c r="AI949" s="71"/>
      <c r="AJ949" s="71"/>
      <c r="AK949" s="71"/>
      <c r="AL949" s="71"/>
      <c r="AM949" s="71"/>
      <c r="AN949" s="71"/>
      <c r="AO949" s="71"/>
      <c r="AP949" s="71"/>
      <c r="AQ949" s="71"/>
      <c r="AR949" s="77"/>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c r="AA950" s="71"/>
      <c r="AB950" s="71"/>
      <c r="AC950" s="71"/>
      <c r="AD950" s="71"/>
      <c r="AE950" s="71"/>
      <c r="AF950" s="71"/>
      <c r="AG950" s="71"/>
      <c r="AH950" s="71"/>
      <c r="AI950" s="71"/>
      <c r="AJ950" s="71"/>
      <c r="AK950" s="71"/>
      <c r="AL950" s="71"/>
      <c r="AM950" s="71"/>
      <c r="AN950" s="71"/>
      <c r="AO950" s="71"/>
      <c r="AP950" s="71"/>
      <c r="AQ950" s="71"/>
      <c r="AR950" s="77"/>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c r="AA951" s="71"/>
      <c r="AB951" s="71"/>
      <c r="AC951" s="71"/>
      <c r="AD951" s="71"/>
      <c r="AE951" s="71"/>
      <c r="AF951" s="71"/>
      <c r="AG951" s="71"/>
      <c r="AH951" s="71"/>
      <c r="AI951" s="71"/>
      <c r="AJ951" s="71"/>
      <c r="AK951" s="71"/>
      <c r="AL951" s="71"/>
      <c r="AM951" s="71"/>
      <c r="AN951" s="71"/>
      <c r="AO951" s="71"/>
      <c r="AP951" s="71"/>
      <c r="AQ951" s="71"/>
      <c r="AR951" s="77"/>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c r="AA952" s="71"/>
      <c r="AB952" s="71"/>
      <c r="AC952" s="71"/>
      <c r="AD952" s="71"/>
      <c r="AE952" s="71"/>
      <c r="AF952" s="71"/>
      <c r="AG952" s="71"/>
      <c r="AH952" s="71"/>
      <c r="AI952" s="71"/>
      <c r="AJ952" s="71"/>
      <c r="AK952" s="71"/>
      <c r="AL952" s="71"/>
      <c r="AM952" s="71"/>
      <c r="AN952" s="71"/>
      <c r="AO952" s="71"/>
      <c r="AP952" s="71"/>
      <c r="AQ952" s="71"/>
      <c r="AR952" s="77"/>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c r="AA953" s="71"/>
      <c r="AB953" s="71"/>
      <c r="AC953" s="71"/>
      <c r="AD953" s="71"/>
      <c r="AE953" s="71"/>
      <c r="AF953" s="71"/>
      <c r="AG953" s="71"/>
      <c r="AH953" s="71"/>
      <c r="AI953" s="71"/>
      <c r="AJ953" s="71"/>
      <c r="AK953" s="71"/>
      <c r="AL953" s="71"/>
      <c r="AM953" s="71"/>
      <c r="AN953" s="71"/>
      <c r="AO953" s="71"/>
      <c r="AP953" s="71"/>
      <c r="AQ953" s="71"/>
      <c r="AR953" s="77"/>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c r="AA954" s="71"/>
      <c r="AB954" s="71"/>
      <c r="AC954" s="71"/>
      <c r="AD954" s="71"/>
      <c r="AE954" s="71"/>
      <c r="AF954" s="71"/>
      <c r="AG954" s="71"/>
      <c r="AH954" s="71"/>
      <c r="AI954" s="71"/>
      <c r="AJ954" s="71"/>
      <c r="AK954" s="71"/>
      <c r="AL954" s="71"/>
      <c r="AM954" s="71"/>
      <c r="AN954" s="71"/>
      <c r="AO954" s="71"/>
      <c r="AP954" s="71"/>
      <c r="AQ954" s="71"/>
      <c r="AR954" s="77"/>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c r="AA955" s="71"/>
      <c r="AB955" s="71"/>
      <c r="AC955" s="71"/>
      <c r="AD955" s="71"/>
      <c r="AE955" s="71"/>
      <c r="AF955" s="71"/>
      <c r="AG955" s="71"/>
      <c r="AH955" s="71"/>
      <c r="AI955" s="71"/>
      <c r="AJ955" s="71"/>
      <c r="AK955" s="71"/>
      <c r="AL955" s="71"/>
      <c r="AM955" s="71"/>
      <c r="AN955" s="71"/>
      <c r="AO955" s="71"/>
      <c r="AP955" s="71"/>
      <c r="AQ955" s="71"/>
      <c r="AR955" s="77"/>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c r="AA956" s="71"/>
      <c r="AB956" s="71"/>
      <c r="AC956" s="71"/>
      <c r="AD956" s="71"/>
      <c r="AE956" s="71"/>
      <c r="AF956" s="71"/>
      <c r="AG956" s="71"/>
      <c r="AH956" s="71"/>
      <c r="AI956" s="71"/>
      <c r="AJ956" s="71"/>
      <c r="AK956" s="71"/>
      <c r="AL956" s="71"/>
      <c r="AM956" s="71"/>
      <c r="AN956" s="71"/>
      <c r="AO956" s="71"/>
      <c r="AP956" s="71"/>
      <c r="AQ956" s="71"/>
      <c r="AR956" s="77"/>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c r="AA957" s="71"/>
      <c r="AB957" s="71"/>
      <c r="AC957" s="71"/>
      <c r="AD957" s="71"/>
      <c r="AE957" s="71"/>
      <c r="AF957" s="71"/>
      <c r="AG957" s="71"/>
      <c r="AH957" s="71"/>
      <c r="AI957" s="71"/>
      <c r="AJ957" s="71"/>
      <c r="AK957" s="71"/>
      <c r="AL957" s="71"/>
      <c r="AM957" s="71"/>
      <c r="AN957" s="71"/>
      <c r="AO957" s="71"/>
      <c r="AP957" s="71"/>
      <c r="AQ957" s="71"/>
      <c r="AR957" s="77"/>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c r="AA958" s="71"/>
      <c r="AB958" s="71"/>
      <c r="AC958" s="71"/>
      <c r="AD958" s="71"/>
      <c r="AE958" s="71"/>
      <c r="AF958" s="71"/>
      <c r="AG958" s="71"/>
      <c r="AH958" s="71"/>
      <c r="AI958" s="71"/>
      <c r="AJ958" s="71"/>
      <c r="AK958" s="71"/>
      <c r="AL958" s="71"/>
      <c r="AM958" s="71"/>
      <c r="AN958" s="71"/>
      <c r="AO958" s="71"/>
      <c r="AP958" s="71"/>
      <c r="AQ958" s="71"/>
      <c r="AR958" s="77"/>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c r="AA959" s="71"/>
      <c r="AB959" s="71"/>
      <c r="AC959" s="71"/>
      <c r="AD959" s="71"/>
      <c r="AE959" s="71"/>
      <c r="AF959" s="71"/>
      <c r="AG959" s="71"/>
      <c r="AH959" s="71"/>
      <c r="AI959" s="71"/>
      <c r="AJ959" s="71"/>
      <c r="AK959" s="71"/>
      <c r="AL959" s="71"/>
      <c r="AM959" s="71"/>
      <c r="AN959" s="71"/>
      <c r="AO959" s="71"/>
      <c r="AP959" s="71"/>
      <c r="AQ959" s="71"/>
      <c r="AR959" s="77"/>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c r="AA960" s="71"/>
      <c r="AB960" s="71"/>
      <c r="AC960" s="71"/>
      <c r="AD960" s="71"/>
      <c r="AE960" s="71"/>
      <c r="AF960" s="71"/>
      <c r="AG960" s="71"/>
      <c r="AH960" s="71"/>
      <c r="AI960" s="71"/>
      <c r="AJ960" s="71"/>
      <c r="AK960" s="71"/>
      <c r="AL960" s="71"/>
      <c r="AM960" s="71"/>
      <c r="AN960" s="71"/>
      <c r="AO960" s="71"/>
      <c r="AP960" s="71"/>
      <c r="AQ960" s="71"/>
      <c r="AR960" s="77"/>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c r="AA961" s="71"/>
      <c r="AB961" s="71"/>
      <c r="AC961" s="71"/>
      <c r="AD961" s="71"/>
      <c r="AE961" s="71"/>
      <c r="AF961" s="71"/>
      <c r="AG961" s="71"/>
      <c r="AH961" s="71"/>
      <c r="AI961" s="71"/>
      <c r="AJ961" s="71"/>
      <c r="AK961" s="71"/>
      <c r="AL961" s="71"/>
      <c r="AM961" s="71"/>
      <c r="AN961" s="71"/>
      <c r="AO961" s="71"/>
      <c r="AP961" s="71"/>
      <c r="AQ961" s="71"/>
      <c r="AR961" s="77"/>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c r="AA962" s="71"/>
      <c r="AB962" s="71"/>
      <c r="AC962" s="71"/>
      <c r="AD962" s="71"/>
      <c r="AE962" s="71"/>
      <c r="AF962" s="71"/>
      <c r="AG962" s="71"/>
      <c r="AH962" s="71"/>
      <c r="AI962" s="71"/>
      <c r="AJ962" s="71"/>
      <c r="AK962" s="71"/>
      <c r="AL962" s="71"/>
      <c r="AM962" s="71"/>
      <c r="AN962" s="71"/>
      <c r="AO962" s="71"/>
      <c r="AP962" s="71"/>
      <c r="AQ962" s="71"/>
      <c r="AR962" s="77"/>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c r="AA963" s="71"/>
      <c r="AB963" s="71"/>
      <c r="AC963" s="71"/>
      <c r="AD963" s="71"/>
      <c r="AE963" s="71"/>
      <c r="AF963" s="71"/>
      <c r="AG963" s="71"/>
      <c r="AH963" s="71"/>
      <c r="AI963" s="71"/>
      <c r="AJ963" s="71"/>
      <c r="AK963" s="71"/>
      <c r="AL963" s="71"/>
      <c r="AM963" s="71"/>
      <c r="AN963" s="71"/>
      <c r="AO963" s="71"/>
      <c r="AP963" s="71"/>
      <c r="AQ963" s="71"/>
      <c r="AR963" s="77"/>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c r="AA964" s="71"/>
      <c r="AB964" s="71"/>
      <c r="AC964" s="71"/>
      <c r="AD964" s="71"/>
      <c r="AE964" s="71"/>
      <c r="AF964" s="71"/>
      <c r="AG964" s="71"/>
      <c r="AH964" s="71"/>
      <c r="AI964" s="71"/>
      <c r="AJ964" s="71"/>
      <c r="AK964" s="71"/>
      <c r="AL964" s="71"/>
      <c r="AM964" s="71"/>
      <c r="AN964" s="71"/>
      <c r="AO964" s="71"/>
      <c r="AP964" s="71"/>
      <c r="AQ964" s="71"/>
      <c r="AR964" s="77"/>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c r="AA965" s="71"/>
      <c r="AB965" s="71"/>
      <c r="AC965" s="71"/>
      <c r="AD965" s="71"/>
      <c r="AE965" s="71"/>
      <c r="AF965" s="71"/>
      <c r="AG965" s="71"/>
      <c r="AH965" s="71"/>
      <c r="AI965" s="71"/>
      <c r="AJ965" s="71"/>
      <c r="AK965" s="71"/>
      <c r="AL965" s="71"/>
      <c r="AM965" s="71"/>
      <c r="AN965" s="71"/>
      <c r="AO965" s="71"/>
      <c r="AP965" s="71"/>
      <c r="AQ965" s="71"/>
      <c r="AR965" s="77"/>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c r="AA966" s="71"/>
      <c r="AB966" s="71"/>
      <c r="AC966" s="71"/>
      <c r="AD966" s="71"/>
      <c r="AE966" s="71"/>
      <c r="AF966" s="71"/>
      <c r="AG966" s="71"/>
      <c r="AH966" s="71"/>
      <c r="AI966" s="71"/>
      <c r="AJ966" s="71"/>
      <c r="AK966" s="71"/>
      <c r="AL966" s="71"/>
      <c r="AM966" s="71"/>
      <c r="AN966" s="71"/>
      <c r="AO966" s="71"/>
      <c r="AP966" s="71"/>
      <c r="AQ966" s="71"/>
      <c r="AR966" s="77"/>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c r="AA967" s="71"/>
      <c r="AB967" s="71"/>
      <c r="AC967" s="71"/>
      <c r="AD967" s="71"/>
      <c r="AE967" s="71"/>
      <c r="AF967" s="71"/>
      <c r="AG967" s="71"/>
      <c r="AH967" s="71"/>
      <c r="AI967" s="71"/>
      <c r="AJ967" s="71"/>
      <c r="AK967" s="71"/>
      <c r="AL967" s="71"/>
      <c r="AM967" s="71"/>
      <c r="AN967" s="71"/>
      <c r="AO967" s="71"/>
      <c r="AP967" s="71"/>
      <c r="AQ967" s="71"/>
      <c r="AR967" s="77"/>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c r="AA968" s="71"/>
      <c r="AB968" s="71"/>
      <c r="AC968" s="71"/>
      <c r="AD968" s="71"/>
      <c r="AE968" s="71"/>
      <c r="AF968" s="71"/>
      <c r="AG968" s="71"/>
      <c r="AH968" s="71"/>
      <c r="AI968" s="71"/>
      <c r="AJ968" s="71"/>
      <c r="AK968" s="71"/>
      <c r="AL968" s="71"/>
      <c r="AM968" s="71"/>
      <c r="AN968" s="71"/>
      <c r="AO968" s="71"/>
      <c r="AP968" s="71"/>
      <c r="AQ968" s="71"/>
      <c r="AR968" s="77"/>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c r="AA969" s="71"/>
      <c r="AB969" s="71"/>
      <c r="AC969" s="71"/>
      <c r="AD969" s="71"/>
      <c r="AE969" s="71"/>
      <c r="AF969" s="71"/>
      <c r="AG969" s="71"/>
      <c r="AH969" s="71"/>
      <c r="AI969" s="71"/>
      <c r="AJ969" s="71"/>
      <c r="AK969" s="71"/>
      <c r="AL969" s="71"/>
      <c r="AM969" s="71"/>
      <c r="AN969" s="71"/>
      <c r="AO969" s="71"/>
      <c r="AP969" s="71"/>
      <c r="AQ969" s="71"/>
      <c r="AR969" s="77"/>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c r="AA970" s="71"/>
      <c r="AB970" s="71"/>
      <c r="AC970" s="71"/>
      <c r="AD970" s="71"/>
      <c r="AE970" s="71"/>
      <c r="AF970" s="71"/>
      <c r="AG970" s="71"/>
      <c r="AH970" s="71"/>
      <c r="AI970" s="71"/>
      <c r="AJ970" s="71"/>
      <c r="AK970" s="71"/>
      <c r="AL970" s="71"/>
      <c r="AM970" s="71"/>
      <c r="AN970" s="71"/>
      <c r="AO970" s="71"/>
      <c r="AP970" s="71"/>
      <c r="AQ970" s="71"/>
      <c r="AR970" s="77"/>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c r="AA971" s="71"/>
      <c r="AB971" s="71"/>
      <c r="AC971" s="71"/>
      <c r="AD971" s="71"/>
      <c r="AE971" s="71"/>
      <c r="AF971" s="71"/>
      <c r="AG971" s="71"/>
      <c r="AH971" s="71"/>
      <c r="AI971" s="71"/>
      <c r="AJ971" s="71"/>
      <c r="AK971" s="71"/>
      <c r="AL971" s="71"/>
      <c r="AM971" s="71"/>
      <c r="AN971" s="71"/>
      <c r="AO971" s="71"/>
      <c r="AP971" s="71"/>
      <c r="AQ971" s="71"/>
      <c r="AR971" s="77"/>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c r="AA972" s="71"/>
      <c r="AB972" s="71"/>
      <c r="AC972" s="71"/>
      <c r="AD972" s="71"/>
      <c r="AE972" s="71"/>
      <c r="AF972" s="71"/>
      <c r="AG972" s="71"/>
      <c r="AH972" s="71"/>
      <c r="AI972" s="71"/>
      <c r="AJ972" s="71"/>
      <c r="AK972" s="71"/>
      <c r="AL972" s="71"/>
      <c r="AM972" s="71"/>
      <c r="AN972" s="71"/>
      <c r="AO972" s="71"/>
      <c r="AP972" s="71"/>
      <c r="AQ972" s="71"/>
      <c r="AR972" s="77"/>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c r="AA973" s="71"/>
      <c r="AB973" s="71"/>
      <c r="AC973" s="71"/>
      <c r="AD973" s="71"/>
      <c r="AE973" s="71"/>
      <c r="AF973" s="71"/>
      <c r="AG973" s="71"/>
      <c r="AH973" s="71"/>
      <c r="AI973" s="71"/>
      <c r="AJ973" s="71"/>
      <c r="AK973" s="71"/>
      <c r="AL973" s="71"/>
      <c r="AM973" s="71"/>
      <c r="AN973" s="71"/>
      <c r="AO973" s="71"/>
      <c r="AP973" s="71"/>
      <c r="AQ973" s="71"/>
      <c r="AR973" s="77"/>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c r="AA974" s="71"/>
      <c r="AB974" s="71"/>
      <c r="AC974" s="71"/>
      <c r="AD974" s="71"/>
      <c r="AE974" s="71"/>
      <c r="AF974" s="71"/>
      <c r="AG974" s="71"/>
      <c r="AH974" s="71"/>
      <c r="AI974" s="71"/>
      <c r="AJ974" s="71"/>
      <c r="AK974" s="71"/>
      <c r="AL974" s="71"/>
      <c r="AM974" s="71"/>
      <c r="AN974" s="71"/>
      <c r="AO974" s="71"/>
      <c r="AP974" s="71"/>
      <c r="AQ974" s="71"/>
      <c r="AR974" s="77"/>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c r="AA975" s="71"/>
      <c r="AB975" s="71"/>
      <c r="AC975" s="71"/>
      <c r="AD975" s="71"/>
      <c r="AE975" s="71"/>
      <c r="AF975" s="71"/>
      <c r="AG975" s="71"/>
      <c r="AH975" s="71"/>
      <c r="AI975" s="71"/>
      <c r="AJ975" s="71"/>
      <c r="AK975" s="71"/>
      <c r="AL975" s="71"/>
      <c r="AM975" s="71"/>
      <c r="AN975" s="71"/>
      <c r="AO975" s="71"/>
      <c r="AP975" s="71"/>
      <c r="AQ975" s="71"/>
      <c r="AR975" s="77"/>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c r="AA976" s="71"/>
      <c r="AB976" s="71"/>
      <c r="AC976" s="71"/>
      <c r="AD976" s="71"/>
      <c r="AE976" s="71"/>
      <c r="AF976" s="71"/>
      <c r="AG976" s="71"/>
      <c r="AH976" s="71"/>
      <c r="AI976" s="71"/>
      <c r="AJ976" s="71"/>
      <c r="AK976" s="71"/>
      <c r="AL976" s="71"/>
      <c r="AM976" s="71"/>
      <c r="AN976" s="71"/>
      <c r="AO976" s="71"/>
      <c r="AP976" s="71"/>
      <c r="AQ976" s="71"/>
      <c r="AR976" s="77"/>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c r="AA977" s="71"/>
      <c r="AB977" s="71"/>
      <c r="AC977" s="71"/>
      <c r="AD977" s="71"/>
      <c r="AE977" s="71"/>
      <c r="AF977" s="71"/>
      <c r="AG977" s="71"/>
      <c r="AH977" s="71"/>
      <c r="AI977" s="71"/>
      <c r="AJ977" s="71"/>
      <c r="AK977" s="71"/>
      <c r="AL977" s="71"/>
      <c r="AM977" s="71"/>
      <c r="AN977" s="71"/>
      <c r="AO977" s="71"/>
      <c r="AP977" s="71"/>
      <c r="AQ977" s="71"/>
      <c r="AR977" s="77"/>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c r="AA978" s="71"/>
      <c r="AB978" s="71"/>
      <c r="AC978" s="71"/>
      <c r="AD978" s="71"/>
      <c r="AE978" s="71"/>
      <c r="AF978" s="71"/>
      <c r="AG978" s="71"/>
      <c r="AH978" s="71"/>
      <c r="AI978" s="71"/>
      <c r="AJ978" s="71"/>
      <c r="AK978" s="71"/>
      <c r="AL978" s="71"/>
      <c r="AM978" s="71"/>
      <c r="AN978" s="71"/>
      <c r="AO978" s="71"/>
      <c r="AP978" s="71"/>
      <c r="AQ978" s="71"/>
      <c r="AR978" s="77"/>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c r="AA979" s="71"/>
      <c r="AB979" s="71"/>
      <c r="AC979" s="71"/>
      <c r="AD979" s="71"/>
      <c r="AE979" s="71"/>
      <c r="AF979" s="71"/>
      <c r="AG979" s="71"/>
      <c r="AH979" s="71"/>
      <c r="AI979" s="71"/>
      <c r="AJ979" s="71"/>
      <c r="AK979" s="71"/>
      <c r="AL979" s="71"/>
      <c r="AM979" s="71"/>
      <c r="AN979" s="71"/>
      <c r="AO979" s="71"/>
      <c r="AP979" s="71"/>
      <c r="AQ979" s="71"/>
      <c r="AR979" s="77"/>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c r="AA980" s="71"/>
      <c r="AB980" s="71"/>
      <c r="AC980" s="71"/>
      <c r="AD980" s="71"/>
      <c r="AE980" s="71"/>
      <c r="AF980" s="71"/>
      <c r="AG980" s="71"/>
      <c r="AH980" s="71"/>
      <c r="AI980" s="71"/>
      <c r="AJ980" s="71"/>
      <c r="AK980" s="71"/>
      <c r="AL980" s="71"/>
      <c r="AM980" s="71"/>
      <c r="AN980" s="71"/>
      <c r="AO980" s="71"/>
      <c r="AP980" s="71"/>
      <c r="AQ980" s="71"/>
      <c r="AR980" s="77"/>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c r="AA981" s="71"/>
      <c r="AB981" s="71"/>
      <c r="AC981" s="71"/>
      <c r="AD981" s="71"/>
      <c r="AE981" s="71"/>
      <c r="AF981" s="71"/>
      <c r="AG981" s="71"/>
      <c r="AH981" s="71"/>
      <c r="AI981" s="71"/>
      <c r="AJ981" s="71"/>
      <c r="AK981" s="71"/>
      <c r="AL981" s="71"/>
      <c r="AM981" s="71"/>
      <c r="AN981" s="71"/>
      <c r="AO981" s="71"/>
      <c r="AP981" s="71"/>
      <c r="AQ981" s="71"/>
      <c r="AR981" s="77"/>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c r="AA982" s="71"/>
      <c r="AB982" s="71"/>
      <c r="AC982" s="71"/>
      <c r="AD982" s="71"/>
      <c r="AE982" s="71"/>
      <c r="AF982" s="71"/>
      <c r="AG982" s="71"/>
      <c r="AH982" s="71"/>
      <c r="AI982" s="71"/>
      <c r="AJ982" s="71"/>
      <c r="AK982" s="71"/>
      <c r="AL982" s="71"/>
      <c r="AM982" s="71"/>
      <c r="AN982" s="71"/>
      <c r="AO982" s="71"/>
      <c r="AP982" s="71"/>
      <c r="AQ982" s="71"/>
      <c r="AR982" s="77"/>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c r="AA983" s="71"/>
      <c r="AB983" s="71"/>
      <c r="AC983" s="71"/>
      <c r="AD983" s="71"/>
      <c r="AE983" s="71"/>
      <c r="AF983" s="71"/>
      <c r="AG983" s="71"/>
      <c r="AH983" s="71"/>
      <c r="AI983" s="71"/>
      <c r="AJ983" s="71"/>
      <c r="AK983" s="71"/>
      <c r="AL983" s="71"/>
      <c r="AM983" s="71"/>
      <c r="AN983" s="71"/>
      <c r="AO983" s="71"/>
      <c r="AP983" s="71"/>
      <c r="AQ983" s="71"/>
      <c r="AR983" s="77"/>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c r="AA984" s="71"/>
      <c r="AB984" s="71"/>
      <c r="AC984" s="71"/>
      <c r="AD984" s="71"/>
      <c r="AE984" s="71"/>
      <c r="AF984" s="71"/>
      <c r="AG984" s="71"/>
      <c r="AH984" s="71"/>
      <c r="AI984" s="71"/>
      <c r="AJ984" s="71"/>
      <c r="AK984" s="71"/>
      <c r="AL984" s="71"/>
      <c r="AM984" s="71"/>
      <c r="AN984" s="71"/>
      <c r="AO984" s="71"/>
      <c r="AP984" s="71"/>
      <c r="AQ984" s="71"/>
      <c r="AR984" s="77"/>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c r="AA985" s="71"/>
      <c r="AB985" s="71"/>
      <c r="AC985" s="71"/>
      <c r="AD985" s="71"/>
      <c r="AE985" s="71"/>
      <c r="AF985" s="71"/>
      <c r="AG985" s="71"/>
      <c r="AH985" s="71"/>
      <c r="AI985" s="71"/>
      <c r="AJ985" s="71"/>
      <c r="AK985" s="71"/>
      <c r="AL985" s="71"/>
      <c r="AM985" s="71"/>
      <c r="AN985" s="71"/>
      <c r="AO985" s="71"/>
      <c r="AP985" s="71"/>
      <c r="AQ985" s="71"/>
      <c r="AR985" s="77"/>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c r="AA986" s="71"/>
      <c r="AB986" s="71"/>
      <c r="AC986" s="71"/>
      <c r="AD986" s="71"/>
      <c r="AE986" s="71"/>
      <c r="AF986" s="71"/>
      <c r="AG986" s="71"/>
      <c r="AH986" s="71"/>
      <c r="AI986" s="71"/>
      <c r="AJ986" s="71"/>
      <c r="AK986" s="71"/>
      <c r="AL986" s="71"/>
      <c r="AM986" s="71"/>
      <c r="AN986" s="71"/>
      <c r="AO986" s="71"/>
      <c r="AP986" s="71"/>
      <c r="AQ986" s="71"/>
      <c r="AR986" s="77"/>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c r="AA987" s="71"/>
      <c r="AB987" s="71"/>
      <c r="AC987" s="71"/>
      <c r="AD987" s="71"/>
      <c r="AE987" s="71"/>
      <c r="AF987" s="71"/>
      <c r="AG987" s="71"/>
      <c r="AH987" s="71"/>
      <c r="AI987" s="71"/>
      <c r="AJ987" s="71"/>
      <c r="AK987" s="71"/>
      <c r="AL987" s="71"/>
      <c r="AM987" s="71"/>
      <c r="AN987" s="71"/>
      <c r="AO987" s="71"/>
      <c r="AP987" s="71"/>
      <c r="AQ987" s="71"/>
      <c r="AR987" s="77"/>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c r="AA988" s="71"/>
      <c r="AB988" s="71"/>
      <c r="AC988" s="71"/>
      <c r="AD988" s="71"/>
      <c r="AE988" s="71"/>
      <c r="AF988" s="71"/>
      <c r="AG988" s="71"/>
      <c r="AH988" s="71"/>
      <c r="AI988" s="71"/>
      <c r="AJ988" s="71"/>
      <c r="AK988" s="71"/>
      <c r="AL988" s="71"/>
      <c r="AM988" s="71"/>
      <c r="AN988" s="71"/>
      <c r="AO988" s="71"/>
      <c r="AP988" s="71"/>
      <c r="AQ988" s="71"/>
      <c r="AR988" s="77"/>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c r="AA989" s="71"/>
      <c r="AB989" s="71"/>
      <c r="AC989" s="71"/>
      <c r="AD989" s="71"/>
      <c r="AE989" s="71"/>
      <c r="AF989" s="71"/>
      <c r="AG989" s="71"/>
      <c r="AH989" s="71"/>
      <c r="AI989" s="71"/>
      <c r="AJ989" s="71"/>
      <c r="AK989" s="71"/>
      <c r="AL989" s="71"/>
      <c r="AM989" s="71"/>
      <c r="AN989" s="71"/>
      <c r="AO989" s="71"/>
      <c r="AP989" s="71"/>
      <c r="AQ989" s="71"/>
      <c r="AR989" s="77"/>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c r="AA990" s="71"/>
      <c r="AB990" s="71"/>
      <c r="AC990" s="71"/>
      <c r="AD990" s="71"/>
      <c r="AE990" s="71"/>
      <c r="AF990" s="71"/>
      <c r="AG990" s="71"/>
      <c r="AH990" s="71"/>
      <c r="AI990" s="71"/>
      <c r="AJ990" s="71"/>
      <c r="AK990" s="71"/>
      <c r="AL990" s="71"/>
      <c r="AM990" s="71"/>
      <c r="AN990" s="71"/>
      <c r="AO990" s="71"/>
      <c r="AP990" s="71"/>
      <c r="AQ990" s="71"/>
      <c r="AR990" s="77"/>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c r="AA991" s="71"/>
      <c r="AB991" s="71"/>
      <c r="AC991" s="71"/>
      <c r="AD991" s="71"/>
      <c r="AE991" s="71"/>
      <c r="AF991" s="71"/>
      <c r="AG991" s="71"/>
      <c r="AH991" s="71"/>
      <c r="AI991" s="71"/>
      <c r="AJ991" s="71"/>
      <c r="AK991" s="71"/>
      <c r="AL991" s="71"/>
      <c r="AM991" s="71"/>
      <c r="AN991" s="71"/>
      <c r="AO991" s="71"/>
      <c r="AP991" s="71"/>
      <c r="AQ991" s="71"/>
      <c r="AR991" s="77"/>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c r="AA992" s="71"/>
      <c r="AB992" s="71"/>
      <c r="AC992" s="71"/>
      <c r="AD992" s="71"/>
      <c r="AE992" s="71"/>
      <c r="AF992" s="71"/>
      <c r="AG992" s="71"/>
      <c r="AH992" s="71"/>
      <c r="AI992" s="71"/>
      <c r="AJ992" s="71"/>
      <c r="AK992" s="71"/>
      <c r="AL992" s="71"/>
      <c r="AM992" s="71"/>
      <c r="AN992" s="71"/>
      <c r="AO992" s="71"/>
      <c r="AP992" s="71"/>
      <c r="AQ992" s="71"/>
      <c r="AR992" s="77"/>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c r="AA993" s="71"/>
      <c r="AB993" s="71"/>
      <c r="AC993" s="71"/>
      <c r="AD993" s="71"/>
      <c r="AE993" s="71"/>
      <c r="AF993" s="71"/>
      <c r="AG993" s="71"/>
      <c r="AH993" s="71"/>
      <c r="AI993" s="71"/>
      <c r="AJ993" s="71"/>
      <c r="AK993" s="71"/>
      <c r="AL993" s="71"/>
      <c r="AM993" s="71"/>
      <c r="AN993" s="71"/>
      <c r="AO993" s="71"/>
      <c r="AP993" s="71"/>
      <c r="AQ993" s="71"/>
      <c r="AR993" s="77"/>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c r="AA994" s="71"/>
      <c r="AB994" s="71"/>
      <c r="AC994" s="71"/>
      <c r="AD994" s="71"/>
      <c r="AE994" s="71"/>
      <c r="AF994" s="71"/>
      <c r="AG994" s="71"/>
      <c r="AH994" s="71"/>
      <c r="AI994" s="71"/>
      <c r="AJ994" s="71"/>
      <c r="AK994" s="71"/>
      <c r="AL994" s="71"/>
      <c r="AM994" s="71"/>
      <c r="AN994" s="71"/>
      <c r="AO994" s="71"/>
      <c r="AP994" s="71"/>
      <c r="AQ994" s="71"/>
      <c r="AR994" s="77"/>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c r="AA995" s="71"/>
      <c r="AB995" s="71"/>
      <c r="AC995" s="71"/>
      <c r="AD995" s="71"/>
      <c r="AE995" s="71"/>
      <c r="AF995" s="71"/>
      <c r="AG995" s="71"/>
      <c r="AH995" s="71"/>
      <c r="AI995" s="71"/>
      <c r="AJ995" s="71"/>
      <c r="AK995" s="71"/>
      <c r="AL995" s="71"/>
      <c r="AM995" s="71"/>
      <c r="AN995" s="71"/>
      <c r="AO995" s="71"/>
      <c r="AP995" s="71"/>
      <c r="AQ995" s="71"/>
      <c r="AR995" s="77"/>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c r="AA996" s="71"/>
      <c r="AB996" s="71"/>
      <c r="AC996" s="71"/>
      <c r="AD996" s="71"/>
      <c r="AE996" s="71"/>
      <c r="AF996" s="71"/>
      <c r="AG996" s="71"/>
      <c r="AH996" s="71"/>
      <c r="AI996" s="71"/>
      <c r="AJ996" s="71"/>
      <c r="AK996" s="71"/>
      <c r="AL996" s="71"/>
      <c r="AM996" s="71"/>
      <c r="AN996" s="71"/>
      <c r="AO996" s="71"/>
      <c r="AP996" s="71"/>
      <c r="AQ996" s="71"/>
      <c r="AR996" s="77"/>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c r="AA997" s="71"/>
      <c r="AB997" s="71"/>
      <c r="AC997" s="71"/>
      <c r="AD997" s="71"/>
      <c r="AE997" s="71"/>
      <c r="AF997" s="71"/>
      <c r="AG997" s="71"/>
      <c r="AH997" s="71"/>
      <c r="AI997" s="71"/>
      <c r="AJ997" s="71"/>
      <c r="AK997" s="71"/>
      <c r="AL997" s="71"/>
      <c r="AM997" s="71"/>
      <c r="AN997" s="71"/>
      <c r="AO997" s="71"/>
      <c r="AP997" s="71"/>
      <c r="AQ997" s="71"/>
      <c r="AR997" s="77"/>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c r="AA998" s="71"/>
      <c r="AB998" s="71"/>
      <c r="AC998" s="71"/>
      <c r="AD998" s="71"/>
      <c r="AE998" s="71"/>
      <c r="AF998" s="71"/>
      <c r="AG998" s="71"/>
      <c r="AH998" s="71"/>
      <c r="AI998" s="71"/>
      <c r="AJ998" s="71"/>
      <c r="AK998" s="71"/>
      <c r="AL998" s="71"/>
      <c r="AM998" s="71"/>
      <c r="AN998" s="71"/>
      <c r="AO998" s="71"/>
      <c r="AP998" s="71"/>
      <c r="AQ998" s="71"/>
      <c r="AR998" s="77"/>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c r="AA999" s="71"/>
      <c r="AB999" s="71"/>
      <c r="AC999" s="71"/>
      <c r="AD999" s="71"/>
      <c r="AE999" s="71"/>
      <c r="AF999" s="71"/>
      <c r="AG999" s="71"/>
      <c r="AH999" s="71"/>
      <c r="AI999" s="71"/>
      <c r="AJ999" s="71"/>
      <c r="AK999" s="71"/>
      <c r="AL999" s="71"/>
      <c r="AM999" s="71"/>
      <c r="AN999" s="71"/>
      <c r="AO999" s="71"/>
      <c r="AP999" s="71"/>
      <c r="AQ999" s="71"/>
      <c r="AR999" s="77"/>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c r="AA1000" s="71"/>
      <c r="AB1000" s="71"/>
      <c r="AC1000" s="71"/>
      <c r="AD1000" s="71"/>
      <c r="AE1000" s="71"/>
      <c r="AF1000" s="71"/>
      <c r="AG1000" s="71"/>
      <c r="AH1000" s="71"/>
      <c r="AI1000" s="71"/>
      <c r="AJ1000" s="71"/>
      <c r="AK1000" s="71"/>
      <c r="AL1000" s="71"/>
      <c r="AM1000" s="71"/>
      <c r="AN1000" s="71"/>
      <c r="AO1000" s="71"/>
      <c r="AP1000" s="71"/>
      <c r="AQ1000" s="71"/>
      <c r="AR1000" s="77"/>
    </row>
    <row r="100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c r="AA1001" s="71"/>
      <c r="AB1001" s="71"/>
      <c r="AC1001" s="71"/>
      <c r="AD1001" s="71"/>
      <c r="AE1001" s="71"/>
      <c r="AF1001" s="71"/>
      <c r="AG1001" s="71"/>
      <c r="AH1001" s="71"/>
      <c r="AI1001" s="71"/>
      <c r="AJ1001" s="71"/>
      <c r="AK1001" s="71"/>
      <c r="AL1001" s="71"/>
      <c r="AM1001" s="71"/>
      <c r="AN1001" s="71"/>
      <c r="AO1001" s="71"/>
      <c r="AP1001" s="71"/>
      <c r="AQ1001" s="71"/>
      <c r="AR1001" s="77"/>
    </row>
    <row r="1002">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c r="AA1002" s="71"/>
      <c r="AB1002" s="71"/>
      <c r="AC1002" s="71"/>
      <c r="AD1002" s="71"/>
      <c r="AE1002" s="71"/>
      <c r="AF1002" s="71"/>
      <c r="AG1002" s="71"/>
      <c r="AH1002" s="71"/>
      <c r="AI1002" s="71"/>
      <c r="AJ1002" s="71"/>
      <c r="AK1002" s="71"/>
      <c r="AL1002" s="71"/>
      <c r="AM1002" s="71"/>
      <c r="AN1002" s="71"/>
      <c r="AO1002" s="71"/>
      <c r="AP1002" s="71"/>
      <c r="AQ1002" s="71"/>
      <c r="AR1002" s="77"/>
    </row>
    <row r="1003">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c r="AA1003" s="71"/>
      <c r="AB1003" s="71"/>
      <c r="AC1003" s="71"/>
      <c r="AD1003" s="71"/>
      <c r="AE1003" s="71"/>
      <c r="AF1003" s="71"/>
      <c r="AG1003" s="71"/>
      <c r="AH1003" s="71"/>
      <c r="AI1003" s="71"/>
      <c r="AJ1003" s="71"/>
      <c r="AK1003" s="71"/>
      <c r="AL1003" s="71"/>
      <c r="AM1003" s="71"/>
      <c r="AN1003" s="71"/>
      <c r="AO1003" s="71"/>
      <c r="AP1003" s="71"/>
      <c r="AQ1003" s="71"/>
      <c r="AR1003" s="77"/>
    </row>
    <row r="1004">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c r="AA1004" s="71"/>
      <c r="AB1004" s="71"/>
      <c r="AC1004" s="71"/>
      <c r="AD1004" s="71"/>
      <c r="AE1004" s="71"/>
      <c r="AF1004" s="71"/>
      <c r="AG1004" s="71"/>
      <c r="AH1004" s="71"/>
      <c r="AI1004" s="71"/>
      <c r="AJ1004" s="71"/>
      <c r="AK1004" s="71"/>
      <c r="AL1004" s="71"/>
      <c r="AM1004" s="71"/>
      <c r="AN1004" s="71"/>
      <c r="AO1004" s="71"/>
      <c r="AP1004" s="71"/>
      <c r="AQ1004" s="71"/>
      <c r="AR1004" s="77"/>
    </row>
    <row r="1005">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c r="AA1005" s="71"/>
      <c r="AB1005" s="71"/>
      <c r="AC1005" s="71"/>
      <c r="AD1005" s="71"/>
      <c r="AE1005" s="71"/>
      <c r="AF1005" s="71"/>
      <c r="AG1005" s="71"/>
      <c r="AH1005" s="71"/>
      <c r="AI1005" s="71"/>
      <c r="AJ1005" s="71"/>
      <c r="AK1005" s="71"/>
      <c r="AL1005" s="71"/>
      <c r="AM1005" s="71"/>
      <c r="AN1005" s="71"/>
      <c r="AO1005" s="71"/>
      <c r="AP1005" s="71"/>
      <c r="AQ1005" s="71"/>
      <c r="AR1005" s="77"/>
    </row>
    <row r="1006">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c r="AA1006" s="71"/>
      <c r="AB1006" s="71"/>
      <c r="AC1006" s="71"/>
      <c r="AD1006" s="71"/>
      <c r="AE1006" s="71"/>
      <c r="AF1006" s="71"/>
      <c r="AG1006" s="71"/>
      <c r="AH1006" s="71"/>
      <c r="AI1006" s="71"/>
      <c r="AJ1006" s="71"/>
      <c r="AK1006" s="71"/>
      <c r="AL1006" s="71"/>
      <c r="AM1006" s="71"/>
      <c r="AN1006" s="71"/>
      <c r="AO1006" s="71"/>
      <c r="AP1006" s="71"/>
      <c r="AQ1006" s="71"/>
      <c r="AR1006" s="77"/>
    </row>
    <row r="1007">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c r="AA1007" s="71"/>
      <c r="AB1007" s="71"/>
      <c r="AC1007" s="71"/>
      <c r="AD1007" s="71"/>
      <c r="AE1007" s="71"/>
      <c r="AF1007" s="71"/>
      <c r="AG1007" s="71"/>
      <c r="AH1007" s="71"/>
      <c r="AI1007" s="71"/>
      <c r="AJ1007" s="71"/>
      <c r="AK1007" s="71"/>
      <c r="AL1007" s="71"/>
      <c r="AM1007" s="71"/>
      <c r="AN1007" s="71"/>
      <c r="AO1007" s="71"/>
      <c r="AP1007" s="71"/>
      <c r="AQ1007" s="71"/>
      <c r="AR1007" s="77"/>
    </row>
    <row r="1008">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c r="AA1008" s="71"/>
      <c r="AB1008" s="71"/>
      <c r="AC1008" s="71"/>
      <c r="AD1008" s="71"/>
      <c r="AE1008" s="71"/>
      <c r="AF1008" s="71"/>
      <c r="AG1008" s="71"/>
      <c r="AH1008" s="71"/>
      <c r="AI1008" s="71"/>
      <c r="AJ1008" s="71"/>
      <c r="AK1008" s="71"/>
      <c r="AL1008" s="71"/>
      <c r="AM1008" s="71"/>
      <c r="AN1008" s="71"/>
      <c r="AO1008" s="71"/>
      <c r="AP1008" s="71"/>
      <c r="AQ1008" s="71"/>
      <c r="AR1008" s="77"/>
    </row>
    <row r="1009">
      <c r="A1009" s="71"/>
      <c r="B1009" s="71"/>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c r="AA1009" s="71"/>
      <c r="AB1009" s="71"/>
      <c r="AC1009" s="71"/>
      <c r="AD1009" s="71"/>
      <c r="AE1009" s="71"/>
      <c r="AF1009" s="71"/>
      <c r="AG1009" s="71"/>
      <c r="AH1009" s="71"/>
      <c r="AI1009" s="71"/>
      <c r="AJ1009" s="71"/>
      <c r="AK1009" s="71"/>
      <c r="AL1009" s="71"/>
      <c r="AM1009" s="71"/>
      <c r="AN1009" s="71"/>
      <c r="AO1009" s="71"/>
      <c r="AP1009" s="71"/>
      <c r="AQ1009" s="71"/>
      <c r="AR1009" s="77"/>
    </row>
    <row r="1010">
      <c r="A1010" s="71"/>
      <c r="B1010" s="71"/>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c r="AA1010" s="71"/>
      <c r="AB1010" s="71"/>
      <c r="AC1010" s="71"/>
      <c r="AD1010" s="71"/>
      <c r="AE1010" s="71"/>
      <c r="AF1010" s="71"/>
      <c r="AG1010" s="71"/>
      <c r="AH1010" s="71"/>
      <c r="AI1010" s="71"/>
      <c r="AJ1010" s="71"/>
      <c r="AK1010" s="71"/>
      <c r="AL1010" s="71"/>
      <c r="AM1010" s="71"/>
      <c r="AN1010" s="71"/>
      <c r="AO1010" s="71"/>
      <c r="AP1010" s="71"/>
      <c r="AQ1010" s="71"/>
      <c r="AR1010" s="77"/>
    </row>
    <row r="1011">
      <c r="A1011" s="71"/>
      <c r="B1011" s="71"/>
      <c r="C1011" s="71"/>
      <c r="D1011" s="71"/>
      <c r="E1011" s="71"/>
      <c r="F1011" s="71"/>
      <c r="G1011" s="71"/>
      <c r="H1011" s="71"/>
      <c r="I1011" s="71"/>
      <c r="J1011" s="71"/>
      <c r="K1011" s="71"/>
      <c r="L1011" s="71"/>
      <c r="M1011" s="71"/>
      <c r="N1011" s="71"/>
      <c r="O1011" s="71"/>
      <c r="P1011" s="71"/>
      <c r="Q1011" s="71"/>
      <c r="R1011" s="71"/>
      <c r="S1011" s="71"/>
      <c r="T1011" s="71"/>
      <c r="U1011" s="71"/>
      <c r="V1011" s="71"/>
      <c r="W1011" s="71"/>
      <c r="X1011" s="71"/>
      <c r="Y1011" s="71"/>
      <c r="Z1011" s="71"/>
      <c r="AA1011" s="71"/>
      <c r="AB1011" s="71"/>
      <c r="AC1011" s="71"/>
      <c r="AD1011" s="71"/>
      <c r="AE1011" s="71"/>
      <c r="AF1011" s="71"/>
      <c r="AG1011" s="71"/>
      <c r="AH1011" s="71"/>
      <c r="AI1011" s="71"/>
      <c r="AJ1011" s="71"/>
      <c r="AK1011" s="71"/>
      <c r="AL1011" s="71"/>
      <c r="AM1011" s="71"/>
      <c r="AN1011" s="71"/>
      <c r="AO1011" s="71"/>
      <c r="AP1011" s="71"/>
      <c r="AQ1011" s="71"/>
      <c r="AR1011" s="77"/>
    </row>
    <row r="1012">
      <c r="A1012" s="71"/>
      <c r="B1012" s="71"/>
      <c r="C1012" s="71"/>
      <c r="D1012" s="71"/>
      <c r="E1012" s="71"/>
      <c r="F1012" s="71"/>
      <c r="G1012" s="71"/>
      <c r="H1012" s="71"/>
      <c r="I1012" s="71"/>
      <c r="J1012" s="71"/>
      <c r="K1012" s="71"/>
      <c r="L1012" s="71"/>
      <c r="M1012" s="71"/>
      <c r="N1012" s="71"/>
      <c r="O1012" s="71"/>
      <c r="P1012" s="71"/>
      <c r="Q1012" s="71"/>
      <c r="R1012" s="71"/>
      <c r="S1012" s="71"/>
      <c r="T1012" s="71"/>
      <c r="U1012" s="71"/>
      <c r="V1012" s="71"/>
      <c r="W1012" s="71"/>
      <c r="X1012" s="71"/>
      <c r="Y1012" s="71"/>
      <c r="Z1012" s="71"/>
      <c r="AA1012" s="71"/>
      <c r="AB1012" s="71"/>
      <c r="AC1012" s="71"/>
      <c r="AD1012" s="71"/>
      <c r="AE1012" s="71"/>
      <c r="AF1012" s="71"/>
      <c r="AG1012" s="71"/>
      <c r="AH1012" s="71"/>
      <c r="AI1012" s="71"/>
      <c r="AJ1012" s="71"/>
      <c r="AK1012" s="71"/>
      <c r="AL1012" s="71"/>
      <c r="AM1012" s="71"/>
      <c r="AN1012" s="71"/>
      <c r="AO1012" s="71"/>
      <c r="AP1012" s="71"/>
      <c r="AQ1012" s="71"/>
      <c r="AR1012" s="77"/>
    </row>
    <row r="1013">
      <c r="A1013" s="71"/>
      <c r="B1013" s="71"/>
      <c r="C1013" s="71"/>
      <c r="D1013" s="71"/>
      <c r="E1013" s="71"/>
      <c r="F1013" s="71"/>
      <c r="G1013" s="71"/>
      <c r="H1013" s="71"/>
      <c r="I1013" s="71"/>
      <c r="J1013" s="71"/>
      <c r="K1013" s="71"/>
      <c r="L1013" s="71"/>
      <c r="M1013" s="71"/>
      <c r="N1013" s="71"/>
      <c r="O1013" s="71"/>
      <c r="P1013" s="71"/>
      <c r="Q1013" s="71"/>
      <c r="R1013" s="71"/>
      <c r="S1013" s="71"/>
      <c r="T1013" s="71"/>
      <c r="U1013" s="71"/>
      <c r="V1013" s="71"/>
      <c r="W1013" s="71"/>
      <c r="X1013" s="71"/>
      <c r="Y1013" s="71"/>
      <c r="Z1013" s="71"/>
      <c r="AA1013" s="71"/>
      <c r="AB1013" s="71"/>
      <c r="AC1013" s="71"/>
      <c r="AD1013" s="71"/>
      <c r="AE1013" s="71"/>
      <c r="AF1013" s="71"/>
      <c r="AG1013" s="71"/>
      <c r="AH1013" s="71"/>
      <c r="AI1013" s="71"/>
      <c r="AJ1013" s="71"/>
      <c r="AK1013" s="71"/>
      <c r="AL1013" s="71"/>
      <c r="AM1013" s="71"/>
      <c r="AN1013" s="71"/>
      <c r="AO1013" s="71"/>
      <c r="AP1013" s="71"/>
      <c r="AQ1013" s="71"/>
      <c r="AR1013" s="77"/>
    </row>
    <row r="1014">
      <c r="A1014" s="71"/>
      <c r="B1014" s="71"/>
      <c r="C1014" s="71"/>
      <c r="D1014" s="71"/>
      <c r="E1014" s="71"/>
      <c r="F1014" s="71"/>
      <c r="G1014" s="71"/>
      <c r="H1014" s="71"/>
      <c r="I1014" s="71"/>
      <c r="J1014" s="71"/>
      <c r="K1014" s="71"/>
      <c r="L1014" s="71"/>
      <c r="M1014" s="71"/>
      <c r="N1014" s="71"/>
      <c r="O1014" s="71"/>
      <c r="P1014" s="71"/>
      <c r="Q1014" s="71"/>
      <c r="R1014" s="71"/>
      <c r="S1014" s="71"/>
      <c r="T1014" s="71"/>
      <c r="U1014" s="71"/>
      <c r="V1014" s="71"/>
      <c r="W1014" s="71"/>
      <c r="X1014" s="71"/>
      <c r="Y1014" s="71"/>
      <c r="Z1014" s="71"/>
      <c r="AA1014" s="71"/>
      <c r="AB1014" s="71"/>
      <c r="AC1014" s="71"/>
      <c r="AD1014" s="71"/>
      <c r="AE1014" s="71"/>
      <c r="AF1014" s="71"/>
      <c r="AG1014" s="71"/>
      <c r="AH1014" s="71"/>
      <c r="AI1014" s="71"/>
      <c r="AJ1014" s="71"/>
      <c r="AK1014" s="71"/>
      <c r="AL1014" s="71"/>
      <c r="AM1014" s="71"/>
      <c r="AN1014" s="71"/>
      <c r="AO1014" s="71"/>
      <c r="AP1014" s="71"/>
      <c r="AQ1014" s="71"/>
      <c r="AR1014" s="77"/>
    </row>
    <row r="1015">
      <c r="A1015" s="71"/>
      <c r="B1015" s="71"/>
      <c r="C1015" s="71"/>
      <c r="D1015" s="71"/>
      <c r="E1015" s="71"/>
      <c r="F1015" s="71"/>
      <c r="G1015" s="71"/>
      <c r="H1015" s="71"/>
      <c r="I1015" s="71"/>
      <c r="J1015" s="71"/>
      <c r="K1015" s="71"/>
      <c r="L1015" s="71"/>
      <c r="M1015" s="71"/>
      <c r="N1015" s="71"/>
      <c r="O1015" s="71"/>
      <c r="P1015" s="71"/>
      <c r="Q1015" s="71"/>
      <c r="R1015" s="71"/>
      <c r="S1015" s="71"/>
      <c r="T1015" s="71"/>
      <c r="U1015" s="71"/>
      <c r="V1015" s="71"/>
      <c r="W1015" s="71"/>
      <c r="X1015" s="71"/>
      <c r="Y1015" s="71"/>
      <c r="Z1015" s="71"/>
      <c r="AA1015" s="71"/>
      <c r="AB1015" s="71"/>
      <c r="AC1015" s="71"/>
      <c r="AD1015" s="71"/>
      <c r="AE1015" s="71"/>
      <c r="AF1015" s="71"/>
      <c r="AG1015" s="71"/>
      <c r="AH1015" s="71"/>
      <c r="AI1015" s="71"/>
      <c r="AJ1015" s="71"/>
      <c r="AK1015" s="71"/>
      <c r="AL1015" s="71"/>
      <c r="AM1015" s="71"/>
      <c r="AN1015" s="71"/>
      <c r="AO1015" s="71"/>
      <c r="AP1015" s="71"/>
      <c r="AQ1015" s="71"/>
      <c r="AR1015" s="77"/>
    </row>
    <row r="1016">
      <c r="A1016" s="71"/>
      <c r="B1016" s="71"/>
      <c r="C1016" s="71"/>
      <c r="D1016" s="71"/>
      <c r="E1016" s="71"/>
      <c r="F1016" s="71"/>
      <c r="G1016" s="71"/>
      <c r="H1016" s="71"/>
      <c r="I1016" s="71"/>
      <c r="J1016" s="71"/>
      <c r="K1016" s="71"/>
      <c r="L1016" s="71"/>
      <c r="M1016" s="71"/>
      <c r="N1016" s="71"/>
      <c r="O1016" s="71"/>
      <c r="P1016" s="71"/>
      <c r="Q1016" s="71"/>
      <c r="R1016" s="71"/>
      <c r="S1016" s="71"/>
      <c r="T1016" s="71"/>
      <c r="U1016" s="71"/>
      <c r="V1016" s="71"/>
      <c r="W1016" s="71"/>
      <c r="X1016" s="71"/>
      <c r="Y1016" s="71"/>
      <c r="Z1016" s="71"/>
      <c r="AA1016" s="71"/>
      <c r="AB1016" s="71"/>
      <c r="AC1016" s="71"/>
      <c r="AD1016" s="71"/>
      <c r="AE1016" s="71"/>
      <c r="AF1016" s="71"/>
      <c r="AG1016" s="71"/>
      <c r="AH1016" s="71"/>
      <c r="AI1016" s="71"/>
      <c r="AJ1016" s="71"/>
      <c r="AK1016" s="71"/>
      <c r="AL1016" s="71"/>
      <c r="AM1016" s="71"/>
      <c r="AN1016" s="71"/>
      <c r="AO1016" s="71"/>
      <c r="AP1016" s="71"/>
      <c r="AQ1016" s="71"/>
      <c r="AR1016" s="77"/>
    </row>
    <row r="1017">
      <c r="A1017" s="71"/>
      <c r="B1017" s="71"/>
      <c r="C1017" s="71"/>
      <c r="D1017" s="71"/>
      <c r="E1017" s="71"/>
      <c r="F1017" s="71"/>
      <c r="G1017" s="71"/>
      <c r="H1017" s="71"/>
      <c r="I1017" s="71"/>
      <c r="J1017" s="71"/>
      <c r="K1017" s="71"/>
      <c r="L1017" s="71"/>
      <c r="M1017" s="71"/>
      <c r="N1017" s="71"/>
      <c r="O1017" s="71"/>
      <c r="P1017" s="71"/>
      <c r="Q1017" s="71"/>
      <c r="R1017" s="71"/>
      <c r="S1017" s="71"/>
      <c r="T1017" s="71"/>
      <c r="U1017" s="71"/>
      <c r="V1017" s="71"/>
      <c r="W1017" s="71"/>
      <c r="X1017" s="71"/>
      <c r="Y1017" s="71"/>
      <c r="Z1017" s="71"/>
      <c r="AA1017" s="71"/>
      <c r="AB1017" s="71"/>
      <c r="AC1017" s="71"/>
      <c r="AD1017" s="71"/>
      <c r="AE1017" s="71"/>
      <c r="AF1017" s="71"/>
      <c r="AG1017" s="71"/>
      <c r="AH1017" s="71"/>
      <c r="AI1017" s="71"/>
      <c r="AJ1017" s="71"/>
      <c r="AK1017" s="71"/>
      <c r="AL1017" s="71"/>
      <c r="AM1017" s="71"/>
      <c r="AN1017" s="71"/>
      <c r="AO1017" s="71"/>
      <c r="AP1017" s="71"/>
      <c r="AQ1017" s="71"/>
      <c r="AR1017" s="77"/>
    </row>
    <row r="1018">
      <c r="A1018" s="71"/>
      <c r="B1018" s="71"/>
      <c r="C1018" s="71"/>
      <c r="D1018" s="71"/>
      <c r="E1018" s="71"/>
      <c r="F1018" s="71"/>
      <c r="G1018" s="71"/>
      <c r="H1018" s="71"/>
      <c r="I1018" s="71"/>
      <c r="J1018" s="71"/>
      <c r="K1018" s="71"/>
      <c r="L1018" s="71"/>
      <c r="M1018" s="71"/>
      <c r="N1018" s="71"/>
      <c r="O1018" s="71"/>
      <c r="P1018" s="71"/>
      <c r="Q1018" s="71"/>
      <c r="R1018" s="71"/>
      <c r="S1018" s="71"/>
      <c r="T1018" s="71"/>
      <c r="U1018" s="71"/>
      <c r="V1018" s="71"/>
      <c r="W1018" s="71"/>
      <c r="X1018" s="71"/>
      <c r="Y1018" s="71"/>
      <c r="Z1018" s="71"/>
      <c r="AA1018" s="71"/>
      <c r="AB1018" s="71"/>
      <c r="AC1018" s="71"/>
      <c r="AD1018" s="71"/>
      <c r="AE1018" s="71"/>
      <c r="AF1018" s="71"/>
      <c r="AG1018" s="71"/>
      <c r="AH1018" s="71"/>
      <c r="AI1018" s="71"/>
      <c r="AJ1018" s="71"/>
      <c r="AK1018" s="71"/>
      <c r="AL1018" s="71"/>
      <c r="AM1018" s="71"/>
      <c r="AN1018" s="71"/>
      <c r="AO1018" s="71"/>
      <c r="AP1018" s="71"/>
      <c r="AQ1018" s="71"/>
      <c r="AR1018" s="77"/>
    </row>
    <row r="1019">
      <c r="A1019" s="71"/>
      <c r="B1019" s="71"/>
      <c r="C1019" s="71"/>
      <c r="D1019" s="71"/>
      <c r="E1019" s="71"/>
      <c r="F1019" s="71"/>
      <c r="G1019" s="71"/>
      <c r="H1019" s="71"/>
      <c r="I1019" s="71"/>
      <c r="J1019" s="71"/>
      <c r="K1019" s="71"/>
      <c r="L1019" s="71"/>
      <c r="M1019" s="71"/>
      <c r="N1019" s="71"/>
      <c r="O1019" s="71"/>
      <c r="P1019" s="71"/>
      <c r="Q1019" s="71"/>
      <c r="R1019" s="71"/>
      <c r="S1019" s="71"/>
      <c r="T1019" s="71"/>
      <c r="U1019" s="71"/>
      <c r="V1019" s="71"/>
      <c r="W1019" s="71"/>
      <c r="X1019" s="71"/>
      <c r="Y1019" s="71"/>
      <c r="Z1019" s="71"/>
      <c r="AA1019" s="71"/>
      <c r="AB1019" s="71"/>
      <c r="AC1019" s="71"/>
      <c r="AD1019" s="71"/>
      <c r="AE1019" s="71"/>
      <c r="AF1019" s="71"/>
      <c r="AG1019" s="71"/>
      <c r="AH1019" s="71"/>
      <c r="AI1019" s="71"/>
      <c r="AJ1019" s="71"/>
      <c r="AK1019" s="71"/>
      <c r="AL1019" s="71"/>
      <c r="AM1019" s="71"/>
      <c r="AN1019" s="71"/>
      <c r="AO1019" s="71"/>
      <c r="AP1019" s="71"/>
      <c r="AQ1019" s="71"/>
      <c r="AR1019" s="77"/>
    </row>
    <row r="1020">
      <c r="A1020" s="71"/>
      <c r="B1020" s="71"/>
      <c r="C1020" s="71"/>
      <c r="D1020" s="71"/>
      <c r="E1020" s="71"/>
      <c r="F1020" s="71"/>
      <c r="G1020" s="71"/>
      <c r="H1020" s="71"/>
      <c r="I1020" s="71"/>
      <c r="J1020" s="71"/>
      <c r="K1020" s="71"/>
      <c r="L1020" s="71"/>
      <c r="M1020" s="71"/>
      <c r="N1020" s="71"/>
      <c r="O1020" s="71"/>
      <c r="P1020" s="71"/>
      <c r="Q1020" s="71"/>
      <c r="R1020" s="71"/>
      <c r="S1020" s="71"/>
      <c r="T1020" s="71"/>
      <c r="U1020" s="71"/>
      <c r="V1020" s="71"/>
      <c r="W1020" s="71"/>
      <c r="X1020" s="71"/>
      <c r="Y1020" s="71"/>
      <c r="Z1020" s="71"/>
      <c r="AA1020" s="71"/>
      <c r="AB1020" s="71"/>
      <c r="AC1020" s="71"/>
      <c r="AD1020" s="71"/>
      <c r="AE1020" s="71"/>
      <c r="AF1020" s="71"/>
      <c r="AG1020" s="71"/>
      <c r="AH1020" s="71"/>
      <c r="AI1020" s="71"/>
      <c r="AJ1020" s="71"/>
      <c r="AK1020" s="71"/>
      <c r="AL1020" s="71"/>
      <c r="AM1020" s="71"/>
      <c r="AN1020" s="71"/>
      <c r="AO1020" s="71"/>
      <c r="AP1020" s="71"/>
      <c r="AQ1020" s="71"/>
      <c r="AR1020" s="77"/>
    </row>
    <row r="1021">
      <c r="A1021" s="71"/>
      <c r="B1021" s="71"/>
      <c r="C1021" s="71"/>
      <c r="D1021" s="71"/>
      <c r="E1021" s="71"/>
      <c r="F1021" s="71"/>
      <c r="G1021" s="71"/>
      <c r="H1021" s="71"/>
      <c r="I1021" s="71"/>
      <c r="J1021" s="71"/>
      <c r="K1021" s="71"/>
      <c r="L1021" s="71"/>
      <c r="M1021" s="71"/>
      <c r="N1021" s="71"/>
      <c r="O1021" s="71"/>
      <c r="P1021" s="71"/>
      <c r="Q1021" s="71"/>
      <c r="R1021" s="71"/>
      <c r="S1021" s="71"/>
      <c r="T1021" s="71"/>
      <c r="U1021" s="71"/>
      <c r="V1021" s="71"/>
      <c r="W1021" s="71"/>
      <c r="X1021" s="71"/>
      <c r="Y1021" s="71"/>
      <c r="Z1021" s="71"/>
      <c r="AA1021" s="71"/>
      <c r="AB1021" s="71"/>
      <c r="AC1021" s="71"/>
      <c r="AD1021" s="71"/>
      <c r="AE1021" s="71"/>
      <c r="AF1021" s="71"/>
      <c r="AG1021" s="71"/>
      <c r="AH1021" s="71"/>
      <c r="AI1021" s="71"/>
      <c r="AJ1021" s="71"/>
      <c r="AK1021" s="71"/>
      <c r="AL1021" s="71"/>
      <c r="AM1021" s="71"/>
      <c r="AN1021" s="71"/>
      <c r="AO1021" s="71"/>
      <c r="AP1021" s="71"/>
      <c r="AQ1021" s="71"/>
      <c r="AR1021" s="77"/>
    </row>
    <row r="1022">
      <c r="A1022" s="71"/>
      <c r="B1022" s="71"/>
      <c r="C1022" s="71"/>
      <c r="D1022" s="71"/>
      <c r="E1022" s="71"/>
      <c r="F1022" s="71"/>
      <c r="G1022" s="71"/>
      <c r="H1022" s="71"/>
      <c r="I1022" s="71"/>
      <c r="J1022" s="71"/>
      <c r="K1022" s="71"/>
      <c r="L1022" s="71"/>
      <c r="M1022" s="71"/>
      <c r="N1022" s="71"/>
      <c r="O1022" s="71"/>
      <c r="P1022" s="71"/>
      <c r="Q1022" s="71"/>
      <c r="R1022" s="71"/>
      <c r="S1022" s="71"/>
      <c r="T1022" s="71"/>
      <c r="U1022" s="71"/>
      <c r="V1022" s="71"/>
      <c r="W1022" s="71"/>
      <c r="X1022" s="71"/>
      <c r="Y1022" s="71"/>
      <c r="Z1022" s="71"/>
      <c r="AA1022" s="71"/>
      <c r="AB1022" s="71"/>
      <c r="AC1022" s="71"/>
      <c r="AD1022" s="71"/>
      <c r="AE1022" s="71"/>
      <c r="AF1022" s="71"/>
      <c r="AG1022" s="71"/>
      <c r="AH1022" s="71"/>
      <c r="AI1022" s="71"/>
      <c r="AJ1022" s="71"/>
      <c r="AK1022" s="71"/>
      <c r="AL1022" s="71"/>
      <c r="AM1022" s="71"/>
      <c r="AN1022" s="71"/>
      <c r="AO1022" s="71"/>
      <c r="AP1022" s="71"/>
      <c r="AQ1022" s="71"/>
      <c r="AR1022" s="77"/>
    </row>
    <row r="1023">
      <c r="A1023" s="71"/>
      <c r="B1023" s="71"/>
      <c r="C1023" s="71"/>
      <c r="D1023" s="71"/>
      <c r="E1023" s="71"/>
      <c r="F1023" s="71"/>
      <c r="G1023" s="71"/>
      <c r="H1023" s="71"/>
      <c r="I1023" s="71"/>
      <c r="J1023" s="71"/>
      <c r="K1023" s="71"/>
      <c r="L1023" s="71"/>
      <c r="M1023" s="71"/>
      <c r="N1023" s="71"/>
      <c r="O1023" s="71"/>
      <c r="P1023" s="71"/>
      <c r="Q1023" s="71"/>
      <c r="R1023" s="71"/>
      <c r="S1023" s="71"/>
      <c r="T1023" s="71"/>
      <c r="U1023" s="71"/>
      <c r="V1023" s="71"/>
      <c r="W1023" s="71"/>
      <c r="X1023" s="71"/>
      <c r="Y1023" s="71"/>
      <c r="Z1023" s="71"/>
      <c r="AA1023" s="71"/>
      <c r="AB1023" s="71"/>
      <c r="AC1023" s="71"/>
      <c r="AD1023" s="71"/>
      <c r="AE1023" s="71"/>
      <c r="AF1023" s="71"/>
      <c r="AG1023" s="71"/>
      <c r="AH1023" s="71"/>
      <c r="AI1023" s="71"/>
      <c r="AJ1023" s="71"/>
      <c r="AK1023" s="71"/>
      <c r="AL1023" s="71"/>
      <c r="AM1023" s="71"/>
      <c r="AN1023" s="71"/>
      <c r="AO1023" s="71"/>
      <c r="AP1023" s="71"/>
      <c r="AQ1023" s="71"/>
      <c r="AR1023" s="77"/>
    </row>
    <row r="1024">
      <c r="A1024" s="71"/>
      <c r="B1024" s="71"/>
      <c r="C1024" s="71"/>
      <c r="D1024" s="71"/>
      <c r="E1024" s="71"/>
      <c r="F1024" s="71"/>
      <c r="G1024" s="71"/>
      <c r="H1024" s="71"/>
      <c r="I1024" s="71"/>
      <c r="J1024" s="71"/>
      <c r="K1024" s="71"/>
      <c r="L1024" s="71"/>
      <c r="M1024" s="71"/>
      <c r="N1024" s="71"/>
      <c r="O1024" s="71"/>
      <c r="P1024" s="71"/>
      <c r="Q1024" s="71"/>
      <c r="R1024" s="71"/>
      <c r="S1024" s="71"/>
      <c r="T1024" s="71"/>
      <c r="U1024" s="71"/>
      <c r="V1024" s="71"/>
      <c r="W1024" s="71"/>
      <c r="X1024" s="71"/>
      <c r="Y1024" s="71"/>
      <c r="Z1024" s="71"/>
      <c r="AA1024" s="71"/>
      <c r="AB1024" s="71"/>
      <c r="AC1024" s="71"/>
      <c r="AD1024" s="71"/>
      <c r="AE1024" s="71"/>
      <c r="AF1024" s="71"/>
      <c r="AG1024" s="71"/>
      <c r="AH1024" s="71"/>
      <c r="AI1024" s="71"/>
      <c r="AJ1024" s="71"/>
      <c r="AK1024" s="71"/>
      <c r="AL1024" s="71"/>
      <c r="AM1024" s="71"/>
      <c r="AN1024" s="71"/>
      <c r="AO1024" s="71"/>
      <c r="AP1024" s="71"/>
      <c r="AQ1024" s="71"/>
      <c r="AR1024" s="77"/>
    </row>
    <row r="1025">
      <c r="A1025" s="71"/>
      <c r="B1025" s="71"/>
      <c r="C1025" s="71"/>
      <c r="D1025" s="71"/>
      <c r="E1025" s="71"/>
      <c r="F1025" s="71"/>
      <c r="G1025" s="71"/>
      <c r="H1025" s="71"/>
      <c r="I1025" s="71"/>
      <c r="J1025" s="71"/>
      <c r="K1025" s="71"/>
      <c r="L1025" s="71"/>
      <c r="M1025" s="71"/>
      <c r="N1025" s="71"/>
      <c r="O1025" s="71"/>
      <c r="P1025" s="71"/>
      <c r="Q1025" s="71"/>
      <c r="R1025" s="71"/>
      <c r="S1025" s="71"/>
      <c r="T1025" s="71"/>
      <c r="U1025" s="71"/>
      <c r="V1025" s="71"/>
      <c r="W1025" s="71"/>
      <c r="X1025" s="71"/>
      <c r="Y1025" s="71"/>
      <c r="Z1025" s="71"/>
      <c r="AA1025" s="71"/>
      <c r="AB1025" s="71"/>
      <c r="AC1025" s="71"/>
      <c r="AD1025" s="71"/>
      <c r="AE1025" s="71"/>
      <c r="AF1025" s="71"/>
      <c r="AG1025" s="71"/>
      <c r="AH1025" s="71"/>
      <c r="AI1025" s="71"/>
      <c r="AJ1025" s="71"/>
      <c r="AK1025" s="71"/>
      <c r="AL1025" s="71"/>
      <c r="AM1025" s="71"/>
      <c r="AN1025" s="71"/>
      <c r="AO1025" s="71"/>
      <c r="AP1025" s="71"/>
      <c r="AQ1025" s="71"/>
      <c r="AR1025" s="77"/>
    </row>
    <row r="1026">
      <c r="A1026" s="71"/>
      <c r="B1026" s="71"/>
      <c r="C1026" s="71"/>
      <c r="D1026" s="71"/>
      <c r="E1026" s="71"/>
      <c r="F1026" s="71"/>
      <c r="G1026" s="71"/>
      <c r="H1026" s="71"/>
      <c r="I1026" s="71"/>
      <c r="J1026" s="71"/>
      <c r="K1026" s="71"/>
      <c r="L1026" s="71"/>
      <c r="M1026" s="71"/>
      <c r="N1026" s="71"/>
      <c r="O1026" s="71"/>
      <c r="P1026" s="71"/>
      <c r="Q1026" s="71"/>
      <c r="R1026" s="71"/>
      <c r="S1026" s="71"/>
      <c r="T1026" s="71"/>
      <c r="U1026" s="71"/>
      <c r="V1026" s="71"/>
      <c r="W1026" s="71"/>
      <c r="X1026" s="71"/>
      <c r="Y1026" s="71"/>
      <c r="Z1026" s="71"/>
      <c r="AA1026" s="71"/>
      <c r="AB1026" s="71"/>
      <c r="AC1026" s="71"/>
      <c r="AD1026" s="71"/>
      <c r="AE1026" s="71"/>
      <c r="AF1026" s="71"/>
      <c r="AG1026" s="71"/>
      <c r="AH1026" s="71"/>
      <c r="AI1026" s="71"/>
      <c r="AJ1026" s="71"/>
      <c r="AK1026" s="71"/>
      <c r="AL1026" s="71"/>
      <c r="AM1026" s="71"/>
      <c r="AN1026" s="71"/>
      <c r="AO1026" s="71"/>
      <c r="AP1026" s="71"/>
      <c r="AQ1026" s="71"/>
      <c r="AR1026" s="77"/>
    </row>
    <row r="1027">
      <c r="A1027" s="71"/>
      <c r="B1027" s="71"/>
      <c r="C1027" s="71"/>
      <c r="D1027" s="71"/>
      <c r="E1027" s="71"/>
      <c r="F1027" s="71"/>
      <c r="G1027" s="71"/>
      <c r="H1027" s="71"/>
      <c r="I1027" s="71"/>
      <c r="J1027" s="71"/>
      <c r="K1027" s="71"/>
      <c r="L1027" s="71"/>
      <c r="M1027" s="71"/>
      <c r="N1027" s="71"/>
      <c r="O1027" s="71"/>
      <c r="P1027" s="71"/>
      <c r="Q1027" s="71"/>
      <c r="R1027" s="71"/>
      <c r="S1027" s="71"/>
      <c r="T1027" s="71"/>
      <c r="U1027" s="71"/>
      <c r="V1027" s="71"/>
      <c r="W1027" s="71"/>
      <c r="X1027" s="71"/>
      <c r="Y1027" s="71"/>
      <c r="Z1027" s="71"/>
      <c r="AA1027" s="71"/>
      <c r="AB1027" s="71"/>
      <c r="AC1027" s="71"/>
      <c r="AD1027" s="71"/>
      <c r="AE1027" s="71"/>
      <c r="AF1027" s="71"/>
      <c r="AG1027" s="71"/>
      <c r="AH1027" s="71"/>
      <c r="AI1027" s="71"/>
      <c r="AJ1027" s="71"/>
      <c r="AK1027" s="71"/>
      <c r="AL1027" s="71"/>
      <c r="AM1027" s="71"/>
      <c r="AN1027" s="71"/>
      <c r="AO1027" s="71"/>
      <c r="AP1027" s="71"/>
      <c r="AQ1027" s="71"/>
      <c r="AR1027" s="77"/>
    </row>
    <row r="1028">
      <c r="A1028" s="71"/>
      <c r="B1028" s="71"/>
      <c r="C1028" s="71"/>
      <c r="D1028" s="71"/>
      <c r="E1028" s="71"/>
      <c r="F1028" s="71"/>
      <c r="G1028" s="71"/>
      <c r="H1028" s="71"/>
      <c r="I1028" s="71"/>
      <c r="J1028" s="71"/>
      <c r="K1028" s="71"/>
      <c r="L1028" s="71"/>
      <c r="M1028" s="71"/>
      <c r="N1028" s="71"/>
      <c r="O1028" s="71"/>
      <c r="P1028" s="71"/>
      <c r="Q1028" s="71"/>
      <c r="R1028" s="71"/>
      <c r="S1028" s="71"/>
      <c r="T1028" s="71"/>
      <c r="U1028" s="71"/>
      <c r="V1028" s="71"/>
      <c r="W1028" s="71"/>
      <c r="X1028" s="71"/>
      <c r="Y1028" s="71"/>
      <c r="Z1028" s="71"/>
      <c r="AA1028" s="71"/>
      <c r="AB1028" s="71"/>
      <c r="AC1028" s="71"/>
      <c r="AD1028" s="71"/>
      <c r="AE1028" s="71"/>
      <c r="AF1028" s="71"/>
      <c r="AG1028" s="71"/>
      <c r="AH1028" s="71"/>
      <c r="AI1028" s="71"/>
      <c r="AJ1028" s="71"/>
      <c r="AK1028" s="71"/>
      <c r="AL1028" s="71"/>
      <c r="AM1028" s="71"/>
      <c r="AN1028" s="71"/>
      <c r="AO1028" s="71"/>
      <c r="AP1028" s="71"/>
      <c r="AQ1028" s="71"/>
      <c r="AR1028" s="77"/>
    </row>
    <row r="1029">
      <c r="A1029" s="71"/>
      <c r="B1029" s="71"/>
      <c r="C1029" s="71"/>
      <c r="D1029" s="71"/>
      <c r="E1029" s="71"/>
      <c r="F1029" s="71"/>
      <c r="G1029" s="71"/>
      <c r="H1029" s="71"/>
      <c r="I1029" s="71"/>
      <c r="J1029" s="71"/>
      <c r="K1029" s="71"/>
      <c r="L1029" s="71"/>
      <c r="M1029" s="71"/>
      <c r="N1029" s="71"/>
      <c r="O1029" s="71"/>
      <c r="P1029" s="71"/>
      <c r="Q1029" s="71"/>
      <c r="R1029" s="71"/>
      <c r="S1029" s="71"/>
      <c r="T1029" s="71"/>
      <c r="U1029" s="71"/>
      <c r="V1029" s="71"/>
      <c r="W1029" s="71"/>
      <c r="X1029" s="71"/>
      <c r="Y1029" s="71"/>
      <c r="Z1029" s="71"/>
      <c r="AA1029" s="71"/>
      <c r="AB1029" s="71"/>
      <c r="AC1029" s="71"/>
      <c r="AD1029" s="71"/>
      <c r="AE1029" s="71"/>
      <c r="AF1029" s="71"/>
      <c r="AG1029" s="71"/>
      <c r="AH1029" s="71"/>
      <c r="AI1029" s="71"/>
      <c r="AJ1029" s="71"/>
      <c r="AK1029" s="71"/>
      <c r="AL1029" s="71"/>
      <c r="AM1029" s="71"/>
      <c r="AN1029" s="71"/>
      <c r="AO1029" s="71"/>
      <c r="AP1029" s="71"/>
      <c r="AQ1029" s="71"/>
      <c r="AR1029" s="77"/>
    </row>
    <row r="1030">
      <c r="A1030" s="71"/>
      <c r="B1030" s="71"/>
      <c r="C1030" s="71"/>
      <c r="D1030" s="71"/>
      <c r="E1030" s="71"/>
      <c r="F1030" s="71"/>
      <c r="G1030" s="71"/>
      <c r="H1030" s="71"/>
      <c r="I1030" s="71"/>
      <c r="J1030" s="71"/>
      <c r="K1030" s="71"/>
      <c r="L1030" s="71"/>
      <c r="M1030" s="71"/>
      <c r="N1030" s="71"/>
      <c r="O1030" s="71"/>
      <c r="P1030" s="71"/>
      <c r="Q1030" s="71"/>
      <c r="R1030" s="71"/>
      <c r="S1030" s="71"/>
      <c r="T1030" s="71"/>
      <c r="U1030" s="71"/>
      <c r="V1030" s="71"/>
      <c r="W1030" s="71"/>
      <c r="X1030" s="71"/>
      <c r="Y1030" s="71"/>
      <c r="Z1030" s="71"/>
      <c r="AA1030" s="71"/>
      <c r="AB1030" s="71"/>
      <c r="AC1030" s="71"/>
      <c r="AD1030" s="71"/>
      <c r="AE1030" s="71"/>
      <c r="AF1030" s="71"/>
      <c r="AG1030" s="71"/>
      <c r="AH1030" s="71"/>
      <c r="AI1030" s="71"/>
      <c r="AJ1030" s="71"/>
      <c r="AK1030" s="71"/>
      <c r="AL1030" s="71"/>
      <c r="AM1030" s="71"/>
      <c r="AN1030" s="71"/>
      <c r="AO1030" s="71"/>
      <c r="AP1030" s="71"/>
      <c r="AQ1030" s="71"/>
      <c r="AR1030" s="77"/>
    </row>
    <row r="1031">
      <c r="A1031" s="71"/>
      <c r="B1031" s="71"/>
      <c r="C1031" s="71"/>
      <c r="D1031" s="71"/>
      <c r="E1031" s="71"/>
      <c r="F1031" s="71"/>
      <c r="G1031" s="71"/>
      <c r="H1031" s="71"/>
      <c r="I1031" s="71"/>
      <c r="J1031" s="71"/>
      <c r="K1031" s="71"/>
      <c r="L1031" s="71"/>
      <c r="M1031" s="71"/>
      <c r="N1031" s="71"/>
      <c r="O1031" s="71"/>
      <c r="P1031" s="71"/>
      <c r="Q1031" s="71"/>
      <c r="R1031" s="71"/>
      <c r="S1031" s="71"/>
      <c r="T1031" s="71"/>
      <c r="U1031" s="71"/>
      <c r="V1031" s="71"/>
      <c r="W1031" s="71"/>
      <c r="X1031" s="71"/>
      <c r="Y1031" s="71"/>
      <c r="Z1031" s="71"/>
      <c r="AA1031" s="71"/>
      <c r="AB1031" s="71"/>
      <c r="AC1031" s="71"/>
      <c r="AD1031" s="71"/>
      <c r="AE1031" s="71"/>
      <c r="AF1031" s="71"/>
      <c r="AG1031" s="71"/>
      <c r="AH1031" s="71"/>
      <c r="AI1031" s="71"/>
      <c r="AJ1031" s="71"/>
      <c r="AK1031" s="71"/>
      <c r="AL1031" s="71"/>
      <c r="AM1031" s="71"/>
      <c r="AN1031" s="71"/>
      <c r="AO1031" s="71"/>
      <c r="AP1031" s="71"/>
      <c r="AQ1031" s="71"/>
      <c r="AR1031" s="77"/>
    </row>
    <row r="1032">
      <c r="A1032" s="71"/>
      <c r="B1032" s="71"/>
      <c r="C1032" s="71"/>
      <c r="D1032" s="71"/>
      <c r="E1032" s="71"/>
      <c r="F1032" s="71"/>
      <c r="G1032" s="71"/>
      <c r="H1032" s="71"/>
      <c r="I1032" s="71"/>
      <c r="J1032" s="71"/>
      <c r="K1032" s="71"/>
      <c r="L1032" s="71"/>
      <c r="M1032" s="71"/>
      <c r="N1032" s="71"/>
      <c r="O1032" s="71"/>
      <c r="P1032" s="71"/>
      <c r="Q1032" s="71"/>
      <c r="R1032" s="71"/>
      <c r="S1032" s="71"/>
      <c r="T1032" s="71"/>
      <c r="U1032" s="71"/>
      <c r="V1032" s="71"/>
      <c r="W1032" s="71"/>
      <c r="X1032" s="71"/>
      <c r="Y1032" s="71"/>
      <c r="Z1032" s="71"/>
      <c r="AA1032" s="71"/>
      <c r="AB1032" s="71"/>
      <c r="AC1032" s="71"/>
      <c r="AD1032" s="71"/>
      <c r="AE1032" s="71"/>
      <c r="AF1032" s="71"/>
      <c r="AG1032" s="71"/>
      <c r="AH1032" s="71"/>
      <c r="AI1032" s="71"/>
      <c r="AJ1032" s="71"/>
      <c r="AK1032" s="71"/>
      <c r="AL1032" s="71"/>
      <c r="AM1032" s="71"/>
      <c r="AN1032" s="71"/>
      <c r="AO1032" s="71"/>
      <c r="AP1032" s="71"/>
      <c r="AQ1032" s="71"/>
      <c r="AR1032" s="77"/>
    </row>
    <row r="1033">
      <c r="A1033" s="71"/>
      <c r="B1033" s="71"/>
      <c r="C1033" s="71"/>
      <c r="D1033" s="71"/>
      <c r="E1033" s="71"/>
      <c r="F1033" s="71"/>
      <c r="G1033" s="71"/>
      <c r="H1033" s="71"/>
      <c r="I1033" s="71"/>
      <c r="J1033" s="71"/>
      <c r="K1033" s="71"/>
      <c r="L1033" s="71"/>
      <c r="M1033" s="71"/>
      <c r="N1033" s="71"/>
      <c r="O1033" s="71"/>
      <c r="P1033" s="71"/>
      <c r="Q1033" s="71"/>
      <c r="R1033" s="71"/>
      <c r="S1033" s="71"/>
      <c r="T1033" s="71"/>
      <c r="U1033" s="71"/>
      <c r="V1033" s="71"/>
      <c r="W1033" s="71"/>
      <c r="X1033" s="71"/>
      <c r="Y1033" s="71"/>
      <c r="Z1033" s="71"/>
      <c r="AA1033" s="71"/>
      <c r="AB1033" s="71"/>
      <c r="AC1033" s="71"/>
      <c r="AD1033" s="71"/>
      <c r="AE1033" s="71"/>
      <c r="AF1033" s="71"/>
      <c r="AG1033" s="71"/>
      <c r="AH1033" s="71"/>
      <c r="AI1033" s="71"/>
      <c r="AJ1033" s="71"/>
      <c r="AK1033" s="71"/>
      <c r="AL1033" s="71"/>
      <c r="AM1033" s="71"/>
      <c r="AN1033" s="71"/>
      <c r="AO1033" s="71"/>
      <c r="AP1033" s="71"/>
      <c r="AQ1033" s="71"/>
      <c r="AR1033" s="77"/>
    </row>
    <row r="1034">
      <c r="A1034" s="71"/>
      <c r="B1034" s="71"/>
      <c r="C1034" s="71"/>
      <c r="D1034" s="71"/>
      <c r="E1034" s="71"/>
      <c r="F1034" s="71"/>
      <c r="G1034" s="71"/>
      <c r="H1034" s="71"/>
      <c r="I1034" s="71"/>
      <c r="J1034" s="71"/>
      <c r="K1034" s="71"/>
      <c r="L1034" s="71"/>
      <c r="M1034" s="71"/>
      <c r="N1034" s="71"/>
      <c r="O1034" s="71"/>
      <c r="P1034" s="71"/>
      <c r="Q1034" s="71"/>
      <c r="R1034" s="71"/>
      <c r="S1034" s="71"/>
      <c r="T1034" s="71"/>
      <c r="U1034" s="71"/>
      <c r="V1034" s="71"/>
      <c r="W1034" s="71"/>
      <c r="X1034" s="71"/>
      <c r="Y1034" s="71"/>
      <c r="Z1034" s="71"/>
      <c r="AA1034" s="71"/>
      <c r="AB1034" s="71"/>
      <c r="AC1034" s="71"/>
      <c r="AD1034" s="71"/>
      <c r="AE1034" s="71"/>
      <c r="AF1034" s="71"/>
      <c r="AG1034" s="71"/>
      <c r="AH1034" s="71"/>
      <c r="AI1034" s="71"/>
      <c r="AJ1034" s="71"/>
      <c r="AK1034" s="71"/>
      <c r="AL1034" s="71"/>
      <c r="AM1034" s="71"/>
      <c r="AN1034" s="71"/>
      <c r="AO1034" s="71"/>
      <c r="AP1034" s="71"/>
      <c r="AQ1034" s="71"/>
      <c r="AR1034" s="77"/>
    </row>
    <row r="1035">
      <c r="A1035" s="71"/>
      <c r="B1035" s="71"/>
      <c r="C1035" s="71"/>
      <c r="D1035" s="71"/>
      <c r="E1035" s="71"/>
      <c r="F1035" s="71"/>
      <c r="G1035" s="71"/>
      <c r="H1035" s="71"/>
      <c r="I1035" s="71"/>
      <c r="J1035" s="71"/>
      <c r="K1035" s="71"/>
      <c r="L1035" s="71"/>
      <c r="M1035" s="71"/>
      <c r="N1035" s="71"/>
      <c r="O1035" s="71"/>
      <c r="P1035" s="71"/>
      <c r="Q1035" s="71"/>
      <c r="R1035" s="71"/>
      <c r="S1035" s="71"/>
      <c r="T1035" s="71"/>
      <c r="U1035" s="71"/>
      <c r="V1035" s="71"/>
      <c r="W1035" s="71"/>
      <c r="X1035" s="71"/>
      <c r="Y1035" s="71"/>
      <c r="Z1035" s="71"/>
      <c r="AA1035" s="71"/>
      <c r="AB1035" s="71"/>
      <c r="AC1035" s="71"/>
      <c r="AD1035" s="71"/>
      <c r="AE1035" s="71"/>
      <c r="AF1035" s="71"/>
      <c r="AG1035" s="71"/>
      <c r="AH1035" s="71"/>
      <c r="AI1035" s="71"/>
      <c r="AJ1035" s="71"/>
      <c r="AK1035" s="71"/>
      <c r="AL1035" s="71"/>
      <c r="AM1035" s="71"/>
      <c r="AN1035" s="71"/>
      <c r="AO1035" s="71"/>
      <c r="AP1035" s="71"/>
      <c r="AQ1035" s="71"/>
      <c r="AR1035" s="77"/>
    </row>
    <row r="1036">
      <c r="A1036" s="71"/>
      <c r="B1036" s="71"/>
      <c r="C1036" s="71"/>
      <c r="D1036" s="71"/>
      <c r="E1036" s="71"/>
      <c r="F1036" s="71"/>
      <c r="G1036" s="71"/>
      <c r="H1036" s="71"/>
      <c r="I1036" s="71"/>
      <c r="J1036" s="71"/>
      <c r="K1036" s="71"/>
      <c r="L1036" s="71"/>
      <c r="M1036" s="71"/>
      <c r="N1036" s="71"/>
      <c r="O1036" s="71"/>
      <c r="P1036" s="71"/>
      <c r="Q1036" s="71"/>
      <c r="R1036" s="71"/>
      <c r="S1036" s="71"/>
      <c r="T1036" s="71"/>
      <c r="U1036" s="71"/>
      <c r="V1036" s="71"/>
      <c r="W1036" s="71"/>
      <c r="X1036" s="71"/>
      <c r="Y1036" s="71"/>
      <c r="Z1036" s="71"/>
      <c r="AA1036" s="71"/>
      <c r="AB1036" s="71"/>
      <c r="AC1036" s="71"/>
      <c r="AD1036" s="71"/>
      <c r="AE1036" s="71"/>
      <c r="AF1036" s="71"/>
      <c r="AG1036" s="71"/>
      <c r="AH1036" s="71"/>
      <c r="AI1036" s="71"/>
      <c r="AJ1036" s="71"/>
      <c r="AK1036" s="71"/>
      <c r="AL1036" s="71"/>
      <c r="AM1036" s="71"/>
      <c r="AN1036" s="71"/>
      <c r="AO1036" s="71"/>
      <c r="AP1036" s="71"/>
      <c r="AQ1036" s="71"/>
      <c r="AR1036" s="77"/>
    </row>
    <row r="1037">
      <c r="A1037" s="71"/>
      <c r="B1037" s="71"/>
      <c r="C1037" s="71"/>
      <c r="D1037" s="71"/>
      <c r="E1037" s="71"/>
      <c r="F1037" s="71"/>
      <c r="G1037" s="71"/>
      <c r="H1037" s="71"/>
      <c r="I1037" s="71"/>
      <c r="J1037" s="71"/>
      <c r="K1037" s="71"/>
      <c r="L1037" s="71"/>
      <c r="M1037" s="71"/>
      <c r="N1037" s="71"/>
      <c r="O1037" s="71"/>
      <c r="P1037" s="71"/>
      <c r="Q1037" s="71"/>
      <c r="R1037" s="71"/>
      <c r="S1037" s="71"/>
      <c r="T1037" s="71"/>
      <c r="U1037" s="71"/>
      <c r="V1037" s="71"/>
      <c r="W1037" s="71"/>
      <c r="X1037" s="71"/>
      <c r="Y1037" s="71"/>
      <c r="Z1037" s="71"/>
      <c r="AA1037" s="71"/>
      <c r="AB1037" s="71"/>
      <c r="AC1037" s="71"/>
      <c r="AD1037" s="71"/>
      <c r="AE1037" s="71"/>
      <c r="AF1037" s="71"/>
      <c r="AG1037" s="71"/>
      <c r="AH1037" s="71"/>
      <c r="AI1037" s="71"/>
      <c r="AJ1037" s="71"/>
      <c r="AK1037" s="71"/>
      <c r="AL1037" s="71"/>
      <c r="AM1037" s="71"/>
      <c r="AN1037" s="71"/>
      <c r="AO1037" s="71"/>
      <c r="AP1037" s="71"/>
      <c r="AQ1037" s="71"/>
      <c r="AR1037" s="77"/>
    </row>
    <row r="1038">
      <c r="A1038" s="71"/>
      <c r="B1038" s="71"/>
      <c r="C1038" s="71"/>
      <c r="D1038" s="71"/>
      <c r="E1038" s="71"/>
      <c r="F1038" s="71"/>
      <c r="G1038" s="71"/>
      <c r="H1038" s="71"/>
      <c r="I1038" s="71"/>
      <c r="J1038" s="71"/>
      <c r="K1038" s="71"/>
      <c r="L1038" s="71"/>
      <c r="M1038" s="71"/>
      <c r="N1038" s="71"/>
      <c r="O1038" s="71"/>
      <c r="P1038" s="71"/>
      <c r="Q1038" s="71"/>
      <c r="R1038" s="71"/>
      <c r="S1038" s="71"/>
      <c r="T1038" s="71"/>
      <c r="U1038" s="71"/>
      <c r="V1038" s="71"/>
      <c r="W1038" s="71"/>
      <c r="X1038" s="71"/>
      <c r="Y1038" s="71"/>
      <c r="Z1038" s="71"/>
      <c r="AA1038" s="71"/>
      <c r="AB1038" s="71"/>
      <c r="AC1038" s="71"/>
      <c r="AD1038" s="71"/>
      <c r="AE1038" s="71"/>
      <c r="AF1038" s="71"/>
      <c r="AG1038" s="71"/>
      <c r="AH1038" s="71"/>
      <c r="AI1038" s="71"/>
      <c r="AJ1038" s="71"/>
      <c r="AK1038" s="71"/>
      <c r="AL1038" s="71"/>
      <c r="AM1038" s="71"/>
      <c r="AN1038" s="71"/>
      <c r="AO1038" s="71"/>
      <c r="AP1038" s="71"/>
      <c r="AQ1038" s="71"/>
      <c r="AR1038" s="77"/>
    </row>
    <row r="1039">
      <c r="A1039" s="71"/>
      <c r="B1039" s="71"/>
      <c r="C1039" s="71"/>
      <c r="D1039" s="71"/>
      <c r="E1039" s="71"/>
      <c r="F1039" s="71"/>
      <c r="G1039" s="71"/>
      <c r="H1039" s="71"/>
      <c r="I1039" s="71"/>
      <c r="J1039" s="71"/>
      <c r="K1039" s="71"/>
      <c r="L1039" s="71"/>
      <c r="M1039" s="71"/>
      <c r="N1039" s="71"/>
      <c r="O1039" s="71"/>
      <c r="P1039" s="71"/>
      <c r="Q1039" s="71"/>
      <c r="R1039" s="71"/>
      <c r="S1039" s="71"/>
      <c r="T1039" s="71"/>
      <c r="U1039" s="71"/>
      <c r="V1039" s="71"/>
      <c r="W1039" s="71"/>
      <c r="X1039" s="71"/>
      <c r="Y1039" s="71"/>
      <c r="Z1039" s="71"/>
      <c r="AA1039" s="71"/>
      <c r="AB1039" s="71"/>
      <c r="AC1039" s="71"/>
      <c r="AD1039" s="71"/>
      <c r="AE1039" s="71"/>
      <c r="AF1039" s="71"/>
      <c r="AG1039" s="71"/>
      <c r="AH1039" s="71"/>
      <c r="AI1039" s="71"/>
      <c r="AJ1039" s="71"/>
      <c r="AK1039" s="71"/>
      <c r="AL1039" s="71"/>
      <c r="AM1039" s="71"/>
      <c r="AN1039" s="71"/>
      <c r="AO1039" s="71"/>
      <c r="AP1039" s="71"/>
      <c r="AQ1039" s="71"/>
      <c r="AR1039" s="77"/>
    </row>
    <row r="1040">
      <c r="A1040" s="71"/>
      <c r="B1040" s="71"/>
      <c r="C1040" s="71"/>
      <c r="D1040" s="71"/>
      <c r="E1040" s="71"/>
      <c r="F1040" s="71"/>
      <c r="G1040" s="71"/>
      <c r="H1040" s="71"/>
      <c r="I1040" s="71"/>
      <c r="J1040" s="71"/>
      <c r="K1040" s="71"/>
      <c r="L1040" s="71"/>
      <c r="M1040" s="71"/>
      <c r="N1040" s="71"/>
      <c r="O1040" s="71"/>
      <c r="P1040" s="71"/>
      <c r="Q1040" s="71"/>
      <c r="R1040" s="71"/>
      <c r="S1040" s="71"/>
      <c r="T1040" s="71"/>
      <c r="U1040" s="71"/>
      <c r="V1040" s="71"/>
      <c r="W1040" s="71"/>
      <c r="X1040" s="71"/>
      <c r="Y1040" s="71"/>
      <c r="Z1040" s="71"/>
      <c r="AA1040" s="71"/>
      <c r="AB1040" s="71"/>
      <c r="AC1040" s="71"/>
      <c r="AD1040" s="71"/>
      <c r="AE1040" s="71"/>
      <c r="AF1040" s="71"/>
      <c r="AG1040" s="71"/>
      <c r="AH1040" s="71"/>
      <c r="AI1040" s="71"/>
      <c r="AJ1040" s="71"/>
      <c r="AK1040" s="71"/>
      <c r="AL1040" s="71"/>
      <c r="AM1040" s="71"/>
      <c r="AN1040" s="71"/>
      <c r="AO1040" s="71"/>
      <c r="AP1040" s="71"/>
      <c r="AQ1040" s="71"/>
      <c r="AR1040" s="77"/>
    </row>
    <row r="1041">
      <c r="A1041" s="71"/>
      <c r="B1041" s="71"/>
      <c r="C1041" s="71"/>
      <c r="D1041" s="71"/>
      <c r="E1041" s="71"/>
      <c r="F1041" s="71"/>
      <c r="G1041" s="71"/>
      <c r="H1041" s="71"/>
      <c r="I1041" s="71"/>
      <c r="J1041" s="71"/>
      <c r="K1041" s="71"/>
      <c r="L1041" s="71"/>
      <c r="M1041" s="71"/>
      <c r="N1041" s="71"/>
      <c r="O1041" s="71"/>
      <c r="P1041" s="71"/>
      <c r="Q1041" s="71"/>
      <c r="R1041" s="71"/>
      <c r="S1041" s="71"/>
      <c r="T1041" s="71"/>
      <c r="U1041" s="71"/>
      <c r="V1041" s="71"/>
      <c r="W1041" s="71"/>
      <c r="X1041" s="71"/>
      <c r="Y1041" s="71"/>
      <c r="Z1041" s="71"/>
      <c r="AA1041" s="71"/>
      <c r="AB1041" s="71"/>
      <c r="AC1041" s="71"/>
      <c r="AD1041" s="71"/>
      <c r="AE1041" s="71"/>
      <c r="AF1041" s="71"/>
      <c r="AG1041" s="71"/>
      <c r="AH1041" s="71"/>
      <c r="AI1041" s="71"/>
      <c r="AJ1041" s="71"/>
      <c r="AK1041" s="71"/>
      <c r="AL1041" s="71"/>
      <c r="AM1041" s="71"/>
      <c r="AN1041" s="71"/>
      <c r="AO1041" s="71"/>
      <c r="AP1041" s="71"/>
      <c r="AQ1041" s="71"/>
      <c r="AR1041" s="77"/>
    </row>
    <row r="1042">
      <c r="A1042" s="71"/>
      <c r="B1042" s="71"/>
      <c r="C1042" s="71"/>
      <c r="D1042" s="71"/>
      <c r="E1042" s="71"/>
      <c r="F1042" s="71"/>
      <c r="G1042" s="71"/>
      <c r="H1042" s="71"/>
      <c r="I1042" s="71"/>
      <c r="J1042" s="71"/>
      <c r="K1042" s="71"/>
      <c r="L1042" s="71"/>
      <c r="M1042" s="71"/>
      <c r="N1042" s="71"/>
      <c r="O1042" s="71"/>
      <c r="P1042" s="71"/>
      <c r="Q1042" s="71"/>
      <c r="R1042" s="71"/>
      <c r="S1042" s="71"/>
      <c r="T1042" s="71"/>
      <c r="U1042" s="71"/>
      <c r="V1042" s="71"/>
      <c r="W1042" s="71"/>
      <c r="X1042" s="71"/>
      <c r="Y1042" s="71"/>
      <c r="Z1042" s="71"/>
      <c r="AA1042" s="71"/>
      <c r="AB1042" s="71"/>
      <c r="AC1042" s="71"/>
      <c r="AD1042" s="71"/>
      <c r="AE1042" s="71"/>
      <c r="AF1042" s="71"/>
      <c r="AG1042" s="71"/>
      <c r="AH1042" s="71"/>
      <c r="AI1042" s="71"/>
      <c r="AJ1042" s="71"/>
      <c r="AK1042" s="71"/>
      <c r="AL1042" s="71"/>
      <c r="AM1042" s="71"/>
      <c r="AN1042" s="71"/>
      <c r="AO1042" s="71"/>
      <c r="AP1042" s="71"/>
      <c r="AQ1042" s="71"/>
      <c r="AR1042" s="77"/>
    </row>
    <row r="1043">
      <c r="A1043" s="71"/>
      <c r="B1043" s="71"/>
      <c r="C1043" s="71"/>
      <c r="D1043" s="71"/>
      <c r="E1043" s="71"/>
      <c r="F1043" s="71"/>
      <c r="G1043" s="71"/>
      <c r="H1043" s="71"/>
      <c r="I1043" s="71"/>
      <c r="J1043" s="71"/>
      <c r="K1043" s="71"/>
      <c r="L1043" s="71"/>
      <c r="M1043" s="71"/>
      <c r="N1043" s="71"/>
      <c r="O1043" s="71"/>
      <c r="P1043" s="71"/>
      <c r="Q1043" s="71"/>
      <c r="R1043" s="71"/>
      <c r="S1043" s="71"/>
      <c r="T1043" s="71"/>
      <c r="U1043" s="71"/>
      <c r="V1043" s="71"/>
      <c r="W1043" s="71"/>
      <c r="X1043" s="71"/>
      <c r="Y1043" s="71"/>
      <c r="Z1043" s="71"/>
      <c r="AA1043" s="71"/>
      <c r="AB1043" s="71"/>
      <c r="AC1043" s="71"/>
      <c r="AD1043" s="71"/>
      <c r="AE1043" s="71"/>
      <c r="AF1043" s="71"/>
      <c r="AG1043" s="71"/>
      <c r="AH1043" s="71"/>
      <c r="AI1043" s="71"/>
      <c r="AJ1043" s="71"/>
      <c r="AK1043" s="71"/>
      <c r="AL1043" s="71"/>
      <c r="AM1043" s="71"/>
      <c r="AN1043" s="71"/>
      <c r="AO1043" s="71"/>
      <c r="AP1043" s="71"/>
      <c r="AQ1043" s="71"/>
      <c r="AR1043" s="77"/>
    </row>
    <row r="1044">
      <c r="A1044" s="71"/>
      <c r="B1044" s="71"/>
      <c r="C1044" s="71"/>
      <c r="D1044" s="71"/>
      <c r="E1044" s="71"/>
      <c r="F1044" s="71"/>
      <c r="G1044" s="71"/>
      <c r="H1044" s="71"/>
      <c r="I1044" s="71"/>
      <c r="J1044" s="71"/>
      <c r="K1044" s="71"/>
      <c r="L1044" s="71"/>
      <c r="M1044" s="71"/>
      <c r="N1044" s="71"/>
      <c r="O1044" s="71"/>
      <c r="P1044" s="71"/>
      <c r="Q1044" s="71"/>
      <c r="R1044" s="71"/>
      <c r="S1044" s="71"/>
      <c r="T1044" s="71"/>
      <c r="U1044" s="71"/>
      <c r="V1044" s="71"/>
      <c r="W1044" s="71"/>
      <c r="X1044" s="71"/>
      <c r="Y1044" s="71"/>
      <c r="Z1044" s="71"/>
      <c r="AA1044" s="71"/>
      <c r="AB1044" s="71"/>
      <c r="AC1044" s="71"/>
      <c r="AD1044" s="71"/>
      <c r="AE1044" s="71"/>
      <c r="AF1044" s="71"/>
      <c r="AG1044" s="71"/>
      <c r="AH1044" s="71"/>
      <c r="AI1044" s="71"/>
      <c r="AJ1044" s="71"/>
      <c r="AK1044" s="71"/>
      <c r="AL1044" s="71"/>
      <c r="AM1044" s="71"/>
      <c r="AN1044" s="71"/>
      <c r="AO1044" s="71"/>
      <c r="AP1044" s="71"/>
      <c r="AQ1044" s="71"/>
      <c r="AR1044" s="77"/>
    </row>
    <row r="1045">
      <c r="A1045" s="71"/>
      <c r="B1045" s="71"/>
      <c r="C1045" s="71"/>
      <c r="D1045" s="71"/>
      <c r="E1045" s="71"/>
      <c r="F1045" s="71"/>
      <c r="G1045" s="71"/>
      <c r="H1045" s="71"/>
      <c r="I1045" s="71"/>
      <c r="J1045" s="71"/>
      <c r="K1045" s="71"/>
      <c r="L1045" s="71"/>
      <c r="M1045" s="71"/>
      <c r="N1045" s="71"/>
      <c r="O1045" s="71"/>
      <c r="P1045" s="71"/>
      <c r="Q1045" s="71"/>
      <c r="R1045" s="71"/>
      <c r="S1045" s="71"/>
      <c r="T1045" s="71"/>
      <c r="U1045" s="71"/>
      <c r="V1045" s="71"/>
      <c r="W1045" s="71"/>
      <c r="X1045" s="71"/>
      <c r="Y1045" s="71"/>
      <c r="Z1045" s="71"/>
      <c r="AA1045" s="71"/>
      <c r="AB1045" s="71"/>
      <c r="AC1045" s="71"/>
      <c r="AD1045" s="71"/>
      <c r="AE1045" s="71"/>
      <c r="AF1045" s="71"/>
      <c r="AG1045" s="71"/>
      <c r="AH1045" s="71"/>
      <c r="AI1045" s="71"/>
      <c r="AJ1045" s="71"/>
      <c r="AK1045" s="71"/>
      <c r="AL1045" s="71"/>
      <c r="AM1045" s="71"/>
      <c r="AN1045" s="71"/>
      <c r="AO1045" s="71"/>
      <c r="AP1045" s="71"/>
      <c r="AQ1045" s="71"/>
      <c r="AR1045" s="77"/>
    </row>
    <row r="1046">
      <c r="A1046" s="71"/>
      <c r="B1046" s="71"/>
      <c r="C1046" s="71"/>
      <c r="D1046" s="71"/>
      <c r="E1046" s="71"/>
      <c r="F1046" s="71"/>
      <c r="G1046" s="71"/>
      <c r="H1046" s="71"/>
      <c r="I1046" s="71"/>
      <c r="J1046" s="71"/>
      <c r="K1046" s="71"/>
      <c r="L1046" s="71"/>
      <c r="M1046" s="71"/>
      <c r="N1046" s="71"/>
      <c r="O1046" s="71"/>
      <c r="P1046" s="71"/>
      <c r="Q1046" s="71"/>
      <c r="R1046" s="71"/>
      <c r="S1046" s="71"/>
      <c r="T1046" s="71"/>
      <c r="U1046" s="71"/>
      <c r="V1046" s="71"/>
      <c r="W1046" s="71"/>
      <c r="X1046" s="71"/>
      <c r="Y1046" s="71"/>
      <c r="Z1046" s="71"/>
      <c r="AA1046" s="71"/>
      <c r="AB1046" s="71"/>
      <c r="AC1046" s="71"/>
      <c r="AD1046" s="71"/>
      <c r="AE1046" s="71"/>
      <c r="AF1046" s="71"/>
      <c r="AG1046" s="71"/>
      <c r="AH1046" s="71"/>
      <c r="AI1046" s="71"/>
      <c r="AJ1046" s="71"/>
      <c r="AK1046" s="71"/>
      <c r="AL1046" s="71"/>
      <c r="AM1046" s="71"/>
      <c r="AN1046" s="71"/>
      <c r="AO1046" s="71"/>
      <c r="AP1046" s="71"/>
      <c r="AQ1046" s="71"/>
      <c r="AR1046" s="77"/>
    </row>
    <row r="1047">
      <c r="A1047" s="71"/>
      <c r="B1047" s="71"/>
      <c r="C1047" s="71"/>
      <c r="D1047" s="71"/>
      <c r="E1047" s="71"/>
      <c r="F1047" s="71"/>
      <c r="G1047" s="71"/>
      <c r="H1047" s="71"/>
      <c r="I1047" s="71"/>
      <c r="J1047" s="71"/>
      <c r="K1047" s="71"/>
      <c r="L1047" s="71"/>
      <c r="M1047" s="71"/>
      <c r="N1047" s="71"/>
      <c r="O1047" s="71"/>
      <c r="P1047" s="71"/>
      <c r="Q1047" s="71"/>
      <c r="R1047" s="71"/>
      <c r="S1047" s="71"/>
      <c r="T1047" s="71"/>
      <c r="U1047" s="71"/>
      <c r="V1047" s="71"/>
      <c r="W1047" s="71"/>
      <c r="X1047" s="71"/>
      <c r="Y1047" s="71"/>
      <c r="Z1047" s="71"/>
      <c r="AA1047" s="71"/>
      <c r="AB1047" s="71"/>
      <c r="AC1047" s="71"/>
      <c r="AD1047" s="71"/>
      <c r="AE1047" s="71"/>
      <c r="AF1047" s="71"/>
      <c r="AG1047" s="71"/>
      <c r="AH1047" s="71"/>
      <c r="AI1047" s="71"/>
      <c r="AJ1047" s="71"/>
      <c r="AK1047" s="71"/>
      <c r="AL1047" s="71"/>
      <c r="AM1047" s="71"/>
      <c r="AN1047" s="71"/>
      <c r="AO1047" s="71"/>
      <c r="AP1047" s="71"/>
      <c r="AQ1047" s="71"/>
      <c r="AR1047" s="77"/>
    </row>
    <row r="1048">
      <c r="A1048" s="71"/>
      <c r="B1048" s="71"/>
      <c r="C1048" s="71"/>
      <c r="D1048" s="71"/>
      <c r="E1048" s="71"/>
      <c r="F1048" s="71"/>
      <c r="G1048" s="71"/>
      <c r="H1048" s="71"/>
      <c r="I1048" s="71"/>
      <c r="J1048" s="71"/>
      <c r="K1048" s="71"/>
      <c r="L1048" s="71"/>
      <c r="M1048" s="71"/>
      <c r="N1048" s="71"/>
      <c r="O1048" s="71"/>
      <c r="P1048" s="71"/>
      <c r="Q1048" s="71"/>
      <c r="R1048" s="71"/>
      <c r="S1048" s="71"/>
      <c r="T1048" s="71"/>
      <c r="U1048" s="71"/>
      <c r="V1048" s="71"/>
      <c r="W1048" s="71"/>
      <c r="X1048" s="71"/>
      <c r="Y1048" s="71"/>
      <c r="Z1048" s="71"/>
      <c r="AA1048" s="71"/>
      <c r="AB1048" s="71"/>
      <c r="AC1048" s="71"/>
      <c r="AD1048" s="71"/>
      <c r="AE1048" s="71"/>
      <c r="AF1048" s="71"/>
      <c r="AG1048" s="71"/>
      <c r="AH1048" s="71"/>
      <c r="AI1048" s="71"/>
      <c r="AJ1048" s="71"/>
      <c r="AK1048" s="71"/>
      <c r="AL1048" s="71"/>
      <c r="AM1048" s="71"/>
      <c r="AN1048" s="71"/>
      <c r="AO1048" s="71"/>
      <c r="AP1048" s="71"/>
      <c r="AQ1048" s="71"/>
      <c r="AR1048" s="77"/>
    </row>
    <row r="1049">
      <c r="A1049" s="71"/>
      <c r="B1049" s="71"/>
      <c r="C1049" s="71"/>
      <c r="D1049" s="71"/>
      <c r="E1049" s="71"/>
      <c r="F1049" s="71"/>
      <c r="G1049" s="71"/>
      <c r="H1049" s="71"/>
      <c r="I1049" s="71"/>
      <c r="J1049" s="71"/>
      <c r="K1049" s="71"/>
      <c r="L1049" s="71"/>
      <c r="M1049" s="71"/>
      <c r="N1049" s="71"/>
      <c r="O1049" s="71"/>
      <c r="P1049" s="71"/>
      <c r="Q1049" s="71"/>
      <c r="R1049" s="71"/>
      <c r="S1049" s="71"/>
      <c r="T1049" s="71"/>
      <c r="U1049" s="71"/>
      <c r="V1049" s="71"/>
      <c r="W1049" s="71"/>
      <c r="X1049" s="71"/>
      <c r="Y1049" s="71"/>
      <c r="Z1049" s="71"/>
      <c r="AA1049" s="71"/>
      <c r="AB1049" s="71"/>
      <c r="AC1049" s="71"/>
      <c r="AD1049" s="71"/>
      <c r="AE1049" s="71"/>
      <c r="AF1049" s="71"/>
      <c r="AG1049" s="71"/>
      <c r="AH1049" s="71"/>
      <c r="AI1049" s="71"/>
      <c r="AJ1049" s="71"/>
      <c r="AK1049" s="71"/>
      <c r="AL1049" s="71"/>
      <c r="AM1049" s="71"/>
      <c r="AN1049" s="71"/>
      <c r="AO1049" s="71"/>
      <c r="AP1049" s="71"/>
      <c r="AQ1049" s="71"/>
      <c r="AR1049" s="77"/>
    </row>
    <row r="1050">
      <c r="A1050" s="71"/>
      <c r="B1050" s="71"/>
      <c r="C1050" s="71"/>
      <c r="D1050" s="71"/>
      <c r="E1050" s="71"/>
      <c r="F1050" s="71"/>
      <c r="G1050" s="71"/>
      <c r="H1050" s="71"/>
      <c r="I1050" s="71"/>
      <c r="J1050" s="71"/>
      <c r="K1050" s="71"/>
      <c r="L1050" s="71"/>
      <c r="M1050" s="71"/>
      <c r="N1050" s="71"/>
      <c r="O1050" s="71"/>
      <c r="P1050" s="71"/>
      <c r="Q1050" s="71"/>
      <c r="R1050" s="71"/>
      <c r="S1050" s="71"/>
      <c r="T1050" s="71"/>
      <c r="U1050" s="71"/>
      <c r="V1050" s="71"/>
      <c r="W1050" s="71"/>
      <c r="X1050" s="71"/>
      <c r="Y1050" s="71"/>
      <c r="Z1050" s="71"/>
      <c r="AA1050" s="71"/>
      <c r="AB1050" s="71"/>
      <c r="AC1050" s="71"/>
      <c r="AD1050" s="71"/>
      <c r="AE1050" s="71"/>
      <c r="AF1050" s="71"/>
      <c r="AG1050" s="71"/>
      <c r="AH1050" s="71"/>
      <c r="AI1050" s="71"/>
      <c r="AJ1050" s="71"/>
      <c r="AK1050" s="71"/>
      <c r="AL1050" s="71"/>
      <c r="AM1050" s="71"/>
      <c r="AN1050" s="71"/>
      <c r="AO1050" s="71"/>
      <c r="AP1050" s="71"/>
      <c r="AQ1050" s="71"/>
      <c r="AR1050" s="77"/>
    </row>
    <row r="1051">
      <c r="A1051" s="71"/>
      <c r="B1051" s="71"/>
      <c r="C1051" s="71"/>
      <c r="D1051" s="71"/>
      <c r="E1051" s="71"/>
      <c r="F1051" s="71"/>
      <c r="G1051" s="71"/>
      <c r="H1051" s="71"/>
      <c r="I1051" s="71"/>
      <c r="J1051" s="71"/>
      <c r="K1051" s="71"/>
      <c r="L1051" s="71"/>
      <c r="M1051" s="71"/>
      <c r="N1051" s="71"/>
      <c r="O1051" s="71"/>
      <c r="P1051" s="71"/>
      <c r="Q1051" s="71"/>
      <c r="R1051" s="71"/>
      <c r="S1051" s="71"/>
      <c r="T1051" s="71"/>
      <c r="U1051" s="71"/>
      <c r="V1051" s="71"/>
      <c r="W1051" s="71"/>
      <c r="X1051" s="71"/>
      <c r="Y1051" s="71"/>
      <c r="Z1051" s="71"/>
      <c r="AA1051" s="71"/>
      <c r="AB1051" s="71"/>
      <c r="AC1051" s="71"/>
      <c r="AD1051" s="71"/>
      <c r="AE1051" s="71"/>
      <c r="AF1051" s="71"/>
      <c r="AG1051" s="71"/>
      <c r="AH1051" s="71"/>
      <c r="AI1051" s="71"/>
      <c r="AJ1051" s="71"/>
      <c r="AK1051" s="71"/>
      <c r="AL1051" s="71"/>
      <c r="AM1051" s="71"/>
      <c r="AN1051" s="71"/>
      <c r="AO1051" s="71"/>
      <c r="AP1051" s="71"/>
      <c r="AQ1051" s="71"/>
      <c r="AR1051" s="77"/>
    </row>
    <row r="1052">
      <c r="A1052" s="71"/>
      <c r="B1052" s="71"/>
      <c r="C1052" s="71"/>
      <c r="D1052" s="71"/>
      <c r="E1052" s="71"/>
      <c r="F1052" s="71"/>
      <c r="G1052" s="71"/>
      <c r="H1052" s="71"/>
      <c r="I1052" s="71"/>
      <c r="J1052" s="71"/>
      <c r="K1052" s="71"/>
      <c r="L1052" s="71"/>
      <c r="M1052" s="71"/>
      <c r="N1052" s="71"/>
      <c r="O1052" s="71"/>
      <c r="P1052" s="71"/>
      <c r="Q1052" s="71"/>
      <c r="R1052" s="71"/>
      <c r="S1052" s="71"/>
      <c r="T1052" s="71"/>
      <c r="U1052" s="71"/>
      <c r="V1052" s="71"/>
      <c r="W1052" s="71"/>
      <c r="X1052" s="71"/>
      <c r="Y1052" s="71"/>
      <c r="Z1052" s="71"/>
      <c r="AA1052" s="71"/>
      <c r="AB1052" s="71"/>
      <c r="AC1052" s="71"/>
      <c r="AD1052" s="71"/>
      <c r="AE1052" s="71"/>
      <c r="AF1052" s="71"/>
      <c r="AG1052" s="71"/>
      <c r="AH1052" s="71"/>
      <c r="AI1052" s="71"/>
      <c r="AJ1052" s="71"/>
      <c r="AK1052" s="71"/>
      <c r="AL1052" s="71"/>
      <c r="AM1052" s="71"/>
      <c r="AN1052" s="71"/>
      <c r="AO1052" s="71"/>
      <c r="AP1052" s="71"/>
      <c r="AQ1052" s="71"/>
      <c r="AR1052" s="77"/>
    </row>
    <row r="1053">
      <c r="A1053" s="71"/>
      <c r="B1053" s="71"/>
      <c r="C1053" s="71"/>
      <c r="D1053" s="71"/>
      <c r="E1053" s="71"/>
      <c r="F1053" s="71"/>
      <c r="G1053" s="71"/>
      <c r="H1053" s="71"/>
      <c r="I1053" s="71"/>
      <c r="J1053" s="71"/>
      <c r="K1053" s="71"/>
      <c r="L1053" s="71"/>
      <c r="M1053" s="71"/>
      <c r="N1053" s="71"/>
      <c r="O1053" s="71"/>
      <c r="P1053" s="71"/>
      <c r="Q1053" s="71"/>
      <c r="R1053" s="71"/>
      <c r="S1053" s="71"/>
      <c r="T1053" s="71"/>
      <c r="U1053" s="71"/>
      <c r="V1053" s="71"/>
      <c r="W1053" s="71"/>
      <c r="X1053" s="71"/>
      <c r="Y1053" s="71"/>
      <c r="Z1053" s="71"/>
      <c r="AA1053" s="71"/>
      <c r="AB1053" s="71"/>
      <c r="AC1053" s="71"/>
      <c r="AD1053" s="71"/>
      <c r="AE1053" s="71"/>
      <c r="AF1053" s="71"/>
      <c r="AG1053" s="71"/>
      <c r="AH1053" s="71"/>
      <c r="AI1053" s="71"/>
      <c r="AJ1053" s="71"/>
      <c r="AK1053" s="71"/>
      <c r="AL1053" s="71"/>
      <c r="AM1053" s="71"/>
      <c r="AN1053" s="71"/>
      <c r="AO1053" s="71"/>
      <c r="AP1053" s="71"/>
      <c r="AQ1053" s="71"/>
      <c r="AR1053" s="77"/>
    </row>
    <row r="1054">
      <c r="A1054" s="71"/>
      <c r="B1054" s="71"/>
      <c r="C1054" s="71"/>
      <c r="D1054" s="71"/>
      <c r="E1054" s="71"/>
      <c r="F1054" s="71"/>
      <c r="G1054" s="71"/>
      <c r="H1054" s="71"/>
      <c r="I1054" s="71"/>
      <c r="J1054" s="71"/>
      <c r="K1054" s="71"/>
      <c r="L1054" s="71"/>
      <c r="M1054" s="71"/>
      <c r="N1054" s="71"/>
      <c r="O1054" s="71"/>
      <c r="P1054" s="71"/>
      <c r="Q1054" s="71"/>
      <c r="R1054" s="71"/>
      <c r="S1054" s="71"/>
      <c r="T1054" s="71"/>
      <c r="U1054" s="71"/>
      <c r="V1054" s="71"/>
      <c r="W1054" s="71"/>
      <c r="X1054" s="71"/>
      <c r="Y1054" s="71"/>
      <c r="Z1054" s="71"/>
      <c r="AA1054" s="71"/>
      <c r="AB1054" s="71"/>
      <c r="AC1054" s="71"/>
      <c r="AD1054" s="71"/>
      <c r="AE1054" s="71"/>
      <c r="AF1054" s="71"/>
      <c r="AG1054" s="71"/>
      <c r="AH1054" s="71"/>
      <c r="AI1054" s="71"/>
      <c r="AJ1054" s="71"/>
      <c r="AK1054" s="71"/>
      <c r="AL1054" s="71"/>
      <c r="AM1054" s="71"/>
      <c r="AN1054" s="71"/>
      <c r="AO1054" s="71"/>
      <c r="AP1054" s="71"/>
      <c r="AQ1054" s="71"/>
      <c r="AR1054" s="77"/>
    </row>
    <row r="1055">
      <c r="A1055" s="71"/>
      <c r="B1055" s="71"/>
      <c r="C1055" s="71"/>
      <c r="D1055" s="71"/>
      <c r="E1055" s="71"/>
      <c r="F1055" s="71"/>
      <c r="G1055" s="71"/>
      <c r="H1055" s="71"/>
      <c r="I1055" s="71"/>
      <c r="J1055" s="71"/>
      <c r="K1055" s="71"/>
      <c r="L1055" s="71"/>
      <c r="M1055" s="71"/>
      <c r="N1055" s="71"/>
      <c r="O1055" s="71"/>
      <c r="P1055" s="71"/>
      <c r="Q1055" s="71"/>
      <c r="R1055" s="71"/>
      <c r="S1055" s="71"/>
      <c r="T1055" s="71"/>
      <c r="U1055" s="71"/>
      <c r="V1055" s="71"/>
      <c r="W1055" s="71"/>
      <c r="X1055" s="71"/>
      <c r="Y1055" s="71"/>
      <c r="Z1055" s="71"/>
      <c r="AA1055" s="71"/>
      <c r="AB1055" s="71"/>
      <c r="AC1055" s="71"/>
      <c r="AD1055" s="71"/>
      <c r="AE1055" s="71"/>
      <c r="AF1055" s="71"/>
      <c r="AG1055" s="71"/>
      <c r="AH1055" s="71"/>
      <c r="AI1055" s="71"/>
      <c r="AJ1055" s="71"/>
      <c r="AK1055" s="71"/>
      <c r="AL1055" s="71"/>
      <c r="AM1055" s="71"/>
      <c r="AN1055" s="71"/>
      <c r="AO1055" s="71"/>
      <c r="AP1055" s="71"/>
      <c r="AQ1055" s="71"/>
      <c r="AR1055" s="77"/>
    </row>
    <row r="1056">
      <c r="A1056" s="71"/>
      <c r="B1056" s="71"/>
      <c r="C1056" s="71"/>
      <c r="D1056" s="71"/>
      <c r="E1056" s="71"/>
      <c r="F1056" s="71"/>
      <c r="G1056" s="71"/>
      <c r="H1056" s="71"/>
      <c r="I1056" s="71"/>
      <c r="J1056" s="71"/>
      <c r="K1056" s="71"/>
      <c r="L1056" s="71"/>
      <c r="M1056" s="71"/>
      <c r="N1056" s="71"/>
      <c r="O1056" s="71"/>
      <c r="P1056" s="71"/>
      <c r="Q1056" s="71"/>
      <c r="R1056" s="71"/>
      <c r="S1056" s="71"/>
      <c r="T1056" s="71"/>
      <c r="U1056" s="71"/>
      <c r="V1056" s="71"/>
      <c r="W1056" s="71"/>
      <c r="X1056" s="71"/>
      <c r="Y1056" s="71"/>
      <c r="Z1056" s="71"/>
      <c r="AA1056" s="71"/>
      <c r="AB1056" s="71"/>
      <c r="AC1056" s="71"/>
      <c r="AD1056" s="71"/>
      <c r="AE1056" s="71"/>
      <c r="AF1056" s="71"/>
      <c r="AG1056" s="71"/>
      <c r="AH1056" s="71"/>
      <c r="AI1056" s="71"/>
      <c r="AJ1056" s="71"/>
      <c r="AK1056" s="71"/>
      <c r="AL1056" s="71"/>
      <c r="AM1056" s="71"/>
      <c r="AN1056" s="71"/>
      <c r="AO1056" s="71"/>
      <c r="AP1056" s="71"/>
      <c r="AQ1056" s="71"/>
      <c r="AR1056" s="77"/>
    </row>
    <row r="1057">
      <c r="A1057" s="71"/>
      <c r="B1057" s="71"/>
      <c r="C1057" s="71"/>
      <c r="D1057" s="71"/>
      <c r="E1057" s="71"/>
      <c r="F1057" s="71"/>
      <c r="G1057" s="71"/>
      <c r="H1057" s="71"/>
      <c r="I1057" s="71"/>
      <c r="J1057" s="71"/>
      <c r="K1057" s="71"/>
      <c r="L1057" s="71"/>
      <c r="M1057" s="71"/>
      <c r="N1057" s="71"/>
      <c r="O1057" s="71"/>
      <c r="P1057" s="71"/>
      <c r="Q1057" s="71"/>
      <c r="R1057" s="71"/>
      <c r="S1057" s="71"/>
      <c r="T1057" s="71"/>
      <c r="U1057" s="71"/>
      <c r="V1057" s="71"/>
      <c r="W1057" s="71"/>
      <c r="X1057" s="71"/>
      <c r="Y1057" s="71"/>
      <c r="Z1057" s="71"/>
      <c r="AA1057" s="71"/>
      <c r="AB1057" s="71"/>
      <c r="AC1057" s="71"/>
      <c r="AD1057" s="71"/>
      <c r="AE1057" s="71"/>
      <c r="AF1057" s="71"/>
      <c r="AG1057" s="71"/>
      <c r="AH1057" s="71"/>
      <c r="AI1057" s="71"/>
      <c r="AJ1057" s="71"/>
      <c r="AK1057" s="71"/>
      <c r="AL1057" s="71"/>
      <c r="AM1057" s="71"/>
      <c r="AN1057" s="71"/>
      <c r="AO1057" s="71"/>
      <c r="AP1057" s="71"/>
      <c r="AQ1057" s="71"/>
      <c r="AR1057" s="77"/>
    </row>
    <row r="1058">
      <c r="A1058" s="71"/>
      <c r="B1058" s="71"/>
      <c r="C1058" s="71"/>
      <c r="D1058" s="71"/>
      <c r="E1058" s="71"/>
      <c r="F1058" s="71"/>
      <c r="G1058" s="71"/>
      <c r="H1058" s="71"/>
      <c r="I1058" s="71"/>
      <c r="J1058" s="71"/>
      <c r="K1058" s="71"/>
      <c r="L1058" s="71"/>
      <c r="M1058" s="71"/>
      <c r="N1058" s="71"/>
      <c r="O1058" s="71"/>
      <c r="P1058" s="71"/>
      <c r="Q1058" s="71"/>
      <c r="R1058" s="71"/>
      <c r="S1058" s="71"/>
      <c r="T1058" s="71"/>
      <c r="U1058" s="71"/>
      <c r="V1058" s="71"/>
      <c r="W1058" s="71"/>
      <c r="X1058" s="71"/>
      <c r="Y1058" s="71"/>
      <c r="Z1058" s="71"/>
      <c r="AA1058" s="71"/>
      <c r="AB1058" s="71"/>
      <c r="AC1058" s="71"/>
      <c r="AD1058" s="71"/>
      <c r="AE1058" s="71"/>
      <c r="AF1058" s="71"/>
      <c r="AG1058" s="71"/>
      <c r="AH1058" s="71"/>
      <c r="AI1058" s="71"/>
      <c r="AJ1058" s="71"/>
      <c r="AK1058" s="71"/>
      <c r="AL1058" s="71"/>
      <c r="AM1058" s="71"/>
      <c r="AN1058" s="71"/>
      <c r="AO1058" s="71"/>
      <c r="AP1058" s="71"/>
      <c r="AQ1058" s="71"/>
      <c r="AR1058" s="77"/>
    </row>
    <row r="1059">
      <c r="A1059" s="71"/>
      <c r="B1059" s="71"/>
      <c r="C1059" s="71"/>
      <c r="D1059" s="71"/>
      <c r="E1059" s="71"/>
      <c r="F1059" s="71"/>
      <c r="G1059" s="71"/>
      <c r="H1059" s="71"/>
      <c r="I1059" s="71"/>
      <c r="J1059" s="71"/>
      <c r="K1059" s="71"/>
      <c r="L1059" s="71"/>
      <c r="M1059" s="71"/>
      <c r="N1059" s="71"/>
      <c r="O1059" s="71"/>
      <c r="P1059" s="71"/>
      <c r="Q1059" s="71"/>
      <c r="R1059" s="71"/>
      <c r="S1059" s="71"/>
      <c r="T1059" s="71"/>
      <c r="U1059" s="71"/>
      <c r="V1059" s="71"/>
      <c r="W1059" s="71"/>
      <c r="X1059" s="71"/>
      <c r="Y1059" s="71"/>
      <c r="Z1059" s="71"/>
      <c r="AA1059" s="71"/>
      <c r="AB1059" s="71"/>
      <c r="AC1059" s="71"/>
      <c r="AD1059" s="71"/>
      <c r="AE1059" s="71"/>
      <c r="AF1059" s="71"/>
      <c r="AG1059" s="71"/>
      <c r="AH1059" s="71"/>
      <c r="AI1059" s="71"/>
      <c r="AJ1059" s="71"/>
      <c r="AK1059" s="71"/>
      <c r="AL1059" s="71"/>
      <c r="AM1059" s="71"/>
      <c r="AN1059" s="71"/>
      <c r="AO1059" s="71"/>
      <c r="AP1059" s="71"/>
      <c r="AQ1059" s="71"/>
      <c r="AR1059" s="77"/>
    </row>
    <row r="1060">
      <c r="A1060" s="71"/>
      <c r="B1060" s="71"/>
      <c r="C1060" s="71"/>
      <c r="D1060" s="71"/>
      <c r="E1060" s="71"/>
      <c r="F1060" s="71"/>
      <c r="G1060" s="71"/>
      <c r="H1060" s="71"/>
      <c r="I1060" s="71"/>
      <c r="J1060" s="71"/>
      <c r="K1060" s="71"/>
      <c r="L1060" s="71"/>
      <c r="M1060" s="71"/>
      <c r="N1060" s="71"/>
      <c r="O1060" s="71"/>
      <c r="P1060" s="71"/>
      <c r="Q1060" s="71"/>
      <c r="R1060" s="71"/>
      <c r="S1060" s="71"/>
      <c r="T1060" s="71"/>
      <c r="U1060" s="71"/>
      <c r="V1060" s="71"/>
      <c r="W1060" s="71"/>
      <c r="X1060" s="71"/>
      <c r="Y1060" s="71"/>
      <c r="Z1060" s="71"/>
      <c r="AA1060" s="71"/>
      <c r="AB1060" s="71"/>
      <c r="AC1060" s="71"/>
      <c r="AD1060" s="71"/>
      <c r="AE1060" s="71"/>
      <c r="AF1060" s="71"/>
      <c r="AG1060" s="71"/>
      <c r="AH1060" s="71"/>
      <c r="AI1060" s="71"/>
      <c r="AJ1060" s="71"/>
      <c r="AK1060" s="71"/>
      <c r="AL1060" s="71"/>
      <c r="AM1060" s="71"/>
      <c r="AN1060" s="71"/>
      <c r="AO1060" s="71"/>
      <c r="AP1060" s="71"/>
      <c r="AQ1060" s="71"/>
      <c r="AR1060" s="77"/>
    </row>
    <row r="1061">
      <c r="A1061" s="71"/>
      <c r="B1061" s="71"/>
      <c r="C1061" s="71"/>
      <c r="D1061" s="71"/>
      <c r="E1061" s="71"/>
      <c r="F1061" s="71"/>
      <c r="G1061" s="71"/>
      <c r="H1061" s="71"/>
      <c r="I1061" s="71"/>
      <c r="J1061" s="71"/>
      <c r="K1061" s="71"/>
      <c r="L1061" s="71"/>
      <c r="M1061" s="71"/>
      <c r="N1061" s="71"/>
      <c r="O1061" s="71"/>
      <c r="P1061" s="71"/>
      <c r="Q1061" s="71"/>
      <c r="R1061" s="71"/>
      <c r="S1061" s="71"/>
      <c r="T1061" s="71"/>
      <c r="U1061" s="71"/>
      <c r="V1061" s="71"/>
      <c r="W1061" s="71"/>
      <c r="X1061" s="71"/>
      <c r="Y1061" s="71"/>
      <c r="Z1061" s="71"/>
      <c r="AA1061" s="71"/>
      <c r="AB1061" s="71"/>
      <c r="AC1061" s="71"/>
      <c r="AD1061" s="71"/>
      <c r="AE1061" s="71"/>
      <c r="AF1061" s="71"/>
      <c r="AG1061" s="71"/>
      <c r="AH1061" s="71"/>
      <c r="AI1061" s="71"/>
      <c r="AJ1061" s="71"/>
      <c r="AK1061" s="71"/>
      <c r="AL1061" s="71"/>
      <c r="AM1061" s="71"/>
      <c r="AN1061" s="71"/>
      <c r="AO1061" s="71"/>
      <c r="AP1061" s="71"/>
      <c r="AQ1061" s="71"/>
      <c r="AR1061" s="77"/>
    </row>
    <row r="1062">
      <c r="A1062" s="71"/>
      <c r="B1062" s="71"/>
      <c r="C1062" s="71"/>
      <c r="D1062" s="71"/>
      <c r="E1062" s="71"/>
      <c r="F1062" s="71"/>
      <c r="G1062" s="71"/>
      <c r="H1062" s="71"/>
      <c r="I1062" s="71"/>
      <c r="J1062" s="71"/>
      <c r="K1062" s="71"/>
      <c r="L1062" s="71"/>
      <c r="M1062" s="71"/>
      <c r="N1062" s="71"/>
      <c r="O1062" s="71"/>
      <c r="P1062" s="71"/>
      <c r="Q1062" s="71"/>
      <c r="R1062" s="71"/>
      <c r="S1062" s="71"/>
      <c r="T1062" s="71"/>
      <c r="U1062" s="71"/>
      <c r="V1062" s="71"/>
      <c r="W1062" s="71"/>
      <c r="X1062" s="71"/>
      <c r="Y1062" s="71"/>
      <c r="Z1062" s="71"/>
      <c r="AA1062" s="71"/>
      <c r="AB1062" s="71"/>
      <c r="AC1062" s="71"/>
      <c r="AD1062" s="71"/>
      <c r="AE1062" s="71"/>
      <c r="AF1062" s="71"/>
      <c r="AG1062" s="71"/>
      <c r="AH1062" s="71"/>
      <c r="AI1062" s="71"/>
      <c r="AJ1062" s="71"/>
      <c r="AK1062" s="71"/>
      <c r="AL1062" s="71"/>
      <c r="AM1062" s="71"/>
      <c r="AN1062" s="71"/>
      <c r="AO1062" s="71"/>
      <c r="AP1062" s="71"/>
      <c r="AQ1062" s="71"/>
      <c r="AR1062" s="77"/>
    </row>
    <row r="1063">
      <c r="A1063" s="71"/>
      <c r="B1063" s="71"/>
      <c r="C1063" s="71"/>
      <c r="D1063" s="71"/>
      <c r="E1063" s="71"/>
      <c r="F1063" s="71"/>
      <c r="G1063" s="71"/>
      <c r="H1063" s="71"/>
      <c r="I1063" s="71"/>
      <c r="J1063" s="71"/>
      <c r="K1063" s="71"/>
      <c r="L1063" s="71"/>
      <c r="M1063" s="71"/>
      <c r="N1063" s="71"/>
      <c r="O1063" s="71"/>
      <c r="P1063" s="71"/>
      <c r="Q1063" s="71"/>
      <c r="R1063" s="71"/>
      <c r="S1063" s="71"/>
      <c r="T1063" s="71"/>
      <c r="U1063" s="71"/>
      <c r="V1063" s="71"/>
      <c r="W1063" s="71"/>
      <c r="X1063" s="71"/>
      <c r="Y1063" s="71"/>
      <c r="Z1063" s="71"/>
      <c r="AA1063" s="71"/>
      <c r="AB1063" s="71"/>
      <c r="AC1063" s="71"/>
      <c r="AD1063" s="71"/>
      <c r="AE1063" s="71"/>
      <c r="AF1063" s="71"/>
      <c r="AG1063" s="71"/>
      <c r="AH1063" s="71"/>
      <c r="AI1063" s="71"/>
      <c r="AJ1063" s="71"/>
      <c r="AK1063" s="71"/>
      <c r="AL1063" s="71"/>
      <c r="AM1063" s="71"/>
      <c r="AN1063" s="71"/>
      <c r="AO1063" s="71"/>
      <c r="AP1063" s="71"/>
      <c r="AQ1063" s="71"/>
      <c r="AR1063" s="77"/>
    </row>
    <row r="1064">
      <c r="A1064" s="71"/>
      <c r="B1064" s="71"/>
      <c r="C1064" s="71"/>
      <c r="D1064" s="71"/>
      <c r="E1064" s="71"/>
      <c r="F1064" s="71"/>
      <c r="G1064" s="71"/>
      <c r="H1064" s="71"/>
      <c r="I1064" s="71"/>
      <c r="J1064" s="71"/>
      <c r="K1064" s="71"/>
      <c r="L1064" s="71"/>
      <c r="M1064" s="71"/>
      <c r="N1064" s="71"/>
      <c r="O1064" s="71"/>
      <c r="P1064" s="71"/>
      <c r="Q1064" s="71"/>
      <c r="R1064" s="71"/>
      <c r="S1064" s="71"/>
      <c r="T1064" s="71"/>
      <c r="U1064" s="71"/>
      <c r="V1064" s="71"/>
      <c r="W1064" s="71"/>
      <c r="X1064" s="71"/>
      <c r="Y1064" s="71"/>
      <c r="Z1064" s="71"/>
      <c r="AA1064" s="71"/>
      <c r="AB1064" s="71"/>
      <c r="AC1064" s="71"/>
      <c r="AD1064" s="71"/>
      <c r="AE1064" s="71"/>
      <c r="AF1064" s="71"/>
      <c r="AG1064" s="71"/>
      <c r="AH1064" s="71"/>
      <c r="AI1064" s="71"/>
      <c r="AJ1064" s="71"/>
      <c r="AK1064" s="71"/>
      <c r="AL1064" s="71"/>
      <c r="AM1064" s="71"/>
      <c r="AN1064" s="71"/>
      <c r="AO1064" s="71"/>
      <c r="AP1064" s="71"/>
      <c r="AQ1064" s="71"/>
      <c r="AR1064" s="77"/>
    </row>
    <row r="1065">
      <c r="A1065" s="71"/>
      <c r="B1065" s="71"/>
      <c r="C1065" s="71"/>
      <c r="D1065" s="71"/>
      <c r="E1065" s="71"/>
      <c r="F1065" s="71"/>
      <c r="G1065" s="71"/>
      <c r="H1065" s="71"/>
      <c r="I1065" s="71"/>
      <c r="J1065" s="71"/>
      <c r="K1065" s="71"/>
      <c r="L1065" s="71"/>
      <c r="M1065" s="71"/>
      <c r="N1065" s="71"/>
      <c r="O1065" s="71"/>
      <c r="P1065" s="71"/>
      <c r="Q1065" s="71"/>
      <c r="R1065" s="71"/>
      <c r="S1065" s="71"/>
      <c r="T1065" s="71"/>
      <c r="U1065" s="71"/>
      <c r="V1065" s="71"/>
      <c r="W1065" s="71"/>
      <c r="X1065" s="71"/>
      <c r="Y1065" s="71"/>
      <c r="Z1065" s="71"/>
      <c r="AA1065" s="71"/>
      <c r="AB1065" s="71"/>
      <c r="AC1065" s="71"/>
      <c r="AD1065" s="71"/>
      <c r="AE1065" s="71"/>
      <c r="AF1065" s="71"/>
      <c r="AG1065" s="71"/>
      <c r="AH1065" s="71"/>
      <c r="AI1065" s="71"/>
      <c r="AJ1065" s="71"/>
      <c r="AK1065" s="71"/>
      <c r="AL1065" s="71"/>
      <c r="AM1065" s="71"/>
      <c r="AN1065" s="71"/>
      <c r="AO1065" s="71"/>
      <c r="AP1065" s="71"/>
      <c r="AQ1065" s="71"/>
      <c r="AR1065" s="77"/>
    </row>
    <row r="1066">
      <c r="A1066" s="71"/>
      <c r="B1066" s="71"/>
      <c r="C1066" s="71"/>
      <c r="D1066" s="71"/>
      <c r="E1066" s="71"/>
      <c r="F1066" s="71"/>
      <c r="G1066" s="71"/>
      <c r="H1066" s="71"/>
      <c r="I1066" s="71"/>
      <c r="J1066" s="71"/>
      <c r="K1066" s="71"/>
      <c r="L1066" s="71"/>
      <c r="M1066" s="71"/>
      <c r="N1066" s="71"/>
      <c r="O1066" s="71"/>
      <c r="P1066" s="71"/>
      <c r="Q1066" s="71"/>
      <c r="R1066" s="71"/>
      <c r="S1066" s="71"/>
      <c r="T1066" s="71"/>
      <c r="U1066" s="71"/>
      <c r="V1066" s="71"/>
      <c r="W1066" s="71"/>
      <c r="X1066" s="71"/>
      <c r="Y1066" s="71"/>
      <c r="Z1066" s="71"/>
      <c r="AA1066" s="71"/>
      <c r="AB1066" s="71"/>
      <c r="AC1066" s="71"/>
      <c r="AD1066" s="71"/>
      <c r="AE1066" s="71"/>
      <c r="AF1066" s="71"/>
      <c r="AG1066" s="71"/>
      <c r="AH1066" s="71"/>
      <c r="AI1066" s="71"/>
      <c r="AJ1066" s="71"/>
      <c r="AK1066" s="71"/>
      <c r="AL1066" s="71"/>
      <c r="AM1066" s="71"/>
      <c r="AN1066" s="71"/>
      <c r="AO1066" s="71"/>
      <c r="AP1066" s="71"/>
      <c r="AQ1066" s="71"/>
      <c r="AR1066" s="77"/>
    </row>
    <row r="1067">
      <c r="A1067" s="71"/>
      <c r="B1067" s="71"/>
      <c r="C1067" s="71"/>
      <c r="D1067" s="71"/>
      <c r="E1067" s="71"/>
      <c r="F1067" s="71"/>
      <c r="G1067" s="71"/>
      <c r="H1067" s="71"/>
      <c r="I1067" s="71"/>
      <c r="J1067" s="71"/>
      <c r="K1067" s="71"/>
      <c r="L1067" s="71"/>
      <c r="M1067" s="71"/>
      <c r="N1067" s="71"/>
      <c r="O1067" s="71"/>
      <c r="P1067" s="71"/>
      <c r="Q1067" s="71"/>
      <c r="R1067" s="71"/>
      <c r="S1067" s="71"/>
      <c r="T1067" s="71"/>
      <c r="U1067" s="71"/>
      <c r="V1067" s="71"/>
      <c r="W1067" s="71"/>
      <c r="X1067" s="71"/>
      <c r="Y1067" s="71"/>
      <c r="Z1067" s="71"/>
      <c r="AA1067" s="71"/>
      <c r="AB1067" s="71"/>
      <c r="AC1067" s="71"/>
      <c r="AD1067" s="71"/>
      <c r="AE1067" s="71"/>
      <c r="AF1067" s="71"/>
      <c r="AG1067" s="71"/>
      <c r="AH1067" s="71"/>
      <c r="AI1067" s="71"/>
      <c r="AJ1067" s="71"/>
      <c r="AK1067" s="71"/>
      <c r="AL1067" s="71"/>
      <c r="AM1067" s="71"/>
      <c r="AN1067" s="71"/>
      <c r="AO1067" s="71"/>
      <c r="AP1067" s="71"/>
      <c r="AQ1067" s="71"/>
      <c r="AR1067" s="77"/>
    </row>
    <row r="1068">
      <c r="A1068" s="71"/>
      <c r="B1068" s="71"/>
      <c r="C1068" s="71"/>
      <c r="D1068" s="71"/>
      <c r="E1068" s="71"/>
      <c r="F1068" s="71"/>
      <c r="G1068" s="71"/>
      <c r="H1068" s="71"/>
      <c r="I1068" s="71"/>
      <c r="J1068" s="71"/>
      <c r="K1068" s="71"/>
      <c r="L1068" s="71"/>
      <c r="M1068" s="71"/>
      <c r="N1068" s="71"/>
      <c r="O1068" s="71"/>
      <c r="P1068" s="71"/>
      <c r="Q1068" s="71"/>
      <c r="R1068" s="71"/>
      <c r="S1068" s="71"/>
      <c r="T1068" s="71"/>
      <c r="U1068" s="71"/>
      <c r="V1068" s="71"/>
      <c r="W1068" s="71"/>
      <c r="X1068" s="71"/>
      <c r="Y1068" s="71"/>
      <c r="Z1068" s="71"/>
      <c r="AA1068" s="71"/>
      <c r="AB1068" s="71"/>
      <c r="AC1068" s="71"/>
      <c r="AD1068" s="71"/>
      <c r="AE1068" s="71"/>
      <c r="AF1068" s="71"/>
      <c r="AG1068" s="71"/>
      <c r="AH1068" s="71"/>
      <c r="AI1068" s="71"/>
      <c r="AJ1068" s="71"/>
      <c r="AK1068" s="71"/>
      <c r="AL1068" s="71"/>
      <c r="AM1068" s="71"/>
      <c r="AN1068" s="71"/>
      <c r="AO1068" s="71"/>
      <c r="AP1068" s="71"/>
      <c r="AQ1068" s="71"/>
      <c r="AR1068" s="77"/>
    </row>
    <row r="1069">
      <c r="A1069" s="71"/>
      <c r="B1069" s="71"/>
      <c r="C1069" s="71"/>
      <c r="D1069" s="71"/>
      <c r="E1069" s="71"/>
      <c r="F1069" s="71"/>
      <c r="G1069" s="71"/>
      <c r="H1069" s="71"/>
      <c r="I1069" s="71"/>
      <c r="J1069" s="71"/>
      <c r="K1069" s="71"/>
      <c r="L1069" s="71"/>
      <c r="M1069" s="71"/>
      <c r="N1069" s="71"/>
      <c r="O1069" s="71"/>
      <c r="P1069" s="71"/>
      <c r="Q1069" s="71"/>
      <c r="R1069" s="71"/>
      <c r="S1069" s="71"/>
      <c r="T1069" s="71"/>
      <c r="U1069" s="71"/>
      <c r="V1069" s="71"/>
      <c r="W1069" s="71"/>
      <c r="X1069" s="71"/>
      <c r="Y1069" s="71"/>
      <c r="Z1069" s="71"/>
      <c r="AA1069" s="71"/>
      <c r="AB1069" s="71"/>
      <c r="AC1069" s="71"/>
      <c r="AD1069" s="71"/>
      <c r="AE1069" s="71"/>
      <c r="AF1069" s="71"/>
      <c r="AG1069" s="71"/>
      <c r="AH1069" s="71"/>
      <c r="AI1069" s="71"/>
      <c r="AJ1069" s="71"/>
      <c r="AK1069" s="71"/>
      <c r="AL1069" s="71"/>
      <c r="AM1069" s="71"/>
      <c r="AN1069" s="71"/>
      <c r="AO1069" s="71"/>
      <c r="AP1069" s="71"/>
      <c r="AQ1069" s="71"/>
      <c r="AR1069" s="77"/>
    </row>
    <row r="1070">
      <c r="A1070" s="71"/>
      <c r="B1070" s="71"/>
      <c r="C1070" s="71"/>
      <c r="D1070" s="71"/>
      <c r="E1070" s="71"/>
      <c r="F1070" s="71"/>
      <c r="G1070" s="71"/>
      <c r="H1070" s="71"/>
      <c r="I1070" s="71"/>
      <c r="J1070" s="71"/>
      <c r="K1070" s="71"/>
      <c r="L1070" s="71"/>
      <c r="M1070" s="71"/>
      <c r="N1070" s="71"/>
      <c r="O1070" s="71"/>
      <c r="P1070" s="71"/>
      <c r="Q1070" s="71"/>
      <c r="R1070" s="71"/>
      <c r="S1070" s="71"/>
      <c r="T1070" s="71"/>
      <c r="U1070" s="71"/>
      <c r="V1070" s="71"/>
      <c r="W1070" s="71"/>
      <c r="X1070" s="71"/>
      <c r="Y1070" s="71"/>
      <c r="Z1070" s="71"/>
      <c r="AA1070" s="71"/>
      <c r="AB1070" s="71"/>
      <c r="AC1070" s="71"/>
      <c r="AD1070" s="71"/>
      <c r="AE1070" s="71"/>
      <c r="AF1070" s="71"/>
      <c r="AG1070" s="71"/>
      <c r="AH1070" s="71"/>
      <c r="AI1070" s="71"/>
      <c r="AJ1070" s="71"/>
      <c r="AK1070" s="71"/>
      <c r="AL1070" s="71"/>
      <c r="AM1070" s="71"/>
      <c r="AN1070" s="71"/>
      <c r="AO1070" s="71"/>
      <c r="AP1070" s="71"/>
      <c r="AQ1070" s="71"/>
      <c r="AR1070" s="77"/>
    </row>
    <row r="1071">
      <c r="A1071" s="71"/>
      <c r="B1071" s="71"/>
      <c r="C1071" s="71"/>
      <c r="D1071" s="71"/>
      <c r="E1071" s="71"/>
      <c r="F1071" s="71"/>
      <c r="G1071" s="71"/>
      <c r="H1071" s="71"/>
      <c r="I1071" s="71"/>
      <c r="J1071" s="71"/>
      <c r="K1071" s="71"/>
      <c r="L1071" s="71"/>
      <c r="M1071" s="71"/>
      <c r="N1071" s="71"/>
      <c r="O1071" s="71"/>
      <c r="P1071" s="71"/>
      <c r="Q1071" s="71"/>
      <c r="R1071" s="71"/>
      <c r="S1071" s="71"/>
      <c r="T1071" s="71"/>
      <c r="U1071" s="71"/>
      <c r="V1071" s="71"/>
      <c r="W1071" s="71"/>
      <c r="X1071" s="71"/>
      <c r="Y1071" s="71"/>
      <c r="Z1071" s="71"/>
      <c r="AA1071" s="71"/>
      <c r="AB1071" s="71"/>
      <c r="AC1071" s="71"/>
      <c r="AD1071" s="71"/>
      <c r="AE1071" s="71"/>
      <c r="AF1071" s="71"/>
      <c r="AG1071" s="71"/>
      <c r="AH1071" s="71"/>
      <c r="AI1071" s="71"/>
      <c r="AJ1071" s="71"/>
      <c r="AK1071" s="71"/>
      <c r="AL1071" s="71"/>
      <c r="AM1071" s="71"/>
      <c r="AN1071" s="71"/>
      <c r="AO1071" s="71"/>
      <c r="AP1071" s="71"/>
      <c r="AQ1071" s="71"/>
      <c r="AR1071" s="77"/>
    </row>
    <row r="1072">
      <c r="A1072" s="71"/>
      <c r="B1072" s="71"/>
      <c r="C1072" s="71"/>
      <c r="D1072" s="71"/>
      <c r="E1072" s="71"/>
      <c r="F1072" s="71"/>
      <c r="G1072" s="71"/>
      <c r="H1072" s="71"/>
      <c r="I1072" s="71"/>
      <c r="J1072" s="71"/>
      <c r="K1072" s="71"/>
      <c r="L1072" s="71"/>
      <c r="M1072" s="71"/>
      <c r="N1072" s="71"/>
      <c r="O1072" s="71"/>
      <c r="P1072" s="71"/>
      <c r="Q1072" s="71"/>
      <c r="R1072" s="71"/>
      <c r="S1072" s="71"/>
      <c r="T1072" s="71"/>
      <c r="U1072" s="71"/>
      <c r="V1072" s="71"/>
      <c r="W1072" s="71"/>
      <c r="X1072" s="71"/>
      <c r="Y1072" s="71"/>
      <c r="Z1072" s="71"/>
      <c r="AA1072" s="71"/>
      <c r="AB1072" s="71"/>
      <c r="AC1072" s="71"/>
      <c r="AD1072" s="71"/>
      <c r="AE1072" s="71"/>
      <c r="AF1072" s="71"/>
      <c r="AG1072" s="71"/>
      <c r="AH1072" s="71"/>
      <c r="AI1072" s="71"/>
      <c r="AJ1072" s="71"/>
      <c r="AK1072" s="71"/>
      <c r="AL1072" s="71"/>
      <c r="AM1072" s="71"/>
      <c r="AN1072" s="71"/>
      <c r="AO1072" s="71"/>
      <c r="AP1072" s="71"/>
      <c r="AQ1072" s="71"/>
      <c r="AR1072" s="77"/>
    </row>
    <row r="1073">
      <c r="A1073" s="71"/>
      <c r="B1073" s="71"/>
      <c r="C1073" s="71"/>
      <c r="D1073" s="71"/>
      <c r="E1073" s="71"/>
      <c r="F1073" s="71"/>
      <c r="G1073" s="71"/>
      <c r="H1073" s="71"/>
      <c r="I1073" s="71"/>
      <c r="J1073" s="71"/>
      <c r="K1073" s="71"/>
      <c r="L1073" s="71"/>
      <c r="M1073" s="71"/>
      <c r="N1073" s="71"/>
      <c r="O1073" s="71"/>
      <c r="P1073" s="71"/>
      <c r="Q1073" s="71"/>
      <c r="R1073" s="71"/>
      <c r="S1073" s="71"/>
      <c r="T1073" s="71"/>
      <c r="U1073" s="71"/>
      <c r="V1073" s="71"/>
      <c r="W1073" s="71"/>
      <c r="X1073" s="71"/>
      <c r="Y1073" s="71"/>
      <c r="Z1073" s="71"/>
      <c r="AA1073" s="71"/>
      <c r="AB1073" s="71"/>
      <c r="AC1073" s="71"/>
      <c r="AD1073" s="71"/>
      <c r="AE1073" s="71"/>
      <c r="AF1073" s="71"/>
      <c r="AG1073" s="71"/>
      <c r="AH1073" s="71"/>
      <c r="AI1073" s="71"/>
      <c r="AJ1073" s="71"/>
      <c r="AK1073" s="71"/>
      <c r="AL1073" s="71"/>
      <c r="AM1073" s="71"/>
      <c r="AN1073" s="71"/>
      <c r="AO1073" s="71"/>
      <c r="AP1073" s="71"/>
      <c r="AQ1073" s="71"/>
      <c r="AR1073" s="77"/>
    </row>
    <row r="1074">
      <c r="A1074" s="71"/>
      <c r="B1074" s="71"/>
      <c r="C1074" s="71"/>
      <c r="D1074" s="71"/>
      <c r="E1074" s="71"/>
      <c r="F1074" s="71"/>
      <c r="G1074" s="71"/>
      <c r="H1074" s="71"/>
      <c r="I1074" s="71"/>
      <c r="J1074" s="71"/>
      <c r="K1074" s="71"/>
      <c r="L1074" s="71"/>
      <c r="M1074" s="71"/>
      <c r="N1074" s="71"/>
      <c r="O1074" s="71"/>
      <c r="P1074" s="71"/>
      <c r="Q1074" s="71"/>
      <c r="R1074" s="71"/>
      <c r="S1074" s="71"/>
      <c r="T1074" s="71"/>
      <c r="U1074" s="71"/>
      <c r="V1074" s="71"/>
      <c r="W1074" s="71"/>
      <c r="X1074" s="71"/>
      <c r="Y1074" s="71"/>
      <c r="Z1074" s="71"/>
      <c r="AA1074" s="71"/>
      <c r="AB1074" s="71"/>
      <c r="AC1074" s="71"/>
      <c r="AD1074" s="71"/>
      <c r="AE1074" s="71"/>
      <c r="AF1074" s="71"/>
      <c r="AG1074" s="71"/>
      <c r="AH1074" s="71"/>
      <c r="AI1074" s="71"/>
      <c r="AJ1074" s="71"/>
      <c r="AK1074" s="71"/>
      <c r="AL1074" s="71"/>
      <c r="AM1074" s="71"/>
      <c r="AN1074" s="71"/>
      <c r="AO1074" s="71"/>
      <c r="AP1074" s="71"/>
      <c r="AQ1074" s="71"/>
      <c r="AR1074" s="77"/>
    </row>
    <row r="1075">
      <c r="A1075" s="71"/>
      <c r="B1075" s="71"/>
      <c r="C1075" s="71"/>
      <c r="D1075" s="71"/>
      <c r="E1075" s="71"/>
      <c r="F1075" s="71"/>
      <c r="G1075" s="71"/>
      <c r="H1075" s="71"/>
      <c r="I1075" s="71"/>
      <c r="J1075" s="71"/>
      <c r="K1075" s="71"/>
      <c r="L1075" s="71"/>
      <c r="M1075" s="71"/>
      <c r="N1075" s="71"/>
      <c r="O1075" s="71"/>
      <c r="P1075" s="71"/>
      <c r="Q1075" s="71"/>
      <c r="R1075" s="71"/>
      <c r="S1075" s="71"/>
      <c r="T1075" s="71"/>
      <c r="U1075" s="71"/>
      <c r="V1075" s="71"/>
      <c r="W1075" s="71"/>
      <c r="X1075" s="71"/>
      <c r="Y1075" s="71"/>
      <c r="Z1075" s="71"/>
      <c r="AA1075" s="71"/>
      <c r="AB1075" s="71"/>
      <c r="AC1075" s="71"/>
      <c r="AD1075" s="71"/>
      <c r="AE1075" s="71"/>
      <c r="AF1075" s="71"/>
      <c r="AG1075" s="71"/>
      <c r="AH1075" s="71"/>
      <c r="AI1075" s="71"/>
      <c r="AJ1075" s="71"/>
      <c r="AK1075" s="71"/>
      <c r="AL1075" s="71"/>
      <c r="AM1075" s="71"/>
      <c r="AN1075" s="71"/>
      <c r="AO1075" s="71"/>
      <c r="AP1075" s="71"/>
      <c r="AQ1075" s="71"/>
      <c r="AR1075" s="77"/>
    </row>
    <row r="1076">
      <c r="A1076" s="71"/>
      <c r="B1076" s="71"/>
      <c r="C1076" s="71"/>
      <c r="D1076" s="71"/>
      <c r="E1076" s="71"/>
      <c r="F1076" s="71"/>
      <c r="G1076" s="71"/>
      <c r="H1076" s="71"/>
      <c r="I1076" s="71"/>
      <c r="J1076" s="71"/>
      <c r="K1076" s="71"/>
      <c r="L1076" s="71"/>
      <c r="M1076" s="71"/>
      <c r="N1076" s="71"/>
      <c r="O1076" s="71"/>
      <c r="P1076" s="71"/>
      <c r="Q1076" s="71"/>
      <c r="R1076" s="71"/>
      <c r="S1076" s="71"/>
      <c r="T1076" s="71"/>
      <c r="U1076" s="71"/>
      <c r="V1076" s="71"/>
      <c r="W1076" s="71"/>
      <c r="X1076" s="71"/>
      <c r="Y1076" s="71"/>
      <c r="Z1076" s="71"/>
      <c r="AA1076" s="71"/>
      <c r="AB1076" s="71"/>
      <c r="AC1076" s="71"/>
      <c r="AD1076" s="71"/>
      <c r="AE1076" s="71"/>
      <c r="AF1076" s="71"/>
      <c r="AG1076" s="71"/>
      <c r="AH1076" s="71"/>
      <c r="AI1076" s="71"/>
      <c r="AJ1076" s="71"/>
      <c r="AK1076" s="71"/>
      <c r="AL1076" s="71"/>
      <c r="AM1076" s="71"/>
      <c r="AN1076" s="71"/>
      <c r="AO1076" s="71"/>
      <c r="AP1076" s="71"/>
      <c r="AQ1076" s="71"/>
      <c r="AR1076" s="77"/>
    </row>
    <row r="1077">
      <c r="A1077" s="71"/>
      <c r="B1077" s="71"/>
      <c r="C1077" s="71"/>
      <c r="D1077" s="71"/>
      <c r="E1077" s="71"/>
      <c r="F1077" s="71"/>
      <c r="G1077" s="71"/>
      <c r="H1077" s="71"/>
      <c r="I1077" s="71"/>
      <c r="J1077" s="71"/>
      <c r="K1077" s="71"/>
      <c r="L1077" s="71"/>
      <c r="M1077" s="71"/>
      <c r="N1077" s="71"/>
      <c r="O1077" s="71"/>
      <c r="P1077" s="71"/>
      <c r="Q1077" s="71"/>
      <c r="R1077" s="71"/>
      <c r="S1077" s="71"/>
      <c r="T1077" s="71"/>
      <c r="U1077" s="71"/>
      <c r="V1077" s="71"/>
      <c r="W1077" s="71"/>
      <c r="X1077" s="71"/>
      <c r="Y1077" s="71"/>
      <c r="Z1077" s="71"/>
      <c r="AA1077" s="71"/>
      <c r="AB1077" s="71"/>
      <c r="AC1077" s="71"/>
      <c r="AD1077" s="71"/>
      <c r="AE1077" s="71"/>
      <c r="AF1077" s="71"/>
      <c r="AG1077" s="71"/>
      <c r="AH1077" s="71"/>
      <c r="AI1077" s="71"/>
      <c r="AJ1077" s="71"/>
      <c r="AK1077" s="71"/>
      <c r="AL1077" s="71"/>
      <c r="AM1077" s="71"/>
      <c r="AN1077" s="71"/>
      <c r="AO1077" s="71"/>
      <c r="AP1077" s="71"/>
      <c r="AQ1077" s="71"/>
      <c r="AR1077" s="77"/>
    </row>
    <row r="1078">
      <c r="A1078" s="71"/>
      <c r="B1078" s="71"/>
      <c r="C1078" s="71"/>
      <c r="D1078" s="71"/>
      <c r="E1078" s="71"/>
      <c r="F1078" s="71"/>
      <c r="G1078" s="71"/>
      <c r="H1078" s="71"/>
      <c r="I1078" s="71"/>
      <c r="J1078" s="71"/>
      <c r="K1078" s="71"/>
      <c r="L1078" s="71"/>
      <c r="M1078" s="71"/>
      <c r="N1078" s="71"/>
      <c r="O1078" s="71"/>
      <c r="P1078" s="71"/>
      <c r="Q1078" s="71"/>
      <c r="R1078" s="71"/>
      <c r="S1078" s="71"/>
      <c r="T1078" s="71"/>
      <c r="U1078" s="71"/>
      <c r="V1078" s="71"/>
      <c r="W1078" s="71"/>
      <c r="X1078" s="71"/>
      <c r="Y1078" s="71"/>
      <c r="Z1078" s="71"/>
      <c r="AA1078" s="71"/>
      <c r="AB1078" s="71"/>
      <c r="AC1078" s="71"/>
      <c r="AD1078" s="71"/>
      <c r="AE1078" s="71"/>
      <c r="AF1078" s="71"/>
      <c r="AG1078" s="71"/>
      <c r="AH1078" s="71"/>
      <c r="AI1078" s="71"/>
      <c r="AJ1078" s="71"/>
      <c r="AK1078" s="71"/>
      <c r="AL1078" s="71"/>
      <c r="AM1078" s="71"/>
      <c r="AN1078" s="71"/>
      <c r="AO1078" s="71"/>
      <c r="AP1078" s="71"/>
      <c r="AQ1078" s="71"/>
      <c r="AR1078" s="77"/>
    </row>
    <row r="1079">
      <c r="A1079" s="71"/>
      <c r="B1079" s="71"/>
      <c r="C1079" s="71"/>
      <c r="D1079" s="71"/>
      <c r="E1079" s="71"/>
      <c r="F1079" s="71"/>
      <c r="G1079" s="71"/>
      <c r="H1079" s="71"/>
      <c r="I1079" s="71"/>
      <c r="J1079" s="71"/>
      <c r="K1079" s="71"/>
      <c r="L1079" s="71"/>
      <c r="M1079" s="71"/>
      <c r="N1079" s="71"/>
      <c r="O1079" s="71"/>
      <c r="P1079" s="71"/>
      <c r="Q1079" s="71"/>
      <c r="R1079" s="71"/>
      <c r="S1079" s="71"/>
      <c r="T1079" s="71"/>
      <c r="U1079" s="71"/>
      <c r="V1079" s="71"/>
      <c r="W1079" s="71"/>
      <c r="X1079" s="71"/>
      <c r="Y1079" s="71"/>
      <c r="Z1079" s="71"/>
      <c r="AA1079" s="71"/>
      <c r="AB1079" s="71"/>
      <c r="AC1079" s="71"/>
      <c r="AD1079" s="71"/>
      <c r="AE1079" s="71"/>
      <c r="AF1079" s="71"/>
      <c r="AG1079" s="71"/>
      <c r="AH1079" s="71"/>
      <c r="AI1079" s="71"/>
      <c r="AJ1079" s="71"/>
      <c r="AK1079" s="71"/>
      <c r="AL1079" s="71"/>
      <c r="AM1079" s="71"/>
      <c r="AN1079" s="71"/>
      <c r="AO1079" s="71"/>
      <c r="AP1079" s="71"/>
      <c r="AQ1079" s="71"/>
      <c r="AR1079" s="77"/>
    </row>
    <row r="1080">
      <c r="A1080" s="71"/>
      <c r="B1080" s="71"/>
      <c r="C1080" s="71"/>
      <c r="D1080" s="71"/>
      <c r="E1080" s="71"/>
      <c r="F1080" s="71"/>
      <c r="G1080" s="71"/>
      <c r="H1080" s="71"/>
      <c r="I1080" s="71"/>
      <c r="J1080" s="71"/>
      <c r="K1080" s="71"/>
      <c r="L1080" s="71"/>
      <c r="M1080" s="71"/>
      <c r="N1080" s="71"/>
      <c r="O1080" s="71"/>
      <c r="P1080" s="71"/>
      <c r="Q1080" s="71"/>
      <c r="R1080" s="71"/>
      <c r="S1080" s="71"/>
      <c r="T1080" s="71"/>
      <c r="U1080" s="71"/>
      <c r="V1080" s="71"/>
      <c r="W1080" s="71"/>
      <c r="X1080" s="71"/>
      <c r="Y1080" s="71"/>
      <c r="Z1080" s="71"/>
      <c r="AA1080" s="71"/>
      <c r="AB1080" s="71"/>
      <c r="AC1080" s="71"/>
      <c r="AD1080" s="71"/>
      <c r="AE1080" s="71"/>
      <c r="AF1080" s="71"/>
      <c r="AG1080" s="71"/>
      <c r="AH1080" s="71"/>
      <c r="AI1080" s="71"/>
      <c r="AJ1080" s="71"/>
      <c r="AK1080" s="71"/>
      <c r="AL1080" s="71"/>
      <c r="AM1080" s="71"/>
      <c r="AN1080" s="71"/>
      <c r="AO1080" s="71"/>
      <c r="AP1080" s="71"/>
      <c r="AQ1080" s="71"/>
      <c r="AR1080" s="77"/>
    </row>
    <row r="1081">
      <c r="A1081" s="71"/>
      <c r="B1081" s="71"/>
      <c r="C1081" s="71"/>
      <c r="D1081" s="71"/>
      <c r="E1081" s="71"/>
      <c r="F1081" s="71"/>
      <c r="G1081" s="71"/>
      <c r="H1081" s="71"/>
      <c r="I1081" s="71"/>
      <c r="J1081" s="71"/>
      <c r="K1081" s="71"/>
      <c r="L1081" s="71"/>
      <c r="M1081" s="71"/>
      <c r="N1081" s="71"/>
      <c r="O1081" s="71"/>
      <c r="P1081" s="71"/>
      <c r="Q1081" s="71"/>
      <c r="R1081" s="71"/>
      <c r="S1081" s="71"/>
      <c r="T1081" s="71"/>
      <c r="U1081" s="71"/>
      <c r="V1081" s="71"/>
      <c r="W1081" s="71"/>
      <c r="X1081" s="71"/>
      <c r="Y1081" s="71"/>
      <c r="Z1081" s="71"/>
      <c r="AA1081" s="71"/>
      <c r="AB1081" s="71"/>
      <c r="AC1081" s="71"/>
      <c r="AD1081" s="71"/>
      <c r="AE1081" s="71"/>
      <c r="AF1081" s="71"/>
      <c r="AG1081" s="71"/>
      <c r="AH1081" s="71"/>
      <c r="AI1081" s="71"/>
      <c r="AJ1081" s="71"/>
      <c r="AK1081" s="71"/>
      <c r="AL1081" s="71"/>
      <c r="AM1081" s="71"/>
      <c r="AN1081" s="71"/>
      <c r="AO1081" s="71"/>
      <c r="AP1081" s="71"/>
      <c r="AQ1081" s="71"/>
      <c r="AR1081" s="77"/>
    </row>
    <row r="1082">
      <c r="A1082" s="71"/>
      <c r="B1082" s="71"/>
      <c r="C1082" s="71"/>
      <c r="D1082" s="71"/>
      <c r="E1082" s="71"/>
      <c r="F1082" s="71"/>
      <c r="G1082" s="71"/>
      <c r="H1082" s="71"/>
      <c r="I1082" s="71"/>
      <c r="J1082" s="71"/>
      <c r="K1082" s="71"/>
      <c r="L1082" s="71"/>
      <c r="M1082" s="71"/>
      <c r="N1082" s="71"/>
      <c r="O1082" s="71"/>
      <c r="P1082" s="71"/>
      <c r="Q1082" s="71"/>
      <c r="R1082" s="71"/>
      <c r="S1082" s="71"/>
      <c r="T1082" s="71"/>
      <c r="U1082" s="71"/>
      <c r="V1082" s="71"/>
      <c r="W1082" s="71"/>
      <c r="X1082" s="71"/>
      <c r="Y1082" s="71"/>
      <c r="Z1082" s="71"/>
      <c r="AA1082" s="71"/>
      <c r="AB1082" s="71"/>
      <c r="AC1082" s="71"/>
      <c r="AD1082" s="71"/>
      <c r="AE1082" s="71"/>
      <c r="AF1082" s="71"/>
      <c r="AG1082" s="71"/>
      <c r="AH1082" s="71"/>
      <c r="AI1082" s="71"/>
      <c r="AJ1082" s="71"/>
      <c r="AK1082" s="71"/>
      <c r="AL1082" s="71"/>
      <c r="AM1082" s="71"/>
      <c r="AN1082" s="71"/>
      <c r="AO1082" s="71"/>
      <c r="AP1082" s="71"/>
      <c r="AQ1082" s="71"/>
      <c r="AR1082" s="77"/>
    </row>
    <row r="1083">
      <c r="A1083" s="71"/>
      <c r="B1083" s="71"/>
      <c r="C1083" s="71"/>
      <c r="D1083" s="71"/>
      <c r="E1083" s="71"/>
      <c r="F1083" s="71"/>
      <c r="G1083" s="71"/>
      <c r="H1083" s="71"/>
      <c r="I1083" s="71"/>
      <c r="J1083" s="71"/>
      <c r="K1083" s="71"/>
      <c r="L1083" s="71"/>
      <c r="M1083" s="71"/>
      <c r="N1083" s="71"/>
      <c r="O1083" s="71"/>
      <c r="P1083" s="71"/>
      <c r="Q1083" s="71"/>
      <c r="R1083" s="71"/>
      <c r="S1083" s="71"/>
      <c r="T1083" s="71"/>
      <c r="U1083" s="71"/>
      <c r="V1083" s="71"/>
      <c r="W1083" s="71"/>
      <c r="X1083" s="71"/>
      <c r="Y1083" s="71"/>
      <c r="Z1083" s="71"/>
      <c r="AA1083" s="71"/>
      <c r="AB1083" s="71"/>
      <c r="AC1083" s="71"/>
      <c r="AD1083" s="71"/>
      <c r="AE1083" s="71"/>
      <c r="AF1083" s="71"/>
      <c r="AG1083" s="71"/>
      <c r="AH1083" s="71"/>
      <c r="AI1083" s="71"/>
      <c r="AJ1083" s="71"/>
      <c r="AK1083" s="71"/>
      <c r="AL1083" s="71"/>
      <c r="AM1083" s="71"/>
      <c r="AN1083" s="71"/>
      <c r="AO1083" s="71"/>
      <c r="AP1083" s="71"/>
      <c r="AQ1083" s="71"/>
      <c r="AR1083" s="77"/>
    </row>
    <row r="1084">
      <c r="A1084" s="71"/>
      <c r="B1084" s="71"/>
      <c r="C1084" s="71"/>
      <c r="D1084" s="71"/>
      <c r="E1084" s="71"/>
      <c r="F1084" s="71"/>
      <c r="G1084" s="71"/>
      <c r="H1084" s="71"/>
      <c r="I1084" s="71"/>
      <c r="J1084" s="71"/>
      <c r="K1084" s="71"/>
      <c r="L1084" s="71"/>
      <c r="M1084" s="71"/>
      <c r="N1084" s="71"/>
      <c r="O1084" s="71"/>
      <c r="P1084" s="71"/>
      <c r="Q1084" s="71"/>
      <c r="R1084" s="71"/>
      <c r="S1084" s="71"/>
      <c r="T1084" s="71"/>
      <c r="U1084" s="71"/>
      <c r="V1084" s="71"/>
      <c r="W1084" s="71"/>
      <c r="X1084" s="71"/>
      <c r="Y1084" s="71"/>
      <c r="Z1084" s="71"/>
      <c r="AA1084" s="71"/>
      <c r="AB1084" s="71"/>
      <c r="AC1084" s="71"/>
      <c r="AD1084" s="71"/>
      <c r="AE1084" s="71"/>
      <c r="AF1084" s="71"/>
      <c r="AG1084" s="71"/>
      <c r="AH1084" s="71"/>
      <c r="AI1084" s="71"/>
      <c r="AJ1084" s="71"/>
      <c r="AK1084" s="71"/>
      <c r="AL1084" s="71"/>
      <c r="AM1084" s="71"/>
      <c r="AN1084" s="71"/>
      <c r="AO1084" s="71"/>
      <c r="AP1084" s="71"/>
      <c r="AQ1084" s="71"/>
      <c r="AR1084" s="77"/>
    </row>
    <row r="1085">
      <c r="A1085" s="71"/>
      <c r="B1085" s="71"/>
      <c r="C1085" s="71"/>
      <c r="D1085" s="71"/>
      <c r="E1085" s="71"/>
      <c r="F1085" s="71"/>
      <c r="G1085" s="71"/>
      <c r="H1085" s="71"/>
      <c r="I1085" s="71"/>
      <c r="J1085" s="71"/>
      <c r="K1085" s="71"/>
      <c r="L1085" s="71"/>
      <c r="M1085" s="71"/>
      <c r="N1085" s="71"/>
      <c r="O1085" s="71"/>
      <c r="P1085" s="71"/>
      <c r="Q1085" s="71"/>
      <c r="R1085" s="71"/>
      <c r="S1085" s="71"/>
      <c r="T1085" s="71"/>
      <c r="U1085" s="71"/>
      <c r="V1085" s="71"/>
      <c r="W1085" s="71"/>
      <c r="X1085" s="71"/>
      <c r="Y1085" s="71"/>
      <c r="Z1085" s="71"/>
      <c r="AA1085" s="71"/>
      <c r="AB1085" s="71"/>
      <c r="AC1085" s="71"/>
      <c r="AD1085" s="71"/>
      <c r="AE1085" s="71"/>
      <c r="AF1085" s="71"/>
      <c r="AG1085" s="71"/>
      <c r="AH1085" s="71"/>
      <c r="AI1085" s="71"/>
      <c r="AJ1085" s="71"/>
      <c r="AK1085" s="71"/>
      <c r="AL1085" s="71"/>
      <c r="AM1085" s="71"/>
      <c r="AN1085" s="71"/>
      <c r="AO1085" s="71"/>
      <c r="AP1085" s="71"/>
      <c r="AQ1085" s="71"/>
      <c r="AR1085" s="77"/>
    </row>
    <row r="1086">
      <c r="A1086" s="71"/>
      <c r="B1086" s="71"/>
      <c r="C1086" s="71"/>
      <c r="D1086" s="71"/>
      <c r="E1086" s="71"/>
      <c r="F1086" s="71"/>
      <c r="G1086" s="71"/>
      <c r="H1086" s="71"/>
      <c r="I1086" s="71"/>
      <c r="J1086" s="71"/>
      <c r="K1086" s="71"/>
      <c r="L1086" s="71"/>
      <c r="M1086" s="71"/>
      <c r="N1086" s="71"/>
      <c r="O1086" s="71"/>
      <c r="P1086" s="71"/>
      <c r="Q1086" s="71"/>
      <c r="R1086" s="71"/>
      <c r="S1086" s="71"/>
      <c r="T1086" s="71"/>
      <c r="U1086" s="71"/>
      <c r="V1086" s="71"/>
      <c r="W1086" s="71"/>
      <c r="X1086" s="71"/>
      <c r="Y1086" s="71"/>
      <c r="Z1086" s="71"/>
      <c r="AA1086" s="71"/>
      <c r="AB1086" s="71"/>
      <c r="AC1086" s="71"/>
      <c r="AD1086" s="71"/>
      <c r="AE1086" s="71"/>
      <c r="AF1086" s="71"/>
      <c r="AG1086" s="71"/>
      <c r="AH1086" s="71"/>
      <c r="AI1086" s="71"/>
      <c r="AJ1086" s="71"/>
      <c r="AK1086" s="71"/>
      <c r="AL1086" s="71"/>
      <c r="AM1086" s="71"/>
      <c r="AN1086" s="71"/>
      <c r="AO1086" s="71"/>
      <c r="AP1086" s="71"/>
      <c r="AQ1086" s="71"/>
      <c r="AR1086" s="77"/>
    </row>
    <row r="1087">
      <c r="A1087" s="71"/>
      <c r="B1087" s="71"/>
      <c r="C1087" s="71"/>
      <c r="D1087" s="71"/>
      <c r="E1087" s="71"/>
      <c r="F1087" s="71"/>
      <c r="G1087" s="71"/>
      <c r="H1087" s="71"/>
      <c r="I1087" s="71"/>
      <c r="J1087" s="71"/>
      <c r="K1087" s="71"/>
      <c r="L1087" s="71"/>
      <c r="M1087" s="71"/>
      <c r="N1087" s="71"/>
      <c r="O1087" s="71"/>
      <c r="P1087" s="71"/>
      <c r="Q1087" s="71"/>
      <c r="R1087" s="71"/>
      <c r="S1087" s="71"/>
      <c r="T1087" s="71"/>
      <c r="U1087" s="71"/>
      <c r="V1087" s="71"/>
      <c r="W1087" s="71"/>
      <c r="X1087" s="71"/>
      <c r="Y1087" s="71"/>
      <c r="Z1087" s="71"/>
      <c r="AA1087" s="71"/>
      <c r="AB1087" s="71"/>
      <c r="AC1087" s="71"/>
      <c r="AD1087" s="71"/>
      <c r="AE1087" s="71"/>
      <c r="AF1087" s="71"/>
      <c r="AG1087" s="71"/>
      <c r="AH1087" s="71"/>
      <c r="AI1087" s="71"/>
      <c r="AJ1087" s="71"/>
      <c r="AK1087" s="71"/>
      <c r="AL1087" s="71"/>
      <c r="AM1087" s="71"/>
      <c r="AN1087" s="71"/>
      <c r="AO1087" s="71"/>
      <c r="AP1087" s="71"/>
      <c r="AQ1087" s="71"/>
      <c r="AR1087" s="77"/>
    </row>
    <row r="1088">
      <c r="A1088" s="71"/>
      <c r="B1088" s="71"/>
      <c r="C1088" s="71"/>
      <c r="D1088" s="71"/>
      <c r="E1088" s="71"/>
      <c r="F1088" s="71"/>
      <c r="G1088" s="71"/>
      <c r="H1088" s="71"/>
      <c r="I1088" s="71"/>
      <c r="J1088" s="71"/>
      <c r="K1088" s="71"/>
      <c r="L1088" s="71"/>
      <c r="M1088" s="71"/>
      <c r="N1088" s="71"/>
      <c r="O1088" s="71"/>
      <c r="P1088" s="71"/>
      <c r="Q1088" s="71"/>
      <c r="R1088" s="71"/>
      <c r="S1088" s="71"/>
      <c r="T1088" s="71"/>
      <c r="U1088" s="71"/>
      <c r="V1088" s="71"/>
      <c r="W1088" s="71"/>
      <c r="X1088" s="71"/>
      <c r="Y1088" s="71"/>
      <c r="Z1088" s="71"/>
      <c r="AA1088" s="71"/>
      <c r="AB1088" s="71"/>
      <c r="AC1088" s="71"/>
      <c r="AD1088" s="71"/>
      <c r="AE1088" s="71"/>
      <c r="AF1088" s="71"/>
      <c r="AG1088" s="71"/>
      <c r="AH1088" s="71"/>
      <c r="AI1088" s="71"/>
      <c r="AJ1088" s="71"/>
      <c r="AK1088" s="71"/>
      <c r="AL1088" s="71"/>
      <c r="AM1088" s="71"/>
      <c r="AN1088" s="71"/>
      <c r="AO1088" s="71"/>
      <c r="AP1088" s="71"/>
      <c r="AQ1088" s="71"/>
      <c r="AR1088" s="77"/>
    </row>
    <row r="1089">
      <c r="A1089" s="71"/>
      <c r="B1089" s="71"/>
      <c r="C1089" s="71"/>
      <c r="D1089" s="71"/>
      <c r="E1089" s="71"/>
      <c r="F1089" s="71"/>
      <c r="G1089" s="71"/>
      <c r="H1089" s="71"/>
      <c r="I1089" s="71"/>
      <c r="J1089" s="71"/>
      <c r="K1089" s="71"/>
      <c r="L1089" s="71"/>
      <c r="M1089" s="71"/>
      <c r="N1089" s="71"/>
      <c r="O1089" s="71"/>
      <c r="P1089" s="71"/>
      <c r="Q1089" s="71"/>
      <c r="R1089" s="71"/>
      <c r="S1089" s="71"/>
      <c r="T1089" s="71"/>
      <c r="U1089" s="71"/>
      <c r="V1089" s="71"/>
      <c r="W1089" s="71"/>
      <c r="X1089" s="71"/>
      <c r="Y1089" s="71"/>
      <c r="Z1089" s="71"/>
      <c r="AA1089" s="71"/>
      <c r="AB1089" s="71"/>
      <c r="AC1089" s="71"/>
      <c r="AD1089" s="71"/>
      <c r="AE1089" s="71"/>
      <c r="AF1089" s="71"/>
      <c r="AG1089" s="71"/>
      <c r="AH1089" s="71"/>
      <c r="AI1089" s="71"/>
      <c r="AJ1089" s="71"/>
      <c r="AK1089" s="71"/>
      <c r="AL1089" s="71"/>
      <c r="AM1089" s="71"/>
      <c r="AN1089" s="71"/>
      <c r="AO1089" s="71"/>
      <c r="AP1089" s="71"/>
      <c r="AQ1089" s="71"/>
      <c r="AR1089" s="77"/>
    </row>
    <row r="1090">
      <c r="A1090" s="71"/>
      <c r="B1090" s="71"/>
      <c r="C1090" s="71"/>
      <c r="D1090" s="71"/>
      <c r="E1090" s="71"/>
      <c r="F1090" s="71"/>
      <c r="G1090" s="71"/>
      <c r="H1090" s="71"/>
      <c r="I1090" s="71"/>
      <c r="J1090" s="71"/>
      <c r="K1090" s="71"/>
      <c r="L1090" s="71"/>
      <c r="M1090" s="71"/>
      <c r="N1090" s="71"/>
      <c r="O1090" s="71"/>
      <c r="P1090" s="71"/>
      <c r="Q1090" s="71"/>
      <c r="R1090" s="71"/>
      <c r="S1090" s="71"/>
      <c r="T1090" s="71"/>
      <c r="U1090" s="71"/>
      <c r="V1090" s="71"/>
      <c r="W1090" s="71"/>
      <c r="X1090" s="71"/>
      <c r="Y1090" s="71"/>
      <c r="Z1090" s="71"/>
      <c r="AA1090" s="71"/>
      <c r="AB1090" s="71"/>
      <c r="AC1090" s="71"/>
      <c r="AD1090" s="71"/>
      <c r="AE1090" s="71"/>
      <c r="AF1090" s="71"/>
      <c r="AG1090" s="71"/>
      <c r="AH1090" s="71"/>
      <c r="AI1090" s="71"/>
      <c r="AJ1090" s="71"/>
      <c r="AK1090" s="71"/>
      <c r="AL1090" s="71"/>
      <c r="AM1090" s="71"/>
      <c r="AN1090" s="71"/>
      <c r="AO1090" s="71"/>
      <c r="AP1090" s="71"/>
      <c r="AQ1090" s="71"/>
      <c r="AR1090" s="77"/>
    </row>
    <row r="1091">
      <c r="A1091" s="71"/>
      <c r="B1091" s="71"/>
      <c r="C1091" s="71"/>
      <c r="D1091" s="71"/>
      <c r="E1091" s="71"/>
      <c r="F1091" s="71"/>
      <c r="G1091" s="71"/>
      <c r="H1091" s="71"/>
      <c r="I1091" s="71"/>
      <c r="J1091" s="71"/>
      <c r="K1091" s="71"/>
      <c r="L1091" s="71"/>
      <c r="M1091" s="71"/>
      <c r="N1091" s="71"/>
      <c r="O1091" s="71"/>
      <c r="P1091" s="71"/>
      <c r="Q1091" s="71"/>
      <c r="R1091" s="71"/>
      <c r="S1091" s="71"/>
      <c r="T1091" s="71"/>
      <c r="U1091" s="71"/>
      <c r="V1091" s="71"/>
      <c r="W1091" s="71"/>
      <c r="X1091" s="71"/>
      <c r="Y1091" s="71"/>
      <c r="Z1091" s="71"/>
      <c r="AA1091" s="71"/>
      <c r="AB1091" s="71"/>
      <c r="AC1091" s="71"/>
      <c r="AD1091" s="71"/>
      <c r="AE1091" s="71"/>
      <c r="AF1091" s="71"/>
      <c r="AG1091" s="71"/>
      <c r="AH1091" s="71"/>
      <c r="AI1091" s="71"/>
      <c r="AJ1091" s="71"/>
      <c r="AK1091" s="71"/>
      <c r="AL1091" s="71"/>
      <c r="AM1091" s="71"/>
      <c r="AN1091" s="71"/>
      <c r="AO1091" s="71"/>
      <c r="AP1091" s="71"/>
      <c r="AQ1091" s="71"/>
      <c r="AR1091" s="77"/>
    </row>
    <row r="1092">
      <c r="A1092" s="71"/>
      <c r="B1092" s="71"/>
      <c r="C1092" s="71"/>
      <c r="D1092" s="71"/>
      <c r="E1092" s="71"/>
      <c r="F1092" s="71"/>
      <c r="G1092" s="71"/>
      <c r="H1092" s="71"/>
      <c r="I1092" s="71"/>
      <c r="J1092" s="71"/>
      <c r="K1092" s="71"/>
      <c r="L1092" s="71"/>
      <c r="M1092" s="71"/>
      <c r="N1092" s="71"/>
      <c r="O1092" s="71"/>
      <c r="P1092" s="71"/>
      <c r="Q1092" s="71"/>
      <c r="R1092" s="71"/>
      <c r="S1092" s="71"/>
      <c r="T1092" s="71"/>
      <c r="U1092" s="71"/>
      <c r="V1092" s="71"/>
      <c r="W1092" s="71"/>
      <c r="X1092" s="71"/>
      <c r="Y1092" s="71"/>
      <c r="Z1092" s="71"/>
      <c r="AA1092" s="71"/>
      <c r="AB1092" s="71"/>
      <c r="AC1092" s="71"/>
      <c r="AD1092" s="71"/>
      <c r="AE1092" s="71"/>
      <c r="AF1092" s="71"/>
      <c r="AG1092" s="71"/>
      <c r="AH1092" s="71"/>
      <c r="AI1092" s="71"/>
      <c r="AJ1092" s="71"/>
      <c r="AK1092" s="71"/>
      <c r="AL1092" s="71"/>
      <c r="AM1092" s="71"/>
      <c r="AN1092" s="71"/>
      <c r="AO1092" s="71"/>
      <c r="AP1092" s="71"/>
      <c r="AQ1092" s="71"/>
      <c r="AR1092" s="77"/>
    </row>
    <row r="1093">
      <c r="A1093" s="71"/>
      <c r="B1093" s="71"/>
      <c r="C1093" s="71"/>
      <c r="D1093" s="71"/>
      <c r="E1093" s="71"/>
      <c r="F1093" s="71"/>
      <c r="G1093" s="71"/>
      <c r="H1093" s="71"/>
      <c r="I1093" s="71"/>
      <c r="J1093" s="71"/>
      <c r="K1093" s="71"/>
      <c r="L1093" s="71"/>
      <c r="M1093" s="71"/>
      <c r="N1093" s="71"/>
      <c r="O1093" s="71"/>
      <c r="P1093" s="71"/>
      <c r="Q1093" s="71"/>
      <c r="R1093" s="71"/>
      <c r="S1093" s="71"/>
      <c r="T1093" s="71"/>
      <c r="U1093" s="71"/>
      <c r="V1093" s="71"/>
      <c r="W1093" s="71"/>
      <c r="X1093" s="71"/>
      <c r="Y1093" s="71"/>
      <c r="Z1093" s="71"/>
      <c r="AA1093" s="71"/>
      <c r="AB1093" s="71"/>
      <c r="AC1093" s="71"/>
      <c r="AD1093" s="71"/>
      <c r="AE1093" s="71"/>
      <c r="AF1093" s="71"/>
      <c r="AG1093" s="71"/>
      <c r="AH1093" s="71"/>
      <c r="AI1093" s="71"/>
      <c r="AJ1093" s="71"/>
      <c r="AK1093" s="71"/>
      <c r="AL1093" s="71"/>
      <c r="AM1093" s="71"/>
      <c r="AN1093" s="71"/>
      <c r="AO1093" s="71"/>
      <c r="AP1093" s="71"/>
      <c r="AQ1093" s="71"/>
      <c r="AR1093" s="77"/>
    </row>
    <row r="1094">
      <c r="A1094" s="71"/>
      <c r="B1094" s="71"/>
      <c r="C1094" s="71"/>
      <c r="D1094" s="71"/>
      <c r="E1094" s="71"/>
      <c r="F1094" s="71"/>
      <c r="G1094" s="71"/>
      <c r="H1094" s="71"/>
      <c r="I1094" s="71"/>
      <c r="J1094" s="71"/>
      <c r="K1094" s="71"/>
      <c r="L1094" s="71"/>
      <c r="M1094" s="71"/>
      <c r="N1094" s="71"/>
      <c r="O1094" s="71"/>
      <c r="P1094" s="71"/>
      <c r="Q1094" s="71"/>
      <c r="R1094" s="71"/>
      <c r="S1094" s="71"/>
      <c r="T1094" s="71"/>
      <c r="U1094" s="71"/>
      <c r="V1094" s="71"/>
      <c r="W1094" s="71"/>
      <c r="X1094" s="71"/>
      <c r="Y1094" s="71"/>
      <c r="Z1094" s="71"/>
      <c r="AA1094" s="71"/>
      <c r="AB1094" s="71"/>
      <c r="AC1094" s="71"/>
      <c r="AD1094" s="71"/>
      <c r="AE1094" s="71"/>
      <c r="AF1094" s="71"/>
      <c r="AG1094" s="71"/>
      <c r="AH1094" s="71"/>
      <c r="AI1094" s="71"/>
      <c r="AJ1094" s="71"/>
      <c r="AK1094" s="71"/>
      <c r="AL1094" s="71"/>
      <c r="AM1094" s="71"/>
      <c r="AN1094" s="71"/>
      <c r="AO1094" s="71"/>
      <c r="AP1094" s="71"/>
      <c r="AQ1094" s="71"/>
      <c r="AR1094" s="77"/>
    </row>
    <row r="1095">
      <c r="A1095" s="71"/>
      <c r="B1095" s="71"/>
      <c r="C1095" s="71"/>
      <c r="D1095" s="71"/>
      <c r="E1095" s="71"/>
      <c r="F1095" s="71"/>
      <c r="G1095" s="71"/>
      <c r="H1095" s="71"/>
      <c r="I1095" s="71"/>
      <c r="J1095" s="71"/>
      <c r="K1095" s="71"/>
      <c r="L1095" s="71"/>
      <c r="M1095" s="71"/>
      <c r="N1095" s="71"/>
      <c r="O1095" s="71"/>
      <c r="P1095" s="71"/>
      <c r="Q1095" s="71"/>
      <c r="R1095" s="71"/>
      <c r="S1095" s="71"/>
      <c r="T1095" s="71"/>
      <c r="U1095" s="71"/>
      <c r="V1095" s="71"/>
      <c r="W1095" s="71"/>
      <c r="X1095" s="71"/>
      <c r="Y1095" s="71"/>
      <c r="Z1095" s="71"/>
      <c r="AA1095" s="71"/>
      <c r="AB1095" s="71"/>
      <c r="AC1095" s="71"/>
      <c r="AD1095" s="71"/>
      <c r="AE1095" s="71"/>
      <c r="AF1095" s="71"/>
      <c r="AG1095" s="71"/>
      <c r="AH1095" s="71"/>
      <c r="AI1095" s="71"/>
      <c r="AJ1095" s="71"/>
      <c r="AK1095" s="71"/>
      <c r="AL1095" s="71"/>
      <c r="AM1095" s="71"/>
      <c r="AN1095" s="71"/>
      <c r="AO1095" s="71"/>
      <c r="AP1095" s="71"/>
      <c r="AQ1095" s="71"/>
      <c r="AR1095" s="77"/>
    </row>
    <row r="1096">
      <c r="A1096" s="71"/>
      <c r="B1096" s="71"/>
      <c r="C1096" s="71"/>
      <c r="D1096" s="71"/>
      <c r="E1096" s="71"/>
      <c r="F1096" s="71"/>
      <c r="G1096" s="71"/>
      <c r="H1096" s="71"/>
      <c r="I1096" s="71"/>
      <c r="J1096" s="71"/>
      <c r="K1096" s="71"/>
      <c r="L1096" s="71"/>
      <c r="M1096" s="71"/>
      <c r="N1096" s="71"/>
      <c r="O1096" s="71"/>
      <c r="P1096" s="71"/>
      <c r="Q1096" s="71"/>
      <c r="R1096" s="71"/>
      <c r="S1096" s="71"/>
      <c r="T1096" s="71"/>
      <c r="U1096" s="71"/>
      <c r="V1096" s="71"/>
      <c r="W1096" s="71"/>
      <c r="X1096" s="71"/>
      <c r="Y1096" s="71"/>
      <c r="Z1096" s="71"/>
      <c r="AA1096" s="71"/>
      <c r="AB1096" s="71"/>
      <c r="AC1096" s="71"/>
      <c r="AD1096" s="71"/>
      <c r="AE1096" s="71"/>
      <c r="AF1096" s="71"/>
      <c r="AG1096" s="71"/>
      <c r="AH1096" s="71"/>
      <c r="AI1096" s="71"/>
      <c r="AJ1096" s="71"/>
      <c r="AK1096" s="71"/>
      <c r="AL1096" s="71"/>
      <c r="AM1096" s="71"/>
      <c r="AN1096" s="71"/>
      <c r="AO1096" s="71"/>
      <c r="AP1096" s="71"/>
      <c r="AQ1096" s="71"/>
      <c r="AR1096" s="77"/>
    </row>
    <row r="1097">
      <c r="A1097" s="71"/>
      <c r="B1097" s="71"/>
      <c r="C1097" s="71"/>
      <c r="D1097" s="71"/>
      <c r="E1097" s="71"/>
      <c r="F1097" s="71"/>
      <c r="G1097" s="71"/>
      <c r="H1097" s="71"/>
      <c r="I1097" s="71"/>
      <c r="J1097" s="71"/>
      <c r="K1097" s="71"/>
      <c r="L1097" s="71"/>
      <c r="M1097" s="71"/>
      <c r="N1097" s="71"/>
      <c r="O1097" s="71"/>
      <c r="P1097" s="71"/>
      <c r="Q1097" s="71"/>
      <c r="R1097" s="71"/>
      <c r="S1097" s="71"/>
      <c r="T1097" s="71"/>
      <c r="U1097" s="71"/>
      <c r="V1097" s="71"/>
      <c r="W1097" s="71"/>
      <c r="X1097" s="71"/>
      <c r="Y1097" s="71"/>
      <c r="Z1097" s="71"/>
      <c r="AA1097" s="71"/>
      <c r="AB1097" s="71"/>
      <c r="AC1097" s="71"/>
      <c r="AD1097" s="71"/>
      <c r="AE1097" s="71"/>
      <c r="AF1097" s="71"/>
      <c r="AG1097" s="71"/>
      <c r="AH1097" s="71"/>
      <c r="AI1097" s="71"/>
      <c r="AJ1097" s="71"/>
      <c r="AK1097" s="71"/>
      <c r="AL1097" s="71"/>
      <c r="AM1097" s="71"/>
      <c r="AN1097" s="71"/>
      <c r="AO1097" s="71"/>
      <c r="AP1097" s="71"/>
      <c r="AQ1097" s="71"/>
      <c r="AR1097" s="77"/>
    </row>
    <row r="1098">
      <c r="A1098" s="71"/>
      <c r="B1098" s="71"/>
      <c r="C1098" s="71"/>
      <c r="D1098" s="71"/>
      <c r="E1098" s="71"/>
      <c r="F1098" s="71"/>
      <c r="G1098" s="71"/>
      <c r="H1098" s="71"/>
      <c r="I1098" s="71"/>
      <c r="J1098" s="71"/>
      <c r="K1098" s="71"/>
      <c r="L1098" s="71"/>
      <c r="M1098" s="71"/>
      <c r="N1098" s="71"/>
      <c r="O1098" s="71"/>
      <c r="P1098" s="71"/>
      <c r="Q1098" s="71"/>
      <c r="R1098" s="71"/>
      <c r="S1098" s="71"/>
      <c r="T1098" s="71"/>
      <c r="U1098" s="71"/>
      <c r="V1098" s="71"/>
      <c r="W1098" s="71"/>
      <c r="X1098" s="71"/>
      <c r="Y1098" s="71"/>
      <c r="Z1098" s="71"/>
      <c r="AA1098" s="71"/>
      <c r="AB1098" s="71"/>
      <c r="AC1098" s="71"/>
      <c r="AD1098" s="71"/>
      <c r="AE1098" s="71"/>
      <c r="AF1098" s="71"/>
      <c r="AG1098" s="71"/>
      <c r="AH1098" s="71"/>
      <c r="AI1098" s="71"/>
      <c r="AJ1098" s="71"/>
      <c r="AK1098" s="71"/>
      <c r="AL1098" s="71"/>
      <c r="AM1098" s="71"/>
      <c r="AN1098" s="71"/>
      <c r="AO1098" s="71"/>
      <c r="AP1098" s="71"/>
      <c r="AQ1098" s="71"/>
      <c r="AR1098" s="77"/>
    </row>
    <row r="1099">
      <c r="A1099" s="71"/>
      <c r="B1099" s="71"/>
      <c r="C1099" s="71"/>
      <c r="D1099" s="71"/>
      <c r="E1099" s="71"/>
      <c r="F1099" s="71"/>
      <c r="G1099" s="71"/>
      <c r="H1099" s="71"/>
      <c r="I1099" s="71"/>
      <c r="J1099" s="71"/>
      <c r="K1099" s="71"/>
      <c r="L1099" s="71"/>
      <c r="M1099" s="71"/>
      <c r="N1099" s="71"/>
      <c r="O1099" s="71"/>
      <c r="P1099" s="71"/>
      <c r="Q1099" s="71"/>
      <c r="R1099" s="71"/>
      <c r="S1099" s="71"/>
      <c r="T1099" s="71"/>
      <c r="U1099" s="71"/>
      <c r="V1099" s="71"/>
      <c r="W1099" s="71"/>
      <c r="X1099" s="71"/>
      <c r="Y1099" s="71"/>
      <c r="Z1099" s="71"/>
      <c r="AA1099" s="71"/>
      <c r="AB1099" s="71"/>
      <c r="AC1099" s="71"/>
      <c r="AD1099" s="71"/>
      <c r="AE1099" s="71"/>
      <c r="AF1099" s="71"/>
      <c r="AG1099" s="71"/>
      <c r="AH1099" s="71"/>
      <c r="AI1099" s="71"/>
      <c r="AJ1099" s="71"/>
      <c r="AK1099" s="71"/>
      <c r="AL1099" s="71"/>
      <c r="AM1099" s="71"/>
      <c r="AN1099" s="71"/>
      <c r="AO1099" s="71"/>
      <c r="AP1099" s="71"/>
      <c r="AQ1099" s="71"/>
      <c r="AR1099" s="77"/>
    </row>
    <row r="1100">
      <c r="A1100" s="71"/>
      <c r="B1100" s="71"/>
      <c r="C1100" s="71"/>
      <c r="D1100" s="71"/>
      <c r="E1100" s="71"/>
      <c r="F1100" s="71"/>
      <c r="G1100" s="71"/>
      <c r="H1100" s="71"/>
      <c r="I1100" s="71"/>
      <c r="J1100" s="71"/>
      <c r="K1100" s="71"/>
      <c r="L1100" s="71"/>
      <c r="M1100" s="71"/>
      <c r="N1100" s="71"/>
      <c r="O1100" s="71"/>
      <c r="P1100" s="71"/>
      <c r="Q1100" s="71"/>
      <c r="R1100" s="71"/>
      <c r="S1100" s="71"/>
      <c r="T1100" s="71"/>
      <c r="U1100" s="71"/>
      <c r="V1100" s="71"/>
      <c r="W1100" s="71"/>
      <c r="X1100" s="71"/>
      <c r="Y1100" s="71"/>
      <c r="Z1100" s="71"/>
      <c r="AA1100" s="71"/>
      <c r="AB1100" s="71"/>
      <c r="AC1100" s="71"/>
      <c r="AD1100" s="71"/>
      <c r="AE1100" s="71"/>
      <c r="AF1100" s="71"/>
      <c r="AG1100" s="71"/>
      <c r="AH1100" s="71"/>
      <c r="AI1100" s="71"/>
      <c r="AJ1100" s="71"/>
      <c r="AK1100" s="71"/>
      <c r="AL1100" s="71"/>
      <c r="AM1100" s="71"/>
      <c r="AN1100" s="71"/>
      <c r="AO1100" s="71"/>
      <c r="AP1100" s="71"/>
      <c r="AQ1100" s="71"/>
      <c r="AR1100" s="77"/>
    </row>
    <row r="1101">
      <c r="A1101" s="71"/>
      <c r="B1101" s="71"/>
      <c r="C1101" s="71"/>
      <c r="D1101" s="71"/>
      <c r="E1101" s="71"/>
      <c r="F1101" s="71"/>
      <c r="G1101" s="71"/>
      <c r="H1101" s="71"/>
      <c r="I1101" s="71"/>
      <c r="J1101" s="71"/>
      <c r="K1101" s="71"/>
      <c r="L1101" s="71"/>
      <c r="M1101" s="71"/>
      <c r="N1101" s="71"/>
      <c r="O1101" s="71"/>
      <c r="P1101" s="71"/>
      <c r="Q1101" s="71"/>
      <c r="R1101" s="71"/>
      <c r="S1101" s="71"/>
      <c r="T1101" s="71"/>
      <c r="U1101" s="71"/>
      <c r="V1101" s="71"/>
      <c r="W1101" s="71"/>
      <c r="X1101" s="71"/>
      <c r="Y1101" s="71"/>
      <c r="Z1101" s="71"/>
      <c r="AA1101" s="71"/>
      <c r="AB1101" s="71"/>
      <c r="AC1101" s="71"/>
      <c r="AD1101" s="71"/>
      <c r="AE1101" s="71"/>
      <c r="AF1101" s="71"/>
      <c r="AG1101" s="71"/>
      <c r="AH1101" s="71"/>
      <c r="AI1101" s="71"/>
      <c r="AJ1101" s="71"/>
      <c r="AK1101" s="71"/>
      <c r="AL1101" s="71"/>
      <c r="AM1101" s="71"/>
      <c r="AN1101" s="71"/>
      <c r="AO1101" s="71"/>
      <c r="AP1101" s="71"/>
      <c r="AQ1101" s="71"/>
      <c r="AR1101" s="77"/>
    </row>
    <row r="1102">
      <c r="A1102" s="71"/>
      <c r="B1102" s="71"/>
      <c r="C1102" s="71"/>
      <c r="D1102" s="71"/>
      <c r="E1102" s="71"/>
      <c r="F1102" s="71"/>
      <c r="G1102" s="71"/>
      <c r="H1102" s="71"/>
      <c r="I1102" s="71"/>
      <c r="J1102" s="71"/>
      <c r="K1102" s="71"/>
      <c r="L1102" s="71"/>
      <c r="M1102" s="71"/>
      <c r="N1102" s="71"/>
      <c r="O1102" s="71"/>
      <c r="P1102" s="71"/>
      <c r="Q1102" s="71"/>
      <c r="R1102" s="71"/>
      <c r="S1102" s="71"/>
      <c r="T1102" s="71"/>
      <c r="U1102" s="71"/>
      <c r="V1102" s="71"/>
      <c r="W1102" s="71"/>
      <c r="X1102" s="71"/>
      <c r="Y1102" s="71"/>
      <c r="Z1102" s="71"/>
      <c r="AA1102" s="71"/>
      <c r="AB1102" s="71"/>
      <c r="AC1102" s="71"/>
      <c r="AD1102" s="71"/>
      <c r="AE1102" s="71"/>
      <c r="AF1102" s="71"/>
      <c r="AG1102" s="71"/>
      <c r="AH1102" s="71"/>
      <c r="AI1102" s="71"/>
      <c r="AJ1102" s="71"/>
      <c r="AK1102" s="71"/>
      <c r="AL1102" s="71"/>
      <c r="AM1102" s="71"/>
      <c r="AN1102" s="71"/>
      <c r="AO1102" s="71"/>
      <c r="AP1102" s="71"/>
      <c r="AQ1102" s="71"/>
      <c r="AR1102" s="77"/>
    </row>
    <row r="1103">
      <c r="A1103" s="71"/>
      <c r="B1103" s="71"/>
      <c r="C1103" s="71"/>
      <c r="D1103" s="71"/>
      <c r="E1103" s="71"/>
      <c r="F1103" s="71"/>
      <c r="G1103" s="71"/>
      <c r="H1103" s="71"/>
      <c r="I1103" s="71"/>
      <c r="J1103" s="71"/>
      <c r="K1103" s="71"/>
      <c r="L1103" s="71"/>
      <c r="M1103" s="71"/>
      <c r="N1103" s="71"/>
      <c r="O1103" s="71"/>
      <c r="P1103" s="71"/>
      <c r="Q1103" s="71"/>
      <c r="R1103" s="71"/>
      <c r="S1103" s="71"/>
      <c r="T1103" s="71"/>
      <c r="U1103" s="71"/>
      <c r="V1103" s="71"/>
      <c r="W1103" s="71"/>
      <c r="X1103" s="71"/>
      <c r="Y1103" s="71"/>
      <c r="Z1103" s="71"/>
      <c r="AA1103" s="71"/>
      <c r="AB1103" s="71"/>
      <c r="AC1103" s="71"/>
      <c r="AD1103" s="71"/>
      <c r="AE1103" s="71"/>
      <c r="AF1103" s="71"/>
      <c r="AG1103" s="71"/>
      <c r="AH1103" s="71"/>
      <c r="AI1103" s="71"/>
      <c r="AJ1103" s="71"/>
      <c r="AK1103" s="71"/>
      <c r="AL1103" s="71"/>
      <c r="AM1103" s="71"/>
      <c r="AN1103" s="71"/>
      <c r="AO1103" s="71"/>
      <c r="AP1103" s="71"/>
      <c r="AQ1103" s="71"/>
      <c r="AR1103" s="77"/>
    </row>
    <row r="1104">
      <c r="A1104" s="71"/>
      <c r="B1104" s="71"/>
      <c r="C1104" s="71"/>
      <c r="D1104" s="71"/>
      <c r="E1104" s="71"/>
      <c r="F1104" s="71"/>
      <c r="G1104" s="71"/>
      <c r="H1104" s="71"/>
      <c r="I1104" s="71"/>
      <c r="J1104" s="71"/>
      <c r="K1104" s="71"/>
      <c r="L1104" s="71"/>
      <c r="M1104" s="71"/>
      <c r="N1104" s="71"/>
      <c r="O1104" s="71"/>
      <c r="P1104" s="71"/>
      <c r="Q1104" s="71"/>
      <c r="R1104" s="71"/>
      <c r="S1104" s="71"/>
      <c r="T1104" s="71"/>
      <c r="U1104" s="71"/>
      <c r="V1104" s="71"/>
      <c r="W1104" s="71"/>
      <c r="X1104" s="71"/>
      <c r="Y1104" s="71"/>
      <c r="Z1104" s="71"/>
      <c r="AA1104" s="71"/>
      <c r="AB1104" s="71"/>
      <c r="AC1104" s="71"/>
      <c r="AD1104" s="71"/>
      <c r="AE1104" s="71"/>
      <c r="AF1104" s="71"/>
      <c r="AG1104" s="71"/>
      <c r="AH1104" s="71"/>
      <c r="AI1104" s="71"/>
      <c r="AJ1104" s="71"/>
      <c r="AK1104" s="71"/>
      <c r="AL1104" s="71"/>
      <c r="AM1104" s="71"/>
      <c r="AN1104" s="71"/>
      <c r="AO1104" s="71"/>
      <c r="AP1104" s="71"/>
      <c r="AQ1104" s="71"/>
      <c r="AR1104" s="77"/>
    </row>
    <row r="1105">
      <c r="A1105" s="71"/>
      <c r="B1105" s="71"/>
      <c r="C1105" s="71"/>
      <c r="D1105" s="71"/>
      <c r="E1105" s="71"/>
      <c r="F1105" s="71"/>
      <c r="G1105" s="71"/>
      <c r="H1105" s="71"/>
      <c r="I1105" s="71"/>
      <c r="J1105" s="71"/>
      <c r="K1105" s="71"/>
      <c r="L1105" s="71"/>
      <c r="M1105" s="71"/>
      <c r="N1105" s="71"/>
      <c r="O1105" s="71"/>
      <c r="P1105" s="71"/>
      <c r="Q1105" s="71"/>
      <c r="R1105" s="71"/>
      <c r="S1105" s="71"/>
      <c r="T1105" s="71"/>
      <c r="U1105" s="71"/>
      <c r="V1105" s="71"/>
      <c r="W1105" s="71"/>
      <c r="X1105" s="71"/>
      <c r="Y1105" s="71"/>
      <c r="Z1105" s="71"/>
      <c r="AA1105" s="71"/>
      <c r="AB1105" s="71"/>
      <c r="AC1105" s="71"/>
      <c r="AD1105" s="71"/>
      <c r="AE1105" s="71"/>
      <c r="AF1105" s="71"/>
      <c r="AG1105" s="71"/>
      <c r="AH1105" s="71"/>
      <c r="AI1105" s="71"/>
      <c r="AJ1105" s="71"/>
      <c r="AK1105" s="71"/>
      <c r="AL1105" s="71"/>
      <c r="AM1105" s="71"/>
      <c r="AN1105" s="71"/>
      <c r="AO1105" s="71"/>
      <c r="AP1105" s="71"/>
      <c r="AQ1105" s="71"/>
      <c r="AR1105" s="77"/>
    </row>
    <row r="1106">
      <c r="A1106" s="71"/>
      <c r="B1106" s="71"/>
      <c r="C1106" s="71"/>
      <c r="D1106" s="71"/>
      <c r="E1106" s="71"/>
      <c r="F1106" s="71"/>
      <c r="G1106" s="71"/>
      <c r="H1106" s="71"/>
      <c r="I1106" s="71"/>
      <c r="J1106" s="71"/>
      <c r="K1106" s="71"/>
      <c r="L1106" s="71"/>
      <c r="M1106" s="71"/>
      <c r="N1106" s="71"/>
      <c r="O1106" s="71"/>
      <c r="P1106" s="71"/>
      <c r="Q1106" s="71"/>
      <c r="R1106" s="71"/>
      <c r="S1106" s="71"/>
      <c r="T1106" s="71"/>
      <c r="U1106" s="71"/>
      <c r="V1106" s="71"/>
      <c r="W1106" s="71"/>
      <c r="X1106" s="71"/>
      <c r="Y1106" s="71"/>
      <c r="Z1106" s="71"/>
      <c r="AA1106" s="71"/>
      <c r="AB1106" s="71"/>
      <c r="AC1106" s="71"/>
      <c r="AD1106" s="71"/>
      <c r="AE1106" s="71"/>
      <c r="AF1106" s="71"/>
      <c r="AG1106" s="71"/>
      <c r="AH1106" s="71"/>
      <c r="AI1106" s="71"/>
      <c r="AJ1106" s="71"/>
      <c r="AK1106" s="71"/>
      <c r="AL1106" s="71"/>
      <c r="AM1106" s="71"/>
      <c r="AN1106" s="71"/>
      <c r="AO1106" s="71"/>
      <c r="AP1106" s="71"/>
      <c r="AQ1106" s="71"/>
      <c r="AR1106" s="77"/>
    </row>
    <row r="1107">
      <c r="A1107" s="71"/>
      <c r="B1107" s="71"/>
      <c r="C1107" s="71"/>
      <c r="D1107" s="71"/>
      <c r="E1107" s="71"/>
      <c r="F1107" s="71"/>
      <c r="G1107" s="71"/>
      <c r="H1107" s="71"/>
      <c r="I1107" s="71"/>
      <c r="J1107" s="71"/>
      <c r="K1107" s="71"/>
      <c r="L1107" s="71"/>
      <c r="M1107" s="71"/>
      <c r="N1107" s="71"/>
      <c r="O1107" s="71"/>
      <c r="P1107" s="71"/>
      <c r="Q1107" s="71"/>
      <c r="R1107" s="71"/>
      <c r="S1107" s="71"/>
      <c r="T1107" s="71"/>
      <c r="U1107" s="71"/>
      <c r="V1107" s="71"/>
      <c r="W1107" s="71"/>
      <c r="X1107" s="71"/>
      <c r="Y1107" s="71"/>
      <c r="Z1107" s="71"/>
      <c r="AA1107" s="71"/>
      <c r="AB1107" s="71"/>
      <c r="AC1107" s="71"/>
      <c r="AD1107" s="71"/>
      <c r="AE1107" s="71"/>
      <c r="AF1107" s="71"/>
      <c r="AG1107" s="71"/>
      <c r="AH1107" s="71"/>
      <c r="AI1107" s="71"/>
      <c r="AJ1107" s="71"/>
      <c r="AK1107" s="71"/>
      <c r="AL1107" s="71"/>
      <c r="AM1107" s="71"/>
      <c r="AN1107" s="71"/>
      <c r="AO1107" s="71"/>
      <c r="AP1107" s="71"/>
      <c r="AQ1107" s="71"/>
      <c r="AR1107" s="77"/>
    </row>
    <row r="1108">
      <c r="A1108" s="71"/>
      <c r="B1108" s="71"/>
      <c r="C1108" s="71"/>
      <c r="D1108" s="71"/>
      <c r="E1108" s="71"/>
      <c r="F1108" s="71"/>
      <c r="G1108" s="71"/>
      <c r="H1108" s="71"/>
      <c r="I1108" s="71"/>
      <c r="J1108" s="71"/>
      <c r="K1108" s="71"/>
      <c r="L1108" s="71"/>
      <c r="M1108" s="71"/>
      <c r="N1108" s="71"/>
      <c r="O1108" s="71"/>
      <c r="P1108" s="71"/>
      <c r="Q1108" s="71"/>
      <c r="R1108" s="71"/>
      <c r="S1108" s="71"/>
      <c r="T1108" s="71"/>
      <c r="U1108" s="71"/>
      <c r="V1108" s="71"/>
      <c r="W1108" s="71"/>
      <c r="X1108" s="71"/>
      <c r="Y1108" s="71"/>
      <c r="Z1108" s="71"/>
      <c r="AA1108" s="71"/>
      <c r="AB1108" s="71"/>
      <c r="AC1108" s="71"/>
      <c r="AD1108" s="71"/>
      <c r="AE1108" s="71"/>
      <c r="AF1108" s="71"/>
      <c r="AG1108" s="71"/>
      <c r="AH1108" s="71"/>
      <c r="AI1108" s="71"/>
      <c r="AJ1108" s="71"/>
      <c r="AK1108" s="71"/>
      <c r="AL1108" s="71"/>
      <c r="AM1108" s="71"/>
      <c r="AN1108" s="71"/>
      <c r="AO1108" s="71"/>
      <c r="AP1108" s="71"/>
      <c r="AQ1108" s="71"/>
      <c r="AR1108" s="77"/>
    </row>
    <row r="1109">
      <c r="A1109" s="71"/>
      <c r="B1109" s="71"/>
      <c r="C1109" s="71"/>
      <c r="D1109" s="71"/>
      <c r="E1109" s="71"/>
      <c r="F1109" s="71"/>
      <c r="G1109" s="71"/>
      <c r="H1109" s="71"/>
      <c r="I1109" s="71"/>
      <c r="J1109" s="71"/>
      <c r="K1109" s="71"/>
      <c r="L1109" s="71"/>
      <c r="M1109" s="71"/>
      <c r="N1109" s="71"/>
      <c r="O1109" s="71"/>
      <c r="P1109" s="71"/>
      <c r="Q1109" s="71"/>
      <c r="R1109" s="71"/>
      <c r="S1109" s="71"/>
      <c r="T1109" s="71"/>
      <c r="U1109" s="71"/>
      <c r="V1109" s="71"/>
      <c r="W1109" s="71"/>
      <c r="X1109" s="71"/>
      <c r="Y1109" s="71"/>
      <c r="Z1109" s="71"/>
      <c r="AA1109" s="71"/>
      <c r="AB1109" s="71"/>
      <c r="AC1109" s="71"/>
      <c r="AD1109" s="71"/>
      <c r="AE1109" s="71"/>
      <c r="AF1109" s="71"/>
      <c r="AG1109" s="71"/>
      <c r="AH1109" s="71"/>
      <c r="AI1109" s="71"/>
      <c r="AJ1109" s="71"/>
      <c r="AK1109" s="71"/>
      <c r="AL1109" s="71"/>
      <c r="AM1109" s="71"/>
      <c r="AN1109" s="71"/>
      <c r="AO1109" s="71"/>
      <c r="AP1109" s="71"/>
      <c r="AQ1109" s="71"/>
      <c r="AR1109" s="77"/>
    </row>
    <row r="1110">
      <c r="A1110" s="71"/>
      <c r="B1110" s="71"/>
      <c r="C1110" s="71"/>
      <c r="D1110" s="71"/>
      <c r="E1110" s="71"/>
      <c r="F1110" s="71"/>
      <c r="G1110" s="71"/>
      <c r="H1110" s="71"/>
      <c r="I1110" s="71"/>
      <c r="J1110" s="71"/>
      <c r="K1110" s="71"/>
      <c r="L1110" s="71"/>
      <c r="M1110" s="71"/>
      <c r="N1110" s="71"/>
      <c r="O1110" s="71"/>
      <c r="P1110" s="71"/>
      <c r="Q1110" s="71"/>
      <c r="R1110" s="71"/>
      <c r="S1110" s="71"/>
      <c r="T1110" s="71"/>
      <c r="U1110" s="71"/>
      <c r="V1110" s="71"/>
      <c r="W1110" s="71"/>
      <c r="X1110" s="71"/>
      <c r="Y1110" s="71"/>
      <c r="Z1110" s="71"/>
      <c r="AA1110" s="71"/>
      <c r="AB1110" s="71"/>
      <c r="AC1110" s="71"/>
      <c r="AD1110" s="71"/>
      <c r="AE1110" s="71"/>
      <c r="AF1110" s="71"/>
      <c r="AG1110" s="71"/>
      <c r="AH1110" s="71"/>
      <c r="AI1110" s="71"/>
      <c r="AJ1110" s="71"/>
      <c r="AK1110" s="71"/>
      <c r="AL1110" s="71"/>
      <c r="AM1110" s="71"/>
      <c r="AN1110" s="71"/>
      <c r="AO1110" s="71"/>
      <c r="AP1110" s="71"/>
      <c r="AQ1110" s="71"/>
      <c r="AR1110" s="77"/>
    </row>
    <row r="1111">
      <c r="A1111" s="71"/>
      <c r="B1111" s="71"/>
      <c r="C1111" s="71"/>
      <c r="D1111" s="71"/>
      <c r="E1111" s="71"/>
      <c r="F1111" s="71"/>
      <c r="G1111" s="71"/>
      <c r="H1111" s="71"/>
      <c r="I1111" s="71"/>
      <c r="J1111" s="71"/>
      <c r="K1111" s="71"/>
      <c r="L1111" s="71"/>
      <c r="M1111" s="71"/>
      <c r="N1111" s="71"/>
      <c r="O1111" s="71"/>
      <c r="P1111" s="71"/>
      <c r="Q1111" s="71"/>
      <c r="R1111" s="71"/>
      <c r="S1111" s="71"/>
      <c r="T1111" s="71"/>
      <c r="U1111" s="71"/>
      <c r="V1111" s="71"/>
      <c r="W1111" s="71"/>
      <c r="X1111" s="71"/>
      <c r="Y1111" s="71"/>
      <c r="Z1111" s="71"/>
      <c r="AA1111" s="71"/>
      <c r="AB1111" s="71"/>
      <c r="AC1111" s="71"/>
      <c r="AD1111" s="71"/>
      <c r="AE1111" s="71"/>
      <c r="AF1111" s="71"/>
      <c r="AG1111" s="71"/>
      <c r="AH1111" s="71"/>
      <c r="AI1111" s="71"/>
      <c r="AJ1111" s="71"/>
      <c r="AK1111" s="71"/>
      <c r="AL1111" s="71"/>
      <c r="AM1111" s="71"/>
      <c r="AN1111" s="71"/>
      <c r="AO1111" s="71"/>
      <c r="AP1111" s="71"/>
      <c r="AQ1111" s="71"/>
      <c r="AR1111" s="77"/>
    </row>
    <row r="1112">
      <c r="A1112" s="71"/>
      <c r="B1112" s="71"/>
      <c r="C1112" s="71"/>
      <c r="D1112" s="71"/>
      <c r="E1112" s="71"/>
      <c r="F1112" s="71"/>
      <c r="G1112" s="71"/>
      <c r="H1112" s="71"/>
      <c r="I1112" s="71"/>
      <c r="J1112" s="71"/>
      <c r="K1112" s="71"/>
      <c r="L1112" s="71"/>
      <c r="M1112" s="71"/>
      <c r="N1112" s="71"/>
      <c r="O1112" s="71"/>
      <c r="P1112" s="71"/>
      <c r="Q1112" s="71"/>
      <c r="R1112" s="71"/>
      <c r="S1112" s="71"/>
      <c r="T1112" s="71"/>
      <c r="U1112" s="71"/>
      <c r="V1112" s="71"/>
      <c r="W1112" s="71"/>
      <c r="X1112" s="71"/>
      <c r="Y1112" s="71"/>
      <c r="Z1112" s="71"/>
      <c r="AA1112" s="71"/>
      <c r="AB1112" s="71"/>
      <c r="AC1112" s="71"/>
      <c r="AD1112" s="71"/>
      <c r="AE1112" s="71"/>
      <c r="AF1112" s="71"/>
      <c r="AG1112" s="71"/>
      <c r="AH1112" s="71"/>
      <c r="AI1112" s="71"/>
      <c r="AJ1112" s="71"/>
      <c r="AK1112" s="71"/>
      <c r="AL1112" s="71"/>
      <c r="AM1112" s="71"/>
      <c r="AN1112" s="71"/>
      <c r="AO1112" s="71"/>
      <c r="AP1112" s="71"/>
      <c r="AQ1112" s="71"/>
      <c r="AR1112" s="77"/>
    </row>
    <row r="1113">
      <c r="A1113" s="71"/>
      <c r="B1113" s="71"/>
      <c r="C1113" s="71"/>
      <c r="D1113" s="71"/>
      <c r="E1113" s="71"/>
      <c r="F1113" s="71"/>
      <c r="G1113" s="71"/>
      <c r="H1113" s="71"/>
      <c r="I1113" s="71"/>
      <c r="J1113" s="71"/>
      <c r="K1113" s="71"/>
      <c r="L1113" s="71"/>
      <c r="M1113" s="71"/>
      <c r="N1113" s="71"/>
      <c r="O1113" s="71"/>
      <c r="P1113" s="71"/>
      <c r="Q1113" s="71"/>
      <c r="R1113" s="71"/>
      <c r="S1113" s="71"/>
      <c r="T1113" s="71"/>
      <c r="U1113" s="71"/>
      <c r="V1113" s="71"/>
      <c r="W1113" s="71"/>
      <c r="X1113" s="71"/>
      <c r="Y1113" s="71"/>
      <c r="Z1113" s="71"/>
      <c r="AA1113" s="71"/>
      <c r="AB1113" s="71"/>
      <c r="AC1113" s="71"/>
      <c r="AD1113" s="71"/>
      <c r="AE1113" s="71"/>
      <c r="AF1113" s="71"/>
      <c r="AG1113" s="71"/>
      <c r="AH1113" s="71"/>
      <c r="AI1113" s="71"/>
      <c r="AJ1113" s="71"/>
      <c r="AK1113" s="71"/>
      <c r="AL1113" s="71"/>
      <c r="AM1113" s="71"/>
      <c r="AN1113" s="71"/>
      <c r="AO1113" s="71"/>
      <c r="AP1113" s="71"/>
      <c r="AQ1113" s="71"/>
      <c r="AR1113" s="77"/>
    </row>
    <row r="1114">
      <c r="A1114" s="71"/>
      <c r="B1114" s="71"/>
      <c r="C1114" s="71"/>
      <c r="D1114" s="71"/>
      <c r="E1114" s="71"/>
      <c r="F1114" s="71"/>
      <c r="G1114" s="71"/>
      <c r="H1114" s="71"/>
      <c r="I1114" s="71"/>
      <c r="J1114" s="71"/>
      <c r="K1114" s="71"/>
      <c r="L1114" s="71"/>
      <c r="M1114" s="71"/>
      <c r="N1114" s="71"/>
      <c r="O1114" s="71"/>
      <c r="P1114" s="71"/>
      <c r="Q1114" s="71"/>
      <c r="R1114" s="71"/>
      <c r="S1114" s="71"/>
      <c r="T1114" s="71"/>
      <c r="U1114" s="71"/>
      <c r="V1114" s="71"/>
      <c r="W1114" s="71"/>
      <c r="X1114" s="71"/>
      <c r="Y1114" s="71"/>
      <c r="Z1114" s="71"/>
      <c r="AA1114" s="71"/>
      <c r="AB1114" s="71"/>
      <c r="AC1114" s="71"/>
      <c r="AD1114" s="71"/>
      <c r="AE1114" s="71"/>
      <c r="AF1114" s="71"/>
      <c r="AG1114" s="71"/>
      <c r="AH1114" s="71"/>
      <c r="AI1114" s="71"/>
      <c r="AJ1114" s="71"/>
      <c r="AK1114" s="71"/>
      <c r="AL1114" s="71"/>
      <c r="AM1114" s="71"/>
      <c r="AN1114" s="71"/>
      <c r="AO1114" s="71"/>
      <c r="AP1114" s="71"/>
      <c r="AQ1114" s="71"/>
      <c r="AR1114" s="77"/>
    </row>
    <row r="1115">
      <c r="A1115" s="71"/>
      <c r="B1115" s="71"/>
      <c r="C1115" s="71"/>
      <c r="D1115" s="71"/>
      <c r="E1115" s="71"/>
      <c r="F1115" s="71"/>
      <c r="G1115" s="71"/>
      <c r="H1115" s="71"/>
      <c r="I1115" s="71"/>
      <c r="J1115" s="71"/>
      <c r="K1115" s="71"/>
      <c r="L1115" s="71"/>
      <c r="M1115" s="71"/>
      <c r="N1115" s="71"/>
      <c r="O1115" s="71"/>
      <c r="P1115" s="71"/>
      <c r="Q1115" s="71"/>
      <c r="R1115" s="71"/>
      <c r="S1115" s="71"/>
      <c r="T1115" s="71"/>
      <c r="U1115" s="71"/>
      <c r="V1115" s="71"/>
      <c r="W1115" s="71"/>
      <c r="X1115" s="71"/>
      <c r="Y1115" s="71"/>
      <c r="Z1115" s="71"/>
      <c r="AA1115" s="71"/>
      <c r="AB1115" s="71"/>
      <c r="AC1115" s="71"/>
      <c r="AD1115" s="71"/>
      <c r="AE1115" s="71"/>
      <c r="AF1115" s="71"/>
      <c r="AG1115" s="71"/>
      <c r="AH1115" s="71"/>
      <c r="AI1115" s="71"/>
      <c r="AJ1115" s="71"/>
      <c r="AK1115" s="71"/>
      <c r="AL1115" s="71"/>
      <c r="AM1115" s="71"/>
      <c r="AN1115" s="71"/>
      <c r="AO1115" s="71"/>
      <c r="AP1115" s="71"/>
      <c r="AQ1115" s="71"/>
      <c r="AR1115" s="77"/>
    </row>
    <row r="1116">
      <c r="A1116" s="71"/>
      <c r="B1116" s="71"/>
      <c r="C1116" s="71"/>
      <c r="D1116" s="71"/>
      <c r="E1116" s="71"/>
      <c r="F1116" s="71"/>
      <c r="G1116" s="71"/>
      <c r="H1116" s="71"/>
      <c r="I1116" s="71"/>
      <c r="J1116" s="71"/>
      <c r="K1116" s="71"/>
      <c r="L1116" s="71"/>
      <c r="M1116" s="71"/>
      <c r="N1116" s="71"/>
      <c r="O1116" s="71"/>
      <c r="P1116" s="71"/>
      <c r="Q1116" s="71"/>
      <c r="R1116" s="71"/>
      <c r="S1116" s="71"/>
      <c r="T1116" s="71"/>
      <c r="U1116" s="71"/>
      <c r="V1116" s="71"/>
      <c r="W1116" s="71"/>
      <c r="X1116" s="71"/>
      <c r="Y1116" s="71"/>
      <c r="Z1116" s="71"/>
      <c r="AA1116" s="71"/>
      <c r="AB1116" s="71"/>
      <c r="AC1116" s="71"/>
      <c r="AD1116" s="71"/>
      <c r="AE1116" s="71"/>
      <c r="AF1116" s="71"/>
      <c r="AG1116" s="71"/>
      <c r="AH1116" s="71"/>
      <c r="AI1116" s="71"/>
      <c r="AJ1116" s="71"/>
      <c r="AK1116" s="71"/>
      <c r="AL1116" s="71"/>
      <c r="AM1116" s="71"/>
      <c r="AN1116" s="71"/>
      <c r="AO1116" s="71"/>
      <c r="AP1116" s="71"/>
      <c r="AQ1116" s="71"/>
      <c r="AR1116" s="77"/>
    </row>
    <row r="1117">
      <c r="A1117" s="71"/>
      <c r="B1117" s="71"/>
      <c r="C1117" s="71"/>
      <c r="D1117" s="71"/>
      <c r="E1117" s="71"/>
      <c r="F1117" s="71"/>
      <c r="G1117" s="71"/>
      <c r="H1117" s="71"/>
      <c r="I1117" s="71"/>
      <c r="J1117" s="71"/>
      <c r="K1117" s="71"/>
      <c r="L1117" s="71"/>
      <c r="M1117" s="71"/>
      <c r="N1117" s="71"/>
      <c r="O1117" s="71"/>
      <c r="P1117" s="71"/>
      <c r="Q1117" s="71"/>
      <c r="R1117" s="71"/>
      <c r="S1117" s="71"/>
      <c r="T1117" s="71"/>
      <c r="U1117" s="71"/>
      <c r="V1117" s="71"/>
      <c r="W1117" s="71"/>
      <c r="X1117" s="71"/>
      <c r="Y1117" s="71"/>
      <c r="Z1117" s="71"/>
      <c r="AA1117" s="71"/>
      <c r="AB1117" s="71"/>
      <c r="AC1117" s="71"/>
      <c r="AD1117" s="71"/>
      <c r="AE1117" s="71"/>
      <c r="AF1117" s="71"/>
      <c r="AG1117" s="71"/>
      <c r="AH1117" s="71"/>
      <c r="AI1117" s="71"/>
      <c r="AJ1117" s="71"/>
      <c r="AK1117" s="71"/>
      <c r="AL1117" s="71"/>
      <c r="AM1117" s="71"/>
      <c r="AN1117" s="71"/>
      <c r="AO1117" s="71"/>
      <c r="AP1117" s="71"/>
      <c r="AQ1117" s="71"/>
      <c r="AR1117" s="77"/>
    </row>
    <row r="1118">
      <c r="A1118" s="71"/>
      <c r="B1118" s="71"/>
      <c r="C1118" s="71"/>
      <c r="D1118" s="71"/>
      <c r="E1118" s="71"/>
      <c r="F1118" s="71"/>
      <c r="G1118" s="71"/>
      <c r="H1118" s="71"/>
      <c r="I1118" s="71"/>
      <c r="J1118" s="71"/>
      <c r="K1118" s="71"/>
      <c r="L1118" s="71"/>
      <c r="M1118" s="71"/>
      <c r="N1118" s="71"/>
      <c r="O1118" s="71"/>
      <c r="P1118" s="71"/>
      <c r="Q1118" s="71"/>
      <c r="R1118" s="71"/>
      <c r="S1118" s="71"/>
      <c r="T1118" s="71"/>
      <c r="U1118" s="71"/>
      <c r="V1118" s="71"/>
      <c r="W1118" s="71"/>
      <c r="X1118" s="71"/>
      <c r="Y1118" s="71"/>
      <c r="Z1118" s="71"/>
      <c r="AA1118" s="71"/>
      <c r="AB1118" s="71"/>
      <c r="AC1118" s="71"/>
      <c r="AD1118" s="71"/>
      <c r="AE1118" s="71"/>
      <c r="AF1118" s="71"/>
      <c r="AG1118" s="71"/>
      <c r="AH1118" s="71"/>
      <c r="AI1118" s="71"/>
      <c r="AJ1118" s="71"/>
      <c r="AK1118" s="71"/>
      <c r="AL1118" s="71"/>
      <c r="AM1118" s="71"/>
      <c r="AN1118" s="71"/>
      <c r="AO1118" s="71"/>
      <c r="AP1118" s="71"/>
      <c r="AQ1118" s="71"/>
      <c r="AR1118" s="77"/>
    </row>
    <row r="1119">
      <c r="A1119" s="71"/>
      <c r="B1119" s="71"/>
      <c r="C1119" s="71"/>
      <c r="D1119" s="71"/>
      <c r="E1119" s="71"/>
      <c r="F1119" s="71"/>
      <c r="G1119" s="71"/>
      <c r="H1119" s="71"/>
      <c r="I1119" s="71"/>
      <c r="J1119" s="71"/>
      <c r="K1119" s="71"/>
      <c r="L1119" s="71"/>
      <c r="M1119" s="71"/>
      <c r="N1119" s="71"/>
      <c r="O1119" s="71"/>
      <c r="P1119" s="71"/>
      <c r="Q1119" s="71"/>
      <c r="R1119" s="71"/>
      <c r="S1119" s="71"/>
      <c r="T1119" s="71"/>
      <c r="U1119" s="71"/>
      <c r="V1119" s="71"/>
      <c r="W1119" s="71"/>
      <c r="X1119" s="71"/>
      <c r="Y1119" s="71"/>
      <c r="Z1119" s="71"/>
      <c r="AA1119" s="71"/>
      <c r="AB1119" s="71"/>
      <c r="AC1119" s="71"/>
      <c r="AD1119" s="71"/>
      <c r="AE1119" s="71"/>
      <c r="AF1119" s="71"/>
      <c r="AG1119" s="71"/>
      <c r="AH1119" s="71"/>
      <c r="AI1119" s="71"/>
      <c r="AJ1119" s="71"/>
      <c r="AK1119" s="71"/>
      <c r="AL1119" s="71"/>
      <c r="AM1119" s="71"/>
      <c r="AN1119" s="71"/>
      <c r="AO1119" s="71"/>
      <c r="AP1119" s="71"/>
      <c r="AQ1119" s="71"/>
      <c r="AR1119" s="77"/>
    </row>
    <row r="1120">
      <c r="A1120" s="71"/>
      <c r="B1120" s="71"/>
      <c r="C1120" s="71"/>
      <c r="D1120" s="71"/>
      <c r="E1120" s="71"/>
      <c r="F1120" s="71"/>
      <c r="G1120" s="71"/>
      <c r="H1120" s="71"/>
      <c r="I1120" s="71"/>
      <c r="J1120" s="71"/>
      <c r="K1120" s="71"/>
      <c r="L1120" s="71"/>
      <c r="M1120" s="71"/>
      <c r="N1120" s="71"/>
      <c r="O1120" s="71"/>
      <c r="P1120" s="71"/>
      <c r="Q1120" s="71"/>
      <c r="R1120" s="71"/>
      <c r="S1120" s="71"/>
      <c r="T1120" s="71"/>
      <c r="U1120" s="71"/>
      <c r="V1120" s="71"/>
      <c r="W1120" s="71"/>
      <c r="X1120" s="71"/>
      <c r="Y1120" s="71"/>
      <c r="Z1120" s="71"/>
      <c r="AA1120" s="71"/>
      <c r="AB1120" s="71"/>
      <c r="AC1120" s="71"/>
      <c r="AD1120" s="71"/>
      <c r="AE1120" s="71"/>
      <c r="AF1120" s="71"/>
      <c r="AG1120" s="71"/>
      <c r="AH1120" s="71"/>
      <c r="AI1120" s="71"/>
      <c r="AJ1120" s="71"/>
      <c r="AK1120" s="71"/>
      <c r="AL1120" s="71"/>
      <c r="AM1120" s="71"/>
      <c r="AN1120" s="71"/>
      <c r="AO1120" s="71"/>
      <c r="AP1120" s="71"/>
      <c r="AQ1120" s="71"/>
      <c r="AR1120" s="77"/>
    </row>
    <row r="1121">
      <c r="A1121" s="71"/>
      <c r="B1121" s="71"/>
      <c r="C1121" s="71"/>
      <c r="D1121" s="71"/>
      <c r="E1121" s="71"/>
      <c r="F1121" s="71"/>
      <c r="G1121" s="71"/>
      <c r="H1121" s="71"/>
      <c r="I1121" s="71"/>
      <c r="J1121" s="71"/>
      <c r="K1121" s="71"/>
      <c r="L1121" s="71"/>
      <c r="M1121" s="71"/>
      <c r="N1121" s="71"/>
      <c r="O1121" s="71"/>
      <c r="P1121" s="71"/>
      <c r="Q1121" s="71"/>
      <c r="R1121" s="71"/>
      <c r="S1121" s="71"/>
      <c r="T1121" s="71"/>
      <c r="U1121" s="71"/>
      <c r="V1121" s="71"/>
      <c r="W1121" s="71"/>
      <c r="X1121" s="71"/>
      <c r="Y1121" s="71"/>
      <c r="Z1121" s="71"/>
      <c r="AA1121" s="71"/>
      <c r="AB1121" s="71"/>
      <c r="AC1121" s="71"/>
      <c r="AD1121" s="71"/>
      <c r="AE1121" s="71"/>
      <c r="AF1121" s="71"/>
      <c r="AG1121" s="71"/>
      <c r="AH1121" s="71"/>
      <c r="AI1121" s="71"/>
      <c r="AJ1121" s="71"/>
      <c r="AK1121" s="71"/>
      <c r="AL1121" s="71"/>
      <c r="AM1121" s="71"/>
      <c r="AN1121" s="71"/>
      <c r="AO1121" s="71"/>
      <c r="AP1121" s="71"/>
      <c r="AQ1121" s="71"/>
      <c r="AR1121" s="77"/>
    </row>
    <row r="1122">
      <c r="A1122" s="71"/>
      <c r="B1122" s="71"/>
      <c r="C1122" s="71"/>
      <c r="D1122" s="71"/>
      <c r="E1122" s="71"/>
      <c r="F1122" s="71"/>
      <c r="G1122" s="71"/>
      <c r="H1122" s="71"/>
      <c r="I1122" s="71"/>
      <c r="J1122" s="71"/>
      <c r="K1122" s="71"/>
      <c r="L1122" s="71"/>
      <c r="M1122" s="71"/>
      <c r="N1122" s="71"/>
      <c r="O1122" s="71"/>
      <c r="P1122" s="71"/>
      <c r="Q1122" s="71"/>
      <c r="R1122" s="71"/>
      <c r="S1122" s="71"/>
      <c r="T1122" s="71"/>
      <c r="U1122" s="71"/>
      <c r="V1122" s="71"/>
      <c r="W1122" s="71"/>
      <c r="X1122" s="71"/>
      <c r="Y1122" s="71"/>
      <c r="Z1122" s="71"/>
      <c r="AA1122" s="71"/>
      <c r="AB1122" s="71"/>
      <c r="AC1122" s="71"/>
      <c r="AD1122" s="71"/>
      <c r="AE1122" s="71"/>
      <c r="AF1122" s="71"/>
      <c r="AG1122" s="71"/>
      <c r="AH1122" s="71"/>
      <c r="AI1122" s="71"/>
      <c r="AJ1122" s="71"/>
      <c r="AK1122" s="71"/>
      <c r="AL1122" s="71"/>
      <c r="AM1122" s="71"/>
      <c r="AN1122" s="71"/>
      <c r="AO1122" s="71"/>
      <c r="AP1122" s="71"/>
      <c r="AQ1122" s="71"/>
      <c r="AR1122" s="77"/>
    </row>
    <row r="1123">
      <c r="A1123" s="71"/>
      <c r="B1123" s="71"/>
      <c r="C1123" s="71"/>
      <c r="D1123" s="71"/>
      <c r="E1123" s="71"/>
      <c r="F1123" s="71"/>
      <c r="G1123" s="71"/>
      <c r="H1123" s="71"/>
      <c r="I1123" s="71"/>
      <c r="J1123" s="71"/>
      <c r="K1123" s="71"/>
      <c r="L1123" s="71"/>
      <c r="M1123" s="71"/>
      <c r="N1123" s="71"/>
      <c r="O1123" s="71"/>
      <c r="P1123" s="71"/>
      <c r="Q1123" s="71"/>
      <c r="R1123" s="71"/>
      <c r="S1123" s="71"/>
      <c r="T1123" s="71"/>
      <c r="U1123" s="71"/>
      <c r="V1123" s="71"/>
      <c r="W1123" s="71"/>
      <c r="X1123" s="71"/>
      <c r="Y1123" s="71"/>
      <c r="Z1123" s="71"/>
      <c r="AA1123" s="71"/>
      <c r="AB1123" s="71"/>
      <c r="AC1123" s="71"/>
      <c r="AD1123" s="71"/>
      <c r="AE1123" s="71"/>
      <c r="AF1123" s="71"/>
      <c r="AG1123" s="71"/>
      <c r="AH1123" s="71"/>
      <c r="AI1123" s="71"/>
      <c r="AJ1123" s="71"/>
      <c r="AK1123" s="71"/>
      <c r="AL1123" s="71"/>
      <c r="AM1123" s="71"/>
      <c r="AN1123" s="71"/>
      <c r="AO1123" s="71"/>
      <c r="AP1123" s="71"/>
      <c r="AQ1123" s="71"/>
      <c r="AR1123" s="77"/>
    </row>
    <row r="1124">
      <c r="A1124" s="71"/>
      <c r="B1124" s="71"/>
      <c r="C1124" s="71"/>
      <c r="D1124" s="71"/>
      <c r="E1124" s="71"/>
      <c r="F1124" s="71"/>
      <c r="G1124" s="71"/>
      <c r="H1124" s="71"/>
      <c r="I1124" s="71"/>
      <c r="J1124" s="71"/>
      <c r="K1124" s="71"/>
      <c r="L1124" s="71"/>
      <c r="M1124" s="71"/>
      <c r="N1124" s="71"/>
      <c r="O1124" s="71"/>
      <c r="P1124" s="71"/>
      <c r="Q1124" s="71"/>
      <c r="R1124" s="71"/>
      <c r="S1124" s="71"/>
      <c r="T1124" s="71"/>
      <c r="U1124" s="71"/>
      <c r="V1124" s="71"/>
      <c r="W1124" s="71"/>
      <c r="X1124" s="71"/>
      <c r="Y1124" s="71"/>
      <c r="Z1124" s="71"/>
      <c r="AA1124" s="71"/>
      <c r="AB1124" s="71"/>
      <c r="AC1124" s="71"/>
      <c r="AD1124" s="71"/>
      <c r="AE1124" s="71"/>
      <c r="AF1124" s="71"/>
      <c r="AG1124" s="71"/>
      <c r="AH1124" s="71"/>
      <c r="AI1124" s="71"/>
      <c r="AJ1124" s="71"/>
      <c r="AK1124" s="71"/>
      <c r="AL1124" s="71"/>
      <c r="AM1124" s="71"/>
      <c r="AN1124" s="71"/>
      <c r="AO1124" s="71"/>
      <c r="AP1124" s="71"/>
      <c r="AQ1124" s="71"/>
      <c r="AR1124" s="77"/>
    </row>
    <row r="1125">
      <c r="A1125" s="71"/>
      <c r="B1125" s="71"/>
      <c r="C1125" s="71"/>
      <c r="D1125" s="71"/>
      <c r="E1125" s="71"/>
      <c r="F1125" s="71"/>
      <c r="G1125" s="71"/>
      <c r="H1125" s="71"/>
      <c r="I1125" s="71"/>
      <c r="J1125" s="71"/>
      <c r="K1125" s="71"/>
      <c r="L1125" s="71"/>
      <c r="M1125" s="71"/>
      <c r="N1125" s="71"/>
      <c r="O1125" s="71"/>
      <c r="P1125" s="71"/>
      <c r="Q1125" s="71"/>
      <c r="R1125" s="71"/>
      <c r="S1125" s="71"/>
      <c r="T1125" s="71"/>
      <c r="U1125" s="71"/>
      <c r="V1125" s="71"/>
      <c r="W1125" s="71"/>
      <c r="X1125" s="71"/>
      <c r="Y1125" s="71"/>
      <c r="Z1125" s="71"/>
      <c r="AA1125" s="71"/>
      <c r="AB1125" s="71"/>
      <c r="AC1125" s="71"/>
      <c r="AD1125" s="71"/>
      <c r="AE1125" s="71"/>
      <c r="AF1125" s="71"/>
      <c r="AG1125" s="71"/>
      <c r="AH1125" s="71"/>
      <c r="AI1125" s="71"/>
      <c r="AJ1125" s="71"/>
      <c r="AK1125" s="71"/>
      <c r="AL1125" s="71"/>
      <c r="AM1125" s="71"/>
      <c r="AN1125" s="71"/>
      <c r="AO1125" s="71"/>
      <c r="AP1125" s="71"/>
      <c r="AQ1125" s="71"/>
      <c r="AR1125" s="77"/>
    </row>
    <row r="1126">
      <c r="A1126" s="71"/>
      <c r="B1126" s="71"/>
      <c r="C1126" s="71"/>
      <c r="D1126" s="71"/>
      <c r="E1126" s="71"/>
      <c r="F1126" s="71"/>
      <c r="G1126" s="71"/>
      <c r="H1126" s="71"/>
      <c r="I1126" s="71"/>
      <c r="J1126" s="71"/>
      <c r="K1126" s="71"/>
      <c r="L1126" s="71"/>
      <c r="M1126" s="71"/>
      <c r="N1126" s="71"/>
      <c r="O1126" s="71"/>
      <c r="P1126" s="71"/>
      <c r="Q1126" s="71"/>
      <c r="R1126" s="71"/>
      <c r="S1126" s="71"/>
      <c r="T1126" s="71"/>
      <c r="U1126" s="71"/>
      <c r="V1126" s="71"/>
      <c r="W1126" s="71"/>
      <c r="X1126" s="71"/>
      <c r="Y1126" s="71"/>
      <c r="Z1126" s="71"/>
      <c r="AA1126" s="71"/>
      <c r="AB1126" s="71"/>
      <c r="AC1126" s="71"/>
      <c r="AD1126" s="71"/>
      <c r="AE1126" s="71"/>
      <c r="AF1126" s="71"/>
      <c r="AG1126" s="71"/>
      <c r="AH1126" s="71"/>
      <c r="AI1126" s="71"/>
      <c r="AJ1126" s="71"/>
      <c r="AK1126" s="71"/>
      <c r="AL1126" s="71"/>
      <c r="AM1126" s="71"/>
      <c r="AN1126" s="71"/>
      <c r="AO1126" s="71"/>
      <c r="AP1126" s="71"/>
      <c r="AQ1126" s="71"/>
      <c r="AR1126" s="77"/>
    </row>
    <row r="1127">
      <c r="A1127" s="71"/>
      <c r="B1127" s="71"/>
      <c r="C1127" s="71"/>
      <c r="D1127" s="71"/>
      <c r="E1127" s="71"/>
      <c r="F1127" s="71"/>
      <c r="G1127" s="71"/>
      <c r="H1127" s="71"/>
      <c r="I1127" s="71"/>
      <c r="J1127" s="71"/>
      <c r="K1127" s="71"/>
      <c r="L1127" s="71"/>
      <c r="M1127" s="71"/>
      <c r="N1127" s="71"/>
      <c r="O1127" s="71"/>
      <c r="P1127" s="71"/>
      <c r="Q1127" s="71"/>
      <c r="R1127" s="71"/>
      <c r="S1127" s="71"/>
      <c r="T1127" s="71"/>
      <c r="U1127" s="71"/>
      <c r="V1127" s="71"/>
      <c r="W1127" s="71"/>
      <c r="X1127" s="71"/>
      <c r="Y1127" s="71"/>
      <c r="Z1127" s="71"/>
      <c r="AA1127" s="71"/>
      <c r="AB1127" s="71"/>
      <c r="AC1127" s="71"/>
      <c r="AD1127" s="71"/>
      <c r="AE1127" s="71"/>
      <c r="AF1127" s="71"/>
      <c r="AG1127" s="71"/>
      <c r="AH1127" s="71"/>
      <c r="AI1127" s="71"/>
      <c r="AJ1127" s="71"/>
      <c r="AK1127" s="71"/>
      <c r="AL1127" s="71"/>
      <c r="AM1127" s="71"/>
      <c r="AN1127" s="71"/>
      <c r="AO1127" s="71"/>
      <c r="AP1127" s="71"/>
      <c r="AQ1127" s="71"/>
      <c r="AR1127" s="77"/>
    </row>
    <row r="1128">
      <c r="A1128" s="71"/>
      <c r="B1128" s="71"/>
      <c r="C1128" s="71"/>
      <c r="D1128" s="71"/>
      <c r="E1128" s="71"/>
      <c r="F1128" s="71"/>
      <c r="G1128" s="71"/>
      <c r="H1128" s="71"/>
      <c r="I1128" s="71"/>
      <c r="J1128" s="71"/>
      <c r="K1128" s="71"/>
      <c r="L1128" s="71"/>
      <c r="M1128" s="71"/>
      <c r="N1128" s="71"/>
      <c r="O1128" s="71"/>
      <c r="P1128" s="71"/>
      <c r="Q1128" s="71"/>
      <c r="R1128" s="71"/>
      <c r="S1128" s="71"/>
      <c r="T1128" s="71"/>
      <c r="U1128" s="71"/>
      <c r="V1128" s="71"/>
      <c r="W1128" s="71"/>
      <c r="X1128" s="71"/>
      <c r="Y1128" s="71"/>
      <c r="Z1128" s="71"/>
      <c r="AA1128" s="71"/>
      <c r="AB1128" s="71"/>
      <c r="AC1128" s="71"/>
      <c r="AD1128" s="71"/>
      <c r="AE1128" s="71"/>
      <c r="AF1128" s="71"/>
      <c r="AG1128" s="71"/>
      <c r="AH1128" s="71"/>
      <c r="AI1128" s="71"/>
      <c r="AJ1128" s="71"/>
      <c r="AK1128" s="71"/>
      <c r="AL1128" s="71"/>
      <c r="AM1128" s="71"/>
      <c r="AN1128" s="71"/>
      <c r="AO1128" s="71"/>
      <c r="AP1128" s="71"/>
      <c r="AQ1128" s="71"/>
      <c r="AR1128" s="77"/>
    </row>
    <row r="1129">
      <c r="A1129" s="71"/>
      <c r="B1129" s="71"/>
      <c r="C1129" s="71"/>
      <c r="D1129" s="71"/>
      <c r="E1129" s="71"/>
      <c r="F1129" s="71"/>
      <c r="G1129" s="71"/>
      <c r="H1129" s="71"/>
      <c r="I1129" s="71"/>
      <c r="J1129" s="71"/>
      <c r="K1129" s="71"/>
      <c r="L1129" s="71"/>
      <c r="M1129" s="71"/>
      <c r="N1129" s="71"/>
      <c r="O1129" s="71"/>
      <c r="P1129" s="71"/>
      <c r="Q1129" s="71"/>
      <c r="R1129" s="71"/>
      <c r="S1129" s="71"/>
      <c r="T1129" s="71"/>
      <c r="U1129" s="71"/>
      <c r="V1129" s="71"/>
      <c r="W1129" s="71"/>
      <c r="X1129" s="71"/>
      <c r="Y1129" s="71"/>
      <c r="Z1129" s="71"/>
      <c r="AA1129" s="71"/>
      <c r="AB1129" s="71"/>
      <c r="AC1129" s="71"/>
      <c r="AD1129" s="71"/>
      <c r="AE1129" s="71"/>
      <c r="AF1129" s="71"/>
      <c r="AG1129" s="71"/>
      <c r="AH1129" s="71"/>
      <c r="AI1129" s="71"/>
      <c r="AJ1129" s="71"/>
      <c r="AK1129" s="71"/>
      <c r="AL1129" s="71"/>
      <c r="AM1129" s="71"/>
      <c r="AN1129" s="71"/>
      <c r="AO1129" s="71"/>
      <c r="AP1129" s="71"/>
      <c r="AQ1129" s="71"/>
      <c r="AR1129" s="77"/>
    </row>
    <row r="1130">
      <c r="A1130" s="71"/>
      <c r="B1130" s="71"/>
      <c r="C1130" s="71"/>
      <c r="D1130" s="71"/>
      <c r="E1130" s="71"/>
      <c r="F1130" s="71"/>
      <c r="G1130" s="71"/>
      <c r="H1130" s="71"/>
      <c r="I1130" s="71"/>
      <c r="J1130" s="71"/>
      <c r="K1130" s="71"/>
      <c r="L1130" s="71"/>
      <c r="M1130" s="71"/>
      <c r="N1130" s="71"/>
      <c r="O1130" s="71"/>
      <c r="P1130" s="71"/>
      <c r="Q1130" s="71"/>
      <c r="R1130" s="71"/>
      <c r="S1130" s="71"/>
      <c r="T1130" s="71"/>
      <c r="U1130" s="71"/>
      <c r="V1130" s="71"/>
      <c r="W1130" s="71"/>
      <c r="X1130" s="71"/>
      <c r="Y1130" s="71"/>
      <c r="Z1130" s="71"/>
      <c r="AA1130" s="71"/>
      <c r="AB1130" s="71"/>
      <c r="AC1130" s="71"/>
      <c r="AD1130" s="71"/>
      <c r="AE1130" s="71"/>
      <c r="AF1130" s="71"/>
      <c r="AG1130" s="71"/>
      <c r="AH1130" s="71"/>
      <c r="AI1130" s="71"/>
      <c r="AJ1130" s="71"/>
      <c r="AK1130" s="71"/>
      <c r="AL1130" s="71"/>
      <c r="AM1130" s="71"/>
      <c r="AN1130" s="71"/>
      <c r="AO1130" s="71"/>
      <c r="AP1130" s="71"/>
      <c r="AQ1130" s="71"/>
      <c r="AR1130" s="77"/>
    </row>
    <row r="1131">
      <c r="A1131" s="71"/>
      <c r="B1131" s="71"/>
      <c r="C1131" s="71"/>
      <c r="D1131" s="71"/>
      <c r="E1131" s="71"/>
      <c r="F1131" s="71"/>
      <c r="G1131" s="71"/>
      <c r="H1131" s="71"/>
      <c r="I1131" s="71"/>
      <c r="J1131" s="71"/>
      <c r="K1131" s="71"/>
      <c r="L1131" s="71"/>
      <c r="M1131" s="71"/>
      <c r="N1131" s="71"/>
      <c r="O1131" s="71"/>
      <c r="P1131" s="71"/>
      <c r="Q1131" s="71"/>
      <c r="R1131" s="71"/>
      <c r="S1131" s="71"/>
      <c r="T1131" s="71"/>
      <c r="U1131" s="71"/>
      <c r="V1131" s="71"/>
      <c r="W1131" s="71"/>
      <c r="X1131" s="71"/>
      <c r="Y1131" s="71"/>
      <c r="Z1131" s="71"/>
      <c r="AA1131" s="71"/>
      <c r="AB1131" s="71"/>
      <c r="AC1131" s="71"/>
      <c r="AD1131" s="71"/>
      <c r="AE1131" s="71"/>
      <c r="AF1131" s="71"/>
      <c r="AG1131" s="71"/>
      <c r="AH1131" s="71"/>
      <c r="AI1131" s="71"/>
      <c r="AJ1131" s="71"/>
      <c r="AK1131" s="71"/>
      <c r="AL1131" s="71"/>
      <c r="AM1131" s="71"/>
      <c r="AN1131" s="71"/>
      <c r="AO1131" s="71"/>
      <c r="AP1131" s="71"/>
      <c r="AQ1131" s="71"/>
      <c r="AR1131" s="77"/>
    </row>
    <row r="1132">
      <c r="A1132" s="71"/>
      <c r="B1132" s="71"/>
      <c r="C1132" s="71"/>
      <c r="D1132" s="71"/>
      <c r="E1132" s="71"/>
      <c r="F1132" s="71"/>
      <c r="G1132" s="71"/>
      <c r="H1132" s="71"/>
      <c r="I1132" s="71"/>
      <c r="J1132" s="71"/>
      <c r="K1132" s="71"/>
      <c r="L1132" s="71"/>
      <c r="M1132" s="71"/>
      <c r="N1132" s="71"/>
      <c r="O1132" s="71"/>
      <c r="P1132" s="71"/>
      <c r="Q1132" s="71"/>
      <c r="R1132" s="71"/>
      <c r="S1132" s="71"/>
      <c r="T1132" s="71"/>
      <c r="U1132" s="71"/>
      <c r="V1132" s="71"/>
      <c r="W1132" s="71"/>
      <c r="X1132" s="71"/>
      <c r="Y1132" s="71"/>
      <c r="Z1132" s="71"/>
      <c r="AA1132" s="71"/>
      <c r="AB1132" s="71"/>
      <c r="AC1132" s="71"/>
      <c r="AD1132" s="71"/>
      <c r="AE1132" s="71"/>
      <c r="AF1132" s="71"/>
      <c r="AG1132" s="71"/>
      <c r="AH1132" s="71"/>
      <c r="AI1132" s="71"/>
      <c r="AJ1132" s="71"/>
      <c r="AK1132" s="71"/>
      <c r="AL1132" s="71"/>
      <c r="AM1132" s="71"/>
      <c r="AN1132" s="71"/>
      <c r="AO1132" s="71"/>
      <c r="AP1132" s="71"/>
      <c r="AQ1132" s="71"/>
      <c r="AR1132" s="77"/>
    </row>
    <row r="1133">
      <c r="A1133" s="71"/>
      <c r="B1133" s="71"/>
      <c r="C1133" s="71"/>
      <c r="D1133" s="71"/>
      <c r="E1133" s="71"/>
      <c r="F1133" s="71"/>
      <c r="G1133" s="71"/>
      <c r="H1133" s="71"/>
      <c r="I1133" s="71"/>
      <c r="J1133" s="71"/>
      <c r="K1133" s="71"/>
      <c r="L1133" s="71"/>
      <c r="M1133" s="71"/>
      <c r="N1133" s="71"/>
      <c r="O1133" s="71"/>
      <c r="P1133" s="71"/>
      <c r="Q1133" s="71"/>
      <c r="R1133" s="71"/>
      <c r="S1133" s="71"/>
      <c r="T1133" s="71"/>
      <c r="U1133" s="71"/>
      <c r="V1133" s="71"/>
      <c r="W1133" s="71"/>
      <c r="X1133" s="71"/>
      <c r="Y1133" s="71"/>
      <c r="Z1133" s="71"/>
      <c r="AA1133" s="71"/>
      <c r="AB1133" s="71"/>
      <c r="AC1133" s="71"/>
      <c r="AD1133" s="71"/>
      <c r="AE1133" s="71"/>
      <c r="AF1133" s="71"/>
      <c r="AG1133" s="71"/>
      <c r="AH1133" s="71"/>
      <c r="AI1133" s="71"/>
      <c r="AJ1133" s="71"/>
      <c r="AK1133" s="71"/>
      <c r="AL1133" s="71"/>
      <c r="AM1133" s="71"/>
      <c r="AN1133" s="71"/>
      <c r="AO1133" s="71"/>
      <c r="AP1133" s="71"/>
      <c r="AQ1133" s="71"/>
      <c r="AR1133" s="77"/>
    </row>
    <row r="1134">
      <c r="A1134" s="71"/>
      <c r="B1134" s="71"/>
      <c r="C1134" s="71"/>
      <c r="D1134" s="71"/>
      <c r="E1134" s="71"/>
      <c r="F1134" s="71"/>
      <c r="G1134" s="71"/>
      <c r="H1134" s="71"/>
      <c r="I1134" s="71"/>
      <c r="J1134" s="71"/>
      <c r="K1134" s="71"/>
      <c r="L1134" s="71"/>
      <c r="M1134" s="71"/>
      <c r="N1134" s="71"/>
      <c r="O1134" s="71"/>
      <c r="P1134" s="71"/>
      <c r="Q1134" s="71"/>
      <c r="R1134" s="71"/>
      <c r="S1134" s="71"/>
      <c r="T1134" s="71"/>
      <c r="U1134" s="71"/>
      <c r="V1134" s="71"/>
      <c r="W1134" s="71"/>
      <c r="X1134" s="71"/>
      <c r="Y1134" s="71"/>
      <c r="Z1134" s="71"/>
      <c r="AA1134" s="71"/>
      <c r="AB1134" s="71"/>
      <c r="AC1134" s="71"/>
      <c r="AD1134" s="71"/>
      <c r="AE1134" s="71"/>
      <c r="AF1134" s="71"/>
      <c r="AG1134" s="71"/>
      <c r="AH1134" s="71"/>
      <c r="AI1134" s="71"/>
      <c r="AJ1134" s="71"/>
      <c r="AK1134" s="71"/>
      <c r="AL1134" s="71"/>
      <c r="AM1134" s="71"/>
      <c r="AN1134" s="71"/>
      <c r="AO1134" s="71"/>
      <c r="AP1134" s="71"/>
      <c r="AQ1134" s="71"/>
      <c r="AR1134" s="77"/>
    </row>
    <row r="1135">
      <c r="A1135" s="71"/>
      <c r="B1135" s="71"/>
      <c r="C1135" s="71"/>
      <c r="D1135" s="71"/>
      <c r="E1135" s="71"/>
      <c r="F1135" s="71"/>
      <c r="G1135" s="71"/>
      <c r="H1135" s="71"/>
      <c r="I1135" s="71"/>
      <c r="J1135" s="71"/>
      <c r="K1135" s="71"/>
      <c r="L1135" s="71"/>
      <c r="M1135" s="71"/>
      <c r="N1135" s="71"/>
      <c r="O1135" s="71"/>
      <c r="P1135" s="71"/>
      <c r="Q1135" s="71"/>
      <c r="R1135" s="71"/>
      <c r="S1135" s="71"/>
      <c r="T1135" s="71"/>
      <c r="U1135" s="71"/>
      <c r="V1135" s="71"/>
      <c r="W1135" s="71"/>
      <c r="X1135" s="71"/>
      <c r="Y1135" s="71"/>
      <c r="Z1135" s="71"/>
      <c r="AA1135" s="71"/>
      <c r="AB1135" s="71"/>
      <c r="AC1135" s="71"/>
      <c r="AD1135" s="71"/>
      <c r="AE1135" s="71"/>
      <c r="AF1135" s="71"/>
      <c r="AG1135" s="71"/>
      <c r="AH1135" s="71"/>
      <c r="AI1135" s="71"/>
      <c r="AJ1135" s="71"/>
      <c r="AK1135" s="71"/>
      <c r="AL1135" s="71"/>
      <c r="AM1135" s="71"/>
      <c r="AN1135" s="71"/>
      <c r="AO1135" s="71"/>
      <c r="AP1135" s="71"/>
      <c r="AQ1135" s="71"/>
      <c r="AR1135" s="77"/>
    </row>
    <row r="1136">
      <c r="A1136" s="71"/>
      <c r="B1136" s="71"/>
      <c r="C1136" s="71"/>
      <c r="D1136" s="71"/>
      <c r="E1136" s="71"/>
      <c r="F1136" s="71"/>
      <c r="G1136" s="71"/>
      <c r="H1136" s="71"/>
      <c r="I1136" s="71"/>
      <c r="J1136" s="71"/>
      <c r="K1136" s="71"/>
      <c r="L1136" s="71"/>
      <c r="M1136" s="71"/>
      <c r="N1136" s="71"/>
      <c r="O1136" s="71"/>
      <c r="P1136" s="71"/>
      <c r="Q1136" s="71"/>
      <c r="R1136" s="71"/>
      <c r="S1136" s="71"/>
      <c r="T1136" s="71"/>
      <c r="U1136" s="71"/>
      <c r="V1136" s="71"/>
      <c r="W1136" s="71"/>
      <c r="X1136" s="71"/>
      <c r="Y1136" s="71"/>
      <c r="Z1136" s="71"/>
      <c r="AA1136" s="71"/>
      <c r="AB1136" s="71"/>
      <c r="AC1136" s="71"/>
      <c r="AD1136" s="71"/>
      <c r="AE1136" s="71"/>
      <c r="AF1136" s="71"/>
      <c r="AG1136" s="71"/>
      <c r="AH1136" s="71"/>
      <c r="AI1136" s="71"/>
      <c r="AJ1136" s="71"/>
      <c r="AK1136" s="71"/>
      <c r="AL1136" s="71"/>
      <c r="AM1136" s="71"/>
      <c r="AN1136" s="71"/>
      <c r="AO1136" s="71"/>
      <c r="AP1136" s="71"/>
      <c r="AQ1136" s="71"/>
      <c r="AR1136" s="77"/>
    </row>
    <row r="1137">
      <c r="A1137" s="71"/>
      <c r="B1137" s="71"/>
      <c r="C1137" s="71"/>
      <c r="D1137" s="71"/>
      <c r="E1137" s="71"/>
      <c r="F1137" s="71"/>
      <c r="G1137" s="71"/>
      <c r="H1137" s="71"/>
      <c r="I1137" s="71"/>
      <c r="J1137" s="71"/>
      <c r="K1137" s="71"/>
      <c r="L1137" s="71"/>
      <c r="M1137" s="71"/>
      <c r="N1137" s="71"/>
      <c r="O1137" s="71"/>
      <c r="P1137" s="71"/>
      <c r="Q1137" s="71"/>
      <c r="R1137" s="71"/>
      <c r="S1137" s="71"/>
      <c r="T1137" s="71"/>
      <c r="U1137" s="71"/>
      <c r="V1137" s="71"/>
      <c r="W1137" s="71"/>
      <c r="X1137" s="71"/>
      <c r="Y1137" s="71"/>
      <c r="Z1137" s="71"/>
      <c r="AA1137" s="71"/>
      <c r="AB1137" s="71"/>
      <c r="AC1137" s="71"/>
      <c r="AD1137" s="71"/>
      <c r="AE1137" s="71"/>
      <c r="AF1137" s="71"/>
      <c r="AG1137" s="71"/>
      <c r="AH1137" s="71"/>
      <c r="AI1137" s="71"/>
      <c r="AJ1137" s="71"/>
      <c r="AK1137" s="71"/>
      <c r="AL1137" s="71"/>
      <c r="AM1137" s="71"/>
      <c r="AN1137" s="71"/>
      <c r="AO1137" s="71"/>
      <c r="AP1137" s="71"/>
      <c r="AQ1137" s="71"/>
      <c r="AR1137" s="77"/>
    </row>
    <row r="1138">
      <c r="A1138" s="71"/>
      <c r="B1138" s="71"/>
      <c r="C1138" s="71"/>
      <c r="D1138" s="71"/>
      <c r="E1138" s="71"/>
      <c r="F1138" s="71"/>
      <c r="G1138" s="71"/>
      <c r="H1138" s="71"/>
      <c r="I1138" s="71"/>
      <c r="J1138" s="71"/>
      <c r="K1138" s="71"/>
      <c r="L1138" s="71"/>
      <c r="M1138" s="71"/>
      <c r="N1138" s="71"/>
      <c r="O1138" s="71"/>
      <c r="P1138" s="71"/>
      <c r="Q1138" s="71"/>
      <c r="R1138" s="71"/>
      <c r="S1138" s="71"/>
      <c r="T1138" s="71"/>
      <c r="U1138" s="71"/>
      <c r="V1138" s="71"/>
      <c r="W1138" s="71"/>
      <c r="X1138" s="71"/>
      <c r="Y1138" s="71"/>
      <c r="Z1138" s="71"/>
      <c r="AA1138" s="71"/>
      <c r="AB1138" s="71"/>
      <c r="AC1138" s="71"/>
      <c r="AD1138" s="71"/>
      <c r="AE1138" s="71"/>
      <c r="AF1138" s="71"/>
      <c r="AG1138" s="71"/>
      <c r="AH1138" s="71"/>
      <c r="AI1138" s="71"/>
      <c r="AJ1138" s="71"/>
      <c r="AK1138" s="71"/>
      <c r="AL1138" s="71"/>
      <c r="AM1138" s="71"/>
      <c r="AN1138" s="71"/>
      <c r="AO1138" s="71"/>
      <c r="AP1138" s="71"/>
      <c r="AQ1138" s="71"/>
      <c r="AR1138" s="77"/>
    </row>
    <row r="1139">
      <c r="A1139" s="71"/>
      <c r="B1139" s="71"/>
      <c r="C1139" s="71"/>
      <c r="D1139" s="71"/>
      <c r="E1139" s="71"/>
      <c r="F1139" s="71"/>
      <c r="G1139" s="71"/>
      <c r="H1139" s="71"/>
      <c r="I1139" s="71"/>
      <c r="J1139" s="71"/>
      <c r="K1139" s="71"/>
      <c r="L1139" s="71"/>
      <c r="M1139" s="71"/>
      <c r="N1139" s="71"/>
      <c r="O1139" s="71"/>
      <c r="P1139" s="71"/>
      <c r="Q1139" s="71"/>
      <c r="R1139" s="71"/>
      <c r="S1139" s="71"/>
      <c r="T1139" s="71"/>
      <c r="U1139" s="71"/>
      <c r="V1139" s="71"/>
      <c r="W1139" s="71"/>
      <c r="X1139" s="71"/>
      <c r="Y1139" s="71"/>
      <c r="Z1139" s="71"/>
      <c r="AA1139" s="71"/>
      <c r="AB1139" s="71"/>
      <c r="AC1139" s="71"/>
      <c r="AD1139" s="71"/>
      <c r="AE1139" s="71"/>
      <c r="AF1139" s="71"/>
      <c r="AG1139" s="71"/>
      <c r="AH1139" s="71"/>
      <c r="AI1139" s="71"/>
      <c r="AJ1139" s="71"/>
      <c r="AK1139" s="71"/>
      <c r="AL1139" s="71"/>
      <c r="AM1139" s="71"/>
      <c r="AN1139" s="71"/>
      <c r="AO1139" s="71"/>
      <c r="AP1139" s="71"/>
      <c r="AQ1139" s="71"/>
      <c r="AR1139" s="77"/>
    </row>
    <row r="1140">
      <c r="A1140" s="71"/>
      <c r="B1140" s="71"/>
      <c r="C1140" s="71"/>
      <c r="D1140" s="71"/>
      <c r="E1140" s="71"/>
      <c r="F1140" s="71"/>
      <c r="G1140" s="71"/>
      <c r="H1140" s="71"/>
      <c r="I1140" s="71"/>
      <c r="J1140" s="71"/>
      <c r="K1140" s="71"/>
      <c r="L1140" s="71"/>
      <c r="M1140" s="71"/>
      <c r="N1140" s="71"/>
      <c r="O1140" s="71"/>
      <c r="P1140" s="71"/>
      <c r="Q1140" s="71"/>
      <c r="R1140" s="71"/>
      <c r="S1140" s="71"/>
      <c r="T1140" s="71"/>
      <c r="U1140" s="71"/>
      <c r="V1140" s="71"/>
      <c r="W1140" s="71"/>
      <c r="X1140" s="71"/>
      <c r="Y1140" s="71"/>
      <c r="Z1140" s="71"/>
      <c r="AA1140" s="71"/>
      <c r="AB1140" s="71"/>
      <c r="AC1140" s="71"/>
      <c r="AD1140" s="71"/>
      <c r="AE1140" s="71"/>
      <c r="AF1140" s="71"/>
      <c r="AG1140" s="71"/>
      <c r="AH1140" s="71"/>
      <c r="AI1140" s="71"/>
      <c r="AJ1140" s="71"/>
      <c r="AK1140" s="71"/>
      <c r="AL1140" s="71"/>
      <c r="AM1140" s="71"/>
      <c r="AN1140" s="71"/>
      <c r="AO1140" s="71"/>
      <c r="AP1140" s="71"/>
      <c r="AQ1140" s="71"/>
      <c r="AR1140" s="77"/>
    </row>
    <row r="1141">
      <c r="A1141" s="71"/>
      <c r="B1141" s="71"/>
      <c r="C1141" s="71"/>
      <c r="D1141" s="71"/>
      <c r="E1141" s="71"/>
      <c r="F1141" s="71"/>
      <c r="G1141" s="71"/>
      <c r="H1141" s="71"/>
      <c r="I1141" s="71"/>
      <c r="J1141" s="71"/>
      <c r="K1141" s="71"/>
      <c r="L1141" s="71"/>
      <c r="M1141" s="71"/>
      <c r="N1141" s="71"/>
      <c r="O1141" s="71"/>
      <c r="P1141" s="71"/>
      <c r="Q1141" s="71"/>
      <c r="R1141" s="71"/>
      <c r="S1141" s="71"/>
      <c r="T1141" s="71"/>
      <c r="U1141" s="71"/>
      <c r="V1141" s="71"/>
      <c r="W1141" s="71"/>
      <c r="X1141" s="71"/>
      <c r="Y1141" s="71"/>
      <c r="Z1141" s="71"/>
      <c r="AA1141" s="71"/>
      <c r="AB1141" s="71"/>
      <c r="AC1141" s="71"/>
      <c r="AD1141" s="71"/>
      <c r="AE1141" s="71"/>
      <c r="AF1141" s="71"/>
      <c r="AG1141" s="71"/>
      <c r="AH1141" s="71"/>
      <c r="AI1141" s="71"/>
      <c r="AJ1141" s="71"/>
      <c r="AK1141" s="71"/>
      <c r="AL1141" s="71"/>
      <c r="AM1141" s="71"/>
      <c r="AN1141" s="71"/>
      <c r="AO1141" s="71"/>
      <c r="AP1141" s="71"/>
      <c r="AQ1141" s="71"/>
      <c r="AR1141" s="77"/>
    </row>
    <row r="1142">
      <c r="A1142" s="71"/>
      <c r="B1142" s="71"/>
      <c r="C1142" s="71"/>
      <c r="D1142" s="71"/>
      <c r="E1142" s="71"/>
      <c r="F1142" s="71"/>
      <c r="G1142" s="71"/>
      <c r="H1142" s="71"/>
      <c r="I1142" s="71"/>
      <c r="J1142" s="71"/>
      <c r="K1142" s="71"/>
      <c r="L1142" s="71"/>
      <c r="M1142" s="71"/>
      <c r="N1142" s="71"/>
      <c r="O1142" s="71"/>
      <c r="P1142" s="71"/>
      <c r="Q1142" s="71"/>
      <c r="R1142" s="71"/>
      <c r="S1142" s="71"/>
      <c r="T1142" s="71"/>
      <c r="U1142" s="71"/>
      <c r="V1142" s="71"/>
      <c r="W1142" s="71"/>
      <c r="X1142" s="71"/>
      <c r="Y1142" s="71"/>
      <c r="Z1142" s="71"/>
      <c r="AA1142" s="71"/>
      <c r="AB1142" s="71"/>
      <c r="AC1142" s="71"/>
      <c r="AD1142" s="71"/>
      <c r="AE1142" s="71"/>
      <c r="AF1142" s="71"/>
      <c r="AG1142" s="71"/>
      <c r="AH1142" s="71"/>
      <c r="AI1142" s="71"/>
      <c r="AJ1142" s="71"/>
      <c r="AK1142" s="71"/>
      <c r="AL1142" s="71"/>
      <c r="AM1142" s="71"/>
      <c r="AN1142" s="71"/>
      <c r="AO1142" s="71"/>
      <c r="AP1142" s="71"/>
      <c r="AQ1142" s="71"/>
      <c r="AR1142" s="77"/>
    </row>
    <row r="1143">
      <c r="A1143" s="71"/>
      <c r="B1143" s="71"/>
      <c r="C1143" s="71"/>
      <c r="D1143" s="71"/>
      <c r="E1143" s="71"/>
      <c r="F1143" s="71"/>
      <c r="G1143" s="71"/>
      <c r="H1143" s="71"/>
      <c r="I1143" s="71"/>
      <c r="J1143" s="71"/>
      <c r="K1143" s="71"/>
      <c r="L1143" s="71"/>
      <c r="M1143" s="71"/>
      <c r="N1143" s="71"/>
      <c r="O1143" s="71"/>
      <c r="P1143" s="71"/>
      <c r="Q1143" s="71"/>
      <c r="R1143" s="71"/>
      <c r="S1143" s="71"/>
      <c r="T1143" s="71"/>
      <c r="U1143" s="71"/>
      <c r="V1143" s="71"/>
      <c r="W1143" s="71"/>
      <c r="X1143" s="71"/>
      <c r="Y1143" s="71"/>
      <c r="Z1143" s="71"/>
      <c r="AA1143" s="71"/>
      <c r="AB1143" s="71"/>
      <c r="AC1143" s="71"/>
      <c r="AD1143" s="71"/>
      <c r="AE1143" s="71"/>
      <c r="AF1143" s="71"/>
      <c r="AG1143" s="71"/>
      <c r="AH1143" s="71"/>
      <c r="AI1143" s="71"/>
      <c r="AJ1143" s="71"/>
      <c r="AK1143" s="71"/>
      <c r="AL1143" s="71"/>
      <c r="AM1143" s="71"/>
      <c r="AN1143" s="71"/>
      <c r="AO1143" s="71"/>
      <c r="AP1143" s="71"/>
      <c r="AQ1143" s="71"/>
      <c r="AR1143" s="77"/>
    </row>
    <row r="1144">
      <c r="A1144" s="71"/>
      <c r="B1144" s="71"/>
      <c r="C1144" s="71"/>
      <c r="D1144" s="71"/>
      <c r="E1144" s="71"/>
      <c r="F1144" s="71"/>
      <c r="G1144" s="71"/>
      <c r="H1144" s="71"/>
      <c r="I1144" s="71"/>
      <c r="J1144" s="71"/>
      <c r="K1144" s="71"/>
      <c r="L1144" s="71"/>
      <c r="M1144" s="71"/>
      <c r="N1144" s="71"/>
      <c r="O1144" s="71"/>
      <c r="P1144" s="71"/>
      <c r="Q1144" s="71"/>
      <c r="R1144" s="71"/>
      <c r="S1144" s="71"/>
      <c r="T1144" s="71"/>
      <c r="U1144" s="71"/>
      <c r="V1144" s="71"/>
      <c r="W1144" s="71"/>
      <c r="X1144" s="71"/>
      <c r="Y1144" s="71"/>
      <c r="Z1144" s="71"/>
      <c r="AA1144" s="71"/>
      <c r="AB1144" s="71"/>
      <c r="AC1144" s="71"/>
      <c r="AD1144" s="71"/>
      <c r="AE1144" s="71"/>
      <c r="AF1144" s="71"/>
      <c r="AG1144" s="71"/>
      <c r="AH1144" s="71"/>
      <c r="AI1144" s="71"/>
      <c r="AJ1144" s="71"/>
      <c r="AK1144" s="71"/>
      <c r="AL1144" s="71"/>
      <c r="AM1144" s="71"/>
      <c r="AN1144" s="71"/>
      <c r="AO1144" s="71"/>
      <c r="AP1144" s="71"/>
      <c r="AQ1144" s="71"/>
      <c r="AR1144" s="77"/>
    </row>
    <row r="1145">
      <c r="A1145" s="71"/>
      <c r="B1145" s="71"/>
      <c r="C1145" s="71"/>
      <c r="D1145" s="71"/>
      <c r="E1145" s="71"/>
      <c r="F1145" s="71"/>
      <c r="G1145" s="71"/>
      <c r="H1145" s="71"/>
      <c r="I1145" s="71"/>
      <c r="J1145" s="71"/>
      <c r="K1145" s="71"/>
      <c r="L1145" s="71"/>
      <c r="M1145" s="71"/>
      <c r="N1145" s="71"/>
      <c r="O1145" s="71"/>
      <c r="P1145" s="71"/>
      <c r="Q1145" s="71"/>
      <c r="R1145" s="71"/>
      <c r="S1145" s="71"/>
      <c r="T1145" s="71"/>
      <c r="U1145" s="71"/>
      <c r="V1145" s="71"/>
      <c r="W1145" s="71"/>
      <c r="X1145" s="71"/>
      <c r="Y1145" s="71"/>
      <c r="Z1145" s="71"/>
      <c r="AA1145" s="71"/>
      <c r="AB1145" s="71"/>
      <c r="AC1145" s="71"/>
      <c r="AD1145" s="71"/>
      <c r="AE1145" s="71"/>
      <c r="AF1145" s="71"/>
      <c r="AG1145" s="71"/>
      <c r="AH1145" s="71"/>
      <c r="AI1145" s="71"/>
      <c r="AJ1145" s="71"/>
      <c r="AK1145" s="71"/>
      <c r="AL1145" s="71"/>
      <c r="AM1145" s="71"/>
      <c r="AN1145" s="71"/>
      <c r="AO1145" s="71"/>
      <c r="AP1145" s="71"/>
      <c r="AQ1145" s="71"/>
      <c r="AR1145" s="77"/>
    </row>
    <row r="1146">
      <c r="A1146" s="71"/>
      <c r="B1146" s="71"/>
      <c r="C1146" s="71"/>
      <c r="D1146" s="71"/>
      <c r="E1146" s="71"/>
      <c r="F1146" s="71"/>
      <c r="G1146" s="71"/>
      <c r="H1146" s="71"/>
      <c r="I1146" s="71"/>
      <c r="J1146" s="71"/>
      <c r="K1146" s="71"/>
      <c r="L1146" s="71"/>
      <c r="M1146" s="71"/>
      <c r="N1146" s="71"/>
      <c r="O1146" s="71"/>
      <c r="P1146" s="71"/>
      <c r="Q1146" s="71"/>
      <c r="R1146" s="71"/>
      <c r="S1146" s="71"/>
      <c r="T1146" s="71"/>
      <c r="U1146" s="71"/>
      <c r="V1146" s="71"/>
      <c r="W1146" s="71"/>
      <c r="X1146" s="71"/>
      <c r="Y1146" s="71"/>
      <c r="Z1146" s="71"/>
      <c r="AA1146" s="71"/>
      <c r="AB1146" s="71"/>
      <c r="AC1146" s="71"/>
      <c r="AD1146" s="71"/>
      <c r="AE1146" s="71"/>
      <c r="AF1146" s="71"/>
      <c r="AG1146" s="71"/>
      <c r="AH1146" s="71"/>
      <c r="AI1146" s="71"/>
      <c r="AJ1146" s="71"/>
      <c r="AK1146" s="71"/>
      <c r="AL1146" s="71"/>
      <c r="AM1146" s="71"/>
      <c r="AN1146" s="71"/>
      <c r="AO1146" s="71"/>
      <c r="AP1146" s="71"/>
      <c r="AQ1146" s="71"/>
      <c r="AR1146" s="77"/>
    </row>
    <row r="1147">
      <c r="A1147" s="71"/>
      <c r="B1147" s="71"/>
      <c r="C1147" s="71"/>
      <c r="D1147" s="71"/>
      <c r="E1147" s="71"/>
      <c r="F1147" s="71"/>
      <c r="G1147" s="71"/>
      <c r="H1147" s="71"/>
      <c r="I1147" s="71"/>
      <c r="J1147" s="71"/>
      <c r="K1147" s="71"/>
      <c r="L1147" s="71"/>
      <c r="M1147" s="71"/>
      <c r="N1147" s="71"/>
      <c r="O1147" s="71"/>
      <c r="P1147" s="71"/>
      <c r="Q1147" s="71"/>
      <c r="R1147" s="71"/>
      <c r="S1147" s="71"/>
      <c r="T1147" s="71"/>
      <c r="U1147" s="71"/>
      <c r="V1147" s="71"/>
      <c r="W1147" s="71"/>
      <c r="X1147" s="71"/>
      <c r="Y1147" s="71"/>
      <c r="Z1147" s="71"/>
      <c r="AA1147" s="71"/>
      <c r="AB1147" s="71"/>
      <c r="AC1147" s="71"/>
      <c r="AD1147" s="71"/>
      <c r="AE1147" s="71"/>
      <c r="AF1147" s="71"/>
      <c r="AG1147" s="71"/>
      <c r="AH1147" s="71"/>
      <c r="AI1147" s="71"/>
      <c r="AJ1147" s="71"/>
      <c r="AK1147" s="71"/>
      <c r="AL1147" s="71"/>
      <c r="AM1147" s="71"/>
      <c r="AN1147" s="71"/>
      <c r="AO1147" s="71"/>
      <c r="AP1147" s="71"/>
      <c r="AQ1147" s="71"/>
      <c r="AR1147" s="77"/>
    </row>
    <row r="1148">
      <c r="A1148" s="71"/>
      <c r="B1148" s="71"/>
      <c r="C1148" s="71"/>
      <c r="D1148" s="71"/>
      <c r="E1148" s="71"/>
      <c r="F1148" s="71"/>
      <c r="G1148" s="71"/>
      <c r="H1148" s="71"/>
      <c r="I1148" s="71"/>
      <c r="J1148" s="71"/>
      <c r="K1148" s="71"/>
      <c r="L1148" s="71"/>
      <c r="M1148" s="71"/>
      <c r="N1148" s="71"/>
      <c r="O1148" s="71"/>
      <c r="P1148" s="71"/>
      <c r="Q1148" s="71"/>
      <c r="R1148" s="71"/>
      <c r="S1148" s="71"/>
      <c r="T1148" s="71"/>
      <c r="U1148" s="71"/>
      <c r="V1148" s="71"/>
      <c r="W1148" s="71"/>
      <c r="X1148" s="71"/>
      <c r="Y1148" s="71"/>
      <c r="Z1148" s="71"/>
      <c r="AA1148" s="71"/>
      <c r="AB1148" s="71"/>
      <c r="AC1148" s="71"/>
      <c r="AD1148" s="71"/>
      <c r="AE1148" s="71"/>
      <c r="AF1148" s="71"/>
      <c r="AG1148" s="71"/>
      <c r="AH1148" s="71"/>
      <c r="AI1148" s="71"/>
      <c r="AJ1148" s="71"/>
      <c r="AK1148" s="71"/>
      <c r="AL1148" s="71"/>
      <c r="AM1148" s="71"/>
      <c r="AN1148" s="71"/>
      <c r="AO1148" s="71"/>
      <c r="AP1148" s="71"/>
      <c r="AQ1148" s="71"/>
      <c r="AR1148" s="77"/>
    </row>
    <row r="1149">
      <c r="A1149" s="71"/>
      <c r="B1149" s="71"/>
      <c r="C1149" s="71"/>
      <c r="D1149" s="71"/>
      <c r="E1149" s="71"/>
      <c r="F1149" s="71"/>
      <c r="G1149" s="71"/>
      <c r="H1149" s="71"/>
      <c r="I1149" s="71"/>
      <c r="J1149" s="71"/>
      <c r="K1149" s="71"/>
      <c r="L1149" s="71"/>
      <c r="M1149" s="71"/>
      <c r="N1149" s="71"/>
      <c r="O1149" s="71"/>
      <c r="P1149" s="71"/>
      <c r="Q1149" s="71"/>
      <c r="R1149" s="71"/>
      <c r="S1149" s="71"/>
      <c r="T1149" s="71"/>
      <c r="U1149" s="71"/>
      <c r="V1149" s="71"/>
      <c r="W1149" s="71"/>
      <c r="X1149" s="71"/>
      <c r="Y1149" s="71"/>
      <c r="Z1149" s="71"/>
      <c r="AA1149" s="71"/>
      <c r="AB1149" s="71"/>
      <c r="AC1149" s="71"/>
      <c r="AD1149" s="71"/>
      <c r="AE1149" s="71"/>
      <c r="AF1149" s="71"/>
      <c r="AG1149" s="71"/>
      <c r="AH1149" s="71"/>
      <c r="AI1149" s="71"/>
      <c r="AJ1149" s="71"/>
      <c r="AK1149" s="71"/>
      <c r="AL1149" s="71"/>
      <c r="AM1149" s="71"/>
      <c r="AN1149" s="71"/>
      <c r="AO1149" s="71"/>
      <c r="AP1149" s="71"/>
      <c r="AQ1149" s="71"/>
      <c r="AR1149" s="77"/>
    </row>
    <row r="1150">
      <c r="A1150" s="71"/>
      <c r="B1150" s="71"/>
      <c r="C1150" s="71"/>
      <c r="D1150" s="71"/>
      <c r="E1150" s="71"/>
      <c r="F1150" s="71"/>
      <c r="G1150" s="71"/>
      <c r="H1150" s="71"/>
      <c r="I1150" s="71"/>
      <c r="J1150" s="71"/>
      <c r="K1150" s="71"/>
      <c r="L1150" s="71"/>
      <c r="M1150" s="71"/>
      <c r="N1150" s="71"/>
      <c r="O1150" s="71"/>
      <c r="P1150" s="71"/>
      <c r="Q1150" s="71"/>
      <c r="R1150" s="71"/>
      <c r="S1150" s="71"/>
      <c r="T1150" s="71"/>
      <c r="U1150" s="71"/>
      <c r="V1150" s="71"/>
      <c r="W1150" s="71"/>
      <c r="X1150" s="71"/>
      <c r="Y1150" s="71"/>
      <c r="Z1150" s="71"/>
      <c r="AA1150" s="71"/>
      <c r="AB1150" s="71"/>
      <c r="AC1150" s="71"/>
      <c r="AD1150" s="71"/>
      <c r="AE1150" s="71"/>
      <c r="AF1150" s="71"/>
      <c r="AG1150" s="71"/>
      <c r="AH1150" s="71"/>
      <c r="AI1150" s="71"/>
      <c r="AJ1150" s="71"/>
      <c r="AK1150" s="71"/>
      <c r="AL1150" s="71"/>
      <c r="AM1150" s="71"/>
      <c r="AN1150" s="71"/>
      <c r="AO1150" s="71"/>
      <c r="AP1150" s="71"/>
      <c r="AQ1150" s="71"/>
      <c r="AR1150" s="77"/>
    </row>
    <row r="1151">
      <c r="A1151" s="71"/>
      <c r="B1151" s="71"/>
      <c r="C1151" s="71"/>
      <c r="D1151" s="71"/>
      <c r="E1151" s="71"/>
      <c r="F1151" s="71"/>
      <c r="G1151" s="71"/>
      <c r="H1151" s="71"/>
      <c r="I1151" s="71"/>
      <c r="J1151" s="71"/>
      <c r="K1151" s="71"/>
      <c r="L1151" s="71"/>
      <c r="M1151" s="71"/>
      <c r="N1151" s="71"/>
      <c r="O1151" s="71"/>
      <c r="P1151" s="71"/>
      <c r="Q1151" s="71"/>
      <c r="R1151" s="71"/>
      <c r="S1151" s="71"/>
      <c r="T1151" s="71"/>
      <c r="U1151" s="71"/>
      <c r="V1151" s="71"/>
      <c r="W1151" s="71"/>
      <c r="X1151" s="71"/>
      <c r="Y1151" s="71"/>
      <c r="Z1151" s="71"/>
      <c r="AA1151" s="71"/>
      <c r="AB1151" s="71"/>
      <c r="AC1151" s="71"/>
      <c r="AD1151" s="71"/>
      <c r="AE1151" s="71"/>
      <c r="AF1151" s="71"/>
      <c r="AG1151" s="71"/>
      <c r="AH1151" s="71"/>
      <c r="AI1151" s="71"/>
      <c r="AJ1151" s="71"/>
      <c r="AK1151" s="71"/>
      <c r="AL1151" s="71"/>
      <c r="AM1151" s="71"/>
      <c r="AN1151" s="71"/>
      <c r="AO1151" s="71"/>
      <c r="AP1151" s="71"/>
      <c r="AQ1151" s="71"/>
      <c r="AR1151" s="77"/>
    </row>
    <row r="1152">
      <c r="A1152" s="71"/>
      <c r="B1152" s="71"/>
      <c r="C1152" s="71"/>
      <c r="D1152" s="71"/>
      <c r="E1152" s="71"/>
      <c r="F1152" s="71"/>
      <c r="G1152" s="71"/>
      <c r="H1152" s="71"/>
      <c r="I1152" s="71"/>
      <c r="J1152" s="71"/>
      <c r="K1152" s="71"/>
      <c r="L1152" s="71"/>
      <c r="M1152" s="71"/>
      <c r="N1152" s="71"/>
      <c r="O1152" s="71"/>
      <c r="P1152" s="71"/>
      <c r="Q1152" s="71"/>
      <c r="R1152" s="71"/>
      <c r="S1152" s="71"/>
      <c r="T1152" s="71"/>
      <c r="U1152" s="71"/>
      <c r="V1152" s="71"/>
      <c r="W1152" s="71"/>
      <c r="X1152" s="71"/>
      <c r="Y1152" s="71"/>
      <c r="Z1152" s="71"/>
      <c r="AA1152" s="71"/>
      <c r="AB1152" s="71"/>
      <c r="AC1152" s="71"/>
      <c r="AD1152" s="71"/>
      <c r="AE1152" s="71"/>
      <c r="AF1152" s="71"/>
      <c r="AG1152" s="71"/>
      <c r="AH1152" s="71"/>
      <c r="AI1152" s="71"/>
      <c r="AJ1152" s="71"/>
      <c r="AK1152" s="71"/>
      <c r="AL1152" s="71"/>
      <c r="AM1152" s="71"/>
      <c r="AN1152" s="71"/>
      <c r="AO1152" s="71"/>
      <c r="AP1152" s="71"/>
      <c r="AQ1152" s="71"/>
      <c r="AR1152" s="77"/>
    </row>
    <row r="1153">
      <c r="A1153" s="71"/>
      <c r="B1153" s="71"/>
      <c r="C1153" s="71"/>
      <c r="D1153" s="71"/>
      <c r="E1153" s="71"/>
      <c r="F1153" s="71"/>
      <c r="G1153" s="71"/>
      <c r="H1153" s="71"/>
      <c r="I1153" s="71"/>
      <c r="J1153" s="71"/>
      <c r="K1153" s="71"/>
      <c r="L1153" s="71"/>
      <c r="M1153" s="71"/>
      <c r="N1153" s="71"/>
      <c r="O1153" s="71"/>
      <c r="P1153" s="71"/>
      <c r="Q1153" s="71"/>
      <c r="R1153" s="71"/>
      <c r="S1153" s="71"/>
      <c r="T1153" s="71"/>
      <c r="U1153" s="71"/>
      <c r="V1153" s="71"/>
      <c r="W1153" s="71"/>
      <c r="X1153" s="71"/>
      <c r="Y1153" s="71"/>
      <c r="Z1153" s="71"/>
      <c r="AA1153" s="71"/>
      <c r="AB1153" s="71"/>
      <c r="AC1153" s="71"/>
      <c r="AD1153" s="71"/>
      <c r="AE1153" s="71"/>
      <c r="AF1153" s="71"/>
      <c r="AG1153" s="71"/>
      <c r="AH1153" s="71"/>
      <c r="AI1153" s="71"/>
      <c r="AJ1153" s="71"/>
      <c r="AK1153" s="71"/>
      <c r="AL1153" s="71"/>
      <c r="AM1153" s="71"/>
      <c r="AN1153" s="71"/>
      <c r="AO1153" s="71"/>
      <c r="AP1153" s="71"/>
      <c r="AQ1153" s="71"/>
      <c r="AR1153" s="77"/>
    </row>
    <row r="1154">
      <c r="A1154" s="71"/>
      <c r="B1154" s="71"/>
      <c r="C1154" s="71"/>
      <c r="D1154" s="71"/>
      <c r="E1154" s="71"/>
      <c r="F1154" s="71"/>
      <c r="G1154" s="71"/>
      <c r="H1154" s="71"/>
      <c r="I1154" s="71"/>
      <c r="J1154" s="71"/>
      <c r="K1154" s="71"/>
      <c r="L1154" s="71"/>
      <c r="M1154" s="71"/>
      <c r="N1154" s="71"/>
      <c r="O1154" s="71"/>
      <c r="P1154" s="71"/>
      <c r="Q1154" s="71"/>
      <c r="R1154" s="71"/>
      <c r="S1154" s="71"/>
      <c r="T1154" s="71"/>
      <c r="U1154" s="71"/>
      <c r="V1154" s="71"/>
      <c r="W1154" s="71"/>
      <c r="X1154" s="71"/>
      <c r="Y1154" s="71"/>
      <c r="Z1154" s="71"/>
      <c r="AA1154" s="71"/>
      <c r="AB1154" s="71"/>
      <c r="AC1154" s="71"/>
      <c r="AD1154" s="71"/>
      <c r="AE1154" s="71"/>
      <c r="AF1154" s="71"/>
      <c r="AG1154" s="71"/>
      <c r="AH1154" s="71"/>
      <c r="AI1154" s="71"/>
      <c r="AJ1154" s="71"/>
      <c r="AK1154" s="71"/>
      <c r="AL1154" s="71"/>
      <c r="AM1154" s="71"/>
      <c r="AN1154" s="71"/>
      <c r="AO1154" s="71"/>
      <c r="AP1154" s="71"/>
      <c r="AQ1154" s="71"/>
      <c r="AR1154" s="77"/>
    </row>
    <row r="1155">
      <c r="A1155" s="71"/>
      <c r="B1155" s="71"/>
      <c r="C1155" s="71"/>
      <c r="D1155" s="71"/>
      <c r="E1155" s="71"/>
      <c r="F1155" s="71"/>
      <c r="G1155" s="71"/>
      <c r="H1155" s="71"/>
      <c r="I1155" s="71"/>
      <c r="J1155" s="71"/>
      <c r="K1155" s="71"/>
      <c r="L1155" s="71"/>
      <c r="M1155" s="71"/>
      <c r="N1155" s="71"/>
      <c r="O1155" s="71"/>
      <c r="P1155" s="71"/>
      <c r="Q1155" s="71"/>
      <c r="R1155" s="71"/>
      <c r="S1155" s="71"/>
      <c r="T1155" s="71"/>
      <c r="U1155" s="71"/>
      <c r="V1155" s="71"/>
      <c r="W1155" s="71"/>
      <c r="X1155" s="71"/>
      <c r="Y1155" s="71"/>
      <c r="Z1155" s="71"/>
      <c r="AA1155" s="71"/>
      <c r="AB1155" s="71"/>
      <c r="AC1155" s="71"/>
      <c r="AD1155" s="71"/>
      <c r="AE1155" s="71"/>
      <c r="AF1155" s="71"/>
      <c r="AG1155" s="71"/>
      <c r="AH1155" s="71"/>
      <c r="AI1155" s="71"/>
      <c r="AJ1155" s="71"/>
      <c r="AK1155" s="71"/>
      <c r="AL1155" s="71"/>
      <c r="AM1155" s="71"/>
      <c r="AN1155" s="71"/>
      <c r="AO1155" s="71"/>
      <c r="AP1155" s="71"/>
      <c r="AQ1155" s="71"/>
      <c r="AR1155" s="77"/>
    </row>
    <row r="1156">
      <c r="A1156" s="71"/>
      <c r="B1156" s="71"/>
      <c r="C1156" s="71"/>
      <c r="D1156" s="71"/>
      <c r="E1156" s="71"/>
      <c r="F1156" s="71"/>
      <c r="G1156" s="71"/>
      <c r="H1156" s="71"/>
      <c r="I1156" s="71"/>
      <c r="J1156" s="71"/>
      <c r="K1156" s="71"/>
      <c r="L1156" s="71"/>
      <c r="M1156" s="71"/>
      <c r="N1156" s="71"/>
      <c r="O1156" s="71"/>
      <c r="P1156" s="71"/>
      <c r="Q1156" s="71"/>
      <c r="R1156" s="71"/>
      <c r="S1156" s="71"/>
      <c r="T1156" s="71"/>
      <c r="U1156" s="71"/>
      <c r="V1156" s="71"/>
      <c r="W1156" s="71"/>
      <c r="X1156" s="71"/>
      <c r="Y1156" s="71"/>
      <c r="Z1156" s="71"/>
      <c r="AA1156" s="71"/>
      <c r="AB1156" s="71"/>
      <c r="AC1156" s="71"/>
      <c r="AD1156" s="71"/>
      <c r="AE1156" s="71"/>
      <c r="AF1156" s="71"/>
      <c r="AG1156" s="71"/>
      <c r="AH1156" s="71"/>
      <c r="AI1156" s="71"/>
      <c r="AJ1156" s="71"/>
      <c r="AK1156" s="71"/>
      <c r="AL1156" s="71"/>
      <c r="AM1156" s="71"/>
      <c r="AN1156" s="71"/>
      <c r="AO1156" s="71"/>
      <c r="AP1156" s="71"/>
      <c r="AQ1156" s="71"/>
      <c r="AR1156" s="77"/>
    </row>
    <row r="1157">
      <c r="A1157" s="71"/>
      <c r="B1157" s="71"/>
      <c r="C1157" s="71"/>
      <c r="D1157" s="71"/>
      <c r="E1157" s="71"/>
      <c r="F1157" s="71"/>
      <c r="G1157" s="71"/>
      <c r="H1157" s="71"/>
      <c r="I1157" s="71"/>
      <c r="J1157" s="71"/>
      <c r="K1157" s="71"/>
      <c r="L1157" s="71"/>
      <c r="M1157" s="71"/>
      <c r="N1157" s="71"/>
      <c r="O1157" s="71"/>
      <c r="P1157" s="71"/>
      <c r="Q1157" s="71"/>
      <c r="R1157" s="71"/>
      <c r="S1157" s="71"/>
      <c r="T1157" s="71"/>
      <c r="U1157" s="71"/>
      <c r="V1157" s="71"/>
      <c r="W1157" s="71"/>
      <c r="X1157" s="71"/>
      <c r="Y1157" s="71"/>
      <c r="Z1157" s="71"/>
      <c r="AA1157" s="71"/>
      <c r="AB1157" s="71"/>
      <c r="AC1157" s="71"/>
      <c r="AD1157" s="71"/>
      <c r="AE1157" s="71"/>
      <c r="AF1157" s="71"/>
      <c r="AG1157" s="71"/>
      <c r="AH1157" s="71"/>
      <c r="AI1157" s="71"/>
      <c r="AJ1157" s="71"/>
      <c r="AK1157" s="71"/>
      <c r="AL1157" s="71"/>
      <c r="AM1157" s="71"/>
      <c r="AN1157" s="71"/>
      <c r="AO1157" s="71"/>
      <c r="AP1157" s="71"/>
      <c r="AQ1157" s="71"/>
      <c r="AR1157" s="77"/>
    </row>
    <row r="1158">
      <c r="A1158" s="71"/>
      <c r="B1158" s="71"/>
      <c r="C1158" s="71"/>
      <c r="D1158" s="71"/>
      <c r="E1158" s="71"/>
      <c r="F1158" s="71"/>
      <c r="G1158" s="71"/>
      <c r="H1158" s="71"/>
      <c r="I1158" s="71"/>
      <c r="J1158" s="71"/>
      <c r="K1158" s="71"/>
      <c r="L1158" s="71"/>
      <c r="M1158" s="71"/>
      <c r="N1158" s="71"/>
      <c r="O1158" s="71"/>
      <c r="P1158" s="71"/>
      <c r="Q1158" s="71"/>
      <c r="R1158" s="71"/>
      <c r="S1158" s="71"/>
      <c r="T1158" s="71"/>
      <c r="U1158" s="71"/>
      <c r="V1158" s="71"/>
      <c r="W1158" s="71"/>
      <c r="X1158" s="71"/>
      <c r="Y1158" s="71"/>
      <c r="Z1158" s="71"/>
      <c r="AA1158" s="71"/>
      <c r="AB1158" s="71"/>
      <c r="AC1158" s="71"/>
      <c r="AD1158" s="71"/>
      <c r="AE1158" s="71"/>
      <c r="AF1158" s="71"/>
      <c r="AG1158" s="71"/>
      <c r="AH1158" s="71"/>
      <c r="AI1158" s="71"/>
      <c r="AJ1158" s="71"/>
      <c r="AK1158" s="71"/>
      <c r="AL1158" s="71"/>
      <c r="AM1158" s="71"/>
      <c r="AN1158" s="71"/>
      <c r="AO1158" s="71"/>
      <c r="AP1158" s="71"/>
      <c r="AQ1158" s="71"/>
      <c r="AR1158" s="77"/>
    </row>
    <row r="1159">
      <c r="A1159" s="71"/>
      <c r="B1159" s="71"/>
      <c r="C1159" s="71"/>
      <c r="D1159" s="71"/>
      <c r="E1159" s="71"/>
      <c r="F1159" s="71"/>
      <c r="G1159" s="71"/>
      <c r="H1159" s="71"/>
      <c r="I1159" s="71"/>
      <c r="J1159" s="71"/>
      <c r="K1159" s="71"/>
      <c r="L1159" s="71"/>
      <c r="M1159" s="71"/>
      <c r="N1159" s="71"/>
      <c r="O1159" s="71"/>
      <c r="P1159" s="71"/>
      <c r="Q1159" s="71"/>
      <c r="R1159" s="71"/>
      <c r="S1159" s="71"/>
      <c r="T1159" s="71"/>
      <c r="U1159" s="71"/>
      <c r="V1159" s="71"/>
      <c r="W1159" s="71"/>
      <c r="X1159" s="71"/>
      <c r="Y1159" s="71"/>
      <c r="Z1159" s="71"/>
      <c r="AA1159" s="71"/>
      <c r="AB1159" s="71"/>
      <c r="AC1159" s="71"/>
      <c r="AD1159" s="71"/>
      <c r="AE1159" s="71"/>
      <c r="AF1159" s="71"/>
      <c r="AG1159" s="71"/>
      <c r="AH1159" s="71"/>
      <c r="AI1159" s="71"/>
      <c r="AJ1159" s="71"/>
      <c r="AK1159" s="71"/>
      <c r="AL1159" s="71"/>
      <c r="AM1159" s="71"/>
      <c r="AN1159" s="71"/>
      <c r="AO1159" s="71"/>
      <c r="AP1159" s="71"/>
      <c r="AQ1159" s="71"/>
      <c r="AR1159" s="77"/>
    </row>
    <row r="1160">
      <c r="A1160" s="71"/>
      <c r="B1160" s="71"/>
      <c r="C1160" s="71"/>
      <c r="D1160" s="71"/>
      <c r="E1160" s="71"/>
      <c r="F1160" s="71"/>
      <c r="G1160" s="71"/>
      <c r="H1160" s="71"/>
      <c r="I1160" s="71"/>
      <c r="J1160" s="71"/>
      <c r="K1160" s="71"/>
      <c r="L1160" s="71"/>
      <c r="M1160" s="71"/>
      <c r="N1160" s="71"/>
      <c r="O1160" s="71"/>
      <c r="P1160" s="71"/>
      <c r="Q1160" s="71"/>
      <c r="R1160" s="71"/>
      <c r="S1160" s="71"/>
      <c r="T1160" s="71"/>
      <c r="U1160" s="71"/>
      <c r="V1160" s="71"/>
      <c r="W1160" s="71"/>
      <c r="X1160" s="71"/>
      <c r="Y1160" s="71"/>
      <c r="Z1160" s="71"/>
      <c r="AA1160" s="71"/>
      <c r="AB1160" s="71"/>
      <c r="AC1160" s="71"/>
      <c r="AD1160" s="71"/>
      <c r="AE1160" s="71"/>
      <c r="AF1160" s="71"/>
      <c r="AG1160" s="71"/>
      <c r="AH1160" s="71"/>
      <c r="AI1160" s="71"/>
      <c r="AJ1160" s="71"/>
      <c r="AK1160" s="71"/>
      <c r="AL1160" s="71"/>
      <c r="AM1160" s="71"/>
      <c r="AN1160" s="71"/>
      <c r="AO1160" s="71"/>
      <c r="AP1160" s="71"/>
      <c r="AQ1160" s="71"/>
      <c r="AR1160" s="77"/>
    </row>
    <row r="1161">
      <c r="A1161" s="71"/>
      <c r="B1161" s="71"/>
      <c r="C1161" s="71"/>
      <c r="D1161" s="71"/>
      <c r="E1161" s="71"/>
      <c r="F1161" s="71"/>
      <c r="G1161" s="71"/>
      <c r="H1161" s="71"/>
      <c r="I1161" s="71"/>
      <c r="J1161" s="71"/>
      <c r="K1161" s="71"/>
      <c r="L1161" s="71"/>
      <c r="M1161" s="71"/>
      <c r="N1161" s="71"/>
      <c r="O1161" s="71"/>
      <c r="P1161" s="71"/>
      <c r="Q1161" s="71"/>
      <c r="R1161" s="71"/>
      <c r="S1161" s="71"/>
      <c r="T1161" s="71"/>
      <c r="U1161" s="71"/>
      <c r="V1161" s="71"/>
      <c r="W1161" s="71"/>
      <c r="X1161" s="71"/>
      <c r="Y1161" s="71"/>
      <c r="Z1161" s="71"/>
      <c r="AA1161" s="71"/>
      <c r="AB1161" s="71"/>
      <c r="AC1161" s="71"/>
      <c r="AD1161" s="71"/>
      <c r="AE1161" s="71"/>
      <c r="AF1161" s="71"/>
      <c r="AG1161" s="71"/>
      <c r="AH1161" s="71"/>
      <c r="AI1161" s="71"/>
      <c r="AJ1161" s="71"/>
      <c r="AK1161" s="71"/>
      <c r="AL1161" s="71"/>
      <c r="AM1161" s="71"/>
      <c r="AN1161" s="71"/>
      <c r="AO1161" s="71"/>
      <c r="AP1161" s="71"/>
      <c r="AQ1161" s="71"/>
      <c r="AR1161" s="77"/>
    </row>
    <row r="1162">
      <c r="A1162" s="71"/>
      <c r="B1162" s="71"/>
      <c r="C1162" s="71"/>
      <c r="D1162" s="71"/>
      <c r="E1162" s="71"/>
      <c r="F1162" s="71"/>
      <c r="G1162" s="71"/>
      <c r="H1162" s="71"/>
      <c r="I1162" s="71"/>
      <c r="J1162" s="71"/>
      <c r="K1162" s="71"/>
      <c r="L1162" s="71"/>
      <c r="M1162" s="71"/>
      <c r="N1162" s="71"/>
      <c r="O1162" s="71"/>
      <c r="P1162" s="71"/>
      <c r="Q1162" s="71"/>
      <c r="R1162" s="71"/>
      <c r="S1162" s="71"/>
      <c r="T1162" s="71"/>
      <c r="U1162" s="71"/>
      <c r="V1162" s="71"/>
      <c r="W1162" s="71"/>
      <c r="X1162" s="71"/>
      <c r="Y1162" s="71"/>
      <c r="Z1162" s="71"/>
      <c r="AA1162" s="71"/>
      <c r="AB1162" s="71"/>
      <c r="AC1162" s="71"/>
      <c r="AD1162" s="71"/>
      <c r="AE1162" s="71"/>
      <c r="AF1162" s="71"/>
      <c r="AG1162" s="71"/>
      <c r="AH1162" s="71"/>
      <c r="AI1162" s="71"/>
      <c r="AJ1162" s="71"/>
      <c r="AK1162" s="71"/>
      <c r="AL1162" s="71"/>
      <c r="AM1162" s="71"/>
      <c r="AN1162" s="71"/>
      <c r="AO1162" s="71"/>
      <c r="AP1162" s="71"/>
      <c r="AQ1162" s="71"/>
      <c r="AR1162" s="77"/>
    </row>
    <row r="1163">
      <c r="A1163" s="71"/>
      <c r="B1163" s="71"/>
      <c r="C1163" s="71"/>
      <c r="D1163" s="71"/>
      <c r="E1163" s="71"/>
      <c r="F1163" s="71"/>
      <c r="G1163" s="71"/>
      <c r="H1163" s="71"/>
      <c r="I1163" s="71"/>
      <c r="J1163" s="71"/>
      <c r="K1163" s="71"/>
      <c r="L1163" s="71"/>
      <c r="M1163" s="71"/>
      <c r="N1163" s="71"/>
      <c r="O1163" s="71"/>
      <c r="P1163" s="71"/>
      <c r="Q1163" s="71"/>
      <c r="R1163" s="71"/>
      <c r="S1163" s="71"/>
      <c r="T1163" s="71"/>
      <c r="U1163" s="71"/>
      <c r="V1163" s="71"/>
      <c r="W1163" s="71"/>
      <c r="X1163" s="71"/>
      <c r="Y1163" s="71"/>
      <c r="Z1163" s="71"/>
      <c r="AA1163" s="71"/>
      <c r="AB1163" s="71"/>
      <c r="AC1163" s="71"/>
      <c r="AD1163" s="71"/>
      <c r="AE1163" s="71"/>
      <c r="AF1163" s="71"/>
      <c r="AG1163" s="71"/>
      <c r="AH1163" s="71"/>
      <c r="AI1163" s="71"/>
      <c r="AJ1163" s="71"/>
      <c r="AK1163" s="71"/>
      <c r="AL1163" s="71"/>
      <c r="AM1163" s="71"/>
      <c r="AN1163" s="71"/>
      <c r="AO1163" s="71"/>
      <c r="AP1163" s="71"/>
      <c r="AQ1163" s="71"/>
      <c r="AR1163" s="77"/>
    </row>
    <row r="1164">
      <c r="A1164" s="71"/>
      <c r="B1164" s="71"/>
      <c r="C1164" s="71"/>
      <c r="D1164" s="71"/>
      <c r="E1164" s="71"/>
      <c r="F1164" s="71"/>
      <c r="G1164" s="71"/>
      <c r="H1164" s="71"/>
      <c r="I1164" s="71"/>
      <c r="J1164" s="71"/>
      <c r="K1164" s="71"/>
      <c r="L1164" s="71"/>
      <c r="M1164" s="71"/>
      <c r="N1164" s="71"/>
      <c r="O1164" s="71"/>
      <c r="P1164" s="71"/>
      <c r="Q1164" s="71"/>
      <c r="R1164" s="71"/>
      <c r="S1164" s="71"/>
      <c r="T1164" s="71"/>
      <c r="U1164" s="71"/>
      <c r="V1164" s="71"/>
      <c r="W1164" s="71"/>
      <c r="X1164" s="71"/>
      <c r="Y1164" s="71"/>
      <c r="Z1164" s="71"/>
      <c r="AA1164" s="71"/>
      <c r="AB1164" s="71"/>
      <c r="AC1164" s="71"/>
      <c r="AD1164" s="71"/>
      <c r="AE1164" s="71"/>
      <c r="AF1164" s="71"/>
      <c r="AG1164" s="71"/>
      <c r="AH1164" s="71"/>
      <c r="AI1164" s="71"/>
      <c r="AJ1164" s="71"/>
      <c r="AK1164" s="71"/>
      <c r="AL1164" s="71"/>
      <c r="AM1164" s="71"/>
      <c r="AN1164" s="71"/>
      <c r="AO1164" s="71"/>
      <c r="AP1164" s="71"/>
      <c r="AQ1164" s="71"/>
      <c r="AR1164" s="77"/>
    </row>
    <row r="1165">
      <c r="A1165" s="71"/>
      <c r="B1165" s="71"/>
      <c r="C1165" s="71"/>
      <c r="D1165" s="71"/>
      <c r="E1165" s="71"/>
      <c r="F1165" s="71"/>
      <c r="G1165" s="71"/>
      <c r="H1165" s="71"/>
      <c r="I1165" s="71"/>
      <c r="J1165" s="71"/>
      <c r="K1165" s="71"/>
      <c r="L1165" s="71"/>
      <c r="M1165" s="71"/>
      <c r="N1165" s="71"/>
      <c r="O1165" s="71"/>
      <c r="P1165" s="71"/>
      <c r="Q1165" s="71"/>
      <c r="R1165" s="71"/>
      <c r="S1165" s="71"/>
      <c r="T1165" s="71"/>
      <c r="U1165" s="71"/>
      <c r="V1165" s="71"/>
      <c r="W1165" s="71"/>
      <c r="X1165" s="71"/>
      <c r="Y1165" s="71"/>
      <c r="Z1165" s="71"/>
      <c r="AA1165" s="71"/>
      <c r="AB1165" s="71"/>
      <c r="AC1165" s="71"/>
      <c r="AD1165" s="71"/>
      <c r="AE1165" s="71"/>
      <c r="AF1165" s="71"/>
      <c r="AG1165" s="71"/>
      <c r="AH1165" s="71"/>
      <c r="AI1165" s="71"/>
      <c r="AJ1165" s="71"/>
      <c r="AK1165" s="71"/>
      <c r="AL1165" s="71"/>
      <c r="AM1165" s="71"/>
      <c r="AN1165" s="71"/>
      <c r="AO1165" s="71"/>
      <c r="AP1165" s="71"/>
      <c r="AQ1165" s="71"/>
      <c r="AR1165" s="77"/>
    </row>
    <row r="1166">
      <c r="A1166" s="71"/>
      <c r="B1166" s="71"/>
      <c r="C1166" s="71"/>
      <c r="D1166" s="71"/>
      <c r="E1166" s="71"/>
      <c r="F1166" s="71"/>
      <c r="G1166" s="71"/>
      <c r="H1166" s="71"/>
      <c r="I1166" s="71"/>
      <c r="J1166" s="71"/>
      <c r="K1166" s="71"/>
      <c r="L1166" s="71"/>
      <c r="M1166" s="71"/>
      <c r="N1166" s="71"/>
      <c r="O1166" s="71"/>
      <c r="P1166" s="71"/>
      <c r="Q1166" s="71"/>
      <c r="R1166" s="71"/>
      <c r="S1166" s="71"/>
      <c r="T1166" s="71"/>
      <c r="U1166" s="71"/>
      <c r="V1166" s="71"/>
      <c r="W1166" s="71"/>
      <c r="X1166" s="71"/>
      <c r="Y1166" s="71"/>
      <c r="Z1166" s="71"/>
      <c r="AA1166" s="71"/>
      <c r="AB1166" s="71"/>
      <c r="AC1166" s="71"/>
      <c r="AD1166" s="71"/>
      <c r="AE1166" s="71"/>
      <c r="AF1166" s="71"/>
      <c r="AG1166" s="71"/>
      <c r="AH1166" s="71"/>
      <c r="AI1166" s="71"/>
      <c r="AJ1166" s="71"/>
      <c r="AK1166" s="71"/>
      <c r="AL1166" s="71"/>
      <c r="AM1166" s="71"/>
      <c r="AN1166" s="71"/>
      <c r="AO1166" s="71"/>
      <c r="AP1166" s="71"/>
      <c r="AQ1166" s="71"/>
      <c r="AR1166" s="77"/>
    </row>
    <row r="1167">
      <c r="A1167" s="71"/>
      <c r="B1167" s="71"/>
      <c r="C1167" s="71"/>
      <c r="D1167" s="71"/>
      <c r="E1167" s="71"/>
      <c r="F1167" s="71"/>
      <c r="G1167" s="71"/>
      <c r="H1167" s="71"/>
      <c r="I1167" s="71"/>
      <c r="J1167" s="71"/>
      <c r="K1167" s="71"/>
      <c r="L1167" s="71"/>
      <c r="M1167" s="71"/>
      <c r="N1167" s="71"/>
      <c r="O1167" s="71"/>
      <c r="P1167" s="71"/>
      <c r="Q1167" s="71"/>
      <c r="R1167" s="71"/>
      <c r="S1167" s="71"/>
      <c r="T1167" s="71"/>
      <c r="U1167" s="71"/>
      <c r="V1167" s="71"/>
      <c r="W1167" s="71"/>
      <c r="X1167" s="71"/>
      <c r="Y1167" s="71"/>
      <c r="Z1167" s="71"/>
      <c r="AA1167" s="71"/>
      <c r="AB1167" s="71"/>
      <c r="AC1167" s="71"/>
      <c r="AD1167" s="71"/>
      <c r="AE1167" s="71"/>
      <c r="AF1167" s="71"/>
      <c r="AG1167" s="71"/>
      <c r="AH1167" s="71"/>
      <c r="AI1167" s="71"/>
      <c r="AJ1167" s="71"/>
      <c r="AK1167" s="71"/>
      <c r="AL1167" s="71"/>
      <c r="AM1167" s="71"/>
      <c r="AN1167" s="71"/>
      <c r="AO1167" s="71"/>
      <c r="AP1167" s="71"/>
      <c r="AQ1167" s="71"/>
      <c r="AR1167" s="77"/>
    </row>
    <row r="1168">
      <c r="A1168" s="71"/>
      <c r="B1168" s="71"/>
      <c r="C1168" s="71"/>
      <c r="D1168" s="71"/>
      <c r="E1168" s="71"/>
      <c r="F1168" s="71"/>
      <c r="G1168" s="71"/>
      <c r="H1168" s="71"/>
      <c r="I1168" s="71"/>
      <c r="J1168" s="71"/>
      <c r="K1168" s="71"/>
      <c r="L1168" s="71"/>
      <c r="M1168" s="71"/>
      <c r="N1168" s="71"/>
      <c r="O1168" s="71"/>
      <c r="P1168" s="71"/>
      <c r="Q1168" s="71"/>
      <c r="R1168" s="71"/>
      <c r="S1168" s="71"/>
      <c r="T1168" s="71"/>
      <c r="U1168" s="71"/>
      <c r="V1168" s="71"/>
      <c r="W1168" s="71"/>
      <c r="X1168" s="71"/>
      <c r="Y1168" s="71"/>
      <c r="Z1168" s="71"/>
      <c r="AA1168" s="71"/>
      <c r="AB1168" s="71"/>
      <c r="AC1168" s="71"/>
      <c r="AD1168" s="71"/>
      <c r="AE1168" s="71"/>
      <c r="AF1168" s="71"/>
      <c r="AG1168" s="71"/>
      <c r="AH1168" s="71"/>
      <c r="AI1168" s="71"/>
      <c r="AJ1168" s="71"/>
      <c r="AK1168" s="71"/>
      <c r="AL1168" s="71"/>
      <c r="AM1168" s="71"/>
      <c r="AN1168" s="71"/>
      <c r="AO1168" s="71"/>
      <c r="AP1168" s="71"/>
      <c r="AQ1168" s="71"/>
      <c r="AR1168" s="77"/>
    </row>
    <row r="1169">
      <c r="A1169" s="71"/>
      <c r="B1169" s="71"/>
      <c r="C1169" s="71"/>
      <c r="D1169" s="71"/>
      <c r="E1169" s="71"/>
      <c r="F1169" s="71"/>
      <c r="G1169" s="71"/>
      <c r="H1169" s="71"/>
      <c r="I1169" s="71"/>
      <c r="J1169" s="71"/>
      <c r="K1169" s="71"/>
      <c r="L1169" s="71"/>
      <c r="M1169" s="71"/>
      <c r="N1169" s="71"/>
      <c r="O1169" s="71"/>
      <c r="P1169" s="71"/>
      <c r="Q1169" s="71"/>
      <c r="R1169" s="71"/>
      <c r="S1169" s="71"/>
      <c r="T1169" s="71"/>
      <c r="U1169" s="71"/>
      <c r="V1169" s="71"/>
      <c r="W1169" s="71"/>
      <c r="X1169" s="71"/>
      <c r="Y1169" s="71"/>
      <c r="Z1169" s="71"/>
      <c r="AA1169" s="71"/>
      <c r="AB1169" s="71"/>
      <c r="AC1169" s="71"/>
      <c r="AD1169" s="71"/>
      <c r="AE1169" s="71"/>
      <c r="AF1169" s="71"/>
      <c r="AG1169" s="71"/>
      <c r="AH1169" s="71"/>
      <c r="AI1169" s="71"/>
      <c r="AJ1169" s="71"/>
      <c r="AK1169" s="71"/>
      <c r="AL1169" s="71"/>
      <c r="AM1169" s="71"/>
      <c r="AN1169" s="71"/>
      <c r="AO1169" s="71"/>
      <c r="AP1169" s="71"/>
      <c r="AQ1169" s="71"/>
      <c r="AR1169" s="77"/>
    </row>
    <row r="1170">
      <c r="A1170" s="71"/>
      <c r="B1170" s="71"/>
      <c r="C1170" s="71"/>
      <c r="D1170" s="71"/>
      <c r="E1170" s="71"/>
      <c r="F1170" s="71"/>
      <c r="G1170" s="71"/>
      <c r="H1170" s="71"/>
      <c r="I1170" s="71"/>
      <c r="J1170" s="71"/>
      <c r="K1170" s="71"/>
      <c r="L1170" s="71"/>
      <c r="M1170" s="71"/>
      <c r="N1170" s="71"/>
      <c r="O1170" s="71"/>
      <c r="P1170" s="71"/>
      <c r="Q1170" s="71"/>
      <c r="R1170" s="71"/>
      <c r="S1170" s="71"/>
      <c r="T1170" s="71"/>
      <c r="U1170" s="71"/>
      <c r="V1170" s="71"/>
      <c r="W1170" s="71"/>
      <c r="X1170" s="71"/>
      <c r="Y1170" s="71"/>
      <c r="Z1170" s="71"/>
      <c r="AA1170" s="71"/>
      <c r="AB1170" s="71"/>
      <c r="AC1170" s="71"/>
      <c r="AD1170" s="71"/>
      <c r="AE1170" s="71"/>
      <c r="AF1170" s="71"/>
      <c r="AG1170" s="71"/>
      <c r="AH1170" s="71"/>
      <c r="AI1170" s="71"/>
      <c r="AJ1170" s="71"/>
      <c r="AK1170" s="71"/>
      <c r="AL1170" s="71"/>
      <c r="AM1170" s="71"/>
      <c r="AN1170" s="71"/>
      <c r="AO1170" s="71"/>
      <c r="AP1170" s="71"/>
      <c r="AQ1170" s="71"/>
      <c r="AR1170" s="77"/>
    </row>
    <row r="1171">
      <c r="A1171" s="71"/>
      <c r="B1171" s="71"/>
      <c r="C1171" s="71"/>
      <c r="D1171" s="71"/>
      <c r="E1171" s="71"/>
      <c r="F1171" s="71"/>
      <c r="G1171" s="71"/>
      <c r="H1171" s="71"/>
      <c r="I1171" s="71"/>
      <c r="J1171" s="71"/>
      <c r="K1171" s="71"/>
      <c r="L1171" s="71"/>
      <c r="M1171" s="71"/>
      <c r="N1171" s="71"/>
      <c r="O1171" s="71"/>
      <c r="P1171" s="71"/>
      <c r="Q1171" s="71"/>
      <c r="R1171" s="71"/>
      <c r="S1171" s="71"/>
      <c r="T1171" s="71"/>
      <c r="U1171" s="71"/>
      <c r="V1171" s="71"/>
      <c r="W1171" s="71"/>
      <c r="X1171" s="71"/>
      <c r="Y1171" s="71"/>
      <c r="Z1171" s="71"/>
      <c r="AA1171" s="71"/>
      <c r="AB1171" s="71"/>
      <c r="AC1171" s="71"/>
      <c r="AD1171" s="71"/>
      <c r="AE1171" s="71"/>
      <c r="AF1171" s="71"/>
      <c r="AG1171" s="71"/>
      <c r="AH1171" s="71"/>
      <c r="AI1171" s="71"/>
      <c r="AJ1171" s="71"/>
      <c r="AK1171" s="71"/>
      <c r="AL1171" s="71"/>
      <c r="AM1171" s="71"/>
      <c r="AN1171" s="71"/>
      <c r="AO1171" s="71"/>
      <c r="AP1171" s="71"/>
      <c r="AQ1171" s="71"/>
      <c r="AR1171" s="77"/>
    </row>
    <row r="1172">
      <c r="A1172" s="71"/>
      <c r="B1172" s="71"/>
      <c r="C1172" s="71"/>
      <c r="D1172" s="71"/>
      <c r="E1172" s="71"/>
      <c r="F1172" s="71"/>
      <c r="G1172" s="71"/>
      <c r="H1172" s="71"/>
      <c r="I1172" s="71"/>
      <c r="J1172" s="71"/>
      <c r="K1172" s="71"/>
      <c r="L1172" s="71"/>
      <c r="M1172" s="71"/>
      <c r="N1172" s="71"/>
      <c r="O1172" s="71"/>
      <c r="P1172" s="71"/>
      <c r="Q1172" s="71"/>
      <c r="R1172" s="71"/>
      <c r="S1172" s="71"/>
      <c r="T1172" s="71"/>
      <c r="U1172" s="71"/>
      <c r="V1172" s="71"/>
      <c r="W1172" s="71"/>
      <c r="X1172" s="71"/>
      <c r="Y1172" s="71"/>
      <c r="Z1172" s="71"/>
      <c r="AA1172" s="71"/>
      <c r="AB1172" s="71"/>
      <c r="AC1172" s="71"/>
      <c r="AD1172" s="71"/>
      <c r="AE1172" s="71"/>
      <c r="AF1172" s="71"/>
      <c r="AG1172" s="71"/>
      <c r="AH1172" s="71"/>
      <c r="AI1172" s="71"/>
      <c r="AJ1172" s="71"/>
      <c r="AK1172" s="71"/>
      <c r="AL1172" s="71"/>
      <c r="AM1172" s="71"/>
      <c r="AN1172" s="71"/>
      <c r="AO1172" s="71"/>
      <c r="AP1172" s="71"/>
      <c r="AQ1172" s="71"/>
      <c r="AR1172" s="77"/>
    </row>
    <row r="1173">
      <c r="A1173" s="71"/>
      <c r="B1173" s="71"/>
      <c r="C1173" s="71"/>
      <c r="D1173" s="71"/>
      <c r="E1173" s="71"/>
      <c r="F1173" s="71"/>
      <c r="G1173" s="71"/>
      <c r="H1173" s="71"/>
      <c r="I1173" s="71"/>
      <c r="J1173" s="71"/>
      <c r="K1173" s="71"/>
      <c r="L1173" s="71"/>
      <c r="M1173" s="71"/>
      <c r="N1173" s="71"/>
      <c r="O1173" s="71"/>
      <c r="P1173" s="71"/>
      <c r="Q1173" s="71"/>
      <c r="R1173" s="71"/>
      <c r="S1173" s="71"/>
      <c r="T1173" s="71"/>
      <c r="U1173" s="71"/>
      <c r="V1173" s="71"/>
      <c r="W1173" s="71"/>
      <c r="X1173" s="71"/>
      <c r="Y1173" s="71"/>
      <c r="Z1173" s="71"/>
      <c r="AA1173" s="71"/>
      <c r="AB1173" s="71"/>
      <c r="AC1173" s="71"/>
      <c r="AD1173" s="71"/>
      <c r="AE1173" s="71"/>
      <c r="AF1173" s="71"/>
      <c r="AG1173" s="71"/>
      <c r="AH1173" s="71"/>
      <c r="AI1173" s="71"/>
      <c r="AJ1173" s="71"/>
      <c r="AK1173" s="71"/>
      <c r="AL1173" s="71"/>
      <c r="AM1173" s="71"/>
      <c r="AN1173" s="71"/>
      <c r="AO1173" s="71"/>
      <c r="AP1173" s="71"/>
      <c r="AQ1173" s="71"/>
      <c r="AR1173" s="77"/>
    </row>
    <row r="1174">
      <c r="A1174" s="71"/>
      <c r="B1174" s="71"/>
      <c r="C1174" s="71"/>
      <c r="D1174" s="71"/>
      <c r="E1174" s="71"/>
      <c r="F1174" s="71"/>
      <c r="G1174" s="71"/>
      <c r="H1174" s="71"/>
      <c r="I1174" s="71"/>
      <c r="J1174" s="71"/>
      <c r="K1174" s="71"/>
      <c r="L1174" s="71"/>
      <c r="M1174" s="71"/>
      <c r="N1174" s="71"/>
      <c r="O1174" s="71"/>
      <c r="P1174" s="71"/>
      <c r="Q1174" s="71"/>
      <c r="R1174" s="71"/>
      <c r="S1174" s="71"/>
      <c r="T1174" s="71"/>
      <c r="U1174" s="71"/>
      <c r="V1174" s="71"/>
      <c r="W1174" s="71"/>
      <c r="X1174" s="71"/>
      <c r="Y1174" s="71"/>
      <c r="Z1174" s="71"/>
      <c r="AA1174" s="71"/>
      <c r="AB1174" s="71"/>
      <c r="AC1174" s="71"/>
      <c r="AD1174" s="71"/>
      <c r="AE1174" s="71"/>
      <c r="AF1174" s="71"/>
      <c r="AG1174" s="71"/>
      <c r="AH1174" s="71"/>
      <c r="AI1174" s="71"/>
      <c r="AJ1174" s="71"/>
      <c r="AK1174" s="71"/>
      <c r="AL1174" s="71"/>
      <c r="AM1174" s="71"/>
      <c r="AN1174" s="71"/>
      <c r="AO1174" s="71"/>
      <c r="AP1174" s="71"/>
      <c r="AQ1174" s="71"/>
      <c r="AR1174" s="77"/>
    </row>
    <row r="1175">
      <c r="A1175" s="71"/>
      <c r="B1175" s="71"/>
      <c r="C1175" s="71"/>
      <c r="D1175" s="71"/>
      <c r="E1175" s="71"/>
      <c r="F1175" s="71"/>
      <c r="G1175" s="71"/>
      <c r="H1175" s="71"/>
      <c r="I1175" s="71"/>
      <c r="J1175" s="71"/>
      <c r="K1175" s="71"/>
      <c r="L1175" s="71"/>
      <c r="M1175" s="71"/>
      <c r="N1175" s="71"/>
      <c r="O1175" s="71"/>
      <c r="P1175" s="71"/>
      <c r="Q1175" s="71"/>
      <c r="R1175" s="71"/>
      <c r="S1175" s="71"/>
      <c r="T1175" s="71"/>
      <c r="U1175" s="71"/>
      <c r="V1175" s="71"/>
      <c r="W1175" s="71"/>
      <c r="X1175" s="71"/>
      <c r="Y1175" s="71"/>
      <c r="Z1175" s="71"/>
      <c r="AA1175" s="71"/>
      <c r="AB1175" s="71"/>
      <c r="AC1175" s="71"/>
      <c r="AD1175" s="71"/>
      <c r="AE1175" s="71"/>
      <c r="AF1175" s="71"/>
      <c r="AG1175" s="71"/>
      <c r="AH1175" s="71"/>
      <c r="AI1175" s="71"/>
      <c r="AJ1175" s="71"/>
      <c r="AK1175" s="71"/>
      <c r="AL1175" s="71"/>
      <c r="AM1175" s="71"/>
      <c r="AN1175" s="71"/>
      <c r="AO1175" s="71"/>
      <c r="AP1175" s="71"/>
      <c r="AQ1175" s="71"/>
      <c r="AR1175" s="77"/>
    </row>
    <row r="1176">
      <c r="A1176" s="71"/>
      <c r="B1176" s="71"/>
      <c r="C1176" s="71"/>
      <c r="D1176" s="71"/>
      <c r="E1176" s="71"/>
      <c r="F1176" s="71"/>
      <c r="G1176" s="71"/>
      <c r="H1176" s="71"/>
      <c r="I1176" s="71"/>
      <c r="J1176" s="71"/>
      <c r="K1176" s="71"/>
      <c r="L1176" s="71"/>
      <c r="M1176" s="71"/>
      <c r="N1176" s="71"/>
      <c r="O1176" s="71"/>
      <c r="P1176" s="71"/>
      <c r="Q1176" s="71"/>
      <c r="R1176" s="71"/>
      <c r="S1176" s="71"/>
      <c r="T1176" s="71"/>
      <c r="U1176" s="71"/>
      <c r="V1176" s="71"/>
      <c r="W1176" s="71"/>
      <c r="X1176" s="71"/>
      <c r="Y1176" s="71"/>
      <c r="Z1176" s="71"/>
      <c r="AA1176" s="71"/>
      <c r="AB1176" s="71"/>
      <c r="AC1176" s="71"/>
      <c r="AD1176" s="71"/>
      <c r="AE1176" s="71"/>
      <c r="AF1176" s="71"/>
      <c r="AG1176" s="71"/>
      <c r="AH1176" s="71"/>
      <c r="AI1176" s="71"/>
      <c r="AJ1176" s="71"/>
      <c r="AK1176" s="71"/>
      <c r="AL1176" s="71"/>
      <c r="AM1176" s="71"/>
      <c r="AN1176" s="71"/>
      <c r="AO1176" s="71"/>
      <c r="AP1176" s="71"/>
      <c r="AQ1176" s="71"/>
      <c r="AR1176" s="77"/>
    </row>
    <row r="1177">
      <c r="A1177" s="71"/>
      <c r="B1177" s="71"/>
      <c r="C1177" s="71"/>
      <c r="D1177" s="71"/>
      <c r="E1177" s="71"/>
      <c r="F1177" s="71"/>
      <c r="G1177" s="71"/>
      <c r="H1177" s="71"/>
      <c r="I1177" s="71"/>
      <c r="J1177" s="71"/>
      <c r="K1177" s="71"/>
      <c r="L1177" s="71"/>
      <c r="M1177" s="71"/>
      <c r="N1177" s="71"/>
      <c r="O1177" s="71"/>
      <c r="P1177" s="71"/>
      <c r="Q1177" s="71"/>
      <c r="R1177" s="71"/>
      <c r="S1177" s="71"/>
      <c r="T1177" s="71"/>
      <c r="U1177" s="71"/>
      <c r="V1177" s="71"/>
      <c r="W1177" s="71"/>
      <c r="X1177" s="71"/>
      <c r="Y1177" s="71"/>
      <c r="Z1177" s="71"/>
      <c r="AA1177" s="71"/>
      <c r="AB1177" s="71"/>
      <c r="AC1177" s="71"/>
      <c r="AD1177" s="71"/>
      <c r="AE1177" s="71"/>
      <c r="AF1177" s="71"/>
      <c r="AG1177" s="71"/>
      <c r="AH1177" s="71"/>
      <c r="AI1177" s="71"/>
      <c r="AJ1177" s="71"/>
      <c r="AK1177" s="71"/>
      <c r="AL1177" s="71"/>
      <c r="AM1177" s="71"/>
      <c r="AN1177" s="71"/>
      <c r="AO1177" s="71"/>
      <c r="AP1177" s="71"/>
      <c r="AQ1177" s="71"/>
      <c r="AR1177" s="77"/>
    </row>
    <row r="1178">
      <c r="A1178" s="71"/>
      <c r="B1178" s="71"/>
      <c r="C1178" s="71"/>
      <c r="D1178" s="71"/>
      <c r="E1178" s="71"/>
      <c r="F1178" s="71"/>
      <c r="G1178" s="71"/>
      <c r="H1178" s="71"/>
      <c r="I1178" s="71"/>
      <c r="J1178" s="71"/>
      <c r="K1178" s="71"/>
      <c r="L1178" s="71"/>
      <c r="M1178" s="71"/>
      <c r="N1178" s="71"/>
      <c r="O1178" s="71"/>
      <c r="P1178" s="71"/>
      <c r="Q1178" s="71"/>
      <c r="R1178" s="71"/>
      <c r="S1178" s="71"/>
      <c r="T1178" s="71"/>
      <c r="U1178" s="71"/>
      <c r="V1178" s="71"/>
      <c r="W1178" s="71"/>
      <c r="X1178" s="71"/>
      <c r="Y1178" s="71"/>
      <c r="Z1178" s="71"/>
      <c r="AA1178" s="71"/>
      <c r="AB1178" s="71"/>
      <c r="AC1178" s="71"/>
      <c r="AD1178" s="71"/>
      <c r="AE1178" s="71"/>
      <c r="AF1178" s="71"/>
      <c r="AG1178" s="71"/>
      <c r="AH1178" s="71"/>
      <c r="AI1178" s="71"/>
      <c r="AJ1178" s="71"/>
      <c r="AK1178" s="71"/>
      <c r="AL1178" s="71"/>
      <c r="AM1178" s="71"/>
      <c r="AN1178" s="71"/>
      <c r="AO1178" s="71"/>
      <c r="AP1178" s="71"/>
      <c r="AQ1178" s="71"/>
      <c r="AR1178" s="77"/>
    </row>
    <row r="1179">
      <c r="A1179" s="71"/>
      <c r="B1179" s="71"/>
      <c r="C1179" s="71"/>
      <c r="D1179" s="71"/>
      <c r="E1179" s="71"/>
      <c r="F1179" s="71"/>
      <c r="G1179" s="71"/>
      <c r="H1179" s="71"/>
      <c r="I1179" s="71"/>
      <c r="J1179" s="71"/>
      <c r="K1179" s="71"/>
      <c r="L1179" s="71"/>
      <c r="M1179" s="71"/>
      <c r="N1179" s="71"/>
      <c r="O1179" s="71"/>
      <c r="P1179" s="71"/>
      <c r="Q1179" s="71"/>
      <c r="R1179" s="71"/>
      <c r="S1179" s="71"/>
      <c r="T1179" s="71"/>
      <c r="U1179" s="71"/>
      <c r="V1179" s="71"/>
      <c r="W1179" s="71"/>
      <c r="X1179" s="71"/>
      <c r="Y1179" s="71"/>
      <c r="Z1179" s="71"/>
      <c r="AA1179" s="71"/>
      <c r="AB1179" s="71"/>
      <c r="AC1179" s="71"/>
      <c r="AD1179" s="71"/>
      <c r="AE1179" s="71"/>
      <c r="AF1179" s="71"/>
      <c r="AG1179" s="71"/>
      <c r="AH1179" s="71"/>
      <c r="AI1179" s="71"/>
      <c r="AJ1179" s="71"/>
      <c r="AK1179" s="71"/>
      <c r="AL1179" s="71"/>
      <c r="AM1179" s="71"/>
      <c r="AN1179" s="71"/>
      <c r="AO1179" s="71"/>
      <c r="AP1179" s="71"/>
      <c r="AQ1179" s="71"/>
      <c r="AR1179" s="77"/>
    </row>
    <row r="1180">
      <c r="A1180" s="71"/>
      <c r="B1180" s="71"/>
      <c r="C1180" s="71"/>
      <c r="D1180" s="71"/>
      <c r="E1180" s="71"/>
      <c r="F1180" s="71"/>
      <c r="G1180" s="71"/>
      <c r="H1180" s="71"/>
      <c r="I1180" s="71"/>
      <c r="J1180" s="71"/>
      <c r="K1180" s="71"/>
      <c r="L1180" s="71"/>
      <c r="M1180" s="71"/>
      <c r="N1180" s="71"/>
      <c r="O1180" s="71"/>
      <c r="P1180" s="71"/>
      <c r="Q1180" s="71"/>
      <c r="R1180" s="71"/>
      <c r="S1180" s="71"/>
      <c r="T1180" s="71"/>
      <c r="U1180" s="71"/>
      <c r="V1180" s="71"/>
      <c r="W1180" s="71"/>
      <c r="X1180" s="71"/>
      <c r="Y1180" s="71"/>
      <c r="Z1180" s="71"/>
      <c r="AA1180" s="71"/>
      <c r="AB1180" s="71"/>
      <c r="AC1180" s="71"/>
      <c r="AD1180" s="71"/>
      <c r="AE1180" s="71"/>
      <c r="AF1180" s="71"/>
      <c r="AG1180" s="71"/>
      <c r="AH1180" s="71"/>
      <c r="AI1180" s="71"/>
      <c r="AJ1180" s="71"/>
      <c r="AK1180" s="71"/>
      <c r="AL1180" s="71"/>
      <c r="AM1180" s="71"/>
      <c r="AN1180" s="71"/>
      <c r="AO1180" s="71"/>
      <c r="AP1180" s="71"/>
      <c r="AQ1180" s="71"/>
      <c r="AR1180" s="77"/>
    </row>
    <row r="1181">
      <c r="A1181" s="71"/>
      <c r="B1181" s="71"/>
      <c r="C1181" s="71"/>
      <c r="D1181" s="71"/>
      <c r="E1181" s="71"/>
      <c r="F1181" s="71"/>
      <c r="G1181" s="71"/>
      <c r="H1181" s="71"/>
      <c r="I1181" s="71"/>
      <c r="J1181" s="71"/>
      <c r="K1181" s="71"/>
      <c r="L1181" s="71"/>
      <c r="M1181" s="71"/>
      <c r="N1181" s="71"/>
      <c r="O1181" s="71"/>
      <c r="P1181" s="71"/>
      <c r="Q1181" s="71"/>
      <c r="R1181" s="71"/>
      <c r="S1181" s="71"/>
      <c r="T1181" s="71"/>
      <c r="U1181" s="71"/>
      <c r="V1181" s="71"/>
      <c r="W1181" s="71"/>
      <c r="X1181" s="71"/>
      <c r="Y1181" s="71"/>
      <c r="Z1181" s="71"/>
      <c r="AA1181" s="71"/>
      <c r="AB1181" s="71"/>
      <c r="AC1181" s="71"/>
      <c r="AD1181" s="71"/>
      <c r="AE1181" s="71"/>
      <c r="AF1181" s="71"/>
      <c r="AG1181" s="71"/>
      <c r="AH1181" s="71"/>
      <c r="AI1181" s="71"/>
      <c r="AJ1181" s="71"/>
      <c r="AK1181" s="71"/>
      <c r="AL1181" s="71"/>
      <c r="AM1181" s="71"/>
      <c r="AN1181" s="71"/>
      <c r="AO1181" s="71"/>
      <c r="AP1181" s="71"/>
      <c r="AQ1181" s="71"/>
      <c r="AR1181" s="77"/>
    </row>
    <row r="1182">
      <c r="A1182" s="71"/>
      <c r="B1182" s="71"/>
      <c r="C1182" s="71"/>
      <c r="D1182" s="71"/>
      <c r="E1182" s="71"/>
      <c r="F1182" s="71"/>
      <c r="G1182" s="71"/>
      <c r="H1182" s="71"/>
      <c r="I1182" s="71"/>
      <c r="J1182" s="71"/>
      <c r="K1182" s="71"/>
      <c r="L1182" s="71"/>
      <c r="M1182" s="71"/>
      <c r="N1182" s="71"/>
      <c r="O1182" s="71"/>
      <c r="P1182" s="71"/>
      <c r="Q1182" s="71"/>
      <c r="R1182" s="71"/>
      <c r="S1182" s="71"/>
      <c r="T1182" s="71"/>
      <c r="U1182" s="71"/>
      <c r="V1182" s="71"/>
      <c r="W1182" s="71"/>
      <c r="X1182" s="71"/>
      <c r="Y1182" s="71"/>
      <c r="Z1182" s="71"/>
      <c r="AA1182" s="71"/>
      <c r="AB1182" s="71"/>
      <c r="AC1182" s="71"/>
      <c r="AD1182" s="71"/>
      <c r="AE1182" s="71"/>
      <c r="AF1182" s="71"/>
      <c r="AG1182" s="71"/>
      <c r="AH1182" s="71"/>
      <c r="AI1182" s="71"/>
      <c r="AJ1182" s="71"/>
      <c r="AK1182" s="71"/>
      <c r="AL1182" s="71"/>
      <c r="AM1182" s="71"/>
      <c r="AN1182" s="71"/>
      <c r="AO1182" s="71"/>
      <c r="AP1182" s="71"/>
      <c r="AQ1182" s="71"/>
      <c r="AR1182" s="77"/>
    </row>
    <row r="1183">
      <c r="A1183" s="71"/>
      <c r="B1183" s="71"/>
      <c r="C1183" s="71"/>
      <c r="D1183" s="71"/>
      <c r="E1183" s="71"/>
      <c r="F1183" s="71"/>
      <c r="G1183" s="71"/>
      <c r="H1183" s="71"/>
      <c r="I1183" s="71"/>
      <c r="J1183" s="71"/>
      <c r="K1183" s="71"/>
      <c r="L1183" s="71"/>
      <c r="M1183" s="71"/>
      <c r="N1183" s="71"/>
      <c r="O1183" s="71"/>
      <c r="P1183" s="71"/>
      <c r="Q1183" s="71"/>
      <c r="R1183" s="71"/>
      <c r="S1183" s="71"/>
      <c r="T1183" s="71"/>
      <c r="U1183" s="71"/>
      <c r="V1183" s="71"/>
      <c r="W1183" s="71"/>
      <c r="X1183" s="71"/>
      <c r="Y1183" s="71"/>
      <c r="Z1183" s="71"/>
      <c r="AA1183" s="71"/>
      <c r="AB1183" s="71"/>
      <c r="AC1183" s="71"/>
      <c r="AD1183" s="71"/>
      <c r="AE1183" s="71"/>
      <c r="AF1183" s="71"/>
      <c r="AG1183" s="71"/>
      <c r="AH1183" s="71"/>
      <c r="AI1183" s="71"/>
      <c r="AJ1183" s="71"/>
      <c r="AK1183" s="71"/>
      <c r="AL1183" s="71"/>
      <c r="AM1183" s="71"/>
      <c r="AN1183" s="71"/>
      <c r="AO1183" s="71"/>
      <c r="AP1183" s="71"/>
      <c r="AQ1183" s="71"/>
      <c r="AR1183" s="77"/>
    </row>
    <row r="1184">
      <c r="A1184" s="71"/>
      <c r="B1184" s="71"/>
      <c r="C1184" s="71"/>
      <c r="D1184" s="71"/>
      <c r="E1184" s="71"/>
      <c r="F1184" s="71"/>
      <c r="G1184" s="71"/>
      <c r="H1184" s="71"/>
      <c r="I1184" s="71"/>
      <c r="J1184" s="71"/>
      <c r="K1184" s="71"/>
      <c r="L1184" s="71"/>
      <c r="M1184" s="71"/>
      <c r="N1184" s="71"/>
      <c r="O1184" s="71"/>
      <c r="P1184" s="71"/>
      <c r="Q1184" s="71"/>
      <c r="R1184" s="71"/>
      <c r="S1184" s="71"/>
      <c r="T1184" s="71"/>
      <c r="U1184" s="71"/>
      <c r="V1184" s="71"/>
      <c r="W1184" s="71"/>
      <c r="X1184" s="71"/>
      <c r="Y1184" s="71"/>
      <c r="Z1184" s="71"/>
      <c r="AA1184" s="71"/>
      <c r="AB1184" s="71"/>
      <c r="AC1184" s="71"/>
      <c r="AD1184" s="71"/>
      <c r="AE1184" s="71"/>
      <c r="AF1184" s="71"/>
      <c r="AG1184" s="71"/>
      <c r="AH1184" s="71"/>
      <c r="AI1184" s="71"/>
      <c r="AJ1184" s="71"/>
      <c r="AK1184" s="71"/>
      <c r="AL1184" s="71"/>
      <c r="AM1184" s="71"/>
      <c r="AN1184" s="71"/>
      <c r="AO1184" s="71"/>
      <c r="AP1184" s="71"/>
      <c r="AQ1184" s="71"/>
      <c r="AR1184" s="77"/>
    </row>
    <row r="1185">
      <c r="A1185" s="71"/>
      <c r="B1185" s="71"/>
      <c r="C1185" s="71"/>
      <c r="D1185" s="71"/>
      <c r="E1185" s="71"/>
      <c r="F1185" s="71"/>
      <c r="G1185" s="71"/>
      <c r="H1185" s="71"/>
      <c r="I1185" s="71"/>
      <c r="J1185" s="71"/>
      <c r="K1185" s="71"/>
      <c r="L1185" s="71"/>
      <c r="M1185" s="71"/>
      <c r="N1185" s="71"/>
      <c r="O1185" s="71"/>
      <c r="P1185" s="71"/>
      <c r="Q1185" s="71"/>
      <c r="R1185" s="71"/>
      <c r="S1185" s="71"/>
      <c r="T1185" s="71"/>
      <c r="U1185" s="71"/>
      <c r="V1185" s="71"/>
      <c r="W1185" s="71"/>
      <c r="X1185" s="71"/>
      <c r="Y1185" s="71"/>
      <c r="Z1185" s="71"/>
      <c r="AA1185" s="71"/>
      <c r="AB1185" s="71"/>
      <c r="AC1185" s="71"/>
      <c r="AD1185" s="71"/>
      <c r="AE1185" s="71"/>
      <c r="AF1185" s="71"/>
      <c r="AG1185" s="71"/>
      <c r="AH1185" s="71"/>
      <c r="AI1185" s="71"/>
      <c r="AJ1185" s="71"/>
      <c r="AK1185" s="71"/>
      <c r="AL1185" s="71"/>
      <c r="AM1185" s="71"/>
      <c r="AN1185" s="71"/>
      <c r="AO1185" s="71"/>
      <c r="AP1185" s="71"/>
      <c r="AQ1185" s="71"/>
      <c r="AR1185" s="77"/>
    </row>
    <row r="1186">
      <c r="A1186" s="71"/>
      <c r="B1186" s="71"/>
      <c r="C1186" s="71"/>
      <c r="D1186" s="71"/>
      <c r="E1186" s="71"/>
      <c r="F1186" s="71"/>
      <c r="G1186" s="71"/>
      <c r="H1186" s="71"/>
      <c r="I1186" s="71"/>
      <c r="J1186" s="71"/>
      <c r="K1186" s="71"/>
      <c r="L1186" s="71"/>
      <c r="M1186" s="71"/>
      <c r="N1186" s="71"/>
      <c r="O1186" s="71"/>
      <c r="P1186" s="71"/>
      <c r="Q1186" s="71"/>
      <c r="R1186" s="71"/>
      <c r="S1186" s="71"/>
      <c r="T1186" s="71"/>
      <c r="U1186" s="71"/>
      <c r="V1186" s="71"/>
      <c r="W1186" s="71"/>
      <c r="X1186" s="71"/>
      <c r="Y1186" s="71"/>
      <c r="Z1186" s="71"/>
      <c r="AA1186" s="71"/>
      <c r="AB1186" s="71"/>
      <c r="AC1186" s="71"/>
      <c r="AD1186" s="71"/>
      <c r="AE1186" s="71"/>
      <c r="AF1186" s="71"/>
      <c r="AG1186" s="71"/>
      <c r="AH1186" s="71"/>
      <c r="AI1186" s="71"/>
      <c r="AJ1186" s="71"/>
      <c r="AK1186" s="71"/>
      <c r="AL1186" s="71"/>
      <c r="AM1186" s="71"/>
      <c r="AN1186" s="71"/>
      <c r="AO1186" s="71"/>
      <c r="AP1186" s="71"/>
      <c r="AQ1186" s="71"/>
      <c r="AR1186" s="77"/>
    </row>
    <row r="1187">
      <c r="A1187" s="71"/>
      <c r="B1187" s="71"/>
      <c r="C1187" s="71"/>
      <c r="D1187" s="71"/>
      <c r="E1187" s="71"/>
      <c r="F1187" s="71"/>
      <c r="G1187" s="71"/>
      <c r="H1187" s="71"/>
      <c r="I1187" s="71"/>
      <c r="J1187" s="71"/>
      <c r="K1187" s="71"/>
      <c r="L1187" s="71"/>
      <c r="M1187" s="71"/>
      <c r="N1187" s="71"/>
      <c r="O1187" s="71"/>
      <c r="P1187" s="71"/>
      <c r="Q1187" s="71"/>
      <c r="R1187" s="71"/>
      <c r="S1187" s="71"/>
      <c r="T1187" s="71"/>
      <c r="U1187" s="71"/>
      <c r="V1187" s="71"/>
      <c r="W1187" s="71"/>
      <c r="X1187" s="71"/>
      <c r="Y1187" s="71"/>
      <c r="Z1187" s="71"/>
      <c r="AA1187" s="71"/>
      <c r="AB1187" s="71"/>
      <c r="AC1187" s="71"/>
      <c r="AD1187" s="71"/>
      <c r="AE1187" s="71"/>
      <c r="AF1187" s="71"/>
      <c r="AG1187" s="71"/>
      <c r="AH1187" s="71"/>
      <c r="AI1187" s="71"/>
      <c r="AJ1187" s="71"/>
      <c r="AK1187" s="71"/>
      <c r="AL1187" s="71"/>
      <c r="AM1187" s="71"/>
      <c r="AN1187" s="71"/>
      <c r="AO1187" s="71"/>
      <c r="AP1187" s="71"/>
      <c r="AQ1187" s="71"/>
      <c r="AR1187" s="77"/>
    </row>
    <row r="1188">
      <c r="A1188" s="71"/>
      <c r="B1188" s="71"/>
      <c r="C1188" s="71"/>
      <c r="D1188" s="71"/>
      <c r="E1188" s="71"/>
      <c r="F1188" s="71"/>
      <c r="G1188" s="71"/>
      <c r="H1188" s="71"/>
      <c r="I1188" s="71"/>
      <c r="J1188" s="71"/>
      <c r="K1188" s="71"/>
      <c r="L1188" s="71"/>
      <c r="M1188" s="71"/>
      <c r="N1188" s="71"/>
      <c r="O1188" s="71"/>
      <c r="P1188" s="71"/>
      <c r="Q1188" s="71"/>
      <c r="R1188" s="71"/>
      <c r="S1188" s="71"/>
      <c r="T1188" s="71"/>
      <c r="U1188" s="71"/>
      <c r="V1188" s="71"/>
      <c r="W1188" s="71"/>
      <c r="X1188" s="71"/>
      <c r="Y1188" s="71"/>
      <c r="Z1188" s="71"/>
      <c r="AA1188" s="71"/>
      <c r="AB1188" s="71"/>
      <c r="AC1188" s="71"/>
      <c r="AD1188" s="71"/>
      <c r="AE1188" s="71"/>
      <c r="AF1188" s="71"/>
      <c r="AG1188" s="71"/>
      <c r="AH1188" s="71"/>
      <c r="AI1188" s="71"/>
      <c r="AJ1188" s="71"/>
      <c r="AK1188" s="71"/>
      <c r="AL1188" s="71"/>
      <c r="AM1188" s="71"/>
      <c r="AN1188" s="71"/>
      <c r="AO1188" s="71"/>
      <c r="AP1188" s="71"/>
      <c r="AQ1188" s="71"/>
      <c r="AR1188" s="77"/>
    </row>
    <row r="1189">
      <c r="A1189" s="71"/>
      <c r="B1189" s="71"/>
      <c r="C1189" s="71"/>
      <c r="D1189" s="71"/>
      <c r="E1189" s="71"/>
      <c r="F1189" s="71"/>
      <c r="G1189" s="71"/>
      <c r="H1189" s="71"/>
      <c r="I1189" s="71"/>
      <c r="J1189" s="71"/>
      <c r="K1189" s="71"/>
      <c r="L1189" s="71"/>
      <c r="M1189" s="71"/>
      <c r="N1189" s="71"/>
      <c r="O1189" s="71"/>
      <c r="P1189" s="71"/>
      <c r="Q1189" s="71"/>
      <c r="R1189" s="71"/>
      <c r="S1189" s="71"/>
      <c r="T1189" s="71"/>
      <c r="U1189" s="71"/>
      <c r="V1189" s="71"/>
      <c r="W1189" s="71"/>
      <c r="X1189" s="71"/>
      <c r="Y1189" s="71"/>
      <c r="Z1189" s="71"/>
      <c r="AA1189" s="71"/>
      <c r="AB1189" s="71"/>
      <c r="AC1189" s="71"/>
      <c r="AD1189" s="71"/>
      <c r="AE1189" s="71"/>
      <c r="AF1189" s="71"/>
      <c r="AG1189" s="71"/>
      <c r="AH1189" s="71"/>
      <c r="AI1189" s="71"/>
      <c r="AJ1189" s="71"/>
      <c r="AK1189" s="71"/>
      <c r="AL1189" s="71"/>
      <c r="AM1189" s="71"/>
      <c r="AN1189" s="71"/>
      <c r="AO1189" s="71"/>
      <c r="AP1189" s="71"/>
      <c r="AQ1189" s="71"/>
      <c r="AR1189" s="77"/>
    </row>
    <row r="1190">
      <c r="A1190" s="71"/>
      <c r="B1190" s="71"/>
      <c r="C1190" s="71"/>
      <c r="D1190" s="71"/>
      <c r="E1190" s="71"/>
      <c r="F1190" s="71"/>
      <c r="G1190" s="71"/>
      <c r="H1190" s="71"/>
      <c r="I1190" s="71"/>
      <c r="J1190" s="71"/>
      <c r="K1190" s="71"/>
      <c r="L1190" s="71"/>
      <c r="M1190" s="71"/>
      <c r="N1190" s="71"/>
      <c r="O1190" s="71"/>
      <c r="P1190" s="71"/>
      <c r="Q1190" s="71"/>
      <c r="R1190" s="71"/>
      <c r="S1190" s="71"/>
      <c r="T1190" s="71"/>
      <c r="U1190" s="71"/>
      <c r="V1190" s="71"/>
      <c r="W1190" s="71"/>
      <c r="X1190" s="71"/>
      <c r="Y1190" s="71"/>
      <c r="Z1190" s="71"/>
      <c r="AA1190" s="71"/>
      <c r="AB1190" s="71"/>
      <c r="AC1190" s="71"/>
      <c r="AD1190" s="71"/>
      <c r="AE1190" s="71"/>
      <c r="AF1190" s="71"/>
      <c r="AG1190" s="71"/>
      <c r="AH1190" s="71"/>
      <c r="AI1190" s="71"/>
      <c r="AJ1190" s="71"/>
      <c r="AK1190" s="71"/>
      <c r="AL1190" s="71"/>
      <c r="AM1190" s="71"/>
      <c r="AN1190" s="71"/>
      <c r="AO1190" s="71"/>
      <c r="AP1190" s="71"/>
      <c r="AQ1190" s="71"/>
      <c r="AR1190" s="77"/>
    </row>
    <row r="1191">
      <c r="A1191" s="71"/>
      <c r="B1191" s="71"/>
      <c r="C1191" s="71"/>
      <c r="D1191" s="71"/>
      <c r="E1191" s="71"/>
      <c r="F1191" s="71"/>
      <c r="G1191" s="71"/>
      <c r="H1191" s="71"/>
      <c r="I1191" s="71"/>
      <c r="J1191" s="71"/>
      <c r="K1191" s="71"/>
      <c r="L1191" s="71"/>
      <c r="M1191" s="71"/>
      <c r="N1191" s="71"/>
      <c r="O1191" s="71"/>
      <c r="P1191" s="71"/>
      <c r="Q1191" s="71"/>
      <c r="R1191" s="71"/>
      <c r="S1191" s="71"/>
      <c r="T1191" s="71"/>
      <c r="U1191" s="71"/>
      <c r="V1191" s="71"/>
      <c r="W1191" s="71"/>
      <c r="X1191" s="71"/>
      <c r="Y1191" s="71"/>
      <c r="Z1191" s="71"/>
      <c r="AA1191" s="71"/>
      <c r="AB1191" s="71"/>
      <c r="AC1191" s="71"/>
      <c r="AD1191" s="71"/>
      <c r="AE1191" s="71"/>
      <c r="AF1191" s="71"/>
      <c r="AG1191" s="71"/>
      <c r="AH1191" s="71"/>
      <c r="AI1191" s="71"/>
      <c r="AJ1191" s="71"/>
      <c r="AK1191" s="71"/>
      <c r="AL1191" s="71"/>
      <c r="AM1191" s="71"/>
      <c r="AN1191" s="71"/>
      <c r="AO1191" s="71"/>
      <c r="AP1191" s="71"/>
      <c r="AQ1191" s="71"/>
      <c r="AR1191" s="77"/>
    </row>
    <row r="1192">
      <c r="A1192" s="71"/>
      <c r="B1192" s="71"/>
      <c r="C1192" s="71"/>
      <c r="D1192" s="71"/>
      <c r="E1192" s="71"/>
      <c r="F1192" s="71"/>
      <c r="G1192" s="71"/>
      <c r="H1192" s="71"/>
      <c r="I1192" s="71"/>
      <c r="J1192" s="71"/>
      <c r="K1192" s="71"/>
      <c r="L1192" s="71"/>
      <c r="M1192" s="71"/>
      <c r="N1192" s="71"/>
      <c r="O1192" s="71"/>
      <c r="P1192" s="71"/>
      <c r="Q1192" s="71"/>
      <c r="R1192" s="71"/>
      <c r="S1192" s="71"/>
      <c r="T1192" s="71"/>
      <c r="U1192" s="71"/>
      <c r="V1192" s="71"/>
      <c r="W1192" s="71"/>
      <c r="X1192" s="71"/>
      <c r="Y1192" s="71"/>
      <c r="Z1192" s="71"/>
      <c r="AA1192" s="71"/>
      <c r="AB1192" s="71"/>
      <c r="AC1192" s="71"/>
      <c r="AD1192" s="71"/>
      <c r="AE1192" s="71"/>
      <c r="AF1192" s="71"/>
      <c r="AG1192" s="71"/>
      <c r="AH1192" s="71"/>
      <c r="AI1192" s="71"/>
      <c r="AJ1192" s="71"/>
      <c r="AK1192" s="71"/>
      <c r="AL1192" s="71"/>
      <c r="AM1192" s="71"/>
      <c r="AN1192" s="71"/>
      <c r="AO1192" s="71"/>
      <c r="AP1192" s="71"/>
      <c r="AQ1192" s="71"/>
      <c r="AR1192" s="77"/>
    </row>
    <row r="1193">
      <c r="A1193" s="71"/>
      <c r="B1193" s="71"/>
      <c r="C1193" s="71"/>
      <c r="D1193" s="71"/>
      <c r="E1193" s="71"/>
      <c r="F1193" s="71"/>
      <c r="G1193" s="71"/>
      <c r="H1193" s="71"/>
      <c r="I1193" s="71"/>
      <c r="J1193" s="71"/>
      <c r="K1193" s="71"/>
      <c r="L1193" s="71"/>
      <c r="M1193" s="71"/>
      <c r="N1193" s="71"/>
      <c r="O1193" s="71"/>
      <c r="P1193" s="71"/>
      <c r="Q1193" s="71"/>
      <c r="R1193" s="71"/>
      <c r="S1193" s="71"/>
      <c r="T1193" s="71"/>
      <c r="U1193" s="71"/>
      <c r="V1193" s="71"/>
      <c r="W1193" s="71"/>
      <c r="X1193" s="71"/>
      <c r="Y1193" s="71"/>
      <c r="Z1193" s="71"/>
      <c r="AA1193" s="71"/>
      <c r="AB1193" s="71"/>
      <c r="AC1193" s="71"/>
      <c r="AD1193" s="71"/>
      <c r="AE1193" s="71"/>
      <c r="AF1193" s="71"/>
      <c r="AG1193" s="71"/>
      <c r="AH1193" s="71"/>
      <c r="AI1193" s="71"/>
      <c r="AJ1193" s="71"/>
      <c r="AK1193" s="71"/>
      <c r="AL1193" s="71"/>
      <c r="AM1193" s="71"/>
      <c r="AN1193" s="71"/>
      <c r="AO1193" s="71"/>
      <c r="AP1193" s="71"/>
      <c r="AQ1193" s="71"/>
      <c r="AR1193" s="77"/>
    </row>
    <row r="1194">
      <c r="A1194" s="71"/>
      <c r="B1194" s="71"/>
      <c r="C1194" s="71"/>
      <c r="D1194" s="71"/>
      <c r="E1194" s="71"/>
      <c r="F1194" s="71"/>
      <c r="G1194" s="71"/>
      <c r="H1194" s="71"/>
      <c r="I1194" s="71"/>
      <c r="J1194" s="71"/>
      <c r="K1194" s="71"/>
      <c r="L1194" s="71"/>
      <c r="M1194" s="71"/>
      <c r="N1194" s="71"/>
      <c r="O1194" s="71"/>
      <c r="P1194" s="71"/>
      <c r="Q1194" s="71"/>
      <c r="R1194" s="71"/>
      <c r="S1194" s="71"/>
      <c r="T1194" s="71"/>
      <c r="U1194" s="71"/>
      <c r="V1194" s="71"/>
      <c r="W1194" s="71"/>
      <c r="X1194" s="71"/>
      <c r="Y1194" s="71"/>
      <c r="Z1194" s="71"/>
      <c r="AA1194" s="71"/>
      <c r="AB1194" s="71"/>
      <c r="AC1194" s="71"/>
      <c r="AD1194" s="71"/>
      <c r="AE1194" s="71"/>
      <c r="AF1194" s="71"/>
      <c r="AG1194" s="71"/>
      <c r="AH1194" s="71"/>
      <c r="AI1194" s="71"/>
      <c r="AJ1194" s="71"/>
      <c r="AK1194" s="71"/>
      <c r="AL1194" s="71"/>
      <c r="AM1194" s="71"/>
      <c r="AN1194" s="71"/>
      <c r="AO1194" s="71"/>
      <c r="AP1194" s="71"/>
      <c r="AQ1194" s="71"/>
      <c r="AR1194" s="77"/>
    </row>
    <row r="1195">
      <c r="A1195" s="71"/>
      <c r="B1195" s="71"/>
      <c r="C1195" s="71"/>
      <c r="D1195" s="71"/>
      <c r="E1195" s="71"/>
      <c r="F1195" s="71"/>
      <c r="G1195" s="71"/>
      <c r="H1195" s="71"/>
      <c r="I1195" s="71"/>
      <c r="J1195" s="71"/>
      <c r="K1195" s="71"/>
      <c r="L1195" s="71"/>
      <c r="M1195" s="71"/>
      <c r="N1195" s="71"/>
      <c r="O1195" s="71"/>
      <c r="P1195" s="71"/>
      <c r="Q1195" s="71"/>
      <c r="R1195" s="71"/>
      <c r="S1195" s="71"/>
      <c r="T1195" s="71"/>
      <c r="U1195" s="71"/>
      <c r="V1195" s="71"/>
      <c r="W1195" s="71"/>
      <c r="X1195" s="71"/>
      <c r="Y1195" s="71"/>
      <c r="Z1195" s="71"/>
      <c r="AA1195" s="71"/>
      <c r="AB1195" s="71"/>
      <c r="AC1195" s="71"/>
      <c r="AD1195" s="71"/>
      <c r="AE1195" s="71"/>
      <c r="AF1195" s="71"/>
      <c r="AG1195" s="71"/>
      <c r="AH1195" s="71"/>
      <c r="AI1195" s="71"/>
      <c r="AJ1195" s="71"/>
      <c r="AK1195" s="71"/>
      <c r="AL1195" s="71"/>
      <c r="AM1195" s="71"/>
      <c r="AN1195" s="71"/>
      <c r="AO1195" s="71"/>
      <c r="AP1195" s="71"/>
      <c r="AQ1195" s="71"/>
      <c r="AR1195" s="77"/>
    </row>
    <row r="1196">
      <c r="A1196" s="71"/>
      <c r="B1196" s="71"/>
      <c r="C1196" s="71"/>
      <c r="D1196" s="71"/>
      <c r="E1196" s="71"/>
      <c r="F1196" s="71"/>
      <c r="G1196" s="71"/>
      <c r="H1196" s="71"/>
      <c r="I1196" s="71"/>
      <c r="J1196" s="71"/>
      <c r="K1196" s="71"/>
      <c r="L1196" s="71"/>
      <c r="M1196" s="71"/>
      <c r="N1196" s="71"/>
      <c r="O1196" s="71"/>
      <c r="P1196" s="71"/>
      <c r="Q1196" s="71"/>
      <c r="R1196" s="71"/>
      <c r="S1196" s="71"/>
      <c r="T1196" s="71"/>
      <c r="U1196" s="71"/>
      <c r="V1196" s="71"/>
      <c r="W1196" s="71"/>
      <c r="X1196" s="71"/>
      <c r="Y1196" s="71"/>
      <c r="Z1196" s="71"/>
      <c r="AA1196" s="71"/>
      <c r="AB1196" s="71"/>
      <c r="AC1196" s="71"/>
      <c r="AD1196" s="71"/>
      <c r="AE1196" s="71"/>
      <c r="AF1196" s="71"/>
      <c r="AG1196" s="71"/>
      <c r="AH1196" s="71"/>
      <c r="AI1196" s="71"/>
      <c r="AJ1196" s="71"/>
      <c r="AK1196" s="71"/>
      <c r="AL1196" s="71"/>
      <c r="AM1196" s="71"/>
      <c r="AN1196" s="71"/>
      <c r="AO1196" s="71"/>
      <c r="AP1196" s="71"/>
      <c r="AQ1196" s="71"/>
      <c r="AR1196" s="77"/>
    </row>
    <row r="1197">
      <c r="A1197" s="71"/>
      <c r="B1197" s="71"/>
      <c r="C1197" s="71"/>
      <c r="D1197" s="71"/>
      <c r="E1197" s="71"/>
      <c r="F1197" s="71"/>
      <c r="G1197" s="71"/>
      <c r="H1197" s="71"/>
      <c r="I1197" s="71"/>
      <c r="J1197" s="71"/>
      <c r="K1197" s="71"/>
      <c r="L1197" s="71"/>
      <c r="M1197" s="71"/>
      <c r="N1197" s="71"/>
      <c r="O1197" s="71"/>
      <c r="P1197" s="71"/>
      <c r="Q1197" s="71"/>
      <c r="R1197" s="71"/>
      <c r="S1197" s="71"/>
      <c r="T1197" s="71"/>
      <c r="U1197" s="71"/>
      <c r="V1197" s="71"/>
      <c r="W1197" s="71"/>
      <c r="X1197" s="71"/>
      <c r="Y1197" s="71"/>
      <c r="Z1197" s="71"/>
      <c r="AA1197" s="71"/>
      <c r="AB1197" s="71"/>
      <c r="AC1197" s="71"/>
      <c r="AD1197" s="71"/>
      <c r="AE1197" s="71"/>
      <c r="AF1197" s="71"/>
      <c r="AG1197" s="71"/>
      <c r="AH1197" s="71"/>
      <c r="AI1197" s="71"/>
      <c r="AJ1197" s="71"/>
      <c r="AK1197" s="71"/>
      <c r="AL1197" s="71"/>
      <c r="AM1197" s="71"/>
      <c r="AN1197" s="71"/>
      <c r="AO1197" s="71"/>
      <c r="AP1197" s="71"/>
      <c r="AQ1197" s="71"/>
      <c r="AR1197" s="77"/>
    </row>
    <row r="1198">
      <c r="A1198" s="71"/>
      <c r="B1198" s="71"/>
      <c r="C1198" s="71"/>
      <c r="D1198" s="71"/>
      <c r="E1198" s="71"/>
      <c r="F1198" s="71"/>
      <c r="G1198" s="71"/>
      <c r="H1198" s="71"/>
      <c r="I1198" s="71"/>
      <c r="J1198" s="71"/>
      <c r="K1198" s="71"/>
      <c r="L1198" s="71"/>
      <c r="M1198" s="71"/>
      <c r="N1198" s="71"/>
      <c r="O1198" s="71"/>
      <c r="P1198" s="71"/>
      <c r="Q1198" s="71"/>
      <c r="R1198" s="71"/>
      <c r="S1198" s="71"/>
      <c r="T1198" s="71"/>
      <c r="U1198" s="71"/>
      <c r="V1198" s="71"/>
      <c r="W1198" s="71"/>
      <c r="X1198" s="71"/>
      <c r="Y1198" s="71"/>
      <c r="Z1198" s="71"/>
      <c r="AA1198" s="71"/>
      <c r="AB1198" s="71"/>
      <c r="AC1198" s="71"/>
      <c r="AD1198" s="71"/>
      <c r="AE1198" s="71"/>
      <c r="AF1198" s="71"/>
      <c r="AG1198" s="71"/>
      <c r="AH1198" s="71"/>
      <c r="AI1198" s="71"/>
      <c r="AJ1198" s="71"/>
      <c r="AK1198" s="71"/>
      <c r="AL1198" s="71"/>
      <c r="AM1198" s="71"/>
      <c r="AN1198" s="71"/>
      <c r="AO1198" s="71"/>
      <c r="AP1198" s="71"/>
      <c r="AQ1198" s="71"/>
      <c r="AR1198" s="77"/>
    </row>
    <row r="1199">
      <c r="A1199" s="71"/>
      <c r="B1199" s="71"/>
      <c r="C1199" s="71"/>
      <c r="D1199" s="71"/>
      <c r="E1199" s="71"/>
      <c r="F1199" s="71"/>
      <c r="G1199" s="71"/>
      <c r="H1199" s="71"/>
      <c r="I1199" s="71"/>
      <c r="J1199" s="71"/>
      <c r="K1199" s="71"/>
      <c r="L1199" s="71"/>
      <c r="M1199" s="71"/>
      <c r="N1199" s="71"/>
      <c r="O1199" s="71"/>
      <c r="P1199" s="71"/>
      <c r="Q1199" s="71"/>
      <c r="R1199" s="71"/>
      <c r="S1199" s="71"/>
      <c r="T1199" s="71"/>
      <c r="U1199" s="71"/>
      <c r="V1199" s="71"/>
      <c r="W1199" s="71"/>
      <c r="X1199" s="71"/>
      <c r="Y1199" s="71"/>
      <c r="Z1199" s="71"/>
      <c r="AA1199" s="71"/>
      <c r="AB1199" s="71"/>
      <c r="AC1199" s="71"/>
      <c r="AD1199" s="71"/>
      <c r="AE1199" s="71"/>
      <c r="AF1199" s="71"/>
      <c r="AG1199" s="71"/>
      <c r="AH1199" s="71"/>
      <c r="AI1199" s="71"/>
      <c r="AJ1199" s="71"/>
      <c r="AK1199" s="71"/>
      <c r="AL1199" s="71"/>
      <c r="AM1199" s="71"/>
      <c r="AN1199" s="71"/>
      <c r="AO1199" s="71"/>
      <c r="AP1199" s="71"/>
      <c r="AQ1199" s="71"/>
      <c r="AR1199" s="77"/>
    </row>
    <row r="1200">
      <c r="A1200" s="71"/>
      <c r="B1200" s="71"/>
      <c r="C1200" s="71"/>
      <c r="D1200" s="71"/>
      <c r="E1200" s="71"/>
      <c r="F1200" s="71"/>
      <c r="G1200" s="71"/>
      <c r="H1200" s="71"/>
      <c r="I1200" s="71"/>
      <c r="J1200" s="71"/>
      <c r="K1200" s="71"/>
      <c r="L1200" s="71"/>
      <c r="M1200" s="71"/>
      <c r="N1200" s="71"/>
      <c r="O1200" s="71"/>
      <c r="P1200" s="71"/>
      <c r="Q1200" s="71"/>
      <c r="R1200" s="71"/>
      <c r="S1200" s="71"/>
      <c r="T1200" s="71"/>
      <c r="U1200" s="71"/>
      <c r="V1200" s="71"/>
      <c r="W1200" s="71"/>
      <c r="X1200" s="71"/>
      <c r="Y1200" s="71"/>
      <c r="Z1200" s="71"/>
      <c r="AA1200" s="71"/>
      <c r="AB1200" s="71"/>
      <c r="AC1200" s="71"/>
      <c r="AD1200" s="71"/>
      <c r="AE1200" s="71"/>
      <c r="AF1200" s="71"/>
      <c r="AG1200" s="71"/>
      <c r="AH1200" s="71"/>
      <c r="AI1200" s="71"/>
      <c r="AJ1200" s="71"/>
      <c r="AK1200" s="71"/>
      <c r="AL1200" s="71"/>
      <c r="AM1200" s="71"/>
      <c r="AN1200" s="71"/>
      <c r="AO1200" s="71"/>
      <c r="AP1200" s="71"/>
      <c r="AQ1200" s="71"/>
      <c r="AR1200" s="77"/>
    </row>
    <row r="1201">
      <c r="A1201" s="71"/>
      <c r="B1201" s="71"/>
      <c r="C1201" s="71"/>
      <c r="D1201" s="71"/>
      <c r="E1201" s="71"/>
      <c r="F1201" s="71"/>
      <c r="G1201" s="71"/>
      <c r="H1201" s="71"/>
      <c r="I1201" s="71"/>
      <c r="J1201" s="71"/>
      <c r="K1201" s="71"/>
      <c r="L1201" s="71"/>
      <c r="M1201" s="71"/>
      <c r="N1201" s="71"/>
      <c r="O1201" s="71"/>
      <c r="P1201" s="71"/>
      <c r="Q1201" s="71"/>
      <c r="R1201" s="71"/>
      <c r="S1201" s="71"/>
      <c r="T1201" s="71"/>
      <c r="U1201" s="71"/>
      <c r="V1201" s="71"/>
      <c r="W1201" s="71"/>
      <c r="X1201" s="71"/>
      <c r="Y1201" s="71"/>
      <c r="Z1201" s="71"/>
      <c r="AA1201" s="71"/>
      <c r="AB1201" s="71"/>
      <c r="AC1201" s="71"/>
      <c r="AD1201" s="71"/>
      <c r="AE1201" s="71"/>
      <c r="AF1201" s="71"/>
      <c r="AG1201" s="71"/>
      <c r="AH1201" s="71"/>
      <c r="AI1201" s="71"/>
      <c r="AJ1201" s="71"/>
      <c r="AK1201" s="71"/>
      <c r="AL1201" s="71"/>
      <c r="AM1201" s="71"/>
      <c r="AN1201" s="71"/>
      <c r="AO1201" s="71"/>
      <c r="AP1201" s="71"/>
      <c r="AQ1201" s="71"/>
      <c r="AR1201" s="77"/>
    </row>
    <row r="1202">
      <c r="A1202" s="71"/>
      <c r="B1202" s="71"/>
      <c r="C1202" s="71"/>
      <c r="D1202" s="71"/>
      <c r="E1202" s="71"/>
      <c r="F1202" s="71"/>
      <c r="G1202" s="71"/>
      <c r="H1202" s="71"/>
      <c r="I1202" s="71"/>
      <c r="J1202" s="71"/>
      <c r="K1202" s="71"/>
      <c r="L1202" s="71"/>
      <c r="M1202" s="71"/>
      <c r="N1202" s="71"/>
      <c r="O1202" s="71"/>
      <c r="P1202" s="71"/>
      <c r="Q1202" s="71"/>
      <c r="R1202" s="71"/>
      <c r="S1202" s="71"/>
      <c r="T1202" s="71"/>
      <c r="U1202" s="71"/>
      <c r="V1202" s="71"/>
      <c r="W1202" s="71"/>
      <c r="X1202" s="71"/>
      <c r="Y1202" s="71"/>
      <c r="Z1202" s="71"/>
      <c r="AA1202" s="71"/>
      <c r="AB1202" s="71"/>
      <c r="AC1202" s="71"/>
      <c r="AD1202" s="71"/>
      <c r="AE1202" s="71"/>
      <c r="AF1202" s="71"/>
      <c r="AG1202" s="71"/>
      <c r="AH1202" s="71"/>
      <c r="AI1202" s="71"/>
      <c r="AJ1202" s="71"/>
      <c r="AK1202" s="71"/>
      <c r="AL1202" s="71"/>
      <c r="AM1202" s="71"/>
      <c r="AN1202" s="71"/>
      <c r="AO1202" s="71"/>
      <c r="AP1202" s="71"/>
      <c r="AQ1202" s="71"/>
      <c r="AR1202" s="77"/>
    </row>
    <row r="1203">
      <c r="A1203" s="71"/>
      <c r="B1203" s="71"/>
      <c r="C1203" s="71"/>
      <c r="D1203" s="71"/>
      <c r="E1203" s="71"/>
      <c r="F1203" s="71"/>
      <c r="G1203" s="71"/>
      <c r="H1203" s="71"/>
      <c r="I1203" s="71"/>
      <c r="J1203" s="71"/>
      <c r="K1203" s="71"/>
      <c r="L1203" s="71"/>
      <c r="M1203" s="71"/>
      <c r="N1203" s="71"/>
      <c r="O1203" s="71"/>
      <c r="P1203" s="71"/>
      <c r="Q1203" s="71"/>
      <c r="R1203" s="71"/>
      <c r="S1203" s="71"/>
      <c r="T1203" s="71"/>
      <c r="U1203" s="71"/>
      <c r="V1203" s="71"/>
      <c r="W1203" s="71"/>
      <c r="X1203" s="71"/>
      <c r="Y1203" s="71"/>
      <c r="Z1203" s="71"/>
      <c r="AA1203" s="71"/>
      <c r="AB1203" s="71"/>
      <c r="AC1203" s="71"/>
      <c r="AD1203" s="71"/>
      <c r="AE1203" s="71"/>
      <c r="AF1203" s="71"/>
      <c r="AG1203" s="71"/>
      <c r="AH1203" s="71"/>
      <c r="AI1203" s="71"/>
      <c r="AJ1203" s="71"/>
      <c r="AK1203" s="71"/>
      <c r="AL1203" s="71"/>
      <c r="AM1203" s="71"/>
      <c r="AN1203" s="71"/>
      <c r="AO1203" s="71"/>
      <c r="AP1203" s="71"/>
      <c r="AQ1203" s="71"/>
      <c r="AR1203" s="77"/>
    </row>
    <row r="1204">
      <c r="A1204" s="71"/>
      <c r="B1204" s="71"/>
      <c r="C1204" s="71"/>
      <c r="D1204" s="71"/>
      <c r="E1204" s="71"/>
      <c r="F1204" s="71"/>
      <c r="G1204" s="71"/>
      <c r="H1204" s="71"/>
      <c r="I1204" s="71"/>
      <c r="J1204" s="71"/>
      <c r="K1204" s="71"/>
      <c r="L1204" s="71"/>
      <c r="M1204" s="71"/>
      <c r="N1204" s="71"/>
      <c r="O1204" s="71"/>
      <c r="P1204" s="71"/>
      <c r="Q1204" s="71"/>
      <c r="R1204" s="71"/>
      <c r="S1204" s="71"/>
      <c r="T1204" s="71"/>
      <c r="U1204" s="71"/>
      <c r="V1204" s="71"/>
      <c r="W1204" s="71"/>
      <c r="X1204" s="71"/>
      <c r="Y1204" s="71"/>
      <c r="Z1204" s="71"/>
      <c r="AA1204" s="71"/>
      <c r="AB1204" s="71"/>
      <c r="AC1204" s="71"/>
      <c r="AD1204" s="71"/>
      <c r="AE1204" s="71"/>
      <c r="AF1204" s="71"/>
      <c r="AG1204" s="71"/>
      <c r="AH1204" s="71"/>
      <c r="AI1204" s="71"/>
      <c r="AJ1204" s="71"/>
      <c r="AK1204" s="71"/>
      <c r="AL1204" s="71"/>
      <c r="AM1204" s="71"/>
      <c r="AN1204" s="71"/>
      <c r="AO1204" s="71"/>
      <c r="AP1204" s="71"/>
      <c r="AQ1204" s="71"/>
      <c r="AR1204" s="77"/>
    </row>
    <row r="1205">
      <c r="A1205" s="71"/>
      <c r="B1205" s="71"/>
      <c r="C1205" s="71"/>
      <c r="D1205" s="71"/>
      <c r="E1205" s="71"/>
      <c r="F1205" s="71"/>
      <c r="G1205" s="71"/>
      <c r="H1205" s="71"/>
      <c r="I1205" s="71"/>
      <c r="J1205" s="71"/>
      <c r="K1205" s="71"/>
      <c r="L1205" s="71"/>
      <c r="M1205" s="71"/>
      <c r="N1205" s="71"/>
      <c r="O1205" s="71"/>
      <c r="P1205" s="71"/>
      <c r="Q1205" s="71"/>
      <c r="R1205" s="71"/>
      <c r="S1205" s="71"/>
      <c r="T1205" s="71"/>
      <c r="U1205" s="71"/>
      <c r="V1205" s="71"/>
      <c r="W1205" s="71"/>
      <c r="X1205" s="71"/>
      <c r="Y1205" s="71"/>
      <c r="Z1205" s="71"/>
      <c r="AA1205" s="71"/>
      <c r="AB1205" s="71"/>
      <c r="AC1205" s="71"/>
      <c r="AD1205" s="71"/>
      <c r="AE1205" s="71"/>
      <c r="AF1205" s="71"/>
      <c r="AG1205" s="71"/>
      <c r="AH1205" s="71"/>
      <c r="AI1205" s="71"/>
      <c r="AJ1205" s="71"/>
      <c r="AK1205" s="71"/>
      <c r="AL1205" s="71"/>
      <c r="AM1205" s="71"/>
      <c r="AN1205" s="71"/>
      <c r="AO1205" s="71"/>
      <c r="AP1205" s="71"/>
      <c r="AQ1205" s="71"/>
      <c r="AR1205" s="77"/>
    </row>
    <row r="1206">
      <c r="A1206" s="71"/>
      <c r="B1206" s="71"/>
      <c r="C1206" s="71"/>
      <c r="D1206" s="71"/>
      <c r="E1206" s="71"/>
      <c r="F1206" s="71"/>
      <c r="G1206" s="71"/>
      <c r="H1206" s="71"/>
      <c r="I1206" s="71"/>
      <c r="J1206" s="71"/>
      <c r="K1206" s="71"/>
      <c r="L1206" s="71"/>
      <c r="M1206" s="71"/>
      <c r="N1206" s="71"/>
      <c r="O1206" s="71"/>
      <c r="P1206" s="71"/>
      <c r="Q1206" s="71"/>
      <c r="R1206" s="71"/>
      <c r="S1206" s="71"/>
      <c r="T1206" s="71"/>
      <c r="U1206" s="71"/>
      <c r="V1206" s="71"/>
      <c r="W1206" s="71"/>
      <c r="X1206" s="71"/>
      <c r="Y1206" s="71"/>
      <c r="Z1206" s="71"/>
      <c r="AA1206" s="71"/>
      <c r="AB1206" s="71"/>
      <c r="AC1206" s="71"/>
      <c r="AD1206" s="71"/>
      <c r="AE1206" s="71"/>
      <c r="AF1206" s="71"/>
      <c r="AG1206" s="71"/>
      <c r="AH1206" s="71"/>
      <c r="AI1206" s="71"/>
      <c r="AJ1206" s="71"/>
      <c r="AK1206" s="71"/>
      <c r="AL1206" s="71"/>
      <c r="AM1206" s="71"/>
      <c r="AN1206" s="71"/>
      <c r="AO1206" s="71"/>
      <c r="AP1206" s="71"/>
      <c r="AQ1206" s="71"/>
      <c r="AR1206" s="77"/>
    </row>
    <row r="1207">
      <c r="A1207" s="71"/>
      <c r="B1207" s="71"/>
      <c r="C1207" s="71"/>
      <c r="D1207" s="71"/>
      <c r="E1207" s="71"/>
      <c r="F1207" s="71"/>
      <c r="G1207" s="71"/>
      <c r="H1207" s="71"/>
      <c r="I1207" s="71"/>
      <c r="J1207" s="71"/>
      <c r="K1207" s="71"/>
      <c r="L1207" s="71"/>
      <c r="M1207" s="71"/>
      <c r="N1207" s="71"/>
      <c r="O1207" s="71"/>
      <c r="P1207" s="71"/>
      <c r="Q1207" s="71"/>
      <c r="R1207" s="71"/>
      <c r="S1207" s="71"/>
      <c r="T1207" s="71"/>
      <c r="U1207" s="71"/>
      <c r="V1207" s="71"/>
      <c r="W1207" s="71"/>
      <c r="X1207" s="71"/>
      <c r="Y1207" s="71"/>
      <c r="Z1207" s="71"/>
      <c r="AA1207" s="71"/>
      <c r="AB1207" s="71"/>
      <c r="AC1207" s="71"/>
      <c r="AD1207" s="71"/>
      <c r="AE1207" s="71"/>
      <c r="AF1207" s="71"/>
      <c r="AG1207" s="71"/>
      <c r="AH1207" s="71"/>
      <c r="AI1207" s="71"/>
      <c r="AJ1207" s="71"/>
      <c r="AK1207" s="71"/>
      <c r="AL1207" s="71"/>
      <c r="AM1207" s="71"/>
      <c r="AN1207" s="71"/>
      <c r="AO1207" s="71"/>
      <c r="AP1207" s="71"/>
      <c r="AQ1207" s="71"/>
      <c r="AR1207" s="77"/>
    </row>
    <row r="1208">
      <c r="A1208" s="71"/>
      <c r="B1208" s="71"/>
      <c r="C1208" s="71"/>
      <c r="D1208" s="71"/>
      <c r="E1208" s="71"/>
      <c r="F1208" s="71"/>
      <c r="G1208" s="71"/>
      <c r="H1208" s="71"/>
      <c r="I1208" s="71"/>
      <c r="J1208" s="71"/>
      <c r="K1208" s="71"/>
      <c r="L1208" s="71"/>
      <c r="M1208" s="71"/>
      <c r="N1208" s="71"/>
      <c r="O1208" s="71"/>
      <c r="P1208" s="71"/>
      <c r="Q1208" s="71"/>
      <c r="R1208" s="71"/>
      <c r="S1208" s="71"/>
      <c r="T1208" s="71"/>
      <c r="U1208" s="71"/>
      <c r="V1208" s="71"/>
      <c r="W1208" s="71"/>
      <c r="X1208" s="71"/>
      <c r="Y1208" s="71"/>
      <c r="Z1208" s="71"/>
      <c r="AA1208" s="71"/>
      <c r="AB1208" s="71"/>
      <c r="AC1208" s="71"/>
      <c r="AD1208" s="71"/>
      <c r="AE1208" s="71"/>
      <c r="AF1208" s="71"/>
      <c r="AG1208" s="71"/>
      <c r="AH1208" s="71"/>
      <c r="AI1208" s="71"/>
      <c r="AJ1208" s="71"/>
      <c r="AK1208" s="71"/>
      <c r="AL1208" s="71"/>
      <c r="AM1208" s="71"/>
      <c r="AN1208" s="71"/>
      <c r="AO1208" s="71"/>
      <c r="AP1208" s="71"/>
      <c r="AQ1208" s="71"/>
      <c r="AR1208" s="77"/>
    </row>
    <row r="1209">
      <c r="A1209" s="71"/>
      <c r="B1209" s="71"/>
      <c r="C1209" s="71"/>
      <c r="D1209" s="71"/>
      <c r="E1209" s="71"/>
      <c r="F1209" s="71"/>
      <c r="G1209" s="71"/>
      <c r="H1209" s="71"/>
      <c r="I1209" s="71"/>
      <c r="J1209" s="71"/>
      <c r="K1209" s="71"/>
      <c r="L1209" s="71"/>
      <c r="M1209" s="71"/>
      <c r="N1209" s="71"/>
      <c r="O1209" s="71"/>
      <c r="P1209" s="71"/>
      <c r="Q1209" s="71"/>
      <c r="R1209" s="71"/>
      <c r="S1209" s="71"/>
      <c r="T1209" s="71"/>
      <c r="U1209" s="71"/>
      <c r="V1209" s="71"/>
      <c r="W1209" s="71"/>
      <c r="X1209" s="71"/>
      <c r="Y1209" s="71"/>
      <c r="Z1209" s="71"/>
      <c r="AA1209" s="71"/>
      <c r="AB1209" s="71"/>
      <c r="AC1209" s="71"/>
      <c r="AD1209" s="71"/>
      <c r="AE1209" s="71"/>
      <c r="AF1209" s="71"/>
      <c r="AG1209" s="71"/>
      <c r="AH1209" s="71"/>
      <c r="AI1209" s="71"/>
      <c r="AJ1209" s="71"/>
      <c r="AK1209" s="71"/>
      <c r="AL1209" s="71"/>
      <c r="AM1209" s="71"/>
      <c r="AN1209" s="71"/>
      <c r="AO1209" s="71"/>
      <c r="AP1209" s="71"/>
      <c r="AQ1209" s="71"/>
      <c r="AR1209" s="77"/>
    </row>
    <row r="1210">
      <c r="A1210" s="71"/>
      <c r="B1210" s="71"/>
      <c r="C1210" s="71"/>
      <c r="D1210" s="71"/>
      <c r="E1210" s="71"/>
      <c r="F1210" s="71"/>
      <c r="G1210" s="71"/>
      <c r="H1210" s="71"/>
      <c r="I1210" s="71"/>
      <c r="J1210" s="71"/>
      <c r="K1210" s="71"/>
      <c r="L1210" s="71"/>
      <c r="M1210" s="71"/>
      <c r="N1210" s="71"/>
      <c r="O1210" s="71"/>
      <c r="P1210" s="71"/>
      <c r="Q1210" s="71"/>
      <c r="R1210" s="71"/>
      <c r="S1210" s="71"/>
      <c r="T1210" s="71"/>
      <c r="U1210" s="71"/>
      <c r="V1210" s="71"/>
      <c r="W1210" s="71"/>
      <c r="X1210" s="71"/>
      <c r="Y1210" s="71"/>
      <c r="Z1210" s="71"/>
      <c r="AA1210" s="71"/>
      <c r="AB1210" s="71"/>
      <c r="AC1210" s="71"/>
      <c r="AD1210" s="71"/>
      <c r="AE1210" s="71"/>
      <c r="AF1210" s="71"/>
      <c r="AG1210" s="71"/>
      <c r="AH1210" s="71"/>
      <c r="AI1210" s="71"/>
      <c r="AJ1210" s="71"/>
      <c r="AK1210" s="71"/>
      <c r="AL1210" s="71"/>
      <c r="AM1210" s="71"/>
      <c r="AN1210" s="71"/>
      <c r="AO1210" s="71"/>
      <c r="AP1210" s="71"/>
      <c r="AQ1210" s="71"/>
      <c r="AR1210" s="77"/>
    </row>
    <row r="1211">
      <c r="A1211" s="71"/>
      <c r="B1211" s="71"/>
      <c r="C1211" s="71"/>
      <c r="D1211" s="71"/>
      <c r="E1211" s="71"/>
      <c r="F1211" s="71"/>
      <c r="G1211" s="71"/>
      <c r="H1211" s="71"/>
      <c r="I1211" s="71"/>
      <c r="J1211" s="71"/>
      <c r="K1211" s="71"/>
      <c r="L1211" s="71"/>
      <c r="M1211" s="71"/>
      <c r="N1211" s="71"/>
      <c r="O1211" s="71"/>
      <c r="P1211" s="71"/>
      <c r="Q1211" s="71"/>
      <c r="R1211" s="71"/>
      <c r="S1211" s="71"/>
      <c r="T1211" s="71"/>
      <c r="U1211" s="71"/>
      <c r="V1211" s="71"/>
      <c r="W1211" s="71"/>
      <c r="X1211" s="71"/>
      <c r="Y1211" s="71"/>
      <c r="Z1211" s="71"/>
      <c r="AA1211" s="71"/>
      <c r="AB1211" s="71"/>
      <c r="AC1211" s="71"/>
      <c r="AD1211" s="71"/>
      <c r="AE1211" s="71"/>
      <c r="AF1211" s="71"/>
      <c r="AG1211" s="71"/>
      <c r="AH1211" s="71"/>
      <c r="AI1211" s="71"/>
      <c r="AJ1211" s="71"/>
      <c r="AK1211" s="71"/>
      <c r="AL1211" s="71"/>
      <c r="AM1211" s="71"/>
      <c r="AN1211" s="71"/>
      <c r="AO1211" s="71"/>
      <c r="AP1211" s="71"/>
      <c r="AQ1211" s="71"/>
      <c r="AR1211" s="77"/>
    </row>
    <row r="1212">
      <c r="A1212" s="71"/>
      <c r="B1212" s="71"/>
      <c r="C1212" s="71"/>
      <c r="D1212" s="71"/>
      <c r="E1212" s="71"/>
      <c r="F1212" s="71"/>
      <c r="G1212" s="71"/>
      <c r="H1212" s="71"/>
      <c r="I1212" s="71"/>
      <c r="J1212" s="71"/>
      <c r="K1212" s="71"/>
      <c r="L1212" s="71"/>
      <c r="M1212" s="71"/>
      <c r="N1212" s="71"/>
      <c r="O1212" s="71"/>
      <c r="P1212" s="71"/>
      <c r="Q1212" s="71"/>
      <c r="R1212" s="71"/>
      <c r="S1212" s="71"/>
      <c r="T1212" s="71"/>
      <c r="U1212" s="71"/>
      <c r="V1212" s="71"/>
      <c r="W1212" s="71"/>
      <c r="X1212" s="71"/>
      <c r="Y1212" s="71"/>
      <c r="Z1212" s="71"/>
      <c r="AA1212" s="71"/>
      <c r="AB1212" s="71"/>
      <c r="AC1212" s="71"/>
      <c r="AD1212" s="71"/>
      <c r="AE1212" s="71"/>
      <c r="AF1212" s="71"/>
      <c r="AG1212" s="71"/>
      <c r="AH1212" s="71"/>
      <c r="AI1212" s="71"/>
      <c r="AJ1212" s="71"/>
      <c r="AK1212" s="71"/>
      <c r="AL1212" s="71"/>
      <c r="AM1212" s="71"/>
      <c r="AN1212" s="71"/>
      <c r="AO1212" s="71"/>
      <c r="AP1212" s="71"/>
      <c r="AQ1212" s="71"/>
      <c r="AR1212" s="77"/>
    </row>
    <row r="1213">
      <c r="A1213" s="71"/>
      <c r="B1213" s="71"/>
      <c r="C1213" s="71"/>
      <c r="D1213" s="71"/>
      <c r="E1213" s="71"/>
      <c r="F1213" s="71"/>
      <c r="G1213" s="71"/>
      <c r="H1213" s="71"/>
      <c r="I1213" s="71"/>
      <c r="J1213" s="71"/>
      <c r="K1213" s="71"/>
      <c r="L1213" s="71"/>
      <c r="M1213" s="71"/>
      <c r="N1213" s="71"/>
      <c r="O1213" s="71"/>
      <c r="P1213" s="71"/>
      <c r="Q1213" s="71"/>
      <c r="R1213" s="71"/>
      <c r="S1213" s="71"/>
      <c r="T1213" s="71"/>
      <c r="U1213" s="71"/>
      <c r="V1213" s="71"/>
      <c r="W1213" s="71"/>
      <c r="X1213" s="71"/>
      <c r="Y1213" s="71"/>
      <c r="Z1213" s="71"/>
      <c r="AA1213" s="71"/>
      <c r="AB1213" s="71"/>
      <c r="AC1213" s="71"/>
      <c r="AD1213" s="71"/>
      <c r="AE1213" s="71"/>
      <c r="AF1213" s="71"/>
      <c r="AG1213" s="71"/>
      <c r="AH1213" s="71"/>
      <c r="AI1213" s="71"/>
      <c r="AJ1213" s="71"/>
      <c r="AK1213" s="71"/>
      <c r="AL1213" s="71"/>
      <c r="AM1213" s="71"/>
      <c r="AN1213" s="71"/>
      <c r="AO1213" s="71"/>
      <c r="AP1213" s="71"/>
      <c r="AQ1213" s="71"/>
      <c r="AR1213" s="77"/>
    </row>
    <row r="1214">
      <c r="A1214" s="71"/>
      <c r="B1214" s="71"/>
      <c r="C1214" s="71"/>
      <c r="D1214" s="71"/>
      <c r="E1214" s="71"/>
      <c r="F1214" s="71"/>
      <c r="G1214" s="71"/>
      <c r="H1214" s="71"/>
      <c r="I1214" s="71"/>
      <c r="J1214" s="71"/>
      <c r="K1214" s="71"/>
      <c r="L1214" s="71"/>
      <c r="M1214" s="71"/>
      <c r="N1214" s="71"/>
      <c r="O1214" s="71"/>
      <c r="P1214" s="71"/>
      <c r="Q1214" s="71"/>
      <c r="R1214" s="71"/>
      <c r="S1214" s="71"/>
      <c r="T1214" s="71"/>
      <c r="U1214" s="71"/>
      <c r="V1214" s="71"/>
      <c r="W1214" s="71"/>
      <c r="X1214" s="71"/>
      <c r="Y1214" s="71"/>
      <c r="Z1214" s="71"/>
      <c r="AA1214" s="71"/>
      <c r="AB1214" s="71"/>
      <c r="AC1214" s="71"/>
      <c r="AD1214" s="71"/>
      <c r="AE1214" s="71"/>
      <c r="AF1214" s="71"/>
      <c r="AG1214" s="71"/>
      <c r="AH1214" s="71"/>
      <c r="AI1214" s="71"/>
      <c r="AJ1214" s="71"/>
      <c r="AK1214" s="71"/>
      <c r="AL1214" s="71"/>
      <c r="AM1214" s="71"/>
      <c r="AN1214" s="71"/>
      <c r="AO1214" s="71"/>
      <c r="AP1214" s="71"/>
      <c r="AQ1214" s="71"/>
      <c r="AR1214" s="77"/>
    </row>
    <row r="1215">
      <c r="A1215" s="71"/>
      <c r="B1215" s="71"/>
      <c r="C1215" s="71"/>
      <c r="D1215" s="71"/>
      <c r="E1215" s="71"/>
      <c r="F1215" s="71"/>
      <c r="G1215" s="71"/>
      <c r="H1215" s="71"/>
      <c r="I1215" s="71"/>
      <c r="J1215" s="71"/>
      <c r="K1215" s="71"/>
      <c r="L1215" s="71"/>
      <c r="M1215" s="71"/>
      <c r="N1215" s="71"/>
      <c r="O1215" s="71"/>
      <c r="P1215" s="71"/>
      <c r="Q1215" s="71"/>
      <c r="R1215" s="71"/>
      <c r="S1215" s="71"/>
      <c r="T1215" s="71"/>
      <c r="U1215" s="71"/>
      <c r="V1215" s="71"/>
      <c r="W1215" s="71"/>
      <c r="X1215" s="71"/>
      <c r="Y1215" s="71"/>
      <c r="Z1215" s="71"/>
      <c r="AA1215" s="71"/>
      <c r="AB1215" s="71"/>
      <c r="AC1215" s="71"/>
      <c r="AD1215" s="71"/>
      <c r="AE1215" s="71"/>
      <c r="AF1215" s="71"/>
      <c r="AG1215" s="71"/>
      <c r="AH1215" s="71"/>
      <c r="AI1215" s="71"/>
      <c r="AJ1215" s="71"/>
      <c r="AK1215" s="71"/>
      <c r="AL1215" s="71"/>
      <c r="AM1215" s="71"/>
      <c r="AN1215" s="71"/>
      <c r="AO1215" s="71"/>
      <c r="AP1215" s="71"/>
      <c r="AQ1215" s="71"/>
      <c r="AR1215" s="77"/>
    </row>
    <row r="1216">
      <c r="A1216" s="71"/>
      <c r="B1216" s="71"/>
      <c r="C1216" s="71"/>
      <c r="D1216" s="71"/>
      <c r="E1216" s="71"/>
      <c r="F1216" s="71"/>
      <c r="G1216" s="71"/>
      <c r="H1216" s="71"/>
      <c r="I1216" s="71"/>
      <c r="J1216" s="71"/>
      <c r="K1216" s="71"/>
      <c r="L1216" s="71"/>
      <c r="M1216" s="71"/>
      <c r="N1216" s="71"/>
      <c r="O1216" s="71"/>
      <c r="P1216" s="71"/>
      <c r="Q1216" s="71"/>
      <c r="R1216" s="71"/>
      <c r="S1216" s="71"/>
      <c r="T1216" s="71"/>
      <c r="U1216" s="71"/>
      <c r="V1216" s="71"/>
      <c r="W1216" s="71"/>
      <c r="X1216" s="71"/>
      <c r="Y1216" s="71"/>
      <c r="Z1216" s="71"/>
      <c r="AA1216" s="71"/>
      <c r="AB1216" s="71"/>
      <c r="AC1216" s="71"/>
      <c r="AD1216" s="71"/>
      <c r="AE1216" s="71"/>
      <c r="AF1216" s="71"/>
      <c r="AG1216" s="71"/>
      <c r="AH1216" s="71"/>
      <c r="AI1216" s="71"/>
      <c r="AJ1216" s="71"/>
      <c r="AK1216" s="71"/>
      <c r="AL1216" s="71"/>
      <c r="AM1216" s="71"/>
      <c r="AN1216" s="71"/>
      <c r="AO1216" s="71"/>
      <c r="AP1216" s="71"/>
      <c r="AQ1216" s="71"/>
      <c r="AR1216" s="77"/>
    </row>
    <row r="1217">
      <c r="A1217" s="71"/>
      <c r="B1217" s="71"/>
      <c r="C1217" s="71"/>
      <c r="D1217" s="71"/>
      <c r="E1217" s="71"/>
      <c r="F1217" s="71"/>
      <c r="G1217" s="71"/>
      <c r="H1217" s="71"/>
      <c r="I1217" s="71"/>
      <c r="J1217" s="71"/>
      <c r="K1217" s="71"/>
      <c r="L1217" s="71"/>
      <c r="M1217" s="71"/>
      <c r="N1217" s="71"/>
      <c r="O1217" s="71"/>
      <c r="P1217" s="71"/>
      <c r="Q1217" s="71"/>
      <c r="R1217" s="71"/>
      <c r="S1217" s="71"/>
      <c r="T1217" s="71"/>
      <c r="U1217" s="71"/>
      <c r="V1217" s="71"/>
      <c r="W1217" s="71"/>
      <c r="X1217" s="71"/>
      <c r="Y1217" s="71"/>
      <c r="Z1217" s="71"/>
      <c r="AA1217" s="71"/>
      <c r="AB1217" s="71"/>
      <c r="AC1217" s="71"/>
      <c r="AD1217" s="71"/>
      <c r="AE1217" s="71"/>
      <c r="AF1217" s="71"/>
      <c r="AG1217" s="71"/>
      <c r="AH1217" s="71"/>
      <c r="AI1217" s="71"/>
      <c r="AJ1217" s="71"/>
      <c r="AK1217" s="71"/>
      <c r="AL1217" s="71"/>
      <c r="AM1217" s="71"/>
      <c r="AN1217" s="71"/>
      <c r="AO1217" s="71"/>
      <c r="AP1217" s="71"/>
      <c r="AQ1217" s="71"/>
      <c r="AR1217" s="77"/>
    </row>
    <row r="1218">
      <c r="A1218" s="71"/>
      <c r="B1218" s="71"/>
      <c r="C1218" s="71"/>
      <c r="D1218" s="71"/>
      <c r="E1218" s="71"/>
      <c r="F1218" s="71"/>
      <c r="G1218" s="71"/>
      <c r="H1218" s="71"/>
      <c r="I1218" s="71"/>
      <c r="J1218" s="71"/>
      <c r="K1218" s="71"/>
      <c r="L1218" s="71"/>
      <c r="M1218" s="71"/>
      <c r="N1218" s="71"/>
      <c r="O1218" s="71"/>
      <c r="P1218" s="71"/>
      <c r="Q1218" s="71"/>
      <c r="R1218" s="71"/>
      <c r="S1218" s="71"/>
      <c r="T1218" s="71"/>
      <c r="U1218" s="71"/>
      <c r="V1218" s="71"/>
      <c r="W1218" s="71"/>
      <c r="X1218" s="71"/>
      <c r="Y1218" s="71"/>
      <c r="Z1218" s="71"/>
      <c r="AA1218" s="71"/>
      <c r="AB1218" s="71"/>
      <c r="AC1218" s="71"/>
      <c r="AD1218" s="71"/>
      <c r="AE1218" s="71"/>
      <c r="AF1218" s="71"/>
      <c r="AG1218" s="71"/>
      <c r="AH1218" s="71"/>
      <c r="AI1218" s="71"/>
      <c r="AJ1218" s="71"/>
      <c r="AK1218" s="71"/>
      <c r="AL1218" s="71"/>
      <c r="AM1218" s="71"/>
      <c r="AN1218" s="71"/>
      <c r="AO1218" s="71"/>
      <c r="AP1218" s="71"/>
      <c r="AQ1218" s="71"/>
      <c r="AR1218" s="77"/>
    </row>
    <row r="1219">
      <c r="A1219" s="71"/>
      <c r="B1219" s="71"/>
      <c r="C1219" s="71"/>
      <c r="D1219" s="71"/>
      <c r="E1219" s="71"/>
      <c r="F1219" s="71"/>
      <c r="G1219" s="71"/>
      <c r="H1219" s="71"/>
      <c r="I1219" s="71"/>
      <c r="J1219" s="71"/>
      <c r="K1219" s="71"/>
      <c r="L1219" s="71"/>
      <c r="M1219" s="71"/>
      <c r="N1219" s="71"/>
      <c r="O1219" s="71"/>
      <c r="P1219" s="71"/>
      <c r="Q1219" s="71"/>
      <c r="R1219" s="71"/>
      <c r="S1219" s="71"/>
      <c r="T1219" s="71"/>
      <c r="U1219" s="71"/>
      <c r="V1219" s="71"/>
      <c r="W1219" s="71"/>
      <c r="X1219" s="71"/>
      <c r="Y1219" s="71"/>
      <c r="Z1219" s="71"/>
      <c r="AA1219" s="71"/>
      <c r="AB1219" s="71"/>
      <c r="AC1219" s="71"/>
      <c r="AD1219" s="71"/>
      <c r="AE1219" s="71"/>
      <c r="AF1219" s="71"/>
      <c r="AG1219" s="71"/>
      <c r="AH1219" s="71"/>
      <c r="AI1219" s="71"/>
      <c r="AJ1219" s="71"/>
      <c r="AK1219" s="71"/>
      <c r="AL1219" s="71"/>
      <c r="AM1219" s="71"/>
      <c r="AN1219" s="71"/>
      <c r="AO1219" s="71"/>
      <c r="AP1219" s="71"/>
      <c r="AQ1219" s="71"/>
      <c r="AR1219" s="77"/>
    </row>
    <row r="1220">
      <c r="A1220" s="71"/>
      <c r="B1220" s="71"/>
      <c r="C1220" s="71"/>
      <c r="D1220" s="71"/>
      <c r="E1220" s="71"/>
      <c r="F1220" s="71"/>
      <c r="G1220" s="71"/>
      <c r="H1220" s="71"/>
      <c r="I1220" s="71"/>
      <c r="J1220" s="71"/>
      <c r="K1220" s="71"/>
      <c r="L1220" s="71"/>
      <c r="M1220" s="71"/>
      <c r="N1220" s="71"/>
      <c r="O1220" s="71"/>
      <c r="P1220" s="71"/>
      <c r="Q1220" s="71"/>
      <c r="R1220" s="71"/>
      <c r="S1220" s="71"/>
      <c r="T1220" s="71"/>
      <c r="U1220" s="71"/>
      <c r="V1220" s="71"/>
      <c r="W1220" s="71"/>
      <c r="X1220" s="71"/>
      <c r="Y1220" s="71"/>
      <c r="Z1220" s="71"/>
      <c r="AA1220" s="71"/>
      <c r="AB1220" s="71"/>
      <c r="AC1220" s="71"/>
      <c r="AD1220" s="71"/>
      <c r="AE1220" s="71"/>
      <c r="AF1220" s="71"/>
      <c r="AG1220" s="71"/>
      <c r="AH1220" s="71"/>
      <c r="AI1220" s="71"/>
      <c r="AJ1220" s="71"/>
      <c r="AK1220" s="71"/>
      <c r="AL1220" s="71"/>
      <c r="AM1220" s="71"/>
      <c r="AN1220" s="71"/>
      <c r="AO1220" s="71"/>
      <c r="AP1220" s="71"/>
      <c r="AQ1220" s="71"/>
      <c r="AR1220" s="77"/>
    </row>
    <row r="1221">
      <c r="A1221" s="71"/>
      <c r="B1221" s="71"/>
      <c r="C1221" s="71"/>
      <c r="D1221" s="71"/>
      <c r="E1221" s="71"/>
      <c r="F1221" s="71"/>
      <c r="G1221" s="71"/>
      <c r="H1221" s="71"/>
      <c r="I1221" s="71"/>
      <c r="J1221" s="71"/>
      <c r="K1221" s="71"/>
      <c r="L1221" s="71"/>
      <c r="M1221" s="71"/>
      <c r="N1221" s="71"/>
      <c r="O1221" s="71"/>
      <c r="P1221" s="71"/>
      <c r="Q1221" s="71"/>
      <c r="R1221" s="71"/>
      <c r="S1221" s="71"/>
      <c r="T1221" s="71"/>
      <c r="U1221" s="71"/>
      <c r="V1221" s="71"/>
      <c r="W1221" s="71"/>
      <c r="X1221" s="71"/>
      <c r="Y1221" s="71"/>
      <c r="Z1221" s="71"/>
      <c r="AA1221" s="71"/>
      <c r="AB1221" s="71"/>
      <c r="AC1221" s="71"/>
      <c r="AD1221" s="71"/>
      <c r="AE1221" s="71"/>
      <c r="AF1221" s="71"/>
      <c r="AG1221" s="71"/>
      <c r="AH1221" s="71"/>
      <c r="AI1221" s="71"/>
      <c r="AJ1221" s="71"/>
      <c r="AK1221" s="71"/>
      <c r="AL1221" s="71"/>
      <c r="AM1221" s="71"/>
      <c r="AN1221" s="71"/>
      <c r="AO1221" s="71"/>
      <c r="AP1221" s="71"/>
      <c r="AQ1221" s="71"/>
      <c r="AR1221" s="77"/>
    </row>
    <row r="1222">
      <c r="A1222" s="71"/>
      <c r="B1222" s="71"/>
      <c r="C1222" s="71"/>
      <c r="D1222" s="71"/>
      <c r="E1222" s="71"/>
      <c r="F1222" s="71"/>
      <c r="G1222" s="71"/>
      <c r="H1222" s="71"/>
      <c r="I1222" s="71"/>
      <c r="J1222" s="71"/>
      <c r="K1222" s="71"/>
      <c r="L1222" s="71"/>
      <c r="M1222" s="71"/>
      <c r="N1222" s="71"/>
      <c r="O1222" s="71"/>
      <c r="P1222" s="71"/>
      <c r="Q1222" s="71"/>
      <c r="R1222" s="71"/>
      <c r="S1222" s="71"/>
      <c r="T1222" s="71"/>
      <c r="U1222" s="71"/>
      <c r="V1222" s="71"/>
      <c r="W1222" s="71"/>
      <c r="X1222" s="71"/>
      <c r="Y1222" s="71"/>
      <c r="Z1222" s="71"/>
      <c r="AA1222" s="71"/>
      <c r="AB1222" s="71"/>
      <c r="AC1222" s="71"/>
      <c r="AD1222" s="71"/>
      <c r="AE1222" s="71"/>
      <c r="AF1222" s="71"/>
      <c r="AG1222" s="71"/>
      <c r="AH1222" s="71"/>
      <c r="AI1222" s="71"/>
      <c r="AJ1222" s="71"/>
      <c r="AK1222" s="71"/>
      <c r="AL1222" s="71"/>
      <c r="AM1222" s="71"/>
      <c r="AN1222" s="71"/>
      <c r="AO1222" s="71"/>
      <c r="AP1222" s="71"/>
      <c r="AQ1222" s="71"/>
      <c r="AR1222" s="77"/>
    </row>
    <row r="1223">
      <c r="A1223" s="71"/>
      <c r="B1223" s="71"/>
      <c r="C1223" s="71"/>
      <c r="D1223" s="71"/>
      <c r="E1223" s="71"/>
      <c r="F1223" s="71"/>
      <c r="G1223" s="71"/>
      <c r="H1223" s="71"/>
      <c r="I1223" s="71"/>
      <c r="J1223" s="71"/>
      <c r="K1223" s="71"/>
      <c r="L1223" s="71"/>
      <c r="M1223" s="71"/>
      <c r="N1223" s="71"/>
      <c r="O1223" s="71"/>
      <c r="P1223" s="71"/>
      <c r="Q1223" s="71"/>
      <c r="R1223" s="71"/>
      <c r="S1223" s="71"/>
      <c r="T1223" s="71"/>
      <c r="U1223" s="71"/>
      <c r="V1223" s="71"/>
      <c r="W1223" s="71"/>
      <c r="X1223" s="71"/>
      <c r="Y1223" s="71"/>
      <c r="Z1223" s="71"/>
      <c r="AA1223" s="71"/>
      <c r="AB1223" s="71"/>
      <c r="AC1223" s="71"/>
      <c r="AD1223" s="71"/>
      <c r="AE1223" s="71"/>
      <c r="AF1223" s="71"/>
      <c r="AG1223" s="71"/>
      <c r="AH1223" s="71"/>
      <c r="AI1223" s="71"/>
      <c r="AJ1223" s="71"/>
      <c r="AK1223" s="71"/>
      <c r="AL1223" s="71"/>
      <c r="AM1223" s="71"/>
      <c r="AN1223" s="71"/>
      <c r="AO1223" s="71"/>
      <c r="AP1223" s="71"/>
      <c r="AQ1223" s="71"/>
      <c r="AR1223" s="77"/>
    </row>
    <row r="1224">
      <c r="A1224" s="71"/>
      <c r="B1224" s="71"/>
      <c r="C1224" s="71"/>
      <c r="D1224" s="71"/>
      <c r="E1224" s="71"/>
      <c r="F1224" s="71"/>
      <c r="G1224" s="71"/>
      <c r="H1224" s="71"/>
      <c r="I1224" s="71"/>
      <c r="J1224" s="71"/>
      <c r="K1224" s="71"/>
      <c r="L1224" s="71"/>
      <c r="M1224" s="71"/>
      <c r="N1224" s="71"/>
      <c r="O1224" s="71"/>
      <c r="P1224" s="71"/>
      <c r="Q1224" s="71"/>
      <c r="R1224" s="71"/>
      <c r="S1224" s="71"/>
      <c r="T1224" s="71"/>
      <c r="U1224" s="71"/>
      <c r="V1224" s="71"/>
      <c r="W1224" s="71"/>
      <c r="X1224" s="71"/>
      <c r="Y1224" s="71"/>
      <c r="Z1224" s="71"/>
      <c r="AA1224" s="71"/>
      <c r="AB1224" s="71"/>
      <c r="AC1224" s="71"/>
      <c r="AD1224" s="71"/>
      <c r="AE1224" s="71"/>
      <c r="AF1224" s="71"/>
      <c r="AG1224" s="71"/>
      <c r="AH1224" s="71"/>
      <c r="AI1224" s="71"/>
      <c r="AJ1224" s="71"/>
      <c r="AK1224" s="71"/>
      <c r="AL1224" s="71"/>
      <c r="AM1224" s="71"/>
      <c r="AN1224" s="71"/>
      <c r="AO1224" s="71"/>
      <c r="AP1224" s="71"/>
      <c r="AQ1224" s="71"/>
      <c r="AR1224" s="77"/>
    </row>
    <row r="1225">
      <c r="A1225" s="71"/>
      <c r="B1225" s="71"/>
      <c r="C1225" s="71"/>
      <c r="D1225" s="71"/>
      <c r="E1225" s="71"/>
      <c r="F1225" s="71"/>
      <c r="G1225" s="71"/>
      <c r="H1225" s="71"/>
      <c r="I1225" s="71"/>
      <c r="J1225" s="71"/>
      <c r="K1225" s="71"/>
      <c r="L1225" s="71"/>
      <c r="M1225" s="71"/>
      <c r="N1225" s="71"/>
      <c r="O1225" s="71"/>
      <c r="P1225" s="71"/>
      <c r="Q1225" s="71"/>
      <c r="R1225" s="71"/>
      <c r="S1225" s="71"/>
      <c r="T1225" s="71"/>
      <c r="U1225" s="71"/>
      <c r="V1225" s="71"/>
      <c r="W1225" s="71"/>
      <c r="X1225" s="71"/>
      <c r="Y1225" s="71"/>
      <c r="Z1225" s="71"/>
      <c r="AA1225" s="71"/>
      <c r="AB1225" s="71"/>
      <c r="AC1225" s="71"/>
      <c r="AD1225" s="71"/>
      <c r="AE1225" s="71"/>
      <c r="AF1225" s="71"/>
      <c r="AG1225" s="71"/>
      <c r="AH1225" s="71"/>
      <c r="AI1225" s="71"/>
      <c r="AJ1225" s="71"/>
      <c r="AK1225" s="71"/>
      <c r="AL1225" s="71"/>
      <c r="AM1225" s="71"/>
      <c r="AN1225" s="71"/>
      <c r="AO1225" s="71"/>
      <c r="AP1225" s="71"/>
      <c r="AQ1225" s="71"/>
      <c r="AR1225" s="77"/>
    </row>
    <row r="1226">
      <c r="A1226" s="71"/>
      <c r="B1226" s="71"/>
      <c r="C1226" s="71"/>
      <c r="D1226" s="71"/>
      <c r="E1226" s="71"/>
      <c r="F1226" s="71"/>
      <c r="G1226" s="71"/>
      <c r="H1226" s="71"/>
      <c r="I1226" s="71"/>
      <c r="J1226" s="71"/>
      <c r="K1226" s="71"/>
      <c r="L1226" s="71"/>
      <c r="M1226" s="71"/>
      <c r="N1226" s="71"/>
      <c r="O1226" s="71"/>
      <c r="P1226" s="71"/>
      <c r="Q1226" s="71"/>
      <c r="R1226" s="71"/>
      <c r="S1226" s="71"/>
      <c r="T1226" s="71"/>
      <c r="U1226" s="71"/>
      <c r="V1226" s="71"/>
      <c r="W1226" s="71"/>
      <c r="X1226" s="71"/>
      <c r="Y1226" s="71"/>
      <c r="Z1226" s="71"/>
      <c r="AA1226" s="71"/>
      <c r="AB1226" s="71"/>
      <c r="AC1226" s="71"/>
      <c r="AD1226" s="71"/>
      <c r="AE1226" s="71"/>
      <c r="AF1226" s="71"/>
      <c r="AG1226" s="71"/>
      <c r="AH1226" s="71"/>
      <c r="AI1226" s="71"/>
      <c r="AJ1226" s="71"/>
      <c r="AK1226" s="71"/>
      <c r="AL1226" s="71"/>
      <c r="AM1226" s="71"/>
      <c r="AN1226" s="71"/>
      <c r="AO1226" s="71"/>
      <c r="AP1226" s="71"/>
      <c r="AQ1226" s="71"/>
      <c r="AR1226" s="77"/>
    </row>
    <row r="1227">
      <c r="A1227" s="71"/>
      <c r="B1227" s="71"/>
      <c r="C1227" s="71"/>
      <c r="D1227" s="71"/>
      <c r="E1227" s="71"/>
      <c r="F1227" s="71"/>
      <c r="G1227" s="71"/>
      <c r="H1227" s="71"/>
      <c r="I1227" s="71"/>
      <c r="J1227" s="71"/>
      <c r="K1227" s="71"/>
      <c r="L1227" s="71"/>
      <c r="M1227" s="71"/>
      <c r="N1227" s="71"/>
      <c r="O1227" s="71"/>
      <c r="P1227" s="71"/>
      <c r="Q1227" s="71"/>
      <c r="R1227" s="71"/>
      <c r="S1227" s="71"/>
      <c r="T1227" s="71"/>
      <c r="U1227" s="71"/>
      <c r="V1227" s="71"/>
      <c r="W1227" s="71"/>
      <c r="X1227" s="71"/>
      <c r="Y1227" s="71"/>
      <c r="Z1227" s="71"/>
      <c r="AA1227" s="71"/>
      <c r="AB1227" s="71"/>
      <c r="AC1227" s="71"/>
      <c r="AD1227" s="71"/>
      <c r="AE1227" s="71"/>
      <c r="AF1227" s="71"/>
      <c r="AG1227" s="71"/>
      <c r="AH1227" s="71"/>
      <c r="AI1227" s="71"/>
      <c r="AJ1227" s="71"/>
      <c r="AK1227" s="71"/>
      <c r="AL1227" s="71"/>
      <c r="AM1227" s="71"/>
      <c r="AN1227" s="71"/>
      <c r="AO1227" s="71"/>
      <c r="AP1227" s="71"/>
      <c r="AQ1227" s="71"/>
      <c r="AR1227" s="77"/>
    </row>
    <row r="1228">
      <c r="A1228" s="71"/>
      <c r="B1228" s="71"/>
      <c r="C1228" s="71"/>
      <c r="D1228" s="71"/>
      <c r="E1228" s="71"/>
      <c r="F1228" s="71"/>
      <c r="G1228" s="71"/>
      <c r="H1228" s="71"/>
      <c r="I1228" s="71"/>
      <c r="J1228" s="71"/>
      <c r="K1228" s="71"/>
      <c r="L1228" s="71"/>
      <c r="M1228" s="71"/>
      <c r="N1228" s="71"/>
      <c r="O1228" s="71"/>
      <c r="P1228" s="71"/>
      <c r="Q1228" s="71"/>
      <c r="R1228" s="71"/>
      <c r="S1228" s="71"/>
      <c r="T1228" s="71"/>
      <c r="U1228" s="71"/>
      <c r="V1228" s="71"/>
      <c r="W1228" s="71"/>
      <c r="X1228" s="71"/>
      <c r="Y1228" s="71"/>
      <c r="Z1228" s="71"/>
      <c r="AA1228" s="71"/>
      <c r="AB1228" s="71"/>
      <c r="AC1228" s="71"/>
      <c r="AD1228" s="71"/>
      <c r="AE1228" s="71"/>
      <c r="AF1228" s="71"/>
      <c r="AG1228" s="71"/>
      <c r="AH1228" s="71"/>
      <c r="AI1228" s="71"/>
      <c r="AJ1228" s="71"/>
      <c r="AK1228" s="71"/>
      <c r="AL1228" s="71"/>
      <c r="AM1228" s="71"/>
      <c r="AN1228" s="71"/>
      <c r="AO1228" s="71"/>
      <c r="AP1228" s="71"/>
      <c r="AQ1228" s="71"/>
      <c r="AR1228" s="77"/>
    </row>
    <row r="1229">
      <c r="A1229" s="71"/>
      <c r="B1229" s="71"/>
      <c r="C1229" s="71"/>
      <c r="D1229" s="71"/>
      <c r="E1229" s="71"/>
      <c r="F1229" s="71"/>
      <c r="G1229" s="71"/>
      <c r="H1229" s="71"/>
      <c r="I1229" s="71"/>
      <c r="J1229" s="71"/>
      <c r="K1229" s="71"/>
      <c r="L1229" s="71"/>
      <c r="M1229" s="71"/>
      <c r="N1229" s="71"/>
      <c r="O1229" s="71"/>
      <c r="P1229" s="71"/>
      <c r="Q1229" s="71"/>
      <c r="R1229" s="71"/>
      <c r="S1229" s="71"/>
      <c r="T1229" s="71"/>
      <c r="U1229" s="71"/>
      <c r="V1229" s="71"/>
      <c r="W1229" s="71"/>
      <c r="X1229" s="71"/>
      <c r="Y1229" s="71"/>
      <c r="Z1229" s="71"/>
      <c r="AA1229" s="71"/>
      <c r="AB1229" s="71"/>
      <c r="AC1229" s="71"/>
      <c r="AD1229" s="71"/>
      <c r="AE1229" s="71"/>
      <c r="AF1229" s="71"/>
      <c r="AG1229" s="71"/>
      <c r="AH1229" s="71"/>
      <c r="AI1229" s="71"/>
      <c r="AJ1229" s="71"/>
      <c r="AK1229" s="71"/>
      <c r="AL1229" s="71"/>
      <c r="AM1229" s="71"/>
      <c r="AN1229" s="71"/>
      <c r="AO1229" s="71"/>
      <c r="AP1229" s="71"/>
      <c r="AQ1229" s="71"/>
      <c r="AR1229" s="77"/>
    </row>
    <row r="1230">
      <c r="A1230" s="71"/>
      <c r="B1230" s="71"/>
      <c r="C1230" s="71"/>
      <c r="D1230" s="71"/>
      <c r="E1230" s="71"/>
      <c r="F1230" s="71"/>
      <c r="G1230" s="71"/>
      <c r="H1230" s="71"/>
      <c r="I1230" s="71"/>
      <c r="J1230" s="71"/>
      <c r="K1230" s="71"/>
      <c r="L1230" s="71"/>
      <c r="M1230" s="71"/>
      <c r="N1230" s="71"/>
      <c r="O1230" s="71"/>
      <c r="P1230" s="71"/>
      <c r="Q1230" s="71"/>
      <c r="R1230" s="71"/>
      <c r="S1230" s="71"/>
      <c r="T1230" s="71"/>
      <c r="U1230" s="71"/>
      <c r="V1230" s="71"/>
      <c r="W1230" s="71"/>
      <c r="X1230" s="71"/>
      <c r="Y1230" s="71"/>
      <c r="Z1230" s="71"/>
      <c r="AA1230" s="71"/>
      <c r="AB1230" s="71"/>
      <c r="AC1230" s="71"/>
      <c r="AD1230" s="71"/>
      <c r="AE1230" s="71"/>
      <c r="AF1230" s="71"/>
      <c r="AG1230" s="71"/>
      <c r="AH1230" s="71"/>
      <c r="AI1230" s="71"/>
      <c r="AJ1230" s="71"/>
      <c r="AK1230" s="71"/>
      <c r="AL1230" s="71"/>
      <c r="AM1230" s="71"/>
      <c r="AN1230" s="71"/>
      <c r="AO1230" s="71"/>
      <c r="AP1230" s="71"/>
      <c r="AQ1230" s="71"/>
      <c r="AR1230" s="77"/>
    </row>
    <row r="1231">
      <c r="A1231" s="71"/>
      <c r="B1231" s="71"/>
      <c r="C1231" s="71"/>
      <c r="D1231" s="71"/>
      <c r="E1231" s="71"/>
      <c r="F1231" s="71"/>
      <c r="G1231" s="71"/>
      <c r="H1231" s="71"/>
      <c r="I1231" s="71"/>
      <c r="J1231" s="71"/>
      <c r="K1231" s="71"/>
      <c r="L1231" s="71"/>
      <c r="M1231" s="71"/>
      <c r="N1231" s="71"/>
      <c r="O1231" s="71"/>
      <c r="P1231" s="71"/>
      <c r="Q1231" s="71"/>
      <c r="R1231" s="71"/>
      <c r="S1231" s="71"/>
      <c r="T1231" s="71"/>
      <c r="U1231" s="71"/>
      <c r="V1231" s="71"/>
      <c r="W1231" s="71"/>
      <c r="X1231" s="71"/>
      <c r="Y1231" s="71"/>
      <c r="Z1231" s="71"/>
      <c r="AA1231" s="71"/>
      <c r="AB1231" s="71"/>
      <c r="AC1231" s="71"/>
      <c r="AD1231" s="71"/>
      <c r="AE1231" s="71"/>
      <c r="AF1231" s="71"/>
      <c r="AG1231" s="71"/>
      <c r="AH1231" s="71"/>
      <c r="AI1231" s="71"/>
      <c r="AJ1231" s="71"/>
      <c r="AK1231" s="71"/>
      <c r="AL1231" s="71"/>
      <c r="AM1231" s="71"/>
      <c r="AN1231" s="71"/>
      <c r="AO1231" s="71"/>
      <c r="AP1231" s="71"/>
      <c r="AQ1231" s="71"/>
      <c r="AR1231" s="77"/>
    </row>
    <row r="1232">
      <c r="A1232" s="71"/>
      <c r="B1232" s="71"/>
      <c r="C1232" s="71"/>
      <c r="D1232" s="71"/>
      <c r="E1232" s="71"/>
      <c r="F1232" s="71"/>
      <c r="G1232" s="71"/>
      <c r="H1232" s="71"/>
      <c r="I1232" s="71"/>
      <c r="J1232" s="71"/>
      <c r="K1232" s="71"/>
      <c r="L1232" s="71"/>
      <c r="M1232" s="71"/>
      <c r="N1232" s="71"/>
      <c r="O1232" s="71"/>
      <c r="P1232" s="71"/>
      <c r="Q1232" s="71"/>
      <c r="R1232" s="71"/>
      <c r="S1232" s="71"/>
      <c r="T1232" s="71"/>
      <c r="U1232" s="71"/>
      <c r="V1232" s="71"/>
      <c r="W1232" s="71"/>
      <c r="X1232" s="71"/>
      <c r="Y1232" s="71"/>
      <c r="Z1232" s="71"/>
      <c r="AA1232" s="71"/>
      <c r="AB1232" s="71"/>
      <c r="AC1232" s="71"/>
      <c r="AD1232" s="71"/>
      <c r="AE1232" s="71"/>
      <c r="AF1232" s="71"/>
      <c r="AG1232" s="71"/>
      <c r="AH1232" s="71"/>
      <c r="AI1232" s="71"/>
      <c r="AJ1232" s="71"/>
      <c r="AK1232" s="71"/>
      <c r="AL1232" s="71"/>
      <c r="AM1232" s="71"/>
      <c r="AN1232" s="71"/>
      <c r="AO1232" s="71"/>
      <c r="AP1232" s="71"/>
      <c r="AQ1232" s="71"/>
      <c r="AR1232" s="77"/>
    </row>
    <row r="1233">
      <c r="A1233" s="71"/>
      <c r="B1233" s="71"/>
      <c r="C1233" s="71"/>
      <c r="D1233" s="71"/>
      <c r="E1233" s="71"/>
      <c r="F1233" s="71"/>
      <c r="G1233" s="71"/>
      <c r="H1233" s="71"/>
      <c r="I1233" s="71"/>
      <c r="J1233" s="71"/>
      <c r="K1233" s="71"/>
      <c r="L1233" s="71"/>
      <c r="M1233" s="71"/>
      <c r="N1233" s="71"/>
      <c r="O1233" s="71"/>
      <c r="P1233" s="71"/>
      <c r="Q1233" s="71"/>
      <c r="R1233" s="71"/>
      <c r="S1233" s="71"/>
      <c r="T1233" s="71"/>
      <c r="U1233" s="71"/>
      <c r="V1233" s="71"/>
      <c r="W1233" s="71"/>
      <c r="X1233" s="71"/>
      <c r="Y1233" s="71"/>
      <c r="Z1233" s="71"/>
      <c r="AA1233" s="71"/>
      <c r="AB1233" s="71"/>
      <c r="AC1233" s="71"/>
      <c r="AD1233" s="71"/>
      <c r="AE1233" s="71"/>
      <c r="AF1233" s="71"/>
      <c r="AG1233" s="71"/>
      <c r="AH1233" s="71"/>
      <c r="AI1233" s="71"/>
      <c r="AJ1233" s="71"/>
      <c r="AK1233" s="71"/>
      <c r="AL1233" s="71"/>
      <c r="AM1233" s="71"/>
      <c r="AN1233" s="71"/>
      <c r="AO1233" s="71"/>
      <c r="AP1233" s="71"/>
      <c r="AQ1233" s="71"/>
      <c r="AR1233" s="77"/>
    </row>
    <row r="1234">
      <c r="A1234" s="71"/>
      <c r="B1234" s="71"/>
      <c r="C1234" s="71"/>
      <c r="D1234" s="71"/>
      <c r="E1234" s="71"/>
      <c r="F1234" s="71"/>
      <c r="G1234" s="71"/>
      <c r="H1234" s="71"/>
      <c r="I1234" s="71"/>
      <c r="J1234" s="71"/>
      <c r="K1234" s="71"/>
      <c r="L1234" s="71"/>
      <c r="M1234" s="71"/>
      <c r="N1234" s="71"/>
      <c r="O1234" s="71"/>
      <c r="P1234" s="71"/>
      <c r="Q1234" s="71"/>
      <c r="R1234" s="71"/>
      <c r="S1234" s="71"/>
      <c r="T1234" s="71"/>
      <c r="U1234" s="71"/>
      <c r="V1234" s="71"/>
      <c r="W1234" s="71"/>
      <c r="X1234" s="71"/>
      <c r="Y1234" s="71"/>
      <c r="Z1234" s="71"/>
      <c r="AA1234" s="71"/>
      <c r="AB1234" s="71"/>
      <c r="AC1234" s="71"/>
      <c r="AD1234" s="71"/>
      <c r="AE1234" s="71"/>
      <c r="AF1234" s="71"/>
      <c r="AG1234" s="71"/>
      <c r="AH1234" s="71"/>
      <c r="AI1234" s="71"/>
      <c r="AJ1234" s="71"/>
      <c r="AK1234" s="71"/>
      <c r="AL1234" s="71"/>
      <c r="AM1234" s="71"/>
      <c r="AN1234" s="71"/>
      <c r="AO1234" s="71"/>
      <c r="AP1234" s="71"/>
      <c r="AQ1234" s="71"/>
      <c r="AR1234" s="77"/>
    </row>
    <row r="1235">
      <c r="A1235" s="71"/>
      <c r="B1235" s="71"/>
      <c r="C1235" s="71"/>
      <c r="D1235" s="71"/>
      <c r="E1235" s="71"/>
      <c r="F1235" s="71"/>
      <c r="G1235" s="71"/>
      <c r="H1235" s="71"/>
      <c r="I1235" s="71"/>
      <c r="J1235" s="71"/>
      <c r="K1235" s="71"/>
      <c r="L1235" s="71"/>
      <c r="M1235" s="71"/>
      <c r="N1235" s="71"/>
      <c r="O1235" s="71"/>
      <c r="P1235" s="71"/>
      <c r="Q1235" s="71"/>
      <c r="R1235" s="71"/>
      <c r="S1235" s="71"/>
      <c r="T1235" s="71"/>
      <c r="U1235" s="71"/>
      <c r="V1235" s="71"/>
      <c r="W1235" s="71"/>
      <c r="X1235" s="71"/>
      <c r="Y1235" s="71"/>
      <c r="Z1235" s="71"/>
      <c r="AA1235" s="71"/>
      <c r="AB1235" s="71"/>
      <c r="AC1235" s="71"/>
      <c r="AD1235" s="71"/>
      <c r="AE1235" s="71"/>
      <c r="AF1235" s="71"/>
      <c r="AG1235" s="71"/>
      <c r="AH1235" s="71"/>
      <c r="AI1235" s="71"/>
      <c r="AJ1235" s="71"/>
      <c r="AK1235" s="71"/>
      <c r="AL1235" s="71"/>
      <c r="AM1235" s="71"/>
      <c r="AN1235" s="71"/>
      <c r="AO1235" s="71"/>
      <c r="AP1235" s="71"/>
      <c r="AQ1235" s="71"/>
      <c r="AR1235" s="77"/>
    </row>
    <row r="1236">
      <c r="A1236" s="71"/>
      <c r="B1236" s="71"/>
      <c r="C1236" s="71"/>
      <c r="D1236" s="71"/>
      <c r="E1236" s="71"/>
      <c r="F1236" s="71"/>
      <c r="G1236" s="71"/>
      <c r="H1236" s="71"/>
      <c r="I1236" s="71"/>
      <c r="J1236" s="71"/>
      <c r="K1236" s="71"/>
      <c r="L1236" s="71"/>
      <c r="M1236" s="71"/>
      <c r="N1236" s="71"/>
      <c r="O1236" s="71"/>
      <c r="P1236" s="71"/>
      <c r="Q1236" s="71"/>
      <c r="R1236" s="71"/>
      <c r="S1236" s="71"/>
      <c r="T1236" s="71"/>
      <c r="U1236" s="71"/>
      <c r="V1236" s="71"/>
      <c r="W1236" s="71"/>
      <c r="X1236" s="71"/>
      <c r="Y1236" s="71"/>
      <c r="Z1236" s="71"/>
      <c r="AA1236" s="71"/>
      <c r="AB1236" s="71"/>
      <c r="AC1236" s="71"/>
      <c r="AD1236" s="71"/>
      <c r="AE1236" s="71"/>
      <c r="AF1236" s="71"/>
      <c r="AG1236" s="71"/>
      <c r="AH1236" s="71"/>
      <c r="AI1236" s="71"/>
      <c r="AJ1236" s="71"/>
      <c r="AK1236" s="71"/>
      <c r="AL1236" s="71"/>
      <c r="AM1236" s="71"/>
      <c r="AN1236" s="71"/>
      <c r="AO1236" s="71"/>
      <c r="AP1236" s="71"/>
      <c r="AQ1236" s="71"/>
      <c r="AR1236" s="77"/>
    </row>
    <row r="1237">
      <c r="A1237" s="71"/>
      <c r="B1237" s="71"/>
      <c r="C1237" s="71"/>
      <c r="D1237" s="71"/>
      <c r="E1237" s="71"/>
      <c r="F1237" s="71"/>
      <c r="G1237" s="71"/>
      <c r="H1237" s="71"/>
      <c r="I1237" s="71"/>
      <c r="J1237" s="71"/>
      <c r="K1237" s="71"/>
      <c r="L1237" s="71"/>
      <c r="M1237" s="71"/>
      <c r="N1237" s="71"/>
      <c r="O1237" s="71"/>
      <c r="P1237" s="71"/>
      <c r="Q1237" s="71"/>
      <c r="R1237" s="71"/>
      <c r="S1237" s="71"/>
      <c r="T1237" s="71"/>
      <c r="U1237" s="71"/>
      <c r="V1237" s="71"/>
      <c r="W1237" s="71"/>
      <c r="X1237" s="71"/>
      <c r="Y1237" s="71"/>
      <c r="Z1237" s="71"/>
      <c r="AA1237" s="71"/>
      <c r="AB1237" s="71"/>
      <c r="AC1237" s="71"/>
      <c r="AD1237" s="71"/>
      <c r="AE1237" s="71"/>
      <c r="AF1237" s="71"/>
      <c r="AG1237" s="71"/>
      <c r="AH1237" s="71"/>
      <c r="AI1237" s="71"/>
      <c r="AJ1237" s="71"/>
      <c r="AK1237" s="71"/>
      <c r="AL1237" s="71"/>
      <c r="AM1237" s="71"/>
      <c r="AN1237" s="71"/>
      <c r="AO1237" s="71"/>
      <c r="AP1237" s="71"/>
      <c r="AQ1237" s="71"/>
      <c r="AR1237" s="77"/>
    </row>
    <row r="1238">
      <c r="A1238" s="71"/>
      <c r="B1238" s="71"/>
      <c r="C1238" s="71"/>
      <c r="D1238" s="71"/>
      <c r="E1238" s="71"/>
      <c r="F1238" s="71"/>
      <c r="G1238" s="71"/>
      <c r="H1238" s="71"/>
      <c r="I1238" s="71"/>
      <c r="J1238" s="71"/>
      <c r="K1238" s="71"/>
      <c r="L1238" s="71"/>
      <c r="M1238" s="71"/>
      <c r="N1238" s="71"/>
      <c r="O1238" s="71"/>
      <c r="P1238" s="71"/>
      <c r="Q1238" s="71"/>
      <c r="R1238" s="71"/>
      <c r="S1238" s="71"/>
      <c r="T1238" s="71"/>
      <c r="U1238" s="71"/>
      <c r="V1238" s="71"/>
      <c r="W1238" s="71"/>
      <c r="X1238" s="71"/>
      <c r="Y1238" s="71"/>
      <c r="Z1238" s="71"/>
      <c r="AA1238" s="71"/>
      <c r="AB1238" s="71"/>
      <c r="AC1238" s="71"/>
      <c r="AD1238" s="71"/>
      <c r="AE1238" s="71"/>
      <c r="AF1238" s="71"/>
      <c r="AG1238" s="71"/>
      <c r="AH1238" s="71"/>
      <c r="AI1238" s="71"/>
      <c r="AJ1238" s="71"/>
      <c r="AK1238" s="71"/>
      <c r="AL1238" s="71"/>
      <c r="AM1238" s="71"/>
      <c r="AN1238" s="71"/>
      <c r="AO1238" s="71"/>
      <c r="AP1238" s="71"/>
      <c r="AQ1238" s="71"/>
      <c r="AR1238" s="77"/>
    </row>
    <row r="1239">
      <c r="A1239" s="71"/>
      <c r="B1239" s="71"/>
      <c r="C1239" s="71"/>
      <c r="D1239" s="71"/>
      <c r="E1239" s="71"/>
      <c r="F1239" s="71"/>
      <c r="G1239" s="71"/>
      <c r="H1239" s="71"/>
      <c r="I1239" s="71"/>
      <c r="J1239" s="71"/>
      <c r="K1239" s="71"/>
      <c r="L1239" s="71"/>
      <c r="M1239" s="71"/>
      <c r="N1239" s="71"/>
      <c r="O1239" s="71"/>
      <c r="P1239" s="71"/>
      <c r="Q1239" s="71"/>
      <c r="R1239" s="71"/>
      <c r="S1239" s="71"/>
      <c r="T1239" s="71"/>
      <c r="U1239" s="71"/>
      <c r="V1239" s="71"/>
      <c r="W1239" s="71"/>
      <c r="X1239" s="71"/>
      <c r="Y1239" s="71"/>
      <c r="Z1239" s="71"/>
      <c r="AA1239" s="71"/>
      <c r="AB1239" s="71"/>
      <c r="AC1239" s="71"/>
      <c r="AD1239" s="71"/>
      <c r="AE1239" s="71"/>
      <c r="AF1239" s="71"/>
      <c r="AG1239" s="71"/>
      <c r="AH1239" s="71"/>
      <c r="AI1239" s="71"/>
      <c r="AJ1239" s="71"/>
      <c r="AK1239" s="71"/>
      <c r="AL1239" s="71"/>
      <c r="AM1239" s="71"/>
      <c r="AN1239" s="71"/>
      <c r="AO1239" s="71"/>
      <c r="AP1239" s="71"/>
      <c r="AQ1239" s="71"/>
      <c r="AR1239" s="77"/>
    </row>
    <row r="1240">
      <c r="A1240" s="71"/>
      <c r="B1240" s="71"/>
      <c r="C1240" s="71"/>
      <c r="D1240" s="71"/>
      <c r="E1240" s="71"/>
      <c r="F1240" s="71"/>
      <c r="G1240" s="71"/>
      <c r="H1240" s="71"/>
      <c r="I1240" s="71"/>
      <c r="J1240" s="71"/>
      <c r="K1240" s="71"/>
      <c r="L1240" s="71"/>
      <c r="M1240" s="71"/>
      <c r="N1240" s="71"/>
      <c r="O1240" s="71"/>
      <c r="P1240" s="71"/>
      <c r="Q1240" s="71"/>
      <c r="R1240" s="71"/>
      <c r="S1240" s="71"/>
      <c r="T1240" s="71"/>
      <c r="U1240" s="71"/>
      <c r="V1240" s="71"/>
      <c r="W1240" s="71"/>
      <c r="X1240" s="71"/>
      <c r="Y1240" s="71"/>
      <c r="Z1240" s="71"/>
      <c r="AA1240" s="71"/>
      <c r="AB1240" s="71"/>
      <c r="AC1240" s="71"/>
      <c r="AD1240" s="71"/>
      <c r="AE1240" s="71"/>
      <c r="AF1240" s="71"/>
      <c r="AG1240" s="71"/>
      <c r="AH1240" s="71"/>
      <c r="AI1240" s="71"/>
      <c r="AJ1240" s="71"/>
      <c r="AK1240" s="71"/>
      <c r="AL1240" s="71"/>
      <c r="AM1240" s="71"/>
      <c r="AN1240" s="71"/>
      <c r="AO1240" s="71"/>
      <c r="AP1240" s="71"/>
      <c r="AQ1240" s="71"/>
      <c r="AR1240" s="77"/>
    </row>
    <row r="1241">
      <c r="A1241" s="71"/>
      <c r="B1241" s="71"/>
      <c r="C1241" s="71"/>
      <c r="D1241" s="71"/>
      <c r="E1241" s="71"/>
      <c r="F1241" s="71"/>
      <c r="G1241" s="71"/>
      <c r="H1241" s="71"/>
      <c r="I1241" s="71"/>
      <c r="J1241" s="71"/>
      <c r="K1241" s="71"/>
      <c r="L1241" s="71"/>
      <c r="M1241" s="71"/>
      <c r="N1241" s="71"/>
      <c r="O1241" s="71"/>
      <c r="P1241" s="71"/>
      <c r="Q1241" s="71"/>
      <c r="R1241" s="71"/>
      <c r="S1241" s="71"/>
      <c r="T1241" s="71"/>
      <c r="U1241" s="71"/>
      <c r="V1241" s="71"/>
      <c r="W1241" s="71"/>
      <c r="X1241" s="71"/>
      <c r="Y1241" s="71"/>
      <c r="Z1241" s="71"/>
      <c r="AA1241" s="71"/>
      <c r="AB1241" s="71"/>
      <c r="AC1241" s="71"/>
      <c r="AD1241" s="71"/>
      <c r="AE1241" s="71"/>
      <c r="AF1241" s="71"/>
      <c r="AG1241" s="71"/>
      <c r="AH1241" s="71"/>
      <c r="AI1241" s="71"/>
      <c r="AJ1241" s="71"/>
      <c r="AK1241" s="71"/>
      <c r="AL1241" s="71"/>
      <c r="AM1241" s="71"/>
      <c r="AN1241" s="71"/>
      <c r="AO1241" s="71"/>
      <c r="AP1241" s="71"/>
      <c r="AQ1241" s="71"/>
      <c r="AR1241" s="77"/>
    </row>
    <row r="1242">
      <c r="A1242" s="71"/>
      <c r="B1242" s="71"/>
      <c r="C1242" s="71"/>
      <c r="D1242" s="71"/>
      <c r="E1242" s="71"/>
      <c r="F1242" s="71"/>
      <c r="G1242" s="71"/>
      <c r="H1242" s="71"/>
      <c r="I1242" s="71"/>
      <c r="J1242" s="71"/>
      <c r="K1242" s="71"/>
      <c r="L1242" s="71"/>
      <c r="M1242" s="71"/>
      <c r="N1242" s="71"/>
      <c r="O1242" s="71"/>
      <c r="P1242" s="71"/>
      <c r="Q1242" s="71"/>
      <c r="R1242" s="71"/>
      <c r="S1242" s="71"/>
      <c r="T1242" s="71"/>
      <c r="U1242" s="71"/>
      <c r="V1242" s="71"/>
      <c r="W1242" s="71"/>
      <c r="X1242" s="71"/>
      <c r="Y1242" s="71"/>
      <c r="Z1242" s="71"/>
      <c r="AA1242" s="71"/>
      <c r="AB1242" s="71"/>
      <c r="AC1242" s="71"/>
      <c r="AD1242" s="71"/>
      <c r="AE1242" s="71"/>
      <c r="AF1242" s="71"/>
      <c r="AG1242" s="71"/>
      <c r="AH1242" s="71"/>
      <c r="AI1242" s="71"/>
      <c r="AJ1242" s="71"/>
      <c r="AK1242" s="71"/>
      <c r="AL1242" s="71"/>
      <c r="AM1242" s="71"/>
      <c r="AN1242" s="71"/>
      <c r="AO1242" s="71"/>
      <c r="AP1242" s="71"/>
      <c r="AQ1242" s="71"/>
      <c r="AR1242" s="77"/>
    </row>
    <row r="1243">
      <c r="A1243" s="71"/>
      <c r="B1243" s="71"/>
      <c r="C1243" s="71"/>
      <c r="D1243" s="71"/>
      <c r="E1243" s="71"/>
      <c r="F1243" s="71"/>
      <c r="G1243" s="71"/>
      <c r="H1243" s="71"/>
      <c r="I1243" s="71"/>
      <c r="J1243" s="71"/>
      <c r="K1243" s="71"/>
      <c r="L1243" s="71"/>
      <c r="M1243" s="71"/>
      <c r="N1243" s="71"/>
      <c r="O1243" s="71"/>
      <c r="P1243" s="71"/>
      <c r="Q1243" s="71"/>
      <c r="R1243" s="71"/>
      <c r="S1243" s="71"/>
      <c r="T1243" s="71"/>
      <c r="U1243" s="71"/>
      <c r="V1243" s="71"/>
      <c r="W1243" s="71"/>
      <c r="X1243" s="71"/>
      <c r="Y1243" s="71"/>
      <c r="Z1243" s="71"/>
      <c r="AA1243" s="71"/>
      <c r="AB1243" s="71"/>
      <c r="AC1243" s="71"/>
      <c r="AD1243" s="71"/>
      <c r="AE1243" s="71"/>
      <c r="AF1243" s="71"/>
      <c r="AG1243" s="71"/>
      <c r="AH1243" s="71"/>
      <c r="AI1243" s="71"/>
      <c r="AJ1243" s="71"/>
      <c r="AK1243" s="71"/>
      <c r="AL1243" s="71"/>
      <c r="AM1243" s="71"/>
      <c r="AN1243" s="71"/>
      <c r="AO1243" s="71"/>
      <c r="AP1243" s="71"/>
      <c r="AQ1243" s="71"/>
      <c r="AR1243" s="77"/>
    </row>
    <row r="1244">
      <c r="A1244" s="71"/>
      <c r="B1244" s="71"/>
      <c r="C1244" s="71"/>
      <c r="D1244" s="71"/>
      <c r="E1244" s="71"/>
      <c r="F1244" s="71"/>
      <c r="G1244" s="71"/>
      <c r="H1244" s="71"/>
      <c r="I1244" s="71"/>
      <c r="J1244" s="71"/>
      <c r="K1244" s="71"/>
      <c r="L1244" s="71"/>
      <c r="M1244" s="71"/>
      <c r="N1244" s="71"/>
      <c r="O1244" s="71"/>
      <c r="P1244" s="71"/>
      <c r="Q1244" s="71"/>
      <c r="R1244" s="71"/>
      <c r="S1244" s="71"/>
      <c r="T1244" s="71"/>
      <c r="U1244" s="71"/>
      <c r="V1244" s="71"/>
      <c r="W1244" s="71"/>
      <c r="X1244" s="71"/>
      <c r="Y1244" s="71"/>
      <c r="Z1244" s="71"/>
      <c r="AA1244" s="71"/>
      <c r="AB1244" s="71"/>
      <c r="AC1244" s="71"/>
      <c r="AD1244" s="71"/>
      <c r="AE1244" s="71"/>
      <c r="AF1244" s="71"/>
      <c r="AG1244" s="71"/>
      <c r="AH1244" s="71"/>
      <c r="AI1244" s="71"/>
      <c r="AJ1244" s="71"/>
      <c r="AK1244" s="71"/>
      <c r="AL1244" s="71"/>
      <c r="AM1244" s="71"/>
      <c r="AN1244" s="71"/>
      <c r="AO1244" s="71"/>
      <c r="AP1244" s="71"/>
      <c r="AQ1244" s="71"/>
      <c r="AR1244" s="77"/>
    </row>
    <row r="1245">
      <c r="A1245" s="71"/>
      <c r="B1245" s="71"/>
      <c r="C1245" s="71"/>
      <c r="D1245" s="71"/>
      <c r="E1245" s="71"/>
      <c r="F1245" s="71"/>
      <c r="G1245" s="71"/>
      <c r="H1245" s="71"/>
      <c r="I1245" s="71"/>
      <c r="J1245" s="71"/>
      <c r="K1245" s="71"/>
      <c r="L1245" s="71"/>
      <c r="M1245" s="71"/>
      <c r="N1245" s="71"/>
      <c r="O1245" s="71"/>
      <c r="P1245" s="71"/>
      <c r="Q1245" s="71"/>
      <c r="R1245" s="71"/>
      <c r="S1245" s="71"/>
      <c r="T1245" s="71"/>
      <c r="U1245" s="71"/>
      <c r="V1245" s="71"/>
      <c r="W1245" s="71"/>
      <c r="X1245" s="71"/>
      <c r="Y1245" s="71"/>
      <c r="Z1245" s="71"/>
      <c r="AA1245" s="71"/>
      <c r="AB1245" s="71"/>
      <c r="AC1245" s="71"/>
      <c r="AD1245" s="71"/>
      <c r="AE1245" s="71"/>
      <c r="AF1245" s="71"/>
      <c r="AG1245" s="71"/>
      <c r="AH1245" s="71"/>
      <c r="AI1245" s="71"/>
      <c r="AJ1245" s="71"/>
      <c r="AK1245" s="71"/>
      <c r="AL1245" s="71"/>
      <c r="AM1245" s="71"/>
      <c r="AN1245" s="71"/>
      <c r="AO1245" s="71"/>
      <c r="AP1245" s="71"/>
      <c r="AQ1245" s="71"/>
      <c r="AR1245" s="77"/>
    </row>
    <row r="1246">
      <c r="A1246" s="71"/>
      <c r="B1246" s="71"/>
      <c r="C1246" s="71"/>
      <c r="D1246" s="71"/>
      <c r="E1246" s="71"/>
      <c r="F1246" s="71"/>
      <c r="G1246" s="71"/>
      <c r="H1246" s="71"/>
      <c r="I1246" s="71"/>
      <c r="J1246" s="71"/>
      <c r="K1246" s="71"/>
      <c r="L1246" s="71"/>
      <c r="M1246" s="71"/>
      <c r="N1246" s="71"/>
      <c r="O1246" s="71"/>
      <c r="P1246" s="71"/>
      <c r="Q1246" s="71"/>
      <c r="R1246" s="71"/>
      <c r="S1246" s="71"/>
      <c r="T1246" s="71"/>
      <c r="U1246" s="71"/>
      <c r="V1246" s="71"/>
      <c r="W1246" s="71"/>
      <c r="X1246" s="71"/>
      <c r="Y1246" s="71"/>
      <c r="Z1246" s="71"/>
      <c r="AA1246" s="71"/>
      <c r="AB1246" s="71"/>
      <c r="AC1246" s="71"/>
      <c r="AD1246" s="71"/>
      <c r="AE1246" s="71"/>
      <c r="AF1246" s="71"/>
      <c r="AG1246" s="71"/>
      <c r="AH1246" s="71"/>
      <c r="AI1246" s="71"/>
      <c r="AJ1246" s="71"/>
      <c r="AK1246" s="71"/>
      <c r="AL1246" s="71"/>
      <c r="AM1246" s="71"/>
      <c r="AN1246" s="71"/>
      <c r="AO1246" s="71"/>
      <c r="AP1246" s="71"/>
      <c r="AQ1246" s="71"/>
      <c r="AR1246" s="77"/>
    </row>
    <row r="1247">
      <c r="A1247" s="71"/>
      <c r="B1247" s="71"/>
      <c r="C1247" s="71"/>
      <c r="D1247" s="71"/>
      <c r="E1247" s="71"/>
      <c r="F1247" s="71"/>
      <c r="G1247" s="71"/>
      <c r="H1247" s="71"/>
      <c r="I1247" s="71"/>
      <c r="J1247" s="71"/>
      <c r="K1247" s="71"/>
      <c r="L1247" s="71"/>
      <c r="M1247" s="71"/>
      <c r="N1247" s="71"/>
      <c r="O1247" s="71"/>
      <c r="P1247" s="71"/>
      <c r="Q1247" s="71"/>
      <c r="R1247" s="71"/>
      <c r="S1247" s="71"/>
      <c r="T1247" s="71"/>
      <c r="U1247" s="71"/>
      <c r="V1247" s="71"/>
      <c r="W1247" s="71"/>
      <c r="X1247" s="71"/>
      <c r="Y1247" s="71"/>
      <c r="Z1247" s="71"/>
      <c r="AA1247" s="71"/>
      <c r="AB1247" s="71"/>
      <c r="AC1247" s="71"/>
      <c r="AD1247" s="71"/>
      <c r="AE1247" s="71"/>
      <c r="AF1247" s="71"/>
      <c r="AG1247" s="71"/>
      <c r="AH1247" s="71"/>
      <c r="AI1247" s="71"/>
      <c r="AJ1247" s="71"/>
      <c r="AK1247" s="71"/>
      <c r="AL1247" s="71"/>
      <c r="AM1247" s="71"/>
      <c r="AN1247" s="71"/>
      <c r="AO1247" s="71"/>
      <c r="AP1247" s="71"/>
      <c r="AQ1247" s="71"/>
      <c r="AR1247" s="77"/>
    </row>
    <row r="1248">
      <c r="A1248" s="71"/>
      <c r="B1248" s="71"/>
      <c r="C1248" s="71"/>
      <c r="D1248" s="71"/>
      <c r="E1248" s="71"/>
      <c r="F1248" s="71"/>
      <c r="G1248" s="71"/>
      <c r="H1248" s="71"/>
      <c r="I1248" s="71"/>
      <c r="J1248" s="71"/>
      <c r="K1248" s="71"/>
      <c r="L1248" s="71"/>
      <c r="M1248" s="71"/>
      <c r="N1248" s="71"/>
      <c r="O1248" s="71"/>
      <c r="P1248" s="71"/>
      <c r="Q1248" s="71"/>
      <c r="R1248" s="71"/>
      <c r="S1248" s="71"/>
      <c r="T1248" s="71"/>
      <c r="U1248" s="71"/>
      <c r="V1248" s="71"/>
      <c r="W1248" s="71"/>
      <c r="X1248" s="71"/>
      <c r="Y1248" s="71"/>
      <c r="Z1248" s="71"/>
      <c r="AA1248" s="71"/>
      <c r="AB1248" s="71"/>
      <c r="AC1248" s="71"/>
      <c r="AD1248" s="71"/>
      <c r="AE1248" s="71"/>
      <c r="AF1248" s="71"/>
      <c r="AG1248" s="71"/>
      <c r="AH1248" s="71"/>
      <c r="AI1248" s="71"/>
      <c r="AJ1248" s="71"/>
      <c r="AK1248" s="71"/>
      <c r="AL1248" s="71"/>
      <c r="AM1248" s="71"/>
      <c r="AN1248" s="71"/>
      <c r="AO1248" s="71"/>
      <c r="AP1248" s="71"/>
      <c r="AQ1248" s="71"/>
      <c r="AR1248" s="77"/>
    </row>
    <row r="1249">
      <c r="A1249" s="71"/>
      <c r="B1249" s="71"/>
      <c r="C1249" s="71"/>
      <c r="D1249" s="71"/>
      <c r="E1249" s="71"/>
      <c r="F1249" s="71"/>
      <c r="G1249" s="71"/>
      <c r="H1249" s="71"/>
      <c r="I1249" s="71"/>
      <c r="J1249" s="71"/>
      <c r="K1249" s="71"/>
      <c r="L1249" s="71"/>
      <c r="M1249" s="71"/>
      <c r="N1249" s="71"/>
      <c r="O1249" s="71"/>
      <c r="P1249" s="71"/>
      <c r="Q1249" s="71"/>
      <c r="R1249" s="71"/>
      <c r="S1249" s="71"/>
      <c r="T1249" s="71"/>
      <c r="U1249" s="71"/>
      <c r="V1249" s="71"/>
      <c r="W1249" s="71"/>
      <c r="X1249" s="71"/>
      <c r="Y1249" s="71"/>
      <c r="Z1249" s="71"/>
      <c r="AA1249" s="71"/>
      <c r="AB1249" s="71"/>
      <c r="AC1249" s="71"/>
      <c r="AD1249" s="71"/>
      <c r="AE1249" s="71"/>
      <c r="AF1249" s="71"/>
      <c r="AG1249" s="71"/>
      <c r="AH1249" s="71"/>
      <c r="AI1249" s="71"/>
      <c r="AJ1249" s="71"/>
      <c r="AK1249" s="71"/>
      <c r="AL1249" s="71"/>
      <c r="AM1249" s="71"/>
      <c r="AN1249" s="71"/>
      <c r="AO1249" s="71"/>
      <c r="AP1249" s="71"/>
      <c r="AQ1249" s="71"/>
      <c r="AR1249" s="77"/>
    </row>
    <row r="1250">
      <c r="A1250" s="71"/>
      <c r="B1250" s="71"/>
      <c r="C1250" s="71"/>
      <c r="D1250" s="71"/>
      <c r="E1250" s="71"/>
      <c r="F1250" s="71"/>
      <c r="G1250" s="71"/>
      <c r="H1250" s="71"/>
      <c r="I1250" s="71"/>
      <c r="J1250" s="71"/>
      <c r="K1250" s="71"/>
      <c r="L1250" s="71"/>
      <c r="M1250" s="71"/>
      <c r="N1250" s="71"/>
      <c r="O1250" s="71"/>
      <c r="P1250" s="71"/>
      <c r="Q1250" s="71"/>
      <c r="R1250" s="71"/>
      <c r="S1250" s="71"/>
      <c r="T1250" s="71"/>
      <c r="U1250" s="71"/>
      <c r="V1250" s="71"/>
      <c r="W1250" s="71"/>
      <c r="X1250" s="71"/>
      <c r="Y1250" s="71"/>
      <c r="Z1250" s="71"/>
      <c r="AA1250" s="71"/>
      <c r="AB1250" s="71"/>
      <c r="AC1250" s="71"/>
      <c r="AD1250" s="71"/>
      <c r="AE1250" s="71"/>
      <c r="AF1250" s="71"/>
      <c r="AG1250" s="71"/>
      <c r="AH1250" s="71"/>
      <c r="AI1250" s="71"/>
      <c r="AJ1250" s="71"/>
      <c r="AK1250" s="71"/>
      <c r="AL1250" s="71"/>
      <c r="AM1250" s="71"/>
      <c r="AN1250" s="71"/>
      <c r="AO1250" s="71"/>
      <c r="AP1250" s="71"/>
      <c r="AQ1250" s="71"/>
      <c r="AR1250" s="77"/>
    </row>
    <row r="1251">
      <c r="A1251" s="71"/>
      <c r="B1251" s="71"/>
      <c r="C1251" s="71"/>
      <c r="D1251" s="71"/>
      <c r="E1251" s="71"/>
      <c r="F1251" s="71"/>
      <c r="G1251" s="71"/>
      <c r="H1251" s="71"/>
      <c r="I1251" s="71"/>
      <c r="J1251" s="71"/>
      <c r="K1251" s="71"/>
      <c r="L1251" s="71"/>
      <c r="M1251" s="71"/>
      <c r="N1251" s="71"/>
      <c r="O1251" s="71"/>
      <c r="P1251" s="71"/>
      <c r="Q1251" s="71"/>
      <c r="R1251" s="71"/>
      <c r="S1251" s="71"/>
      <c r="T1251" s="71"/>
      <c r="U1251" s="71"/>
      <c r="V1251" s="71"/>
      <c r="W1251" s="71"/>
      <c r="X1251" s="71"/>
      <c r="Y1251" s="71"/>
      <c r="Z1251" s="71"/>
      <c r="AA1251" s="71"/>
      <c r="AB1251" s="71"/>
      <c r="AC1251" s="71"/>
      <c r="AD1251" s="71"/>
      <c r="AE1251" s="71"/>
      <c r="AF1251" s="71"/>
      <c r="AG1251" s="71"/>
      <c r="AH1251" s="71"/>
      <c r="AI1251" s="71"/>
      <c r="AJ1251" s="71"/>
      <c r="AK1251" s="71"/>
      <c r="AL1251" s="71"/>
      <c r="AM1251" s="71"/>
      <c r="AN1251" s="71"/>
      <c r="AO1251" s="71"/>
      <c r="AP1251" s="71"/>
      <c r="AQ1251" s="71"/>
      <c r="AR1251" s="77"/>
    </row>
    <row r="1252">
      <c r="A1252" s="71"/>
      <c r="B1252" s="71"/>
      <c r="C1252" s="71"/>
      <c r="D1252" s="71"/>
      <c r="E1252" s="71"/>
      <c r="F1252" s="71"/>
      <c r="G1252" s="71"/>
      <c r="H1252" s="71"/>
      <c r="I1252" s="71"/>
      <c r="J1252" s="71"/>
      <c r="K1252" s="71"/>
      <c r="L1252" s="71"/>
      <c r="M1252" s="71"/>
      <c r="N1252" s="71"/>
      <c r="O1252" s="71"/>
      <c r="P1252" s="71"/>
      <c r="Q1252" s="71"/>
      <c r="R1252" s="71"/>
      <c r="S1252" s="71"/>
      <c r="T1252" s="71"/>
      <c r="U1252" s="71"/>
      <c r="V1252" s="71"/>
      <c r="W1252" s="71"/>
      <c r="X1252" s="71"/>
      <c r="Y1252" s="71"/>
      <c r="Z1252" s="71"/>
      <c r="AA1252" s="71"/>
      <c r="AB1252" s="71"/>
      <c r="AC1252" s="71"/>
      <c r="AD1252" s="71"/>
      <c r="AE1252" s="71"/>
      <c r="AF1252" s="71"/>
      <c r="AG1252" s="71"/>
      <c r="AH1252" s="71"/>
      <c r="AI1252" s="71"/>
      <c r="AJ1252" s="71"/>
      <c r="AK1252" s="71"/>
      <c r="AL1252" s="71"/>
      <c r="AM1252" s="71"/>
      <c r="AN1252" s="71"/>
      <c r="AO1252" s="71"/>
      <c r="AP1252" s="71"/>
      <c r="AQ1252" s="71"/>
      <c r="AR1252" s="77"/>
    </row>
    <row r="1253">
      <c r="A1253" s="71"/>
      <c r="B1253" s="71"/>
      <c r="C1253" s="71"/>
      <c r="D1253" s="71"/>
      <c r="E1253" s="71"/>
      <c r="F1253" s="71"/>
      <c r="G1253" s="71"/>
      <c r="H1253" s="71"/>
      <c r="I1253" s="71"/>
      <c r="J1253" s="71"/>
      <c r="K1253" s="71"/>
      <c r="L1253" s="71"/>
      <c r="M1253" s="71"/>
      <c r="N1253" s="71"/>
      <c r="O1253" s="71"/>
      <c r="P1253" s="71"/>
      <c r="Q1253" s="71"/>
      <c r="R1253" s="71"/>
      <c r="S1253" s="71"/>
      <c r="T1253" s="71"/>
      <c r="U1253" s="71"/>
      <c r="V1253" s="71"/>
      <c r="W1253" s="71"/>
      <c r="X1253" s="71"/>
      <c r="Y1253" s="71"/>
      <c r="Z1253" s="71"/>
      <c r="AA1253" s="71"/>
      <c r="AB1253" s="71"/>
      <c r="AC1253" s="71"/>
      <c r="AD1253" s="71"/>
      <c r="AE1253" s="71"/>
      <c r="AF1253" s="71"/>
      <c r="AG1253" s="71"/>
      <c r="AH1253" s="71"/>
      <c r="AI1253" s="71"/>
      <c r="AJ1253" s="71"/>
      <c r="AK1253" s="71"/>
      <c r="AL1253" s="71"/>
      <c r="AM1253" s="71"/>
      <c r="AN1253" s="71"/>
      <c r="AO1253" s="71"/>
      <c r="AP1253" s="71"/>
      <c r="AQ1253" s="71"/>
      <c r="AR1253" s="77"/>
    </row>
    <row r="1254">
      <c r="A1254" s="71"/>
      <c r="B1254" s="71"/>
      <c r="C1254" s="71"/>
      <c r="D1254" s="71"/>
      <c r="E1254" s="71"/>
      <c r="F1254" s="71"/>
      <c r="G1254" s="71"/>
      <c r="H1254" s="71"/>
      <c r="I1254" s="71"/>
      <c r="J1254" s="71"/>
      <c r="K1254" s="71"/>
      <c r="L1254" s="71"/>
      <c r="M1254" s="71"/>
      <c r="N1254" s="71"/>
      <c r="O1254" s="71"/>
      <c r="P1254" s="71"/>
      <c r="Q1254" s="71"/>
      <c r="R1254" s="71"/>
      <c r="S1254" s="71"/>
      <c r="T1254" s="71"/>
      <c r="U1254" s="71"/>
      <c r="V1254" s="71"/>
      <c r="W1254" s="71"/>
      <c r="X1254" s="71"/>
      <c r="Y1254" s="71"/>
      <c r="Z1254" s="71"/>
      <c r="AA1254" s="71"/>
      <c r="AB1254" s="71"/>
      <c r="AC1254" s="71"/>
      <c r="AD1254" s="71"/>
      <c r="AE1254" s="71"/>
      <c r="AF1254" s="71"/>
      <c r="AG1254" s="71"/>
      <c r="AH1254" s="71"/>
      <c r="AI1254" s="71"/>
      <c r="AJ1254" s="71"/>
      <c r="AK1254" s="71"/>
      <c r="AL1254" s="71"/>
      <c r="AM1254" s="71"/>
      <c r="AN1254" s="71"/>
      <c r="AO1254" s="71"/>
      <c r="AP1254" s="71"/>
      <c r="AQ1254" s="71"/>
      <c r="AR1254" s="77"/>
    </row>
    <row r="1255">
      <c r="A1255" s="71"/>
      <c r="B1255" s="71"/>
      <c r="C1255" s="71"/>
      <c r="D1255" s="71"/>
      <c r="E1255" s="71"/>
      <c r="F1255" s="71"/>
      <c r="G1255" s="71"/>
      <c r="H1255" s="71"/>
      <c r="I1255" s="71"/>
      <c r="J1255" s="71"/>
      <c r="K1255" s="71"/>
      <c r="L1255" s="71"/>
      <c r="M1255" s="71"/>
      <c r="N1255" s="71"/>
      <c r="O1255" s="71"/>
      <c r="P1255" s="71"/>
      <c r="Q1255" s="71"/>
      <c r="R1255" s="71"/>
      <c r="S1255" s="71"/>
      <c r="T1255" s="71"/>
      <c r="U1255" s="71"/>
      <c r="V1255" s="71"/>
      <c r="W1255" s="71"/>
      <c r="X1255" s="71"/>
      <c r="Y1255" s="71"/>
      <c r="Z1255" s="71"/>
      <c r="AA1255" s="71"/>
      <c r="AB1255" s="71"/>
      <c r="AC1255" s="71"/>
      <c r="AD1255" s="71"/>
      <c r="AE1255" s="71"/>
      <c r="AF1255" s="71"/>
      <c r="AG1255" s="71"/>
      <c r="AH1255" s="71"/>
      <c r="AI1255" s="71"/>
      <c r="AJ1255" s="71"/>
      <c r="AK1255" s="71"/>
      <c r="AL1255" s="71"/>
      <c r="AM1255" s="71"/>
      <c r="AN1255" s="71"/>
      <c r="AO1255" s="71"/>
      <c r="AP1255" s="71"/>
      <c r="AQ1255" s="71"/>
      <c r="AR1255" s="77"/>
    </row>
    <row r="1256">
      <c r="A1256" s="71"/>
      <c r="B1256" s="71"/>
      <c r="C1256" s="71"/>
      <c r="D1256" s="71"/>
      <c r="E1256" s="71"/>
      <c r="F1256" s="71"/>
      <c r="G1256" s="71"/>
      <c r="H1256" s="71"/>
      <c r="I1256" s="71"/>
      <c r="J1256" s="71"/>
      <c r="K1256" s="71"/>
      <c r="L1256" s="71"/>
      <c r="M1256" s="71"/>
      <c r="N1256" s="71"/>
      <c r="O1256" s="71"/>
      <c r="P1256" s="71"/>
      <c r="Q1256" s="71"/>
      <c r="R1256" s="71"/>
      <c r="S1256" s="71"/>
      <c r="T1256" s="71"/>
      <c r="U1256" s="71"/>
      <c r="V1256" s="71"/>
      <c r="W1256" s="71"/>
      <c r="X1256" s="71"/>
      <c r="Y1256" s="71"/>
      <c r="Z1256" s="71"/>
      <c r="AA1256" s="71"/>
      <c r="AB1256" s="71"/>
      <c r="AC1256" s="71"/>
      <c r="AD1256" s="71"/>
      <c r="AE1256" s="71"/>
      <c r="AF1256" s="71"/>
      <c r="AG1256" s="71"/>
      <c r="AH1256" s="71"/>
      <c r="AI1256" s="71"/>
      <c r="AJ1256" s="71"/>
      <c r="AK1256" s="71"/>
      <c r="AL1256" s="71"/>
      <c r="AM1256" s="71"/>
      <c r="AN1256" s="71"/>
      <c r="AO1256" s="71"/>
      <c r="AP1256" s="71"/>
      <c r="AQ1256" s="71"/>
      <c r="AR1256" s="77"/>
    </row>
    <row r="1257">
      <c r="A1257" s="71"/>
      <c r="B1257" s="71"/>
      <c r="C1257" s="71"/>
      <c r="D1257" s="71"/>
      <c r="E1257" s="71"/>
      <c r="F1257" s="71"/>
      <c r="G1257" s="71"/>
      <c r="H1257" s="71"/>
      <c r="I1257" s="71"/>
      <c r="J1257" s="71"/>
      <c r="K1257" s="71"/>
      <c r="L1257" s="71"/>
      <c r="M1257" s="71"/>
      <c r="N1257" s="71"/>
      <c r="O1257" s="71"/>
      <c r="P1257" s="71"/>
      <c r="Q1257" s="71"/>
      <c r="R1257" s="71"/>
      <c r="S1257" s="71"/>
      <c r="T1257" s="71"/>
      <c r="U1257" s="71"/>
      <c r="V1257" s="71"/>
      <c r="W1257" s="71"/>
      <c r="X1257" s="71"/>
      <c r="Y1257" s="71"/>
      <c r="Z1257" s="71"/>
      <c r="AA1257" s="71"/>
      <c r="AB1257" s="71"/>
      <c r="AC1257" s="71"/>
      <c r="AD1257" s="71"/>
      <c r="AE1257" s="71"/>
      <c r="AF1257" s="71"/>
      <c r="AG1257" s="71"/>
      <c r="AH1257" s="71"/>
      <c r="AI1257" s="71"/>
      <c r="AJ1257" s="71"/>
      <c r="AK1257" s="71"/>
      <c r="AL1257" s="71"/>
      <c r="AM1257" s="71"/>
      <c r="AN1257" s="71"/>
      <c r="AO1257" s="71"/>
      <c r="AP1257" s="71"/>
      <c r="AQ1257" s="71"/>
      <c r="AR1257" s="77"/>
    </row>
    <row r="1258">
      <c r="A1258" s="71"/>
      <c r="B1258" s="71"/>
      <c r="C1258" s="71"/>
      <c r="D1258" s="71"/>
      <c r="E1258" s="71"/>
      <c r="F1258" s="71"/>
      <c r="G1258" s="71"/>
      <c r="H1258" s="71"/>
      <c r="I1258" s="71"/>
      <c r="J1258" s="71"/>
      <c r="K1258" s="71"/>
      <c r="L1258" s="71"/>
      <c r="M1258" s="71"/>
      <c r="N1258" s="71"/>
      <c r="O1258" s="71"/>
      <c r="P1258" s="71"/>
      <c r="Q1258" s="71"/>
      <c r="R1258" s="71"/>
      <c r="S1258" s="71"/>
      <c r="T1258" s="71"/>
      <c r="U1258" s="71"/>
      <c r="V1258" s="71"/>
      <c r="W1258" s="71"/>
      <c r="X1258" s="71"/>
      <c r="Y1258" s="71"/>
      <c r="Z1258" s="71"/>
      <c r="AA1258" s="71"/>
      <c r="AB1258" s="71"/>
      <c r="AC1258" s="71"/>
      <c r="AD1258" s="71"/>
      <c r="AE1258" s="71"/>
      <c r="AF1258" s="71"/>
      <c r="AG1258" s="71"/>
      <c r="AH1258" s="71"/>
      <c r="AI1258" s="71"/>
      <c r="AJ1258" s="71"/>
      <c r="AK1258" s="71"/>
      <c r="AL1258" s="71"/>
      <c r="AM1258" s="71"/>
      <c r="AN1258" s="71"/>
      <c r="AO1258" s="71"/>
      <c r="AP1258" s="71"/>
      <c r="AQ1258" s="71"/>
      <c r="AR1258" s="77"/>
    </row>
    <row r="1259">
      <c r="A1259" s="71"/>
      <c r="B1259" s="71"/>
      <c r="C1259" s="71"/>
      <c r="D1259" s="71"/>
      <c r="E1259" s="71"/>
      <c r="F1259" s="71"/>
      <c r="G1259" s="71"/>
      <c r="H1259" s="71"/>
      <c r="I1259" s="71"/>
      <c r="J1259" s="71"/>
      <c r="K1259" s="71"/>
      <c r="L1259" s="71"/>
      <c r="M1259" s="71"/>
      <c r="N1259" s="71"/>
      <c r="O1259" s="71"/>
      <c r="P1259" s="71"/>
      <c r="Q1259" s="71"/>
      <c r="R1259" s="71"/>
      <c r="S1259" s="71"/>
      <c r="T1259" s="71"/>
      <c r="U1259" s="71"/>
      <c r="V1259" s="71"/>
      <c r="W1259" s="71"/>
      <c r="X1259" s="71"/>
      <c r="Y1259" s="71"/>
      <c r="Z1259" s="71"/>
      <c r="AA1259" s="71"/>
      <c r="AB1259" s="71"/>
      <c r="AC1259" s="71"/>
      <c r="AD1259" s="71"/>
      <c r="AE1259" s="71"/>
      <c r="AF1259" s="71"/>
      <c r="AG1259" s="71"/>
      <c r="AH1259" s="71"/>
      <c r="AI1259" s="71"/>
      <c r="AJ1259" s="71"/>
      <c r="AK1259" s="71"/>
      <c r="AL1259" s="71"/>
      <c r="AM1259" s="71"/>
      <c r="AN1259" s="71"/>
      <c r="AO1259" s="71"/>
      <c r="AP1259" s="71"/>
      <c r="AQ1259" s="71"/>
      <c r="AR1259" s="77"/>
    </row>
    <row r="1260">
      <c r="A1260" s="71"/>
      <c r="B1260" s="71"/>
      <c r="C1260" s="71"/>
      <c r="D1260" s="71"/>
      <c r="E1260" s="71"/>
      <c r="F1260" s="71"/>
      <c r="G1260" s="71"/>
      <c r="H1260" s="71"/>
      <c r="I1260" s="71"/>
      <c r="J1260" s="71"/>
      <c r="K1260" s="71"/>
      <c r="L1260" s="71"/>
      <c r="M1260" s="71"/>
      <c r="N1260" s="71"/>
      <c r="O1260" s="71"/>
      <c r="P1260" s="71"/>
      <c r="Q1260" s="71"/>
      <c r="R1260" s="71"/>
      <c r="S1260" s="71"/>
      <c r="T1260" s="71"/>
      <c r="U1260" s="71"/>
      <c r="V1260" s="71"/>
      <c r="W1260" s="71"/>
      <c r="X1260" s="71"/>
      <c r="Y1260" s="71"/>
      <c r="Z1260" s="71"/>
      <c r="AA1260" s="71"/>
      <c r="AB1260" s="71"/>
      <c r="AC1260" s="71"/>
      <c r="AD1260" s="71"/>
      <c r="AE1260" s="71"/>
      <c r="AF1260" s="71"/>
      <c r="AG1260" s="71"/>
      <c r="AH1260" s="71"/>
      <c r="AI1260" s="71"/>
      <c r="AJ1260" s="71"/>
      <c r="AK1260" s="71"/>
      <c r="AL1260" s="71"/>
      <c r="AM1260" s="71"/>
      <c r="AN1260" s="71"/>
      <c r="AO1260" s="71"/>
      <c r="AP1260" s="71"/>
      <c r="AQ1260" s="71"/>
      <c r="AR1260" s="77"/>
    </row>
    <row r="1261">
      <c r="A1261" s="71"/>
      <c r="B1261" s="71"/>
      <c r="C1261" s="71"/>
      <c r="D1261" s="71"/>
      <c r="E1261" s="71"/>
      <c r="F1261" s="71"/>
      <c r="G1261" s="71"/>
      <c r="H1261" s="71"/>
      <c r="I1261" s="71"/>
      <c r="J1261" s="71"/>
      <c r="K1261" s="71"/>
      <c r="L1261" s="71"/>
      <c r="M1261" s="71"/>
      <c r="N1261" s="71"/>
      <c r="O1261" s="71"/>
      <c r="P1261" s="71"/>
      <c r="Q1261" s="71"/>
      <c r="R1261" s="71"/>
      <c r="S1261" s="71"/>
      <c r="T1261" s="71"/>
      <c r="U1261" s="71"/>
      <c r="V1261" s="71"/>
      <c r="W1261" s="71"/>
      <c r="X1261" s="71"/>
      <c r="Y1261" s="71"/>
      <c r="Z1261" s="71"/>
      <c r="AA1261" s="71"/>
      <c r="AB1261" s="71"/>
      <c r="AC1261" s="71"/>
      <c r="AD1261" s="71"/>
      <c r="AE1261" s="71"/>
      <c r="AF1261" s="71"/>
      <c r="AG1261" s="71"/>
      <c r="AH1261" s="71"/>
      <c r="AI1261" s="71"/>
      <c r="AJ1261" s="71"/>
      <c r="AK1261" s="71"/>
      <c r="AL1261" s="71"/>
      <c r="AM1261" s="71"/>
      <c r="AN1261" s="71"/>
      <c r="AO1261" s="71"/>
      <c r="AP1261" s="71"/>
      <c r="AQ1261" s="71"/>
      <c r="AR1261" s="77"/>
    </row>
    <row r="1262">
      <c r="A1262" s="71"/>
      <c r="B1262" s="71"/>
      <c r="C1262" s="71"/>
      <c r="D1262" s="71"/>
      <c r="E1262" s="71"/>
      <c r="F1262" s="71"/>
      <c r="G1262" s="71"/>
      <c r="H1262" s="71"/>
      <c r="I1262" s="71"/>
      <c r="J1262" s="71"/>
      <c r="K1262" s="71"/>
      <c r="L1262" s="71"/>
      <c r="M1262" s="71"/>
      <c r="N1262" s="71"/>
      <c r="O1262" s="71"/>
      <c r="P1262" s="71"/>
      <c r="Q1262" s="71"/>
      <c r="R1262" s="71"/>
      <c r="S1262" s="71"/>
      <c r="T1262" s="71"/>
      <c r="U1262" s="71"/>
      <c r="V1262" s="71"/>
      <c r="W1262" s="71"/>
      <c r="X1262" s="71"/>
      <c r="Y1262" s="71"/>
      <c r="Z1262" s="71"/>
      <c r="AA1262" s="71"/>
      <c r="AB1262" s="71"/>
      <c r="AC1262" s="71"/>
      <c r="AD1262" s="71"/>
      <c r="AE1262" s="71"/>
      <c r="AF1262" s="71"/>
      <c r="AG1262" s="71"/>
      <c r="AH1262" s="71"/>
      <c r="AI1262" s="71"/>
      <c r="AJ1262" s="71"/>
      <c r="AK1262" s="71"/>
      <c r="AL1262" s="71"/>
      <c r="AM1262" s="71"/>
      <c r="AN1262" s="71"/>
      <c r="AO1262" s="71"/>
      <c r="AP1262" s="71"/>
      <c r="AQ1262" s="71"/>
      <c r="AR1262" s="77"/>
    </row>
    <row r="1263">
      <c r="A1263" s="71"/>
      <c r="B1263" s="71"/>
      <c r="C1263" s="71"/>
      <c r="D1263" s="71"/>
      <c r="E1263" s="71"/>
      <c r="F1263" s="71"/>
      <c r="G1263" s="71"/>
      <c r="H1263" s="71"/>
      <c r="I1263" s="71"/>
      <c r="J1263" s="71"/>
      <c r="K1263" s="71"/>
      <c r="L1263" s="71"/>
      <c r="M1263" s="71"/>
      <c r="N1263" s="71"/>
      <c r="O1263" s="71"/>
      <c r="P1263" s="71"/>
      <c r="Q1263" s="71"/>
      <c r="R1263" s="71"/>
      <c r="S1263" s="71"/>
      <c r="T1263" s="71"/>
      <c r="U1263" s="71"/>
      <c r="V1263" s="71"/>
      <c r="W1263" s="71"/>
      <c r="X1263" s="71"/>
      <c r="Y1263" s="71"/>
      <c r="Z1263" s="71"/>
      <c r="AA1263" s="71"/>
      <c r="AB1263" s="71"/>
      <c r="AC1263" s="71"/>
      <c r="AD1263" s="71"/>
      <c r="AE1263" s="71"/>
      <c r="AF1263" s="71"/>
      <c r="AG1263" s="71"/>
      <c r="AH1263" s="71"/>
      <c r="AI1263" s="71"/>
      <c r="AJ1263" s="71"/>
      <c r="AK1263" s="71"/>
      <c r="AL1263" s="71"/>
      <c r="AM1263" s="71"/>
      <c r="AN1263" s="71"/>
      <c r="AO1263" s="71"/>
      <c r="AP1263" s="71"/>
      <c r="AQ1263" s="71"/>
      <c r="AR1263" s="77"/>
    </row>
    <row r="1264">
      <c r="A1264" s="71"/>
      <c r="B1264" s="71"/>
      <c r="C1264" s="71"/>
      <c r="D1264" s="71"/>
      <c r="E1264" s="71"/>
      <c r="F1264" s="71"/>
      <c r="G1264" s="71"/>
      <c r="H1264" s="71"/>
      <c r="I1264" s="71"/>
      <c r="J1264" s="71"/>
      <c r="K1264" s="71"/>
      <c r="L1264" s="71"/>
      <c r="M1264" s="71"/>
      <c r="N1264" s="71"/>
      <c r="O1264" s="71"/>
      <c r="P1264" s="71"/>
      <c r="Q1264" s="71"/>
      <c r="R1264" s="71"/>
      <c r="S1264" s="71"/>
      <c r="T1264" s="71"/>
      <c r="U1264" s="71"/>
      <c r="V1264" s="71"/>
      <c r="W1264" s="71"/>
      <c r="X1264" s="71"/>
      <c r="Y1264" s="71"/>
      <c r="Z1264" s="71"/>
      <c r="AA1264" s="71"/>
      <c r="AB1264" s="71"/>
      <c r="AC1264" s="71"/>
      <c r="AD1264" s="71"/>
      <c r="AE1264" s="71"/>
      <c r="AF1264" s="71"/>
      <c r="AG1264" s="71"/>
      <c r="AH1264" s="71"/>
      <c r="AI1264" s="71"/>
      <c r="AJ1264" s="71"/>
      <c r="AK1264" s="71"/>
      <c r="AL1264" s="71"/>
      <c r="AM1264" s="71"/>
      <c r="AN1264" s="71"/>
      <c r="AO1264" s="71"/>
      <c r="AP1264" s="71"/>
      <c r="AQ1264" s="71"/>
      <c r="AR1264" s="77"/>
    </row>
    <row r="1265">
      <c r="A1265" s="71"/>
      <c r="B1265" s="71"/>
      <c r="C1265" s="71"/>
      <c r="D1265" s="71"/>
      <c r="E1265" s="71"/>
      <c r="F1265" s="71"/>
      <c r="G1265" s="71"/>
      <c r="H1265" s="71"/>
      <c r="I1265" s="71"/>
      <c r="J1265" s="71"/>
      <c r="K1265" s="71"/>
      <c r="L1265" s="71"/>
      <c r="M1265" s="71"/>
      <c r="N1265" s="71"/>
      <c r="O1265" s="71"/>
      <c r="P1265" s="71"/>
      <c r="Q1265" s="71"/>
      <c r="R1265" s="71"/>
      <c r="S1265" s="71"/>
      <c r="T1265" s="71"/>
      <c r="U1265" s="71"/>
      <c r="V1265" s="71"/>
      <c r="W1265" s="71"/>
      <c r="X1265" s="71"/>
      <c r="Y1265" s="71"/>
      <c r="Z1265" s="71"/>
      <c r="AA1265" s="71"/>
      <c r="AB1265" s="71"/>
      <c r="AC1265" s="71"/>
      <c r="AD1265" s="71"/>
      <c r="AE1265" s="71"/>
      <c r="AF1265" s="71"/>
      <c r="AG1265" s="71"/>
      <c r="AH1265" s="71"/>
      <c r="AI1265" s="71"/>
      <c r="AJ1265" s="71"/>
      <c r="AK1265" s="71"/>
      <c r="AL1265" s="71"/>
      <c r="AM1265" s="71"/>
      <c r="AN1265" s="71"/>
      <c r="AO1265" s="71"/>
      <c r="AP1265" s="71"/>
      <c r="AQ1265" s="71"/>
      <c r="AR1265" s="77"/>
    </row>
    <row r="1266">
      <c r="A1266" s="71"/>
      <c r="B1266" s="71"/>
      <c r="C1266" s="71"/>
      <c r="D1266" s="71"/>
      <c r="E1266" s="71"/>
      <c r="F1266" s="71"/>
      <c r="G1266" s="71"/>
      <c r="H1266" s="71"/>
      <c r="I1266" s="71"/>
      <c r="J1266" s="71"/>
      <c r="K1266" s="71"/>
      <c r="L1266" s="71"/>
      <c r="M1266" s="71"/>
      <c r="N1266" s="71"/>
      <c r="O1266" s="71"/>
      <c r="P1266" s="71"/>
      <c r="Q1266" s="71"/>
      <c r="R1266" s="71"/>
      <c r="S1266" s="71"/>
      <c r="T1266" s="71"/>
      <c r="U1266" s="71"/>
      <c r="V1266" s="71"/>
      <c r="W1266" s="71"/>
      <c r="X1266" s="71"/>
      <c r="Y1266" s="71"/>
      <c r="Z1266" s="71"/>
      <c r="AA1266" s="71"/>
      <c r="AB1266" s="71"/>
      <c r="AC1266" s="71"/>
      <c r="AD1266" s="71"/>
      <c r="AE1266" s="71"/>
      <c r="AF1266" s="71"/>
      <c r="AG1266" s="71"/>
      <c r="AH1266" s="71"/>
      <c r="AI1266" s="71"/>
      <c r="AJ1266" s="71"/>
      <c r="AK1266" s="71"/>
      <c r="AL1266" s="71"/>
      <c r="AM1266" s="71"/>
      <c r="AN1266" s="71"/>
      <c r="AO1266" s="71"/>
      <c r="AP1266" s="71"/>
      <c r="AQ1266" s="71"/>
      <c r="AR1266" s="77"/>
    </row>
    <row r="1267">
      <c r="A1267" s="71"/>
      <c r="B1267" s="71"/>
      <c r="C1267" s="71"/>
      <c r="D1267" s="71"/>
      <c r="E1267" s="71"/>
      <c r="F1267" s="71"/>
      <c r="G1267" s="71"/>
      <c r="H1267" s="71"/>
      <c r="I1267" s="71"/>
      <c r="J1267" s="71"/>
      <c r="K1267" s="71"/>
      <c r="L1267" s="71"/>
      <c r="M1267" s="71"/>
      <c r="N1267" s="71"/>
      <c r="O1267" s="71"/>
      <c r="P1267" s="71"/>
      <c r="Q1267" s="71"/>
      <c r="R1267" s="71"/>
      <c r="S1267" s="71"/>
      <c r="T1267" s="71"/>
      <c r="U1267" s="71"/>
      <c r="V1267" s="71"/>
      <c r="W1267" s="71"/>
      <c r="X1267" s="71"/>
      <c r="Y1267" s="71"/>
      <c r="Z1267" s="71"/>
      <c r="AA1267" s="71"/>
      <c r="AB1267" s="71"/>
      <c r="AC1267" s="71"/>
      <c r="AD1267" s="71"/>
      <c r="AE1267" s="71"/>
      <c r="AF1267" s="71"/>
      <c r="AG1267" s="71"/>
      <c r="AH1267" s="71"/>
      <c r="AI1267" s="71"/>
      <c r="AJ1267" s="71"/>
      <c r="AK1267" s="71"/>
      <c r="AL1267" s="71"/>
      <c r="AM1267" s="71"/>
      <c r="AN1267" s="71"/>
      <c r="AO1267" s="71"/>
      <c r="AP1267" s="71"/>
      <c r="AQ1267" s="71"/>
      <c r="AR1267" s="77"/>
    </row>
    <row r="1268">
      <c r="A1268" s="71"/>
      <c r="B1268" s="71"/>
      <c r="C1268" s="71"/>
      <c r="D1268" s="71"/>
      <c r="E1268" s="71"/>
      <c r="F1268" s="71"/>
      <c r="G1268" s="71"/>
      <c r="H1268" s="71"/>
      <c r="I1268" s="71"/>
      <c r="J1268" s="71"/>
      <c r="K1268" s="71"/>
      <c r="L1268" s="71"/>
      <c r="M1268" s="71"/>
      <c r="N1268" s="71"/>
      <c r="O1268" s="71"/>
      <c r="P1268" s="71"/>
      <c r="Q1268" s="71"/>
      <c r="R1268" s="71"/>
      <c r="S1268" s="71"/>
      <c r="T1268" s="71"/>
      <c r="U1268" s="71"/>
      <c r="V1268" s="71"/>
      <c r="W1268" s="71"/>
      <c r="X1268" s="71"/>
      <c r="Y1268" s="71"/>
      <c r="Z1268" s="71"/>
      <c r="AA1268" s="71"/>
      <c r="AB1268" s="71"/>
      <c r="AC1268" s="71"/>
      <c r="AD1268" s="71"/>
      <c r="AE1268" s="71"/>
      <c r="AF1268" s="71"/>
      <c r="AG1268" s="71"/>
      <c r="AH1268" s="71"/>
      <c r="AI1268" s="71"/>
      <c r="AJ1268" s="71"/>
      <c r="AK1268" s="71"/>
      <c r="AL1268" s="71"/>
      <c r="AM1268" s="71"/>
      <c r="AN1268" s="71"/>
      <c r="AO1268" s="71"/>
      <c r="AP1268" s="71"/>
      <c r="AQ1268" s="71"/>
      <c r="AR1268" s="77"/>
    </row>
    <row r="1269">
      <c r="A1269" s="71"/>
      <c r="B1269" s="71"/>
      <c r="C1269" s="71"/>
      <c r="D1269" s="71"/>
      <c r="E1269" s="71"/>
      <c r="F1269" s="71"/>
      <c r="G1269" s="71"/>
      <c r="H1269" s="71"/>
      <c r="I1269" s="71"/>
      <c r="J1269" s="71"/>
      <c r="K1269" s="71"/>
      <c r="L1269" s="71"/>
      <c r="M1269" s="71"/>
      <c r="N1269" s="71"/>
      <c r="O1269" s="71"/>
      <c r="P1269" s="71"/>
      <c r="Q1269" s="71"/>
      <c r="R1269" s="71"/>
      <c r="S1269" s="71"/>
      <c r="T1269" s="71"/>
      <c r="U1269" s="71"/>
      <c r="V1269" s="71"/>
      <c r="W1269" s="71"/>
      <c r="X1269" s="71"/>
      <c r="Y1269" s="71"/>
      <c r="Z1269" s="71"/>
      <c r="AA1269" s="71"/>
      <c r="AB1269" s="71"/>
      <c r="AC1269" s="71"/>
      <c r="AD1269" s="71"/>
      <c r="AE1269" s="71"/>
      <c r="AF1269" s="71"/>
      <c r="AG1269" s="71"/>
      <c r="AH1269" s="71"/>
      <c r="AI1269" s="71"/>
      <c r="AJ1269" s="71"/>
      <c r="AK1269" s="71"/>
      <c r="AL1269" s="71"/>
      <c r="AM1269" s="71"/>
      <c r="AN1269" s="71"/>
      <c r="AO1269" s="71"/>
      <c r="AP1269" s="71"/>
      <c r="AQ1269" s="71"/>
      <c r="AR1269" s="77"/>
    </row>
    <row r="1270">
      <c r="A1270" s="71"/>
      <c r="B1270" s="71"/>
      <c r="C1270" s="71"/>
      <c r="D1270" s="71"/>
      <c r="E1270" s="71"/>
      <c r="F1270" s="71"/>
      <c r="G1270" s="71"/>
      <c r="H1270" s="71"/>
      <c r="I1270" s="71"/>
      <c r="J1270" s="71"/>
      <c r="K1270" s="71"/>
      <c r="L1270" s="71"/>
      <c r="M1270" s="71"/>
      <c r="N1270" s="71"/>
      <c r="O1270" s="71"/>
      <c r="P1270" s="71"/>
      <c r="Q1270" s="71"/>
      <c r="R1270" s="71"/>
      <c r="S1270" s="71"/>
      <c r="T1270" s="71"/>
      <c r="U1270" s="71"/>
      <c r="V1270" s="71"/>
      <c r="W1270" s="71"/>
      <c r="X1270" s="71"/>
      <c r="Y1270" s="71"/>
      <c r="Z1270" s="71"/>
      <c r="AA1270" s="71"/>
      <c r="AB1270" s="71"/>
      <c r="AC1270" s="71"/>
      <c r="AD1270" s="71"/>
      <c r="AE1270" s="71"/>
      <c r="AF1270" s="71"/>
      <c r="AG1270" s="71"/>
      <c r="AH1270" s="71"/>
      <c r="AI1270" s="71"/>
      <c r="AJ1270" s="71"/>
      <c r="AK1270" s="71"/>
      <c r="AL1270" s="71"/>
      <c r="AM1270" s="71"/>
      <c r="AN1270" s="71"/>
      <c r="AO1270" s="71"/>
      <c r="AP1270" s="71"/>
      <c r="AQ1270" s="71"/>
      <c r="AR1270" s="77"/>
    </row>
    <row r="1271">
      <c r="A1271" s="71"/>
      <c r="B1271" s="71"/>
      <c r="C1271" s="71"/>
      <c r="D1271" s="71"/>
      <c r="E1271" s="71"/>
      <c r="F1271" s="71"/>
      <c r="G1271" s="71"/>
      <c r="H1271" s="71"/>
      <c r="I1271" s="71"/>
      <c r="J1271" s="71"/>
      <c r="K1271" s="71"/>
      <c r="L1271" s="71"/>
      <c r="M1271" s="71"/>
      <c r="N1271" s="71"/>
      <c r="O1271" s="71"/>
      <c r="P1271" s="71"/>
      <c r="Q1271" s="71"/>
      <c r="R1271" s="71"/>
      <c r="S1271" s="71"/>
      <c r="T1271" s="71"/>
      <c r="U1271" s="71"/>
      <c r="V1271" s="71"/>
      <c r="W1271" s="71"/>
      <c r="X1271" s="71"/>
      <c r="Y1271" s="71"/>
      <c r="Z1271" s="71"/>
      <c r="AA1271" s="71"/>
      <c r="AB1271" s="71"/>
      <c r="AC1271" s="71"/>
      <c r="AD1271" s="71"/>
      <c r="AE1271" s="71"/>
      <c r="AF1271" s="71"/>
      <c r="AG1271" s="71"/>
      <c r="AH1271" s="71"/>
      <c r="AI1271" s="71"/>
      <c r="AJ1271" s="71"/>
      <c r="AK1271" s="71"/>
      <c r="AL1271" s="71"/>
      <c r="AM1271" s="71"/>
      <c r="AN1271" s="71"/>
      <c r="AO1271" s="71"/>
      <c r="AP1271" s="71"/>
      <c r="AQ1271" s="71"/>
      <c r="AR1271" s="77"/>
    </row>
    <row r="1272">
      <c r="A1272" s="71"/>
      <c r="B1272" s="71"/>
      <c r="C1272" s="71"/>
      <c r="D1272" s="71"/>
      <c r="E1272" s="71"/>
      <c r="F1272" s="71"/>
      <c r="G1272" s="71"/>
      <c r="H1272" s="71"/>
      <c r="I1272" s="71"/>
      <c r="J1272" s="71"/>
      <c r="K1272" s="71"/>
      <c r="L1272" s="71"/>
      <c r="M1272" s="71"/>
      <c r="N1272" s="71"/>
      <c r="O1272" s="71"/>
      <c r="P1272" s="71"/>
      <c r="Q1272" s="71"/>
      <c r="R1272" s="71"/>
      <c r="S1272" s="71"/>
      <c r="T1272" s="71"/>
      <c r="U1272" s="71"/>
      <c r="V1272" s="71"/>
      <c r="W1272" s="71"/>
      <c r="X1272" s="71"/>
      <c r="Y1272" s="71"/>
      <c r="Z1272" s="71"/>
      <c r="AA1272" s="71"/>
      <c r="AB1272" s="71"/>
      <c r="AC1272" s="71"/>
      <c r="AD1272" s="71"/>
      <c r="AE1272" s="71"/>
      <c r="AF1272" s="71"/>
      <c r="AG1272" s="71"/>
      <c r="AH1272" s="71"/>
      <c r="AI1272" s="71"/>
      <c r="AJ1272" s="71"/>
      <c r="AK1272" s="71"/>
      <c r="AL1272" s="71"/>
      <c r="AM1272" s="71"/>
      <c r="AN1272" s="71"/>
      <c r="AO1272" s="71"/>
      <c r="AP1272" s="71"/>
      <c r="AQ1272" s="71"/>
      <c r="AR1272" s="77"/>
    </row>
    <row r="1273">
      <c r="A1273" s="71"/>
      <c r="B1273" s="71"/>
      <c r="C1273" s="71"/>
      <c r="D1273" s="71"/>
      <c r="E1273" s="71"/>
      <c r="F1273" s="71"/>
      <c r="G1273" s="71"/>
      <c r="H1273" s="71"/>
      <c r="I1273" s="71"/>
      <c r="J1273" s="71"/>
      <c r="K1273" s="71"/>
      <c r="L1273" s="71"/>
      <c r="M1273" s="71"/>
      <c r="N1273" s="71"/>
      <c r="O1273" s="71"/>
      <c r="P1273" s="71"/>
      <c r="Q1273" s="71"/>
      <c r="R1273" s="71"/>
      <c r="S1273" s="71"/>
      <c r="T1273" s="71"/>
      <c r="U1273" s="71"/>
      <c r="V1273" s="71"/>
      <c r="W1273" s="71"/>
      <c r="X1273" s="71"/>
      <c r="Y1273" s="71"/>
      <c r="Z1273" s="71"/>
      <c r="AA1273" s="71"/>
      <c r="AB1273" s="71"/>
      <c r="AC1273" s="71"/>
      <c r="AD1273" s="71"/>
      <c r="AE1273" s="71"/>
      <c r="AF1273" s="71"/>
      <c r="AG1273" s="71"/>
      <c r="AH1273" s="71"/>
      <c r="AI1273" s="71"/>
      <c r="AJ1273" s="71"/>
      <c r="AK1273" s="71"/>
      <c r="AL1273" s="71"/>
      <c r="AM1273" s="71"/>
      <c r="AN1273" s="71"/>
      <c r="AO1273" s="71"/>
      <c r="AP1273" s="71"/>
      <c r="AQ1273" s="71"/>
      <c r="AR1273" s="77"/>
    </row>
    <row r="1274">
      <c r="A1274" s="71"/>
      <c r="B1274" s="71"/>
      <c r="C1274" s="71"/>
      <c r="D1274" s="71"/>
      <c r="E1274" s="71"/>
      <c r="F1274" s="71"/>
      <c r="G1274" s="71"/>
      <c r="H1274" s="71"/>
      <c r="I1274" s="71"/>
      <c r="J1274" s="71"/>
      <c r="K1274" s="71"/>
      <c r="L1274" s="71"/>
      <c r="M1274" s="71"/>
      <c r="N1274" s="71"/>
      <c r="O1274" s="71"/>
      <c r="P1274" s="71"/>
      <c r="Q1274" s="71"/>
      <c r="R1274" s="71"/>
      <c r="S1274" s="71"/>
      <c r="T1274" s="71"/>
      <c r="U1274" s="71"/>
      <c r="V1274" s="71"/>
      <c r="W1274" s="71"/>
      <c r="X1274" s="71"/>
      <c r="Y1274" s="71"/>
      <c r="Z1274" s="71"/>
      <c r="AA1274" s="71"/>
      <c r="AB1274" s="71"/>
      <c r="AC1274" s="71"/>
      <c r="AD1274" s="71"/>
      <c r="AE1274" s="71"/>
      <c r="AF1274" s="71"/>
      <c r="AG1274" s="71"/>
      <c r="AH1274" s="71"/>
      <c r="AI1274" s="71"/>
      <c r="AJ1274" s="71"/>
      <c r="AK1274" s="71"/>
      <c r="AL1274" s="71"/>
      <c r="AM1274" s="71"/>
      <c r="AN1274" s="71"/>
      <c r="AO1274" s="71"/>
      <c r="AP1274" s="71"/>
      <c r="AQ1274" s="71"/>
      <c r="AR1274" s="77"/>
    </row>
    <row r="1275">
      <c r="A1275" s="71"/>
      <c r="B1275" s="71"/>
      <c r="C1275" s="71"/>
      <c r="D1275" s="71"/>
      <c r="E1275" s="71"/>
      <c r="F1275" s="71"/>
      <c r="G1275" s="71"/>
      <c r="H1275" s="71"/>
      <c r="I1275" s="71"/>
      <c r="J1275" s="71"/>
      <c r="K1275" s="71"/>
      <c r="L1275" s="71"/>
      <c r="M1275" s="71"/>
      <c r="N1275" s="71"/>
      <c r="O1275" s="71"/>
      <c r="P1275" s="71"/>
      <c r="Q1275" s="71"/>
      <c r="R1275" s="71"/>
      <c r="S1275" s="71"/>
      <c r="T1275" s="71"/>
      <c r="U1275" s="71"/>
      <c r="V1275" s="71"/>
      <c r="W1275" s="71"/>
      <c r="X1275" s="71"/>
      <c r="Y1275" s="71"/>
      <c r="Z1275" s="71"/>
      <c r="AA1275" s="71"/>
      <c r="AB1275" s="71"/>
      <c r="AC1275" s="71"/>
      <c r="AD1275" s="71"/>
      <c r="AE1275" s="71"/>
      <c r="AF1275" s="71"/>
      <c r="AG1275" s="71"/>
      <c r="AH1275" s="71"/>
      <c r="AI1275" s="71"/>
      <c r="AJ1275" s="71"/>
      <c r="AK1275" s="71"/>
      <c r="AL1275" s="71"/>
      <c r="AM1275" s="71"/>
      <c r="AN1275" s="71"/>
      <c r="AO1275" s="71"/>
      <c r="AP1275" s="71"/>
      <c r="AQ1275" s="71"/>
      <c r="AR1275" s="77"/>
    </row>
    <row r="1276">
      <c r="A1276" s="71"/>
      <c r="B1276" s="71"/>
      <c r="C1276" s="71"/>
      <c r="D1276" s="71"/>
      <c r="E1276" s="71"/>
      <c r="F1276" s="71"/>
      <c r="G1276" s="71"/>
      <c r="H1276" s="71"/>
      <c r="I1276" s="71"/>
      <c r="J1276" s="71"/>
      <c r="K1276" s="71"/>
      <c r="L1276" s="71"/>
      <c r="M1276" s="71"/>
      <c r="N1276" s="71"/>
      <c r="O1276" s="71"/>
      <c r="P1276" s="71"/>
      <c r="Q1276" s="71"/>
      <c r="R1276" s="71"/>
      <c r="S1276" s="71"/>
      <c r="T1276" s="71"/>
      <c r="U1276" s="71"/>
      <c r="V1276" s="71"/>
      <c r="W1276" s="71"/>
      <c r="X1276" s="71"/>
      <c r="Y1276" s="71"/>
      <c r="Z1276" s="71"/>
      <c r="AA1276" s="71"/>
      <c r="AB1276" s="71"/>
      <c r="AC1276" s="71"/>
      <c r="AD1276" s="71"/>
      <c r="AE1276" s="71"/>
      <c r="AF1276" s="71"/>
      <c r="AG1276" s="71"/>
      <c r="AH1276" s="71"/>
      <c r="AI1276" s="71"/>
      <c r="AJ1276" s="71"/>
      <c r="AK1276" s="71"/>
      <c r="AL1276" s="71"/>
      <c r="AM1276" s="71"/>
      <c r="AN1276" s="71"/>
      <c r="AO1276" s="71"/>
      <c r="AP1276" s="71"/>
      <c r="AQ1276" s="71"/>
      <c r="AR1276" s="77"/>
    </row>
    <row r="1277">
      <c r="A1277" s="71"/>
      <c r="B1277" s="71"/>
      <c r="C1277" s="71"/>
      <c r="D1277" s="71"/>
      <c r="E1277" s="71"/>
      <c r="F1277" s="71"/>
      <c r="G1277" s="71"/>
      <c r="H1277" s="71"/>
      <c r="I1277" s="71"/>
      <c r="J1277" s="71"/>
      <c r="K1277" s="71"/>
      <c r="L1277" s="71"/>
      <c r="M1277" s="71"/>
      <c r="N1277" s="71"/>
      <c r="O1277" s="71"/>
      <c r="P1277" s="71"/>
      <c r="Q1277" s="71"/>
      <c r="R1277" s="71"/>
      <c r="S1277" s="71"/>
      <c r="T1277" s="71"/>
      <c r="U1277" s="71"/>
      <c r="V1277" s="71"/>
      <c r="W1277" s="71"/>
      <c r="X1277" s="71"/>
      <c r="Y1277" s="71"/>
      <c r="Z1277" s="71"/>
      <c r="AA1277" s="71"/>
      <c r="AB1277" s="71"/>
      <c r="AC1277" s="71"/>
      <c r="AD1277" s="71"/>
      <c r="AE1277" s="71"/>
      <c r="AF1277" s="71"/>
      <c r="AG1277" s="71"/>
      <c r="AH1277" s="71"/>
      <c r="AI1277" s="71"/>
      <c r="AJ1277" s="71"/>
      <c r="AK1277" s="71"/>
      <c r="AL1277" s="71"/>
      <c r="AM1277" s="71"/>
      <c r="AN1277" s="71"/>
      <c r="AO1277" s="71"/>
      <c r="AP1277" s="71"/>
      <c r="AQ1277" s="71"/>
      <c r="AR1277" s="77"/>
    </row>
    <row r="1278">
      <c r="A1278" s="71"/>
      <c r="B1278" s="71"/>
      <c r="C1278" s="71"/>
      <c r="D1278" s="71"/>
      <c r="E1278" s="71"/>
      <c r="F1278" s="71"/>
      <c r="G1278" s="71"/>
      <c r="H1278" s="71"/>
      <c r="I1278" s="71"/>
      <c r="J1278" s="71"/>
      <c r="K1278" s="71"/>
      <c r="L1278" s="71"/>
      <c r="M1278" s="71"/>
      <c r="N1278" s="71"/>
      <c r="O1278" s="71"/>
      <c r="P1278" s="71"/>
      <c r="Q1278" s="71"/>
      <c r="R1278" s="71"/>
      <c r="S1278" s="71"/>
      <c r="T1278" s="71"/>
      <c r="U1278" s="71"/>
      <c r="V1278" s="71"/>
      <c r="W1278" s="71"/>
      <c r="X1278" s="71"/>
      <c r="Y1278" s="71"/>
      <c r="Z1278" s="71"/>
      <c r="AA1278" s="71"/>
      <c r="AB1278" s="71"/>
      <c r="AC1278" s="71"/>
      <c r="AD1278" s="71"/>
      <c r="AE1278" s="71"/>
      <c r="AF1278" s="71"/>
      <c r="AG1278" s="71"/>
      <c r="AH1278" s="71"/>
      <c r="AI1278" s="71"/>
      <c r="AJ1278" s="71"/>
      <c r="AK1278" s="71"/>
      <c r="AL1278" s="71"/>
      <c r="AM1278" s="71"/>
      <c r="AN1278" s="71"/>
      <c r="AO1278" s="71"/>
      <c r="AP1278" s="71"/>
      <c r="AQ1278" s="71"/>
      <c r="AR1278" s="77"/>
    </row>
    <row r="1279">
      <c r="A1279" s="71"/>
      <c r="B1279" s="71"/>
      <c r="C1279" s="71"/>
      <c r="D1279" s="71"/>
      <c r="E1279" s="71"/>
      <c r="F1279" s="71"/>
      <c r="G1279" s="71"/>
      <c r="H1279" s="71"/>
      <c r="I1279" s="71"/>
      <c r="J1279" s="71"/>
      <c r="K1279" s="71"/>
      <c r="L1279" s="71"/>
      <c r="M1279" s="71"/>
      <c r="N1279" s="71"/>
      <c r="O1279" s="71"/>
      <c r="P1279" s="71"/>
      <c r="Q1279" s="71"/>
      <c r="R1279" s="71"/>
      <c r="S1279" s="71"/>
      <c r="T1279" s="71"/>
      <c r="U1279" s="71"/>
      <c r="V1279" s="71"/>
      <c r="W1279" s="71"/>
      <c r="X1279" s="71"/>
      <c r="Y1279" s="71"/>
      <c r="Z1279" s="71"/>
      <c r="AA1279" s="71"/>
      <c r="AB1279" s="71"/>
      <c r="AC1279" s="71"/>
      <c r="AD1279" s="71"/>
      <c r="AE1279" s="71"/>
      <c r="AF1279" s="71"/>
      <c r="AG1279" s="71"/>
      <c r="AH1279" s="71"/>
      <c r="AI1279" s="71"/>
      <c r="AJ1279" s="71"/>
      <c r="AK1279" s="71"/>
      <c r="AL1279" s="71"/>
      <c r="AM1279" s="71"/>
      <c r="AN1279" s="71"/>
      <c r="AO1279" s="71"/>
      <c r="AP1279" s="71"/>
      <c r="AQ1279" s="71"/>
      <c r="AR1279" s="77"/>
    </row>
    <row r="1280">
      <c r="A1280" s="71"/>
      <c r="B1280" s="71"/>
      <c r="C1280" s="71"/>
      <c r="D1280" s="71"/>
      <c r="E1280" s="71"/>
      <c r="F1280" s="71"/>
      <c r="G1280" s="71"/>
      <c r="H1280" s="71"/>
      <c r="I1280" s="71"/>
      <c r="J1280" s="71"/>
      <c r="K1280" s="71"/>
      <c r="L1280" s="71"/>
      <c r="M1280" s="71"/>
      <c r="N1280" s="71"/>
      <c r="O1280" s="71"/>
      <c r="P1280" s="71"/>
      <c r="Q1280" s="71"/>
      <c r="R1280" s="71"/>
      <c r="S1280" s="71"/>
      <c r="T1280" s="71"/>
      <c r="U1280" s="71"/>
      <c r="V1280" s="71"/>
      <c r="W1280" s="71"/>
      <c r="X1280" s="71"/>
      <c r="Y1280" s="71"/>
      <c r="Z1280" s="71"/>
      <c r="AA1280" s="71"/>
      <c r="AB1280" s="71"/>
      <c r="AC1280" s="71"/>
      <c r="AD1280" s="71"/>
      <c r="AE1280" s="71"/>
      <c r="AF1280" s="71"/>
      <c r="AG1280" s="71"/>
      <c r="AH1280" s="71"/>
      <c r="AI1280" s="71"/>
      <c r="AJ1280" s="71"/>
      <c r="AK1280" s="71"/>
      <c r="AL1280" s="71"/>
      <c r="AM1280" s="71"/>
      <c r="AN1280" s="71"/>
      <c r="AO1280" s="71"/>
      <c r="AP1280" s="71"/>
      <c r="AQ1280" s="71"/>
      <c r="AR1280" s="77"/>
    </row>
    <row r="1281">
      <c r="A1281" s="71"/>
      <c r="B1281" s="71"/>
      <c r="C1281" s="71"/>
      <c r="D1281" s="71"/>
      <c r="E1281" s="71"/>
      <c r="F1281" s="71"/>
      <c r="G1281" s="71"/>
      <c r="H1281" s="71"/>
      <c r="I1281" s="71"/>
      <c r="J1281" s="71"/>
      <c r="K1281" s="71"/>
      <c r="L1281" s="71"/>
      <c r="M1281" s="71"/>
      <c r="N1281" s="71"/>
      <c r="O1281" s="71"/>
      <c r="P1281" s="71"/>
      <c r="Q1281" s="71"/>
      <c r="R1281" s="71"/>
      <c r="S1281" s="71"/>
      <c r="T1281" s="71"/>
      <c r="U1281" s="71"/>
      <c r="V1281" s="71"/>
      <c r="W1281" s="71"/>
      <c r="X1281" s="71"/>
      <c r="Y1281" s="71"/>
      <c r="Z1281" s="71"/>
      <c r="AA1281" s="71"/>
      <c r="AB1281" s="71"/>
      <c r="AC1281" s="71"/>
      <c r="AD1281" s="71"/>
      <c r="AE1281" s="71"/>
      <c r="AF1281" s="71"/>
      <c r="AG1281" s="71"/>
      <c r="AH1281" s="71"/>
      <c r="AI1281" s="71"/>
      <c r="AJ1281" s="71"/>
      <c r="AK1281" s="71"/>
      <c r="AL1281" s="71"/>
      <c r="AM1281" s="71"/>
      <c r="AN1281" s="71"/>
      <c r="AO1281" s="71"/>
      <c r="AP1281" s="71"/>
      <c r="AQ1281" s="71"/>
      <c r="AR1281" s="77"/>
    </row>
    <row r="1282">
      <c r="A1282" s="71"/>
      <c r="B1282" s="71"/>
      <c r="C1282" s="71"/>
      <c r="D1282" s="71"/>
      <c r="E1282" s="71"/>
      <c r="F1282" s="71"/>
      <c r="G1282" s="71"/>
      <c r="H1282" s="71"/>
      <c r="I1282" s="71"/>
      <c r="J1282" s="71"/>
      <c r="K1282" s="71"/>
      <c r="L1282" s="71"/>
      <c r="M1282" s="71"/>
      <c r="N1282" s="71"/>
      <c r="O1282" s="71"/>
      <c r="P1282" s="71"/>
      <c r="Q1282" s="71"/>
      <c r="R1282" s="71"/>
      <c r="S1282" s="71"/>
      <c r="T1282" s="71"/>
      <c r="U1282" s="71"/>
      <c r="V1282" s="71"/>
      <c r="W1282" s="71"/>
      <c r="X1282" s="71"/>
      <c r="Y1282" s="71"/>
      <c r="Z1282" s="71"/>
      <c r="AA1282" s="71"/>
      <c r="AB1282" s="71"/>
      <c r="AC1282" s="71"/>
      <c r="AD1282" s="71"/>
      <c r="AE1282" s="71"/>
      <c r="AF1282" s="71"/>
      <c r="AG1282" s="71"/>
      <c r="AH1282" s="71"/>
      <c r="AI1282" s="71"/>
      <c r="AJ1282" s="71"/>
      <c r="AK1282" s="71"/>
      <c r="AL1282" s="71"/>
      <c r="AM1282" s="71"/>
      <c r="AN1282" s="71"/>
      <c r="AO1282" s="71"/>
      <c r="AP1282" s="71"/>
      <c r="AQ1282" s="71"/>
      <c r="AR1282" s="77"/>
    </row>
    <row r="1283">
      <c r="A1283" s="71"/>
      <c r="B1283" s="71"/>
      <c r="C1283" s="71"/>
      <c r="D1283" s="71"/>
      <c r="E1283" s="71"/>
      <c r="F1283" s="71"/>
      <c r="G1283" s="71"/>
      <c r="H1283" s="71"/>
      <c r="I1283" s="71"/>
      <c r="J1283" s="71"/>
      <c r="K1283" s="71"/>
      <c r="L1283" s="71"/>
      <c r="M1283" s="71"/>
      <c r="N1283" s="71"/>
      <c r="O1283" s="71"/>
      <c r="P1283" s="71"/>
      <c r="Q1283" s="71"/>
      <c r="R1283" s="71"/>
      <c r="S1283" s="71"/>
      <c r="T1283" s="71"/>
      <c r="U1283" s="71"/>
      <c r="V1283" s="71"/>
      <c r="W1283" s="71"/>
      <c r="X1283" s="71"/>
      <c r="Y1283" s="71"/>
      <c r="Z1283" s="71"/>
      <c r="AA1283" s="71"/>
      <c r="AB1283" s="71"/>
      <c r="AC1283" s="71"/>
      <c r="AD1283" s="71"/>
      <c r="AE1283" s="71"/>
      <c r="AF1283" s="71"/>
      <c r="AG1283" s="71"/>
      <c r="AH1283" s="71"/>
      <c r="AI1283" s="71"/>
      <c r="AJ1283" s="71"/>
      <c r="AK1283" s="71"/>
      <c r="AL1283" s="71"/>
      <c r="AM1283" s="71"/>
      <c r="AN1283" s="71"/>
      <c r="AO1283" s="71"/>
      <c r="AP1283" s="71"/>
      <c r="AQ1283" s="71"/>
      <c r="AR1283" s="77"/>
    </row>
    <row r="1284">
      <c r="A1284" s="71"/>
      <c r="B1284" s="71"/>
      <c r="C1284" s="71"/>
      <c r="D1284" s="71"/>
      <c r="E1284" s="71"/>
      <c r="F1284" s="71"/>
      <c r="G1284" s="71"/>
      <c r="H1284" s="71"/>
      <c r="I1284" s="71"/>
      <c r="J1284" s="71"/>
      <c r="K1284" s="71"/>
      <c r="L1284" s="71"/>
      <c r="M1284" s="71"/>
      <c r="N1284" s="71"/>
      <c r="O1284" s="71"/>
      <c r="P1284" s="71"/>
      <c r="Q1284" s="71"/>
      <c r="R1284" s="71"/>
      <c r="S1284" s="71"/>
      <c r="T1284" s="71"/>
      <c r="U1284" s="71"/>
      <c r="V1284" s="71"/>
      <c r="W1284" s="71"/>
      <c r="X1284" s="71"/>
      <c r="Y1284" s="71"/>
      <c r="Z1284" s="71"/>
      <c r="AA1284" s="71"/>
      <c r="AB1284" s="71"/>
      <c r="AC1284" s="71"/>
      <c r="AD1284" s="71"/>
      <c r="AE1284" s="71"/>
      <c r="AF1284" s="71"/>
      <c r="AG1284" s="71"/>
      <c r="AH1284" s="71"/>
      <c r="AI1284" s="71"/>
      <c r="AJ1284" s="71"/>
      <c r="AK1284" s="71"/>
      <c r="AL1284" s="71"/>
      <c r="AM1284" s="71"/>
      <c r="AN1284" s="71"/>
      <c r="AO1284" s="71"/>
      <c r="AP1284" s="71"/>
      <c r="AQ1284" s="71"/>
      <c r="AR1284" s="77"/>
    </row>
    <row r="1285">
      <c r="A1285" s="71"/>
      <c r="B1285" s="71"/>
      <c r="C1285" s="71"/>
      <c r="D1285" s="71"/>
      <c r="E1285" s="71"/>
      <c r="F1285" s="71"/>
      <c r="G1285" s="71"/>
      <c r="H1285" s="71"/>
      <c r="I1285" s="71"/>
      <c r="J1285" s="71"/>
      <c r="K1285" s="71"/>
      <c r="L1285" s="71"/>
      <c r="M1285" s="71"/>
      <c r="N1285" s="71"/>
      <c r="O1285" s="71"/>
      <c r="P1285" s="71"/>
      <c r="Q1285" s="71"/>
      <c r="R1285" s="71"/>
      <c r="S1285" s="71"/>
      <c r="T1285" s="71"/>
      <c r="U1285" s="71"/>
      <c r="V1285" s="71"/>
      <c r="W1285" s="71"/>
      <c r="X1285" s="71"/>
      <c r="Y1285" s="71"/>
      <c r="Z1285" s="71"/>
      <c r="AA1285" s="71"/>
      <c r="AB1285" s="71"/>
      <c r="AC1285" s="71"/>
      <c r="AD1285" s="71"/>
      <c r="AE1285" s="71"/>
      <c r="AF1285" s="71"/>
      <c r="AG1285" s="71"/>
      <c r="AH1285" s="71"/>
      <c r="AI1285" s="71"/>
      <c r="AJ1285" s="71"/>
      <c r="AK1285" s="71"/>
      <c r="AL1285" s="71"/>
      <c r="AM1285" s="71"/>
      <c r="AN1285" s="71"/>
      <c r="AO1285" s="71"/>
      <c r="AP1285" s="71"/>
      <c r="AQ1285" s="71"/>
      <c r="AR1285" s="77"/>
    </row>
    <row r="1286">
      <c r="A1286" s="71"/>
      <c r="B1286" s="71"/>
      <c r="C1286" s="71"/>
      <c r="D1286" s="71"/>
      <c r="E1286" s="71"/>
      <c r="F1286" s="71"/>
      <c r="G1286" s="71"/>
      <c r="H1286" s="71"/>
      <c r="I1286" s="71"/>
      <c r="J1286" s="71"/>
      <c r="K1286" s="71"/>
      <c r="L1286" s="71"/>
      <c r="M1286" s="71"/>
      <c r="N1286" s="71"/>
      <c r="O1286" s="71"/>
      <c r="P1286" s="71"/>
      <c r="Q1286" s="71"/>
      <c r="R1286" s="71"/>
      <c r="S1286" s="71"/>
      <c r="T1286" s="71"/>
      <c r="U1286" s="71"/>
      <c r="V1286" s="71"/>
      <c r="W1286" s="71"/>
      <c r="X1286" s="71"/>
      <c r="Y1286" s="71"/>
      <c r="Z1286" s="71"/>
      <c r="AA1286" s="71"/>
      <c r="AB1286" s="71"/>
      <c r="AC1286" s="71"/>
      <c r="AD1286" s="71"/>
      <c r="AE1286" s="71"/>
      <c r="AF1286" s="71"/>
      <c r="AG1286" s="71"/>
      <c r="AH1286" s="71"/>
      <c r="AI1286" s="71"/>
      <c r="AJ1286" s="71"/>
      <c r="AK1286" s="71"/>
      <c r="AL1286" s="71"/>
      <c r="AM1286" s="71"/>
      <c r="AN1286" s="71"/>
      <c r="AO1286" s="71"/>
      <c r="AP1286" s="71"/>
      <c r="AQ1286" s="71"/>
      <c r="AR1286" s="77"/>
    </row>
    <row r="1287">
      <c r="A1287" s="71"/>
      <c r="B1287" s="71"/>
      <c r="C1287" s="71"/>
      <c r="D1287" s="71"/>
      <c r="E1287" s="71"/>
      <c r="F1287" s="71"/>
      <c r="G1287" s="71"/>
      <c r="H1287" s="71"/>
      <c r="I1287" s="71"/>
      <c r="J1287" s="71"/>
      <c r="K1287" s="71"/>
      <c r="L1287" s="71"/>
      <c r="M1287" s="71"/>
      <c r="N1287" s="71"/>
      <c r="O1287" s="71"/>
      <c r="P1287" s="71"/>
      <c r="Q1287" s="71"/>
      <c r="R1287" s="71"/>
      <c r="S1287" s="71"/>
      <c r="T1287" s="71"/>
      <c r="U1287" s="71"/>
      <c r="V1287" s="71"/>
      <c r="W1287" s="71"/>
      <c r="X1287" s="71"/>
      <c r="Y1287" s="71"/>
      <c r="Z1287" s="71"/>
      <c r="AA1287" s="71"/>
      <c r="AB1287" s="71"/>
      <c r="AC1287" s="71"/>
      <c r="AD1287" s="71"/>
      <c r="AE1287" s="71"/>
      <c r="AF1287" s="71"/>
      <c r="AG1287" s="71"/>
      <c r="AH1287" s="71"/>
      <c r="AI1287" s="71"/>
      <c r="AJ1287" s="71"/>
      <c r="AK1287" s="71"/>
      <c r="AL1287" s="71"/>
      <c r="AM1287" s="71"/>
      <c r="AN1287" s="71"/>
      <c r="AO1287" s="71"/>
      <c r="AP1287" s="71"/>
      <c r="AQ1287" s="71"/>
      <c r="AR1287" s="77"/>
    </row>
    <row r="1288">
      <c r="A1288" s="71"/>
      <c r="B1288" s="71"/>
      <c r="C1288" s="71"/>
      <c r="D1288" s="71"/>
      <c r="E1288" s="71"/>
      <c r="F1288" s="71"/>
      <c r="G1288" s="71"/>
      <c r="H1288" s="71"/>
      <c r="I1288" s="71"/>
      <c r="J1288" s="71"/>
      <c r="K1288" s="71"/>
      <c r="L1288" s="71"/>
      <c r="M1288" s="71"/>
      <c r="N1288" s="71"/>
      <c r="O1288" s="71"/>
      <c r="P1288" s="71"/>
      <c r="Q1288" s="71"/>
      <c r="R1288" s="71"/>
      <c r="S1288" s="71"/>
      <c r="T1288" s="71"/>
      <c r="U1288" s="71"/>
      <c r="V1288" s="71"/>
      <c r="W1288" s="71"/>
      <c r="X1288" s="71"/>
      <c r="Y1288" s="71"/>
      <c r="Z1288" s="71"/>
      <c r="AA1288" s="71"/>
      <c r="AB1288" s="71"/>
      <c r="AC1288" s="71"/>
      <c r="AD1288" s="71"/>
      <c r="AE1288" s="71"/>
      <c r="AF1288" s="71"/>
      <c r="AG1288" s="71"/>
      <c r="AH1288" s="71"/>
      <c r="AI1288" s="71"/>
      <c r="AJ1288" s="71"/>
      <c r="AK1288" s="71"/>
      <c r="AL1288" s="71"/>
      <c r="AM1288" s="71"/>
      <c r="AN1288" s="71"/>
      <c r="AO1288" s="71"/>
      <c r="AP1288" s="71"/>
      <c r="AQ1288" s="71"/>
      <c r="AR1288" s="77"/>
    </row>
    <row r="1289">
      <c r="A1289" s="71"/>
      <c r="B1289" s="71"/>
      <c r="C1289" s="71"/>
      <c r="D1289" s="71"/>
      <c r="E1289" s="71"/>
      <c r="F1289" s="71"/>
      <c r="G1289" s="71"/>
      <c r="H1289" s="71"/>
      <c r="I1289" s="71"/>
      <c r="J1289" s="71"/>
      <c r="K1289" s="71"/>
      <c r="L1289" s="71"/>
      <c r="M1289" s="71"/>
      <c r="N1289" s="71"/>
      <c r="O1289" s="71"/>
      <c r="P1289" s="71"/>
      <c r="Q1289" s="71"/>
      <c r="R1289" s="71"/>
      <c r="S1289" s="71"/>
      <c r="T1289" s="71"/>
      <c r="U1289" s="71"/>
      <c r="V1289" s="71"/>
      <c r="W1289" s="71"/>
      <c r="X1289" s="71"/>
      <c r="Y1289" s="71"/>
      <c r="Z1289" s="71"/>
      <c r="AA1289" s="71"/>
      <c r="AB1289" s="71"/>
      <c r="AC1289" s="71"/>
      <c r="AD1289" s="71"/>
      <c r="AE1289" s="71"/>
      <c r="AF1289" s="71"/>
      <c r="AG1289" s="71"/>
      <c r="AH1289" s="71"/>
      <c r="AI1289" s="71"/>
      <c r="AJ1289" s="71"/>
      <c r="AK1289" s="71"/>
      <c r="AL1289" s="71"/>
      <c r="AM1289" s="71"/>
      <c r="AN1289" s="71"/>
      <c r="AO1289" s="71"/>
      <c r="AP1289" s="71"/>
      <c r="AQ1289" s="71"/>
      <c r="AR1289" s="77"/>
    </row>
    <row r="1290">
      <c r="A1290" s="71"/>
      <c r="B1290" s="71"/>
      <c r="C1290" s="71"/>
      <c r="D1290" s="71"/>
      <c r="E1290" s="71"/>
      <c r="F1290" s="71"/>
      <c r="G1290" s="71"/>
      <c r="H1290" s="71"/>
      <c r="I1290" s="71"/>
      <c r="J1290" s="71"/>
      <c r="K1290" s="71"/>
      <c r="L1290" s="71"/>
      <c r="M1290" s="71"/>
      <c r="N1290" s="71"/>
      <c r="O1290" s="71"/>
      <c r="P1290" s="71"/>
      <c r="Q1290" s="71"/>
      <c r="R1290" s="71"/>
      <c r="S1290" s="71"/>
      <c r="T1290" s="71"/>
      <c r="U1290" s="71"/>
      <c r="V1290" s="71"/>
      <c r="W1290" s="71"/>
      <c r="X1290" s="71"/>
      <c r="Y1290" s="71"/>
      <c r="Z1290" s="71"/>
      <c r="AA1290" s="71"/>
      <c r="AB1290" s="71"/>
      <c r="AC1290" s="71"/>
      <c r="AD1290" s="71"/>
      <c r="AE1290" s="71"/>
      <c r="AF1290" s="71"/>
      <c r="AG1290" s="71"/>
      <c r="AH1290" s="71"/>
      <c r="AI1290" s="71"/>
      <c r="AJ1290" s="71"/>
      <c r="AK1290" s="71"/>
      <c r="AL1290" s="71"/>
      <c r="AM1290" s="71"/>
      <c r="AN1290" s="71"/>
      <c r="AO1290" s="71"/>
      <c r="AP1290" s="71"/>
      <c r="AQ1290" s="71"/>
      <c r="AR1290" s="77"/>
    </row>
    <row r="1291">
      <c r="A1291" s="71"/>
      <c r="B1291" s="71"/>
      <c r="C1291" s="71"/>
      <c r="D1291" s="71"/>
      <c r="E1291" s="71"/>
      <c r="F1291" s="71"/>
      <c r="G1291" s="71"/>
      <c r="H1291" s="71"/>
      <c r="I1291" s="71"/>
      <c r="J1291" s="71"/>
      <c r="K1291" s="71"/>
      <c r="L1291" s="71"/>
      <c r="M1291" s="71"/>
      <c r="N1291" s="71"/>
      <c r="O1291" s="71"/>
      <c r="P1291" s="71"/>
      <c r="Q1291" s="71"/>
      <c r="R1291" s="71"/>
      <c r="S1291" s="71"/>
      <c r="T1291" s="71"/>
      <c r="U1291" s="71"/>
      <c r="V1291" s="71"/>
      <c r="W1291" s="71"/>
      <c r="X1291" s="71"/>
      <c r="Y1291" s="71"/>
      <c r="Z1291" s="71"/>
      <c r="AA1291" s="71"/>
      <c r="AB1291" s="71"/>
      <c r="AC1291" s="71"/>
      <c r="AD1291" s="71"/>
      <c r="AE1291" s="71"/>
      <c r="AF1291" s="71"/>
      <c r="AG1291" s="71"/>
      <c r="AH1291" s="71"/>
      <c r="AI1291" s="71"/>
      <c r="AJ1291" s="71"/>
      <c r="AK1291" s="71"/>
      <c r="AL1291" s="71"/>
      <c r="AM1291" s="71"/>
      <c r="AN1291" s="71"/>
      <c r="AO1291" s="71"/>
      <c r="AP1291" s="71"/>
      <c r="AQ1291" s="71"/>
      <c r="AR1291" s="77"/>
    </row>
    <row r="1292">
      <c r="A1292" s="71"/>
      <c r="B1292" s="71"/>
      <c r="C1292" s="71"/>
      <c r="D1292" s="71"/>
      <c r="E1292" s="71"/>
      <c r="F1292" s="71"/>
      <c r="G1292" s="71"/>
      <c r="H1292" s="71"/>
      <c r="I1292" s="71"/>
      <c r="J1292" s="71"/>
      <c r="K1292" s="71"/>
      <c r="L1292" s="71"/>
      <c r="M1292" s="71"/>
      <c r="N1292" s="71"/>
      <c r="O1292" s="71"/>
      <c r="P1292" s="71"/>
      <c r="Q1292" s="71"/>
      <c r="R1292" s="71"/>
      <c r="S1292" s="71"/>
      <c r="T1292" s="71"/>
      <c r="U1292" s="71"/>
      <c r="V1292" s="71"/>
      <c r="W1292" s="71"/>
      <c r="X1292" s="71"/>
      <c r="Y1292" s="71"/>
      <c r="Z1292" s="71"/>
      <c r="AA1292" s="71"/>
      <c r="AB1292" s="71"/>
      <c r="AC1292" s="71"/>
      <c r="AD1292" s="71"/>
      <c r="AE1292" s="71"/>
      <c r="AF1292" s="71"/>
      <c r="AG1292" s="71"/>
      <c r="AH1292" s="71"/>
      <c r="AI1292" s="71"/>
      <c r="AJ1292" s="71"/>
      <c r="AK1292" s="71"/>
      <c r="AL1292" s="71"/>
      <c r="AM1292" s="71"/>
      <c r="AN1292" s="71"/>
      <c r="AO1292" s="71"/>
      <c r="AP1292" s="71"/>
      <c r="AQ1292" s="71"/>
      <c r="AR1292" s="77"/>
    </row>
    <row r="1293">
      <c r="A1293" s="71"/>
      <c r="B1293" s="71"/>
      <c r="C1293" s="71"/>
      <c r="D1293" s="71"/>
      <c r="E1293" s="71"/>
      <c r="F1293" s="71"/>
      <c r="G1293" s="71"/>
      <c r="H1293" s="71"/>
      <c r="I1293" s="71"/>
      <c r="J1293" s="71"/>
      <c r="K1293" s="71"/>
      <c r="L1293" s="71"/>
      <c r="M1293" s="71"/>
      <c r="N1293" s="71"/>
      <c r="O1293" s="71"/>
      <c r="P1293" s="71"/>
      <c r="Q1293" s="71"/>
      <c r="R1293" s="71"/>
      <c r="S1293" s="71"/>
      <c r="T1293" s="71"/>
      <c r="U1293" s="71"/>
      <c r="V1293" s="71"/>
      <c r="W1293" s="71"/>
      <c r="X1293" s="71"/>
      <c r="Y1293" s="71"/>
      <c r="Z1293" s="71"/>
      <c r="AA1293" s="71"/>
      <c r="AB1293" s="71"/>
      <c r="AC1293" s="71"/>
      <c r="AD1293" s="71"/>
      <c r="AE1293" s="71"/>
      <c r="AF1293" s="71"/>
      <c r="AG1293" s="71"/>
      <c r="AH1293" s="71"/>
      <c r="AI1293" s="71"/>
      <c r="AJ1293" s="71"/>
      <c r="AK1293" s="71"/>
      <c r="AL1293" s="71"/>
      <c r="AM1293" s="71"/>
      <c r="AN1293" s="71"/>
      <c r="AO1293" s="71"/>
      <c r="AP1293" s="71"/>
      <c r="AQ1293" s="71"/>
      <c r="AR1293" s="77"/>
    </row>
    <row r="1294">
      <c r="A1294" s="71"/>
      <c r="B1294" s="71"/>
      <c r="C1294" s="71"/>
      <c r="D1294" s="71"/>
      <c r="E1294" s="71"/>
      <c r="F1294" s="71"/>
      <c r="G1294" s="71"/>
      <c r="H1294" s="71"/>
      <c r="I1294" s="71"/>
      <c r="J1294" s="71"/>
      <c r="K1294" s="71"/>
      <c r="L1294" s="71"/>
      <c r="M1294" s="71"/>
      <c r="N1294" s="71"/>
      <c r="O1294" s="71"/>
      <c r="P1294" s="71"/>
      <c r="Q1294" s="71"/>
      <c r="R1294" s="71"/>
      <c r="S1294" s="71"/>
      <c r="T1294" s="71"/>
      <c r="U1294" s="71"/>
      <c r="V1294" s="71"/>
      <c r="W1294" s="71"/>
      <c r="X1294" s="71"/>
      <c r="Y1294" s="71"/>
      <c r="Z1294" s="71"/>
      <c r="AA1294" s="71"/>
      <c r="AB1294" s="71"/>
      <c r="AC1294" s="71"/>
      <c r="AD1294" s="71"/>
      <c r="AE1294" s="71"/>
      <c r="AF1294" s="71"/>
      <c r="AG1294" s="71"/>
      <c r="AH1294" s="71"/>
      <c r="AI1294" s="71"/>
      <c r="AJ1294" s="71"/>
      <c r="AK1294" s="71"/>
      <c r="AL1294" s="71"/>
      <c r="AM1294" s="71"/>
      <c r="AN1294" s="71"/>
      <c r="AO1294" s="71"/>
      <c r="AP1294" s="71"/>
      <c r="AQ1294" s="71"/>
      <c r="AR1294" s="77"/>
    </row>
    <row r="1295">
      <c r="A1295" s="71"/>
      <c r="B1295" s="71"/>
      <c r="C1295" s="71"/>
      <c r="D1295" s="71"/>
      <c r="E1295" s="71"/>
      <c r="F1295" s="71"/>
      <c r="G1295" s="71"/>
      <c r="H1295" s="71"/>
      <c r="I1295" s="71"/>
      <c r="J1295" s="71"/>
      <c r="K1295" s="71"/>
      <c r="L1295" s="71"/>
      <c r="M1295" s="71"/>
      <c r="N1295" s="71"/>
      <c r="O1295" s="71"/>
      <c r="P1295" s="71"/>
      <c r="Q1295" s="71"/>
      <c r="R1295" s="71"/>
      <c r="S1295" s="71"/>
      <c r="T1295" s="71"/>
      <c r="U1295" s="71"/>
      <c r="V1295" s="71"/>
      <c r="W1295" s="71"/>
      <c r="X1295" s="71"/>
      <c r="Y1295" s="71"/>
      <c r="Z1295" s="71"/>
      <c r="AA1295" s="71"/>
      <c r="AB1295" s="71"/>
      <c r="AC1295" s="71"/>
      <c r="AD1295" s="71"/>
      <c r="AE1295" s="71"/>
      <c r="AF1295" s="71"/>
      <c r="AG1295" s="71"/>
      <c r="AH1295" s="71"/>
      <c r="AI1295" s="71"/>
      <c r="AJ1295" s="71"/>
      <c r="AK1295" s="71"/>
      <c r="AL1295" s="71"/>
      <c r="AM1295" s="71"/>
      <c r="AN1295" s="71"/>
      <c r="AO1295" s="71"/>
      <c r="AP1295" s="71"/>
      <c r="AQ1295" s="71"/>
      <c r="AR1295" s="77"/>
    </row>
    <row r="1296">
      <c r="A1296" s="71"/>
      <c r="B1296" s="71"/>
      <c r="C1296" s="71"/>
      <c r="D1296" s="71"/>
      <c r="E1296" s="71"/>
      <c r="F1296" s="71"/>
      <c r="G1296" s="71"/>
      <c r="H1296" s="71"/>
      <c r="I1296" s="71"/>
      <c r="J1296" s="71"/>
      <c r="K1296" s="71"/>
      <c r="L1296" s="71"/>
      <c r="M1296" s="71"/>
      <c r="N1296" s="71"/>
      <c r="O1296" s="71"/>
      <c r="P1296" s="71"/>
      <c r="Q1296" s="71"/>
      <c r="R1296" s="71"/>
      <c r="S1296" s="71"/>
      <c r="T1296" s="71"/>
      <c r="U1296" s="71"/>
      <c r="V1296" s="71"/>
      <c r="W1296" s="71"/>
      <c r="X1296" s="71"/>
      <c r="Y1296" s="71"/>
      <c r="Z1296" s="71"/>
      <c r="AA1296" s="71"/>
      <c r="AB1296" s="71"/>
      <c r="AC1296" s="71"/>
      <c r="AD1296" s="71"/>
      <c r="AE1296" s="71"/>
      <c r="AF1296" s="71"/>
      <c r="AG1296" s="71"/>
      <c r="AH1296" s="71"/>
      <c r="AI1296" s="71"/>
      <c r="AJ1296" s="71"/>
      <c r="AK1296" s="71"/>
      <c r="AL1296" s="71"/>
      <c r="AM1296" s="71"/>
      <c r="AN1296" s="71"/>
      <c r="AO1296" s="71"/>
      <c r="AP1296" s="71"/>
      <c r="AQ1296" s="71"/>
      <c r="AR1296" s="77"/>
    </row>
    <row r="1297">
      <c r="A1297" s="71"/>
      <c r="B1297" s="71"/>
      <c r="C1297" s="71"/>
      <c r="D1297" s="71"/>
      <c r="E1297" s="71"/>
      <c r="F1297" s="71"/>
      <c r="G1297" s="71"/>
      <c r="H1297" s="71"/>
      <c r="I1297" s="71"/>
      <c r="J1297" s="71"/>
      <c r="K1297" s="71"/>
      <c r="L1297" s="71"/>
      <c r="M1297" s="71"/>
      <c r="N1297" s="71"/>
      <c r="O1297" s="71"/>
      <c r="P1297" s="71"/>
      <c r="Q1297" s="71"/>
      <c r="R1297" s="71"/>
      <c r="S1297" s="71"/>
      <c r="T1297" s="71"/>
      <c r="U1297" s="71"/>
      <c r="V1297" s="71"/>
      <c r="W1297" s="71"/>
      <c r="X1297" s="71"/>
      <c r="Y1297" s="71"/>
      <c r="Z1297" s="71"/>
      <c r="AA1297" s="71"/>
      <c r="AB1297" s="71"/>
      <c r="AC1297" s="71"/>
      <c r="AD1297" s="71"/>
      <c r="AE1297" s="71"/>
      <c r="AF1297" s="71"/>
      <c r="AG1297" s="71"/>
      <c r="AH1297" s="71"/>
      <c r="AI1297" s="71"/>
      <c r="AJ1297" s="71"/>
      <c r="AK1297" s="71"/>
      <c r="AL1297" s="71"/>
      <c r="AM1297" s="71"/>
      <c r="AN1297" s="71"/>
      <c r="AO1297" s="71"/>
      <c r="AP1297" s="71"/>
      <c r="AQ1297" s="71"/>
      <c r="AR1297" s="77"/>
    </row>
    <row r="1298">
      <c r="A1298" s="71"/>
      <c r="B1298" s="71"/>
      <c r="C1298" s="71"/>
      <c r="D1298" s="71"/>
      <c r="E1298" s="71"/>
      <c r="F1298" s="71"/>
      <c r="G1298" s="71"/>
      <c r="H1298" s="71"/>
      <c r="I1298" s="71"/>
      <c r="J1298" s="71"/>
      <c r="K1298" s="71"/>
      <c r="L1298" s="71"/>
      <c r="M1298" s="71"/>
      <c r="N1298" s="71"/>
      <c r="O1298" s="71"/>
      <c r="P1298" s="71"/>
      <c r="Q1298" s="71"/>
      <c r="R1298" s="71"/>
      <c r="S1298" s="71"/>
      <c r="T1298" s="71"/>
      <c r="U1298" s="71"/>
      <c r="V1298" s="71"/>
      <c r="W1298" s="71"/>
      <c r="X1298" s="71"/>
      <c r="Y1298" s="71"/>
      <c r="Z1298" s="71"/>
      <c r="AA1298" s="71"/>
      <c r="AB1298" s="71"/>
      <c r="AC1298" s="71"/>
      <c r="AD1298" s="71"/>
      <c r="AE1298" s="71"/>
      <c r="AF1298" s="71"/>
      <c r="AG1298" s="71"/>
      <c r="AH1298" s="71"/>
      <c r="AI1298" s="71"/>
      <c r="AJ1298" s="71"/>
      <c r="AK1298" s="71"/>
      <c r="AL1298" s="71"/>
      <c r="AM1298" s="71"/>
      <c r="AN1298" s="71"/>
      <c r="AO1298" s="71"/>
      <c r="AP1298" s="71"/>
      <c r="AQ1298" s="71"/>
      <c r="AR1298" s="77"/>
    </row>
    <row r="1299">
      <c r="A1299" s="71"/>
      <c r="B1299" s="71"/>
      <c r="C1299" s="71"/>
      <c r="D1299" s="71"/>
      <c r="E1299" s="71"/>
      <c r="F1299" s="71"/>
      <c r="G1299" s="71"/>
      <c r="H1299" s="71"/>
      <c r="I1299" s="71"/>
      <c r="J1299" s="71"/>
      <c r="K1299" s="71"/>
      <c r="L1299" s="71"/>
      <c r="M1299" s="71"/>
      <c r="N1299" s="71"/>
      <c r="O1299" s="71"/>
      <c r="P1299" s="71"/>
      <c r="Q1299" s="71"/>
      <c r="R1299" s="71"/>
      <c r="S1299" s="71"/>
      <c r="T1299" s="71"/>
      <c r="U1299" s="71"/>
      <c r="V1299" s="71"/>
      <c r="W1299" s="71"/>
      <c r="X1299" s="71"/>
      <c r="Y1299" s="71"/>
      <c r="Z1299" s="71"/>
      <c r="AA1299" s="71"/>
      <c r="AB1299" s="71"/>
      <c r="AC1299" s="71"/>
      <c r="AD1299" s="71"/>
      <c r="AE1299" s="71"/>
      <c r="AF1299" s="71"/>
      <c r="AG1299" s="71"/>
      <c r="AH1299" s="71"/>
      <c r="AI1299" s="71"/>
      <c r="AJ1299" s="71"/>
      <c r="AK1299" s="71"/>
      <c r="AL1299" s="71"/>
      <c r="AM1299" s="71"/>
      <c r="AN1299" s="71"/>
      <c r="AO1299" s="71"/>
      <c r="AP1299" s="71"/>
      <c r="AQ1299" s="71"/>
      <c r="AR1299" s="77"/>
    </row>
    <row r="1300">
      <c r="A1300" s="71"/>
      <c r="B1300" s="71"/>
      <c r="C1300" s="71"/>
      <c r="D1300" s="71"/>
      <c r="E1300" s="71"/>
      <c r="F1300" s="71"/>
      <c r="G1300" s="71"/>
      <c r="H1300" s="71"/>
      <c r="I1300" s="71"/>
      <c r="J1300" s="71"/>
      <c r="K1300" s="71"/>
      <c r="L1300" s="71"/>
      <c r="M1300" s="71"/>
      <c r="N1300" s="71"/>
      <c r="O1300" s="71"/>
      <c r="P1300" s="71"/>
      <c r="Q1300" s="71"/>
      <c r="R1300" s="71"/>
      <c r="S1300" s="71"/>
      <c r="T1300" s="71"/>
      <c r="U1300" s="71"/>
      <c r="V1300" s="71"/>
      <c r="W1300" s="71"/>
      <c r="X1300" s="71"/>
      <c r="Y1300" s="71"/>
      <c r="Z1300" s="71"/>
      <c r="AA1300" s="71"/>
      <c r="AB1300" s="71"/>
      <c r="AC1300" s="71"/>
      <c r="AD1300" s="71"/>
      <c r="AE1300" s="71"/>
      <c r="AF1300" s="71"/>
      <c r="AG1300" s="71"/>
      <c r="AH1300" s="71"/>
      <c r="AI1300" s="71"/>
      <c r="AJ1300" s="71"/>
      <c r="AK1300" s="71"/>
      <c r="AL1300" s="71"/>
      <c r="AM1300" s="71"/>
      <c r="AN1300" s="71"/>
      <c r="AO1300" s="71"/>
      <c r="AP1300" s="71"/>
      <c r="AQ1300" s="71"/>
      <c r="AR1300" s="77"/>
    </row>
    <row r="1301">
      <c r="A1301" s="71"/>
      <c r="B1301" s="71"/>
      <c r="C1301" s="71"/>
      <c r="D1301" s="71"/>
      <c r="E1301" s="71"/>
      <c r="F1301" s="71"/>
      <c r="G1301" s="71"/>
      <c r="H1301" s="71"/>
      <c r="I1301" s="71"/>
      <c r="J1301" s="71"/>
      <c r="K1301" s="71"/>
      <c r="L1301" s="71"/>
      <c r="M1301" s="71"/>
      <c r="N1301" s="71"/>
      <c r="O1301" s="71"/>
      <c r="P1301" s="71"/>
      <c r="Q1301" s="71"/>
      <c r="R1301" s="71"/>
      <c r="S1301" s="71"/>
      <c r="T1301" s="71"/>
      <c r="U1301" s="71"/>
      <c r="V1301" s="71"/>
      <c r="W1301" s="71"/>
      <c r="X1301" s="71"/>
      <c r="Y1301" s="71"/>
      <c r="Z1301" s="71"/>
      <c r="AA1301" s="71"/>
      <c r="AB1301" s="71"/>
      <c r="AC1301" s="71"/>
      <c r="AD1301" s="71"/>
      <c r="AE1301" s="71"/>
      <c r="AF1301" s="71"/>
      <c r="AG1301" s="71"/>
      <c r="AH1301" s="71"/>
      <c r="AI1301" s="71"/>
      <c r="AJ1301" s="71"/>
      <c r="AK1301" s="71"/>
      <c r="AL1301" s="71"/>
      <c r="AM1301" s="71"/>
      <c r="AN1301" s="71"/>
      <c r="AO1301" s="71"/>
      <c r="AP1301" s="71"/>
      <c r="AQ1301" s="71"/>
      <c r="AR1301" s="77"/>
    </row>
    <row r="1302">
      <c r="A1302" s="71"/>
      <c r="B1302" s="71"/>
      <c r="C1302" s="71"/>
      <c r="D1302" s="71"/>
      <c r="E1302" s="71"/>
      <c r="F1302" s="71"/>
      <c r="G1302" s="71"/>
      <c r="H1302" s="71"/>
      <c r="I1302" s="71"/>
      <c r="J1302" s="71"/>
      <c r="K1302" s="71"/>
      <c r="L1302" s="71"/>
      <c r="M1302" s="71"/>
      <c r="N1302" s="71"/>
      <c r="O1302" s="71"/>
      <c r="P1302" s="71"/>
      <c r="Q1302" s="71"/>
      <c r="R1302" s="71"/>
      <c r="S1302" s="71"/>
      <c r="T1302" s="71"/>
      <c r="U1302" s="71"/>
      <c r="V1302" s="71"/>
      <c r="W1302" s="71"/>
      <c r="X1302" s="71"/>
      <c r="Y1302" s="71"/>
      <c r="Z1302" s="71"/>
      <c r="AA1302" s="71"/>
      <c r="AB1302" s="71"/>
      <c r="AC1302" s="71"/>
      <c r="AD1302" s="71"/>
      <c r="AE1302" s="71"/>
      <c r="AF1302" s="71"/>
      <c r="AG1302" s="71"/>
      <c r="AH1302" s="71"/>
      <c r="AI1302" s="71"/>
      <c r="AJ1302" s="71"/>
      <c r="AK1302" s="71"/>
      <c r="AL1302" s="71"/>
      <c r="AM1302" s="71"/>
      <c r="AN1302" s="71"/>
      <c r="AO1302" s="71"/>
      <c r="AP1302" s="71"/>
      <c r="AQ1302" s="71"/>
      <c r="AR1302" s="77"/>
    </row>
    <row r="1303">
      <c r="A1303" s="71"/>
      <c r="B1303" s="71"/>
      <c r="C1303" s="71"/>
      <c r="D1303" s="71"/>
      <c r="E1303" s="71"/>
      <c r="F1303" s="71"/>
      <c r="G1303" s="71"/>
      <c r="H1303" s="71"/>
      <c r="I1303" s="71"/>
      <c r="J1303" s="71"/>
      <c r="K1303" s="71"/>
      <c r="L1303" s="71"/>
      <c r="M1303" s="71"/>
      <c r="N1303" s="71"/>
      <c r="O1303" s="71"/>
      <c r="P1303" s="71"/>
      <c r="Q1303" s="71"/>
      <c r="R1303" s="71"/>
      <c r="S1303" s="71"/>
      <c r="T1303" s="71"/>
      <c r="U1303" s="71"/>
      <c r="V1303" s="71"/>
      <c r="W1303" s="71"/>
      <c r="X1303" s="71"/>
      <c r="Y1303" s="71"/>
      <c r="Z1303" s="71"/>
      <c r="AA1303" s="71"/>
      <c r="AB1303" s="71"/>
      <c r="AC1303" s="71"/>
      <c r="AD1303" s="71"/>
      <c r="AE1303" s="71"/>
      <c r="AF1303" s="71"/>
      <c r="AG1303" s="71"/>
      <c r="AH1303" s="71"/>
      <c r="AI1303" s="71"/>
      <c r="AJ1303" s="71"/>
      <c r="AK1303" s="71"/>
      <c r="AL1303" s="71"/>
      <c r="AM1303" s="71"/>
      <c r="AN1303" s="71"/>
      <c r="AO1303" s="71"/>
      <c r="AP1303" s="71"/>
      <c r="AQ1303" s="71"/>
      <c r="AR1303" s="77"/>
    </row>
    <row r="1304">
      <c r="A1304" s="71"/>
      <c r="B1304" s="71"/>
      <c r="C1304" s="71"/>
      <c r="D1304" s="71"/>
      <c r="E1304" s="71"/>
      <c r="F1304" s="71"/>
      <c r="G1304" s="71"/>
      <c r="H1304" s="71"/>
      <c r="I1304" s="71"/>
      <c r="J1304" s="71"/>
      <c r="K1304" s="71"/>
      <c r="L1304" s="71"/>
      <c r="M1304" s="71"/>
      <c r="N1304" s="71"/>
      <c r="O1304" s="71"/>
      <c r="P1304" s="71"/>
      <c r="Q1304" s="71"/>
      <c r="R1304" s="71"/>
      <c r="S1304" s="71"/>
      <c r="T1304" s="71"/>
      <c r="U1304" s="71"/>
      <c r="V1304" s="71"/>
      <c r="W1304" s="71"/>
      <c r="X1304" s="71"/>
      <c r="Y1304" s="71"/>
      <c r="Z1304" s="71"/>
      <c r="AA1304" s="71"/>
      <c r="AB1304" s="71"/>
      <c r="AC1304" s="71"/>
      <c r="AD1304" s="71"/>
      <c r="AE1304" s="71"/>
      <c r="AF1304" s="71"/>
      <c r="AG1304" s="71"/>
      <c r="AH1304" s="71"/>
      <c r="AI1304" s="71"/>
      <c r="AJ1304" s="71"/>
      <c r="AK1304" s="71"/>
      <c r="AL1304" s="71"/>
      <c r="AM1304" s="71"/>
      <c r="AN1304" s="71"/>
      <c r="AO1304" s="71"/>
      <c r="AP1304" s="71"/>
      <c r="AQ1304" s="71"/>
      <c r="AR1304" s="77"/>
    </row>
    <row r="1305">
      <c r="A1305" s="71"/>
      <c r="B1305" s="71"/>
      <c r="C1305" s="71"/>
      <c r="D1305" s="71"/>
      <c r="E1305" s="71"/>
      <c r="F1305" s="71"/>
      <c r="G1305" s="71"/>
      <c r="H1305" s="71"/>
      <c r="I1305" s="71"/>
      <c r="J1305" s="71"/>
      <c r="K1305" s="71"/>
      <c r="L1305" s="71"/>
      <c r="M1305" s="71"/>
      <c r="N1305" s="71"/>
      <c r="O1305" s="71"/>
      <c r="P1305" s="71"/>
      <c r="Q1305" s="71"/>
      <c r="R1305" s="71"/>
      <c r="S1305" s="71"/>
      <c r="T1305" s="71"/>
      <c r="U1305" s="71"/>
      <c r="V1305" s="71"/>
      <c r="W1305" s="71"/>
      <c r="X1305" s="71"/>
      <c r="Y1305" s="71"/>
      <c r="Z1305" s="71"/>
      <c r="AA1305" s="71"/>
      <c r="AB1305" s="71"/>
      <c r="AC1305" s="71"/>
      <c r="AD1305" s="71"/>
      <c r="AE1305" s="71"/>
      <c r="AF1305" s="71"/>
      <c r="AG1305" s="71"/>
      <c r="AH1305" s="71"/>
      <c r="AI1305" s="71"/>
      <c r="AJ1305" s="71"/>
      <c r="AK1305" s="71"/>
      <c r="AL1305" s="71"/>
      <c r="AM1305" s="71"/>
      <c r="AN1305" s="71"/>
      <c r="AO1305" s="71"/>
      <c r="AP1305" s="71"/>
      <c r="AQ1305" s="71"/>
      <c r="AR1305" s="77"/>
    </row>
    <row r="1306">
      <c r="A1306" s="71"/>
      <c r="B1306" s="71"/>
      <c r="C1306" s="71"/>
      <c r="D1306" s="71"/>
      <c r="E1306" s="71"/>
      <c r="F1306" s="71"/>
      <c r="G1306" s="71"/>
      <c r="H1306" s="71"/>
      <c r="I1306" s="71"/>
      <c r="J1306" s="71"/>
      <c r="K1306" s="71"/>
      <c r="L1306" s="71"/>
      <c r="M1306" s="71"/>
      <c r="N1306" s="71"/>
      <c r="O1306" s="71"/>
      <c r="P1306" s="71"/>
      <c r="Q1306" s="71"/>
      <c r="R1306" s="71"/>
      <c r="S1306" s="71"/>
      <c r="T1306" s="71"/>
      <c r="U1306" s="71"/>
      <c r="V1306" s="71"/>
      <c r="W1306" s="71"/>
      <c r="X1306" s="71"/>
      <c r="Y1306" s="71"/>
      <c r="Z1306" s="71"/>
      <c r="AA1306" s="71"/>
      <c r="AB1306" s="71"/>
      <c r="AC1306" s="71"/>
      <c r="AD1306" s="71"/>
      <c r="AE1306" s="71"/>
      <c r="AF1306" s="71"/>
      <c r="AG1306" s="71"/>
      <c r="AH1306" s="71"/>
      <c r="AI1306" s="71"/>
      <c r="AJ1306" s="71"/>
      <c r="AK1306" s="71"/>
      <c r="AL1306" s="71"/>
      <c r="AM1306" s="71"/>
      <c r="AN1306" s="71"/>
      <c r="AO1306" s="71"/>
      <c r="AP1306" s="71"/>
      <c r="AQ1306" s="71"/>
      <c r="AR1306" s="77"/>
    </row>
    <row r="1307">
      <c r="A1307" s="71"/>
      <c r="B1307" s="71"/>
      <c r="C1307" s="71"/>
      <c r="D1307" s="71"/>
      <c r="E1307" s="71"/>
      <c r="F1307" s="71"/>
      <c r="G1307" s="71"/>
      <c r="H1307" s="71"/>
      <c r="I1307" s="71"/>
      <c r="J1307" s="71"/>
      <c r="K1307" s="71"/>
      <c r="L1307" s="71"/>
      <c r="M1307" s="71"/>
      <c r="N1307" s="71"/>
      <c r="O1307" s="71"/>
      <c r="P1307" s="71"/>
      <c r="Q1307" s="71"/>
      <c r="R1307" s="71"/>
      <c r="S1307" s="71"/>
      <c r="T1307" s="71"/>
      <c r="U1307" s="71"/>
      <c r="V1307" s="71"/>
      <c r="W1307" s="71"/>
      <c r="X1307" s="71"/>
      <c r="Y1307" s="71"/>
      <c r="Z1307" s="71"/>
      <c r="AA1307" s="71"/>
      <c r="AB1307" s="71"/>
      <c r="AC1307" s="71"/>
      <c r="AD1307" s="71"/>
      <c r="AE1307" s="71"/>
      <c r="AF1307" s="71"/>
      <c r="AG1307" s="71"/>
      <c r="AH1307" s="71"/>
      <c r="AI1307" s="71"/>
      <c r="AJ1307" s="71"/>
      <c r="AK1307" s="71"/>
      <c r="AL1307" s="71"/>
      <c r="AM1307" s="71"/>
      <c r="AN1307" s="71"/>
      <c r="AO1307" s="71"/>
      <c r="AP1307" s="71"/>
      <c r="AQ1307" s="71"/>
      <c r="AR1307" s="77"/>
    </row>
    <row r="1308">
      <c r="A1308" s="71"/>
      <c r="B1308" s="71"/>
      <c r="C1308" s="71"/>
      <c r="D1308" s="71"/>
      <c r="E1308" s="71"/>
      <c r="F1308" s="71"/>
      <c r="G1308" s="71"/>
      <c r="H1308" s="71"/>
      <c r="I1308" s="71"/>
      <c r="J1308" s="71"/>
      <c r="K1308" s="71"/>
      <c r="L1308" s="71"/>
      <c r="M1308" s="71"/>
      <c r="N1308" s="71"/>
      <c r="O1308" s="71"/>
      <c r="P1308" s="71"/>
      <c r="Q1308" s="71"/>
      <c r="R1308" s="71"/>
      <c r="S1308" s="71"/>
      <c r="T1308" s="71"/>
      <c r="U1308" s="71"/>
      <c r="V1308" s="71"/>
      <c r="W1308" s="71"/>
      <c r="X1308" s="71"/>
      <c r="Y1308" s="71"/>
      <c r="Z1308" s="71"/>
      <c r="AA1308" s="71"/>
      <c r="AB1308" s="71"/>
      <c r="AC1308" s="71"/>
      <c r="AD1308" s="71"/>
      <c r="AE1308" s="71"/>
      <c r="AF1308" s="71"/>
      <c r="AG1308" s="71"/>
      <c r="AH1308" s="71"/>
      <c r="AI1308" s="71"/>
      <c r="AJ1308" s="71"/>
      <c r="AK1308" s="71"/>
      <c r="AL1308" s="71"/>
      <c r="AM1308" s="71"/>
      <c r="AN1308" s="71"/>
      <c r="AO1308" s="71"/>
      <c r="AP1308" s="71"/>
      <c r="AQ1308" s="71"/>
      <c r="AR1308" s="77"/>
    </row>
    <row r="1309">
      <c r="A1309" s="71"/>
      <c r="B1309" s="71"/>
      <c r="C1309" s="71"/>
      <c r="D1309" s="71"/>
      <c r="E1309" s="71"/>
      <c r="F1309" s="71"/>
      <c r="G1309" s="71"/>
      <c r="H1309" s="71"/>
      <c r="I1309" s="71"/>
      <c r="J1309" s="71"/>
      <c r="K1309" s="71"/>
      <c r="L1309" s="71"/>
      <c r="M1309" s="71"/>
      <c r="N1309" s="71"/>
      <c r="O1309" s="71"/>
      <c r="P1309" s="71"/>
      <c r="Q1309" s="71"/>
      <c r="R1309" s="71"/>
      <c r="S1309" s="71"/>
      <c r="T1309" s="71"/>
      <c r="U1309" s="71"/>
      <c r="V1309" s="71"/>
      <c r="W1309" s="71"/>
      <c r="X1309" s="71"/>
      <c r="Y1309" s="71"/>
      <c r="Z1309" s="71"/>
      <c r="AA1309" s="71"/>
      <c r="AB1309" s="71"/>
      <c r="AC1309" s="71"/>
      <c r="AD1309" s="71"/>
      <c r="AE1309" s="71"/>
      <c r="AF1309" s="71"/>
      <c r="AG1309" s="71"/>
      <c r="AH1309" s="71"/>
      <c r="AI1309" s="71"/>
      <c r="AJ1309" s="71"/>
      <c r="AK1309" s="71"/>
      <c r="AL1309" s="71"/>
      <c r="AM1309" s="71"/>
      <c r="AN1309" s="71"/>
      <c r="AO1309" s="71"/>
      <c r="AP1309" s="71"/>
      <c r="AQ1309" s="71"/>
      <c r="AR1309" s="77"/>
    </row>
    <row r="1310">
      <c r="A1310" s="71"/>
      <c r="B1310" s="71"/>
      <c r="C1310" s="71"/>
      <c r="D1310" s="71"/>
      <c r="E1310" s="71"/>
      <c r="F1310" s="71"/>
      <c r="G1310" s="71"/>
      <c r="H1310" s="71"/>
      <c r="I1310" s="71"/>
      <c r="J1310" s="71"/>
      <c r="K1310" s="71"/>
      <c r="L1310" s="71"/>
      <c r="M1310" s="71"/>
      <c r="N1310" s="71"/>
      <c r="O1310" s="71"/>
      <c r="P1310" s="71"/>
      <c r="Q1310" s="71"/>
      <c r="R1310" s="71"/>
      <c r="S1310" s="71"/>
      <c r="T1310" s="71"/>
      <c r="U1310" s="71"/>
      <c r="V1310" s="71"/>
      <c r="W1310" s="71"/>
      <c r="X1310" s="71"/>
      <c r="Y1310" s="71"/>
      <c r="Z1310" s="71"/>
      <c r="AA1310" s="71"/>
      <c r="AB1310" s="71"/>
      <c r="AC1310" s="71"/>
      <c r="AD1310" s="71"/>
      <c r="AE1310" s="71"/>
      <c r="AF1310" s="71"/>
      <c r="AG1310" s="71"/>
      <c r="AH1310" s="71"/>
      <c r="AI1310" s="71"/>
      <c r="AJ1310" s="71"/>
      <c r="AK1310" s="71"/>
      <c r="AL1310" s="71"/>
      <c r="AM1310" s="71"/>
      <c r="AN1310" s="71"/>
      <c r="AO1310" s="71"/>
      <c r="AP1310" s="71"/>
      <c r="AQ1310" s="71"/>
      <c r="AR1310" s="77"/>
    </row>
    <row r="1311">
      <c r="A1311" s="71"/>
      <c r="B1311" s="71"/>
      <c r="C1311" s="71"/>
      <c r="D1311" s="71"/>
      <c r="E1311" s="71"/>
      <c r="F1311" s="71"/>
      <c r="G1311" s="71"/>
      <c r="H1311" s="71"/>
      <c r="I1311" s="71"/>
      <c r="J1311" s="71"/>
      <c r="K1311" s="71"/>
      <c r="L1311" s="71"/>
      <c r="M1311" s="71"/>
      <c r="N1311" s="71"/>
      <c r="O1311" s="71"/>
      <c r="P1311" s="71"/>
      <c r="Q1311" s="71"/>
      <c r="R1311" s="71"/>
      <c r="S1311" s="71"/>
      <c r="T1311" s="71"/>
      <c r="U1311" s="71"/>
      <c r="V1311" s="71"/>
      <c r="W1311" s="71"/>
      <c r="X1311" s="71"/>
      <c r="Y1311" s="71"/>
      <c r="Z1311" s="71"/>
      <c r="AA1311" s="71"/>
      <c r="AB1311" s="71"/>
      <c r="AC1311" s="71"/>
      <c r="AD1311" s="71"/>
      <c r="AE1311" s="71"/>
      <c r="AF1311" s="71"/>
      <c r="AG1311" s="71"/>
      <c r="AH1311" s="71"/>
      <c r="AI1311" s="71"/>
      <c r="AJ1311" s="71"/>
      <c r="AK1311" s="71"/>
      <c r="AL1311" s="71"/>
      <c r="AM1311" s="71"/>
      <c r="AN1311" s="71"/>
      <c r="AO1311" s="71"/>
      <c r="AP1311" s="71"/>
      <c r="AQ1311" s="71"/>
      <c r="AR1311" s="77"/>
    </row>
    <row r="1312">
      <c r="A1312" s="71"/>
      <c r="B1312" s="71"/>
      <c r="C1312" s="71"/>
      <c r="D1312" s="71"/>
      <c r="E1312" s="71"/>
      <c r="F1312" s="71"/>
      <c r="G1312" s="71"/>
      <c r="H1312" s="71"/>
      <c r="I1312" s="71"/>
      <c r="J1312" s="71"/>
      <c r="K1312" s="71"/>
      <c r="L1312" s="71"/>
      <c r="M1312" s="71"/>
      <c r="N1312" s="71"/>
      <c r="O1312" s="71"/>
      <c r="P1312" s="71"/>
      <c r="Q1312" s="71"/>
      <c r="R1312" s="71"/>
      <c r="S1312" s="71"/>
      <c r="T1312" s="71"/>
      <c r="U1312" s="71"/>
      <c r="V1312" s="71"/>
      <c r="W1312" s="71"/>
      <c r="X1312" s="71"/>
      <c r="Y1312" s="71"/>
      <c r="Z1312" s="71"/>
      <c r="AA1312" s="71"/>
      <c r="AB1312" s="71"/>
      <c r="AC1312" s="71"/>
      <c r="AD1312" s="71"/>
      <c r="AE1312" s="71"/>
      <c r="AF1312" s="71"/>
      <c r="AG1312" s="71"/>
      <c r="AH1312" s="71"/>
      <c r="AI1312" s="71"/>
      <c r="AJ1312" s="71"/>
      <c r="AK1312" s="71"/>
      <c r="AL1312" s="71"/>
      <c r="AM1312" s="71"/>
      <c r="AN1312" s="71"/>
      <c r="AO1312" s="71"/>
      <c r="AP1312" s="71"/>
      <c r="AQ1312" s="71"/>
      <c r="AR1312" s="77"/>
    </row>
    <row r="1313">
      <c r="A1313" s="71"/>
      <c r="B1313" s="71"/>
      <c r="C1313" s="71"/>
      <c r="D1313" s="71"/>
      <c r="E1313" s="71"/>
      <c r="F1313" s="71"/>
      <c r="G1313" s="71"/>
      <c r="H1313" s="71"/>
      <c r="I1313" s="71"/>
      <c r="J1313" s="71"/>
      <c r="K1313" s="71"/>
      <c r="L1313" s="71"/>
      <c r="M1313" s="71"/>
      <c r="N1313" s="71"/>
      <c r="O1313" s="71"/>
      <c r="P1313" s="71"/>
      <c r="Q1313" s="71"/>
      <c r="R1313" s="71"/>
      <c r="S1313" s="71"/>
      <c r="T1313" s="71"/>
      <c r="U1313" s="71"/>
      <c r="V1313" s="71"/>
      <c r="W1313" s="71"/>
      <c r="X1313" s="71"/>
      <c r="Y1313" s="71"/>
      <c r="Z1313" s="71"/>
      <c r="AA1313" s="71"/>
      <c r="AB1313" s="71"/>
      <c r="AC1313" s="71"/>
      <c r="AD1313" s="71"/>
      <c r="AE1313" s="71"/>
      <c r="AF1313" s="71"/>
      <c r="AG1313" s="71"/>
      <c r="AH1313" s="71"/>
      <c r="AI1313" s="71"/>
      <c r="AJ1313" s="71"/>
      <c r="AK1313" s="71"/>
      <c r="AL1313" s="71"/>
      <c r="AM1313" s="71"/>
      <c r="AN1313" s="71"/>
      <c r="AO1313" s="71"/>
      <c r="AP1313" s="71"/>
      <c r="AQ1313" s="71"/>
      <c r="AR1313" s="77"/>
    </row>
    <row r="1314">
      <c r="A1314" s="71"/>
      <c r="B1314" s="71"/>
      <c r="C1314" s="71"/>
      <c r="D1314" s="71"/>
      <c r="E1314" s="71"/>
      <c r="F1314" s="71"/>
      <c r="G1314" s="71"/>
      <c r="H1314" s="71"/>
      <c r="I1314" s="71"/>
      <c r="J1314" s="71"/>
      <c r="K1314" s="71"/>
      <c r="L1314" s="71"/>
      <c r="M1314" s="71"/>
      <c r="N1314" s="71"/>
      <c r="O1314" s="71"/>
      <c r="P1314" s="71"/>
      <c r="Q1314" s="71"/>
      <c r="R1314" s="71"/>
      <c r="S1314" s="71"/>
      <c r="T1314" s="71"/>
      <c r="U1314" s="71"/>
      <c r="V1314" s="71"/>
      <c r="W1314" s="71"/>
      <c r="X1314" s="71"/>
      <c r="Y1314" s="71"/>
      <c r="Z1314" s="71"/>
      <c r="AA1314" s="71"/>
      <c r="AB1314" s="71"/>
      <c r="AC1314" s="71"/>
      <c r="AD1314" s="71"/>
      <c r="AE1314" s="71"/>
      <c r="AF1314" s="71"/>
      <c r="AG1314" s="71"/>
      <c r="AH1314" s="71"/>
      <c r="AI1314" s="71"/>
      <c r="AJ1314" s="71"/>
      <c r="AK1314" s="71"/>
      <c r="AL1314" s="71"/>
      <c r="AM1314" s="71"/>
      <c r="AN1314" s="71"/>
      <c r="AO1314" s="71"/>
      <c r="AP1314" s="71"/>
      <c r="AQ1314" s="71"/>
      <c r="AR1314" s="77"/>
    </row>
    <row r="1315">
      <c r="A1315" s="71"/>
      <c r="B1315" s="71"/>
      <c r="C1315" s="71"/>
      <c r="D1315" s="71"/>
      <c r="E1315" s="71"/>
      <c r="F1315" s="71"/>
      <c r="G1315" s="71"/>
      <c r="H1315" s="71"/>
      <c r="I1315" s="71"/>
      <c r="J1315" s="71"/>
      <c r="K1315" s="71"/>
      <c r="L1315" s="71"/>
      <c r="M1315" s="71"/>
      <c r="N1315" s="71"/>
      <c r="O1315" s="71"/>
      <c r="P1315" s="71"/>
      <c r="Q1315" s="71"/>
      <c r="R1315" s="71"/>
      <c r="S1315" s="71"/>
      <c r="T1315" s="71"/>
      <c r="U1315" s="71"/>
      <c r="V1315" s="71"/>
      <c r="W1315" s="71"/>
      <c r="X1315" s="71"/>
      <c r="Y1315" s="71"/>
      <c r="Z1315" s="71"/>
      <c r="AA1315" s="71"/>
      <c r="AB1315" s="71"/>
      <c r="AC1315" s="71"/>
      <c r="AD1315" s="71"/>
      <c r="AE1315" s="71"/>
      <c r="AF1315" s="71"/>
      <c r="AG1315" s="71"/>
      <c r="AH1315" s="71"/>
      <c r="AI1315" s="71"/>
      <c r="AJ1315" s="71"/>
      <c r="AK1315" s="71"/>
      <c r="AL1315" s="71"/>
      <c r="AM1315" s="71"/>
      <c r="AN1315" s="71"/>
      <c r="AO1315" s="71"/>
      <c r="AP1315" s="71"/>
      <c r="AQ1315" s="71"/>
      <c r="AR1315" s="77"/>
    </row>
    <row r="1316">
      <c r="A1316" s="71"/>
      <c r="B1316" s="71"/>
      <c r="C1316" s="71"/>
      <c r="D1316" s="71"/>
      <c r="E1316" s="71"/>
      <c r="F1316" s="71"/>
      <c r="G1316" s="71"/>
      <c r="H1316" s="71"/>
      <c r="I1316" s="71"/>
      <c r="J1316" s="71"/>
      <c r="K1316" s="71"/>
      <c r="L1316" s="71"/>
      <c r="M1316" s="71"/>
      <c r="N1316" s="71"/>
      <c r="O1316" s="71"/>
      <c r="P1316" s="71"/>
      <c r="Q1316" s="71"/>
      <c r="R1316" s="71"/>
      <c r="S1316" s="71"/>
      <c r="T1316" s="71"/>
      <c r="U1316" s="71"/>
      <c r="V1316" s="71"/>
      <c r="W1316" s="71"/>
      <c r="X1316" s="71"/>
      <c r="Y1316" s="71"/>
      <c r="Z1316" s="71"/>
      <c r="AA1316" s="71"/>
      <c r="AB1316" s="71"/>
      <c r="AC1316" s="71"/>
      <c r="AD1316" s="71"/>
      <c r="AE1316" s="71"/>
      <c r="AF1316" s="71"/>
      <c r="AG1316" s="71"/>
      <c r="AH1316" s="71"/>
      <c r="AI1316" s="71"/>
      <c r="AJ1316" s="71"/>
      <c r="AK1316" s="71"/>
      <c r="AL1316" s="71"/>
      <c r="AM1316" s="71"/>
      <c r="AN1316" s="71"/>
      <c r="AO1316" s="71"/>
      <c r="AP1316" s="71"/>
      <c r="AQ1316" s="71"/>
      <c r="AR1316" s="77"/>
    </row>
    <row r="1317">
      <c r="A1317" s="71"/>
      <c r="B1317" s="71"/>
      <c r="C1317" s="71"/>
      <c r="D1317" s="71"/>
      <c r="E1317" s="71"/>
      <c r="F1317" s="71"/>
      <c r="G1317" s="71"/>
      <c r="H1317" s="71"/>
      <c r="I1317" s="71"/>
      <c r="J1317" s="71"/>
      <c r="K1317" s="71"/>
      <c r="L1317" s="71"/>
      <c r="M1317" s="71"/>
      <c r="N1317" s="71"/>
      <c r="O1317" s="71"/>
      <c r="P1317" s="71"/>
      <c r="Q1317" s="71"/>
      <c r="R1317" s="71"/>
      <c r="S1317" s="71"/>
      <c r="T1317" s="71"/>
      <c r="U1317" s="71"/>
      <c r="V1317" s="71"/>
      <c r="W1317" s="71"/>
      <c r="X1317" s="71"/>
      <c r="Y1317" s="71"/>
      <c r="Z1317" s="71"/>
      <c r="AA1317" s="71"/>
      <c r="AB1317" s="71"/>
      <c r="AC1317" s="71"/>
      <c r="AD1317" s="71"/>
      <c r="AE1317" s="71"/>
      <c r="AF1317" s="71"/>
      <c r="AG1317" s="71"/>
      <c r="AH1317" s="71"/>
      <c r="AI1317" s="71"/>
      <c r="AJ1317" s="71"/>
      <c r="AK1317" s="71"/>
      <c r="AL1317" s="71"/>
      <c r="AM1317" s="71"/>
      <c r="AN1317" s="71"/>
      <c r="AO1317" s="71"/>
      <c r="AP1317" s="71"/>
      <c r="AQ1317" s="71"/>
      <c r="AR1317" s="77"/>
    </row>
    <row r="1318">
      <c r="A1318" s="71"/>
      <c r="B1318" s="71"/>
      <c r="C1318" s="71"/>
      <c r="D1318" s="71"/>
      <c r="E1318" s="71"/>
      <c r="F1318" s="71"/>
      <c r="G1318" s="71"/>
      <c r="H1318" s="71"/>
      <c r="I1318" s="71"/>
      <c r="J1318" s="71"/>
      <c r="K1318" s="71"/>
      <c r="L1318" s="71"/>
      <c r="M1318" s="71"/>
      <c r="N1318" s="71"/>
      <c r="O1318" s="71"/>
      <c r="P1318" s="71"/>
      <c r="Q1318" s="71"/>
      <c r="R1318" s="71"/>
      <c r="S1318" s="71"/>
      <c r="T1318" s="71"/>
      <c r="U1318" s="71"/>
      <c r="V1318" s="71"/>
      <c r="W1318" s="71"/>
      <c r="X1318" s="71"/>
      <c r="Y1318" s="71"/>
      <c r="Z1318" s="71"/>
      <c r="AA1318" s="71"/>
      <c r="AB1318" s="71"/>
      <c r="AC1318" s="71"/>
      <c r="AD1318" s="71"/>
      <c r="AE1318" s="71"/>
      <c r="AF1318" s="71"/>
      <c r="AG1318" s="71"/>
      <c r="AH1318" s="71"/>
      <c r="AI1318" s="71"/>
      <c r="AJ1318" s="71"/>
      <c r="AK1318" s="71"/>
      <c r="AL1318" s="71"/>
      <c r="AM1318" s="71"/>
      <c r="AN1318" s="71"/>
      <c r="AO1318" s="71"/>
      <c r="AP1318" s="71"/>
      <c r="AQ1318" s="71"/>
      <c r="AR1318" s="77"/>
    </row>
    <row r="1319">
      <c r="A1319" s="71"/>
      <c r="B1319" s="71"/>
      <c r="C1319" s="71"/>
      <c r="D1319" s="71"/>
      <c r="E1319" s="71"/>
      <c r="F1319" s="71"/>
      <c r="G1319" s="71"/>
      <c r="H1319" s="71"/>
      <c r="I1319" s="71"/>
      <c r="J1319" s="71"/>
      <c r="K1319" s="71"/>
      <c r="L1319" s="71"/>
      <c r="M1319" s="71"/>
      <c r="N1319" s="71"/>
      <c r="O1319" s="71"/>
      <c r="P1319" s="71"/>
      <c r="Q1319" s="71"/>
      <c r="R1319" s="71"/>
      <c r="S1319" s="71"/>
      <c r="T1319" s="71"/>
      <c r="U1319" s="71"/>
      <c r="V1319" s="71"/>
      <c r="W1319" s="71"/>
      <c r="X1319" s="71"/>
      <c r="Y1319" s="71"/>
      <c r="Z1319" s="71"/>
      <c r="AA1319" s="71"/>
      <c r="AB1319" s="71"/>
      <c r="AC1319" s="71"/>
      <c r="AD1319" s="71"/>
      <c r="AE1319" s="71"/>
      <c r="AF1319" s="71"/>
      <c r="AG1319" s="71"/>
      <c r="AH1319" s="71"/>
      <c r="AI1319" s="71"/>
      <c r="AJ1319" s="71"/>
      <c r="AK1319" s="71"/>
      <c r="AL1319" s="71"/>
      <c r="AM1319" s="71"/>
      <c r="AN1319" s="71"/>
      <c r="AO1319" s="71"/>
      <c r="AP1319" s="71"/>
      <c r="AQ1319" s="71"/>
      <c r="AR1319" s="77"/>
    </row>
    <row r="1320">
      <c r="A1320" s="71"/>
      <c r="B1320" s="71"/>
      <c r="C1320" s="71"/>
      <c r="D1320" s="71"/>
      <c r="E1320" s="71"/>
      <c r="F1320" s="71"/>
      <c r="G1320" s="71"/>
      <c r="H1320" s="71"/>
      <c r="I1320" s="71"/>
      <c r="J1320" s="71"/>
      <c r="K1320" s="71"/>
      <c r="L1320" s="71"/>
      <c r="M1320" s="71"/>
      <c r="N1320" s="71"/>
      <c r="O1320" s="71"/>
      <c r="P1320" s="71"/>
      <c r="Q1320" s="71"/>
      <c r="R1320" s="71"/>
      <c r="S1320" s="71"/>
      <c r="T1320" s="71"/>
      <c r="U1320" s="71"/>
      <c r="V1320" s="71"/>
      <c r="W1320" s="71"/>
      <c r="X1320" s="71"/>
      <c r="Y1320" s="71"/>
      <c r="Z1320" s="71"/>
      <c r="AA1320" s="71"/>
      <c r="AB1320" s="71"/>
      <c r="AC1320" s="71"/>
      <c r="AD1320" s="71"/>
      <c r="AE1320" s="71"/>
      <c r="AF1320" s="71"/>
      <c r="AG1320" s="71"/>
      <c r="AH1320" s="71"/>
      <c r="AI1320" s="71"/>
      <c r="AJ1320" s="71"/>
      <c r="AK1320" s="71"/>
      <c r="AL1320" s="71"/>
      <c r="AM1320" s="71"/>
      <c r="AN1320" s="71"/>
      <c r="AO1320" s="71"/>
      <c r="AP1320" s="71"/>
      <c r="AQ1320" s="71"/>
      <c r="AR1320" s="77"/>
    </row>
    <row r="1321">
      <c r="A1321" s="71"/>
      <c r="B1321" s="71"/>
      <c r="C1321" s="71"/>
      <c r="D1321" s="71"/>
      <c r="E1321" s="71"/>
      <c r="F1321" s="71"/>
      <c r="G1321" s="71"/>
      <c r="H1321" s="71"/>
      <c r="I1321" s="71"/>
      <c r="J1321" s="71"/>
      <c r="K1321" s="71"/>
      <c r="L1321" s="71"/>
      <c r="M1321" s="71"/>
      <c r="N1321" s="71"/>
      <c r="O1321" s="71"/>
      <c r="P1321" s="71"/>
      <c r="Q1321" s="71"/>
      <c r="R1321" s="71"/>
      <c r="S1321" s="71"/>
      <c r="T1321" s="71"/>
      <c r="U1321" s="71"/>
      <c r="V1321" s="71"/>
      <c r="W1321" s="71"/>
      <c r="X1321" s="71"/>
      <c r="Y1321" s="71"/>
      <c r="Z1321" s="71"/>
      <c r="AA1321" s="71"/>
      <c r="AB1321" s="71"/>
      <c r="AC1321" s="71"/>
      <c r="AD1321" s="71"/>
      <c r="AE1321" s="71"/>
      <c r="AF1321" s="71"/>
      <c r="AG1321" s="71"/>
      <c r="AH1321" s="71"/>
      <c r="AI1321" s="71"/>
      <c r="AJ1321" s="71"/>
      <c r="AK1321" s="71"/>
      <c r="AL1321" s="71"/>
      <c r="AM1321" s="71"/>
      <c r="AN1321" s="71"/>
      <c r="AO1321" s="71"/>
      <c r="AP1321" s="71"/>
      <c r="AQ1321" s="71"/>
      <c r="AR1321" s="77"/>
    </row>
    <row r="1322">
      <c r="A1322" s="71"/>
      <c r="B1322" s="71"/>
      <c r="C1322" s="71"/>
      <c r="D1322" s="71"/>
      <c r="E1322" s="71"/>
      <c r="F1322" s="71"/>
      <c r="G1322" s="71"/>
      <c r="H1322" s="71"/>
      <c r="I1322" s="71"/>
      <c r="J1322" s="71"/>
      <c r="K1322" s="71"/>
      <c r="L1322" s="71"/>
      <c r="M1322" s="71"/>
      <c r="N1322" s="71"/>
      <c r="O1322" s="71"/>
      <c r="P1322" s="71"/>
      <c r="Q1322" s="71"/>
      <c r="R1322" s="71"/>
      <c r="S1322" s="71"/>
      <c r="T1322" s="71"/>
      <c r="U1322" s="71"/>
      <c r="V1322" s="71"/>
      <c r="W1322" s="71"/>
      <c r="X1322" s="71"/>
      <c r="Y1322" s="71"/>
      <c r="Z1322" s="71"/>
      <c r="AA1322" s="71"/>
      <c r="AB1322" s="71"/>
      <c r="AC1322" s="71"/>
      <c r="AD1322" s="71"/>
      <c r="AE1322" s="71"/>
      <c r="AF1322" s="71"/>
      <c r="AG1322" s="71"/>
      <c r="AH1322" s="71"/>
      <c r="AI1322" s="71"/>
      <c r="AJ1322" s="71"/>
      <c r="AK1322" s="71"/>
      <c r="AL1322" s="71"/>
      <c r="AM1322" s="71"/>
      <c r="AN1322" s="71"/>
      <c r="AO1322" s="71"/>
      <c r="AP1322" s="71"/>
      <c r="AQ1322" s="71"/>
      <c r="AR1322" s="77"/>
    </row>
    <row r="1323">
      <c r="A1323" s="71"/>
      <c r="B1323" s="71"/>
      <c r="C1323" s="71"/>
      <c r="D1323" s="71"/>
      <c r="E1323" s="71"/>
      <c r="F1323" s="71"/>
      <c r="G1323" s="71"/>
      <c r="H1323" s="71"/>
      <c r="I1323" s="71"/>
      <c r="J1323" s="71"/>
      <c r="K1323" s="71"/>
      <c r="L1323" s="71"/>
      <c r="M1323" s="71"/>
      <c r="N1323" s="71"/>
      <c r="O1323" s="71"/>
      <c r="P1323" s="71"/>
      <c r="Q1323" s="71"/>
      <c r="R1323" s="71"/>
      <c r="S1323" s="71"/>
      <c r="T1323" s="71"/>
      <c r="U1323" s="71"/>
      <c r="V1323" s="71"/>
      <c r="W1323" s="71"/>
      <c r="X1323" s="71"/>
      <c r="Y1323" s="71"/>
      <c r="Z1323" s="71"/>
      <c r="AA1323" s="71"/>
      <c r="AB1323" s="71"/>
      <c r="AC1323" s="71"/>
      <c r="AD1323" s="71"/>
      <c r="AE1323" s="71"/>
      <c r="AF1323" s="71"/>
      <c r="AG1323" s="71"/>
      <c r="AH1323" s="71"/>
      <c r="AI1323" s="71"/>
      <c r="AJ1323" s="71"/>
      <c r="AK1323" s="71"/>
      <c r="AL1323" s="71"/>
      <c r="AM1323" s="71"/>
      <c r="AN1323" s="71"/>
      <c r="AO1323" s="71"/>
      <c r="AP1323" s="71"/>
      <c r="AQ1323" s="71"/>
      <c r="AR1323" s="77"/>
    </row>
    <row r="1324">
      <c r="A1324" s="71"/>
      <c r="B1324" s="71"/>
      <c r="C1324" s="71"/>
      <c r="D1324" s="71"/>
      <c r="E1324" s="71"/>
      <c r="F1324" s="71"/>
      <c r="G1324" s="71"/>
      <c r="H1324" s="71"/>
      <c r="I1324" s="71"/>
      <c r="J1324" s="71"/>
      <c r="K1324" s="71"/>
      <c r="L1324" s="71"/>
      <c r="M1324" s="71"/>
      <c r="N1324" s="71"/>
      <c r="O1324" s="71"/>
      <c r="P1324" s="71"/>
      <c r="Q1324" s="71"/>
      <c r="R1324" s="71"/>
      <c r="S1324" s="71"/>
      <c r="T1324" s="71"/>
      <c r="U1324" s="71"/>
      <c r="V1324" s="71"/>
      <c r="W1324" s="71"/>
      <c r="X1324" s="71"/>
      <c r="Y1324" s="71"/>
      <c r="Z1324" s="71"/>
      <c r="AA1324" s="71"/>
      <c r="AB1324" s="71"/>
      <c r="AC1324" s="71"/>
      <c r="AD1324" s="71"/>
      <c r="AE1324" s="71"/>
      <c r="AF1324" s="71"/>
      <c r="AG1324" s="71"/>
      <c r="AH1324" s="71"/>
      <c r="AI1324" s="71"/>
      <c r="AJ1324" s="71"/>
      <c r="AK1324" s="71"/>
      <c r="AL1324" s="71"/>
      <c r="AM1324" s="71"/>
      <c r="AN1324" s="71"/>
      <c r="AO1324" s="71"/>
      <c r="AP1324" s="71"/>
      <c r="AQ1324" s="71"/>
      <c r="AR1324" s="77"/>
    </row>
    <row r="1325">
      <c r="A1325" s="71"/>
      <c r="B1325" s="71"/>
      <c r="C1325" s="71"/>
      <c r="D1325" s="71"/>
      <c r="E1325" s="71"/>
      <c r="F1325" s="71"/>
      <c r="G1325" s="71"/>
      <c r="H1325" s="71"/>
      <c r="I1325" s="71"/>
      <c r="J1325" s="71"/>
      <c r="K1325" s="71"/>
      <c r="L1325" s="71"/>
      <c r="M1325" s="71"/>
      <c r="N1325" s="71"/>
      <c r="O1325" s="71"/>
      <c r="P1325" s="71"/>
      <c r="Q1325" s="71"/>
      <c r="R1325" s="71"/>
      <c r="S1325" s="71"/>
      <c r="T1325" s="71"/>
      <c r="U1325" s="71"/>
      <c r="V1325" s="71"/>
      <c r="W1325" s="71"/>
      <c r="X1325" s="71"/>
      <c r="Y1325" s="71"/>
      <c r="Z1325" s="71"/>
      <c r="AA1325" s="71"/>
      <c r="AB1325" s="71"/>
      <c r="AC1325" s="71"/>
      <c r="AD1325" s="71"/>
      <c r="AE1325" s="71"/>
      <c r="AF1325" s="71"/>
      <c r="AG1325" s="71"/>
      <c r="AH1325" s="71"/>
      <c r="AI1325" s="71"/>
      <c r="AJ1325" s="71"/>
      <c r="AK1325" s="71"/>
      <c r="AL1325" s="71"/>
      <c r="AM1325" s="71"/>
      <c r="AN1325" s="71"/>
      <c r="AO1325" s="71"/>
      <c r="AP1325" s="71"/>
      <c r="AQ1325" s="71"/>
      <c r="AR1325" s="77"/>
    </row>
    <row r="1326">
      <c r="A1326" s="71"/>
      <c r="B1326" s="71"/>
      <c r="C1326" s="71"/>
      <c r="D1326" s="71"/>
      <c r="E1326" s="71"/>
      <c r="F1326" s="71"/>
      <c r="G1326" s="71"/>
      <c r="H1326" s="71"/>
      <c r="I1326" s="71"/>
      <c r="J1326" s="71"/>
      <c r="K1326" s="71"/>
      <c r="L1326" s="71"/>
      <c r="M1326" s="71"/>
      <c r="N1326" s="71"/>
      <c r="O1326" s="71"/>
      <c r="P1326" s="71"/>
      <c r="Q1326" s="71"/>
      <c r="R1326" s="71"/>
      <c r="S1326" s="71"/>
      <c r="T1326" s="71"/>
      <c r="U1326" s="71"/>
      <c r="V1326" s="71"/>
      <c r="W1326" s="71"/>
      <c r="X1326" s="71"/>
      <c r="Y1326" s="71"/>
      <c r="Z1326" s="71"/>
      <c r="AA1326" s="71"/>
      <c r="AB1326" s="71"/>
      <c r="AC1326" s="71"/>
      <c r="AD1326" s="71"/>
      <c r="AE1326" s="71"/>
      <c r="AF1326" s="71"/>
      <c r="AG1326" s="71"/>
      <c r="AH1326" s="71"/>
      <c r="AI1326" s="71"/>
      <c r="AJ1326" s="71"/>
      <c r="AK1326" s="71"/>
      <c r="AL1326" s="71"/>
      <c r="AM1326" s="71"/>
      <c r="AN1326" s="71"/>
      <c r="AO1326" s="71"/>
      <c r="AP1326" s="71"/>
      <c r="AQ1326" s="71"/>
      <c r="AR1326" s="77"/>
    </row>
    <row r="1327">
      <c r="A1327" s="71"/>
      <c r="B1327" s="71"/>
      <c r="C1327" s="71"/>
      <c r="D1327" s="71"/>
      <c r="E1327" s="71"/>
      <c r="F1327" s="71"/>
      <c r="G1327" s="71"/>
      <c r="H1327" s="71"/>
      <c r="I1327" s="71"/>
      <c r="J1327" s="71"/>
      <c r="K1327" s="71"/>
      <c r="L1327" s="71"/>
      <c r="M1327" s="71"/>
      <c r="N1327" s="71"/>
      <c r="O1327" s="71"/>
      <c r="P1327" s="71"/>
      <c r="Q1327" s="71"/>
      <c r="R1327" s="71"/>
      <c r="S1327" s="71"/>
      <c r="T1327" s="71"/>
      <c r="U1327" s="71"/>
      <c r="V1327" s="71"/>
      <c r="W1327" s="71"/>
      <c r="X1327" s="71"/>
      <c r="Y1327" s="71"/>
      <c r="Z1327" s="71"/>
      <c r="AA1327" s="71"/>
      <c r="AB1327" s="71"/>
      <c r="AC1327" s="71"/>
      <c r="AD1327" s="71"/>
      <c r="AE1327" s="71"/>
      <c r="AF1327" s="71"/>
      <c r="AG1327" s="71"/>
      <c r="AH1327" s="71"/>
      <c r="AI1327" s="71"/>
      <c r="AJ1327" s="71"/>
      <c r="AK1327" s="71"/>
      <c r="AL1327" s="71"/>
      <c r="AM1327" s="71"/>
      <c r="AN1327" s="71"/>
      <c r="AO1327" s="71"/>
      <c r="AP1327" s="71"/>
      <c r="AQ1327" s="71"/>
      <c r="AR1327" s="77"/>
    </row>
    <row r="1328">
      <c r="A1328" s="71"/>
      <c r="B1328" s="71"/>
      <c r="C1328" s="71"/>
      <c r="D1328" s="71"/>
      <c r="E1328" s="71"/>
      <c r="F1328" s="71"/>
      <c r="G1328" s="71"/>
      <c r="H1328" s="71"/>
      <c r="I1328" s="71"/>
      <c r="J1328" s="71"/>
      <c r="K1328" s="71"/>
      <c r="L1328" s="71"/>
      <c r="M1328" s="71"/>
      <c r="N1328" s="71"/>
      <c r="O1328" s="71"/>
      <c r="P1328" s="71"/>
      <c r="Q1328" s="71"/>
      <c r="R1328" s="71"/>
      <c r="S1328" s="71"/>
      <c r="T1328" s="71"/>
      <c r="U1328" s="71"/>
      <c r="V1328" s="71"/>
      <c r="W1328" s="71"/>
      <c r="X1328" s="71"/>
      <c r="Y1328" s="71"/>
      <c r="Z1328" s="71"/>
      <c r="AA1328" s="71"/>
      <c r="AB1328" s="71"/>
      <c r="AC1328" s="71"/>
      <c r="AD1328" s="71"/>
      <c r="AE1328" s="71"/>
      <c r="AF1328" s="71"/>
      <c r="AG1328" s="71"/>
      <c r="AH1328" s="71"/>
      <c r="AI1328" s="71"/>
      <c r="AJ1328" s="71"/>
      <c r="AK1328" s="71"/>
      <c r="AL1328" s="71"/>
      <c r="AM1328" s="71"/>
      <c r="AN1328" s="71"/>
      <c r="AO1328" s="71"/>
      <c r="AP1328" s="71"/>
      <c r="AQ1328" s="71"/>
      <c r="AR1328" s="77"/>
    </row>
    <row r="1329">
      <c r="A1329" s="71"/>
      <c r="B1329" s="71"/>
      <c r="C1329" s="71"/>
      <c r="D1329" s="71"/>
      <c r="E1329" s="71"/>
      <c r="F1329" s="71"/>
      <c r="G1329" s="71"/>
      <c r="H1329" s="71"/>
      <c r="I1329" s="71"/>
      <c r="J1329" s="71"/>
      <c r="K1329" s="71"/>
      <c r="L1329" s="71"/>
      <c r="M1329" s="71"/>
      <c r="N1329" s="71"/>
      <c r="O1329" s="71"/>
      <c r="P1329" s="71"/>
      <c r="Q1329" s="71"/>
      <c r="R1329" s="71"/>
      <c r="S1329" s="71"/>
      <c r="T1329" s="71"/>
      <c r="U1329" s="71"/>
      <c r="V1329" s="71"/>
      <c r="W1329" s="71"/>
      <c r="X1329" s="71"/>
      <c r="Y1329" s="71"/>
      <c r="Z1329" s="71"/>
      <c r="AA1329" s="71"/>
      <c r="AB1329" s="71"/>
      <c r="AC1329" s="71"/>
      <c r="AD1329" s="71"/>
      <c r="AE1329" s="71"/>
      <c r="AF1329" s="71"/>
      <c r="AG1329" s="71"/>
      <c r="AH1329" s="71"/>
      <c r="AI1329" s="71"/>
      <c r="AJ1329" s="71"/>
      <c r="AK1329" s="71"/>
      <c r="AL1329" s="71"/>
      <c r="AM1329" s="71"/>
      <c r="AN1329" s="71"/>
      <c r="AO1329" s="71"/>
      <c r="AP1329" s="71"/>
      <c r="AQ1329" s="71"/>
      <c r="AR1329" s="77"/>
    </row>
    <row r="1330">
      <c r="A1330" s="71"/>
      <c r="B1330" s="71"/>
      <c r="C1330" s="71"/>
      <c r="D1330" s="71"/>
      <c r="E1330" s="71"/>
      <c r="F1330" s="71"/>
      <c r="G1330" s="71"/>
      <c r="H1330" s="71"/>
      <c r="I1330" s="71"/>
      <c r="J1330" s="71"/>
      <c r="K1330" s="71"/>
      <c r="L1330" s="71"/>
      <c r="M1330" s="71"/>
      <c r="N1330" s="71"/>
      <c r="O1330" s="71"/>
      <c r="P1330" s="71"/>
      <c r="Q1330" s="71"/>
      <c r="R1330" s="71"/>
      <c r="S1330" s="71"/>
      <c r="T1330" s="71"/>
      <c r="U1330" s="71"/>
      <c r="V1330" s="71"/>
      <c r="W1330" s="71"/>
      <c r="X1330" s="71"/>
      <c r="Y1330" s="71"/>
      <c r="Z1330" s="71"/>
      <c r="AA1330" s="71"/>
      <c r="AB1330" s="71"/>
      <c r="AC1330" s="71"/>
      <c r="AD1330" s="71"/>
      <c r="AE1330" s="71"/>
      <c r="AF1330" s="71"/>
      <c r="AG1330" s="71"/>
      <c r="AH1330" s="71"/>
      <c r="AI1330" s="71"/>
      <c r="AJ1330" s="71"/>
      <c r="AK1330" s="71"/>
      <c r="AL1330" s="71"/>
      <c r="AM1330" s="71"/>
      <c r="AN1330" s="71"/>
      <c r="AO1330" s="71"/>
      <c r="AP1330" s="71"/>
      <c r="AQ1330" s="71"/>
      <c r="AR1330" s="77"/>
    </row>
    <row r="1331">
      <c r="A1331" s="71"/>
      <c r="B1331" s="71"/>
      <c r="C1331" s="71"/>
      <c r="D1331" s="71"/>
      <c r="E1331" s="71"/>
      <c r="F1331" s="71"/>
      <c r="G1331" s="71"/>
      <c r="H1331" s="71"/>
      <c r="I1331" s="71"/>
      <c r="J1331" s="71"/>
      <c r="K1331" s="71"/>
      <c r="L1331" s="71"/>
      <c r="M1331" s="71"/>
      <c r="N1331" s="71"/>
      <c r="O1331" s="71"/>
      <c r="P1331" s="71"/>
      <c r="Q1331" s="71"/>
      <c r="R1331" s="71"/>
      <c r="S1331" s="71"/>
      <c r="T1331" s="71"/>
      <c r="U1331" s="71"/>
      <c r="V1331" s="71"/>
      <c r="W1331" s="71"/>
      <c r="X1331" s="71"/>
      <c r="Y1331" s="71"/>
      <c r="Z1331" s="71"/>
      <c r="AA1331" s="71"/>
      <c r="AB1331" s="71"/>
      <c r="AC1331" s="71"/>
      <c r="AD1331" s="71"/>
      <c r="AE1331" s="71"/>
      <c r="AF1331" s="71"/>
      <c r="AG1331" s="71"/>
      <c r="AH1331" s="71"/>
      <c r="AI1331" s="71"/>
      <c r="AJ1331" s="71"/>
      <c r="AK1331" s="71"/>
      <c r="AL1331" s="71"/>
      <c r="AM1331" s="71"/>
      <c r="AN1331" s="71"/>
      <c r="AO1331" s="71"/>
      <c r="AP1331" s="71"/>
      <c r="AQ1331" s="71"/>
      <c r="AR1331" s="77"/>
    </row>
    <row r="1332">
      <c r="A1332" s="71"/>
      <c r="B1332" s="71"/>
      <c r="C1332" s="71"/>
      <c r="D1332" s="71"/>
      <c r="E1332" s="71"/>
      <c r="F1332" s="71"/>
      <c r="G1332" s="71"/>
      <c r="H1332" s="71"/>
      <c r="I1332" s="71"/>
      <c r="J1332" s="71"/>
      <c r="K1332" s="71"/>
      <c r="L1332" s="71"/>
      <c r="M1332" s="71"/>
      <c r="N1332" s="71"/>
      <c r="O1332" s="71"/>
      <c r="P1332" s="71"/>
      <c r="Q1332" s="71"/>
      <c r="R1332" s="71"/>
      <c r="S1332" s="71"/>
      <c r="T1332" s="71"/>
      <c r="U1332" s="71"/>
      <c r="V1332" s="71"/>
      <c r="W1332" s="71"/>
      <c r="X1332" s="71"/>
      <c r="Y1332" s="71"/>
      <c r="Z1332" s="71"/>
      <c r="AA1332" s="71"/>
      <c r="AB1332" s="71"/>
      <c r="AC1332" s="71"/>
      <c r="AD1332" s="71"/>
      <c r="AE1332" s="71"/>
      <c r="AF1332" s="71"/>
      <c r="AG1332" s="71"/>
      <c r="AH1332" s="71"/>
      <c r="AI1332" s="71"/>
      <c r="AJ1332" s="71"/>
      <c r="AK1332" s="71"/>
      <c r="AL1332" s="71"/>
      <c r="AM1332" s="71"/>
      <c r="AN1332" s="71"/>
      <c r="AO1332" s="71"/>
      <c r="AP1332" s="71"/>
      <c r="AQ1332" s="71"/>
      <c r="AR1332" s="77"/>
    </row>
    <row r="1333">
      <c r="A1333" s="71"/>
      <c r="B1333" s="71"/>
      <c r="C1333" s="71"/>
      <c r="D1333" s="71"/>
      <c r="E1333" s="71"/>
      <c r="F1333" s="71"/>
      <c r="G1333" s="71"/>
      <c r="H1333" s="71"/>
      <c r="I1333" s="71"/>
      <c r="J1333" s="71"/>
      <c r="K1333" s="71"/>
      <c r="L1333" s="71"/>
      <c r="M1333" s="71"/>
      <c r="N1333" s="71"/>
      <c r="O1333" s="71"/>
      <c r="P1333" s="71"/>
      <c r="Q1333" s="71"/>
      <c r="R1333" s="71"/>
      <c r="S1333" s="71"/>
      <c r="T1333" s="71"/>
      <c r="U1333" s="71"/>
      <c r="V1333" s="71"/>
      <c r="W1333" s="71"/>
      <c r="X1333" s="71"/>
      <c r="Y1333" s="71"/>
      <c r="Z1333" s="71"/>
      <c r="AA1333" s="71"/>
      <c r="AB1333" s="71"/>
      <c r="AC1333" s="71"/>
      <c r="AD1333" s="71"/>
      <c r="AE1333" s="71"/>
      <c r="AF1333" s="71"/>
      <c r="AG1333" s="71"/>
      <c r="AH1333" s="71"/>
      <c r="AI1333" s="71"/>
      <c r="AJ1333" s="71"/>
      <c r="AK1333" s="71"/>
      <c r="AL1333" s="71"/>
      <c r="AM1333" s="71"/>
      <c r="AN1333" s="71"/>
      <c r="AO1333" s="71"/>
      <c r="AP1333" s="71"/>
      <c r="AQ1333" s="71"/>
      <c r="AR1333" s="77"/>
    </row>
    <row r="1334">
      <c r="A1334" s="71"/>
      <c r="B1334" s="71"/>
      <c r="C1334" s="71"/>
      <c r="D1334" s="71"/>
      <c r="E1334" s="71"/>
      <c r="F1334" s="71"/>
      <c r="G1334" s="71"/>
      <c r="H1334" s="71"/>
      <c r="I1334" s="71"/>
      <c r="J1334" s="71"/>
      <c r="K1334" s="71"/>
      <c r="L1334" s="71"/>
      <c r="M1334" s="71"/>
      <c r="N1334" s="71"/>
      <c r="O1334" s="71"/>
      <c r="P1334" s="71"/>
      <c r="Q1334" s="71"/>
      <c r="R1334" s="71"/>
      <c r="S1334" s="71"/>
      <c r="T1334" s="71"/>
      <c r="U1334" s="71"/>
      <c r="V1334" s="71"/>
      <c r="W1334" s="71"/>
      <c r="X1334" s="71"/>
      <c r="Y1334" s="71"/>
      <c r="Z1334" s="71"/>
      <c r="AA1334" s="71"/>
      <c r="AB1334" s="71"/>
      <c r="AC1334" s="71"/>
      <c r="AD1334" s="71"/>
      <c r="AE1334" s="71"/>
      <c r="AF1334" s="71"/>
      <c r="AG1334" s="71"/>
      <c r="AH1334" s="71"/>
      <c r="AI1334" s="71"/>
      <c r="AJ1334" s="71"/>
      <c r="AK1334" s="71"/>
      <c r="AL1334" s="71"/>
      <c r="AM1334" s="71"/>
      <c r="AN1334" s="71"/>
      <c r="AO1334" s="71"/>
      <c r="AP1334" s="71"/>
      <c r="AQ1334" s="71"/>
      <c r="AR1334" s="77"/>
    </row>
    <row r="1335">
      <c r="A1335" s="71"/>
      <c r="B1335" s="71"/>
      <c r="C1335" s="71"/>
      <c r="D1335" s="71"/>
      <c r="E1335" s="71"/>
      <c r="F1335" s="71"/>
      <c r="G1335" s="71"/>
      <c r="H1335" s="71"/>
      <c r="I1335" s="71"/>
      <c r="J1335" s="71"/>
      <c r="K1335" s="71"/>
      <c r="L1335" s="71"/>
      <c r="M1335" s="71"/>
      <c r="N1335" s="71"/>
      <c r="O1335" s="71"/>
      <c r="P1335" s="71"/>
      <c r="Q1335" s="71"/>
      <c r="R1335" s="71"/>
      <c r="S1335" s="71"/>
      <c r="T1335" s="71"/>
      <c r="U1335" s="71"/>
      <c r="V1335" s="71"/>
      <c r="W1335" s="71"/>
      <c r="X1335" s="71"/>
      <c r="Y1335" s="71"/>
      <c r="Z1335" s="71"/>
      <c r="AA1335" s="71"/>
      <c r="AB1335" s="71"/>
      <c r="AC1335" s="71"/>
      <c r="AD1335" s="71"/>
      <c r="AE1335" s="71"/>
      <c r="AF1335" s="71"/>
      <c r="AG1335" s="71"/>
      <c r="AH1335" s="71"/>
      <c r="AI1335" s="71"/>
      <c r="AJ1335" s="71"/>
      <c r="AK1335" s="71"/>
      <c r="AL1335" s="71"/>
      <c r="AM1335" s="71"/>
      <c r="AN1335" s="71"/>
      <c r="AO1335" s="71"/>
      <c r="AP1335" s="71"/>
      <c r="AQ1335" s="71"/>
      <c r="AR1335" s="77"/>
    </row>
    <row r="1336">
      <c r="A1336" s="71"/>
      <c r="B1336" s="71"/>
      <c r="C1336" s="71"/>
      <c r="D1336" s="71"/>
      <c r="E1336" s="71"/>
      <c r="F1336" s="71"/>
      <c r="G1336" s="71"/>
      <c r="H1336" s="71"/>
      <c r="I1336" s="71"/>
      <c r="J1336" s="71"/>
      <c r="K1336" s="71"/>
      <c r="L1336" s="71"/>
      <c r="M1336" s="71"/>
      <c r="N1336" s="71"/>
      <c r="O1336" s="71"/>
      <c r="P1336" s="71"/>
      <c r="Q1336" s="71"/>
      <c r="R1336" s="71"/>
      <c r="S1336" s="71"/>
      <c r="T1336" s="71"/>
      <c r="U1336" s="71"/>
      <c r="V1336" s="71"/>
      <c r="W1336" s="71"/>
      <c r="X1336" s="71"/>
      <c r="Y1336" s="71"/>
      <c r="Z1336" s="71"/>
      <c r="AA1336" s="71"/>
      <c r="AB1336" s="71"/>
      <c r="AC1336" s="71"/>
      <c r="AD1336" s="71"/>
      <c r="AE1336" s="71"/>
      <c r="AF1336" s="71"/>
      <c r="AG1336" s="71"/>
      <c r="AH1336" s="71"/>
      <c r="AI1336" s="71"/>
      <c r="AJ1336" s="71"/>
      <c r="AK1336" s="71"/>
      <c r="AL1336" s="71"/>
      <c r="AM1336" s="71"/>
      <c r="AN1336" s="71"/>
      <c r="AO1336" s="71"/>
      <c r="AP1336" s="71"/>
      <c r="AQ1336" s="71"/>
      <c r="AR1336" s="77"/>
    </row>
    <row r="1337">
      <c r="A1337" s="71"/>
      <c r="B1337" s="71"/>
      <c r="C1337" s="71"/>
      <c r="D1337" s="71"/>
      <c r="E1337" s="71"/>
      <c r="F1337" s="71"/>
      <c r="G1337" s="71"/>
      <c r="H1337" s="71"/>
      <c r="I1337" s="71"/>
      <c r="J1337" s="71"/>
      <c r="K1337" s="71"/>
      <c r="L1337" s="71"/>
      <c r="M1337" s="71"/>
      <c r="N1337" s="71"/>
      <c r="O1337" s="71"/>
      <c r="P1337" s="71"/>
      <c r="Q1337" s="71"/>
      <c r="R1337" s="71"/>
      <c r="S1337" s="71"/>
      <c r="T1337" s="71"/>
      <c r="U1337" s="71"/>
      <c r="V1337" s="71"/>
      <c r="W1337" s="71"/>
      <c r="X1337" s="71"/>
      <c r="Y1337" s="71"/>
      <c r="Z1337" s="71"/>
      <c r="AA1337" s="71"/>
      <c r="AB1337" s="71"/>
      <c r="AC1337" s="71"/>
      <c r="AD1337" s="71"/>
      <c r="AE1337" s="71"/>
      <c r="AF1337" s="71"/>
      <c r="AG1337" s="71"/>
      <c r="AH1337" s="71"/>
      <c r="AI1337" s="71"/>
      <c r="AJ1337" s="71"/>
      <c r="AK1337" s="71"/>
      <c r="AL1337" s="71"/>
      <c r="AM1337" s="71"/>
      <c r="AN1337" s="71"/>
      <c r="AO1337" s="71"/>
      <c r="AP1337" s="71"/>
      <c r="AQ1337" s="71"/>
      <c r="AR1337" s="77"/>
    </row>
    <row r="1338">
      <c r="A1338" s="71"/>
      <c r="B1338" s="71"/>
      <c r="C1338" s="71"/>
      <c r="D1338" s="71"/>
      <c r="E1338" s="71"/>
      <c r="F1338" s="71"/>
      <c r="G1338" s="71"/>
      <c r="H1338" s="71"/>
      <c r="I1338" s="71"/>
      <c r="J1338" s="71"/>
      <c r="K1338" s="71"/>
      <c r="L1338" s="71"/>
      <c r="M1338" s="71"/>
      <c r="N1338" s="71"/>
      <c r="O1338" s="71"/>
      <c r="P1338" s="71"/>
      <c r="Q1338" s="71"/>
      <c r="R1338" s="71"/>
      <c r="S1338" s="71"/>
      <c r="T1338" s="71"/>
      <c r="U1338" s="71"/>
      <c r="V1338" s="71"/>
      <c r="W1338" s="71"/>
      <c r="X1338" s="71"/>
      <c r="Y1338" s="71"/>
      <c r="Z1338" s="71"/>
      <c r="AA1338" s="71"/>
      <c r="AB1338" s="71"/>
      <c r="AC1338" s="71"/>
      <c r="AD1338" s="71"/>
      <c r="AE1338" s="71"/>
      <c r="AF1338" s="71"/>
      <c r="AG1338" s="71"/>
      <c r="AH1338" s="71"/>
      <c r="AI1338" s="71"/>
      <c r="AJ1338" s="71"/>
      <c r="AK1338" s="71"/>
      <c r="AL1338" s="71"/>
      <c r="AM1338" s="71"/>
      <c r="AN1338" s="71"/>
      <c r="AO1338" s="71"/>
      <c r="AP1338" s="71"/>
      <c r="AQ1338" s="71"/>
      <c r="AR1338" s="77"/>
    </row>
    <row r="1339">
      <c r="A1339" s="71"/>
      <c r="B1339" s="71"/>
      <c r="C1339" s="71"/>
      <c r="D1339" s="71"/>
      <c r="E1339" s="71"/>
      <c r="F1339" s="71"/>
      <c r="G1339" s="71"/>
      <c r="H1339" s="71"/>
      <c r="I1339" s="71"/>
      <c r="J1339" s="71"/>
      <c r="K1339" s="71"/>
      <c r="L1339" s="71"/>
      <c r="M1339" s="71"/>
      <c r="N1339" s="71"/>
      <c r="O1339" s="71"/>
      <c r="P1339" s="71"/>
      <c r="Q1339" s="71"/>
      <c r="R1339" s="71"/>
      <c r="S1339" s="71"/>
      <c r="T1339" s="71"/>
      <c r="U1339" s="71"/>
      <c r="V1339" s="71"/>
      <c r="W1339" s="71"/>
      <c r="X1339" s="71"/>
      <c r="Y1339" s="71"/>
      <c r="Z1339" s="71"/>
      <c r="AA1339" s="71"/>
      <c r="AB1339" s="71"/>
      <c r="AC1339" s="71"/>
      <c r="AD1339" s="71"/>
      <c r="AE1339" s="71"/>
      <c r="AF1339" s="71"/>
      <c r="AG1339" s="71"/>
      <c r="AH1339" s="71"/>
      <c r="AI1339" s="71"/>
      <c r="AJ1339" s="71"/>
      <c r="AK1339" s="71"/>
      <c r="AL1339" s="71"/>
      <c r="AM1339" s="71"/>
      <c r="AN1339" s="71"/>
      <c r="AO1339" s="71"/>
      <c r="AP1339" s="71"/>
      <c r="AQ1339" s="71"/>
      <c r="AR1339" s="77"/>
    </row>
    <row r="1340">
      <c r="A1340" s="71"/>
      <c r="B1340" s="71"/>
      <c r="C1340" s="71"/>
      <c r="D1340" s="71"/>
      <c r="E1340" s="71"/>
      <c r="F1340" s="71"/>
      <c r="G1340" s="71"/>
      <c r="H1340" s="71"/>
      <c r="I1340" s="71"/>
      <c r="J1340" s="71"/>
      <c r="K1340" s="71"/>
      <c r="L1340" s="71"/>
      <c r="M1340" s="71"/>
      <c r="N1340" s="71"/>
      <c r="O1340" s="71"/>
      <c r="P1340" s="71"/>
      <c r="Q1340" s="71"/>
      <c r="R1340" s="71"/>
      <c r="S1340" s="71"/>
      <c r="T1340" s="71"/>
      <c r="U1340" s="71"/>
      <c r="V1340" s="71"/>
      <c r="W1340" s="71"/>
      <c r="X1340" s="71"/>
      <c r="Y1340" s="71"/>
      <c r="Z1340" s="71"/>
      <c r="AA1340" s="71"/>
      <c r="AB1340" s="71"/>
      <c r="AC1340" s="71"/>
      <c r="AD1340" s="71"/>
      <c r="AE1340" s="71"/>
      <c r="AF1340" s="71"/>
      <c r="AG1340" s="71"/>
      <c r="AH1340" s="71"/>
      <c r="AI1340" s="71"/>
      <c r="AJ1340" s="71"/>
      <c r="AK1340" s="71"/>
      <c r="AL1340" s="71"/>
      <c r="AM1340" s="71"/>
      <c r="AN1340" s="71"/>
      <c r="AO1340" s="71"/>
      <c r="AP1340" s="71"/>
      <c r="AQ1340" s="71"/>
      <c r="AR1340" s="77"/>
    </row>
    <row r="1341">
      <c r="A1341" s="71"/>
      <c r="B1341" s="71"/>
      <c r="C1341" s="71"/>
      <c r="D1341" s="71"/>
      <c r="E1341" s="71"/>
      <c r="F1341" s="71"/>
      <c r="G1341" s="71"/>
      <c r="H1341" s="71"/>
      <c r="I1341" s="71"/>
      <c r="J1341" s="71"/>
      <c r="K1341" s="71"/>
      <c r="L1341" s="71"/>
      <c r="M1341" s="71"/>
      <c r="N1341" s="71"/>
      <c r="O1341" s="71"/>
      <c r="P1341" s="71"/>
      <c r="Q1341" s="71"/>
      <c r="R1341" s="71"/>
      <c r="S1341" s="71"/>
      <c r="T1341" s="71"/>
      <c r="U1341" s="71"/>
      <c r="V1341" s="71"/>
      <c r="W1341" s="71"/>
      <c r="X1341" s="71"/>
      <c r="Y1341" s="71"/>
      <c r="Z1341" s="71"/>
      <c r="AA1341" s="71"/>
      <c r="AB1341" s="71"/>
      <c r="AC1341" s="71"/>
      <c r="AD1341" s="71"/>
      <c r="AE1341" s="71"/>
      <c r="AF1341" s="71"/>
      <c r="AG1341" s="71"/>
      <c r="AH1341" s="71"/>
      <c r="AI1341" s="71"/>
      <c r="AJ1341" s="71"/>
      <c r="AK1341" s="71"/>
      <c r="AL1341" s="71"/>
      <c r="AM1341" s="71"/>
      <c r="AN1341" s="71"/>
      <c r="AO1341" s="71"/>
      <c r="AP1341" s="71"/>
      <c r="AQ1341" s="71"/>
      <c r="AR1341" s="77"/>
    </row>
    <row r="1342">
      <c r="A1342" s="71"/>
      <c r="B1342" s="71"/>
      <c r="C1342" s="71"/>
      <c r="D1342" s="71"/>
      <c r="E1342" s="71"/>
      <c r="F1342" s="71"/>
      <c r="G1342" s="71"/>
      <c r="H1342" s="71"/>
      <c r="I1342" s="71"/>
      <c r="J1342" s="71"/>
      <c r="K1342" s="71"/>
      <c r="L1342" s="71"/>
      <c r="M1342" s="71"/>
      <c r="N1342" s="71"/>
      <c r="O1342" s="71"/>
      <c r="P1342" s="71"/>
      <c r="Q1342" s="71"/>
      <c r="R1342" s="71"/>
      <c r="S1342" s="71"/>
      <c r="T1342" s="71"/>
      <c r="U1342" s="71"/>
      <c r="V1342" s="71"/>
      <c r="W1342" s="71"/>
      <c r="X1342" s="71"/>
      <c r="Y1342" s="71"/>
      <c r="Z1342" s="71"/>
      <c r="AA1342" s="71"/>
      <c r="AB1342" s="71"/>
      <c r="AC1342" s="71"/>
      <c r="AD1342" s="71"/>
      <c r="AE1342" s="71"/>
      <c r="AF1342" s="71"/>
      <c r="AG1342" s="71"/>
      <c r="AH1342" s="71"/>
      <c r="AI1342" s="71"/>
      <c r="AJ1342" s="71"/>
      <c r="AK1342" s="71"/>
      <c r="AL1342" s="71"/>
      <c r="AM1342" s="71"/>
      <c r="AN1342" s="71"/>
      <c r="AO1342" s="71"/>
      <c r="AP1342" s="71"/>
      <c r="AQ1342" s="71"/>
      <c r="AR1342" s="77"/>
    </row>
    <row r="1343">
      <c r="A1343" s="71"/>
      <c r="B1343" s="71"/>
      <c r="C1343" s="71"/>
      <c r="D1343" s="71"/>
      <c r="E1343" s="71"/>
      <c r="F1343" s="71"/>
      <c r="G1343" s="71"/>
      <c r="H1343" s="71"/>
      <c r="I1343" s="71"/>
      <c r="J1343" s="71"/>
      <c r="K1343" s="71"/>
      <c r="L1343" s="71"/>
      <c r="M1343" s="71"/>
      <c r="N1343" s="71"/>
      <c r="O1343" s="71"/>
      <c r="P1343" s="71"/>
      <c r="Q1343" s="71"/>
      <c r="R1343" s="71"/>
      <c r="S1343" s="71"/>
      <c r="T1343" s="71"/>
      <c r="U1343" s="71"/>
      <c r="V1343" s="71"/>
      <c r="W1343" s="71"/>
      <c r="X1343" s="71"/>
      <c r="Y1343" s="71"/>
      <c r="Z1343" s="71"/>
      <c r="AA1343" s="71"/>
      <c r="AB1343" s="71"/>
      <c r="AC1343" s="71"/>
      <c r="AD1343" s="71"/>
      <c r="AE1343" s="71"/>
      <c r="AF1343" s="71"/>
      <c r="AG1343" s="71"/>
      <c r="AH1343" s="71"/>
      <c r="AI1343" s="71"/>
      <c r="AJ1343" s="71"/>
      <c r="AK1343" s="71"/>
      <c r="AL1343" s="71"/>
      <c r="AM1343" s="71"/>
      <c r="AN1343" s="71"/>
      <c r="AO1343" s="71"/>
      <c r="AP1343" s="71"/>
      <c r="AQ1343" s="71"/>
      <c r="AR1343" s="77"/>
    </row>
    <row r="1344">
      <c r="A1344" s="71"/>
      <c r="B1344" s="71"/>
      <c r="C1344" s="71"/>
      <c r="D1344" s="71"/>
      <c r="E1344" s="71"/>
      <c r="F1344" s="71"/>
      <c r="G1344" s="71"/>
      <c r="H1344" s="71"/>
      <c r="I1344" s="71"/>
      <c r="J1344" s="71"/>
      <c r="K1344" s="71"/>
      <c r="L1344" s="71"/>
      <c r="M1344" s="71"/>
      <c r="N1344" s="71"/>
      <c r="O1344" s="71"/>
      <c r="P1344" s="71"/>
      <c r="Q1344" s="71"/>
      <c r="R1344" s="71"/>
      <c r="S1344" s="71"/>
      <c r="T1344" s="71"/>
      <c r="U1344" s="71"/>
      <c r="V1344" s="71"/>
      <c r="W1344" s="71"/>
      <c r="X1344" s="71"/>
      <c r="Y1344" s="71"/>
      <c r="Z1344" s="71"/>
      <c r="AA1344" s="71"/>
      <c r="AB1344" s="71"/>
      <c r="AC1344" s="71"/>
      <c r="AD1344" s="71"/>
      <c r="AE1344" s="71"/>
      <c r="AF1344" s="71"/>
      <c r="AG1344" s="71"/>
      <c r="AH1344" s="71"/>
      <c r="AI1344" s="71"/>
      <c r="AJ1344" s="71"/>
      <c r="AK1344" s="71"/>
      <c r="AL1344" s="71"/>
      <c r="AM1344" s="71"/>
      <c r="AN1344" s="71"/>
      <c r="AO1344" s="71"/>
      <c r="AP1344" s="71"/>
      <c r="AQ1344" s="71"/>
      <c r="AR1344" s="77"/>
    </row>
    <row r="1345">
      <c r="A1345" s="71"/>
      <c r="B1345" s="71"/>
      <c r="C1345" s="71"/>
      <c r="D1345" s="71"/>
      <c r="E1345" s="71"/>
      <c r="F1345" s="71"/>
      <c r="G1345" s="71"/>
      <c r="H1345" s="71"/>
      <c r="I1345" s="71"/>
      <c r="J1345" s="71"/>
      <c r="K1345" s="71"/>
      <c r="L1345" s="71"/>
      <c r="M1345" s="71"/>
      <c r="N1345" s="71"/>
      <c r="O1345" s="71"/>
      <c r="P1345" s="71"/>
      <c r="Q1345" s="71"/>
      <c r="R1345" s="71"/>
      <c r="S1345" s="71"/>
      <c r="T1345" s="71"/>
      <c r="U1345" s="71"/>
      <c r="V1345" s="71"/>
      <c r="W1345" s="71"/>
      <c r="X1345" s="71"/>
      <c r="Y1345" s="71"/>
      <c r="Z1345" s="71"/>
      <c r="AA1345" s="71"/>
      <c r="AB1345" s="71"/>
      <c r="AC1345" s="71"/>
      <c r="AD1345" s="71"/>
      <c r="AE1345" s="71"/>
      <c r="AF1345" s="71"/>
      <c r="AG1345" s="71"/>
      <c r="AH1345" s="71"/>
      <c r="AI1345" s="71"/>
      <c r="AJ1345" s="71"/>
      <c r="AK1345" s="71"/>
      <c r="AL1345" s="71"/>
      <c r="AM1345" s="71"/>
      <c r="AN1345" s="71"/>
      <c r="AO1345" s="71"/>
      <c r="AP1345" s="71"/>
      <c r="AQ1345" s="71"/>
      <c r="AR1345" s="77"/>
    </row>
    <row r="1346">
      <c r="A1346" s="71"/>
      <c r="B1346" s="71"/>
      <c r="C1346" s="71"/>
      <c r="D1346" s="71"/>
      <c r="E1346" s="71"/>
      <c r="F1346" s="71"/>
      <c r="G1346" s="71"/>
      <c r="H1346" s="71"/>
      <c r="I1346" s="71"/>
      <c r="J1346" s="71"/>
      <c r="K1346" s="71"/>
      <c r="L1346" s="71"/>
      <c r="M1346" s="71"/>
      <c r="N1346" s="71"/>
      <c r="O1346" s="71"/>
      <c r="P1346" s="71"/>
      <c r="Q1346" s="71"/>
      <c r="R1346" s="71"/>
      <c r="S1346" s="71"/>
      <c r="T1346" s="71"/>
      <c r="U1346" s="71"/>
      <c r="V1346" s="71"/>
      <c r="W1346" s="71"/>
      <c r="X1346" s="71"/>
      <c r="Y1346" s="71"/>
      <c r="Z1346" s="71"/>
      <c r="AA1346" s="71"/>
      <c r="AB1346" s="71"/>
      <c r="AC1346" s="71"/>
      <c r="AD1346" s="71"/>
      <c r="AE1346" s="71"/>
      <c r="AF1346" s="71"/>
      <c r="AG1346" s="71"/>
      <c r="AH1346" s="71"/>
      <c r="AI1346" s="71"/>
      <c r="AJ1346" s="71"/>
      <c r="AK1346" s="71"/>
      <c r="AL1346" s="71"/>
      <c r="AM1346" s="71"/>
      <c r="AN1346" s="71"/>
      <c r="AO1346" s="71"/>
      <c r="AP1346" s="71"/>
      <c r="AQ1346" s="71"/>
      <c r="AR1346" s="77"/>
    </row>
    <row r="1347">
      <c r="A1347" s="71"/>
      <c r="B1347" s="71"/>
      <c r="C1347" s="71"/>
      <c r="D1347" s="71"/>
      <c r="E1347" s="71"/>
      <c r="F1347" s="71"/>
      <c r="G1347" s="71"/>
      <c r="H1347" s="71"/>
      <c r="I1347" s="71"/>
      <c r="J1347" s="71"/>
      <c r="K1347" s="71"/>
      <c r="L1347" s="71"/>
      <c r="M1347" s="71"/>
      <c r="N1347" s="71"/>
      <c r="O1347" s="71"/>
      <c r="P1347" s="71"/>
      <c r="Q1347" s="71"/>
      <c r="R1347" s="71"/>
      <c r="S1347" s="71"/>
      <c r="T1347" s="71"/>
      <c r="U1347" s="71"/>
      <c r="V1347" s="71"/>
      <c r="W1347" s="71"/>
      <c r="X1347" s="71"/>
      <c r="Y1347" s="71"/>
      <c r="Z1347" s="71"/>
      <c r="AA1347" s="71"/>
      <c r="AB1347" s="71"/>
      <c r="AC1347" s="71"/>
      <c r="AD1347" s="71"/>
      <c r="AE1347" s="71"/>
      <c r="AF1347" s="71"/>
      <c r="AG1347" s="71"/>
      <c r="AH1347" s="71"/>
      <c r="AI1347" s="71"/>
      <c r="AJ1347" s="71"/>
      <c r="AK1347" s="71"/>
      <c r="AL1347" s="71"/>
      <c r="AM1347" s="71"/>
      <c r="AN1347" s="71"/>
      <c r="AO1347" s="71"/>
      <c r="AP1347" s="71"/>
      <c r="AQ1347" s="71"/>
      <c r="AR1347" s="77"/>
    </row>
    <row r="1348">
      <c r="A1348" s="71"/>
      <c r="B1348" s="71"/>
      <c r="C1348" s="71"/>
      <c r="D1348" s="71"/>
      <c r="E1348" s="71"/>
      <c r="F1348" s="71"/>
      <c r="G1348" s="71"/>
      <c r="H1348" s="71"/>
      <c r="I1348" s="71"/>
      <c r="J1348" s="71"/>
      <c r="K1348" s="71"/>
      <c r="L1348" s="71"/>
      <c r="M1348" s="71"/>
      <c r="N1348" s="71"/>
      <c r="O1348" s="71"/>
      <c r="P1348" s="71"/>
      <c r="Q1348" s="71"/>
      <c r="R1348" s="71"/>
      <c r="S1348" s="71"/>
      <c r="T1348" s="71"/>
      <c r="U1348" s="71"/>
      <c r="V1348" s="71"/>
      <c r="W1348" s="71"/>
      <c r="X1348" s="71"/>
      <c r="Y1348" s="71"/>
      <c r="Z1348" s="71"/>
      <c r="AA1348" s="71"/>
      <c r="AB1348" s="71"/>
      <c r="AC1348" s="71"/>
      <c r="AD1348" s="71"/>
      <c r="AE1348" s="71"/>
      <c r="AF1348" s="71"/>
      <c r="AG1348" s="71"/>
      <c r="AH1348" s="71"/>
      <c r="AI1348" s="71"/>
      <c r="AJ1348" s="71"/>
      <c r="AK1348" s="71"/>
      <c r="AL1348" s="71"/>
      <c r="AM1348" s="71"/>
      <c r="AN1348" s="71"/>
      <c r="AO1348" s="71"/>
      <c r="AP1348" s="71"/>
      <c r="AQ1348" s="71"/>
      <c r="AR1348" s="77"/>
    </row>
    <row r="1349">
      <c r="A1349" s="71"/>
      <c r="B1349" s="71"/>
      <c r="C1349" s="71"/>
      <c r="D1349" s="71"/>
      <c r="E1349" s="71"/>
      <c r="F1349" s="71"/>
      <c r="G1349" s="71"/>
      <c r="H1349" s="71"/>
      <c r="I1349" s="71"/>
      <c r="J1349" s="71"/>
      <c r="K1349" s="71"/>
      <c r="L1349" s="71"/>
      <c r="M1349" s="71"/>
      <c r="N1349" s="71"/>
      <c r="O1349" s="71"/>
      <c r="P1349" s="71"/>
      <c r="Q1349" s="71"/>
      <c r="R1349" s="71"/>
      <c r="S1349" s="71"/>
      <c r="T1349" s="71"/>
      <c r="U1349" s="71"/>
      <c r="V1349" s="71"/>
      <c r="W1349" s="71"/>
      <c r="X1349" s="71"/>
      <c r="Y1349" s="71"/>
      <c r="Z1349" s="71"/>
      <c r="AA1349" s="71"/>
      <c r="AB1349" s="71"/>
      <c r="AC1349" s="71"/>
      <c r="AD1349" s="71"/>
      <c r="AE1349" s="71"/>
      <c r="AF1349" s="71"/>
      <c r="AG1349" s="71"/>
      <c r="AH1349" s="71"/>
      <c r="AI1349" s="71"/>
      <c r="AJ1349" s="71"/>
      <c r="AK1349" s="71"/>
      <c r="AL1349" s="71"/>
      <c r="AM1349" s="71"/>
      <c r="AN1349" s="71"/>
      <c r="AO1349" s="71"/>
      <c r="AP1349" s="71"/>
      <c r="AQ1349" s="71"/>
      <c r="AR1349" s="77"/>
    </row>
    <row r="1350">
      <c r="A1350" s="71"/>
      <c r="B1350" s="71"/>
      <c r="C1350" s="71"/>
      <c r="D1350" s="71"/>
      <c r="E1350" s="71"/>
      <c r="F1350" s="71"/>
      <c r="G1350" s="71"/>
      <c r="H1350" s="71"/>
      <c r="I1350" s="71"/>
      <c r="J1350" s="71"/>
      <c r="K1350" s="71"/>
      <c r="L1350" s="71"/>
      <c r="M1350" s="71"/>
      <c r="N1350" s="71"/>
      <c r="O1350" s="71"/>
      <c r="P1350" s="71"/>
      <c r="Q1350" s="71"/>
      <c r="R1350" s="71"/>
      <c r="S1350" s="71"/>
      <c r="T1350" s="71"/>
      <c r="U1350" s="71"/>
      <c r="V1350" s="71"/>
      <c r="W1350" s="71"/>
      <c r="X1350" s="71"/>
      <c r="Y1350" s="71"/>
      <c r="Z1350" s="71"/>
      <c r="AA1350" s="71"/>
      <c r="AB1350" s="71"/>
      <c r="AC1350" s="71"/>
      <c r="AD1350" s="71"/>
      <c r="AE1350" s="71"/>
      <c r="AF1350" s="71"/>
      <c r="AG1350" s="71"/>
      <c r="AH1350" s="71"/>
      <c r="AI1350" s="71"/>
      <c r="AJ1350" s="71"/>
      <c r="AK1350" s="71"/>
      <c r="AL1350" s="71"/>
      <c r="AM1350" s="71"/>
      <c r="AN1350" s="71"/>
      <c r="AO1350" s="71"/>
      <c r="AP1350" s="71"/>
      <c r="AQ1350" s="71"/>
      <c r="AR1350" s="77"/>
    </row>
    <row r="1351">
      <c r="A1351" s="71"/>
      <c r="B1351" s="71"/>
      <c r="C1351" s="71"/>
      <c r="D1351" s="71"/>
      <c r="E1351" s="71"/>
      <c r="F1351" s="71"/>
      <c r="G1351" s="71"/>
      <c r="H1351" s="71"/>
      <c r="I1351" s="71"/>
      <c r="J1351" s="71"/>
      <c r="K1351" s="71"/>
      <c r="L1351" s="71"/>
      <c r="M1351" s="71"/>
      <c r="N1351" s="71"/>
      <c r="O1351" s="71"/>
      <c r="P1351" s="71"/>
      <c r="Q1351" s="71"/>
      <c r="R1351" s="71"/>
      <c r="S1351" s="71"/>
      <c r="T1351" s="71"/>
      <c r="U1351" s="71"/>
      <c r="V1351" s="71"/>
      <c r="W1351" s="71"/>
      <c r="X1351" s="71"/>
      <c r="Y1351" s="71"/>
      <c r="Z1351" s="71"/>
      <c r="AA1351" s="71"/>
      <c r="AB1351" s="71"/>
      <c r="AC1351" s="71"/>
      <c r="AD1351" s="71"/>
      <c r="AE1351" s="71"/>
      <c r="AF1351" s="71"/>
      <c r="AG1351" s="71"/>
      <c r="AH1351" s="71"/>
      <c r="AI1351" s="71"/>
      <c r="AJ1351" s="71"/>
      <c r="AK1351" s="71"/>
      <c r="AL1351" s="71"/>
      <c r="AM1351" s="71"/>
      <c r="AN1351" s="71"/>
      <c r="AO1351" s="71"/>
      <c r="AP1351" s="71"/>
      <c r="AQ1351" s="71"/>
      <c r="AR1351" s="77"/>
    </row>
    <row r="1352">
      <c r="A1352" s="71"/>
      <c r="B1352" s="71"/>
      <c r="C1352" s="71"/>
      <c r="D1352" s="71"/>
      <c r="E1352" s="71"/>
      <c r="F1352" s="71"/>
      <c r="G1352" s="71"/>
      <c r="H1352" s="71"/>
      <c r="I1352" s="71"/>
      <c r="J1352" s="71"/>
      <c r="K1352" s="71"/>
      <c r="L1352" s="71"/>
      <c r="M1352" s="71"/>
      <c r="N1352" s="71"/>
      <c r="O1352" s="71"/>
      <c r="P1352" s="71"/>
      <c r="Q1352" s="71"/>
      <c r="R1352" s="71"/>
      <c r="S1352" s="71"/>
      <c r="T1352" s="71"/>
      <c r="U1352" s="71"/>
      <c r="V1352" s="71"/>
      <c r="W1352" s="71"/>
      <c r="X1352" s="71"/>
      <c r="Y1352" s="71"/>
      <c r="Z1352" s="71"/>
      <c r="AA1352" s="71"/>
      <c r="AB1352" s="71"/>
      <c r="AC1352" s="71"/>
      <c r="AD1352" s="71"/>
      <c r="AE1352" s="71"/>
      <c r="AF1352" s="71"/>
      <c r="AG1352" s="71"/>
      <c r="AH1352" s="71"/>
      <c r="AI1352" s="71"/>
      <c r="AJ1352" s="71"/>
      <c r="AK1352" s="71"/>
      <c r="AL1352" s="71"/>
      <c r="AM1352" s="71"/>
      <c r="AN1352" s="71"/>
      <c r="AO1352" s="71"/>
      <c r="AP1352" s="71"/>
      <c r="AQ1352" s="71"/>
      <c r="AR1352" s="77"/>
    </row>
    <row r="1353">
      <c r="A1353" s="71"/>
      <c r="B1353" s="71"/>
      <c r="C1353" s="71"/>
      <c r="D1353" s="71"/>
      <c r="E1353" s="71"/>
      <c r="F1353" s="71"/>
      <c r="G1353" s="71"/>
      <c r="H1353" s="71"/>
      <c r="I1353" s="71"/>
      <c r="J1353" s="71"/>
      <c r="K1353" s="71"/>
      <c r="L1353" s="71"/>
      <c r="M1353" s="71"/>
      <c r="N1353" s="71"/>
      <c r="O1353" s="71"/>
      <c r="P1353" s="71"/>
      <c r="Q1353" s="71"/>
      <c r="R1353" s="71"/>
      <c r="S1353" s="71"/>
      <c r="T1353" s="71"/>
      <c r="U1353" s="71"/>
      <c r="V1353" s="71"/>
      <c r="W1353" s="71"/>
      <c r="X1353" s="71"/>
      <c r="Y1353" s="71"/>
      <c r="Z1353" s="71"/>
      <c r="AA1353" s="71"/>
      <c r="AB1353" s="71"/>
      <c r="AC1353" s="71"/>
      <c r="AD1353" s="71"/>
      <c r="AE1353" s="71"/>
      <c r="AF1353" s="71"/>
      <c r="AG1353" s="71"/>
      <c r="AH1353" s="71"/>
      <c r="AI1353" s="71"/>
      <c r="AJ1353" s="71"/>
      <c r="AK1353" s="71"/>
      <c r="AL1353" s="71"/>
      <c r="AM1353" s="71"/>
      <c r="AN1353" s="71"/>
      <c r="AO1353" s="71"/>
      <c r="AP1353" s="71"/>
      <c r="AQ1353" s="71"/>
      <c r="AR1353" s="77"/>
    </row>
    <row r="1354">
      <c r="A1354" s="71"/>
      <c r="B1354" s="71"/>
      <c r="C1354" s="71"/>
      <c r="D1354" s="71"/>
      <c r="E1354" s="71"/>
      <c r="F1354" s="71"/>
      <c r="G1354" s="71"/>
      <c r="H1354" s="71"/>
      <c r="I1354" s="71"/>
      <c r="J1354" s="71"/>
      <c r="K1354" s="71"/>
      <c r="L1354" s="71"/>
      <c r="M1354" s="71"/>
      <c r="N1354" s="71"/>
      <c r="O1354" s="71"/>
      <c r="P1354" s="71"/>
      <c r="Q1354" s="71"/>
      <c r="R1354" s="71"/>
      <c r="S1354" s="71"/>
      <c r="T1354" s="71"/>
      <c r="U1354" s="71"/>
      <c r="V1354" s="71"/>
      <c r="W1354" s="71"/>
      <c r="X1354" s="71"/>
      <c r="Y1354" s="71"/>
      <c r="Z1354" s="71"/>
      <c r="AA1354" s="71"/>
      <c r="AB1354" s="71"/>
      <c r="AC1354" s="71"/>
      <c r="AD1354" s="71"/>
      <c r="AE1354" s="71"/>
      <c r="AF1354" s="71"/>
      <c r="AG1354" s="71"/>
      <c r="AH1354" s="71"/>
      <c r="AI1354" s="71"/>
      <c r="AJ1354" s="71"/>
      <c r="AK1354" s="71"/>
      <c r="AL1354" s="71"/>
      <c r="AM1354" s="71"/>
      <c r="AN1354" s="71"/>
      <c r="AO1354" s="71"/>
      <c r="AP1354" s="71"/>
      <c r="AQ1354" s="71"/>
      <c r="AR1354" s="77"/>
    </row>
    <row r="1355">
      <c r="A1355" s="71"/>
      <c r="B1355" s="71"/>
      <c r="C1355" s="71"/>
      <c r="D1355" s="71"/>
      <c r="E1355" s="71"/>
      <c r="F1355" s="71"/>
      <c r="G1355" s="71"/>
      <c r="H1355" s="71"/>
      <c r="I1355" s="71"/>
      <c r="J1355" s="71"/>
      <c r="K1355" s="71"/>
      <c r="L1355" s="71"/>
      <c r="M1355" s="71"/>
      <c r="N1355" s="71"/>
      <c r="O1355" s="71"/>
      <c r="P1355" s="71"/>
      <c r="Q1355" s="71"/>
      <c r="R1355" s="71"/>
      <c r="S1355" s="71"/>
      <c r="T1355" s="71"/>
      <c r="U1355" s="71"/>
      <c r="V1355" s="71"/>
      <c r="W1355" s="71"/>
      <c r="X1355" s="71"/>
      <c r="Y1355" s="71"/>
      <c r="Z1355" s="71"/>
      <c r="AA1355" s="71"/>
      <c r="AB1355" s="71"/>
      <c r="AC1355" s="71"/>
      <c r="AD1355" s="71"/>
      <c r="AE1355" s="71"/>
      <c r="AF1355" s="71"/>
      <c r="AG1355" s="71"/>
      <c r="AH1355" s="71"/>
      <c r="AI1355" s="71"/>
      <c r="AJ1355" s="71"/>
      <c r="AK1355" s="71"/>
      <c r="AL1355" s="71"/>
      <c r="AM1355" s="71"/>
      <c r="AN1355" s="71"/>
      <c r="AO1355" s="71"/>
      <c r="AP1355" s="71"/>
      <c r="AQ1355" s="71"/>
      <c r="AR1355" s="77"/>
    </row>
    <row r="1356">
      <c r="A1356" s="71"/>
      <c r="B1356" s="71"/>
      <c r="C1356" s="71"/>
      <c r="D1356" s="71"/>
      <c r="E1356" s="71"/>
      <c r="F1356" s="71"/>
      <c r="G1356" s="71"/>
      <c r="H1356" s="71"/>
      <c r="I1356" s="71"/>
      <c r="J1356" s="71"/>
      <c r="K1356" s="71"/>
      <c r="L1356" s="71"/>
      <c r="M1356" s="71"/>
      <c r="N1356" s="71"/>
      <c r="O1356" s="71"/>
      <c r="P1356" s="71"/>
      <c r="Q1356" s="71"/>
      <c r="R1356" s="71"/>
      <c r="S1356" s="71"/>
      <c r="T1356" s="71"/>
      <c r="U1356" s="71"/>
      <c r="V1356" s="71"/>
      <c r="W1356" s="71"/>
      <c r="X1356" s="71"/>
      <c r="Y1356" s="71"/>
      <c r="Z1356" s="71"/>
      <c r="AA1356" s="71"/>
      <c r="AB1356" s="71"/>
      <c r="AC1356" s="71"/>
      <c r="AD1356" s="71"/>
      <c r="AE1356" s="71"/>
      <c r="AF1356" s="71"/>
      <c r="AG1356" s="71"/>
      <c r="AH1356" s="71"/>
      <c r="AI1356" s="71"/>
      <c r="AJ1356" s="71"/>
      <c r="AK1356" s="71"/>
      <c r="AL1356" s="71"/>
      <c r="AM1356" s="71"/>
      <c r="AN1356" s="71"/>
      <c r="AO1356" s="71"/>
      <c r="AP1356" s="71"/>
      <c r="AQ1356" s="71"/>
      <c r="AR1356" s="77"/>
    </row>
    <row r="1357">
      <c r="A1357" s="71"/>
      <c r="B1357" s="71"/>
      <c r="C1357" s="71"/>
      <c r="D1357" s="71"/>
      <c r="E1357" s="71"/>
      <c r="F1357" s="71"/>
      <c r="G1357" s="71"/>
      <c r="H1357" s="71"/>
      <c r="I1357" s="71"/>
      <c r="J1357" s="71"/>
      <c r="K1357" s="71"/>
      <c r="L1357" s="71"/>
      <c r="M1357" s="71"/>
      <c r="N1357" s="71"/>
      <c r="O1357" s="71"/>
      <c r="P1357" s="71"/>
      <c r="Q1357" s="71"/>
      <c r="R1357" s="71"/>
      <c r="S1357" s="71"/>
      <c r="T1357" s="71"/>
      <c r="U1357" s="71"/>
      <c r="V1357" s="71"/>
      <c r="W1357" s="71"/>
      <c r="X1357" s="71"/>
      <c r="Y1357" s="71"/>
      <c r="Z1357" s="71"/>
      <c r="AA1357" s="71"/>
      <c r="AB1357" s="71"/>
      <c r="AC1357" s="71"/>
      <c r="AD1357" s="71"/>
      <c r="AE1357" s="71"/>
      <c r="AF1357" s="71"/>
      <c r="AG1357" s="71"/>
      <c r="AH1357" s="71"/>
      <c r="AI1357" s="71"/>
      <c r="AJ1357" s="71"/>
      <c r="AK1357" s="71"/>
      <c r="AL1357" s="71"/>
      <c r="AM1357" s="71"/>
      <c r="AN1357" s="71"/>
      <c r="AO1357" s="71"/>
      <c r="AP1357" s="71"/>
      <c r="AQ1357" s="71"/>
      <c r="AR1357" s="77"/>
    </row>
    <row r="1358">
      <c r="A1358" s="71"/>
      <c r="B1358" s="71"/>
      <c r="C1358" s="71"/>
      <c r="D1358" s="71"/>
      <c r="E1358" s="71"/>
      <c r="F1358" s="71"/>
      <c r="G1358" s="71"/>
      <c r="H1358" s="71"/>
      <c r="I1358" s="71"/>
      <c r="J1358" s="71"/>
      <c r="K1358" s="71"/>
      <c r="L1358" s="71"/>
      <c r="M1358" s="71"/>
      <c r="N1358" s="71"/>
      <c r="O1358" s="71"/>
      <c r="P1358" s="71"/>
      <c r="Q1358" s="71"/>
      <c r="R1358" s="71"/>
      <c r="S1358" s="71"/>
      <c r="T1358" s="71"/>
      <c r="U1358" s="71"/>
      <c r="V1358" s="71"/>
      <c r="W1358" s="71"/>
      <c r="X1358" s="71"/>
      <c r="Y1358" s="71"/>
      <c r="Z1358" s="71"/>
      <c r="AA1358" s="71"/>
      <c r="AB1358" s="71"/>
      <c r="AC1358" s="71"/>
      <c r="AD1358" s="71"/>
      <c r="AE1358" s="71"/>
      <c r="AF1358" s="71"/>
      <c r="AG1358" s="71"/>
      <c r="AH1358" s="71"/>
      <c r="AI1358" s="71"/>
      <c r="AJ1358" s="71"/>
      <c r="AK1358" s="71"/>
      <c r="AL1358" s="71"/>
      <c r="AM1358" s="71"/>
      <c r="AN1358" s="71"/>
      <c r="AO1358" s="71"/>
      <c r="AP1358" s="71"/>
      <c r="AQ1358" s="71"/>
      <c r="AR1358" s="77"/>
    </row>
    <row r="1359">
      <c r="A1359" s="71"/>
      <c r="B1359" s="71"/>
      <c r="C1359" s="71"/>
      <c r="D1359" s="71"/>
      <c r="E1359" s="71"/>
      <c r="F1359" s="71"/>
      <c r="G1359" s="71"/>
      <c r="H1359" s="71"/>
      <c r="I1359" s="71"/>
      <c r="J1359" s="71"/>
      <c r="K1359" s="71"/>
      <c r="L1359" s="71"/>
      <c r="M1359" s="71"/>
      <c r="N1359" s="71"/>
      <c r="O1359" s="71"/>
      <c r="P1359" s="71"/>
      <c r="Q1359" s="71"/>
      <c r="R1359" s="71"/>
      <c r="S1359" s="71"/>
      <c r="T1359" s="71"/>
      <c r="U1359" s="71"/>
      <c r="V1359" s="71"/>
      <c r="W1359" s="71"/>
      <c r="X1359" s="71"/>
      <c r="Y1359" s="71"/>
      <c r="Z1359" s="71"/>
      <c r="AA1359" s="71"/>
      <c r="AB1359" s="71"/>
      <c r="AC1359" s="71"/>
      <c r="AD1359" s="71"/>
      <c r="AE1359" s="71"/>
      <c r="AF1359" s="71"/>
      <c r="AG1359" s="71"/>
      <c r="AH1359" s="71"/>
      <c r="AI1359" s="71"/>
      <c r="AJ1359" s="71"/>
      <c r="AK1359" s="71"/>
      <c r="AL1359" s="71"/>
      <c r="AM1359" s="71"/>
      <c r="AN1359" s="71"/>
      <c r="AO1359" s="71"/>
      <c r="AP1359" s="71"/>
      <c r="AQ1359" s="71"/>
      <c r="AR1359" s="77"/>
    </row>
    <row r="1360">
      <c r="A1360" s="71"/>
      <c r="B1360" s="71"/>
      <c r="C1360" s="71"/>
      <c r="D1360" s="71"/>
      <c r="E1360" s="71"/>
      <c r="F1360" s="71"/>
      <c r="G1360" s="71"/>
      <c r="H1360" s="71"/>
      <c r="I1360" s="71"/>
      <c r="J1360" s="71"/>
      <c r="K1360" s="71"/>
      <c r="L1360" s="71"/>
      <c r="M1360" s="71"/>
      <c r="N1360" s="71"/>
      <c r="O1360" s="71"/>
      <c r="P1360" s="71"/>
      <c r="Q1360" s="71"/>
      <c r="R1360" s="71"/>
      <c r="S1360" s="71"/>
      <c r="T1360" s="71"/>
      <c r="U1360" s="71"/>
      <c r="V1360" s="71"/>
      <c r="W1360" s="71"/>
      <c r="X1360" s="71"/>
      <c r="Y1360" s="71"/>
      <c r="Z1360" s="71"/>
      <c r="AA1360" s="71"/>
      <c r="AB1360" s="71"/>
      <c r="AC1360" s="71"/>
      <c r="AD1360" s="71"/>
      <c r="AE1360" s="71"/>
      <c r="AF1360" s="71"/>
      <c r="AG1360" s="71"/>
      <c r="AH1360" s="71"/>
      <c r="AI1360" s="71"/>
      <c r="AJ1360" s="71"/>
      <c r="AK1360" s="71"/>
      <c r="AL1360" s="71"/>
      <c r="AM1360" s="71"/>
      <c r="AN1360" s="71"/>
      <c r="AO1360" s="71"/>
      <c r="AP1360" s="71"/>
      <c r="AQ1360" s="71"/>
      <c r="AR1360" s="77"/>
    </row>
    <row r="1361">
      <c r="A1361" s="71"/>
      <c r="B1361" s="71"/>
      <c r="C1361" s="71"/>
      <c r="D1361" s="71"/>
      <c r="E1361" s="71"/>
      <c r="F1361" s="71"/>
      <c r="G1361" s="71"/>
      <c r="H1361" s="71"/>
      <c r="I1361" s="71"/>
      <c r="J1361" s="71"/>
      <c r="K1361" s="71"/>
      <c r="L1361" s="71"/>
      <c r="M1361" s="71"/>
      <c r="N1361" s="71"/>
      <c r="O1361" s="71"/>
      <c r="P1361" s="71"/>
      <c r="Q1361" s="71"/>
      <c r="R1361" s="71"/>
      <c r="S1361" s="71"/>
      <c r="T1361" s="71"/>
      <c r="U1361" s="71"/>
      <c r="V1361" s="71"/>
      <c r="W1361" s="71"/>
      <c r="X1361" s="71"/>
      <c r="Y1361" s="71"/>
      <c r="Z1361" s="71"/>
      <c r="AA1361" s="71"/>
      <c r="AB1361" s="71"/>
      <c r="AC1361" s="71"/>
      <c r="AD1361" s="71"/>
      <c r="AE1361" s="71"/>
      <c r="AF1361" s="71"/>
      <c r="AG1361" s="71"/>
      <c r="AH1361" s="71"/>
      <c r="AI1361" s="71"/>
      <c r="AJ1361" s="71"/>
      <c r="AK1361" s="71"/>
      <c r="AL1361" s="71"/>
      <c r="AM1361" s="71"/>
      <c r="AN1361" s="71"/>
      <c r="AO1361" s="71"/>
      <c r="AP1361" s="71"/>
      <c r="AQ1361" s="71"/>
      <c r="AR1361" s="77"/>
    </row>
    <row r="1362">
      <c r="A1362" s="71"/>
      <c r="B1362" s="71"/>
      <c r="C1362" s="71"/>
      <c r="D1362" s="71"/>
      <c r="E1362" s="71"/>
      <c r="F1362" s="71"/>
      <c r="G1362" s="71"/>
      <c r="H1362" s="71"/>
      <c r="I1362" s="71"/>
      <c r="J1362" s="71"/>
      <c r="K1362" s="71"/>
      <c r="L1362" s="71"/>
      <c r="M1362" s="71"/>
      <c r="N1362" s="71"/>
      <c r="O1362" s="71"/>
      <c r="P1362" s="71"/>
      <c r="Q1362" s="71"/>
      <c r="R1362" s="71"/>
      <c r="S1362" s="71"/>
      <c r="T1362" s="71"/>
      <c r="U1362" s="71"/>
      <c r="V1362" s="71"/>
      <c r="W1362" s="71"/>
      <c r="X1362" s="71"/>
      <c r="Y1362" s="71"/>
      <c r="Z1362" s="71"/>
      <c r="AA1362" s="71"/>
      <c r="AB1362" s="71"/>
      <c r="AC1362" s="71"/>
      <c r="AD1362" s="71"/>
      <c r="AE1362" s="71"/>
      <c r="AF1362" s="71"/>
      <c r="AG1362" s="71"/>
      <c r="AH1362" s="71"/>
      <c r="AI1362" s="71"/>
      <c r="AJ1362" s="71"/>
      <c r="AK1362" s="71"/>
      <c r="AL1362" s="71"/>
      <c r="AM1362" s="71"/>
      <c r="AN1362" s="71"/>
      <c r="AO1362" s="71"/>
      <c r="AP1362" s="71"/>
      <c r="AQ1362" s="71"/>
      <c r="AR1362" s="77"/>
    </row>
    <row r="1363">
      <c r="A1363" s="71"/>
      <c r="B1363" s="71"/>
      <c r="C1363" s="71"/>
      <c r="D1363" s="71"/>
      <c r="E1363" s="71"/>
      <c r="F1363" s="71"/>
      <c r="G1363" s="71"/>
      <c r="H1363" s="71"/>
      <c r="I1363" s="71"/>
      <c r="J1363" s="71"/>
      <c r="K1363" s="71"/>
      <c r="L1363" s="71"/>
      <c r="M1363" s="71"/>
      <c r="N1363" s="71"/>
      <c r="O1363" s="71"/>
      <c r="P1363" s="71"/>
      <c r="Q1363" s="71"/>
      <c r="R1363" s="71"/>
      <c r="S1363" s="71"/>
      <c r="T1363" s="71"/>
      <c r="U1363" s="71"/>
      <c r="V1363" s="71"/>
      <c r="W1363" s="71"/>
      <c r="X1363" s="71"/>
      <c r="Y1363" s="71"/>
      <c r="Z1363" s="71"/>
      <c r="AA1363" s="71"/>
      <c r="AB1363" s="71"/>
      <c r="AC1363" s="71"/>
      <c r="AD1363" s="71"/>
      <c r="AE1363" s="71"/>
      <c r="AF1363" s="71"/>
      <c r="AG1363" s="71"/>
      <c r="AH1363" s="71"/>
      <c r="AI1363" s="71"/>
      <c r="AJ1363" s="71"/>
      <c r="AK1363" s="71"/>
      <c r="AL1363" s="71"/>
      <c r="AM1363" s="71"/>
      <c r="AN1363" s="71"/>
      <c r="AO1363" s="71"/>
      <c r="AP1363" s="71"/>
      <c r="AQ1363" s="71"/>
      <c r="AR1363" s="77"/>
    </row>
    <row r="1364">
      <c r="A1364" s="71"/>
      <c r="B1364" s="71"/>
      <c r="C1364" s="71"/>
      <c r="D1364" s="71"/>
      <c r="E1364" s="71"/>
      <c r="F1364" s="71"/>
      <c r="G1364" s="71"/>
      <c r="H1364" s="71"/>
      <c r="I1364" s="71"/>
      <c r="J1364" s="71"/>
      <c r="K1364" s="71"/>
      <c r="L1364" s="71"/>
      <c r="M1364" s="71"/>
      <c r="N1364" s="71"/>
      <c r="O1364" s="71"/>
      <c r="P1364" s="71"/>
      <c r="Q1364" s="71"/>
      <c r="R1364" s="71"/>
      <c r="S1364" s="71"/>
      <c r="T1364" s="71"/>
      <c r="U1364" s="71"/>
      <c r="V1364" s="71"/>
      <c r="W1364" s="71"/>
      <c r="X1364" s="71"/>
      <c r="Y1364" s="71"/>
      <c r="Z1364" s="71"/>
      <c r="AA1364" s="71"/>
      <c r="AB1364" s="71"/>
      <c r="AC1364" s="71"/>
      <c r="AD1364" s="71"/>
      <c r="AE1364" s="71"/>
      <c r="AF1364" s="71"/>
      <c r="AG1364" s="71"/>
      <c r="AH1364" s="71"/>
      <c r="AI1364" s="71"/>
      <c r="AJ1364" s="71"/>
      <c r="AK1364" s="71"/>
      <c r="AL1364" s="71"/>
      <c r="AM1364" s="71"/>
      <c r="AN1364" s="71"/>
      <c r="AO1364" s="71"/>
      <c r="AP1364" s="71"/>
      <c r="AQ1364" s="71"/>
      <c r="AR1364" s="77"/>
    </row>
    <row r="1365">
      <c r="A1365" s="71"/>
      <c r="B1365" s="71"/>
      <c r="C1365" s="71"/>
      <c r="D1365" s="71"/>
      <c r="E1365" s="71"/>
      <c r="F1365" s="71"/>
      <c r="G1365" s="71"/>
      <c r="H1365" s="71"/>
      <c r="I1365" s="71"/>
      <c r="J1365" s="71"/>
      <c r="K1365" s="71"/>
      <c r="L1365" s="71"/>
      <c r="M1365" s="71"/>
      <c r="N1365" s="71"/>
      <c r="O1365" s="71"/>
      <c r="P1365" s="71"/>
      <c r="Q1365" s="71"/>
      <c r="R1365" s="71"/>
      <c r="S1365" s="71"/>
      <c r="T1365" s="71"/>
      <c r="U1365" s="71"/>
      <c r="V1365" s="71"/>
      <c r="W1365" s="71"/>
      <c r="X1365" s="71"/>
      <c r="Y1365" s="71"/>
      <c r="Z1365" s="71"/>
      <c r="AA1365" s="71"/>
      <c r="AB1365" s="71"/>
      <c r="AC1365" s="71"/>
      <c r="AD1365" s="71"/>
      <c r="AE1365" s="71"/>
      <c r="AF1365" s="71"/>
      <c r="AG1365" s="71"/>
      <c r="AH1365" s="71"/>
      <c r="AI1365" s="71"/>
      <c r="AJ1365" s="71"/>
      <c r="AK1365" s="71"/>
      <c r="AL1365" s="71"/>
      <c r="AM1365" s="71"/>
      <c r="AN1365" s="71"/>
      <c r="AO1365" s="71"/>
      <c r="AP1365" s="71"/>
      <c r="AQ1365" s="71"/>
      <c r="AR1365" s="77"/>
    </row>
    <row r="1366">
      <c r="A1366" s="71"/>
      <c r="B1366" s="71"/>
      <c r="C1366" s="71"/>
      <c r="D1366" s="71"/>
      <c r="E1366" s="71"/>
      <c r="F1366" s="71"/>
      <c r="G1366" s="71"/>
      <c r="H1366" s="71"/>
      <c r="I1366" s="71"/>
      <c r="J1366" s="71"/>
      <c r="K1366" s="71"/>
      <c r="L1366" s="71"/>
      <c r="M1366" s="71"/>
      <c r="N1366" s="71"/>
      <c r="O1366" s="71"/>
      <c r="P1366" s="71"/>
      <c r="Q1366" s="71"/>
      <c r="R1366" s="71"/>
      <c r="S1366" s="71"/>
      <c r="T1366" s="71"/>
      <c r="U1366" s="71"/>
      <c r="V1366" s="71"/>
      <c r="W1366" s="71"/>
      <c r="X1366" s="71"/>
      <c r="Y1366" s="71"/>
      <c r="Z1366" s="71"/>
      <c r="AA1366" s="71"/>
      <c r="AB1366" s="71"/>
      <c r="AC1366" s="71"/>
      <c r="AD1366" s="71"/>
      <c r="AE1366" s="71"/>
      <c r="AF1366" s="71"/>
      <c r="AG1366" s="71"/>
      <c r="AH1366" s="71"/>
      <c r="AI1366" s="71"/>
      <c r="AJ1366" s="71"/>
      <c r="AK1366" s="71"/>
      <c r="AL1366" s="71"/>
      <c r="AM1366" s="71"/>
      <c r="AN1366" s="71"/>
      <c r="AO1366" s="71"/>
      <c r="AP1366" s="71"/>
      <c r="AQ1366" s="71"/>
      <c r="AR1366" s="77"/>
    </row>
    <row r="1367">
      <c r="A1367" s="71"/>
      <c r="B1367" s="71"/>
      <c r="C1367" s="71"/>
      <c r="D1367" s="71"/>
      <c r="E1367" s="71"/>
      <c r="F1367" s="71"/>
      <c r="G1367" s="71"/>
      <c r="H1367" s="71"/>
      <c r="I1367" s="71"/>
      <c r="J1367" s="71"/>
      <c r="K1367" s="71"/>
      <c r="L1367" s="71"/>
      <c r="M1367" s="71"/>
      <c r="N1367" s="71"/>
      <c r="O1367" s="71"/>
      <c r="P1367" s="71"/>
      <c r="Q1367" s="71"/>
      <c r="R1367" s="71"/>
      <c r="S1367" s="71"/>
      <c r="T1367" s="71"/>
      <c r="U1367" s="71"/>
      <c r="V1367" s="71"/>
      <c r="W1367" s="71"/>
      <c r="X1367" s="71"/>
      <c r="Y1367" s="71"/>
      <c r="Z1367" s="71"/>
      <c r="AA1367" s="71"/>
      <c r="AB1367" s="71"/>
      <c r="AC1367" s="71"/>
      <c r="AD1367" s="71"/>
      <c r="AE1367" s="71"/>
      <c r="AF1367" s="71"/>
      <c r="AG1367" s="71"/>
      <c r="AH1367" s="71"/>
      <c r="AI1367" s="71"/>
      <c r="AJ1367" s="71"/>
      <c r="AK1367" s="71"/>
      <c r="AL1367" s="71"/>
      <c r="AM1367" s="71"/>
      <c r="AN1367" s="71"/>
      <c r="AO1367" s="71"/>
      <c r="AP1367" s="71"/>
      <c r="AQ1367" s="71"/>
      <c r="AR1367" s="77"/>
    </row>
    <row r="1368">
      <c r="A1368" s="71"/>
      <c r="B1368" s="71"/>
      <c r="C1368" s="71"/>
      <c r="D1368" s="71"/>
      <c r="E1368" s="71"/>
      <c r="F1368" s="71"/>
      <c r="G1368" s="71"/>
      <c r="H1368" s="71"/>
      <c r="I1368" s="71"/>
      <c r="J1368" s="71"/>
      <c r="K1368" s="71"/>
      <c r="L1368" s="71"/>
      <c r="M1368" s="71"/>
      <c r="N1368" s="71"/>
      <c r="O1368" s="71"/>
      <c r="P1368" s="71"/>
      <c r="Q1368" s="71"/>
      <c r="R1368" s="71"/>
      <c r="S1368" s="71"/>
      <c r="T1368" s="71"/>
      <c r="U1368" s="71"/>
      <c r="V1368" s="71"/>
      <c r="W1368" s="71"/>
      <c r="X1368" s="71"/>
      <c r="Y1368" s="71"/>
      <c r="Z1368" s="71"/>
      <c r="AA1368" s="71"/>
      <c r="AB1368" s="71"/>
      <c r="AC1368" s="71"/>
      <c r="AD1368" s="71"/>
      <c r="AE1368" s="71"/>
      <c r="AF1368" s="71"/>
      <c r="AG1368" s="71"/>
      <c r="AH1368" s="71"/>
      <c r="AI1368" s="71"/>
      <c r="AJ1368" s="71"/>
      <c r="AK1368" s="71"/>
      <c r="AL1368" s="71"/>
      <c r="AM1368" s="71"/>
      <c r="AN1368" s="71"/>
      <c r="AO1368" s="71"/>
      <c r="AP1368" s="71"/>
      <c r="AQ1368" s="71"/>
      <c r="AR1368" s="77"/>
    </row>
    <row r="1369">
      <c r="A1369" s="71"/>
      <c r="B1369" s="71"/>
      <c r="C1369" s="71"/>
      <c r="D1369" s="71"/>
      <c r="E1369" s="71"/>
      <c r="F1369" s="71"/>
      <c r="G1369" s="71"/>
      <c r="H1369" s="71"/>
      <c r="I1369" s="71"/>
      <c r="J1369" s="71"/>
      <c r="K1369" s="71"/>
      <c r="L1369" s="71"/>
      <c r="M1369" s="71"/>
      <c r="N1369" s="71"/>
      <c r="O1369" s="71"/>
      <c r="P1369" s="71"/>
      <c r="Q1369" s="71"/>
      <c r="R1369" s="71"/>
      <c r="S1369" s="71"/>
      <c r="T1369" s="71"/>
      <c r="U1369" s="71"/>
      <c r="V1369" s="71"/>
      <c r="W1369" s="71"/>
      <c r="X1369" s="71"/>
      <c r="Y1369" s="71"/>
      <c r="Z1369" s="71"/>
      <c r="AA1369" s="71"/>
      <c r="AB1369" s="71"/>
      <c r="AC1369" s="71"/>
      <c r="AD1369" s="71"/>
      <c r="AE1369" s="71"/>
      <c r="AF1369" s="71"/>
      <c r="AG1369" s="71"/>
      <c r="AH1369" s="71"/>
      <c r="AI1369" s="71"/>
      <c r="AJ1369" s="71"/>
      <c r="AK1369" s="71"/>
      <c r="AL1369" s="71"/>
      <c r="AM1369" s="71"/>
      <c r="AN1369" s="71"/>
      <c r="AO1369" s="71"/>
      <c r="AP1369" s="71"/>
      <c r="AQ1369" s="71"/>
      <c r="AR1369" s="77"/>
    </row>
    <row r="1370">
      <c r="A1370" s="71"/>
      <c r="B1370" s="71"/>
      <c r="C1370" s="71"/>
      <c r="D1370" s="71"/>
      <c r="E1370" s="71"/>
      <c r="F1370" s="71"/>
      <c r="G1370" s="71"/>
      <c r="H1370" s="71"/>
      <c r="I1370" s="71"/>
      <c r="J1370" s="71"/>
      <c r="K1370" s="71"/>
      <c r="L1370" s="71"/>
      <c r="M1370" s="71"/>
      <c r="N1370" s="71"/>
      <c r="O1370" s="71"/>
      <c r="P1370" s="71"/>
      <c r="Q1370" s="71"/>
      <c r="R1370" s="71"/>
      <c r="S1370" s="71"/>
      <c r="T1370" s="71"/>
      <c r="U1370" s="71"/>
      <c r="V1370" s="71"/>
      <c r="W1370" s="71"/>
      <c r="X1370" s="71"/>
      <c r="Y1370" s="71"/>
      <c r="Z1370" s="71"/>
      <c r="AA1370" s="71"/>
      <c r="AB1370" s="71"/>
      <c r="AC1370" s="71"/>
      <c r="AD1370" s="71"/>
      <c r="AE1370" s="71"/>
      <c r="AF1370" s="71"/>
      <c r="AG1370" s="71"/>
      <c r="AH1370" s="71"/>
      <c r="AI1370" s="71"/>
      <c r="AJ1370" s="71"/>
      <c r="AK1370" s="71"/>
      <c r="AL1370" s="71"/>
      <c r="AM1370" s="71"/>
      <c r="AN1370" s="71"/>
      <c r="AO1370" s="71"/>
      <c r="AP1370" s="71"/>
      <c r="AQ1370" s="71"/>
      <c r="AR1370" s="77"/>
    </row>
    <row r="1371">
      <c r="A1371" s="71"/>
      <c r="B1371" s="71"/>
      <c r="C1371" s="71"/>
      <c r="D1371" s="71"/>
      <c r="E1371" s="71"/>
      <c r="F1371" s="71"/>
      <c r="G1371" s="71"/>
      <c r="H1371" s="71"/>
      <c r="I1371" s="71"/>
      <c r="J1371" s="71"/>
      <c r="K1371" s="71"/>
      <c r="L1371" s="71"/>
      <c r="M1371" s="71"/>
      <c r="N1371" s="71"/>
      <c r="O1371" s="71"/>
      <c r="P1371" s="71"/>
      <c r="Q1371" s="71"/>
      <c r="R1371" s="71"/>
      <c r="S1371" s="71"/>
      <c r="T1371" s="71"/>
      <c r="U1371" s="71"/>
      <c r="V1371" s="71"/>
      <c r="W1371" s="71"/>
      <c r="X1371" s="71"/>
      <c r="Y1371" s="71"/>
      <c r="Z1371" s="71"/>
      <c r="AA1371" s="71"/>
      <c r="AB1371" s="71"/>
      <c r="AC1371" s="71"/>
      <c r="AD1371" s="71"/>
      <c r="AE1371" s="71"/>
      <c r="AF1371" s="71"/>
      <c r="AG1371" s="71"/>
      <c r="AH1371" s="71"/>
      <c r="AI1371" s="71"/>
      <c r="AJ1371" s="71"/>
      <c r="AK1371" s="71"/>
      <c r="AL1371" s="71"/>
      <c r="AM1371" s="71"/>
      <c r="AN1371" s="71"/>
      <c r="AO1371" s="71"/>
      <c r="AP1371" s="71"/>
      <c r="AQ1371" s="71"/>
      <c r="AR1371" s="77"/>
    </row>
    <row r="1372">
      <c r="A1372" s="71"/>
      <c r="B1372" s="71"/>
      <c r="C1372" s="71"/>
      <c r="D1372" s="71"/>
      <c r="E1372" s="71"/>
      <c r="F1372" s="71"/>
      <c r="G1372" s="71"/>
      <c r="H1372" s="71"/>
      <c r="I1372" s="71"/>
      <c r="J1372" s="71"/>
      <c r="K1372" s="71"/>
      <c r="L1372" s="71"/>
      <c r="M1372" s="71"/>
      <c r="N1372" s="71"/>
      <c r="O1372" s="71"/>
      <c r="P1372" s="71"/>
      <c r="Q1372" s="71"/>
      <c r="R1372" s="71"/>
      <c r="S1372" s="71"/>
      <c r="T1372" s="71"/>
      <c r="U1372" s="71"/>
      <c r="V1372" s="71"/>
      <c r="W1372" s="71"/>
      <c r="X1372" s="71"/>
      <c r="Y1372" s="71"/>
      <c r="Z1372" s="71"/>
      <c r="AA1372" s="71"/>
      <c r="AB1372" s="71"/>
      <c r="AC1372" s="71"/>
      <c r="AD1372" s="71"/>
      <c r="AE1372" s="71"/>
      <c r="AF1372" s="71"/>
      <c r="AG1372" s="71"/>
      <c r="AH1372" s="71"/>
      <c r="AI1372" s="71"/>
      <c r="AJ1372" s="71"/>
      <c r="AK1372" s="71"/>
      <c r="AL1372" s="71"/>
      <c r="AM1372" s="71"/>
      <c r="AN1372" s="71"/>
      <c r="AO1372" s="71"/>
      <c r="AP1372" s="71"/>
      <c r="AQ1372" s="71"/>
      <c r="AR1372" s="77"/>
    </row>
    <row r="1373">
      <c r="A1373" s="71"/>
      <c r="B1373" s="71"/>
      <c r="C1373" s="71"/>
      <c r="D1373" s="71"/>
      <c r="E1373" s="71"/>
      <c r="F1373" s="71"/>
      <c r="G1373" s="71"/>
      <c r="H1373" s="71"/>
      <c r="I1373" s="71"/>
      <c r="J1373" s="71"/>
      <c r="K1373" s="71"/>
      <c r="L1373" s="71"/>
      <c r="M1373" s="71"/>
      <c r="N1373" s="71"/>
      <c r="O1373" s="71"/>
      <c r="P1373" s="71"/>
      <c r="Q1373" s="71"/>
      <c r="R1373" s="71"/>
      <c r="S1373" s="71"/>
      <c r="T1373" s="71"/>
      <c r="U1373" s="71"/>
      <c r="V1373" s="71"/>
      <c r="W1373" s="71"/>
      <c r="X1373" s="71"/>
      <c r="Y1373" s="71"/>
      <c r="Z1373" s="71"/>
      <c r="AA1373" s="71"/>
      <c r="AB1373" s="71"/>
      <c r="AC1373" s="71"/>
      <c r="AD1373" s="71"/>
      <c r="AE1373" s="71"/>
      <c r="AF1373" s="71"/>
      <c r="AG1373" s="71"/>
      <c r="AH1373" s="71"/>
      <c r="AI1373" s="71"/>
      <c r="AJ1373" s="71"/>
      <c r="AK1373" s="71"/>
      <c r="AL1373" s="71"/>
      <c r="AM1373" s="71"/>
      <c r="AN1373" s="71"/>
      <c r="AO1373" s="71"/>
      <c r="AP1373" s="71"/>
      <c r="AQ1373" s="71"/>
      <c r="AR1373" s="77"/>
    </row>
    <row r="1374">
      <c r="A1374" s="71"/>
      <c r="B1374" s="71"/>
      <c r="C1374" s="71"/>
      <c r="D1374" s="71"/>
      <c r="E1374" s="71"/>
      <c r="F1374" s="71"/>
      <c r="G1374" s="71"/>
      <c r="H1374" s="71"/>
      <c r="I1374" s="71"/>
      <c r="J1374" s="71"/>
      <c r="K1374" s="71"/>
      <c r="L1374" s="71"/>
      <c r="M1374" s="71"/>
      <c r="N1374" s="71"/>
      <c r="O1374" s="71"/>
      <c r="P1374" s="71"/>
      <c r="Q1374" s="71"/>
      <c r="R1374" s="71"/>
      <c r="S1374" s="71"/>
      <c r="T1374" s="71"/>
      <c r="U1374" s="71"/>
      <c r="V1374" s="71"/>
      <c r="W1374" s="71"/>
      <c r="X1374" s="71"/>
      <c r="Y1374" s="71"/>
      <c r="Z1374" s="71"/>
      <c r="AA1374" s="71"/>
      <c r="AB1374" s="71"/>
      <c r="AC1374" s="71"/>
      <c r="AD1374" s="71"/>
      <c r="AE1374" s="71"/>
      <c r="AF1374" s="71"/>
      <c r="AG1374" s="71"/>
      <c r="AH1374" s="71"/>
      <c r="AI1374" s="71"/>
      <c r="AJ1374" s="71"/>
      <c r="AK1374" s="71"/>
      <c r="AL1374" s="71"/>
      <c r="AM1374" s="71"/>
      <c r="AN1374" s="71"/>
      <c r="AO1374" s="71"/>
      <c r="AP1374" s="71"/>
      <c r="AQ1374" s="71"/>
      <c r="AR1374" s="77"/>
    </row>
    <row r="1375">
      <c r="A1375" s="71"/>
      <c r="B1375" s="71"/>
      <c r="C1375" s="71"/>
      <c r="D1375" s="71"/>
      <c r="E1375" s="71"/>
      <c r="F1375" s="71"/>
      <c r="G1375" s="71"/>
      <c r="H1375" s="71"/>
      <c r="I1375" s="71"/>
      <c r="J1375" s="71"/>
      <c r="K1375" s="71"/>
      <c r="L1375" s="71"/>
      <c r="M1375" s="71"/>
      <c r="N1375" s="71"/>
      <c r="O1375" s="71"/>
      <c r="P1375" s="71"/>
      <c r="Q1375" s="71"/>
      <c r="R1375" s="71"/>
      <c r="S1375" s="71"/>
      <c r="T1375" s="71"/>
      <c r="U1375" s="71"/>
      <c r="V1375" s="71"/>
      <c r="W1375" s="71"/>
      <c r="X1375" s="71"/>
      <c r="Y1375" s="71"/>
      <c r="Z1375" s="71"/>
      <c r="AA1375" s="71"/>
      <c r="AB1375" s="71"/>
      <c r="AC1375" s="71"/>
      <c r="AD1375" s="71"/>
      <c r="AE1375" s="71"/>
      <c r="AF1375" s="71"/>
      <c r="AG1375" s="71"/>
      <c r="AH1375" s="71"/>
      <c r="AI1375" s="71"/>
      <c r="AJ1375" s="71"/>
      <c r="AK1375" s="71"/>
      <c r="AL1375" s="71"/>
      <c r="AM1375" s="71"/>
      <c r="AN1375" s="71"/>
      <c r="AO1375" s="71"/>
      <c r="AP1375" s="71"/>
      <c r="AQ1375" s="71"/>
      <c r="AR1375" s="77"/>
    </row>
    <row r="1376">
      <c r="A1376" s="71"/>
      <c r="B1376" s="71"/>
      <c r="C1376" s="71"/>
      <c r="D1376" s="71"/>
      <c r="E1376" s="71"/>
      <c r="F1376" s="71"/>
      <c r="G1376" s="71"/>
      <c r="H1376" s="71"/>
      <c r="I1376" s="71"/>
      <c r="J1376" s="71"/>
      <c r="K1376" s="71"/>
      <c r="L1376" s="71"/>
      <c r="M1376" s="71"/>
      <c r="N1376" s="71"/>
      <c r="O1376" s="71"/>
      <c r="P1376" s="71"/>
      <c r="Q1376" s="71"/>
      <c r="R1376" s="71"/>
      <c r="S1376" s="71"/>
      <c r="T1376" s="71"/>
      <c r="U1376" s="71"/>
      <c r="V1376" s="71"/>
      <c r="W1376" s="71"/>
      <c r="X1376" s="71"/>
      <c r="Y1376" s="71"/>
      <c r="Z1376" s="71"/>
      <c r="AA1376" s="71"/>
      <c r="AB1376" s="71"/>
      <c r="AC1376" s="71"/>
      <c r="AD1376" s="71"/>
      <c r="AE1376" s="71"/>
      <c r="AF1376" s="71"/>
      <c r="AG1376" s="71"/>
      <c r="AH1376" s="71"/>
      <c r="AI1376" s="71"/>
      <c r="AJ1376" s="71"/>
      <c r="AK1376" s="71"/>
      <c r="AL1376" s="71"/>
      <c r="AM1376" s="71"/>
      <c r="AN1376" s="71"/>
      <c r="AO1376" s="71"/>
      <c r="AP1376" s="71"/>
      <c r="AQ1376" s="71"/>
      <c r="AR1376" s="77"/>
    </row>
    <row r="1377">
      <c r="A1377" s="71"/>
      <c r="B1377" s="71"/>
      <c r="C1377" s="71"/>
      <c r="D1377" s="71"/>
      <c r="E1377" s="71"/>
      <c r="F1377" s="71"/>
      <c r="G1377" s="71"/>
      <c r="H1377" s="71"/>
      <c r="I1377" s="71"/>
      <c r="J1377" s="71"/>
      <c r="K1377" s="71"/>
      <c r="L1377" s="71"/>
      <c r="M1377" s="71"/>
      <c r="N1377" s="71"/>
      <c r="O1377" s="71"/>
      <c r="P1377" s="71"/>
      <c r="Q1377" s="71"/>
      <c r="R1377" s="71"/>
      <c r="S1377" s="71"/>
      <c r="T1377" s="71"/>
      <c r="U1377" s="71"/>
      <c r="V1377" s="71"/>
      <c r="W1377" s="71"/>
      <c r="X1377" s="71"/>
      <c r="Y1377" s="71"/>
      <c r="Z1377" s="71"/>
      <c r="AA1377" s="71"/>
      <c r="AB1377" s="71"/>
      <c r="AC1377" s="71"/>
      <c r="AD1377" s="71"/>
      <c r="AE1377" s="71"/>
      <c r="AF1377" s="71"/>
      <c r="AG1377" s="71"/>
      <c r="AH1377" s="71"/>
      <c r="AI1377" s="71"/>
      <c r="AJ1377" s="71"/>
      <c r="AK1377" s="71"/>
      <c r="AL1377" s="71"/>
      <c r="AM1377" s="71"/>
      <c r="AN1377" s="71"/>
      <c r="AO1377" s="71"/>
      <c r="AP1377" s="71"/>
      <c r="AQ1377" s="71"/>
      <c r="AR1377" s="77"/>
    </row>
    <row r="1378">
      <c r="A1378" s="71"/>
      <c r="B1378" s="71"/>
      <c r="C1378" s="71"/>
      <c r="D1378" s="71"/>
      <c r="E1378" s="71"/>
      <c r="F1378" s="71"/>
      <c r="G1378" s="71"/>
      <c r="H1378" s="71"/>
      <c r="I1378" s="71"/>
      <c r="J1378" s="71"/>
      <c r="K1378" s="71"/>
      <c r="L1378" s="71"/>
      <c r="M1378" s="71"/>
      <c r="N1378" s="71"/>
      <c r="O1378" s="71"/>
      <c r="P1378" s="71"/>
      <c r="Q1378" s="71"/>
      <c r="R1378" s="71"/>
      <c r="S1378" s="71"/>
      <c r="T1378" s="71"/>
      <c r="U1378" s="71"/>
      <c r="V1378" s="71"/>
      <c r="W1378" s="71"/>
      <c r="X1378" s="71"/>
      <c r="Y1378" s="71"/>
      <c r="Z1378" s="71"/>
      <c r="AA1378" s="71"/>
      <c r="AB1378" s="71"/>
      <c r="AC1378" s="71"/>
      <c r="AD1378" s="71"/>
      <c r="AE1378" s="71"/>
      <c r="AF1378" s="71"/>
      <c r="AG1378" s="71"/>
      <c r="AH1378" s="71"/>
      <c r="AI1378" s="71"/>
      <c r="AJ1378" s="71"/>
      <c r="AK1378" s="71"/>
      <c r="AL1378" s="71"/>
      <c r="AM1378" s="71"/>
      <c r="AN1378" s="71"/>
      <c r="AO1378" s="71"/>
      <c r="AP1378" s="71"/>
      <c r="AQ1378" s="71"/>
      <c r="AR1378" s="77"/>
    </row>
    <row r="1379">
      <c r="A1379" s="71"/>
      <c r="B1379" s="71"/>
      <c r="C1379" s="71"/>
      <c r="D1379" s="71"/>
      <c r="E1379" s="71"/>
      <c r="F1379" s="71"/>
      <c r="G1379" s="71"/>
      <c r="H1379" s="71"/>
      <c r="I1379" s="71"/>
      <c r="J1379" s="71"/>
      <c r="K1379" s="71"/>
      <c r="L1379" s="71"/>
      <c r="M1379" s="71"/>
      <c r="N1379" s="71"/>
      <c r="O1379" s="71"/>
      <c r="P1379" s="71"/>
      <c r="Q1379" s="71"/>
      <c r="R1379" s="71"/>
      <c r="S1379" s="71"/>
      <c r="T1379" s="71"/>
      <c r="U1379" s="71"/>
      <c r="V1379" s="71"/>
      <c r="W1379" s="71"/>
      <c r="X1379" s="71"/>
      <c r="Y1379" s="71"/>
      <c r="Z1379" s="71"/>
      <c r="AA1379" s="71"/>
      <c r="AB1379" s="71"/>
      <c r="AC1379" s="71"/>
      <c r="AD1379" s="71"/>
      <c r="AE1379" s="71"/>
      <c r="AF1379" s="71"/>
      <c r="AG1379" s="71"/>
      <c r="AH1379" s="71"/>
      <c r="AI1379" s="71"/>
      <c r="AJ1379" s="71"/>
      <c r="AK1379" s="71"/>
      <c r="AL1379" s="71"/>
      <c r="AM1379" s="71"/>
      <c r="AN1379" s="71"/>
      <c r="AO1379" s="71"/>
      <c r="AP1379" s="71"/>
      <c r="AQ1379" s="71"/>
      <c r="AR1379" s="77"/>
    </row>
    <row r="1380">
      <c r="A1380" s="71"/>
      <c r="B1380" s="71"/>
      <c r="C1380" s="71"/>
      <c r="D1380" s="71"/>
      <c r="E1380" s="71"/>
      <c r="F1380" s="71"/>
      <c r="G1380" s="71"/>
      <c r="H1380" s="71"/>
      <c r="I1380" s="71"/>
      <c r="J1380" s="71"/>
      <c r="K1380" s="71"/>
      <c r="L1380" s="71"/>
      <c r="M1380" s="71"/>
      <c r="N1380" s="71"/>
      <c r="O1380" s="71"/>
      <c r="P1380" s="71"/>
      <c r="Q1380" s="71"/>
      <c r="R1380" s="71"/>
      <c r="S1380" s="71"/>
      <c r="T1380" s="71"/>
      <c r="U1380" s="71"/>
      <c r="V1380" s="71"/>
      <c r="W1380" s="71"/>
      <c r="X1380" s="71"/>
      <c r="Y1380" s="71"/>
      <c r="Z1380" s="71"/>
      <c r="AA1380" s="71"/>
      <c r="AB1380" s="71"/>
      <c r="AC1380" s="71"/>
      <c r="AD1380" s="71"/>
      <c r="AE1380" s="71"/>
      <c r="AF1380" s="71"/>
      <c r="AG1380" s="71"/>
      <c r="AH1380" s="71"/>
      <c r="AI1380" s="71"/>
      <c r="AJ1380" s="71"/>
      <c r="AK1380" s="71"/>
      <c r="AL1380" s="71"/>
      <c r="AM1380" s="71"/>
      <c r="AN1380" s="71"/>
      <c r="AO1380" s="71"/>
      <c r="AP1380" s="71"/>
      <c r="AQ1380" s="71"/>
      <c r="AR1380" s="77"/>
    </row>
    <row r="1381">
      <c r="A1381" s="71"/>
      <c r="B1381" s="71"/>
      <c r="C1381" s="71"/>
      <c r="D1381" s="71"/>
      <c r="E1381" s="71"/>
      <c r="F1381" s="71"/>
      <c r="G1381" s="71"/>
      <c r="H1381" s="71"/>
      <c r="I1381" s="71"/>
      <c r="J1381" s="71"/>
      <c r="K1381" s="71"/>
      <c r="L1381" s="71"/>
      <c r="M1381" s="71"/>
      <c r="N1381" s="71"/>
      <c r="O1381" s="71"/>
      <c r="P1381" s="71"/>
      <c r="Q1381" s="71"/>
      <c r="R1381" s="71"/>
      <c r="S1381" s="71"/>
      <c r="T1381" s="71"/>
      <c r="U1381" s="71"/>
      <c r="V1381" s="71"/>
      <c r="W1381" s="71"/>
      <c r="X1381" s="71"/>
      <c r="Y1381" s="71"/>
      <c r="Z1381" s="71"/>
      <c r="AA1381" s="71"/>
      <c r="AB1381" s="71"/>
      <c r="AC1381" s="71"/>
      <c r="AD1381" s="71"/>
      <c r="AE1381" s="71"/>
      <c r="AF1381" s="71"/>
      <c r="AG1381" s="71"/>
      <c r="AH1381" s="71"/>
      <c r="AI1381" s="71"/>
      <c r="AJ1381" s="71"/>
      <c r="AK1381" s="71"/>
      <c r="AL1381" s="71"/>
      <c r="AM1381" s="71"/>
      <c r="AN1381" s="71"/>
      <c r="AO1381" s="71"/>
      <c r="AP1381" s="71"/>
      <c r="AQ1381" s="71"/>
      <c r="AR1381" s="77"/>
    </row>
    <row r="1382">
      <c r="A1382" s="71"/>
      <c r="B1382" s="71"/>
      <c r="C1382" s="71"/>
      <c r="D1382" s="71"/>
      <c r="E1382" s="71"/>
      <c r="F1382" s="71"/>
      <c r="G1382" s="71"/>
      <c r="H1382" s="71"/>
      <c r="I1382" s="71"/>
      <c r="J1382" s="71"/>
      <c r="K1382" s="71"/>
      <c r="L1382" s="71"/>
      <c r="M1382" s="71"/>
      <c r="N1382" s="71"/>
      <c r="O1382" s="71"/>
      <c r="P1382" s="71"/>
      <c r="Q1382" s="71"/>
      <c r="R1382" s="71"/>
      <c r="S1382" s="71"/>
      <c r="T1382" s="71"/>
      <c r="U1382" s="71"/>
      <c r="V1382" s="71"/>
      <c r="W1382" s="71"/>
      <c r="X1382" s="71"/>
      <c r="Y1382" s="71"/>
      <c r="Z1382" s="71"/>
      <c r="AA1382" s="71"/>
      <c r="AB1382" s="71"/>
      <c r="AC1382" s="71"/>
      <c r="AD1382" s="71"/>
      <c r="AE1382" s="71"/>
      <c r="AF1382" s="71"/>
      <c r="AG1382" s="71"/>
      <c r="AH1382" s="71"/>
      <c r="AI1382" s="71"/>
      <c r="AJ1382" s="71"/>
      <c r="AK1382" s="71"/>
      <c r="AL1382" s="71"/>
      <c r="AM1382" s="71"/>
      <c r="AN1382" s="71"/>
      <c r="AO1382" s="71"/>
      <c r="AP1382" s="71"/>
      <c r="AQ1382" s="71"/>
      <c r="AR1382" s="77"/>
    </row>
    <row r="1383">
      <c r="A1383" s="71"/>
      <c r="B1383" s="71"/>
      <c r="C1383" s="71"/>
      <c r="D1383" s="71"/>
      <c r="E1383" s="71"/>
      <c r="F1383" s="71"/>
      <c r="G1383" s="71"/>
      <c r="H1383" s="71"/>
      <c r="I1383" s="71"/>
      <c r="J1383" s="71"/>
      <c r="K1383" s="71"/>
      <c r="L1383" s="71"/>
      <c r="M1383" s="71"/>
      <c r="N1383" s="71"/>
      <c r="O1383" s="71"/>
      <c r="P1383" s="71"/>
      <c r="Q1383" s="71"/>
      <c r="R1383" s="71"/>
      <c r="S1383" s="71"/>
      <c r="T1383" s="71"/>
      <c r="U1383" s="71"/>
      <c r="V1383" s="71"/>
      <c r="W1383" s="71"/>
      <c r="X1383" s="71"/>
      <c r="Y1383" s="71"/>
      <c r="Z1383" s="71"/>
      <c r="AA1383" s="71"/>
      <c r="AB1383" s="71"/>
      <c r="AC1383" s="71"/>
      <c r="AD1383" s="71"/>
      <c r="AE1383" s="71"/>
      <c r="AF1383" s="71"/>
      <c r="AG1383" s="71"/>
      <c r="AH1383" s="71"/>
      <c r="AI1383" s="71"/>
      <c r="AJ1383" s="71"/>
      <c r="AK1383" s="71"/>
      <c r="AL1383" s="71"/>
      <c r="AM1383" s="71"/>
      <c r="AN1383" s="71"/>
      <c r="AO1383" s="71"/>
      <c r="AP1383" s="71"/>
      <c r="AQ1383" s="71"/>
      <c r="AR1383" s="77"/>
    </row>
    <row r="1384">
      <c r="A1384" s="71"/>
      <c r="B1384" s="71"/>
      <c r="C1384" s="71"/>
      <c r="D1384" s="71"/>
      <c r="E1384" s="71"/>
      <c r="F1384" s="71"/>
      <c r="G1384" s="71"/>
      <c r="H1384" s="71"/>
      <c r="I1384" s="71"/>
      <c r="J1384" s="71"/>
      <c r="K1384" s="71"/>
      <c r="L1384" s="71"/>
      <c r="M1384" s="71"/>
      <c r="N1384" s="71"/>
      <c r="O1384" s="71"/>
      <c r="P1384" s="71"/>
      <c r="Q1384" s="71"/>
      <c r="R1384" s="71"/>
      <c r="S1384" s="71"/>
      <c r="T1384" s="71"/>
      <c r="U1384" s="71"/>
      <c r="V1384" s="71"/>
      <c r="W1384" s="71"/>
      <c r="X1384" s="71"/>
      <c r="Y1384" s="71"/>
      <c r="Z1384" s="71"/>
      <c r="AA1384" s="71"/>
      <c r="AB1384" s="71"/>
      <c r="AC1384" s="71"/>
      <c r="AD1384" s="71"/>
      <c r="AE1384" s="71"/>
      <c r="AF1384" s="71"/>
      <c r="AG1384" s="71"/>
      <c r="AH1384" s="71"/>
      <c r="AI1384" s="71"/>
      <c r="AJ1384" s="71"/>
      <c r="AK1384" s="71"/>
      <c r="AL1384" s="71"/>
      <c r="AM1384" s="71"/>
      <c r="AN1384" s="71"/>
      <c r="AO1384" s="71"/>
      <c r="AP1384" s="71"/>
      <c r="AQ1384" s="71"/>
      <c r="AR1384" s="77"/>
    </row>
    <row r="1385">
      <c r="A1385" s="71"/>
      <c r="B1385" s="71"/>
      <c r="C1385" s="71"/>
      <c r="D1385" s="71"/>
      <c r="E1385" s="71"/>
      <c r="F1385" s="71"/>
      <c r="G1385" s="71"/>
      <c r="H1385" s="71"/>
      <c r="I1385" s="71"/>
      <c r="J1385" s="71"/>
      <c r="K1385" s="71"/>
      <c r="L1385" s="71"/>
      <c r="M1385" s="71"/>
      <c r="N1385" s="71"/>
      <c r="O1385" s="71"/>
      <c r="P1385" s="71"/>
      <c r="Q1385" s="71"/>
      <c r="R1385" s="71"/>
      <c r="S1385" s="71"/>
      <c r="T1385" s="71"/>
      <c r="U1385" s="71"/>
      <c r="V1385" s="71"/>
      <c r="W1385" s="71"/>
      <c r="X1385" s="71"/>
      <c r="Y1385" s="71"/>
      <c r="Z1385" s="71"/>
      <c r="AA1385" s="71"/>
      <c r="AB1385" s="71"/>
      <c r="AC1385" s="71"/>
      <c r="AD1385" s="71"/>
      <c r="AE1385" s="71"/>
      <c r="AF1385" s="71"/>
      <c r="AG1385" s="71"/>
      <c r="AH1385" s="71"/>
      <c r="AI1385" s="71"/>
      <c r="AJ1385" s="71"/>
      <c r="AK1385" s="71"/>
      <c r="AL1385" s="71"/>
      <c r="AM1385" s="71"/>
      <c r="AN1385" s="71"/>
      <c r="AO1385" s="71"/>
      <c r="AP1385" s="71"/>
      <c r="AQ1385" s="71"/>
      <c r="AR1385" s="77"/>
    </row>
    <row r="1386">
      <c r="A1386" s="71"/>
      <c r="B1386" s="71"/>
      <c r="C1386" s="71"/>
      <c r="D1386" s="71"/>
      <c r="E1386" s="71"/>
      <c r="F1386" s="71"/>
      <c r="G1386" s="71"/>
      <c r="H1386" s="71"/>
      <c r="I1386" s="71"/>
      <c r="J1386" s="71"/>
      <c r="K1386" s="71"/>
      <c r="L1386" s="71"/>
      <c r="M1386" s="71"/>
      <c r="N1386" s="71"/>
      <c r="O1386" s="71"/>
      <c r="P1386" s="71"/>
      <c r="Q1386" s="71"/>
      <c r="R1386" s="71"/>
      <c r="S1386" s="71"/>
      <c r="T1386" s="71"/>
      <c r="U1386" s="71"/>
      <c r="V1386" s="71"/>
      <c r="W1386" s="71"/>
      <c r="X1386" s="71"/>
      <c r="Y1386" s="71"/>
      <c r="Z1386" s="71"/>
      <c r="AA1386" s="71"/>
      <c r="AB1386" s="71"/>
      <c r="AC1386" s="71"/>
      <c r="AD1386" s="71"/>
      <c r="AE1386" s="71"/>
      <c r="AF1386" s="71"/>
      <c r="AG1386" s="71"/>
      <c r="AH1386" s="71"/>
      <c r="AI1386" s="71"/>
      <c r="AJ1386" s="71"/>
      <c r="AK1386" s="71"/>
      <c r="AL1386" s="71"/>
      <c r="AM1386" s="71"/>
      <c r="AN1386" s="71"/>
      <c r="AO1386" s="71"/>
      <c r="AP1386" s="71"/>
      <c r="AQ1386" s="71"/>
      <c r="AR1386" s="77"/>
    </row>
    <row r="1387">
      <c r="A1387" s="71"/>
      <c r="B1387" s="71"/>
      <c r="C1387" s="71"/>
      <c r="D1387" s="71"/>
      <c r="E1387" s="71"/>
      <c r="F1387" s="71"/>
      <c r="G1387" s="71"/>
      <c r="H1387" s="71"/>
      <c r="I1387" s="71"/>
      <c r="J1387" s="71"/>
      <c r="K1387" s="71"/>
      <c r="L1387" s="71"/>
      <c r="M1387" s="71"/>
      <c r="N1387" s="71"/>
      <c r="O1387" s="71"/>
      <c r="P1387" s="71"/>
      <c r="Q1387" s="71"/>
      <c r="R1387" s="71"/>
      <c r="S1387" s="71"/>
      <c r="T1387" s="71"/>
      <c r="U1387" s="71"/>
      <c r="V1387" s="71"/>
      <c r="W1387" s="71"/>
      <c r="X1387" s="71"/>
      <c r="Y1387" s="71"/>
      <c r="Z1387" s="71"/>
      <c r="AA1387" s="71"/>
      <c r="AB1387" s="71"/>
      <c r="AC1387" s="71"/>
      <c r="AD1387" s="71"/>
      <c r="AE1387" s="71"/>
      <c r="AF1387" s="71"/>
      <c r="AG1387" s="71"/>
      <c r="AH1387" s="71"/>
      <c r="AI1387" s="71"/>
      <c r="AJ1387" s="71"/>
      <c r="AK1387" s="71"/>
      <c r="AL1387" s="71"/>
      <c r="AM1387" s="71"/>
      <c r="AN1387" s="71"/>
      <c r="AO1387" s="71"/>
      <c r="AP1387" s="71"/>
      <c r="AQ1387" s="71"/>
      <c r="AR1387" s="77"/>
    </row>
    <row r="1388">
      <c r="A1388" s="71"/>
      <c r="B1388" s="71"/>
      <c r="C1388" s="71"/>
      <c r="D1388" s="71"/>
      <c r="E1388" s="71"/>
      <c r="F1388" s="71"/>
      <c r="G1388" s="71"/>
      <c r="H1388" s="71"/>
      <c r="I1388" s="71"/>
      <c r="J1388" s="71"/>
      <c r="K1388" s="71"/>
      <c r="L1388" s="71"/>
      <c r="M1388" s="71"/>
      <c r="N1388" s="71"/>
      <c r="O1388" s="71"/>
      <c r="P1388" s="71"/>
      <c r="Q1388" s="71"/>
      <c r="R1388" s="71"/>
      <c r="S1388" s="71"/>
      <c r="T1388" s="71"/>
      <c r="U1388" s="71"/>
      <c r="V1388" s="71"/>
      <c r="W1388" s="71"/>
      <c r="X1388" s="71"/>
      <c r="Y1388" s="71"/>
      <c r="Z1388" s="71"/>
      <c r="AA1388" s="71"/>
      <c r="AB1388" s="71"/>
      <c r="AC1388" s="71"/>
      <c r="AD1388" s="71"/>
      <c r="AE1388" s="71"/>
      <c r="AF1388" s="71"/>
      <c r="AG1388" s="71"/>
      <c r="AH1388" s="71"/>
      <c r="AI1388" s="71"/>
      <c r="AJ1388" s="71"/>
      <c r="AK1388" s="71"/>
      <c r="AL1388" s="71"/>
      <c r="AM1388" s="71"/>
      <c r="AN1388" s="71"/>
      <c r="AO1388" s="71"/>
      <c r="AP1388" s="71"/>
      <c r="AQ1388" s="71"/>
      <c r="AR1388" s="77"/>
    </row>
    <row r="1389">
      <c r="A1389" s="71"/>
      <c r="B1389" s="71"/>
      <c r="C1389" s="71"/>
      <c r="D1389" s="71"/>
      <c r="E1389" s="71"/>
      <c r="F1389" s="71"/>
      <c r="G1389" s="71"/>
      <c r="H1389" s="71"/>
      <c r="I1389" s="71"/>
      <c r="J1389" s="71"/>
      <c r="K1389" s="71"/>
      <c r="L1389" s="71"/>
      <c r="M1389" s="71"/>
      <c r="N1389" s="71"/>
      <c r="O1389" s="71"/>
      <c r="P1389" s="71"/>
      <c r="Q1389" s="71"/>
      <c r="R1389" s="71"/>
      <c r="S1389" s="71"/>
      <c r="T1389" s="71"/>
      <c r="U1389" s="71"/>
      <c r="V1389" s="71"/>
      <c r="W1389" s="71"/>
      <c r="X1389" s="71"/>
      <c r="Y1389" s="71"/>
      <c r="Z1389" s="71"/>
      <c r="AA1389" s="71"/>
      <c r="AB1389" s="71"/>
      <c r="AC1389" s="71"/>
      <c r="AD1389" s="71"/>
      <c r="AE1389" s="71"/>
      <c r="AF1389" s="71"/>
      <c r="AG1389" s="71"/>
      <c r="AH1389" s="71"/>
      <c r="AI1389" s="71"/>
      <c r="AJ1389" s="71"/>
      <c r="AK1389" s="71"/>
      <c r="AL1389" s="71"/>
      <c r="AM1389" s="71"/>
      <c r="AN1389" s="71"/>
      <c r="AO1389" s="71"/>
      <c r="AP1389" s="71"/>
      <c r="AQ1389" s="71"/>
      <c r="AR1389" s="77"/>
    </row>
    <row r="1390">
      <c r="A1390" s="71"/>
      <c r="B1390" s="71"/>
      <c r="C1390" s="71"/>
      <c r="D1390" s="71"/>
      <c r="E1390" s="71"/>
      <c r="F1390" s="71"/>
      <c r="G1390" s="71"/>
      <c r="H1390" s="71"/>
      <c r="I1390" s="71"/>
      <c r="J1390" s="71"/>
      <c r="K1390" s="71"/>
      <c r="L1390" s="71"/>
      <c r="M1390" s="71"/>
      <c r="N1390" s="71"/>
      <c r="O1390" s="71"/>
      <c r="P1390" s="71"/>
      <c r="Q1390" s="71"/>
      <c r="R1390" s="71"/>
      <c r="S1390" s="71"/>
      <c r="T1390" s="71"/>
      <c r="U1390" s="71"/>
      <c r="V1390" s="71"/>
      <c r="W1390" s="71"/>
      <c r="X1390" s="71"/>
      <c r="Y1390" s="71"/>
      <c r="Z1390" s="71"/>
      <c r="AA1390" s="71"/>
      <c r="AB1390" s="71"/>
      <c r="AC1390" s="71"/>
      <c r="AD1390" s="71"/>
      <c r="AE1390" s="71"/>
      <c r="AF1390" s="71"/>
      <c r="AG1390" s="71"/>
      <c r="AH1390" s="71"/>
      <c r="AI1390" s="71"/>
      <c r="AJ1390" s="71"/>
      <c r="AK1390" s="71"/>
      <c r="AL1390" s="71"/>
      <c r="AM1390" s="71"/>
      <c r="AN1390" s="71"/>
      <c r="AO1390" s="71"/>
      <c r="AP1390" s="71"/>
      <c r="AQ1390" s="71"/>
      <c r="AR1390" s="77"/>
    </row>
    <row r="1391">
      <c r="A1391" s="71"/>
      <c r="B1391" s="71"/>
      <c r="C1391" s="71"/>
      <c r="D1391" s="71"/>
      <c r="E1391" s="71"/>
      <c r="F1391" s="71"/>
      <c r="G1391" s="71"/>
      <c r="H1391" s="71"/>
      <c r="I1391" s="71"/>
      <c r="J1391" s="71"/>
      <c r="K1391" s="71"/>
      <c r="L1391" s="71"/>
      <c r="M1391" s="71"/>
      <c r="N1391" s="71"/>
      <c r="O1391" s="71"/>
      <c r="P1391" s="71"/>
      <c r="Q1391" s="71"/>
      <c r="R1391" s="71"/>
      <c r="S1391" s="71"/>
      <c r="T1391" s="71"/>
      <c r="U1391" s="71"/>
      <c r="V1391" s="71"/>
      <c r="W1391" s="71"/>
      <c r="X1391" s="71"/>
      <c r="Y1391" s="71"/>
      <c r="Z1391" s="71"/>
      <c r="AA1391" s="71"/>
      <c r="AB1391" s="71"/>
      <c r="AC1391" s="71"/>
      <c r="AD1391" s="71"/>
      <c r="AE1391" s="71"/>
      <c r="AF1391" s="71"/>
      <c r="AG1391" s="71"/>
      <c r="AH1391" s="71"/>
      <c r="AI1391" s="71"/>
      <c r="AJ1391" s="71"/>
      <c r="AK1391" s="71"/>
      <c r="AL1391" s="71"/>
      <c r="AM1391" s="71"/>
      <c r="AN1391" s="71"/>
      <c r="AO1391" s="71"/>
      <c r="AP1391" s="71"/>
      <c r="AQ1391" s="71"/>
      <c r="AR1391" s="77"/>
    </row>
    <row r="1392">
      <c r="A1392" s="71"/>
      <c r="B1392" s="71"/>
      <c r="C1392" s="71"/>
      <c r="D1392" s="71"/>
      <c r="E1392" s="71"/>
      <c r="F1392" s="71"/>
      <c r="G1392" s="71"/>
      <c r="H1392" s="71"/>
      <c r="I1392" s="71"/>
      <c r="J1392" s="71"/>
      <c r="K1392" s="71"/>
      <c r="L1392" s="71"/>
      <c r="M1392" s="71"/>
      <c r="N1392" s="71"/>
      <c r="O1392" s="71"/>
      <c r="P1392" s="71"/>
      <c r="Q1392" s="71"/>
      <c r="R1392" s="71"/>
      <c r="S1392" s="71"/>
      <c r="T1392" s="71"/>
      <c r="U1392" s="71"/>
      <c r="V1392" s="71"/>
      <c r="W1392" s="71"/>
      <c r="X1392" s="71"/>
      <c r="Y1392" s="71"/>
      <c r="Z1392" s="71"/>
      <c r="AA1392" s="71"/>
      <c r="AB1392" s="71"/>
      <c r="AC1392" s="71"/>
      <c r="AD1392" s="71"/>
      <c r="AE1392" s="71"/>
      <c r="AF1392" s="71"/>
      <c r="AG1392" s="71"/>
      <c r="AH1392" s="71"/>
      <c r="AI1392" s="71"/>
      <c r="AJ1392" s="71"/>
      <c r="AK1392" s="71"/>
      <c r="AL1392" s="71"/>
      <c r="AM1392" s="71"/>
      <c r="AN1392" s="71"/>
      <c r="AO1392" s="71"/>
      <c r="AP1392" s="71"/>
      <c r="AQ1392" s="71"/>
      <c r="AR1392" s="77"/>
    </row>
    <row r="1393">
      <c r="A1393" s="71"/>
      <c r="B1393" s="71"/>
      <c r="C1393" s="71"/>
      <c r="D1393" s="71"/>
      <c r="E1393" s="71"/>
      <c r="F1393" s="71"/>
      <c r="G1393" s="71"/>
      <c r="H1393" s="71"/>
      <c r="I1393" s="71"/>
      <c r="J1393" s="71"/>
      <c r="K1393" s="71"/>
      <c r="L1393" s="71"/>
      <c r="M1393" s="71"/>
      <c r="N1393" s="71"/>
      <c r="O1393" s="71"/>
      <c r="P1393" s="71"/>
      <c r="Q1393" s="71"/>
      <c r="R1393" s="71"/>
      <c r="S1393" s="71"/>
      <c r="T1393" s="71"/>
      <c r="U1393" s="71"/>
      <c r="V1393" s="71"/>
      <c r="W1393" s="71"/>
      <c r="X1393" s="71"/>
      <c r="Y1393" s="71"/>
      <c r="Z1393" s="71"/>
      <c r="AA1393" s="71"/>
      <c r="AB1393" s="71"/>
      <c r="AC1393" s="71"/>
      <c r="AD1393" s="71"/>
      <c r="AE1393" s="71"/>
      <c r="AF1393" s="71"/>
      <c r="AG1393" s="71"/>
      <c r="AH1393" s="71"/>
      <c r="AI1393" s="71"/>
      <c r="AJ1393" s="71"/>
      <c r="AK1393" s="71"/>
      <c r="AL1393" s="71"/>
      <c r="AM1393" s="71"/>
      <c r="AN1393" s="71"/>
      <c r="AO1393" s="71"/>
      <c r="AP1393" s="71"/>
      <c r="AQ1393" s="71"/>
      <c r="AR1393" s="77"/>
    </row>
    <row r="1394">
      <c r="A1394" s="71"/>
      <c r="B1394" s="71"/>
      <c r="C1394" s="71"/>
      <c r="D1394" s="71"/>
      <c r="E1394" s="71"/>
      <c r="F1394" s="71"/>
      <c r="G1394" s="71"/>
      <c r="H1394" s="71"/>
      <c r="I1394" s="71"/>
      <c r="J1394" s="71"/>
      <c r="K1394" s="71"/>
      <c r="L1394" s="71"/>
      <c r="M1394" s="71"/>
      <c r="N1394" s="71"/>
      <c r="O1394" s="71"/>
      <c r="P1394" s="71"/>
      <c r="Q1394" s="71"/>
      <c r="R1394" s="71"/>
      <c r="S1394" s="71"/>
      <c r="T1394" s="71"/>
      <c r="U1394" s="71"/>
      <c r="V1394" s="71"/>
      <c r="W1394" s="71"/>
      <c r="X1394" s="71"/>
      <c r="Y1394" s="71"/>
      <c r="Z1394" s="71"/>
      <c r="AA1394" s="71"/>
      <c r="AB1394" s="71"/>
      <c r="AC1394" s="71"/>
      <c r="AD1394" s="71"/>
      <c r="AE1394" s="71"/>
      <c r="AF1394" s="71"/>
      <c r="AG1394" s="71"/>
      <c r="AH1394" s="71"/>
      <c r="AI1394" s="71"/>
      <c r="AJ1394" s="71"/>
      <c r="AK1394" s="71"/>
      <c r="AL1394" s="71"/>
      <c r="AM1394" s="71"/>
      <c r="AN1394" s="71"/>
      <c r="AO1394" s="71"/>
      <c r="AP1394" s="71"/>
      <c r="AQ1394" s="71"/>
      <c r="AR1394" s="77"/>
    </row>
    <row r="1395">
      <c r="A1395" s="71"/>
      <c r="B1395" s="71"/>
      <c r="C1395" s="71"/>
      <c r="D1395" s="71"/>
      <c r="E1395" s="71"/>
      <c r="F1395" s="71"/>
      <c r="G1395" s="71"/>
      <c r="H1395" s="71"/>
      <c r="I1395" s="71"/>
      <c r="J1395" s="71"/>
      <c r="K1395" s="71"/>
      <c r="L1395" s="71"/>
      <c r="M1395" s="71"/>
      <c r="N1395" s="71"/>
      <c r="O1395" s="71"/>
      <c r="P1395" s="71"/>
      <c r="Q1395" s="71"/>
      <c r="R1395" s="71"/>
      <c r="S1395" s="71"/>
      <c r="T1395" s="71"/>
      <c r="U1395" s="71"/>
      <c r="V1395" s="71"/>
      <c r="W1395" s="71"/>
      <c r="X1395" s="71"/>
      <c r="Y1395" s="71"/>
      <c r="Z1395" s="71"/>
      <c r="AA1395" s="71"/>
      <c r="AB1395" s="71"/>
      <c r="AC1395" s="71"/>
      <c r="AD1395" s="71"/>
      <c r="AE1395" s="71"/>
      <c r="AF1395" s="71"/>
      <c r="AG1395" s="71"/>
      <c r="AH1395" s="71"/>
      <c r="AI1395" s="71"/>
      <c r="AJ1395" s="71"/>
      <c r="AK1395" s="71"/>
      <c r="AL1395" s="71"/>
      <c r="AM1395" s="71"/>
      <c r="AN1395" s="71"/>
      <c r="AO1395" s="71"/>
      <c r="AP1395" s="71"/>
      <c r="AQ1395" s="71"/>
      <c r="AR1395" s="77"/>
    </row>
    <row r="1396">
      <c r="A1396" s="71"/>
      <c r="B1396" s="71"/>
      <c r="C1396" s="71"/>
      <c r="D1396" s="71"/>
      <c r="E1396" s="71"/>
      <c r="F1396" s="71"/>
      <c r="G1396" s="71"/>
      <c r="H1396" s="71"/>
      <c r="I1396" s="71"/>
      <c r="J1396" s="71"/>
      <c r="K1396" s="71"/>
      <c r="L1396" s="71"/>
      <c r="M1396" s="71"/>
      <c r="N1396" s="71"/>
      <c r="O1396" s="71"/>
      <c r="P1396" s="71"/>
      <c r="Q1396" s="71"/>
      <c r="R1396" s="71"/>
      <c r="S1396" s="71"/>
      <c r="T1396" s="71"/>
      <c r="U1396" s="71"/>
      <c r="V1396" s="71"/>
      <c r="W1396" s="71"/>
      <c r="X1396" s="71"/>
      <c r="Y1396" s="71"/>
      <c r="Z1396" s="71"/>
      <c r="AA1396" s="71"/>
      <c r="AB1396" s="71"/>
      <c r="AC1396" s="71"/>
      <c r="AD1396" s="71"/>
      <c r="AE1396" s="71"/>
      <c r="AF1396" s="71"/>
      <c r="AG1396" s="71"/>
      <c r="AH1396" s="71"/>
      <c r="AI1396" s="71"/>
      <c r="AJ1396" s="71"/>
      <c r="AK1396" s="71"/>
      <c r="AL1396" s="71"/>
      <c r="AM1396" s="71"/>
      <c r="AN1396" s="71"/>
      <c r="AO1396" s="71"/>
      <c r="AP1396" s="71"/>
      <c r="AQ1396" s="71"/>
      <c r="AR1396" s="77"/>
    </row>
    <row r="1397">
      <c r="A1397" s="71"/>
      <c r="B1397" s="71"/>
      <c r="C1397" s="71"/>
      <c r="D1397" s="71"/>
      <c r="E1397" s="71"/>
      <c r="F1397" s="71"/>
      <c r="G1397" s="71"/>
      <c r="H1397" s="71"/>
      <c r="I1397" s="71"/>
      <c r="J1397" s="71"/>
      <c r="K1397" s="71"/>
      <c r="L1397" s="71"/>
      <c r="M1397" s="71"/>
      <c r="N1397" s="71"/>
      <c r="O1397" s="71"/>
      <c r="P1397" s="71"/>
      <c r="Q1397" s="71"/>
      <c r="R1397" s="71"/>
      <c r="S1397" s="71"/>
      <c r="T1397" s="71"/>
      <c r="U1397" s="71"/>
      <c r="V1397" s="71"/>
      <c r="W1397" s="71"/>
      <c r="X1397" s="71"/>
      <c r="Y1397" s="71"/>
      <c r="Z1397" s="71"/>
      <c r="AA1397" s="71"/>
      <c r="AB1397" s="71"/>
      <c r="AC1397" s="71"/>
      <c r="AD1397" s="71"/>
      <c r="AE1397" s="71"/>
      <c r="AF1397" s="71"/>
      <c r="AG1397" s="71"/>
      <c r="AH1397" s="71"/>
      <c r="AI1397" s="71"/>
      <c r="AJ1397" s="71"/>
      <c r="AK1397" s="71"/>
      <c r="AL1397" s="71"/>
      <c r="AM1397" s="71"/>
      <c r="AN1397" s="71"/>
      <c r="AO1397" s="71"/>
      <c r="AP1397" s="71"/>
      <c r="AQ1397" s="71"/>
      <c r="AR1397" s="77"/>
    </row>
    <row r="1398">
      <c r="A1398" s="71"/>
      <c r="B1398" s="71"/>
      <c r="C1398" s="71"/>
      <c r="D1398" s="71"/>
      <c r="E1398" s="71"/>
      <c r="F1398" s="71"/>
      <c r="G1398" s="71"/>
      <c r="H1398" s="71"/>
      <c r="I1398" s="71"/>
      <c r="J1398" s="71"/>
      <c r="K1398" s="71"/>
      <c r="L1398" s="71"/>
      <c r="M1398" s="71"/>
      <c r="N1398" s="71"/>
      <c r="O1398" s="71"/>
      <c r="P1398" s="71"/>
      <c r="Q1398" s="71"/>
      <c r="R1398" s="71"/>
      <c r="S1398" s="71"/>
      <c r="T1398" s="71"/>
      <c r="U1398" s="71"/>
      <c r="V1398" s="71"/>
      <c r="W1398" s="71"/>
      <c r="X1398" s="71"/>
      <c r="Y1398" s="71"/>
      <c r="Z1398" s="71"/>
      <c r="AA1398" s="71"/>
      <c r="AB1398" s="71"/>
      <c r="AC1398" s="71"/>
      <c r="AD1398" s="71"/>
      <c r="AE1398" s="71"/>
      <c r="AF1398" s="71"/>
      <c r="AG1398" s="71"/>
      <c r="AH1398" s="71"/>
      <c r="AI1398" s="71"/>
      <c r="AJ1398" s="71"/>
      <c r="AK1398" s="71"/>
      <c r="AL1398" s="71"/>
      <c r="AM1398" s="71"/>
      <c r="AN1398" s="71"/>
      <c r="AO1398" s="71"/>
      <c r="AP1398" s="71"/>
      <c r="AQ1398" s="71"/>
      <c r="AR1398" s="77"/>
    </row>
    <row r="1399">
      <c r="A1399" s="71"/>
      <c r="B1399" s="71"/>
      <c r="C1399" s="71"/>
      <c r="D1399" s="71"/>
      <c r="E1399" s="71"/>
      <c r="F1399" s="71"/>
      <c r="G1399" s="71"/>
      <c r="H1399" s="71"/>
      <c r="I1399" s="71"/>
      <c r="J1399" s="71"/>
      <c r="K1399" s="71"/>
      <c r="L1399" s="71"/>
      <c r="M1399" s="71"/>
      <c r="N1399" s="71"/>
      <c r="O1399" s="71"/>
      <c r="P1399" s="71"/>
      <c r="Q1399" s="71"/>
      <c r="R1399" s="71"/>
      <c r="S1399" s="71"/>
      <c r="T1399" s="71"/>
      <c r="U1399" s="71"/>
      <c r="V1399" s="71"/>
      <c r="W1399" s="71"/>
      <c r="X1399" s="71"/>
      <c r="Y1399" s="71"/>
      <c r="Z1399" s="71"/>
      <c r="AA1399" s="71"/>
      <c r="AB1399" s="71"/>
      <c r="AC1399" s="71"/>
      <c r="AD1399" s="71"/>
      <c r="AE1399" s="71"/>
      <c r="AF1399" s="71"/>
      <c r="AG1399" s="71"/>
      <c r="AH1399" s="71"/>
      <c r="AI1399" s="71"/>
      <c r="AJ1399" s="71"/>
      <c r="AK1399" s="71"/>
      <c r="AL1399" s="71"/>
      <c r="AM1399" s="71"/>
      <c r="AN1399" s="71"/>
      <c r="AO1399" s="71"/>
      <c r="AP1399" s="71"/>
      <c r="AQ1399" s="71"/>
      <c r="AR1399" s="77"/>
    </row>
    <row r="1400">
      <c r="A1400" s="71"/>
      <c r="B1400" s="71"/>
      <c r="C1400" s="71"/>
      <c r="D1400" s="71"/>
      <c r="E1400" s="71"/>
      <c r="F1400" s="71"/>
      <c r="G1400" s="71"/>
      <c r="H1400" s="71"/>
      <c r="I1400" s="71"/>
      <c r="J1400" s="71"/>
      <c r="K1400" s="71"/>
      <c r="L1400" s="71"/>
      <c r="M1400" s="71"/>
      <c r="N1400" s="71"/>
      <c r="O1400" s="71"/>
      <c r="P1400" s="71"/>
      <c r="Q1400" s="71"/>
      <c r="R1400" s="71"/>
      <c r="S1400" s="71"/>
      <c r="T1400" s="71"/>
      <c r="U1400" s="71"/>
      <c r="V1400" s="71"/>
      <c r="W1400" s="71"/>
      <c r="X1400" s="71"/>
      <c r="Y1400" s="71"/>
      <c r="Z1400" s="71"/>
      <c r="AA1400" s="71"/>
      <c r="AB1400" s="71"/>
      <c r="AC1400" s="71"/>
      <c r="AD1400" s="71"/>
      <c r="AE1400" s="71"/>
      <c r="AF1400" s="71"/>
      <c r="AG1400" s="71"/>
      <c r="AH1400" s="71"/>
      <c r="AI1400" s="71"/>
      <c r="AJ1400" s="71"/>
      <c r="AK1400" s="71"/>
      <c r="AL1400" s="71"/>
      <c r="AM1400" s="71"/>
      <c r="AN1400" s="71"/>
      <c r="AO1400" s="71"/>
      <c r="AP1400" s="71"/>
      <c r="AQ1400" s="71"/>
      <c r="AR1400" s="77"/>
    </row>
    <row r="1401">
      <c r="A1401" s="71"/>
      <c r="B1401" s="71"/>
      <c r="C1401" s="71"/>
      <c r="D1401" s="71"/>
      <c r="E1401" s="71"/>
      <c r="F1401" s="71"/>
      <c r="G1401" s="71"/>
      <c r="H1401" s="71"/>
      <c r="I1401" s="71"/>
      <c r="J1401" s="71"/>
      <c r="K1401" s="71"/>
      <c r="L1401" s="71"/>
      <c r="M1401" s="71"/>
      <c r="N1401" s="71"/>
      <c r="O1401" s="71"/>
      <c r="P1401" s="71"/>
      <c r="Q1401" s="71"/>
      <c r="R1401" s="71"/>
      <c r="S1401" s="71"/>
      <c r="T1401" s="71"/>
      <c r="U1401" s="71"/>
      <c r="V1401" s="71"/>
      <c r="W1401" s="71"/>
      <c r="X1401" s="71"/>
      <c r="Y1401" s="71"/>
      <c r="Z1401" s="71"/>
      <c r="AA1401" s="71"/>
      <c r="AB1401" s="71"/>
      <c r="AC1401" s="71"/>
      <c r="AD1401" s="71"/>
      <c r="AE1401" s="71"/>
      <c r="AF1401" s="71"/>
      <c r="AG1401" s="71"/>
      <c r="AH1401" s="71"/>
      <c r="AI1401" s="71"/>
      <c r="AJ1401" s="71"/>
      <c r="AK1401" s="71"/>
      <c r="AL1401" s="71"/>
      <c r="AM1401" s="71"/>
      <c r="AN1401" s="71"/>
      <c r="AO1401" s="71"/>
      <c r="AP1401" s="71"/>
      <c r="AQ1401" s="71"/>
      <c r="AR1401" s="77"/>
    </row>
    <row r="1402">
      <c r="A1402" s="71"/>
      <c r="B1402" s="71"/>
      <c r="C1402" s="71"/>
      <c r="D1402" s="71"/>
      <c r="E1402" s="71"/>
      <c r="F1402" s="71"/>
      <c r="G1402" s="71"/>
      <c r="H1402" s="71"/>
      <c r="I1402" s="71"/>
      <c r="J1402" s="71"/>
      <c r="K1402" s="71"/>
      <c r="L1402" s="71"/>
      <c r="M1402" s="71"/>
      <c r="N1402" s="71"/>
      <c r="O1402" s="71"/>
      <c r="P1402" s="71"/>
      <c r="Q1402" s="71"/>
      <c r="R1402" s="71"/>
      <c r="S1402" s="71"/>
      <c r="T1402" s="71"/>
      <c r="U1402" s="71"/>
      <c r="V1402" s="71"/>
      <c r="W1402" s="71"/>
      <c r="X1402" s="71"/>
      <c r="Y1402" s="71"/>
      <c r="Z1402" s="71"/>
      <c r="AA1402" s="71"/>
      <c r="AB1402" s="71"/>
      <c r="AC1402" s="71"/>
      <c r="AD1402" s="71"/>
      <c r="AE1402" s="71"/>
      <c r="AF1402" s="71"/>
      <c r="AG1402" s="71"/>
      <c r="AH1402" s="71"/>
      <c r="AI1402" s="71"/>
      <c r="AJ1402" s="71"/>
      <c r="AK1402" s="71"/>
      <c r="AL1402" s="71"/>
      <c r="AM1402" s="71"/>
      <c r="AN1402" s="71"/>
      <c r="AO1402" s="71"/>
      <c r="AP1402" s="71"/>
      <c r="AQ1402" s="71"/>
      <c r="AR1402" s="77"/>
    </row>
    <row r="1403">
      <c r="A1403" s="71"/>
      <c r="B1403" s="71"/>
      <c r="C1403" s="71"/>
      <c r="D1403" s="71"/>
      <c r="E1403" s="71"/>
      <c r="F1403" s="71"/>
      <c r="G1403" s="71"/>
      <c r="H1403" s="71"/>
      <c r="I1403" s="71"/>
      <c r="J1403" s="71"/>
      <c r="K1403" s="71"/>
      <c r="L1403" s="71"/>
      <c r="M1403" s="71"/>
      <c r="N1403" s="71"/>
      <c r="O1403" s="71"/>
      <c r="P1403" s="71"/>
      <c r="Q1403" s="71"/>
      <c r="R1403" s="71"/>
      <c r="S1403" s="71"/>
      <c r="T1403" s="71"/>
      <c r="U1403" s="71"/>
      <c r="V1403" s="71"/>
      <c r="W1403" s="71"/>
      <c r="X1403" s="71"/>
      <c r="Y1403" s="71"/>
      <c r="Z1403" s="71"/>
      <c r="AA1403" s="71"/>
      <c r="AB1403" s="71"/>
      <c r="AC1403" s="71"/>
      <c r="AD1403" s="71"/>
      <c r="AE1403" s="71"/>
      <c r="AF1403" s="71"/>
      <c r="AG1403" s="71"/>
      <c r="AH1403" s="71"/>
      <c r="AI1403" s="71"/>
      <c r="AJ1403" s="71"/>
      <c r="AK1403" s="71"/>
      <c r="AL1403" s="71"/>
      <c r="AM1403" s="71"/>
      <c r="AN1403" s="71"/>
      <c r="AO1403" s="71"/>
      <c r="AP1403" s="71"/>
      <c r="AQ1403" s="71"/>
      <c r="AR1403" s="77"/>
    </row>
    <row r="1404">
      <c r="A1404" s="71"/>
      <c r="B1404" s="71"/>
      <c r="C1404" s="71"/>
      <c r="D1404" s="71"/>
      <c r="E1404" s="71"/>
      <c r="F1404" s="71"/>
      <c r="G1404" s="71"/>
      <c r="H1404" s="71"/>
      <c r="I1404" s="71"/>
      <c r="J1404" s="71"/>
      <c r="K1404" s="71"/>
      <c r="L1404" s="71"/>
      <c r="M1404" s="71"/>
      <c r="N1404" s="71"/>
      <c r="O1404" s="71"/>
      <c r="P1404" s="71"/>
      <c r="Q1404" s="71"/>
      <c r="R1404" s="71"/>
      <c r="S1404" s="71"/>
      <c r="T1404" s="71"/>
      <c r="U1404" s="71"/>
      <c r="V1404" s="71"/>
      <c r="W1404" s="71"/>
      <c r="X1404" s="71"/>
      <c r="Y1404" s="71"/>
      <c r="Z1404" s="71"/>
      <c r="AA1404" s="71"/>
      <c r="AB1404" s="71"/>
      <c r="AC1404" s="71"/>
      <c r="AD1404" s="71"/>
      <c r="AE1404" s="71"/>
      <c r="AF1404" s="71"/>
      <c r="AG1404" s="71"/>
      <c r="AH1404" s="71"/>
      <c r="AI1404" s="71"/>
      <c r="AJ1404" s="71"/>
      <c r="AK1404" s="71"/>
      <c r="AL1404" s="71"/>
      <c r="AM1404" s="71"/>
      <c r="AN1404" s="71"/>
      <c r="AO1404" s="71"/>
      <c r="AP1404" s="71"/>
      <c r="AQ1404" s="71"/>
      <c r="AR1404" s="77"/>
    </row>
    <row r="1405">
      <c r="A1405" s="71"/>
      <c r="B1405" s="71"/>
      <c r="C1405" s="71"/>
      <c r="D1405" s="71"/>
      <c r="E1405" s="71"/>
      <c r="F1405" s="71"/>
      <c r="G1405" s="71"/>
      <c r="H1405" s="71"/>
      <c r="I1405" s="71"/>
      <c r="J1405" s="71"/>
      <c r="K1405" s="71"/>
      <c r="L1405" s="71"/>
      <c r="M1405" s="71"/>
      <c r="N1405" s="71"/>
      <c r="O1405" s="71"/>
      <c r="P1405" s="71"/>
      <c r="Q1405" s="71"/>
      <c r="R1405" s="71"/>
      <c r="S1405" s="71"/>
      <c r="T1405" s="71"/>
      <c r="U1405" s="71"/>
      <c r="V1405" s="71"/>
      <c r="W1405" s="71"/>
      <c r="X1405" s="71"/>
      <c r="Y1405" s="71"/>
      <c r="Z1405" s="71"/>
      <c r="AA1405" s="71"/>
      <c r="AB1405" s="71"/>
      <c r="AC1405" s="71"/>
      <c r="AD1405" s="71"/>
      <c r="AE1405" s="71"/>
      <c r="AF1405" s="71"/>
      <c r="AG1405" s="71"/>
      <c r="AH1405" s="71"/>
      <c r="AI1405" s="71"/>
      <c r="AJ1405" s="71"/>
      <c r="AK1405" s="71"/>
      <c r="AL1405" s="71"/>
      <c r="AM1405" s="71"/>
      <c r="AN1405" s="71"/>
      <c r="AO1405" s="71"/>
      <c r="AP1405" s="71"/>
      <c r="AQ1405" s="71"/>
      <c r="AR1405" s="77"/>
    </row>
    <row r="1406">
      <c r="A1406" s="71"/>
      <c r="B1406" s="71"/>
      <c r="C1406" s="71"/>
      <c r="D1406" s="71"/>
      <c r="E1406" s="71"/>
      <c r="F1406" s="71"/>
      <c r="G1406" s="71"/>
      <c r="H1406" s="71"/>
      <c r="I1406" s="71"/>
      <c r="J1406" s="71"/>
      <c r="K1406" s="71"/>
      <c r="L1406" s="71"/>
      <c r="M1406" s="71"/>
      <c r="N1406" s="71"/>
      <c r="O1406" s="71"/>
      <c r="P1406" s="71"/>
      <c r="Q1406" s="71"/>
      <c r="R1406" s="71"/>
      <c r="S1406" s="71"/>
      <c r="T1406" s="71"/>
      <c r="U1406" s="71"/>
      <c r="V1406" s="71"/>
      <c r="W1406" s="71"/>
      <c r="X1406" s="71"/>
      <c r="Y1406" s="71"/>
      <c r="Z1406" s="71"/>
      <c r="AA1406" s="71"/>
      <c r="AB1406" s="71"/>
      <c r="AC1406" s="71"/>
      <c r="AD1406" s="71"/>
      <c r="AE1406" s="71"/>
      <c r="AF1406" s="71"/>
      <c r="AG1406" s="71"/>
      <c r="AH1406" s="71"/>
      <c r="AI1406" s="71"/>
      <c r="AJ1406" s="71"/>
      <c r="AK1406" s="71"/>
      <c r="AL1406" s="71"/>
      <c r="AM1406" s="71"/>
      <c r="AN1406" s="71"/>
      <c r="AO1406" s="71"/>
      <c r="AP1406" s="71"/>
      <c r="AQ1406" s="71"/>
      <c r="AR1406" s="77"/>
    </row>
    <row r="1407">
      <c r="A1407" s="71"/>
      <c r="B1407" s="71"/>
      <c r="C1407" s="71"/>
      <c r="D1407" s="71"/>
      <c r="E1407" s="71"/>
      <c r="F1407" s="71"/>
      <c r="G1407" s="71"/>
      <c r="H1407" s="71"/>
      <c r="I1407" s="71"/>
      <c r="J1407" s="71"/>
      <c r="K1407" s="71"/>
      <c r="L1407" s="71"/>
      <c r="M1407" s="71"/>
      <c r="N1407" s="71"/>
      <c r="O1407" s="71"/>
      <c r="P1407" s="71"/>
      <c r="Q1407" s="71"/>
      <c r="R1407" s="71"/>
      <c r="S1407" s="71"/>
      <c r="T1407" s="71"/>
      <c r="U1407" s="71"/>
      <c r="V1407" s="71"/>
      <c r="W1407" s="71"/>
      <c r="X1407" s="71"/>
      <c r="Y1407" s="71"/>
      <c r="Z1407" s="71"/>
      <c r="AA1407" s="71"/>
      <c r="AB1407" s="71"/>
      <c r="AC1407" s="71"/>
      <c r="AD1407" s="71"/>
      <c r="AE1407" s="71"/>
      <c r="AF1407" s="71"/>
      <c r="AG1407" s="71"/>
      <c r="AH1407" s="71"/>
      <c r="AI1407" s="71"/>
      <c r="AJ1407" s="71"/>
      <c r="AK1407" s="71"/>
      <c r="AL1407" s="71"/>
      <c r="AM1407" s="71"/>
      <c r="AN1407" s="71"/>
      <c r="AO1407" s="71"/>
      <c r="AP1407" s="71"/>
      <c r="AQ1407" s="71"/>
      <c r="AR1407" s="77"/>
    </row>
    <row r="1408">
      <c r="A1408" s="71"/>
      <c r="B1408" s="71"/>
      <c r="C1408" s="71"/>
      <c r="D1408" s="71"/>
      <c r="E1408" s="71"/>
      <c r="F1408" s="71"/>
      <c r="G1408" s="71"/>
      <c r="H1408" s="71"/>
      <c r="I1408" s="71"/>
      <c r="J1408" s="71"/>
      <c r="K1408" s="71"/>
      <c r="L1408" s="71"/>
      <c r="M1408" s="71"/>
      <c r="N1408" s="71"/>
      <c r="O1408" s="71"/>
      <c r="P1408" s="71"/>
      <c r="Q1408" s="71"/>
      <c r="R1408" s="71"/>
      <c r="S1408" s="71"/>
      <c r="T1408" s="71"/>
      <c r="U1408" s="71"/>
      <c r="V1408" s="71"/>
      <c r="W1408" s="71"/>
      <c r="X1408" s="71"/>
      <c r="Y1408" s="71"/>
      <c r="Z1408" s="71"/>
      <c r="AA1408" s="71"/>
      <c r="AB1408" s="71"/>
      <c r="AC1408" s="71"/>
      <c r="AD1408" s="71"/>
      <c r="AE1408" s="71"/>
      <c r="AF1408" s="71"/>
      <c r="AG1408" s="71"/>
      <c r="AH1408" s="71"/>
      <c r="AI1408" s="71"/>
      <c r="AJ1408" s="71"/>
      <c r="AK1408" s="71"/>
      <c r="AL1408" s="71"/>
      <c r="AM1408" s="71"/>
      <c r="AN1408" s="71"/>
      <c r="AO1408" s="71"/>
      <c r="AP1408" s="71"/>
      <c r="AQ1408" s="71"/>
      <c r="AR1408" s="77"/>
    </row>
    <row r="1409">
      <c r="A1409" s="71"/>
      <c r="B1409" s="71"/>
      <c r="C1409" s="71"/>
      <c r="D1409" s="71"/>
      <c r="E1409" s="71"/>
      <c r="F1409" s="71"/>
      <c r="G1409" s="71"/>
      <c r="H1409" s="71"/>
      <c r="I1409" s="71"/>
      <c r="J1409" s="71"/>
      <c r="K1409" s="71"/>
      <c r="L1409" s="71"/>
      <c r="M1409" s="71"/>
      <c r="N1409" s="71"/>
      <c r="O1409" s="71"/>
      <c r="P1409" s="71"/>
      <c r="Q1409" s="71"/>
      <c r="R1409" s="71"/>
      <c r="S1409" s="71"/>
      <c r="T1409" s="71"/>
      <c r="U1409" s="71"/>
      <c r="V1409" s="71"/>
      <c r="W1409" s="71"/>
      <c r="X1409" s="71"/>
      <c r="Y1409" s="71"/>
      <c r="Z1409" s="71"/>
      <c r="AA1409" s="71"/>
      <c r="AB1409" s="71"/>
      <c r="AC1409" s="71"/>
      <c r="AD1409" s="71"/>
      <c r="AE1409" s="71"/>
      <c r="AF1409" s="71"/>
      <c r="AG1409" s="71"/>
      <c r="AH1409" s="71"/>
      <c r="AI1409" s="71"/>
      <c r="AJ1409" s="71"/>
      <c r="AK1409" s="71"/>
      <c r="AL1409" s="71"/>
      <c r="AM1409" s="71"/>
      <c r="AN1409" s="71"/>
      <c r="AO1409" s="71"/>
      <c r="AP1409" s="71"/>
      <c r="AQ1409" s="71"/>
      <c r="AR1409" s="77"/>
    </row>
    <row r="1410">
      <c r="A1410" s="71"/>
      <c r="B1410" s="71"/>
      <c r="C1410" s="71"/>
      <c r="D1410" s="71"/>
      <c r="E1410" s="71"/>
      <c r="F1410" s="71"/>
      <c r="G1410" s="71"/>
      <c r="H1410" s="71"/>
      <c r="I1410" s="71"/>
      <c r="J1410" s="71"/>
      <c r="K1410" s="71"/>
      <c r="L1410" s="71"/>
      <c r="M1410" s="71"/>
      <c r="N1410" s="71"/>
      <c r="O1410" s="71"/>
      <c r="P1410" s="71"/>
      <c r="Q1410" s="71"/>
      <c r="R1410" s="71"/>
      <c r="S1410" s="71"/>
      <c r="T1410" s="71"/>
      <c r="U1410" s="71"/>
      <c r="V1410" s="71"/>
      <c r="W1410" s="71"/>
      <c r="X1410" s="71"/>
      <c r="Y1410" s="71"/>
      <c r="Z1410" s="71"/>
      <c r="AA1410" s="71"/>
      <c r="AB1410" s="71"/>
      <c r="AC1410" s="71"/>
      <c r="AD1410" s="71"/>
      <c r="AE1410" s="71"/>
      <c r="AF1410" s="71"/>
      <c r="AG1410" s="71"/>
      <c r="AH1410" s="71"/>
      <c r="AI1410" s="71"/>
      <c r="AJ1410" s="71"/>
      <c r="AK1410" s="71"/>
      <c r="AL1410" s="71"/>
      <c r="AM1410" s="71"/>
      <c r="AN1410" s="71"/>
      <c r="AO1410" s="71"/>
      <c r="AP1410" s="71"/>
      <c r="AQ1410" s="71"/>
      <c r="AR1410" s="77"/>
    </row>
    <row r="1411">
      <c r="A1411" s="71"/>
      <c r="B1411" s="71"/>
      <c r="C1411" s="71"/>
      <c r="D1411" s="71"/>
      <c r="E1411" s="71"/>
      <c r="F1411" s="71"/>
      <c r="G1411" s="71"/>
      <c r="H1411" s="71"/>
      <c r="I1411" s="71"/>
      <c r="J1411" s="71"/>
      <c r="K1411" s="71"/>
      <c r="L1411" s="71"/>
      <c r="M1411" s="71"/>
      <c r="N1411" s="71"/>
      <c r="O1411" s="71"/>
      <c r="P1411" s="71"/>
      <c r="Q1411" s="71"/>
      <c r="R1411" s="71"/>
      <c r="S1411" s="71"/>
      <c r="T1411" s="71"/>
      <c r="U1411" s="71"/>
      <c r="V1411" s="71"/>
      <c r="W1411" s="71"/>
      <c r="X1411" s="71"/>
      <c r="Y1411" s="71"/>
      <c r="Z1411" s="71"/>
      <c r="AA1411" s="71"/>
      <c r="AB1411" s="71"/>
      <c r="AC1411" s="71"/>
      <c r="AD1411" s="71"/>
      <c r="AE1411" s="71"/>
      <c r="AF1411" s="71"/>
      <c r="AG1411" s="71"/>
      <c r="AH1411" s="71"/>
      <c r="AI1411" s="71"/>
      <c r="AJ1411" s="71"/>
      <c r="AK1411" s="71"/>
      <c r="AL1411" s="71"/>
      <c r="AM1411" s="71"/>
      <c r="AN1411" s="71"/>
      <c r="AO1411" s="71"/>
      <c r="AP1411" s="71"/>
      <c r="AQ1411" s="71"/>
      <c r="AR1411" s="77"/>
    </row>
    <row r="1412">
      <c r="A1412" s="71"/>
      <c r="B1412" s="71"/>
      <c r="C1412" s="71"/>
      <c r="D1412" s="71"/>
      <c r="E1412" s="71"/>
      <c r="F1412" s="71"/>
      <c r="G1412" s="71"/>
      <c r="H1412" s="71"/>
      <c r="I1412" s="71"/>
      <c r="J1412" s="71"/>
      <c r="K1412" s="71"/>
      <c r="L1412" s="71"/>
      <c r="M1412" s="71"/>
      <c r="N1412" s="71"/>
      <c r="O1412" s="71"/>
      <c r="P1412" s="71"/>
      <c r="Q1412" s="71"/>
      <c r="R1412" s="71"/>
      <c r="S1412" s="71"/>
      <c r="T1412" s="71"/>
      <c r="U1412" s="71"/>
      <c r="V1412" s="71"/>
      <c r="W1412" s="71"/>
      <c r="X1412" s="71"/>
      <c r="Y1412" s="71"/>
      <c r="Z1412" s="71"/>
      <c r="AA1412" s="71"/>
      <c r="AB1412" s="71"/>
      <c r="AC1412" s="71"/>
      <c r="AD1412" s="71"/>
      <c r="AE1412" s="71"/>
      <c r="AF1412" s="71"/>
      <c r="AG1412" s="71"/>
      <c r="AH1412" s="71"/>
      <c r="AI1412" s="71"/>
      <c r="AJ1412" s="71"/>
      <c r="AK1412" s="71"/>
      <c r="AL1412" s="71"/>
      <c r="AM1412" s="71"/>
      <c r="AN1412" s="71"/>
      <c r="AO1412" s="71"/>
      <c r="AP1412" s="71"/>
      <c r="AQ1412" s="71"/>
      <c r="AR1412" s="77"/>
    </row>
    <row r="1413">
      <c r="A1413" s="71"/>
      <c r="B1413" s="71"/>
      <c r="C1413" s="71"/>
      <c r="D1413" s="71"/>
      <c r="E1413" s="71"/>
      <c r="F1413" s="71"/>
      <c r="G1413" s="71"/>
      <c r="H1413" s="71"/>
      <c r="I1413" s="71"/>
      <c r="J1413" s="71"/>
      <c r="K1413" s="71"/>
      <c r="L1413" s="71"/>
      <c r="M1413" s="71"/>
      <c r="N1413" s="71"/>
      <c r="O1413" s="71"/>
      <c r="P1413" s="71"/>
      <c r="Q1413" s="71"/>
      <c r="R1413" s="71"/>
      <c r="S1413" s="71"/>
      <c r="T1413" s="71"/>
      <c r="U1413" s="71"/>
      <c r="V1413" s="71"/>
      <c r="W1413" s="71"/>
      <c r="X1413" s="71"/>
      <c r="Y1413" s="71"/>
      <c r="Z1413" s="71"/>
      <c r="AA1413" s="71"/>
      <c r="AB1413" s="71"/>
      <c r="AC1413" s="71"/>
      <c r="AD1413" s="71"/>
      <c r="AE1413" s="71"/>
      <c r="AF1413" s="71"/>
      <c r="AG1413" s="71"/>
      <c r="AH1413" s="71"/>
      <c r="AI1413" s="71"/>
      <c r="AJ1413" s="71"/>
      <c r="AK1413" s="71"/>
      <c r="AL1413" s="71"/>
      <c r="AM1413" s="71"/>
      <c r="AN1413" s="71"/>
      <c r="AO1413" s="71"/>
      <c r="AP1413" s="71"/>
      <c r="AQ1413" s="71"/>
      <c r="AR1413" s="77"/>
    </row>
    <row r="1414">
      <c r="A1414" s="71"/>
      <c r="B1414" s="71"/>
      <c r="C1414" s="71"/>
      <c r="D1414" s="71"/>
      <c r="E1414" s="71"/>
      <c r="F1414" s="71"/>
      <c r="G1414" s="71"/>
      <c r="H1414" s="71"/>
      <c r="I1414" s="71"/>
      <c r="J1414" s="71"/>
      <c r="K1414" s="71"/>
      <c r="L1414" s="71"/>
      <c r="M1414" s="71"/>
      <c r="N1414" s="71"/>
      <c r="O1414" s="71"/>
      <c r="P1414" s="71"/>
      <c r="Q1414" s="71"/>
      <c r="R1414" s="71"/>
      <c r="S1414" s="71"/>
      <c r="T1414" s="71"/>
      <c r="U1414" s="71"/>
      <c r="V1414" s="71"/>
      <c r="W1414" s="71"/>
      <c r="X1414" s="71"/>
      <c r="Y1414" s="71"/>
      <c r="Z1414" s="71"/>
      <c r="AA1414" s="71"/>
      <c r="AB1414" s="71"/>
      <c r="AC1414" s="71"/>
      <c r="AD1414" s="71"/>
      <c r="AE1414" s="71"/>
      <c r="AF1414" s="71"/>
      <c r="AG1414" s="71"/>
      <c r="AH1414" s="71"/>
      <c r="AI1414" s="71"/>
      <c r="AJ1414" s="71"/>
      <c r="AK1414" s="71"/>
      <c r="AL1414" s="71"/>
      <c r="AM1414" s="71"/>
      <c r="AN1414" s="71"/>
      <c r="AO1414" s="71"/>
      <c r="AP1414" s="71"/>
      <c r="AQ1414" s="71"/>
      <c r="AR1414" s="77"/>
    </row>
    <row r="1415">
      <c r="A1415" s="71"/>
      <c r="B1415" s="71"/>
      <c r="C1415" s="71"/>
      <c r="D1415" s="71"/>
      <c r="E1415" s="71"/>
      <c r="F1415" s="71"/>
      <c r="G1415" s="71"/>
      <c r="H1415" s="71"/>
      <c r="I1415" s="71"/>
      <c r="J1415" s="71"/>
      <c r="K1415" s="71"/>
      <c r="L1415" s="71"/>
      <c r="M1415" s="71"/>
      <c r="N1415" s="71"/>
      <c r="O1415" s="71"/>
      <c r="P1415" s="71"/>
      <c r="Q1415" s="71"/>
      <c r="R1415" s="71"/>
      <c r="S1415" s="71"/>
      <c r="T1415" s="71"/>
      <c r="U1415" s="71"/>
      <c r="V1415" s="71"/>
      <c r="W1415" s="71"/>
      <c r="X1415" s="71"/>
      <c r="Y1415" s="71"/>
      <c r="Z1415" s="71"/>
      <c r="AA1415" s="71"/>
      <c r="AB1415" s="71"/>
      <c r="AC1415" s="71"/>
      <c r="AD1415" s="71"/>
      <c r="AE1415" s="71"/>
      <c r="AF1415" s="71"/>
      <c r="AG1415" s="71"/>
      <c r="AH1415" s="71"/>
      <c r="AI1415" s="71"/>
      <c r="AJ1415" s="71"/>
      <c r="AK1415" s="71"/>
      <c r="AL1415" s="71"/>
      <c r="AM1415" s="71"/>
      <c r="AN1415" s="71"/>
      <c r="AO1415" s="71"/>
      <c r="AP1415" s="71"/>
      <c r="AQ1415" s="71"/>
      <c r="AR1415" s="77"/>
    </row>
    <row r="1416">
      <c r="A1416" s="71"/>
      <c r="B1416" s="71"/>
      <c r="C1416" s="71"/>
      <c r="D1416" s="71"/>
      <c r="E1416" s="71"/>
      <c r="F1416" s="71"/>
      <c r="G1416" s="71"/>
      <c r="H1416" s="71"/>
      <c r="I1416" s="71"/>
      <c r="J1416" s="71"/>
      <c r="K1416" s="71"/>
      <c r="L1416" s="71"/>
      <c r="M1416" s="71"/>
      <c r="N1416" s="71"/>
      <c r="O1416" s="71"/>
      <c r="P1416" s="71"/>
      <c r="Q1416" s="71"/>
      <c r="R1416" s="71"/>
      <c r="S1416" s="71"/>
      <c r="T1416" s="71"/>
      <c r="U1416" s="71"/>
      <c r="V1416" s="71"/>
      <c r="W1416" s="71"/>
      <c r="X1416" s="71"/>
      <c r="Y1416" s="71"/>
      <c r="Z1416" s="71"/>
      <c r="AA1416" s="71"/>
      <c r="AB1416" s="71"/>
      <c r="AC1416" s="71"/>
      <c r="AD1416" s="71"/>
      <c r="AE1416" s="71"/>
      <c r="AF1416" s="71"/>
      <c r="AG1416" s="71"/>
      <c r="AH1416" s="71"/>
      <c r="AI1416" s="71"/>
      <c r="AJ1416" s="71"/>
      <c r="AK1416" s="71"/>
      <c r="AL1416" s="71"/>
      <c r="AM1416" s="71"/>
      <c r="AN1416" s="71"/>
      <c r="AO1416" s="71"/>
      <c r="AP1416" s="71"/>
      <c r="AQ1416" s="71"/>
      <c r="AR1416" s="77"/>
    </row>
    <row r="1417">
      <c r="A1417" s="71"/>
      <c r="B1417" s="71"/>
      <c r="C1417" s="71"/>
      <c r="D1417" s="71"/>
      <c r="E1417" s="71"/>
      <c r="F1417" s="71"/>
      <c r="G1417" s="71"/>
      <c r="H1417" s="71"/>
      <c r="I1417" s="71"/>
      <c r="J1417" s="71"/>
      <c r="K1417" s="71"/>
      <c r="L1417" s="71"/>
      <c r="M1417" s="71"/>
      <c r="N1417" s="71"/>
      <c r="O1417" s="71"/>
      <c r="P1417" s="71"/>
      <c r="Q1417" s="71"/>
      <c r="R1417" s="71"/>
      <c r="S1417" s="71"/>
      <c r="T1417" s="71"/>
      <c r="U1417" s="71"/>
      <c r="V1417" s="71"/>
      <c r="W1417" s="71"/>
      <c r="X1417" s="71"/>
      <c r="Y1417" s="71"/>
      <c r="Z1417" s="71"/>
      <c r="AA1417" s="71"/>
      <c r="AB1417" s="71"/>
      <c r="AC1417" s="71"/>
      <c r="AD1417" s="71"/>
      <c r="AE1417" s="71"/>
      <c r="AF1417" s="71"/>
      <c r="AG1417" s="71"/>
      <c r="AH1417" s="71"/>
      <c r="AI1417" s="71"/>
      <c r="AJ1417" s="71"/>
      <c r="AK1417" s="71"/>
      <c r="AL1417" s="71"/>
      <c r="AM1417" s="71"/>
      <c r="AN1417" s="71"/>
      <c r="AO1417" s="71"/>
      <c r="AP1417" s="71"/>
      <c r="AQ1417" s="71"/>
      <c r="AR1417" s="77"/>
    </row>
    <row r="1418">
      <c r="A1418" s="71"/>
      <c r="B1418" s="71"/>
      <c r="C1418" s="71"/>
      <c r="D1418" s="71"/>
      <c r="E1418" s="71"/>
      <c r="F1418" s="71"/>
      <c r="G1418" s="71"/>
      <c r="H1418" s="71"/>
      <c r="I1418" s="71"/>
      <c r="J1418" s="71"/>
      <c r="K1418" s="71"/>
      <c r="L1418" s="71"/>
      <c r="M1418" s="71"/>
      <c r="N1418" s="71"/>
      <c r="O1418" s="71"/>
      <c r="P1418" s="71"/>
      <c r="Q1418" s="71"/>
      <c r="R1418" s="71"/>
      <c r="S1418" s="71"/>
      <c r="T1418" s="71"/>
      <c r="U1418" s="71"/>
      <c r="V1418" s="71"/>
      <c r="W1418" s="71"/>
      <c r="X1418" s="71"/>
      <c r="Y1418" s="71"/>
      <c r="Z1418" s="71"/>
      <c r="AA1418" s="71"/>
      <c r="AB1418" s="71"/>
      <c r="AC1418" s="71"/>
      <c r="AD1418" s="71"/>
      <c r="AE1418" s="71"/>
      <c r="AF1418" s="71"/>
      <c r="AG1418" s="71"/>
      <c r="AH1418" s="71"/>
      <c r="AI1418" s="71"/>
      <c r="AJ1418" s="71"/>
      <c r="AK1418" s="71"/>
      <c r="AL1418" s="71"/>
      <c r="AM1418" s="71"/>
      <c r="AN1418" s="71"/>
      <c r="AO1418" s="71"/>
      <c r="AP1418" s="71"/>
      <c r="AQ1418" s="71"/>
      <c r="AR1418" s="77"/>
    </row>
    <row r="1419">
      <c r="A1419" s="71"/>
      <c r="B1419" s="71"/>
      <c r="C1419" s="71"/>
      <c r="D1419" s="71"/>
      <c r="E1419" s="71"/>
      <c r="F1419" s="71"/>
      <c r="G1419" s="71"/>
      <c r="H1419" s="71"/>
      <c r="I1419" s="71"/>
      <c r="J1419" s="71"/>
      <c r="K1419" s="71"/>
      <c r="L1419" s="71"/>
      <c r="M1419" s="71"/>
      <c r="N1419" s="71"/>
      <c r="O1419" s="71"/>
      <c r="P1419" s="71"/>
      <c r="Q1419" s="71"/>
      <c r="R1419" s="71"/>
      <c r="S1419" s="71"/>
      <c r="T1419" s="71"/>
      <c r="U1419" s="71"/>
      <c r="V1419" s="71"/>
      <c r="W1419" s="71"/>
      <c r="X1419" s="71"/>
      <c r="Y1419" s="71"/>
      <c r="Z1419" s="71"/>
      <c r="AA1419" s="71"/>
      <c r="AB1419" s="71"/>
      <c r="AC1419" s="71"/>
      <c r="AD1419" s="71"/>
      <c r="AE1419" s="71"/>
      <c r="AF1419" s="71"/>
      <c r="AG1419" s="71"/>
      <c r="AH1419" s="71"/>
      <c r="AI1419" s="71"/>
      <c r="AJ1419" s="71"/>
      <c r="AK1419" s="71"/>
      <c r="AL1419" s="71"/>
      <c r="AM1419" s="71"/>
      <c r="AN1419" s="71"/>
      <c r="AO1419" s="71"/>
      <c r="AP1419" s="71"/>
      <c r="AQ1419" s="71"/>
      <c r="AR1419" s="77"/>
    </row>
    <row r="1420">
      <c r="A1420" s="71"/>
      <c r="B1420" s="71"/>
      <c r="C1420" s="71"/>
      <c r="D1420" s="71"/>
      <c r="E1420" s="71"/>
      <c r="F1420" s="71"/>
      <c r="G1420" s="71"/>
      <c r="H1420" s="71"/>
      <c r="I1420" s="71"/>
      <c r="J1420" s="71"/>
      <c r="K1420" s="71"/>
      <c r="L1420" s="71"/>
      <c r="M1420" s="71"/>
      <c r="N1420" s="71"/>
      <c r="O1420" s="71"/>
      <c r="P1420" s="71"/>
      <c r="Q1420" s="71"/>
      <c r="R1420" s="71"/>
      <c r="S1420" s="71"/>
      <c r="T1420" s="71"/>
      <c r="U1420" s="71"/>
      <c r="V1420" s="71"/>
      <c r="W1420" s="71"/>
      <c r="X1420" s="71"/>
      <c r="Y1420" s="71"/>
      <c r="Z1420" s="71"/>
      <c r="AA1420" s="71"/>
      <c r="AB1420" s="71"/>
      <c r="AC1420" s="71"/>
      <c r="AD1420" s="71"/>
      <c r="AE1420" s="71"/>
      <c r="AF1420" s="71"/>
      <c r="AG1420" s="71"/>
      <c r="AH1420" s="71"/>
      <c r="AI1420" s="71"/>
      <c r="AJ1420" s="71"/>
      <c r="AK1420" s="71"/>
      <c r="AL1420" s="71"/>
      <c r="AM1420" s="71"/>
      <c r="AN1420" s="71"/>
      <c r="AO1420" s="71"/>
      <c r="AP1420" s="71"/>
      <c r="AQ1420" s="71"/>
      <c r="AR1420" s="77"/>
    </row>
    <row r="1421">
      <c r="A1421" s="71"/>
      <c r="B1421" s="71"/>
      <c r="C1421" s="71"/>
      <c r="D1421" s="71"/>
      <c r="E1421" s="71"/>
      <c r="F1421" s="71"/>
      <c r="G1421" s="71"/>
      <c r="H1421" s="71"/>
      <c r="I1421" s="71"/>
      <c r="J1421" s="71"/>
      <c r="K1421" s="71"/>
      <c r="L1421" s="71"/>
      <c r="M1421" s="71"/>
      <c r="N1421" s="71"/>
      <c r="O1421" s="71"/>
      <c r="P1421" s="71"/>
      <c r="Q1421" s="71"/>
      <c r="R1421" s="71"/>
      <c r="S1421" s="71"/>
      <c r="T1421" s="71"/>
      <c r="U1421" s="71"/>
      <c r="V1421" s="71"/>
      <c r="W1421" s="71"/>
      <c r="X1421" s="71"/>
      <c r="Y1421" s="71"/>
      <c r="Z1421" s="71"/>
      <c r="AA1421" s="71"/>
      <c r="AB1421" s="71"/>
      <c r="AC1421" s="71"/>
      <c r="AD1421" s="71"/>
      <c r="AE1421" s="71"/>
      <c r="AF1421" s="71"/>
      <c r="AG1421" s="71"/>
      <c r="AH1421" s="71"/>
      <c r="AI1421" s="71"/>
      <c r="AJ1421" s="71"/>
      <c r="AK1421" s="71"/>
      <c r="AL1421" s="71"/>
      <c r="AM1421" s="71"/>
      <c r="AN1421" s="71"/>
      <c r="AO1421" s="71"/>
      <c r="AP1421" s="71"/>
      <c r="AQ1421" s="71"/>
      <c r="AR1421" s="77"/>
    </row>
    <row r="1422">
      <c r="A1422" s="71"/>
      <c r="B1422" s="71"/>
      <c r="C1422" s="71"/>
      <c r="D1422" s="71"/>
      <c r="E1422" s="71"/>
      <c r="F1422" s="71"/>
      <c r="G1422" s="71"/>
      <c r="H1422" s="71"/>
      <c r="I1422" s="71"/>
      <c r="J1422" s="71"/>
      <c r="K1422" s="71"/>
      <c r="L1422" s="71"/>
      <c r="M1422" s="71"/>
      <c r="N1422" s="71"/>
      <c r="O1422" s="71"/>
      <c r="P1422" s="71"/>
      <c r="Q1422" s="71"/>
      <c r="R1422" s="71"/>
      <c r="S1422" s="71"/>
      <c r="T1422" s="71"/>
      <c r="U1422" s="71"/>
      <c r="V1422" s="71"/>
      <c r="W1422" s="71"/>
      <c r="X1422" s="71"/>
      <c r="Y1422" s="71"/>
      <c r="Z1422" s="71"/>
      <c r="AA1422" s="71"/>
      <c r="AB1422" s="71"/>
      <c r="AC1422" s="71"/>
      <c r="AD1422" s="71"/>
      <c r="AE1422" s="71"/>
      <c r="AF1422" s="71"/>
      <c r="AG1422" s="71"/>
      <c r="AH1422" s="71"/>
      <c r="AI1422" s="71"/>
      <c r="AJ1422" s="71"/>
      <c r="AK1422" s="71"/>
      <c r="AL1422" s="71"/>
      <c r="AM1422" s="71"/>
      <c r="AN1422" s="71"/>
      <c r="AO1422" s="71"/>
      <c r="AP1422" s="71"/>
      <c r="AQ1422" s="71"/>
      <c r="AR1422" s="77"/>
    </row>
    <row r="1423">
      <c r="A1423" s="71"/>
      <c r="B1423" s="71"/>
      <c r="C1423" s="71"/>
      <c r="D1423" s="71"/>
      <c r="E1423" s="71"/>
      <c r="F1423" s="71"/>
      <c r="G1423" s="71"/>
      <c r="H1423" s="71"/>
      <c r="I1423" s="71"/>
      <c r="J1423" s="71"/>
      <c r="K1423" s="71"/>
      <c r="L1423" s="71"/>
      <c r="M1423" s="71"/>
      <c r="N1423" s="71"/>
      <c r="O1423" s="71"/>
      <c r="P1423" s="71"/>
      <c r="Q1423" s="71"/>
      <c r="R1423" s="71"/>
      <c r="S1423" s="71"/>
      <c r="T1423" s="71"/>
      <c r="U1423" s="71"/>
      <c r="V1423" s="71"/>
      <c r="W1423" s="71"/>
      <c r="X1423" s="71"/>
      <c r="Y1423" s="71"/>
      <c r="Z1423" s="71"/>
      <c r="AA1423" s="71"/>
      <c r="AB1423" s="71"/>
      <c r="AC1423" s="71"/>
      <c r="AD1423" s="71"/>
      <c r="AE1423" s="71"/>
      <c r="AF1423" s="71"/>
      <c r="AG1423" s="71"/>
      <c r="AH1423" s="71"/>
      <c r="AI1423" s="71"/>
      <c r="AJ1423" s="71"/>
      <c r="AK1423" s="71"/>
      <c r="AL1423" s="71"/>
      <c r="AM1423" s="71"/>
      <c r="AN1423" s="71"/>
      <c r="AO1423" s="71"/>
      <c r="AP1423" s="71"/>
      <c r="AQ1423" s="71"/>
      <c r="AR1423" s="77"/>
    </row>
    <row r="1424">
      <c r="A1424" s="71"/>
      <c r="B1424" s="71"/>
      <c r="C1424" s="71"/>
      <c r="D1424" s="71"/>
      <c r="E1424" s="71"/>
      <c r="F1424" s="71"/>
      <c r="G1424" s="71"/>
      <c r="H1424" s="71"/>
      <c r="I1424" s="71"/>
      <c r="J1424" s="71"/>
      <c r="K1424" s="71"/>
      <c r="L1424" s="71"/>
      <c r="M1424" s="71"/>
      <c r="N1424" s="71"/>
      <c r="O1424" s="71"/>
      <c r="P1424" s="71"/>
      <c r="Q1424" s="71"/>
      <c r="R1424" s="71"/>
      <c r="S1424" s="71"/>
      <c r="T1424" s="71"/>
      <c r="U1424" s="71"/>
      <c r="V1424" s="71"/>
      <c r="W1424" s="71"/>
      <c r="X1424" s="71"/>
      <c r="Y1424" s="71"/>
      <c r="Z1424" s="71"/>
      <c r="AA1424" s="71"/>
      <c r="AB1424" s="71"/>
      <c r="AC1424" s="71"/>
      <c r="AD1424" s="71"/>
      <c r="AE1424" s="71"/>
      <c r="AF1424" s="71"/>
      <c r="AG1424" s="71"/>
      <c r="AH1424" s="71"/>
      <c r="AI1424" s="71"/>
      <c r="AJ1424" s="71"/>
      <c r="AK1424" s="71"/>
      <c r="AL1424" s="71"/>
      <c r="AM1424" s="71"/>
      <c r="AN1424" s="71"/>
      <c r="AO1424" s="71"/>
      <c r="AP1424" s="71"/>
      <c r="AQ1424" s="71"/>
      <c r="AR1424" s="77"/>
    </row>
    <row r="1425">
      <c r="A1425" s="71"/>
      <c r="B1425" s="71"/>
      <c r="C1425" s="71"/>
      <c r="D1425" s="71"/>
      <c r="E1425" s="71"/>
      <c r="F1425" s="71"/>
      <c r="G1425" s="71"/>
      <c r="H1425" s="71"/>
      <c r="I1425" s="71"/>
      <c r="J1425" s="71"/>
      <c r="K1425" s="71"/>
      <c r="L1425" s="71"/>
      <c r="M1425" s="71"/>
      <c r="N1425" s="71"/>
      <c r="O1425" s="71"/>
      <c r="P1425" s="71"/>
      <c r="Q1425" s="71"/>
      <c r="R1425" s="71"/>
      <c r="S1425" s="71"/>
      <c r="T1425" s="71"/>
      <c r="U1425" s="71"/>
      <c r="V1425" s="71"/>
      <c r="W1425" s="71"/>
      <c r="X1425" s="71"/>
      <c r="Y1425" s="71"/>
      <c r="Z1425" s="71"/>
      <c r="AA1425" s="71"/>
      <c r="AB1425" s="71"/>
      <c r="AC1425" s="71"/>
      <c r="AD1425" s="71"/>
      <c r="AE1425" s="71"/>
      <c r="AF1425" s="71"/>
      <c r="AG1425" s="71"/>
      <c r="AH1425" s="71"/>
      <c r="AI1425" s="71"/>
      <c r="AJ1425" s="71"/>
      <c r="AK1425" s="71"/>
      <c r="AL1425" s="71"/>
      <c r="AM1425" s="71"/>
      <c r="AN1425" s="71"/>
      <c r="AO1425" s="71"/>
      <c r="AP1425" s="71"/>
      <c r="AQ1425" s="71"/>
      <c r="AR1425" s="77"/>
    </row>
    <row r="1426">
      <c r="A1426" s="71"/>
      <c r="B1426" s="71"/>
      <c r="C1426" s="71"/>
      <c r="D1426" s="71"/>
      <c r="E1426" s="71"/>
      <c r="F1426" s="71"/>
      <c r="G1426" s="71"/>
      <c r="H1426" s="71"/>
      <c r="I1426" s="71"/>
      <c r="J1426" s="71"/>
      <c r="K1426" s="71"/>
      <c r="L1426" s="71"/>
      <c r="M1426" s="71"/>
      <c r="N1426" s="71"/>
      <c r="O1426" s="71"/>
      <c r="P1426" s="71"/>
      <c r="Q1426" s="71"/>
      <c r="R1426" s="71"/>
      <c r="S1426" s="71"/>
      <c r="T1426" s="71"/>
      <c r="U1426" s="71"/>
      <c r="V1426" s="71"/>
      <c r="W1426" s="71"/>
      <c r="X1426" s="71"/>
      <c r="Y1426" s="71"/>
      <c r="Z1426" s="71"/>
      <c r="AA1426" s="71"/>
      <c r="AB1426" s="71"/>
      <c r="AC1426" s="71"/>
      <c r="AD1426" s="71"/>
      <c r="AE1426" s="71"/>
      <c r="AF1426" s="71"/>
      <c r="AG1426" s="71"/>
      <c r="AH1426" s="71"/>
      <c r="AI1426" s="71"/>
      <c r="AJ1426" s="71"/>
      <c r="AK1426" s="71"/>
      <c r="AL1426" s="71"/>
      <c r="AM1426" s="71"/>
      <c r="AN1426" s="71"/>
      <c r="AO1426" s="71"/>
      <c r="AP1426" s="71"/>
      <c r="AQ1426" s="71"/>
      <c r="AR1426" s="77"/>
    </row>
    <row r="1427">
      <c r="A1427" s="71"/>
      <c r="B1427" s="71"/>
      <c r="C1427" s="71"/>
      <c r="D1427" s="71"/>
      <c r="E1427" s="71"/>
      <c r="F1427" s="71"/>
      <c r="G1427" s="71"/>
      <c r="H1427" s="71"/>
      <c r="I1427" s="71"/>
      <c r="J1427" s="71"/>
      <c r="K1427" s="71"/>
      <c r="L1427" s="71"/>
      <c r="M1427" s="71"/>
      <c r="N1427" s="71"/>
      <c r="O1427" s="71"/>
      <c r="P1427" s="71"/>
      <c r="Q1427" s="71"/>
      <c r="R1427" s="71"/>
      <c r="S1427" s="71"/>
      <c r="T1427" s="71"/>
      <c r="U1427" s="71"/>
      <c r="V1427" s="71"/>
      <c r="W1427" s="71"/>
      <c r="X1427" s="71"/>
      <c r="Y1427" s="71"/>
      <c r="Z1427" s="71"/>
      <c r="AA1427" s="71"/>
      <c r="AB1427" s="71"/>
      <c r="AC1427" s="71"/>
      <c r="AD1427" s="71"/>
      <c r="AE1427" s="71"/>
      <c r="AF1427" s="71"/>
      <c r="AG1427" s="71"/>
      <c r="AH1427" s="71"/>
      <c r="AI1427" s="71"/>
      <c r="AJ1427" s="71"/>
      <c r="AK1427" s="71"/>
      <c r="AL1427" s="71"/>
      <c r="AM1427" s="71"/>
      <c r="AN1427" s="71"/>
      <c r="AO1427" s="71"/>
      <c r="AP1427" s="71"/>
      <c r="AQ1427" s="71"/>
      <c r="AR1427" s="77"/>
    </row>
    <row r="1428">
      <c r="A1428" s="71"/>
      <c r="B1428" s="71"/>
      <c r="C1428" s="71"/>
      <c r="D1428" s="71"/>
      <c r="E1428" s="71"/>
      <c r="F1428" s="71"/>
      <c r="G1428" s="71"/>
      <c r="H1428" s="71"/>
      <c r="I1428" s="71"/>
      <c r="J1428" s="71"/>
      <c r="K1428" s="71"/>
      <c r="L1428" s="71"/>
      <c r="M1428" s="71"/>
      <c r="N1428" s="71"/>
      <c r="O1428" s="71"/>
      <c r="P1428" s="71"/>
      <c r="Q1428" s="71"/>
      <c r="R1428" s="71"/>
      <c r="S1428" s="71"/>
      <c r="T1428" s="71"/>
      <c r="U1428" s="71"/>
      <c r="V1428" s="71"/>
      <c r="W1428" s="71"/>
      <c r="X1428" s="71"/>
      <c r="Y1428" s="71"/>
      <c r="Z1428" s="71"/>
      <c r="AA1428" s="71"/>
      <c r="AB1428" s="71"/>
      <c r="AC1428" s="71"/>
      <c r="AD1428" s="71"/>
      <c r="AE1428" s="71"/>
      <c r="AF1428" s="71"/>
      <c r="AG1428" s="71"/>
      <c r="AH1428" s="71"/>
      <c r="AI1428" s="71"/>
      <c r="AJ1428" s="71"/>
      <c r="AK1428" s="71"/>
      <c r="AL1428" s="71"/>
      <c r="AM1428" s="71"/>
      <c r="AN1428" s="71"/>
      <c r="AO1428" s="71"/>
      <c r="AP1428" s="71"/>
      <c r="AQ1428" s="71"/>
      <c r="AR1428" s="77"/>
    </row>
    <row r="1429">
      <c r="A1429" s="71"/>
      <c r="B1429" s="71"/>
      <c r="C1429" s="71"/>
      <c r="D1429" s="71"/>
      <c r="E1429" s="71"/>
      <c r="F1429" s="71"/>
      <c r="G1429" s="71"/>
      <c r="H1429" s="71"/>
      <c r="I1429" s="71"/>
      <c r="J1429" s="71"/>
      <c r="K1429" s="71"/>
      <c r="L1429" s="71"/>
      <c r="M1429" s="71"/>
      <c r="N1429" s="71"/>
      <c r="O1429" s="71"/>
      <c r="P1429" s="71"/>
      <c r="Q1429" s="71"/>
      <c r="R1429" s="71"/>
      <c r="S1429" s="71"/>
      <c r="T1429" s="71"/>
      <c r="U1429" s="71"/>
      <c r="V1429" s="71"/>
      <c r="W1429" s="71"/>
      <c r="X1429" s="71"/>
      <c r="Y1429" s="71"/>
      <c r="Z1429" s="71"/>
      <c r="AA1429" s="71"/>
      <c r="AB1429" s="71"/>
      <c r="AC1429" s="71"/>
      <c r="AD1429" s="71"/>
      <c r="AE1429" s="71"/>
      <c r="AF1429" s="71"/>
      <c r="AG1429" s="71"/>
      <c r="AH1429" s="71"/>
      <c r="AI1429" s="71"/>
      <c r="AJ1429" s="71"/>
      <c r="AK1429" s="71"/>
      <c r="AL1429" s="71"/>
      <c r="AM1429" s="71"/>
      <c r="AN1429" s="71"/>
      <c r="AO1429" s="71"/>
      <c r="AP1429" s="71"/>
      <c r="AQ1429" s="71"/>
      <c r="AR1429" s="77"/>
    </row>
    <row r="1430">
      <c r="A1430" s="71"/>
      <c r="B1430" s="71"/>
      <c r="C1430" s="71"/>
      <c r="D1430" s="71"/>
      <c r="E1430" s="71"/>
      <c r="F1430" s="71"/>
      <c r="G1430" s="71"/>
      <c r="H1430" s="71"/>
      <c r="I1430" s="71"/>
      <c r="J1430" s="71"/>
      <c r="K1430" s="71"/>
      <c r="L1430" s="71"/>
      <c r="M1430" s="71"/>
      <c r="N1430" s="71"/>
      <c r="O1430" s="71"/>
      <c r="P1430" s="71"/>
      <c r="Q1430" s="71"/>
      <c r="R1430" s="71"/>
      <c r="S1430" s="71"/>
      <c r="T1430" s="71"/>
      <c r="U1430" s="71"/>
      <c r="V1430" s="71"/>
      <c r="W1430" s="71"/>
      <c r="X1430" s="71"/>
      <c r="Y1430" s="71"/>
      <c r="Z1430" s="71"/>
      <c r="AA1430" s="71"/>
      <c r="AB1430" s="71"/>
      <c r="AC1430" s="71"/>
      <c r="AD1430" s="71"/>
      <c r="AE1430" s="71"/>
      <c r="AF1430" s="71"/>
      <c r="AG1430" s="71"/>
      <c r="AH1430" s="71"/>
      <c r="AI1430" s="71"/>
      <c r="AJ1430" s="71"/>
      <c r="AK1430" s="71"/>
      <c r="AL1430" s="71"/>
      <c r="AM1430" s="71"/>
      <c r="AN1430" s="71"/>
      <c r="AO1430" s="71"/>
      <c r="AP1430" s="71"/>
      <c r="AQ1430" s="71"/>
      <c r="AR1430" s="77"/>
    </row>
    <row r="1431">
      <c r="A1431" s="71"/>
      <c r="B1431" s="71"/>
      <c r="C1431" s="71"/>
      <c r="D1431" s="71"/>
      <c r="E1431" s="71"/>
      <c r="F1431" s="71"/>
      <c r="G1431" s="71"/>
      <c r="H1431" s="71"/>
      <c r="I1431" s="71"/>
      <c r="J1431" s="71"/>
      <c r="K1431" s="71"/>
      <c r="L1431" s="71"/>
      <c r="M1431" s="71"/>
      <c r="N1431" s="71"/>
      <c r="O1431" s="71"/>
      <c r="P1431" s="71"/>
      <c r="Q1431" s="71"/>
      <c r="R1431" s="71"/>
      <c r="S1431" s="71"/>
      <c r="T1431" s="71"/>
      <c r="U1431" s="71"/>
      <c r="V1431" s="71"/>
      <c r="W1431" s="71"/>
      <c r="X1431" s="71"/>
      <c r="Y1431" s="71"/>
      <c r="Z1431" s="71"/>
      <c r="AA1431" s="71"/>
      <c r="AB1431" s="71"/>
      <c r="AC1431" s="71"/>
      <c r="AD1431" s="71"/>
      <c r="AE1431" s="71"/>
      <c r="AF1431" s="71"/>
      <c r="AG1431" s="71"/>
      <c r="AH1431" s="71"/>
      <c r="AI1431" s="71"/>
      <c r="AJ1431" s="71"/>
      <c r="AK1431" s="71"/>
      <c r="AL1431" s="71"/>
      <c r="AM1431" s="71"/>
      <c r="AN1431" s="71"/>
      <c r="AO1431" s="71"/>
      <c r="AP1431" s="71"/>
      <c r="AQ1431" s="71"/>
      <c r="AR1431" s="77"/>
    </row>
    <row r="1432">
      <c r="A1432" s="71"/>
      <c r="B1432" s="71"/>
      <c r="C1432" s="71"/>
      <c r="D1432" s="71"/>
      <c r="E1432" s="71"/>
      <c r="F1432" s="71"/>
      <c r="G1432" s="71"/>
      <c r="H1432" s="71"/>
      <c r="I1432" s="71"/>
      <c r="J1432" s="71"/>
      <c r="K1432" s="71"/>
      <c r="L1432" s="71"/>
      <c r="M1432" s="71"/>
      <c r="N1432" s="71"/>
      <c r="O1432" s="71"/>
      <c r="P1432" s="71"/>
      <c r="Q1432" s="71"/>
      <c r="R1432" s="71"/>
      <c r="S1432" s="71"/>
      <c r="T1432" s="71"/>
      <c r="U1432" s="71"/>
      <c r="V1432" s="71"/>
      <c r="W1432" s="71"/>
      <c r="X1432" s="71"/>
      <c r="Y1432" s="71"/>
      <c r="Z1432" s="71"/>
      <c r="AA1432" s="71"/>
      <c r="AB1432" s="71"/>
      <c r="AC1432" s="71"/>
      <c r="AD1432" s="71"/>
      <c r="AE1432" s="71"/>
      <c r="AF1432" s="71"/>
      <c r="AG1432" s="71"/>
      <c r="AH1432" s="71"/>
      <c r="AI1432" s="71"/>
      <c r="AJ1432" s="71"/>
      <c r="AK1432" s="71"/>
      <c r="AL1432" s="71"/>
      <c r="AM1432" s="71"/>
      <c r="AN1432" s="71"/>
      <c r="AO1432" s="71"/>
      <c r="AP1432" s="71"/>
      <c r="AQ1432" s="71"/>
      <c r="AR1432" s="77"/>
    </row>
    <row r="1433">
      <c r="A1433" s="71"/>
      <c r="B1433" s="71"/>
      <c r="C1433" s="71"/>
      <c r="D1433" s="71"/>
      <c r="E1433" s="71"/>
      <c r="F1433" s="71"/>
      <c r="G1433" s="71"/>
      <c r="H1433" s="71"/>
      <c r="I1433" s="71"/>
      <c r="J1433" s="71"/>
      <c r="K1433" s="71"/>
      <c r="L1433" s="71"/>
      <c r="M1433" s="71"/>
      <c r="N1433" s="71"/>
      <c r="O1433" s="71"/>
      <c r="P1433" s="71"/>
      <c r="Q1433" s="71"/>
      <c r="R1433" s="71"/>
      <c r="S1433" s="71"/>
      <c r="T1433" s="71"/>
      <c r="U1433" s="71"/>
      <c r="V1433" s="71"/>
      <c r="W1433" s="71"/>
      <c r="X1433" s="71"/>
      <c r="Y1433" s="71"/>
      <c r="Z1433" s="71"/>
      <c r="AA1433" s="71"/>
      <c r="AB1433" s="71"/>
      <c r="AC1433" s="71"/>
      <c r="AD1433" s="71"/>
      <c r="AE1433" s="71"/>
      <c r="AF1433" s="71"/>
      <c r="AG1433" s="71"/>
      <c r="AH1433" s="71"/>
      <c r="AI1433" s="71"/>
      <c r="AJ1433" s="71"/>
      <c r="AK1433" s="71"/>
      <c r="AL1433" s="71"/>
      <c r="AM1433" s="71"/>
      <c r="AN1433" s="71"/>
      <c r="AO1433" s="71"/>
      <c r="AP1433" s="71"/>
      <c r="AQ1433" s="71"/>
      <c r="AR1433" s="77"/>
    </row>
    <row r="1434">
      <c r="A1434" s="71"/>
      <c r="B1434" s="71"/>
      <c r="C1434" s="71"/>
      <c r="D1434" s="71"/>
      <c r="E1434" s="71"/>
      <c r="F1434" s="71"/>
      <c r="G1434" s="71"/>
      <c r="H1434" s="71"/>
      <c r="I1434" s="71"/>
      <c r="J1434" s="71"/>
      <c r="K1434" s="71"/>
      <c r="L1434" s="71"/>
      <c r="M1434" s="71"/>
      <c r="N1434" s="71"/>
      <c r="O1434" s="71"/>
      <c r="P1434" s="71"/>
      <c r="Q1434" s="71"/>
      <c r="R1434" s="71"/>
      <c r="S1434" s="71"/>
      <c r="T1434" s="71"/>
      <c r="U1434" s="71"/>
      <c r="V1434" s="71"/>
      <c r="W1434" s="71"/>
      <c r="X1434" s="71"/>
      <c r="Y1434" s="71"/>
      <c r="Z1434" s="71"/>
      <c r="AA1434" s="71"/>
      <c r="AB1434" s="71"/>
      <c r="AC1434" s="71"/>
      <c r="AD1434" s="71"/>
      <c r="AE1434" s="71"/>
      <c r="AF1434" s="71"/>
      <c r="AG1434" s="71"/>
      <c r="AH1434" s="71"/>
      <c r="AI1434" s="71"/>
      <c r="AJ1434" s="71"/>
      <c r="AK1434" s="71"/>
      <c r="AL1434" s="71"/>
      <c r="AM1434" s="71"/>
      <c r="AN1434" s="71"/>
      <c r="AO1434" s="71"/>
      <c r="AP1434" s="71"/>
      <c r="AQ1434" s="71"/>
      <c r="AR1434" s="77"/>
    </row>
    <row r="1435">
      <c r="A1435" s="71"/>
      <c r="B1435" s="71"/>
      <c r="C1435" s="71"/>
      <c r="D1435" s="71"/>
      <c r="E1435" s="71"/>
      <c r="F1435" s="71"/>
      <c r="G1435" s="71"/>
      <c r="H1435" s="71"/>
      <c r="I1435" s="71"/>
      <c r="J1435" s="71"/>
      <c r="K1435" s="71"/>
      <c r="L1435" s="71"/>
      <c r="M1435" s="71"/>
      <c r="N1435" s="71"/>
      <c r="O1435" s="71"/>
      <c r="P1435" s="71"/>
      <c r="Q1435" s="71"/>
      <c r="R1435" s="71"/>
      <c r="S1435" s="71"/>
      <c r="T1435" s="71"/>
      <c r="U1435" s="71"/>
      <c r="V1435" s="71"/>
      <c r="W1435" s="71"/>
      <c r="X1435" s="71"/>
      <c r="Y1435" s="71"/>
      <c r="Z1435" s="71"/>
      <c r="AA1435" s="71"/>
      <c r="AB1435" s="71"/>
      <c r="AC1435" s="71"/>
      <c r="AD1435" s="71"/>
      <c r="AE1435" s="71"/>
      <c r="AF1435" s="71"/>
      <c r="AG1435" s="71"/>
      <c r="AH1435" s="71"/>
      <c r="AI1435" s="71"/>
      <c r="AJ1435" s="71"/>
      <c r="AK1435" s="71"/>
      <c r="AL1435" s="71"/>
      <c r="AM1435" s="71"/>
      <c r="AN1435" s="71"/>
      <c r="AO1435" s="71"/>
      <c r="AP1435" s="71"/>
      <c r="AQ1435" s="71"/>
      <c r="AR1435" s="77"/>
    </row>
    <row r="1436">
      <c r="A1436" s="71"/>
      <c r="B1436" s="71"/>
      <c r="C1436" s="71"/>
      <c r="D1436" s="71"/>
      <c r="E1436" s="71"/>
      <c r="F1436" s="71"/>
      <c r="G1436" s="71"/>
      <c r="H1436" s="71"/>
      <c r="I1436" s="71"/>
      <c r="J1436" s="71"/>
      <c r="K1436" s="71"/>
      <c r="L1436" s="71"/>
      <c r="M1436" s="71"/>
      <c r="N1436" s="71"/>
      <c r="O1436" s="71"/>
      <c r="P1436" s="71"/>
      <c r="Q1436" s="71"/>
      <c r="R1436" s="71"/>
      <c r="S1436" s="71"/>
      <c r="T1436" s="71"/>
      <c r="U1436" s="71"/>
      <c r="V1436" s="71"/>
      <c r="W1436" s="71"/>
      <c r="X1436" s="71"/>
      <c r="Y1436" s="71"/>
      <c r="Z1436" s="71"/>
      <c r="AA1436" s="71"/>
      <c r="AB1436" s="71"/>
      <c r="AC1436" s="71"/>
      <c r="AD1436" s="71"/>
      <c r="AE1436" s="71"/>
      <c r="AF1436" s="71"/>
      <c r="AG1436" s="71"/>
      <c r="AH1436" s="71"/>
      <c r="AI1436" s="71"/>
      <c r="AJ1436" s="71"/>
      <c r="AK1436" s="71"/>
      <c r="AL1436" s="71"/>
      <c r="AM1436" s="71"/>
      <c r="AN1436" s="71"/>
      <c r="AO1436" s="71"/>
      <c r="AP1436" s="71"/>
      <c r="AQ1436" s="71"/>
      <c r="AR1436" s="77"/>
    </row>
    <row r="1437">
      <c r="A1437" s="71"/>
      <c r="B1437" s="71"/>
      <c r="C1437" s="71"/>
      <c r="D1437" s="71"/>
      <c r="E1437" s="71"/>
      <c r="F1437" s="71"/>
      <c r="G1437" s="71"/>
      <c r="H1437" s="71"/>
      <c r="I1437" s="71"/>
      <c r="J1437" s="71"/>
      <c r="K1437" s="71"/>
      <c r="L1437" s="71"/>
      <c r="M1437" s="71"/>
      <c r="N1437" s="71"/>
      <c r="O1437" s="71"/>
      <c r="P1437" s="71"/>
      <c r="Q1437" s="71"/>
      <c r="R1437" s="71"/>
      <c r="S1437" s="71"/>
      <c r="T1437" s="71"/>
      <c r="U1437" s="71"/>
      <c r="V1437" s="71"/>
      <c r="W1437" s="71"/>
      <c r="X1437" s="71"/>
      <c r="Y1437" s="71"/>
      <c r="Z1437" s="71"/>
      <c r="AA1437" s="71"/>
      <c r="AB1437" s="71"/>
      <c r="AC1437" s="71"/>
      <c r="AD1437" s="71"/>
      <c r="AE1437" s="71"/>
      <c r="AF1437" s="71"/>
      <c r="AG1437" s="71"/>
      <c r="AH1437" s="71"/>
      <c r="AI1437" s="71"/>
      <c r="AJ1437" s="71"/>
      <c r="AK1437" s="71"/>
      <c r="AL1437" s="71"/>
      <c r="AM1437" s="71"/>
      <c r="AN1437" s="71"/>
      <c r="AO1437" s="71"/>
      <c r="AP1437" s="71"/>
      <c r="AQ1437" s="71"/>
      <c r="AR1437" s="77"/>
    </row>
    <row r="1438">
      <c r="A1438" s="71"/>
      <c r="B1438" s="71"/>
      <c r="C1438" s="71"/>
      <c r="D1438" s="71"/>
      <c r="E1438" s="71"/>
      <c r="F1438" s="71"/>
      <c r="G1438" s="71"/>
      <c r="H1438" s="71"/>
      <c r="I1438" s="71"/>
      <c r="J1438" s="71"/>
      <c r="K1438" s="71"/>
      <c r="L1438" s="71"/>
      <c r="M1438" s="71"/>
      <c r="N1438" s="71"/>
      <c r="O1438" s="71"/>
      <c r="P1438" s="71"/>
      <c r="Q1438" s="71"/>
      <c r="R1438" s="71"/>
      <c r="S1438" s="71"/>
      <c r="T1438" s="71"/>
      <c r="U1438" s="71"/>
      <c r="V1438" s="71"/>
      <c r="W1438" s="71"/>
      <c r="X1438" s="71"/>
      <c r="Y1438" s="71"/>
      <c r="Z1438" s="71"/>
      <c r="AA1438" s="71"/>
      <c r="AB1438" s="71"/>
      <c r="AC1438" s="71"/>
      <c r="AD1438" s="71"/>
      <c r="AE1438" s="71"/>
      <c r="AF1438" s="71"/>
      <c r="AG1438" s="71"/>
      <c r="AH1438" s="71"/>
      <c r="AI1438" s="71"/>
      <c r="AJ1438" s="71"/>
      <c r="AK1438" s="71"/>
      <c r="AL1438" s="71"/>
      <c r="AM1438" s="71"/>
      <c r="AN1438" s="71"/>
      <c r="AO1438" s="71"/>
      <c r="AP1438" s="71"/>
      <c r="AQ1438" s="71"/>
      <c r="AR1438" s="77"/>
    </row>
    <row r="1439">
      <c r="A1439" s="71"/>
      <c r="B1439" s="71"/>
      <c r="C1439" s="71"/>
      <c r="D1439" s="71"/>
      <c r="E1439" s="71"/>
      <c r="F1439" s="71"/>
      <c r="G1439" s="71"/>
      <c r="H1439" s="71"/>
      <c r="I1439" s="71"/>
      <c r="J1439" s="71"/>
      <c r="K1439" s="71"/>
      <c r="L1439" s="71"/>
      <c r="M1439" s="71"/>
      <c r="N1439" s="71"/>
      <c r="O1439" s="71"/>
      <c r="P1439" s="71"/>
      <c r="Q1439" s="71"/>
      <c r="R1439" s="71"/>
      <c r="S1439" s="71"/>
      <c r="T1439" s="71"/>
      <c r="U1439" s="71"/>
      <c r="V1439" s="71"/>
      <c r="W1439" s="71"/>
      <c r="X1439" s="71"/>
      <c r="Y1439" s="71"/>
      <c r="Z1439" s="71"/>
      <c r="AA1439" s="71"/>
      <c r="AB1439" s="71"/>
      <c r="AC1439" s="71"/>
      <c r="AD1439" s="71"/>
      <c r="AE1439" s="71"/>
      <c r="AF1439" s="71"/>
      <c r="AG1439" s="71"/>
      <c r="AH1439" s="71"/>
      <c r="AI1439" s="71"/>
      <c r="AJ1439" s="71"/>
      <c r="AK1439" s="71"/>
      <c r="AL1439" s="71"/>
      <c r="AM1439" s="71"/>
      <c r="AN1439" s="71"/>
      <c r="AO1439" s="71"/>
      <c r="AP1439" s="71"/>
      <c r="AQ1439" s="71"/>
      <c r="AR1439" s="77"/>
    </row>
    <row r="1440">
      <c r="A1440" s="71"/>
      <c r="B1440" s="71"/>
      <c r="C1440" s="71"/>
      <c r="D1440" s="71"/>
      <c r="E1440" s="71"/>
      <c r="F1440" s="71"/>
      <c r="G1440" s="71"/>
      <c r="H1440" s="71"/>
      <c r="I1440" s="71"/>
      <c r="J1440" s="71"/>
      <c r="K1440" s="71"/>
      <c r="L1440" s="71"/>
      <c r="M1440" s="71"/>
      <c r="N1440" s="71"/>
      <c r="O1440" s="71"/>
      <c r="P1440" s="71"/>
      <c r="Q1440" s="71"/>
      <c r="R1440" s="71"/>
      <c r="S1440" s="71"/>
      <c r="T1440" s="71"/>
      <c r="U1440" s="71"/>
      <c r="V1440" s="71"/>
      <c r="W1440" s="71"/>
      <c r="X1440" s="71"/>
      <c r="Y1440" s="71"/>
      <c r="Z1440" s="71"/>
      <c r="AA1440" s="71"/>
      <c r="AB1440" s="71"/>
      <c r="AC1440" s="71"/>
      <c r="AD1440" s="71"/>
      <c r="AE1440" s="71"/>
      <c r="AF1440" s="71"/>
      <c r="AG1440" s="71"/>
      <c r="AH1440" s="71"/>
      <c r="AI1440" s="71"/>
      <c r="AJ1440" s="71"/>
      <c r="AK1440" s="71"/>
      <c r="AL1440" s="71"/>
      <c r="AM1440" s="71"/>
      <c r="AN1440" s="71"/>
      <c r="AO1440" s="71"/>
      <c r="AP1440" s="71"/>
      <c r="AQ1440" s="71"/>
      <c r="AR1440" s="77"/>
    </row>
    <row r="1441">
      <c r="A1441" s="71"/>
      <c r="B1441" s="71"/>
      <c r="C1441" s="71"/>
      <c r="D1441" s="71"/>
      <c r="E1441" s="71"/>
      <c r="F1441" s="71"/>
      <c r="G1441" s="71"/>
      <c r="H1441" s="71"/>
      <c r="I1441" s="71"/>
      <c r="J1441" s="71"/>
      <c r="K1441" s="71"/>
      <c r="L1441" s="71"/>
      <c r="M1441" s="71"/>
      <c r="N1441" s="71"/>
      <c r="O1441" s="71"/>
      <c r="P1441" s="71"/>
      <c r="Q1441" s="71"/>
      <c r="R1441" s="71"/>
      <c r="S1441" s="71"/>
      <c r="T1441" s="71"/>
      <c r="U1441" s="71"/>
      <c r="V1441" s="71"/>
      <c r="W1441" s="71"/>
      <c r="X1441" s="71"/>
      <c r="Y1441" s="71"/>
      <c r="Z1441" s="71"/>
      <c r="AA1441" s="71"/>
      <c r="AB1441" s="71"/>
      <c r="AC1441" s="71"/>
      <c r="AD1441" s="71"/>
      <c r="AE1441" s="71"/>
      <c r="AF1441" s="71"/>
      <c r="AG1441" s="71"/>
      <c r="AH1441" s="71"/>
      <c r="AI1441" s="71"/>
      <c r="AJ1441" s="71"/>
      <c r="AK1441" s="71"/>
      <c r="AL1441" s="71"/>
      <c r="AM1441" s="71"/>
      <c r="AN1441" s="71"/>
      <c r="AO1441" s="71"/>
      <c r="AP1441" s="71"/>
      <c r="AQ1441" s="71"/>
      <c r="AR1441" s="77"/>
    </row>
    <row r="1442">
      <c r="A1442" s="71"/>
      <c r="B1442" s="71"/>
      <c r="C1442" s="71"/>
      <c r="D1442" s="71"/>
      <c r="E1442" s="71"/>
      <c r="F1442" s="71"/>
      <c r="G1442" s="71"/>
      <c r="H1442" s="71"/>
      <c r="I1442" s="71"/>
      <c r="J1442" s="71"/>
      <c r="K1442" s="71"/>
      <c r="L1442" s="71"/>
      <c r="M1442" s="71"/>
      <c r="N1442" s="71"/>
      <c r="O1442" s="71"/>
      <c r="P1442" s="71"/>
      <c r="Q1442" s="71"/>
      <c r="R1442" s="71"/>
      <c r="S1442" s="71"/>
      <c r="T1442" s="71"/>
      <c r="U1442" s="71"/>
      <c r="V1442" s="71"/>
      <c r="W1442" s="71"/>
      <c r="X1442" s="71"/>
      <c r="Y1442" s="71"/>
      <c r="Z1442" s="71"/>
      <c r="AA1442" s="71"/>
      <c r="AB1442" s="71"/>
      <c r="AC1442" s="71"/>
      <c r="AD1442" s="71"/>
      <c r="AE1442" s="71"/>
      <c r="AF1442" s="71"/>
      <c r="AG1442" s="71"/>
      <c r="AH1442" s="71"/>
      <c r="AI1442" s="71"/>
      <c r="AJ1442" s="71"/>
      <c r="AK1442" s="71"/>
      <c r="AL1442" s="71"/>
      <c r="AM1442" s="71"/>
      <c r="AN1442" s="71"/>
      <c r="AO1442" s="71"/>
      <c r="AP1442" s="71"/>
      <c r="AQ1442" s="71"/>
      <c r="AR1442" s="77"/>
    </row>
    <row r="1443">
      <c r="A1443" s="71"/>
      <c r="B1443" s="71"/>
      <c r="C1443" s="71"/>
      <c r="D1443" s="71"/>
      <c r="E1443" s="71"/>
      <c r="F1443" s="71"/>
      <c r="G1443" s="71"/>
      <c r="H1443" s="71"/>
      <c r="I1443" s="71"/>
      <c r="J1443" s="71"/>
      <c r="K1443" s="71"/>
      <c r="L1443" s="71"/>
      <c r="M1443" s="71"/>
      <c r="N1443" s="71"/>
      <c r="O1443" s="71"/>
      <c r="P1443" s="71"/>
      <c r="Q1443" s="71"/>
      <c r="R1443" s="71"/>
      <c r="S1443" s="71"/>
      <c r="T1443" s="71"/>
      <c r="U1443" s="71"/>
      <c r="V1443" s="71"/>
      <c r="W1443" s="71"/>
      <c r="X1443" s="71"/>
      <c r="Y1443" s="71"/>
      <c r="Z1443" s="71"/>
      <c r="AA1443" s="71"/>
      <c r="AB1443" s="71"/>
      <c r="AC1443" s="71"/>
      <c r="AD1443" s="71"/>
      <c r="AE1443" s="71"/>
      <c r="AF1443" s="71"/>
      <c r="AG1443" s="71"/>
      <c r="AH1443" s="71"/>
      <c r="AI1443" s="71"/>
      <c r="AJ1443" s="71"/>
      <c r="AK1443" s="71"/>
      <c r="AL1443" s="71"/>
      <c r="AM1443" s="71"/>
      <c r="AN1443" s="71"/>
      <c r="AO1443" s="71"/>
      <c r="AP1443" s="71"/>
      <c r="AQ1443" s="71"/>
      <c r="AR1443" s="77"/>
    </row>
    <row r="1444">
      <c r="A1444" s="71"/>
      <c r="B1444" s="71"/>
      <c r="C1444" s="71"/>
      <c r="D1444" s="71"/>
      <c r="E1444" s="71"/>
      <c r="F1444" s="71"/>
      <c r="G1444" s="71"/>
      <c r="H1444" s="71"/>
      <c r="I1444" s="71"/>
      <c r="J1444" s="71"/>
      <c r="K1444" s="71"/>
      <c r="L1444" s="71"/>
      <c r="M1444" s="71"/>
      <c r="N1444" s="71"/>
      <c r="O1444" s="71"/>
      <c r="P1444" s="71"/>
      <c r="Q1444" s="71"/>
      <c r="R1444" s="71"/>
      <c r="S1444" s="71"/>
      <c r="T1444" s="71"/>
      <c r="U1444" s="71"/>
      <c r="V1444" s="71"/>
      <c r="W1444" s="71"/>
      <c r="X1444" s="71"/>
      <c r="Y1444" s="71"/>
      <c r="Z1444" s="71"/>
      <c r="AA1444" s="71"/>
      <c r="AB1444" s="71"/>
      <c r="AC1444" s="71"/>
      <c r="AD1444" s="71"/>
      <c r="AE1444" s="71"/>
      <c r="AF1444" s="71"/>
      <c r="AG1444" s="71"/>
      <c r="AH1444" s="71"/>
      <c r="AI1444" s="71"/>
      <c r="AJ1444" s="71"/>
      <c r="AK1444" s="71"/>
      <c r="AL1444" s="71"/>
      <c r="AM1444" s="71"/>
      <c r="AN1444" s="71"/>
      <c r="AO1444" s="71"/>
      <c r="AP1444" s="71"/>
      <c r="AQ1444" s="71"/>
      <c r="AR1444" s="77"/>
    </row>
    <row r="1445">
      <c r="A1445" s="71"/>
      <c r="B1445" s="71"/>
      <c r="C1445" s="71"/>
      <c r="D1445" s="71"/>
      <c r="E1445" s="71"/>
      <c r="F1445" s="71"/>
      <c r="G1445" s="71"/>
      <c r="H1445" s="71"/>
      <c r="I1445" s="71"/>
      <c r="J1445" s="71"/>
      <c r="K1445" s="71"/>
      <c r="L1445" s="71"/>
      <c r="M1445" s="71"/>
      <c r="N1445" s="71"/>
      <c r="O1445" s="71"/>
      <c r="P1445" s="71"/>
      <c r="Q1445" s="71"/>
      <c r="R1445" s="71"/>
      <c r="S1445" s="71"/>
      <c r="T1445" s="71"/>
      <c r="U1445" s="71"/>
      <c r="V1445" s="71"/>
      <c r="W1445" s="71"/>
      <c r="X1445" s="71"/>
      <c r="Y1445" s="71"/>
      <c r="Z1445" s="71"/>
      <c r="AA1445" s="71"/>
      <c r="AB1445" s="71"/>
      <c r="AC1445" s="71"/>
      <c r="AD1445" s="71"/>
      <c r="AE1445" s="71"/>
      <c r="AF1445" s="71"/>
      <c r="AG1445" s="71"/>
      <c r="AH1445" s="71"/>
      <c r="AI1445" s="71"/>
      <c r="AJ1445" s="71"/>
      <c r="AK1445" s="71"/>
      <c r="AL1445" s="71"/>
      <c r="AM1445" s="71"/>
      <c r="AN1445" s="71"/>
      <c r="AO1445" s="71"/>
      <c r="AP1445" s="71"/>
      <c r="AQ1445" s="71"/>
      <c r="AR1445" s="77"/>
    </row>
    <row r="1446">
      <c r="A1446" s="71"/>
      <c r="B1446" s="71"/>
      <c r="C1446" s="71"/>
      <c r="D1446" s="71"/>
      <c r="E1446" s="71"/>
      <c r="F1446" s="71"/>
      <c r="G1446" s="71"/>
      <c r="H1446" s="71"/>
      <c r="I1446" s="71"/>
      <c r="J1446" s="71"/>
      <c r="K1446" s="71"/>
      <c r="L1446" s="71"/>
      <c r="M1446" s="71"/>
      <c r="N1446" s="71"/>
      <c r="O1446" s="71"/>
      <c r="P1446" s="71"/>
      <c r="Q1446" s="71"/>
      <c r="R1446" s="71"/>
      <c r="S1446" s="71"/>
      <c r="T1446" s="71"/>
      <c r="U1446" s="71"/>
      <c r="V1446" s="71"/>
      <c r="W1446" s="71"/>
      <c r="X1446" s="71"/>
      <c r="Y1446" s="71"/>
      <c r="Z1446" s="71"/>
      <c r="AA1446" s="71"/>
      <c r="AB1446" s="71"/>
      <c r="AC1446" s="71"/>
      <c r="AD1446" s="71"/>
      <c r="AE1446" s="71"/>
      <c r="AF1446" s="71"/>
      <c r="AG1446" s="71"/>
      <c r="AH1446" s="71"/>
      <c r="AI1446" s="71"/>
      <c r="AJ1446" s="71"/>
      <c r="AK1446" s="71"/>
      <c r="AL1446" s="71"/>
      <c r="AM1446" s="71"/>
      <c r="AN1446" s="71"/>
      <c r="AO1446" s="71"/>
      <c r="AP1446" s="71"/>
      <c r="AQ1446" s="71"/>
      <c r="AR1446" s="77"/>
    </row>
    <row r="1447">
      <c r="A1447" s="71"/>
      <c r="B1447" s="71"/>
      <c r="C1447" s="71"/>
      <c r="D1447" s="71"/>
      <c r="E1447" s="71"/>
      <c r="F1447" s="71"/>
      <c r="G1447" s="71"/>
      <c r="H1447" s="71"/>
      <c r="I1447" s="71"/>
      <c r="J1447" s="71"/>
      <c r="K1447" s="71"/>
      <c r="L1447" s="71"/>
      <c r="M1447" s="71"/>
      <c r="N1447" s="71"/>
      <c r="O1447" s="71"/>
      <c r="P1447" s="71"/>
      <c r="Q1447" s="71"/>
      <c r="R1447" s="71"/>
      <c r="S1447" s="71"/>
      <c r="T1447" s="71"/>
      <c r="U1447" s="71"/>
      <c r="V1447" s="71"/>
      <c r="W1447" s="71"/>
      <c r="X1447" s="71"/>
      <c r="Y1447" s="71"/>
      <c r="Z1447" s="71"/>
      <c r="AA1447" s="71"/>
      <c r="AB1447" s="71"/>
      <c r="AC1447" s="71"/>
      <c r="AD1447" s="71"/>
      <c r="AE1447" s="71"/>
      <c r="AF1447" s="71"/>
      <c r="AG1447" s="71"/>
      <c r="AH1447" s="71"/>
      <c r="AI1447" s="71"/>
      <c r="AJ1447" s="71"/>
      <c r="AK1447" s="71"/>
      <c r="AL1447" s="71"/>
      <c r="AM1447" s="71"/>
      <c r="AN1447" s="71"/>
      <c r="AO1447" s="71"/>
      <c r="AP1447" s="71"/>
      <c r="AQ1447" s="71"/>
      <c r="AR1447" s="77"/>
    </row>
    <row r="1448">
      <c r="A1448" s="71"/>
      <c r="B1448" s="71"/>
      <c r="C1448" s="71"/>
      <c r="D1448" s="71"/>
      <c r="E1448" s="71"/>
      <c r="F1448" s="71"/>
      <c r="G1448" s="71"/>
      <c r="H1448" s="71"/>
      <c r="I1448" s="71"/>
      <c r="J1448" s="71"/>
      <c r="K1448" s="71"/>
      <c r="L1448" s="71"/>
      <c r="M1448" s="71"/>
      <c r="N1448" s="71"/>
      <c r="O1448" s="71"/>
      <c r="P1448" s="71"/>
      <c r="Q1448" s="71"/>
      <c r="R1448" s="71"/>
      <c r="S1448" s="71"/>
      <c r="T1448" s="71"/>
      <c r="U1448" s="71"/>
      <c r="V1448" s="71"/>
      <c r="W1448" s="71"/>
      <c r="X1448" s="71"/>
      <c r="Y1448" s="71"/>
      <c r="Z1448" s="71"/>
      <c r="AA1448" s="71"/>
      <c r="AB1448" s="71"/>
      <c r="AC1448" s="71"/>
      <c r="AD1448" s="71"/>
      <c r="AE1448" s="71"/>
      <c r="AF1448" s="71"/>
      <c r="AG1448" s="71"/>
      <c r="AH1448" s="71"/>
      <c r="AI1448" s="71"/>
      <c r="AJ1448" s="71"/>
      <c r="AK1448" s="71"/>
      <c r="AL1448" s="71"/>
      <c r="AM1448" s="71"/>
      <c r="AN1448" s="71"/>
      <c r="AO1448" s="71"/>
      <c r="AP1448" s="71"/>
      <c r="AQ1448" s="71"/>
      <c r="AR1448" s="77"/>
    </row>
    <row r="1449">
      <c r="A1449" s="71"/>
      <c r="B1449" s="71"/>
      <c r="C1449" s="71"/>
      <c r="D1449" s="71"/>
      <c r="E1449" s="71"/>
      <c r="F1449" s="71"/>
      <c r="G1449" s="71"/>
      <c r="H1449" s="71"/>
      <c r="I1449" s="71"/>
      <c r="J1449" s="71"/>
      <c r="K1449" s="71"/>
      <c r="L1449" s="71"/>
      <c r="M1449" s="71"/>
      <c r="N1449" s="71"/>
      <c r="O1449" s="71"/>
      <c r="P1449" s="71"/>
      <c r="Q1449" s="71"/>
      <c r="R1449" s="71"/>
      <c r="S1449" s="71"/>
      <c r="T1449" s="71"/>
      <c r="U1449" s="71"/>
      <c r="V1449" s="71"/>
      <c r="W1449" s="71"/>
      <c r="X1449" s="71"/>
      <c r="Y1449" s="71"/>
      <c r="Z1449" s="71"/>
      <c r="AA1449" s="71"/>
      <c r="AB1449" s="71"/>
      <c r="AC1449" s="71"/>
      <c r="AD1449" s="71"/>
      <c r="AE1449" s="71"/>
      <c r="AF1449" s="71"/>
      <c r="AG1449" s="71"/>
      <c r="AH1449" s="71"/>
      <c r="AI1449" s="71"/>
      <c r="AJ1449" s="71"/>
      <c r="AK1449" s="71"/>
      <c r="AL1449" s="71"/>
      <c r="AM1449" s="71"/>
      <c r="AN1449" s="71"/>
      <c r="AO1449" s="71"/>
      <c r="AP1449" s="71"/>
      <c r="AQ1449" s="71"/>
      <c r="AR1449" s="77"/>
    </row>
    <row r="1450">
      <c r="A1450" s="71"/>
      <c r="B1450" s="71"/>
      <c r="C1450" s="71"/>
      <c r="D1450" s="71"/>
      <c r="E1450" s="71"/>
      <c r="F1450" s="71"/>
      <c r="G1450" s="71"/>
      <c r="H1450" s="71"/>
      <c r="I1450" s="71"/>
      <c r="J1450" s="71"/>
      <c r="K1450" s="71"/>
      <c r="L1450" s="71"/>
      <c r="M1450" s="71"/>
      <c r="N1450" s="71"/>
      <c r="O1450" s="71"/>
      <c r="P1450" s="71"/>
      <c r="Q1450" s="71"/>
      <c r="R1450" s="71"/>
      <c r="S1450" s="71"/>
      <c r="T1450" s="71"/>
      <c r="U1450" s="71"/>
      <c r="V1450" s="71"/>
      <c r="W1450" s="71"/>
      <c r="X1450" s="71"/>
      <c r="Y1450" s="71"/>
      <c r="Z1450" s="71"/>
      <c r="AA1450" s="71"/>
      <c r="AB1450" s="71"/>
      <c r="AC1450" s="71"/>
      <c r="AD1450" s="71"/>
      <c r="AE1450" s="71"/>
      <c r="AF1450" s="71"/>
      <c r="AG1450" s="71"/>
      <c r="AH1450" s="71"/>
      <c r="AI1450" s="71"/>
      <c r="AJ1450" s="71"/>
      <c r="AK1450" s="71"/>
      <c r="AL1450" s="71"/>
      <c r="AM1450" s="71"/>
      <c r="AN1450" s="71"/>
      <c r="AO1450" s="71"/>
      <c r="AP1450" s="71"/>
      <c r="AQ1450" s="71"/>
      <c r="AR1450" s="77"/>
    </row>
    <row r="1451">
      <c r="A1451" s="71"/>
      <c r="B1451" s="71"/>
      <c r="C1451" s="71"/>
      <c r="D1451" s="71"/>
      <c r="E1451" s="71"/>
      <c r="F1451" s="71"/>
      <c r="G1451" s="71"/>
      <c r="H1451" s="71"/>
      <c r="I1451" s="71"/>
      <c r="J1451" s="71"/>
      <c r="K1451" s="71"/>
      <c r="L1451" s="71"/>
      <c r="M1451" s="71"/>
      <c r="N1451" s="71"/>
      <c r="O1451" s="71"/>
      <c r="P1451" s="71"/>
      <c r="Q1451" s="71"/>
      <c r="R1451" s="71"/>
      <c r="S1451" s="71"/>
      <c r="T1451" s="71"/>
      <c r="U1451" s="71"/>
      <c r="V1451" s="71"/>
      <c r="W1451" s="71"/>
      <c r="X1451" s="71"/>
      <c r="Y1451" s="71"/>
      <c r="Z1451" s="71"/>
      <c r="AA1451" s="71"/>
      <c r="AB1451" s="71"/>
      <c r="AC1451" s="71"/>
      <c r="AD1451" s="71"/>
      <c r="AE1451" s="71"/>
      <c r="AF1451" s="71"/>
      <c r="AG1451" s="71"/>
      <c r="AH1451" s="71"/>
      <c r="AI1451" s="71"/>
      <c r="AJ1451" s="71"/>
      <c r="AK1451" s="71"/>
      <c r="AL1451" s="71"/>
      <c r="AM1451" s="71"/>
      <c r="AN1451" s="71"/>
      <c r="AO1451" s="71"/>
      <c r="AP1451" s="71"/>
      <c r="AQ1451" s="71"/>
      <c r="AR1451" s="77"/>
    </row>
    <row r="1452">
      <c r="A1452" s="71"/>
      <c r="B1452" s="71"/>
      <c r="C1452" s="71"/>
      <c r="D1452" s="71"/>
      <c r="E1452" s="71"/>
      <c r="F1452" s="71"/>
      <c r="G1452" s="71"/>
      <c r="H1452" s="71"/>
      <c r="I1452" s="71"/>
      <c r="J1452" s="71"/>
      <c r="K1452" s="71"/>
      <c r="L1452" s="71"/>
      <c r="M1452" s="71"/>
      <c r="N1452" s="71"/>
      <c r="O1452" s="71"/>
      <c r="P1452" s="71"/>
      <c r="Q1452" s="71"/>
      <c r="R1452" s="71"/>
      <c r="S1452" s="71"/>
      <c r="T1452" s="71"/>
      <c r="U1452" s="71"/>
      <c r="V1452" s="71"/>
      <c r="W1452" s="71"/>
      <c r="X1452" s="71"/>
      <c r="Y1452" s="71"/>
      <c r="Z1452" s="71"/>
      <c r="AA1452" s="71"/>
      <c r="AB1452" s="71"/>
      <c r="AC1452" s="71"/>
      <c r="AD1452" s="71"/>
      <c r="AE1452" s="71"/>
      <c r="AF1452" s="71"/>
      <c r="AG1452" s="71"/>
      <c r="AH1452" s="71"/>
      <c r="AI1452" s="71"/>
      <c r="AJ1452" s="71"/>
      <c r="AK1452" s="71"/>
      <c r="AL1452" s="71"/>
      <c r="AM1452" s="71"/>
      <c r="AN1452" s="71"/>
      <c r="AO1452" s="71"/>
      <c r="AP1452" s="71"/>
      <c r="AQ1452" s="71"/>
      <c r="AR1452" s="77"/>
    </row>
    <row r="1453">
      <c r="A1453" s="71"/>
      <c r="B1453" s="71"/>
      <c r="C1453" s="71"/>
      <c r="D1453" s="71"/>
      <c r="E1453" s="71"/>
      <c r="F1453" s="71"/>
      <c r="G1453" s="71"/>
      <c r="H1453" s="71"/>
      <c r="I1453" s="71"/>
      <c r="J1453" s="71"/>
      <c r="K1453" s="71"/>
      <c r="L1453" s="71"/>
      <c r="M1453" s="71"/>
      <c r="N1453" s="71"/>
      <c r="O1453" s="71"/>
      <c r="P1453" s="71"/>
      <c r="Q1453" s="71"/>
      <c r="R1453" s="71"/>
      <c r="S1453" s="71"/>
      <c r="T1453" s="71"/>
      <c r="U1453" s="71"/>
      <c r="V1453" s="71"/>
      <c r="W1453" s="71"/>
      <c r="X1453" s="71"/>
      <c r="Y1453" s="71"/>
      <c r="Z1453" s="71"/>
      <c r="AA1453" s="71"/>
      <c r="AB1453" s="71"/>
      <c r="AC1453" s="71"/>
      <c r="AD1453" s="71"/>
      <c r="AE1453" s="71"/>
      <c r="AF1453" s="71"/>
      <c r="AG1453" s="71"/>
      <c r="AH1453" s="71"/>
      <c r="AI1453" s="71"/>
      <c r="AJ1453" s="71"/>
      <c r="AK1453" s="71"/>
      <c r="AL1453" s="71"/>
      <c r="AM1453" s="71"/>
      <c r="AN1453" s="71"/>
      <c r="AO1453" s="71"/>
      <c r="AP1453" s="71"/>
      <c r="AQ1453" s="71"/>
      <c r="AR1453" s="77"/>
    </row>
    <row r="1454">
      <c r="A1454" s="71"/>
      <c r="B1454" s="71"/>
      <c r="C1454" s="71"/>
      <c r="D1454" s="71"/>
      <c r="E1454" s="71"/>
      <c r="F1454" s="71"/>
      <c r="G1454" s="71"/>
      <c r="H1454" s="71"/>
      <c r="I1454" s="71"/>
      <c r="J1454" s="71"/>
      <c r="K1454" s="71"/>
      <c r="L1454" s="71"/>
      <c r="M1454" s="71"/>
      <c r="N1454" s="71"/>
      <c r="O1454" s="71"/>
      <c r="P1454" s="71"/>
      <c r="Q1454" s="71"/>
      <c r="R1454" s="71"/>
      <c r="S1454" s="71"/>
      <c r="T1454" s="71"/>
      <c r="U1454" s="71"/>
      <c r="V1454" s="71"/>
      <c r="W1454" s="71"/>
      <c r="X1454" s="71"/>
      <c r="Y1454" s="71"/>
      <c r="Z1454" s="71"/>
      <c r="AA1454" s="71"/>
      <c r="AB1454" s="71"/>
      <c r="AC1454" s="71"/>
      <c r="AD1454" s="71"/>
      <c r="AE1454" s="71"/>
      <c r="AF1454" s="71"/>
      <c r="AG1454" s="71"/>
      <c r="AH1454" s="71"/>
      <c r="AI1454" s="71"/>
      <c r="AJ1454" s="71"/>
      <c r="AK1454" s="71"/>
      <c r="AL1454" s="71"/>
      <c r="AM1454" s="71"/>
      <c r="AN1454" s="71"/>
      <c r="AO1454" s="71"/>
      <c r="AP1454" s="71"/>
      <c r="AQ1454" s="71"/>
      <c r="AR1454" s="77"/>
    </row>
    <row r="1455">
      <c r="A1455" s="71"/>
      <c r="B1455" s="71"/>
      <c r="C1455" s="71"/>
      <c r="D1455" s="71"/>
      <c r="E1455" s="71"/>
      <c r="F1455" s="71"/>
      <c r="G1455" s="71"/>
      <c r="H1455" s="71"/>
      <c r="I1455" s="71"/>
      <c r="J1455" s="71"/>
      <c r="K1455" s="71"/>
      <c r="L1455" s="71"/>
      <c r="M1455" s="71"/>
      <c r="N1455" s="71"/>
      <c r="O1455" s="71"/>
      <c r="P1455" s="71"/>
      <c r="Q1455" s="71"/>
      <c r="R1455" s="71"/>
      <c r="S1455" s="71"/>
      <c r="T1455" s="71"/>
      <c r="U1455" s="71"/>
      <c r="V1455" s="71"/>
      <c r="W1455" s="71"/>
      <c r="X1455" s="71"/>
      <c r="Y1455" s="71"/>
      <c r="Z1455" s="71"/>
      <c r="AA1455" s="71"/>
      <c r="AB1455" s="71"/>
      <c r="AC1455" s="71"/>
      <c r="AD1455" s="71"/>
      <c r="AE1455" s="71"/>
      <c r="AF1455" s="71"/>
      <c r="AG1455" s="71"/>
      <c r="AH1455" s="71"/>
      <c r="AI1455" s="71"/>
      <c r="AJ1455" s="71"/>
      <c r="AK1455" s="71"/>
      <c r="AL1455" s="71"/>
      <c r="AM1455" s="71"/>
      <c r="AN1455" s="71"/>
      <c r="AO1455" s="71"/>
      <c r="AP1455" s="71"/>
      <c r="AQ1455" s="71"/>
      <c r="AR1455" s="77"/>
    </row>
    <row r="1456">
      <c r="A1456" s="71"/>
      <c r="B1456" s="71"/>
      <c r="C1456" s="71"/>
      <c r="D1456" s="71"/>
      <c r="E1456" s="71"/>
      <c r="F1456" s="71"/>
      <c r="G1456" s="71"/>
      <c r="H1456" s="71"/>
      <c r="I1456" s="71"/>
      <c r="J1456" s="71"/>
      <c r="K1456" s="71"/>
      <c r="L1456" s="71"/>
      <c r="M1456" s="71"/>
      <c r="N1456" s="71"/>
      <c r="O1456" s="71"/>
      <c r="P1456" s="71"/>
      <c r="Q1456" s="71"/>
      <c r="R1456" s="71"/>
      <c r="S1456" s="71"/>
      <c r="T1456" s="71"/>
      <c r="U1456" s="71"/>
      <c r="V1456" s="71"/>
      <c r="W1456" s="71"/>
      <c r="X1456" s="71"/>
      <c r="Y1456" s="71"/>
      <c r="Z1456" s="71"/>
      <c r="AA1456" s="71"/>
      <c r="AB1456" s="71"/>
      <c r="AC1456" s="71"/>
      <c r="AD1456" s="71"/>
      <c r="AE1456" s="71"/>
      <c r="AF1456" s="71"/>
      <c r="AG1456" s="71"/>
      <c r="AH1456" s="71"/>
      <c r="AI1456" s="71"/>
      <c r="AJ1456" s="71"/>
      <c r="AK1456" s="71"/>
      <c r="AL1456" s="71"/>
      <c r="AM1456" s="71"/>
      <c r="AN1456" s="71"/>
      <c r="AO1456" s="71"/>
      <c r="AP1456" s="71"/>
      <c r="AQ1456" s="71"/>
      <c r="AR1456" s="77"/>
    </row>
    <row r="1457">
      <c r="A1457" s="71"/>
      <c r="B1457" s="71"/>
      <c r="C1457" s="71"/>
      <c r="D1457" s="71"/>
      <c r="E1457" s="71"/>
      <c r="F1457" s="71"/>
      <c r="G1457" s="71"/>
      <c r="H1457" s="71"/>
      <c r="I1457" s="71"/>
      <c r="J1457" s="71"/>
      <c r="K1457" s="71"/>
      <c r="L1457" s="71"/>
      <c r="M1457" s="71"/>
      <c r="N1457" s="71"/>
      <c r="O1457" s="71"/>
      <c r="P1457" s="71"/>
      <c r="Q1457" s="71"/>
      <c r="R1457" s="71"/>
      <c r="S1457" s="71"/>
      <c r="T1457" s="71"/>
      <c r="U1457" s="71"/>
      <c r="V1457" s="71"/>
      <c r="W1457" s="71"/>
      <c r="X1457" s="71"/>
      <c r="Y1457" s="71"/>
      <c r="Z1457" s="71"/>
      <c r="AA1457" s="71"/>
      <c r="AB1457" s="71"/>
      <c r="AC1457" s="71"/>
      <c r="AD1457" s="71"/>
      <c r="AE1457" s="71"/>
      <c r="AF1457" s="71"/>
      <c r="AG1457" s="71"/>
      <c r="AH1457" s="71"/>
      <c r="AI1457" s="71"/>
      <c r="AJ1457" s="71"/>
      <c r="AK1457" s="71"/>
      <c r="AL1457" s="71"/>
      <c r="AM1457" s="71"/>
      <c r="AN1457" s="71"/>
      <c r="AO1457" s="71"/>
      <c r="AP1457" s="71"/>
      <c r="AQ1457" s="71"/>
      <c r="AR1457" s="77"/>
    </row>
    <row r="1458">
      <c r="A1458" s="71"/>
      <c r="B1458" s="71"/>
      <c r="C1458" s="71"/>
      <c r="D1458" s="71"/>
      <c r="E1458" s="71"/>
      <c r="F1458" s="71"/>
      <c r="G1458" s="71"/>
      <c r="H1458" s="71"/>
      <c r="I1458" s="71"/>
      <c r="J1458" s="71"/>
      <c r="K1458" s="71"/>
      <c r="L1458" s="71"/>
      <c r="M1458" s="71"/>
      <c r="N1458" s="71"/>
      <c r="O1458" s="71"/>
      <c r="P1458" s="71"/>
      <c r="Q1458" s="71"/>
      <c r="R1458" s="71"/>
      <c r="S1458" s="71"/>
      <c r="T1458" s="71"/>
      <c r="U1458" s="71"/>
      <c r="V1458" s="71"/>
      <c r="W1458" s="71"/>
      <c r="X1458" s="71"/>
      <c r="Y1458" s="71"/>
      <c r="Z1458" s="71"/>
      <c r="AA1458" s="71"/>
      <c r="AB1458" s="71"/>
      <c r="AC1458" s="71"/>
      <c r="AD1458" s="71"/>
      <c r="AE1458" s="71"/>
      <c r="AF1458" s="71"/>
      <c r="AG1458" s="71"/>
      <c r="AH1458" s="71"/>
      <c r="AI1458" s="71"/>
      <c r="AJ1458" s="71"/>
      <c r="AK1458" s="71"/>
      <c r="AL1458" s="71"/>
      <c r="AM1458" s="71"/>
      <c r="AN1458" s="71"/>
      <c r="AO1458" s="71"/>
      <c r="AP1458" s="71"/>
      <c r="AQ1458" s="71"/>
      <c r="AR1458" s="77"/>
    </row>
    <row r="1459">
      <c r="A1459" s="71"/>
      <c r="B1459" s="71"/>
      <c r="C1459" s="71"/>
      <c r="D1459" s="71"/>
      <c r="E1459" s="71"/>
      <c r="F1459" s="71"/>
      <c r="G1459" s="71"/>
      <c r="H1459" s="71"/>
      <c r="I1459" s="71"/>
      <c r="J1459" s="71"/>
      <c r="K1459" s="71"/>
      <c r="L1459" s="71"/>
      <c r="M1459" s="71"/>
      <c r="N1459" s="71"/>
      <c r="O1459" s="71"/>
      <c r="P1459" s="71"/>
      <c r="Q1459" s="71"/>
      <c r="R1459" s="71"/>
      <c r="S1459" s="71"/>
      <c r="T1459" s="71"/>
      <c r="U1459" s="71"/>
      <c r="V1459" s="71"/>
      <c r="W1459" s="71"/>
      <c r="X1459" s="71"/>
      <c r="Y1459" s="71"/>
      <c r="Z1459" s="71"/>
      <c r="AA1459" s="71"/>
      <c r="AB1459" s="71"/>
      <c r="AC1459" s="71"/>
      <c r="AD1459" s="71"/>
      <c r="AE1459" s="71"/>
      <c r="AF1459" s="71"/>
      <c r="AG1459" s="71"/>
      <c r="AH1459" s="71"/>
      <c r="AI1459" s="71"/>
      <c r="AJ1459" s="71"/>
      <c r="AK1459" s="71"/>
      <c r="AL1459" s="71"/>
      <c r="AM1459" s="71"/>
      <c r="AN1459" s="71"/>
      <c r="AO1459" s="71"/>
      <c r="AP1459" s="71"/>
      <c r="AQ1459" s="71"/>
      <c r="AR1459" s="77"/>
    </row>
    <row r="1460">
      <c r="A1460" s="71"/>
      <c r="B1460" s="71"/>
      <c r="C1460" s="71"/>
      <c r="D1460" s="71"/>
      <c r="E1460" s="71"/>
      <c r="F1460" s="71"/>
      <c r="G1460" s="71"/>
      <c r="H1460" s="71"/>
      <c r="I1460" s="71"/>
      <c r="J1460" s="71"/>
      <c r="K1460" s="71"/>
      <c r="L1460" s="71"/>
      <c r="M1460" s="71"/>
      <c r="N1460" s="71"/>
      <c r="O1460" s="71"/>
      <c r="P1460" s="71"/>
      <c r="Q1460" s="71"/>
      <c r="R1460" s="71"/>
      <c r="S1460" s="71"/>
      <c r="T1460" s="71"/>
      <c r="U1460" s="71"/>
      <c r="V1460" s="71"/>
      <c r="W1460" s="71"/>
      <c r="X1460" s="71"/>
      <c r="Y1460" s="71"/>
      <c r="Z1460" s="71"/>
      <c r="AA1460" s="71"/>
      <c r="AB1460" s="71"/>
      <c r="AC1460" s="71"/>
      <c r="AD1460" s="71"/>
      <c r="AE1460" s="71"/>
      <c r="AF1460" s="71"/>
      <c r="AG1460" s="71"/>
      <c r="AH1460" s="71"/>
      <c r="AI1460" s="71"/>
      <c r="AJ1460" s="71"/>
      <c r="AK1460" s="71"/>
      <c r="AL1460" s="71"/>
      <c r="AM1460" s="71"/>
      <c r="AN1460" s="71"/>
      <c r="AO1460" s="71"/>
      <c r="AP1460" s="71"/>
      <c r="AQ1460" s="71"/>
      <c r="AR1460" s="77"/>
    </row>
    <row r="1461">
      <c r="A1461" s="71"/>
      <c r="B1461" s="71"/>
      <c r="C1461" s="71"/>
      <c r="D1461" s="71"/>
      <c r="E1461" s="71"/>
      <c r="F1461" s="71"/>
      <c r="G1461" s="71"/>
      <c r="H1461" s="71"/>
      <c r="I1461" s="71"/>
      <c r="J1461" s="71"/>
      <c r="K1461" s="71"/>
      <c r="L1461" s="71"/>
      <c r="M1461" s="71"/>
      <c r="N1461" s="71"/>
      <c r="O1461" s="71"/>
      <c r="P1461" s="71"/>
      <c r="Q1461" s="71"/>
      <c r="R1461" s="71"/>
      <c r="S1461" s="71"/>
      <c r="T1461" s="71"/>
      <c r="U1461" s="71"/>
      <c r="V1461" s="71"/>
      <c r="W1461" s="71"/>
      <c r="X1461" s="71"/>
      <c r="Y1461" s="71"/>
      <c r="Z1461" s="71"/>
      <c r="AA1461" s="71"/>
      <c r="AB1461" s="71"/>
      <c r="AC1461" s="71"/>
      <c r="AD1461" s="71"/>
      <c r="AE1461" s="71"/>
      <c r="AF1461" s="71"/>
      <c r="AG1461" s="71"/>
      <c r="AH1461" s="71"/>
      <c r="AI1461" s="71"/>
      <c r="AJ1461" s="71"/>
      <c r="AK1461" s="71"/>
      <c r="AL1461" s="71"/>
      <c r="AM1461" s="71"/>
      <c r="AN1461" s="71"/>
      <c r="AO1461" s="71"/>
      <c r="AP1461" s="71"/>
      <c r="AQ1461" s="71"/>
      <c r="AR1461" s="77"/>
    </row>
    <row r="1462">
      <c r="A1462" s="71"/>
      <c r="B1462" s="71"/>
      <c r="C1462" s="71"/>
      <c r="D1462" s="71"/>
      <c r="E1462" s="71"/>
      <c r="F1462" s="71"/>
      <c r="G1462" s="71"/>
      <c r="H1462" s="71"/>
      <c r="I1462" s="71"/>
      <c r="J1462" s="71"/>
      <c r="K1462" s="71"/>
      <c r="L1462" s="71"/>
      <c r="M1462" s="71"/>
      <c r="N1462" s="71"/>
      <c r="O1462" s="71"/>
      <c r="P1462" s="71"/>
      <c r="Q1462" s="71"/>
      <c r="R1462" s="71"/>
      <c r="S1462" s="71"/>
      <c r="T1462" s="71"/>
      <c r="U1462" s="71"/>
      <c r="V1462" s="71"/>
      <c r="W1462" s="71"/>
      <c r="X1462" s="71"/>
      <c r="Y1462" s="71"/>
      <c r="Z1462" s="71"/>
      <c r="AA1462" s="71"/>
      <c r="AB1462" s="71"/>
      <c r="AC1462" s="71"/>
      <c r="AD1462" s="71"/>
      <c r="AE1462" s="71"/>
      <c r="AF1462" s="71"/>
      <c r="AG1462" s="71"/>
      <c r="AH1462" s="71"/>
      <c r="AI1462" s="71"/>
      <c r="AJ1462" s="71"/>
      <c r="AK1462" s="71"/>
      <c r="AL1462" s="71"/>
      <c r="AM1462" s="71"/>
      <c r="AN1462" s="71"/>
      <c r="AO1462" s="71"/>
      <c r="AP1462" s="71"/>
      <c r="AQ1462" s="71"/>
      <c r="AR1462" s="77"/>
    </row>
    <row r="1463">
      <c r="A1463" s="71"/>
      <c r="B1463" s="71"/>
      <c r="C1463" s="71"/>
      <c r="D1463" s="71"/>
      <c r="E1463" s="71"/>
      <c r="F1463" s="71"/>
      <c r="G1463" s="71"/>
      <c r="H1463" s="71"/>
      <c r="I1463" s="71"/>
      <c r="J1463" s="71"/>
      <c r="K1463" s="71"/>
      <c r="L1463" s="71"/>
      <c r="M1463" s="71"/>
      <c r="N1463" s="71"/>
      <c r="O1463" s="71"/>
      <c r="P1463" s="71"/>
      <c r="Q1463" s="71"/>
      <c r="R1463" s="71"/>
      <c r="S1463" s="71"/>
      <c r="T1463" s="71"/>
      <c r="U1463" s="71"/>
      <c r="V1463" s="71"/>
      <c r="W1463" s="71"/>
      <c r="X1463" s="71"/>
      <c r="Y1463" s="71"/>
      <c r="Z1463" s="71"/>
      <c r="AA1463" s="71"/>
      <c r="AB1463" s="71"/>
      <c r="AC1463" s="71"/>
      <c r="AD1463" s="71"/>
      <c r="AE1463" s="71"/>
      <c r="AF1463" s="71"/>
      <c r="AG1463" s="71"/>
      <c r="AH1463" s="71"/>
      <c r="AI1463" s="71"/>
      <c r="AJ1463" s="71"/>
      <c r="AK1463" s="71"/>
      <c r="AL1463" s="71"/>
      <c r="AM1463" s="71"/>
      <c r="AN1463" s="71"/>
      <c r="AO1463" s="71"/>
      <c r="AP1463" s="71"/>
      <c r="AQ1463" s="71"/>
      <c r="AR1463" s="77"/>
    </row>
    <row r="1464">
      <c r="A1464" s="71"/>
      <c r="B1464" s="71"/>
      <c r="C1464" s="71"/>
      <c r="D1464" s="71"/>
      <c r="E1464" s="71"/>
      <c r="F1464" s="71"/>
      <c r="G1464" s="71"/>
      <c r="H1464" s="71"/>
      <c r="I1464" s="71"/>
      <c r="J1464" s="71"/>
      <c r="K1464" s="71"/>
      <c r="L1464" s="71"/>
      <c r="M1464" s="71"/>
      <c r="N1464" s="71"/>
      <c r="O1464" s="71"/>
      <c r="P1464" s="71"/>
      <c r="Q1464" s="71"/>
      <c r="R1464" s="71"/>
      <c r="S1464" s="71"/>
      <c r="T1464" s="71"/>
      <c r="U1464" s="71"/>
      <c r="V1464" s="71"/>
      <c r="W1464" s="71"/>
      <c r="X1464" s="71"/>
      <c r="Y1464" s="71"/>
      <c r="Z1464" s="71"/>
      <c r="AA1464" s="71"/>
      <c r="AB1464" s="71"/>
      <c r="AC1464" s="71"/>
      <c r="AD1464" s="71"/>
      <c r="AE1464" s="71"/>
      <c r="AF1464" s="71"/>
      <c r="AG1464" s="71"/>
      <c r="AH1464" s="71"/>
      <c r="AI1464" s="71"/>
      <c r="AJ1464" s="71"/>
      <c r="AK1464" s="71"/>
      <c r="AL1464" s="71"/>
      <c r="AM1464" s="71"/>
      <c r="AN1464" s="71"/>
      <c r="AO1464" s="71"/>
      <c r="AP1464" s="71"/>
      <c r="AQ1464" s="71"/>
      <c r="AR1464" s="77"/>
    </row>
  </sheetData>
  <mergeCells count="10">
    <mergeCell ref="A360:A377"/>
    <mergeCell ref="A393:A409"/>
    <mergeCell ref="A424:A489"/>
    <mergeCell ref="A3:A5"/>
    <mergeCell ref="A8:A10"/>
    <mergeCell ref="A22:A42"/>
    <mergeCell ref="A86:A89"/>
    <mergeCell ref="A122:A187"/>
    <mergeCell ref="A204:A221"/>
    <mergeCell ref="A237:A34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169">
        <v>1.0</v>
      </c>
      <c r="B1" s="170">
        <f t="shared" ref="B1:Z1" si="1">A1+1</f>
        <v>2</v>
      </c>
      <c r="C1" s="170">
        <f t="shared" si="1"/>
        <v>3</v>
      </c>
      <c r="D1" s="170">
        <f t="shared" si="1"/>
        <v>4</v>
      </c>
      <c r="E1" s="170">
        <f t="shared" si="1"/>
        <v>5</v>
      </c>
      <c r="F1" s="170">
        <f t="shared" si="1"/>
        <v>6</v>
      </c>
      <c r="G1" s="170">
        <f t="shared" si="1"/>
        <v>7</v>
      </c>
      <c r="H1" s="170">
        <f t="shared" si="1"/>
        <v>8</v>
      </c>
      <c r="I1" s="170">
        <f t="shared" si="1"/>
        <v>9</v>
      </c>
      <c r="J1" s="170">
        <f t="shared" si="1"/>
        <v>10</v>
      </c>
      <c r="K1" s="170">
        <f t="shared" si="1"/>
        <v>11</v>
      </c>
      <c r="L1" s="170">
        <f t="shared" si="1"/>
        <v>12</v>
      </c>
      <c r="M1" s="170">
        <f t="shared" si="1"/>
        <v>13</v>
      </c>
      <c r="N1" s="170">
        <f t="shared" si="1"/>
        <v>14</v>
      </c>
      <c r="O1" s="170">
        <f t="shared" si="1"/>
        <v>15</v>
      </c>
      <c r="P1" s="170">
        <f t="shared" si="1"/>
        <v>16</v>
      </c>
      <c r="Q1" s="170">
        <f t="shared" si="1"/>
        <v>17</v>
      </c>
      <c r="R1" s="170">
        <f t="shared" si="1"/>
        <v>18</v>
      </c>
      <c r="S1" s="170">
        <f t="shared" si="1"/>
        <v>19</v>
      </c>
      <c r="T1" s="170">
        <f t="shared" si="1"/>
        <v>20</v>
      </c>
      <c r="U1" s="170">
        <f t="shared" si="1"/>
        <v>21</v>
      </c>
      <c r="V1" s="170">
        <f t="shared" si="1"/>
        <v>22</v>
      </c>
      <c r="W1" s="170">
        <f t="shared" si="1"/>
        <v>23</v>
      </c>
      <c r="X1" s="170">
        <f t="shared" si="1"/>
        <v>24</v>
      </c>
      <c r="Y1" s="170">
        <f t="shared" si="1"/>
        <v>25</v>
      </c>
      <c r="Z1" s="170">
        <f t="shared" si="1"/>
        <v>26</v>
      </c>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row>
    <row r="2">
      <c r="A2" s="171" t="str">
        <f>IFERROR(__xludf.DUMMYFUNCTION("IMPORTRANGE(""https://docs.google.com/spreadsheets/d/1LR__5ROKBkaIcEHxXYak771Ja7zPr-wSzyfHGTyh2vo/edit"", ""Товары Смарт СРА!B:AN"")"),"#REF!")</f>
        <v>#REF!</v>
      </c>
      <c r="B2" s="170"/>
      <c r="C2" s="170"/>
      <c r="D2" s="170"/>
      <c r="E2" s="170"/>
      <c r="F2" s="170"/>
      <c r="G2" s="170"/>
      <c r="H2" s="171"/>
      <c r="I2" s="171"/>
      <c r="J2" s="171"/>
      <c r="K2" s="171"/>
      <c r="L2" s="171"/>
      <c r="M2" s="171"/>
      <c r="N2" s="171"/>
      <c r="O2" s="171"/>
      <c r="P2" s="171"/>
      <c r="Q2" s="171"/>
      <c r="R2" s="171"/>
      <c r="S2" s="171"/>
      <c r="T2" s="171"/>
      <c r="U2" s="171"/>
      <c r="V2" s="171"/>
      <c r="W2" s="171"/>
      <c r="X2" s="171"/>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row>
    <row r="3">
      <c r="A3" s="173"/>
      <c r="B3" s="174"/>
      <c r="C3" s="175"/>
      <c r="D3" s="175"/>
      <c r="E3" s="71"/>
      <c r="F3" s="174"/>
      <c r="G3" s="174"/>
      <c r="H3" s="173"/>
      <c r="I3" s="173"/>
      <c r="J3" s="174"/>
      <c r="K3" s="71"/>
      <c r="L3" s="174"/>
      <c r="M3" s="174"/>
      <c r="N3" s="174"/>
      <c r="O3" s="174"/>
      <c r="P3" s="174"/>
      <c r="Q3" s="174"/>
      <c r="R3" s="174"/>
      <c r="S3" s="174"/>
      <c r="T3" s="174"/>
      <c r="U3" s="176"/>
      <c r="V3" s="71"/>
      <c r="W3" s="174"/>
      <c r="X3" s="174"/>
      <c r="Y3" s="136"/>
      <c r="Z3" s="71"/>
      <c r="AA3" s="77"/>
      <c r="AB3" s="77"/>
      <c r="AC3" s="77"/>
      <c r="AD3" s="77"/>
      <c r="AE3" s="77"/>
      <c r="AF3" s="77"/>
      <c r="AG3" s="77"/>
      <c r="AH3" s="77"/>
      <c r="AI3" s="77"/>
      <c r="AJ3" s="77"/>
      <c r="AK3" s="77"/>
      <c r="AL3" s="77"/>
      <c r="AM3" s="77"/>
      <c r="AN3" s="77"/>
      <c r="AO3" s="77"/>
      <c r="AP3" s="77"/>
      <c r="AQ3" s="77"/>
      <c r="AR3" s="77"/>
      <c r="AS3" s="77"/>
      <c r="AT3" s="77"/>
      <c r="AU3" s="77"/>
      <c r="AV3" s="77"/>
      <c r="AW3" s="77"/>
      <c r="AX3" s="77"/>
    </row>
    <row r="4">
      <c r="A4" s="177"/>
      <c r="B4" s="177"/>
      <c r="C4" s="121"/>
      <c r="D4" s="121"/>
      <c r="E4" s="123"/>
      <c r="F4" s="121"/>
      <c r="G4" s="177"/>
      <c r="H4" s="121"/>
      <c r="I4" s="121"/>
      <c r="J4" s="121"/>
      <c r="K4" s="121"/>
      <c r="L4" s="121"/>
      <c r="M4" s="121"/>
      <c r="N4" s="121"/>
      <c r="O4" s="121"/>
      <c r="P4" s="121"/>
      <c r="Q4" s="121"/>
      <c r="R4" s="121"/>
      <c r="S4" s="121"/>
      <c r="T4" s="121"/>
      <c r="U4" s="121"/>
      <c r="V4" s="121"/>
      <c r="W4" s="121"/>
      <c r="X4" s="121"/>
      <c r="Y4" s="121"/>
      <c r="Z4" s="121"/>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row>
    <row r="5">
      <c r="A5" s="177"/>
      <c r="B5" s="177"/>
      <c r="C5" s="121"/>
      <c r="D5" s="121"/>
      <c r="E5" s="123"/>
      <c r="F5" s="121"/>
      <c r="G5" s="177"/>
      <c r="H5" s="121"/>
      <c r="I5" s="121"/>
      <c r="J5" s="121"/>
      <c r="K5" s="121"/>
      <c r="L5" s="121"/>
      <c r="M5" s="121"/>
      <c r="N5" s="121"/>
      <c r="O5" s="121"/>
      <c r="P5" s="121"/>
      <c r="Q5" s="121"/>
      <c r="R5" s="121"/>
      <c r="S5" s="121"/>
      <c r="T5" s="121"/>
      <c r="U5" s="121"/>
      <c r="V5" s="121"/>
      <c r="W5" s="121"/>
      <c r="X5" s="121"/>
      <c r="Y5" s="121"/>
      <c r="Z5" s="121"/>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row>
    <row r="6">
      <c r="A6" s="177"/>
      <c r="B6" s="177"/>
      <c r="C6" s="121"/>
      <c r="D6" s="121"/>
      <c r="E6" s="123"/>
      <c r="F6" s="121"/>
      <c r="G6" s="177"/>
      <c r="H6" s="121"/>
      <c r="I6" s="121"/>
      <c r="J6" s="121"/>
      <c r="K6" s="121"/>
      <c r="L6" s="121"/>
      <c r="M6" s="121"/>
      <c r="N6" s="121"/>
      <c r="O6" s="121"/>
      <c r="P6" s="121"/>
      <c r="Q6" s="121"/>
      <c r="R6" s="121"/>
      <c r="S6" s="121"/>
      <c r="T6" s="121"/>
      <c r="U6" s="121"/>
      <c r="V6" s="121"/>
      <c r="W6" s="121"/>
      <c r="X6" s="121"/>
      <c r="Y6" s="121"/>
      <c r="Z6" s="121"/>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row>
    <row r="7">
      <c r="A7" s="177"/>
      <c r="B7" s="177"/>
      <c r="C7" s="121"/>
      <c r="D7" s="121"/>
      <c r="E7" s="123"/>
      <c r="F7" s="121"/>
      <c r="G7" s="177"/>
      <c r="H7" s="121"/>
      <c r="I7" s="121"/>
      <c r="J7" s="121"/>
      <c r="K7" s="121"/>
      <c r="L7" s="121"/>
      <c r="M7" s="121"/>
      <c r="N7" s="121"/>
      <c r="O7" s="121"/>
      <c r="P7" s="121"/>
      <c r="Q7" s="121"/>
      <c r="R7" s="121"/>
      <c r="S7" s="121"/>
      <c r="T7" s="121"/>
      <c r="U7" s="121"/>
      <c r="V7" s="121"/>
      <c r="W7" s="121"/>
      <c r="X7" s="121"/>
      <c r="Y7" s="121"/>
      <c r="Z7" s="121"/>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row>
    <row r="8">
      <c r="A8" s="177"/>
      <c r="B8" s="177"/>
      <c r="C8" s="121"/>
      <c r="D8" s="121"/>
      <c r="E8" s="123"/>
      <c r="F8" s="121"/>
      <c r="G8" s="177"/>
      <c r="H8" s="121"/>
      <c r="I8" s="121"/>
      <c r="J8" s="121"/>
      <c r="K8" s="121"/>
      <c r="L8" s="121"/>
      <c r="M8" s="121"/>
      <c r="N8" s="121"/>
      <c r="O8" s="121"/>
      <c r="P8" s="121"/>
      <c r="Q8" s="121"/>
      <c r="R8" s="121"/>
      <c r="S8" s="121"/>
      <c r="T8" s="121"/>
      <c r="U8" s="121"/>
      <c r="V8" s="121"/>
      <c r="W8" s="121"/>
      <c r="X8" s="121"/>
      <c r="Y8" s="121"/>
      <c r="Z8" s="121"/>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row>
    <row r="9">
      <c r="A9" s="177"/>
      <c r="B9" s="177"/>
      <c r="C9" s="121"/>
      <c r="D9" s="121"/>
      <c r="E9" s="123"/>
      <c r="F9" s="121"/>
      <c r="G9" s="177"/>
      <c r="H9" s="121"/>
      <c r="I9" s="121"/>
      <c r="J9" s="121"/>
      <c r="K9" s="121"/>
      <c r="L9" s="121"/>
      <c r="M9" s="121"/>
      <c r="N9" s="121"/>
      <c r="O9" s="121"/>
      <c r="P9" s="121"/>
      <c r="Q9" s="121"/>
      <c r="R9" s="121"/>
      <c r="S9" s="121"/>
      <c r="T9" s="121"/>
      <c r="U9" s="121"/>
      <c r="V9" s="121"/>
      <c r="W9" s="121"/>
      <c r="X9" s="121"/>
      <c r="Y9" s="121"/>
      <c r="Z9" s="1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row>
    <row r="10">
      <c r="A10" s="177"/>
      <c r="B10" s="177"/>
      <c r="C10" s="121"/>
      <c r="D10" s="121"/>
      <c r="E10" s="123"/>
      <c r="F10" s="121"/>
      <c r="G10" s="177"/>
      <c r="H10" s="121"/>
      <c r="I10" s="121"/>
      <c r="J10" s="121"/>
      <c r="K10" s="121"/>
      <c r="L10" s="121"/>
      <c r="M10" s="121"/>
      <c r="N10" s="121"/>
      <c r="O10" s="121"/>
      <c r="P10" s="121"/>
      <c r="Q10" s="121"/>
      <c r="R10" s="121"/>
      <c r="S10" s="121"/>
      <c r="T10" s="121"/>
      <c r="U10" s="121"/>
      <c r="V10" s="121"/>
      <c r="W10" s="121"/>
      <c r="X10" s="121"/>
      <c r="Y10" s="121"/>
      <c r="Z10" s="1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row>
    <row r="11">
      <c r="A11" s="177"/>
      <c r="B11" s="177"/>
      <c r="C11" s="121"/>
      <c r="D11" s="121"/>
      <c r="E11" s="123"/>
      <c r="F11" s="121"/>
      <c r="G11" s="177"/>
      <c r="H11" s="121"/>
      <c r="I11" s="121"/>
      <c r="J11" s="121"/>
      <c r="K11" s="121"/>
      <c r="L11" s="121"/>
      <c r="M11" s="121"/>
      <c r="N11" s="121"/>
      <c r="O11" s="121"/>
      <c r="P11" s="121"/>
      <c r="Q11" s="121"/>
      <c r="R11" s="121"/>
      <c r="S11" s="121"/>
      <c r="T11" s="121"/>
      <c r="U11" s="121"/>
      <c r="V11" s="121"/>
      <c r="W11" s="121"/>
      <c r="X11" s="121"/>
      <c r="Y11" s="121"/>
      <c r="Z11" s="121"/>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row>
    <row r="12">
      <c r="A12" s="177"/>
      <c r="B12" s="177"/>
      <c r="C12" s="121"/>
      <c r="D12" s="121"/>
      <c r="E12" s="123"/>
      <c r="F12" s="121"/>
      <c r="G12" s="177"/>
      <c r="H12" s="121"/>
      <c r="I12" s="121"/>
      <c r="J12" s="121"/>
      <c r="K12" s="121"/>
      <c r="L12" s="121"/>
      <c r="M12" s="121"/>
      <c r="N12" s="121"/>
      <c r="O12" s="121"/>
      <c r="P12" s="121"/>
      <c r="Q12" s="121"/>
      <c r="R12" s="121"/>
      <c r="S12" s="121"/>
      <c r="T12" s="121"/>
      <c r="U12" s="121"/>
      <c r="V12" s="121"/>
      <c r="W12" s="121"/>
      <c r="X12" s="121"/>
      <c r="Y12" s="121"/>
      <c r="Z12" s="121"/>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row>
    <row r="13">
      <c r="A13" s="177"/>
      <c r="B13" s="177"/>
      <c r="C13" s="121"/>
      <c r="D13" s="121"/>
      <c r="E13" s="123"/>
      <c r="F13" s="121"/>
      <c r="G13" s="177"/>
      <c r="H13" s="121"/>
      <c r="I13" s="121"/>
      <c r="J13" s="121"/>
      <c r="K13" s="121"/>
      <c r="L13" s="121"/>
      <c r="M13" s="121"/>
      <c r="N13" s="121"/>
      <c r="O13" s="121"/>
      <c r="P13" s="121"/>
      <c r="Q13" s="121"/>
      <c r="R13" s="121"/>
      <c r="S13" s="121"/>
      <c r="T13" s="121"/>
      <c r="U13" s="121"/>
      <c r="V13" s="121"/>
      <c r="W13" s="121"/>
      <c r="X13" s="121"/>
      <c r="Y13" s="121"/>
      <c r="Z13" s="121"/>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row>
    <row r="14">
      <c r="A14" s="177"/>
      <c r="B14" s="177"/>
      <c r="C14" s="121"/>
      <c r="D14" s="121"/>
      <c r="E14" s="123"/>
      <c r="F14" s="121"/>
      <c r="G14" s="177"/>
      <c r="H14" s="121"/>
      <c r="I14" s="121"/>
      <c r="J14" s="121"/>
      <c r="K14" s="121"/>
      <c r="L14" s="121"/>
      <c r="M14" s="121"/>
      <c r="N14" s="121"/>
      <c r="O14" s="121"/>
      <c r="P14" s="121"/>
      <c r="Q14" s="121"/>
      <c r="R14" s="121"/>
      <c r="S14" s="121"/>
      <c r="T14" s="121"/>
      <c r="U14" s="121"/>
      <c r="V14" s="121"/>
      <c r="W14" s="121"/>
      <c r="X14" s="121"/>
      <c r="Y14" s="121"/>
      <c r="Z14" s="121"/>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row>
    <row r="15">
      <c r="A15" s="177"/>
      <c r="B15" s="177"/>
      <c r="C15" s="121"/>
      <c r="D15" s="121"/>
      <c r="E15" s="123"/>
      <c r="F15" s="121"/>
      <c r="G15" s="177"/>
      <c r="H15" s="121"/>
      <c r="I15" s="121"/>
      <c r="J15" s="121"/>
      <c r="K15" s="121"/>
      <c r="L15" s="121"/>
      <c r="M15" s="121"/>
      <c r="N15" s="121"/>
      <c r="O15" s="121"/>
      <c r="P15" s="121"/>
      <c r="Q15" s="121"/>
      <c r="R15" s="121"/>
      <c r="S15" s="121"/>
      <c r="T15" s="121"/>
      <c r="U15" s="121"/>
      <c r="V15" s="121"/>
      <c r="W15" s="121"/>
      <c r="X15" s="121"/>
      <c r="Y15" s="121"/>
      <c r="Z15" s="121"/>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3"/>
      <c r="AX15" s="123"/>
    </row>
    <row r="16">
      <c r="A16" s="177"/>
      <c r="B16" s="177"/>
      <c r="C16" s="121"/>
      <c r="D16" s="121"/>
      <c r="E16" s="123"/>
      <c r="F16" s="121"/>
      <c r="G16" s="177"/>
      <c r="H16" s="121"/>
      <c r="I16" s="121"/>
      <c r="J16" s="121"/>
      <c r="K16" s="121"/>
      <c r="L16" s="121"/>
      <c r="M16" s="121"/>
      <c r="N16" s="121"/>
      <c r="O16" s="121"/>
      <c r="P16" s="121"/>
      <c r="Q16" s="121"/>
      <c r="R16" s="121"/>
      <c r="S16" s="121"/>
      <c r="T16" s="121"/>
      <c r="U16" s="121"/>
      <c r="V16" s="121"/>
      <c r="W16" s="121"/>
      <c r="X16" s="121"/>
      <c r="Y16" s="121"/>
      <c r="Z16" s="121"/>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row>
    <row r="17">
      <c r="A17" s="177"/>
      <c r="B17" s="177"/>
      <c r="C17" s="121"/>
      <c r="D17" s="121"/>
      <c r="E17" s="123"/>
      <c r="F17" s="121"/>
      <c r="G17" s="177"/>
      <c r="H17" s="121"/>
      <c r="I17" s="121"/>
      <c r="J17" s="121"/>
      <c r="K17" s="121"/>
      <c r="L17" s="121"/>
      <c r="M17" s="121"/>
      <c r="N17" s="121"/>
      <c r="O17" s="121"/>
      <c r="P17" s="121"/>
      <c r="Q17" s="121"/>
      <c r="R17" s="121"/>
      <c r="S17" s="121"/>
      <c r="T17" s="121"/>
      <c r="U17" s="121"/>
      <c r="V17" s="121"/>
      <c r="W17" s="121"/>
      <c r="X17" s="121"/>
      <c r="Y17" s="121"/>
      <c r="Z17" s="121"/>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row>
    <row r="18">
      <c r="A18" s="177"/>
      <c r="B18" s="177"/>
      <c r="C18" s="121"/>
      <c r="D18" s="121"/>
      <c r="E18" s="123"/>
      <c r="F18" s="121"/>
      <c r="G18" s="177"/>
      <c r="H18" s="121"/>
      <c r="I18" s="121"/>
      <c r="J18" s="121"/>
      <c r="K18" s="121"/>
      <c r="L18" s="121"/>
      <c r="M18" s="121"/>
      <c r="N18" s="121"/>
      <c r="O18" s="121"/>
      <c r="P18" s="121"/>
      <c r="Q18" s="121"/>
      <c r="R18" s="121"/>
      <c r="S18" s="121"/>
      <c r="T18" s="121"/>
      <c r="U18" s="121"/>
      <c r="V18" s="121"/>
      <c r="W18" s="121"/>
      <c r="X18" s="121"/>
      <c r="Y18" s="121"/>
      <c r="Z18" s="121"/>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row>
    <row r="19">
      <c r="A19" s="173"/>
      <c r="B19" s="174"/>
      <c r="C19" s="175"/>
      <c r="D19" s="175"/>
      <c r="E19" s="178"/>
      <c r="F19" s="174"/>
      <c r="G19" s="174"/>
      <c r="H19" s="71"/>
      <c r="I19" s="173"/>
      <c r="J19" s="174"/>
      <c r="K19" s="71"/>
      <c r="L19" s="174"/>
      <c r="M19" s="174"/>
      <c r="N19" s="174"/>
      <c r="O19" s="174"/>
      <c r="P19" s="174"/>
      <c r="Q19" s="174"/>
      <c r="R19" s="174"/>
      <c r="S19" s="174"/>
      <c r="T19" s="174"/>
      <c r="U19" s="176"/>
      <c r="V19" s="71"/>
      <c r="W19" s="174"/>
      <c r="X19" s="174"/>
      <c r="Y19" s="136"/>
      <c r="Z19" s="173"/>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1"/>
      <c r="AX19" s="171"/>
    </row>
    <row r="20">
      <c r="A20" s="173"/>
      <c r="B20" s="174"/>
      <c r="C20" s="175"/>
      <c r="D20" s="175"/>
      <c r="E20" s="175"/>
      <c r="F20" s="174"/>
      <c r="G20" s="174"/>
      <c r="H20" s="71"/>
      <c r="I20" s="173"/>
      <c r="J20" s="174"/>
      <c r="K20" s="71"/>
      <c r="L20" s="174"/>
      <c r="M20" s="174"/>
      <c r="N20" s="174"/>
      <c r="O20" s="174"/>
      <c r="P20" s="174"/>
      <c r="Q20" s="174"/>
      <c r="R20" s="174"/>
      <c r="S20" s="174"/>
      <c r="T20" s="174"/>
      <c r="U20" s="176"/>
      <c r="V20" s="71"/>
      <c r="W20" s="174"/>
      <c r="X20" s="174"/>
      <c r="Y20" s="136"/>
      <c r="Z20" s="173"/>
      <c r="AA20" s="171"/>
      <c r="AB20" s="171"/>
      <c r="AC20" s="171"/>
      <c r="AD20" s="171"/>
      <c r="AE20" s="171"/>
      <c r="AF20" s="171"/>
      <c r="AG20" s="171"/>
      <c r="AH20" s="171"/>
      <c r="AI20" s="171"/>
      <c r="AJ20" s="171"/>
      <c r="AK20" s="171"/>
      <c r="AL20" s="171"/>
      <c r="AM20" s="171"/>
      <c r="AN20" s="171"/>
      <c r="AO20" s="171"/>
      <c r="AP20" s="171"/>
      <c r="AQ20" s="171"/>
      <c r="AR20" s="171"/>
      <c r="AS20" s="171"/>
      <c r="AT20" s="171"/>
      <c r="AU20" s="171"/>
      <c r="AV20" s="171"/>
      <c r="AW20" s="171"/>
      <c r="AX20" s="171"/>
    </row>
    <row r="21">
      <c r="A21" s="173"/>
      <c r="B21" s="174"/>
      <c r="C21" s="175"/>
      <c r="D21" s="175"/>
      <c r="E21" s="71"/>
      <c r="F21" s="174"/>
      <c r="G21" s="174"/>
      <c r="H21" s="71"/>
      <c r="I21" s="173"/>
      <c r="J21" s="174"/>
      <c r="K21" s="71"/>
      <c r="L21" s="174"/>
      <c r="M21" s="174"/>
      <c r="N21" s="174"/>
      <c r="O21" s="174"/>
      <c r="P21" s="174"/>
      <c r="Q21" s="174"/>
      <c r="R21" s="174"/>
      <c r="S21" s="71"/>
      <c r="T21" s="71"/>
      <c r="U21" s="176"/>
      <c r="V21" s="175"/>
      <c r="W21" s="174"/>
      <c r="X21" s="174"/>
      <c r="Y21" s="136"/>
      <c r="Z21" s="71"/>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row>
    <row r="22">
      <c r="A22" s="173"/>
      <c r="B22" s="174"/>
      <c r="C22" s="174"/>
      <c r="D22" s="71"/>
      <c r="E22" s="71"/>
      <c r="F22" s="71"/>
      <c r="G22" s="174"/>
      <c r="H22" s="173"/>
      <c r="I22" s="173"/>
      <c r="J22" s="174"/>
      <c r="K22" s="71"/>
      <c r="L22" s="174"/>
      <c r="M22" s="71"/>
      <c r="N22" s="174"/>
      <c r="O22" s="174"/>
      <c r="P22" s="174"/>
      <c r="Q22" s="174"/>
      <c r="R22" s="179"/>
      <c r="S22" s="71"/>
      <c r="T22" s="71"/>
      <c r="U22" s="176"/>
      <c r="V22" s="174"/>
      <c r="W22" s="174"/>
      <c r="X22" s="174"/>
      <c r="Y22" s="71"/>
      <c r="Z22" s="71"/>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row>
    <row r="23">
      <c r="A23" s="173"/>
      <c r="B23" s="174"/>
      <c r="C23" s="174"/>
      <c r="D23" s="71"/>
      <c r="E23" s="71"/>
      <c r="F23" s="71"/>
      <c r="G23" s="174"/>
      <c r="H23" s="173"/>
      <c r="I23" s="173"/>
      <c r="J23" s="174"/>
      <c r="K23" s="71"/>
      <c r="L23" s="174"/>
      <c r="M23" s="174"/>
      <c r="N23" s="174"/>
      <c r="O23" s="174"/>
      <c r="P23" s="174"/>
      <c r="Q23" s="174"/>
      <c r="R23" s="179"/>
      <c r="S23" s="71"/>
      <c r="T23" s="174"/>
      <c r="U23" s="176"/>
      <c r="V23" s="174"/>
      <c r="W23" s="71"/>
      <c r="X23" s="71"/>
      <c r="Y23" s="71"/>
      <c r="Z23" s="71"/>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row>
    <row r="24">
      <c r="A24" s="173"/>
      <c r="B24" s="174"/>
      <c r="C24" s="174"/>
      <c r="D24" s="71"/>
      <c r="E24" s="71"/>
      <c r="F24" s="71"/>
      <c r="G24" s="174"/>
      <c r="H24" s="173"/>
      <c r="I24" s="173"/>
      <c r="J24" s="174"/>
      <c r="K24" s="71"/>
      <c r="L24" s="174"/>
      <c r="M24" s="174"/>
      <c r="N24" s="174"/>
      <c r="O24" s="174"/>
      <c r="P24" s="174"/>
      <c r="Q24" s="174"/>
      <c r="R24" s="179"/>
      <c r="S24" s="71"/>
      <c r="T24" s="174"/>
      <c r="U24" s="176"/>
      <c r="V24" s="174"/>
      <c r="W24" s="174"/>
      <c r="X24" s="174"/>
      <c r="Y24" s="71"/>
      <c r="Z24" s="71"/>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row>
    <row r="25">
      <c r="A25" s="173"/>
      <c r="B25" s="174"/>
      <c r="C25" s="175"/>
      <c r="D25" s="175"/>
      <c r="E25" s="175"/>
      <c r="F25" s="174"/>
      <c r="G25" s="174"/>
      <c r="H25" s="71"/>
      <c r="I25" s="173"/>
      <c r="J25" s="174"/>
      <c r="K25" s="71"/>
      <c r="L25" s="174"/>
      <c r="M25" s="174"/>
      <c r="N25" s="174"/>
      <c r="O25" s="174"/>
      <c r="P25" s="174"/>
      <c r="Q25" s="174"/>
      <c r="R25" s="174"/>
      <c r="S25" s="174"/>
      <c r="T25" s="174"/>
      <c r="U25" s="176"/>
      <c r="V25" s="71"/>
      <c r="W25" s="174"/>
      <c r="X25" s="174"/>
      <c r="Y25" s="136"/>
      <c r="Z25" s="173"/>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71"/>
    </row>
    <row r="26">
      <c r="A26" s="173"/>
      <c r="B26" s="174"/>
      <c r="C26" s="175"/>
      <c r="D26" s="175"/>
      <c r="E26" s="175"/>
      <c r="F26" s="174"/>
      <c r="G26" s="174"/>
      <c r="H26" s="71"/>
      <c r="I26" s="173"/>
      <c r="J26" s="174"/>
      <c r="K26" s="71"/>
      <c r="L26" s="174"/>
      <c r="M26" s="174"/>
      <c r="N26" s="174"/>
      <c r="O26" s="174"/>
      <c r="P26" s="174"/>
      <c r="Q26" s="174"/>
      <c r="R26" s="174"/>
      <c r="S26" s="174"/>
      <c r="T26" s="174"/>
      <c r="U26" s="174"/>
      <c r="V26" s="175"/>
      <c r="W26" s="174"/>
      <c r="X26" s="174"/>
      <c r="Y26" s="136"/>
      <c r="Z26" s="173"/>
      <c r="AA26" s="171"/>
      <c r="AB26" s="171"/>
      <c r="AC26" s="171"/>
      <c r="AD26" s="171"/>
      <c r="AE26" s="171"/>
      <c r="AF26" s="171"/>
      <c r="AG26" s="171"/>
      <c r="AH26" s="171"/>
      <c r="AI26" s="171"/>
      <c r="AJ26" s="171"/>
      <c r="AK26" s="171"/>
      <c r="AL26" s="171"/>
      <c r="AM26" s="171"/>
      <c r="AN26" s="171"/>
      <c r="AO26" s="171"/>
      <c r="AP26" s="171"/>
      <c r="AQ26" s="171"/>
      <c r="AR26" s="171"/>
      <c r="AS26" s="171"/>
      <c r="AT26" s="171"/>
      <c r="AU26" s="171"/>
      <c r="AV26" s="171"/>
      <c r="AW26" s="171"/>
      <c r="AX26" s="171"/>
    </row>
    <row r="27">
      <c r="A27" s="173"/>
      <c r="B27" s="174"/>
      <c r="C27" s="174"/>
      <c r="D27" s="71"/>
      <c r="E27" s="71"/>
      <c r="F27" s="71"/>
      <c r="G27" s="174"/>
      <c r="H27" s="173"/>
      <c r="I27" s="173"/>
      <c r="J27" s="174"/>
      <c r="K27" s="71"/>
      <c r="L27" s="174"/>
      <c r="M27" s="174"/>
      <c r="N27" s="174"/>
      <c r="O27" s="174"/>
      <c r="P27" s="174"/>
      <c r="Q27" s="174"/>
      <c r="R27" s="174"/>
      <c r="S27" s="71"/>
      <c r="T27" s="71"/>
      <c r="U27" s="176"/>
      <c r="V27" s="174"/>
      <c r="W27" s="174"/>
      <c r="X27" s="174"/>
      <c r="Y27" s="71"/>
      <c r="Z27" s="71"/>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row>
    <row r="28">
      <c r="A28" s="177"/>
      <c r="B28" s="177"/>
      <c r="C28" s="121"/>
      <c r="D28" s="121"/>
      <c r="E28" s="121"/>
      <c r="F28" s="121"/>
      <c r="G28" s="177"/>
      <c r="H28" s="121"/>
      <c r="I28" s="121"/>
      <c r="J28" s="121"/>
      <c r="K28" s="121"/>
      <c r="L28" s="121"/>
      <c r="M28" s="121"/>
      <c r="N28" s="121"/>
      <c r="O28" s="121"/>
      <c r="P28" s="121"/>
      <c r="Q28" s="121"/>
      <c r="R28" s="121"/>
      <c r="S28" s="121"/>
      <c r="T28" s="121"/>
      <c r="U28" s="121"/>
      <c r="V28" s="121"/>
      <c r="W28" s="121"/>
      <c r="X28" s="121"/>
      <c r="Y28" s="121"/>
      <c r="Z28" s="121"/>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3"/>
      <c r="AW28" s="123"/>
      <c r="AX28" s="123"/>
    </row>
    <row r="29">
      <c r="A29" s="177"/>
      <c r="B29" s="177"/>
      <c r="C29" s="121"/>
      <c r="D29" s="121"/>
      <c r="E29" s="121"/>
      <c r="F29" s="121"/>
      <c r="G29" s="177"/>
      <c r="H29" s="121"/>
      <c r="I29" s="121"/>
      <c r="J29" s="121"/>
      <c r="K29" s="121"/>
      <c r="L29" s="121"/>
      <c r="M29" s="121"/>
      <c r="N29" s="121"/>
      <c r="O29" s="121"/>
      <c r="P29" s="121"/>
      <c r="Q29" s="121"/>
      <c r="R29" s="121"/>
      <c r="S29" s="121"/>
      <c r="T29" s="121"/>
      <c r="U29" s="121"/>
      <c r="V29" s="121"/>
      <c r="W29" s="121"/>
      <c r="X29" s="121"/>
      <c r="Y29" s="121"/>
      <c r="Z29" s="121"/>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row>
    <row r="30">
      <c r="A30" s="177"/>
      <c r="B30" s="177"/>
      <c r="C30" s="121"/>
      <c r="D30" s="121"/>
      <c r="E30" s="121"/>
      <c r="F30" s="121"/>
      <c r="G30" s="177"/>
      <c r="H30" s="121"/>
      <c r="I30" s="121"/>
      <c r="J30" s="121"/>
      <c r="K30" s="121"/>
      <c r="L30" s="121"/>
      <c r="M30" s="121"/>
      <c r="N30" s="121"/>
      <c r="O30" s="121"/>
      <c r="P30" s="121"/>
      <c r="Q30" s="121"/>
      <c r="R30" s="121"/>
      <c r="S30" s="121"/>
      <c r="T30" s="121"/>
      <c r="U30" s="121"/>
      <c r="V30" s="121"/>
      <c r="W30" s="121"/>
      <c r="X30" s="121"/>
      <c r="Y30" s="121"/>
      <c r="Z30" s="121"/>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row>
    <row r="31">
      <c r="A31" s="177"/>
      <c r="B31" s="177"/>
      <c r="C31" s="121"/>
      <c r="D31" s="121"/>
      <c r="E31" s="121"/>
      <c r="F31" s="121"/>
      <c r="G31" s="177"/>
      <c r="H31" s="121"/>
      <c r="I31" s="121"/>
      <c r="J31" s="121"/>
      <c r="K31" s="121"/>
      <c r="L31" s="121"/>
      <c r="M31" s="121"/>
      <c r="N31" s="121"/>
      <c r="O31" s="121"/>
      <c r="P31" s="121"/>
      <c r="Q31" s="121"/>
      <c r="R31" s="121"/>
      <c r="S31" s="121"/>
      <c r="T31" s="121"/>
      <c r="U31" s="121"/>
      <c r="V31" s="121"/>
      <c r="W31" s="121"/>
      <c r="X31" s="121"/>
      <c r="Y31" s="121"/>
      <c r="Z31" s="121"/>
      <c r="AA31" s="123"/>
      <c r="AB31" s="123"/>
      <c r="AC31" s="123"/>
      <c r="AD31" s="123"/>
      <c r="AE31" s="123"/>
      <c r="AF31" s="123"/>
      <c r="AG31" s="123"/>
      <c r="AH31" s="123"/>
      <c r="AI31" s="123"/>
      <c r="AJ31" s="123"/>
      <c r="AK31" s="123"/>
      <c r="AL31" s="123"/>
      <c r="AM31" s="123"/>
      <c r="AN31" s="123"/>
      <c r="AO31" s="123"/>
      <c r="AP31" s="123"/>
      <c r="AQ31" s="123"/>
      <c r="AR31" s="123"/>
      <c r="AS31" s="123"/>
      <c r="AT31" s="123"/>
      <c r="AU31" s="123"/>
      <c r="AV31" s="123"/>
      <c r="AW31" s="123"/>
      <c r="AX31" s="123"/>
    </row>
    <row r="32">
      <c r="A32" s="177"/>
      <c r="B32" s="177"/>
      <c r="C32" s="121"/>
      <c r="D32" s="121"/>
      <c r="E32" s="121"/>
      <c r="F32" s="121"/>
      <c r="G32" s="177"/>
      <c r="H32" s="121"/>
      <c r="I32" s="121"/>
      <c r="J32" s="121"/>
      <c r="K32" s="121"/>
      <c r="L32" s="121"/>
      <c r="M32" s="121"/>
      <c r="N32" s="121"/>
      <c r="O32" s="121"/>
      <c r="P32" s="121"/>
      <c r="Q32" s="121"/>
      <c r="R32" s="121"/>
      <c r="S32" s="121"/>
      <c r="T32" s="121"/>
      <c r="U32" s="121"/>
      <c r="V32" s="121"/>
      <c r="W32" s="121"/>
      <c r="X32" s="121"/>
      <c r="Y32" s="121"/>
      <c r="Z32" s="121"/>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3"/>
      <c r="AX32" s="123"/>
    </row>
    <row r="33">
      <c r="A33" s="177"/>
      <c r="B33" s="177"/>
      <c r="C33" s="121"/>
      <c r="D33" s="121"/>
      <c r="E33" s="121"/>
      <c r="F33" s="121"/>
      <c r="G33" s="177"/>
      <c r="H33" s="121"/>
      <c r="I33" s="121"/>
      <c r="J33" s="121"/>
      <c r="K33" s="121"/>
      <c r="L33" s="121"/>
      <c r="M33" s="121"/>
      <c r="N33" s="121"/>
      <c r="O33" s="121"/>
      <c r="P33" s="121"/>
      <c r="Q33" s="121"/>
      <c r="R33" s="121"/>
      <c r="S33" s="121"/>
      <c r="T33" s="121"/>
      <c r="U33" s="121"/>
      <c r="V33" s="121"/>
      <c r="W33" s="121"/>
      <c r="X33" s="121"/>
      <c r="Y33" s="121"/>
      <c r="Z33" s="121"/>
      <c r="AA33" s="123"/>
      <c r="AB33" s="123"/>
      <c r="AC33" s="123"/>
      <c r="AD33" s="123"/>
      <c r="AE33" s="123"/>
      <c r="AF33" s="123"/>
      <c r="AG33" s="123"/>
      <c r="AH33" s="123"/>
      <c r="AI33" s="123"/>
      <c r="AJ33" s="123"/>
      <c r="AK33" s="123"/>
      <c r="AL33" s="123"/>
      <c r="AM33" s="123"/>
      <c r="AN33" s="123"/>
      <c r="AO33" s="123"/>
      <c r="AP33" s="123"/>
      <c r="AQ33" s="123"/>
      <c r="AR33" s="123"/>
      <c r="AS33" s="123"/>
      <c r="AT33" s="123"/>
      <c r="AU33" s="123"/>
      <c r="AV33" s="123"/>
      <c r="AW33" s="123"/>
      <c r="AX33" s="123"/>
    </row>
    <row r="34">
      <c r="A34" s="177"/>
      <c r="B34" s="177"/>
      <c r="C34" s="121"/>
      <c r="D34" s="121"/>
      <c r="E34" s="121"/>
      <c r="F34" s="121"/>
      <c r="G34" s="177"/>
      <c r="H34" s="121"/>
      <c r="I34" s="121"/>
      <c r="J34" s="121"/>
      <c r="K34" s="121"/>
      <c r="L34" s="121"/>
      <c r="M34" s="121"/>
      <c r="N34" s="121"/>
      <c r="O34" s="121"/>
      <c r="P34" s="121"/>
      <c r="Q34" s="121"/>
      <c r="R34" s="121"/>
      <c r="S34" s="121"/>
      <c r="T34" s="121"/>
      <c r="U34" s="121"/>
      <c r="V34" s="121"/>
      <c r="W34" s="121"/>
      <c r="X34" s="121"/>
      <c r="Y34" s="121"/>
      <c r="Z34" s="121"/>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3"/>
      <c r="AX34" s="123"/>
    </row>
    <row r="35">
      <c r="A35" s="177"/>
      <c r="B35" s="177"/>
      <c r="C35" s="121"/>
      <c r="D35" s="121"/>
      <c r="E35" s="121"/>
      <c r="F35" s="121"/>
      <c r="G35" s="177"/>
      <c r="H35" s="121"/>
      <c r="I35" s="121"/>
      <c r="J35" s="121"/>
      <c r="K35" s="121"/>
      <c r="L35" s="121"/>
      <c r="M35" s="121"/>
      <c r="N35" s="121"/>
      <c r="O35" s="121"/>
      <c r="P35" s="121"/>
      <c r="Q35" s="121"/>
      <c r="R35" s="121"/>
      <c r="S35" s="121"/>
      <c r="T35" s="121"/>
      <c r="U35" s="121"/>
      <c r="V35" s="121"/>
      <c r="W35" s="121"/>
      <c r="X35" s="121"/>
      <c r="Y35" s="121"/>
      <c r="Z35" s="121"/>
      <c r="AA35" s="123"/>
      <c r="AB35" s="123"/>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row>
    <row r="36">
      <c r="A36" s="177"/>
      <c r="B36" s="177"/>
      <c r="C36" s="121"/>
      <c r="D36" s="121"/>
      <c r="E36" s="121"/>
      <c r="F36" s="121"/>
      <c r="G36" s="177"/>
      <c r="H36" s="121"/>
      <c r="I36" s="121"/>
      <c r="J36" s="121"/>
      <c r="K36" s="121"/>
      <c r="L36" s="121"/>
      <c r="M36" s="121"/>
      <c r="N36" s="121"/>
      <c r="O36" s="121"/>
      <c r="P36" s="121"/>
      <c r="Q36" s="121"/>
      <c r="R36" s="121"/>
      <c r="S36" s="121"/>
      <c r="T36" s="121"/>
      <c r="U36" s="121"/>
      <c r="V36" s="121"/>
      <c r="W36" s="121"/>
      <c r="X36" s="121"/>
      <c r="Y36" s="121"/>
      <c r="Z36" s="121"/>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row>
    <row r="37">
      <c r="A37" s="177"/>
      <c r="B37" s="177"/>
      <c r="C37" s="121"/>
      <c r="D37" s="121"/>
      <c r="E37" s="121"/>
      <c r="F37" s="121"/>
      <c r="G37" s="177"/>
      <c r="H37" s="121"/>
      <c r="I37" s="121"/>
      <c r="J37" s="121"/>
      <c r="K37" s="121"/>
      <c r="L37" s="121"/>
      <c r="M37" s="121"/>
      <c r="N37" s="121"/>
      <c r="O37" s="121"/>
      <c r="P37" s="121"/>
      <c r="Q37" s="121"/>
      <c r="R37" s="121"/>
      <c r="S37" s="121"/>
      <c r="T37" s="121"/>
      <c r="U37" s="121"/>
      <c r="V37" s="121"/>
      <c r="W37" s="121"/>
      <c r="X37" s="121"/>
      <c r="Y37" s="121"/>
      <c r="Z37" s="121"/>
      <c r="AA37" s="123"/>
      <c r="AB37" s="123"/>
      <c r="AC37" s="123"/>
      <c r="AD37" s="123"/>
      <c r="AE37" s="123"/>
      <c r="AF37" s="123"/>
      <c r="AG37" s="123"/>
      <c r="AH37" s="123"/>
      <c r="AI37" s="123"/>
      <c r="AJ37" s="123"/>
      <c r="AK37" s="123"/>
      <c r="AL37" s="123"/>
      <c r="AM37" s="123"/>
      <c r="AN37" s="123"/>
      <c r="AO37" s="123"/>
      <c r="AP37" s="123"/>
      <c r="AQ37" s="123"/>
      <c r="AR37" s="123"/>
      <c r="AS37" s="123"/>
      <c r="AT37" s="123"/>
      <c r="AU37" s="123"/>
      <c r="AV37" s="123"/>
      <c r="AW37" s="123"/>
      <c r="AX37" s="123"/>
    </row>
    <row r="38">
      <c r="A38" s="177"/>
      <c r="B38" s="177"/>
      <c r="C38" s="121"/>
      <c r="D38" s="121"/>
      <c r="E38" s="121"/>
      <c r="F38" s="121"/>
      <c r="G38" s="177"/>
      <c r="H38" s="121"/>
      <c r="I38" s="121"/>
      <c r="J38" s="121"/>
      <c r="K38" s="121"/>
      <c r="L38" s="121"/>
      <c r="M38" s="121"/>
      <c r="N38" s="121"/>
      <c r="O38" s="121"/>
      <c r="P38" s="121"/>
      <c r="Q38" s="121"/>
      <c r="R38" s="121"/>
      <c r="S38" s="121"/>
      <c r="T38" s="121"/>
      <c r="U38" s="121"/>
      <c r="V38" s="121"/>
      <c r="W38" s="121"/>
      <c r="X38" s="121"/>
      <c r="Y38" s="121"/>
      <c r="Z38" s="121"/>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3"/>
      <c r="AX38" s="123"/>
    </row>
    <row r="39">
      <c r="A39" s="177"/>
      <c r="B39" s="177"/>
      <c r="C39" s="121"/>
      <c r="D39" s="121"/>
      <c r="E39" s="121"/>
      <c r="F39" s="121"/>
      <c r="G39" s="177"/>
      <c r="H39" s="121"/>
      <c r="I39" s="121"/>
      <c r="J39" s="121"/>
      <c r="K39" s="121"/>
      <c r="L39" s="121"/>
      <c r="M39" s="121"/>
      <c r="N39" s="121"/>
      <c r="O39" s="121"/>
      <c r="P39" s="121"/>
      <c r="Q39" s="121"/>
      <c r="R39" s="121"/>
      <c r="S39" s="121"/>
      <c r="T39" s="121"/>
      <c r="U39" s="121"/>
      <c r="V39" s="121"/>
      <c r="W39" s="121"/>
      <c r="X39" s="121"/>
      <c r="Y39" s="121"/>
      <c r="Z39" s="121"/>
      <c r="AA39" s="123"/>
      <c r="AB39" s="123"/>
      <c r="AC39" s="123"/>
      <c r="AD39" s="123"/>
      <c r="AE39" s="123"/>
      <c r="AF39" s="123"/>
      <c r="AG39" s="123"/>
      <c r="AH39" s="123"/>
      <c r="AI39" s="123"/>
      <c r="AJ39" s="123"/>
      <c r="AK39" s="123"/>
      <c r="AL39" s="123"/>
      <c r="AM39" s="123"/>
      <c r="AN39" s="123"/>
      <c r="AO39" s="123"/>
      <c r="AP39" s="123"/>
      <c r="AQ39" s="123"/>
      <c r="AR39" s="123"/>
      <c r="AS39" s="123"/>
      <c r="AT39" s="123"/>
      <c r="AU39" s="123"/>
      <c r="AV39" s="123"/>
      <c r="AW39" s="123"/>
      <c r="AX39" s="123"/>
    </row>
    <row r="40">
      <c r="A40" s="177"/>
      <c r="B40" s="177"/>
      <c r="C40" s="121"/>
      <c r="D40" s="121"/>
      <c r="E40" s="121"/>
      <c r="F40" s="121"/>
      <c r="G40" s="177"/>
      <c r="H40" s="121"/>
      <c r="I40" s="121"/>
      <c r="J40" s="121"/>
      <c r="K40" s="121"/>
      <c r="L40" s="121"/>
      <c r="M40" s="121"/>
      <c r="N40" s="121"/>
      <c r="O40" s="121"/>
      <c r="P40" s="121"/>
      <c r="Q40" s="121"/>
      <c r="R40" s="121"/>
      <c r="S40" s="121"/>
      <c r="T40" s="121"/>
      <c r="U40" s="121"/>
      <c r="V40" s="121"/>
      <c r="W40" s="121"/>
      <c r="X40" s="121"/>
      <c r="Y40" s="121"/>
      <c r="Z40" s="121"/>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row>
    <row r="41">
      <c r="A41" s="177"/>
      <c r="B41" s="177"/>
      <c r="C41" s="121"/>
      <c r="D41" s="121"/>
      <c r="E41" s="121"/>
      <c r="F41" s="121"/>
      <c r="G41" s="177"/>
      <c r="H41" s="121"/>
      <c r="I41" s="121"/>
      <c r="J41" s="121"/>
      <c r="K41" s="121"/>
      <c r="L41" s="121"/>
      <c r="M41" s="121"/>
      <c r="N41" s="121"/>
      <c r="O41" s="121"/>
      <c r="P41" s="121"/>
      <c r="Q41" s="121"/>
      <c r="R41" s="121"/>
      <c r="S41" s="121"/>
      <c r="T41" s="121"/>
      <c r="U41" s="121"/>
      <c r="V41" s="121"/>
      <c r="W41" s="121"/>
      <c r="X41" s="121"/>
      <c r="Y41" s="121"/>
      <c r="Z41" s="121"/>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row>
    <row r="42">
      <c r="A42" s="177"/>
      <c r="B42" s="177"/>
      <c r="C42" s="121"/>
      <c r="D42" s="121"/>
      <c r="E42" s="121"/>
      <c r="F42" s="121"/>
      <c r="G42" s="177"/>
      <c r="H42" s="121"/>
      <c r="I42" s="121"/>
      <c r="J42" s="121"/>
      <c r="K42" s="121"/>
      <c r="L42" s="121"/>
      <c r="M42" s="121"/>
      <c r="N42" s="121"/>
      <c r="O42" s="121"/>
      <c r="P42" s="121"/>
      <c r="Q42" s="121"/>
      <c r="R42" s="121"/>
      <c r="S42" s="121"/>
      <c r="T42" s="121"/>
      <c r="U42" s="121"/>
      <c r="V42" s="121"/>
      <c r="W42" s="121"/>
      <c r="X42" s="121"/>
      <c r="Y42" s="121"/>
      <c r="Z42" s="121"/>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row>
    <row r="43">
      <c r="A43" s="173"/>
      <c r="B43" s="174"/>
      <c r="C43" s="174"/>
      <c r="D43" s="71"/>
      <c r="E43" s="71"/>
      <c r="F43" s="71"/>
      <c r="G43" s="174"/>
      <c r="H43" s="71"/>
      <c r="I43" s="71"/>
      <c r="J43" s="71"/>
      <c r="K43" s="71"/>
      <c r="L43" s="71"/>
      <c r="M43" s="71"/>
      <c r="N43" s="71"/>
      <c r="O43" s="174"/>
      <c r="P43" s="174"/>
      <c r="Q43" s="174"/>
      <c r="R43" s="71"/>
      <c r="S43" s="71"/>
      <c r="T43" s="71"/>
      <c r="U43" s="71"/>
      <c r="V43" s="71"/>
      <c r="W43" s="71"/>
      <c r="X43" s="71"/>
      <c r="Y43" s="71"/>
      <c r="Z43" s="71"/>
      <c r="AA43" s="77"/>
      <c r="AB43" s="77"/>
      <c r="AC43" s="77"/>
      <c r="AD43" s="77"/>
      <c r="AE43" s="77"/>
      <c r="AF43" s="77"/>
      <c r="AG43" s="77"/>
      <c r="AH43" s="77"/>
      <c r="AI43" s="77"/>
      <c r="AJ43" s="77"/>
      <c r="AK43" s="77"/>
      <c r="AL43" s="77"/>
      <c r="AM43" s="77"/>
      <c r="AN43" s="77"/>
      <c r="AO43" s="77"/>
      <c r="AP43" s="77"/>
      <c r="AQ43" s="77"/>
      <c r="AR43" s="77"/>
      <c r="AS43" s="77"/>
      <c r="AT43" s="77"/>
      <c r="AU43" s="77"/>
      <c r="AV43" s="77"/>
      <c r="AW43" s="77"/>
      <c r="AX43" s="77"/>
    </row>
    <row r="44">
      <c r="A44" s="173"/>
      <c r="B44" s="174"/>
      <c r="C44" s="174"/>
      <c r="D44" s="71"/>
      <c r="E44" s="71"/>
      <c r="F44" s="71"/>
      <c r="G44" s="174"/>
      <c r="H44" s="173"/>
      <c r="I44" s="173"/>
      <c r="J44" s="174"/>
      <c r="K44" s="71"/>
      <c r="L44" s="174"/>
      <c r="M44" s="174"/>
      <c r="N44" s="174"/>
      <c r="O44" s="174"/>
      <c r="P44" s="174"/>
      <c r="Q44" s="174"/>
      <c r="R44" s="174"/>
      <c r="S44" s="71"/>
      <c r="T44" s="174"/>
      <c r="U44" s="176"/>
      <c r="V44" s="174"/>
      <c r="W44" s="71"/>
      <c r="X44" s="71"/>
      <c r="Y44" s="71"/>
      <c r="Z44" s="71"/>
      <c r="AA44" s="77"/>
      <c r="AB44" s="77"/>
      <c r="AC44" s="77"/>
      <c r="AD44" s="77"/>
      <c r="AE44" s="77"/>
      <c r="AF44" s="77"/>
      <c r="AG44" s="77"/>
      <c r="AH44" s="77"/>
      <c r="AI44" s="77"/>
      <c r="AJ44" s="77"/>
      <c r="AK44" s="77"/>
      <c r="AL44" s="77"/>
      <c r="AM44" s="77"/>
      <c r="AN44" s="77"/>
      <c r="AO44" s="77"/>
      <c r="AP44" s="77"/>
      <c r="AQ44" s="77"/>
      <c r="AR44" s="77"/>
      <c r="AS44" s="77"/>
      <c r="AT44" s="77"/>
      <c r="AU44" s="77"/>
      <c r="AV44" s="77"/>
      <c r="AW44" s="77"/>
      <c r="AX44" s="77"/>
    </row>
    <row r="45">
      <c r="A45" s="173"/>
      <c r="B45" s="174"/>
      <c r="C45" s="175"/>
      <c r="D45" s="175"/>
      <c r="E45" s="71"/>
      <c r="F45" s="174"/>
      <c r="G45" s="174"/>
      <c r="H45" s="173"/>
      <c r="I45" s="173"/>
      <c r="J45" s="174"/>
      <c r="K45" s="71"/>
      <c r="L45" s="71"/>
      <c r="M45" s="174"/>
      <c r="N45" s="174"/>
      <c r="O45" s="174"/>
      <c r="P45" s="174"/>
      <c r="Q45" s="174"/>
      <c r="R45" s="174"/>
      <c r="S45" s="71"/>
      <c r="T45" s="71"/>
      <c r="U45" s="176"/>
      <c r="V45" s="174"/>
      <c r="W45" s="174"/>
      <c r="X45" s="174"/>
      <c r="Y45" s="136"/>
      <c r="Z45" s="71"/>
      <c r="AA45" s="77"/>
      <c r="AB45" s="77"/>
      <c r="AC45" s="77"/>
      <c r="AD45" s="77"/>
      <c r="AE45" s="77"/>
      <c r="AF45" s="77"/>
      <c r="AG45" s="77"/>
      <c r="AH45" s="77"/>
      <c r="AI45" s="77"/>
      <c r="AJ45" s="77"/>
      <c r="AK45" s="77"/>
      <c r="AL45" s="77"/>
      <c r="AM45" s="77"/>
      <c r="AN45" s="77"/>
      <c r="AO45" s="77"/>
      <c r="AP45" s="77"/>
      <c r="AQ45" s="77"/>
      <c r="AR45" s="77"/>
      <c r="AS45" s="77"/>
      <c r="AT45" s="77"/>
      <c r="AU45" s="77"/>
      <c r="AV45" s="77"/>
      <c r="AW45" s="77"/>
      <c r="AX45" s="77"/>
    </row>
    <row r="46">
      <c r="A46" s="173"/>
      <c r="B46" s="174"/>
      <c r="C46" s="174"/>
      <c r="D46" s="71"/>
      <c r="E46" s="71"/>
      <c r="F46" s="71"/>
      <c r="G46" s="174"/>
      <c r="H46" s="173"/>
      <c r="I46" s="173"/>
      <c r="J46" s="174"/>
      <c r="K46" s="71"/>
      <c r="L46" s="174"/>
      <c r="M46" s="174"/>
      <c r="N46" s="174"/>
      <c r="O46" s="174"/>
      <c r="P46" s="174"/>
      <c r="Q46" s="174"/>
      <c r="R46" s="174"/>
      <c r="S46" s="71"/>
      <c r="T46" s="174"/>
      <c r="U46" s="176"/>
      <c r="V46" s="174"/>
      <c r="W46" s="174"/>
      <c r="X46" s="174"/>
      <c r="Y46" s="71"/>
      <c r="Z46" s="71"/>
      <c r="AA46" s="77"/>
      <c r="AB46" s="77"/>
      <c r="AC46" s="77"/>
      <c r="AD46" s="77"/>
      <c r="AE46" s="77"/>
      <c r="AF46" s="77"/>
      <c r="AG46" s="77"/>
      <c r="AH46" s="77"/>
      <c r="AI46" s="77"/>
      <c r="AJ46" s="77"/>
      <c r="AK46" s="77"/>
      <c r="AL46" s="77"/>
      <c r="AM46" s="77"/>
      <c r="AN46" s="77"/>
      <c r="AO46" s="77"/>
      <c r="AP46" s="77"/>
      <c r="AQ46" s="77"/>
      <c r="AR46" s="77"/>
      <c r="AS46" s="77"/>
      <c r="AT46" s="77"/>
      <c r="AU46" s="77"/>
      <c r="AV46" s="77"/>
      <c r="AW46" s="77"/>
      <c r="AX46" s="77"/>
    </row>
    <row r="47">
      <c r="A47" s="173"/>
      <c r="B47" s="174"/>
      <c r="C47" s="174"/>
      <c r="D47" s="71"/>
      <c r="E47" s="71"/>
      <c r="F47" s="71"/>
      <c r="G47" s="174"/>
      <c r="H47" s="173"/>
      <c r="I47" s="173"/>
      <c r="J47" s="174"/>
      <c r="K47" s="71"/>
      <c r="L47" s="174"/>
      <c r="M47" s="174"/>
      <c r="N47" s="174"/>
      <c r="O47" s="174"/>
      <c r="P47" s="174"/>
      <c r="Q47" s="174"/>
      <c r="R47" s="174"/>
      <c r="S47" s="71"/>
      <c r="T47" s="174"/>
      <c r="U47" s="176"/>
      <c r="V47" s="174"/>
      <c r="W47" s="174"/>
      <c r="X47" s="174"/>
      <c r="Y47" s="71"/>
      <c r="Z47" s="71"/>
      <c r="AA47" s="77"/>
      <c r="AB47" s="77"/>
      <c r="AC47" s="77"/>
      <c r="AD47" s="77"/>
      <c r="AE47" s="77"/>
      <c r="AF47" s="77"/>
      <c r="AG47" s="77"/>
      <c r="AH47" s="77"/>
      <c r="AI47" s="77"/>
      <c r="AJ47" s="77"/>
      <c r="AK47" s="77"/>
      <c r="AL47" s="77"/>
      <c r="AM47" s="77"/>
      <c r="AN47" s="77"/>
      <c r="AO47" s="77"/>
      <c r="AP47" s="77"/>
      <c r="AQ47" s="77"/>
      <c r="AR47" s="77"/>
      <c r="AS47" s="77"/>
      <c r="AT47" s="77"/>
      <c r="AU47" s="77"/>
      <c r="AV47" s="77"/>
      <c r="AW47" s="77"/>
      <c r="AX47" s="77"/>
    </row>
    <row r="48">
      <c r="A48" s="177"/>
      <c r="B48" s="177"/>
      <c r="C48" s="121"/>
      <c r="D48" s="121"/>
      <c r="E48" s="121"/>
      <c r="F48" s="121"/>
      <c r="G48" s="177"/>
      <c r="H48" s="121"/>
      <c r="I48" s="121"/>
      <c r="J48" s="121"/>
      <c r="K48" s="121"/>
      <c r="L48" s="121"/>
      <c r="M48" s="121"/>
      <c r="N48" s="121"/>
      <c r="O48" s="121"/>
      <c r="P48" s="121"/>
      <c r="Q48" s="121"/>
      <c r="R48" s="121"/>
      <c r="S48" s="121"/>
      <c r="T48" s="121"/>
      <c r="U48" s="121"/>
      <c r="V48" s="121"/>
      <c r="W48" s="121"/>
      <c r="X48" s="121"/>
      <c r="Y48" s="121"/>
      <c r="Z48" s="121"/>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3"/>
      <c r="AX48" s="123"/>
    </row>
    <row r="49">
      <c r="A49" s="177"/>
      <c r="B49" s="177"/>
      <c r="C49" s="121"/>
      <c r="D49" s="121"/>
      <c r="E49" s="121"/>
      <c r="F49" s="121"/>
      <c r="G49" s="177"/>
      <c r="H49" s="121"/>
      <c r="I49" s="121"/>
      <c r="J49" s="121"/>
      <c r="K49" s="121"/>
      <c r="L49" s="121"/>
      <c r="M49" s="121"/>
      <c r="N49" s="121"/>
      <c r="O49" s="121"/>
      <c r="P49" s="121"/>
      <c r="Q49" s="121"/>
      <c r="R49" s="121"/>
      <c r="S49" s="121"/>
      <c r="T49" s="121"/>
      <c r="U49" s="121"/>
      <c r="V49" s="121"/>
      <c r="W49" s="121"/>
      <c r="X49" s="121"/>
      <c r="Y49" s="121"/>
      <c r="Z49" s="121"/>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row>
    <row r="50">
      <c r="A50" s="177"/>
      <c r="B50" s="177"/>
      <c r="C50" s="121"/>
      <c r="D50" s="121"/>
      <c r="E50" s="121"/>
      <c r="F50" s="121"/>
      <c r="G50" s="177"/>
      <c r="H50" s="121"/>
      <c r="I50" s="121"/>
      <c r="J50" s="121"/>
      <c r="K50" s="121"/>
      <c r="L50" s="121"/>
      <c r="M50" s="121"/>
      <c r="N50" s="121"/>
      <c r="O50" s="121"/>
      <c r="P50" s="121"/>
      <c r="Q50" s="121"/>
      <c r="R50" s="121"/>
      <c r="S50" s="121"/>
      <c r="T50" s="121"/>
      <c r="U50" s="121"/>
      <c r="V50" s="121"/>
      <c r="W50" s="121"/>
      <c r="X50" s="121"/>
      <c r="Y50" s="121"/>
      <c r="Z50" s="121"/>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row>
    <row r="51">
      <c r="A51" s="177"/>
      <c r="B51" s="177"/>
      <c r="C51" s="121"/>
      <c r="D51" s="121"/>
      <c r="E51" s="121"/>
      <c r="F51" s="121"/>
      <c r="G51" s="177"/>
      <c r="H51" s="121"/>
      <c r="I51" s="121"/>
      <c r="J51" s="121"/>
      <c r="K51" s="121"/>
      <c r="L51" s="121"/>
      <c r="M51" s="121"/>
      <c r="N51" s="121"/>
      <c r="O51" s="121"/>
      <c r="P51" s="121"/>
      <c r="Q51" s="121"/>
      <c r="R51" s="121"/>
      <c r="S51" s="121"/>
      <c r="T51" s="121"/>
      <c r="U51" s="121"/>
      <c r="V51" s="121"/>
      <c r="W51" s="121"/>
      <c r="X51" s="121"/>
      <c r="Y51" s="121"/>
      <c r="Z51" s="121"/>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row>
    <row r="52">
      <c r="A52" s="177"/>
      <c r="B52" s="177"/>
      <c r="C52" s="121"/>
      <c r="D52" s="121"/>
      <c r="E52" s="121"/>
      <c r="F52" s="121"/>
      <c r="G52" s="177"/>
      <c r="H52" s="121"/>
      <c r="I52" s="121"/>
      <c r="J52" s="121"/>
      <c r="K52" s="121"/>
      <c r="L52" s="121"/>
      <c r="M52" s="121"/>
      <c r="N52" s="121"/>
      <c r="O52" s="121"/>
      <c r="P52" s="121"/>
      <c r="Q52" s="121"/>
      <c r="R52" s="121"/>
      <c r="S52" s="121"/>
      <c r="T52" s="121"/>
      <c r="U52" s="121"/>
      <c r="V52" s="121"/>
      <c r="W52" s="121"/>
      <c r="X52" s="121"/>
      <c r="Y52" s="121"/>
      <c r="Z52" s="121"/>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row>
    <row r="53">
      <c r="A53" s="177"/>
      <c r="B53" s="177"/>
      <c r="C53" s="121"/>
      <c r="D53" s="121"/>
      <c r="E53" s="121"/>
      <c r="F53" s="121"/>
      <c r="G53" s="177"/>
      <c r="H53" s="121"/>
      <c r="I53" s="121"/>
      <c r="J53" s="121"/>
      <c r="K53" s="121"/>
      <c r="L53" s="121"/>
      <c r="M53" s="121"/>
      <c r="N53" s="121"/>
      <c r="O53" s="121"/>
      <c r="P53" s="121"/>
      <c r="Q53" s="121"/>
      <c r="R53" s="121"/>
      <c r="S53" s="121"/>
      <c r="T53" s="121"/>
      <c r="U53" s="121"/>
      <c r="V53" s="121"/>
      <c r="W53" s="121"/>
      <c r="X53" s="121"/>
      <c r="Y53" s="121"/>
      <c r="Z53" s="121"/>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row>
    <row r="54">
      <c r="A54" s="177"/>
      <c r="B54" s="177"/>
      <c r="C54" s="121"/>
      <c r="D54" s="121"/>
      <c r="E54" s="121"/>
      <c r="F54" s="121"/>
      <c r="G54" s="177"/>
      <c r="H54" s="121"/>
      <c r="I54" s="121"/>
      <c r="J54" s="121"/>
      <c r="K54" s="121"/>
      <c r="L54" s="121"/>
      <c r="M54" s="121"/>
      <c r="N54" s="121"/>
      <c r="O54" s="121"/>
      <c r="P54" s="121"/>
      <c r="Q54" s="121"/>
      <c r="R54" s="121"/>
      <c r="S54" s="121"/>
      <c r="T54" s="121"/>
      <c r="U54" s="121"/>
      <c r="V54" s="121"/>
      <c r="W54" s="121"/>
      <c r="X54" s="121"/>
      <c r="Y54" s="121"/>
      <c r="Z54" s="121"/>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row>
    <row r="55">
      <c r="A55" s="177"/>
      <c r="B55" s="177"/>
      <c r="C55" s="121"/>
      <c r="D55" s="121"/>
      <c r="E55" s="121"/>
      <c r="F55" s="121"/>
      <c r="G55" s="177"/>
      <c r="H55" s="121"/>
      <c r="I55" s="121"/>
      <c r="J55" s="121"/>
      <c r="K55" s="121"/>
      <c r="L55" s="121"/>
      <c r="M55" s="121"/>
      <c r="N55" s="121"/>
      <c r="O55" s="121"/>
      <c r="P55" s="121"/>
      <c r="Q55" s="121"/>
      <c r="R55" s="121"/>
      <c r="S55" s="121"/>
      <c r="T55" s="121"/>
      <c r="U55" s="121"/>
      <c r="V55" s="121"/>
      <c r="W55" s="121"/>
      <c r="X55" s="121"/>
      <c r="Y55" s="121"/>
      <c r="Z55" s="121"/>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row>
    <row r="56">
      <c r="A56" s="177"/>
      <c r="B56" s="177"/>
      <c r="C56" s="121"/>
      <c r="D56" s="121"/>
      <c r="E56" s="121"/>
      <c r="F56" s="121"/>
      <c r="G56" s="177"/>
      <c r="H56" s="121"/>
      <c r="I56" s="121"/>
      <c r="J56" s="121"/>
      <c r="K56" s="121"/>
      <c r="L56" s="121"/>
      <c r="M56" s="121"/>
      <c r="N56" s="121"/>
      <c r="O56" s="121"/>
      <c r="P56" s="121"/>
      <c r="Q56" s="121"/>
      <c r="R56" s="121"/>
      <c r="S56" s="121"/>
      <c r="T56" s="121"/>
      <c r="U56" s="121"/>
      <c r="V56" s="121"/>
      <c r="W56" s="121"/>
      <c r="X56" s="121"/>
      <c r="Y56" s="121"/>
      <c r="Z56" s="121"/>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row>
    <row r="57">
      <c r="A57" s="177"/>
      <c r="B57" s="177"/>
      <c r="C57" s="121"/>
      <c r="D57" s="121"/>
      <c r="E57" s="121"/>
      <c r="F57" s="121"/>
      <c r="G57" s="177"/>
      <c r="H57" s="121"/>
      <c r="I57" s="121"/>
      <c r="J57" s="121"/>
      <c r="K57" s="121"/>
      <c r="L57" s="121"/>
      <c r="M57" s="121"/>
      <c r="N57" s="121"/>
      <c r="O57" s="121"/>
      <c r="P57" s="121"/>
      <c r="Q57" s="121"/>
      <c r="R57" s="121"/>
      <c r="S57" s="121"/>
      <c r="T57" s="121"/>
      <c r="U57" s="121"/>
      <c r="V57" s="121"/>
      <c r="W57" s="121"/>
      <c r="X57" s="121"/>
      <c r="Y57" s="121"/>
      <c r="Z57" s="121"/>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row>
    <row r="58">
      <c r="A58" s="177"/>
      <c r="B58" s="177"/>
      <c r="C58" s="121"/>
      <c r="D58" s="121"/>
      <c r="E58" s="121"/>
      <c r="F58" s="121"/>
      <c r="G58" s="177"/>
      <c r="H58" s="121"/>
      <c r="I58" s="121"/>
      <c r="J58" s="121"/>
      <c r="K58" s="121"/>
      <c r="L58" s="121"/>
      <c r="M58" s="121"/>
      <c r="N58" s="121"/>
      <c r="O58" s="121"/>
      <c r="P58" s="121"/>
      <c r="Q58" s="121"/>
      <c r="R58" s="121"/>
      <c r="S58" s="121"/>
      <c r="T58" s="121"/>
      <c r="U58" s="121"/>
      <c r="V58" s="121"/>
      <c r="W58" s="121"/>
      <c r="X58" s="121"/>
      <c r="Y58" s="121"/>
      <c r="Z58" s="121"/>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row>
    <row r="59">
      <c r="A59" s="177"/>
      <c r="B59" s="177"/>
      <c r="C59" s="121"/>
      <c r="D59" s="121"/>
      <c r="E59" s="121"/>
      <c r="F59" s="121"/>
      <c r="G59" s="177"/>
      <c r="H59" s="121"/>
      <c r="I59" s="121"/>
      <c r="J59" s="121"/>
      <c r="K59" s="121"/>
      <c r="L59" s="121"/>
      <c r="M59" s="121"/>
      <c r="N59" s="121"/>
      <c r="O59" s="121"/>
      <c r="P59" s="121"/>
      <c r="Q59" s="121"/>
      <c r="R59" s="121"/>
      <c r="S59" s="121"/>
      <c r="T59" s="121"/>
      <c r="U59" s="121"/>
      <c r="V59" s="121"/>
      <c r="W59" s="121"/>
      <c r="X59" s="121"/>
      <c r="Y59" s="121"/>
      <c r="Z59" s="121"/>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row>
    <row r="60">
      <c r="A60" s="177"/>
      <c r="B60" s="177"/>
      <c r="C60" s="121"/>
      <c r="D60" s="121"/>
      <c r="E60" s="121"/>
      <c r="F60" s="121"/>
      <c r="G60" s="177"/>
      <c r="H60" s="121"/>
      <c r="I60" s="121"/>
      <c r="J60" s="121"/>
      <c r="K60" s="121"/>
      <c r="L60" s="121"/>
      <c r="M60" s="121"/>
      <c r="N60" s="121"/>
      <c r="O60" s="121"/>
      <c r="P60" s="121"/>
      <c r="Q60" s="121"/>
      <c r="R60" s="121"/>
      <c r="S60" s="121"/>
      <c r="T60" s="121"/>
      <c r="U60" s="121"/>
      <c r="V60" s="121"/>
      <c r="W60" s="121"/>
      <c r="X60" s="121"/>
      <c r="Y60" s="121"/>
      <c r="Z60" s="121"/>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row>
    <row r="61">
      <c r="A61" s="177"/>
      <c r="B61" s="177"/>
      <c r="C61" s="121"/>
      <c r="D61" s="121"/>
      <c r="E61" s="121"/>
      <c r="F61" s="121"/>
      <c r="G61" s="177"/>
      <c r="H61" s="121"/>
      <c r="I61" s="121"/>
      <c r="J61" s="121"/>
      <c r="K61" s="121"/>
      <c r="L61" s="121"/>
      <c r="M61" s="121"/>
      <c r="N61" s="121"/>
      <c r="O61" s="121"/>
      <c r="P61" s="121"/>
      <c r="Q61" s="121"/>
      <c r="R61" s="121"/>
      <c r="S61" s="121"/>
      <c r="T61" s="121"/>
      <c r="U61" s="121"/>
      <c r="V61" s="121"/>
      <c r="W61" s="121"/>
      <c r="X61" s="121"/>
      <c r="Y61" s="121"/>
      <c r="Z61" s="121"/>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row>
    <row r="62">
      <c r="A62" s="177"/>
      <c r="B62" s="177"/>
      <c r="C62" s="121"/>
      <c r="D62" s="121"/>
      <c r="E62" s="121"/>
      <c r="F62" s="121"/>
      <c r="G62" s="177"/>
      <c r="H62" s="121"/>
      <c r="I62" s="121"/>
      <c r="J62" s="121"/>
      <c r="K62" s="121"/>
      <c r="L62" s="121"/>
      <c r="M62" s="121"/>
      <c r="N62" s="121"/>
      <c r="O62" s="121"/>
      <c r="P62" s="121"/>
      <c r="Q62" s="121"/>
      <c r="R62" s="121"/>
      <c r="S62" s="121"/>
      <c r="T62" s="121"/>
      <c r="U62" s="121"/>
      <c r="V62" s="121"/>
      <c r="W62" s="121"/>
      <c r="X62" s="121"/>
      <c r="Y62" s="121"/>
      <c r="Z62" s="121"/>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row>
    <row r="63">
      <c r="A63" s="180"/>
      <c r="B63" s="174"/>
      <c r="C63" s="175"/>
      <c r="D63" s="175"/>
      <c r="E63" s="175"/>
      <c r="F63" s="174"/>
      <c r="G63" s="174"/>
      <c r="H63" s="71"/>
      <c r="I63" s="173"/>
      <c r="J63" s="174"/>
      <c r="K63" s="71"/>
      <c r="L63" s="174"/>
      <c r="M63" s="174"/>
      <c r="N63" s="174"/>
      <c r="O63" s="174"/>
      <c r="P63" s="174"/>
      <c r="Q63" s="174"/>
      <c r="R63" s="174"/>
      <c r="S63" s="71"/>
      <c r="T63" s="174"/>
      <c r="U63" s="176"/>
      <c r="V63" s="175"/>
      <c r="W63" s="174"/>
      <c r="X63" s="174"/>
      <c r="Y63" s="136"/>
      <c r="Z63" s="173"/>
      <c r="AA63" s="171"/>
      <c r="AB63" s="171"/>
      <c r="AC63" s="171"/>
      <c r="AD63" s="171"/>
      <c r="AE63" s="171"/>
      <c r="AF63" s="171"/>
      <c r="AG63" s="171"/>
      <c r="AH63" s="171"/>
      <c r="AI63" s="171"/>
      <c r="AJ63" s="171"/>
      <c r="AK63" s="171"/>
      <c r="AL63" s="171"/>
      <c r="AM63" s="171"/>
      <c r="AN63" s="171"/>
      <c r="AO63" s="171"/>
      <c r="AP63" s="171"/>
      <c r="AQ63" s="171"/>
      <c r="AR63" s="171"/>
      <c r="AS63" s="171"/>
      <c r="AT63" s="171"/>
      <c r="AU63" s="171"/>
      <c r="AV63" s="171"/>
      <c r="AW63" s="171"/>
      <c r="AX63" s="171"/>
    </row>
    <row r="64">
      <c r="A64" s="173"/>
      <c r="B64" s="174"/>
      <c r="C64" s="175"/>
      <c r="D64" s="175"/>
      <c r="E64" s="71"/>
      <c r="F64" s="174"/>
      <c r="G64" s="174"/>
      <c r="H64" s="71"/>
      <c r="I64" s="173"/>
      <c r="J64" s="174"/>
      <c r="K64" s="71"/>
      <c r="L64" s="174"/>
      <c r="M64" s="174"/>
      <c r="N64" s="174"/>
      <c r="O64" s="174"/>
      <c r="P64" s="174"/>
      <c r="Q64" s="174"/>
      <c r="R64" s="174"/>
      <c r="S64" s="71"/>
      <c r="T64" s="71"/>
      <c r="U64" s="176"/>
      <c r="V64" s="175"/>
      <c r="W64" s="174"/>
      <c r="X64" s="174"/>
      <c r="Y64" s="136"/>
      <c r="Z64" s="180"/>
      <c r="AA64" s="180"/>
      <c r="AB64" s="180"/>
      <c r="AC64" s="180"/>
      <c r="AD64" s="180"/>
      <c r="AE64" s="180"/>
      <c r="AF64" s="180"/>
      <c r="AG64" s="180"/>
      <c r="AH64" s="180"/>
      <c r="AI64" s="180"/>
      <c r="AJ64" s="180"/>
      <c r="AK64" s="180"/>
      <c r="AL64" s="180"/>
      <c r="AM64" s="180"/>
      <c r="AN64" s="180"/>
      <c r="AO64" s="180"/>
      <c r="AP64" s="180"/>
      <c r="AQ64" s="180"/>
      <c r="AR64" s="180"/>
      <c r="AS64" s="180"/>
      <c r="AT64" s="180"/>
      <c r="AU64" s="180"/>
      <c r="AV64" s="180"/>
      <c r="AW64" s="180"/>
      <c r="AX64" s="180"/>
    </row>
    <row r="65">
      <c r="A65" s="173"/>
      <c r="B65" s="174"/>
      <c r="C65" s="175"/>
      <c r="D65" s="175"/>
      <c r="E65" s="71"/>
      <c r="F65" s="174"/>
      <c r="G65" s="174"/>
      <c r="H65" s="71"/>
      <c r="I65" s="173"/>
      <c r="J65" s="174"/>
      <c r="K65" s="71"/>
      <c r="L65" s="174"/>
      <c r="M65" s="174"/>
      <c r="N65" s="174"/>
      <c r="O65" s="174"/>
      <c r="P65" s="174"/>
      <c r="Q65" s="174"/>
      <c r="R65" s="174"/>
      <c r="S65" s="71"/>
      <c r="T65" s="71"/>
      <c r="U65" s="176"/>
      <c r="V65" s="71"/>
      <c r="W65" s="174"/>
      <c r="X65" s="174"/>
      <c r="Y65" s="181"/>
      <c r="Z65" s="181"/>
      <c r="AA65" s="181"/>
      <c r="AB65" s="181"/>
      <c r="AC65" s="181"/>
      <c r="AD65" s="181"/>
      <c r="AE65" s="181"/>
      <c r="AF65" s="181"/>
      <c r="AG65" s="181"/>
      <c r="AH65" s="181"/>
      <c r="AI65" s="181"/>
      <c r="AJ65" s="181"/>
      <c r="AK65" s="181"/>
      <c r="AL65" s="181"/>
      <c r="AM65" s="181"/>
      <c r="AN65" s="181"/>
      <c r="AO65" s="181"/>
      <c r="AP65" s="181"/>
      <c r="AQ65" s="181"/>
      <c r="AR65" s="181"/>
      <c r="AS65" s="181"/>
      <c r="AT65" s="181"/>
      <c r="AU65" s="181"/>
      <c r="AV65" s="181"/>
      <c r="AW65" s="181"/>
      <c r="AX65" s="181"/>
    </row>
    <row r="66">
      <c r="A66" s="173"/>
      <c r="B66" s="174"/>
      <c r="C66" s="175"/>
      <c r="D66" s="175"/>
      <c r="E66" s="175"/>
      <c r="F66" s="174"/>
      <c r="G66" s="174"/>
      <c r="H66" s="173"/>
      <c r="I66" s="173"/>
      <c r="J66" s="174"/>
      <c r="K66" s="174"/>
      <c r="L66" s="174"/>
      <c r="M66" s="174"/>
      <c r="N66" s="174"/>
      <c r="O66" s="174"/>
      <c r="P66" s="174"/>
      <c r="Q66" s="174"/>
      <c r="R66" s="174"/>
      <c r="S66" s="174"/>
      <c r="T66" s="174"/>
      <c r="U66" s="176"/>
      <c r="V66" s="71"/>
      <c r="W66" s="174"/>
      <c r="X66" s="174"/>
      <c r="Y66" s="175"/>
      <c r="Z66" s="175"/>
      <c r="AA66" s="178"/>
      <c r="AB66" s="178"/>
      <c r="AC66" s="178"/>
      <c r="AD66" s="178"/>
      <c r="AE66" s="178"/>
      <c r="AF66" s="178"/>
      <c r="AG66" s="178"/>
      <c r="AH66" s="178"/>
      <c r="AI66" s="178"/>
      <c r="AJ66" s="178"/>
      <c r="AK66" s="178"/>
      <c r="AL66" s="178"/>
      <c r="AM66" s="178"/>
      <c r="AN66" s="178"/>
      <c r="AO66" s="178"/>
      <c r="AP66" s="178"/>
      <c r="AQ66" s="178"/>
      <c r="AR66" s="178"/>
      <c r="AS66" s="178"/>
      <c r="AT66" s="178"/>
      <c r="AU66" s="178"/>
      <c r="AV66" s="178"/>
      <c r="AW66" s="178"/>
      <c r="AX66" s="178"/>
    </row>
    <row r="67">
      <c r="A67" s="182"/>
      <c r="B67" s="183"/>
      <c r="C67" s="183"/>
      <c r="D67" s="184"/>
      <c r="E67" s="184"/>
      <c r="F67" s="184"/>
      <c r="G67" s="183"/>
      <c r="H67" s="184"/>
      <c r="I67" s="184"/>
      <c r="J67" s="184"/>
      <c r="K67" s="184"/>
      <c r="L67" s="184"/>
      <c r="M67" s="184"/>
      <c r="N67" s="184"/>
      <c r="O67" s="183"/>
      <c r="P67" s="183"/>
      <c r="Q67" s="184"/>
      <c r="R67" s="183"/>
      <c r="S67" s="174"/>
      <c r="T67" s="184"/>
      <c r="U67" s="184"/>
      <c r="V67" s="184"/>
      <c r="W67" s="183"/>
      <c r="X67" s="183"/>
      <c r="Y67" s="175"/>
      <c r="Z67" s="175"/>
      <c r="AA67" s="178"/>
      <c r="AB67" s="178"/>
      <c r="AC67" s="178"/>
      <c r="AD67" s="178"/>
      <c r="AE67" s="178"/>
      <c r="AF67" s="178"/>
      <c r="AG67" s="178"/>
      <c r="AH67" s="178"/>
      <c r="AI67" s="178"/>
      <c r="AJ67" s="178"/>
      <c r="AK67" s="178"/>
      <c r="AL67" s="178"/>
      <c r="AM67" s="178"/>
      <c r="AN67" s="178"/>
      <c r="AO67" s="178"/>
      <c r="AP67" s="178"/>
      <c r="AQ67" s="178"/>
      <c r="AR67" s="178"/>
      <c r="AS67" s="178"/>
      <c r="AT67" s="178"/>
      <c r="AU67" s="178"/>
      <c r="AV67" s="178"/>
      <c r="AW67" s="178"/>
      <c r="AX67" s="178"/>
    </row>
    <row r="68">
      <c r="A68" s="113"/>
      <c r="B68" s="113"/>
      <c r="C68" s="113"/>
      <c r="D68" s="113"/>
      <c r="E68" s="113"/>
      <c r="F68" s="113"/>
      <c r="G68" s="113"/>
      <c r="H68" s="113"/>
      <c r="I68" s="113"/>
      <c r="J68" s="113"/>
      <c r="K68" s="113"/>
      <c r="L68" s="113"/>
      <c r="M68" s="113"/>
      <c r="N68" s="113"/>
      <c r="O68" s="113"/>
      <c r="P68" s="71"/>
      <c r="Q68" s="113"/>
      <c r="R68" s="113"/>
      <c r="S68" s="174"/>
      <c r="T68" s="113"/>
      <c r="U68" s="114"/>
      <c r="V68" s="113"/>
      <c r="W68" s="113"/>
      <c r="X68" s="113"/>
      <c r="Y68" s="113"/>
      <c r="Z68" s="113"/>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row>
    <row r="69">
      <c r="A69" s="173"/>
      <c r="B69" s="174"/>
      <c r="C69" s="174"/>
      <c r="D69" s="71"/>
      <c r="E69" s="71"/>
      <c r="F69" s="71"/>
      <c r="G69" s="174"/>
      <c r="H69" s="173"/>
      <c r="I69" s="173"/>
      <c r="J69" s="174"/>
      <c r="K69" s="71"/>
      <c r="L69" s="174"/>
      <c r="M69" s="174"/>
      <c r="N69" s="174"/>
      <c r="O69" s="174"/>
      <c r="P69" s="174"/>
      <c r="Q69" s="174"/>
      <c r="R69" s="174"/>
      <c r="S69" s="71"/>
      <c r="T69" s="71"/>
      <c r="U69" s="176"/>
      <c r="V69" s="174"/>
      <c r="W69" s="71"/>
      <c r="X69" s="71"/>
      <c r="Y69" s="71"/>
      <c r="Z69" s="71"/>
      <c r="AA69" s="77"/>
      <c r="AB69" s="77"/>
      <c r="AC69" s="77"/>
      <c r="AD69" s="77"/>
      <c r="AE69" s="77"/>
      <c r="AF69" s="77"/>
      <c r="AG69" s="77"/>
      <c r="AH69" s="77"/>
      <c r="AI69" s="77"/>
      <c r="AJ69" s="77"/>
      <c r="AK69" s="77"/>
      <c r="AL69" s="77"/>
      <c r="AM69" s="77"/>
      <c r="AN69" s="77"/>
      <c r="AO69" s="77"/>
      <c r="AP69" s="77"/>
      <c r="AQ69" s="77"/>
      <c r="AR69" s="77"/>
      <c r="AS69" s="77"/>
      <c r="AT69" s="77"/>
      <c r="AU69" s="77"/>
      <c r="AV69" s="77"/>
      <c r="AW69" s="77"/>
      <c r="AX69" s="77"/>
    </row>
    <row r="70">
      <c r="A70" s="173"/>
      <c r="B70" s="174"/>
      <c r="C70" s="174"/>
      <c r="D70" s="174"/>
      <c r="E70" s="174"/>
      <c r="F70" s="174"/>
      <c r="G70" s="174"/>
      <c r="H70" s="173"/>
      <c r="I70" s="173"/>
      <c r="J70" s="174"/>
      <c r="K70" s="174"/>
      <c r="L70" s="174"/>
      <c r="M70" s="174"/>
      <c r="N70" s="174"/>
      <c r="O70" s="174"/>
      <c r="P70" s="174"/>
      <c r="Q70" s="174"/>
      <c r="R70" s="174"/>
      <c r="S70" s="174"/>
      <c r="T70" s="174"/>
      <c r="U70" s="176"/>
      <c r="V70" s="71"/>
      <c r="W70" s="174"/>
      <c r="X70" s="174"/>
      <c r="Y70" s="175"/>
      <c r="Z70" s="175"/>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row>
    <row r="71">
      <c r="A71" s="185"/>
      <c r="B71" s="113"/>
      <c r="C71" s="113"/>
      <c r="D71" s="113"/>
      <c r="E71" s="113"/>
      <c r="F71" s="71"/>
      <c r="G71" s="185"/>
      <c r="H71" s="173"/>
      <c r="I71" s="173"/>
      <c r="J71" s="174"/>
      <c r="K71" s="174"/>
      <c r="L71" s="174"/>
      <c r="M71" s="174"/>
      <c r="N71" s="174"/>
      <c r="O71" s="174"/>
      <c r="P71" s="174"/>
      <c r="Q71" s="71"/>
      <c r="R71" s="174"/>
      <c r="S71" s="71"/>
      <c r="T71" s="71"/>
      <c r="U71" s="176"/>
      <c r="V71" s="174"/>
      <c r="W71" s="71"/>
      <c r="X71" s="71"/>
      <c r="Y71" s="136"/>
      <c r="Z71" s="136"/>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row>
    <row r="72">
      <c r="A72" s="171"/>
      <c r="B72" s="185"/>
      <c r="C72" s="174"/>
      <c r="D72" s="71"/>
      <c r="E72" s="71"/>
      <c r="F72" s="71"/>
      <c r="G72" s="185"/>
      <c r="H72" s="71"/>
      <c r="I72" s="71"/>
      <c r="J72" s="71"/>
      <c r="K72" s="71"/>
      <c r="L72" s="71"/>
      <c r="M72" s="71"/>
      <c r="N72" s="71"/>
      <c r="O72" s="174"/>
      <c r="P72" s="174"/>
      <c r="Q72" s="174"/>
      <c r="R72" s="71"/>
      <c r="S72" s="71"/>
      <c r="T72" s="71"/>
      <c r="U72" s="71"/>
      <c r="V72" s="71"/>
      <c r="W72" s="71"/>
      <c r="X72" s="71"/>
      <c r="Y72" s="71"/>
      <c r="Z72" s="71"/>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row>
    <row r="73">
      <c r="A73" s="177"/>
      <c r="B73" s="177"/>
      <c r="C73" s="121"/>
      <c r="D73" s="121"/>
      <c r="E73" s="121"/>
      <c r="F73" s="121"/>
      <c r="G73" s="177"/>
      <c r="H73" s="121"/>
      <c r="I73" s="121"/>
      <c r="J73" s="121"/>
      <c r="K73" s="121"/>
      <c r="L73" s="121"/>
      <c r="M73" s="121"/>
      <c r="N73" s="121"/>
      <c r="O73" s="121"/>
      <c r="P73" s="121"/>
      <c r="Q73" s="121"/>
      <c r="R73" s="121"/>
      <c r="S73" s="121"/>
      <c r="T73" s="121"/>
      <c r="U73" s="121"/>
      <c r="V73" s="121"/>
      <c r="W73" s="121"/>
      <c r="X73" s="121"/>
      <c r="Y73" s="121"/>
      <c r="Z73" s="121"/>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row>
    <row r="74">
      <c r="A74" s="177"/>
      <c r="B74" s="177"/>
      <c r="C74" s="121"/>
      <c r="D74" s="121"/>
      <c r="E74" s="121"/>
      <c r="F74" s="121"/>
      <c r="G74" s="177"/>
      <c r="H74" s="121"/>
      <c r="I74" s="121"/>
      <c r="J74" s="121"/>
      <c r="K74" s="121"/>
      <c r="L74" s="121"/>
      <c r="M74" s="121"/>
      <c r="N74" s="121"/>
      <c r="O74" s="121"/>
      <c r="P74" s="121"/>
      <c r="Q74" s="121"/>
      <c r="R74" s="121"/>
      <c r="S74" s="121"/>
      <c r="T74" s="121"/>
      <c r="U74" s="121"/>
      <c r="V74" s="121"/>
      <c r="W74" s="121"/>
      <c r="X74" s="121"/>
      <c r="Y74" s="121"/>
      <c r="Z74" s="121"/>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row>
    <row r="75">
      <c r="A75" s="177"/>
      <c r="B75" s="177"/>
      <c r="C75" s="121"/>
      <c r="D75" s="121"/>
      <c r="E75" s="121"/>
      <c r="F75" s="121"/>
      <c r="G75" s="177"/>
      <c r="H75" s="121"/>
      <c r="I75" s="121"/>
      <c r="J75" s="121"/>
      <c r="K75" s="121"/>
      <c r="L75" s="121"/>
      <c r="M75" s="121"/>
      <c r="N75" s="121"/>
      <c r="O75" s="121"/>
      <c r="P75" s="121"/>
      <c r="Q75" s="121"/>
      <c r="R75" s="121"/>
      <c r="S75" s="121"/>
      <c r="T75" s="121"/>
      <c r="U75" s="121"/>
      <c r="V75" s="121"/>
      <c r="W75" s="121"/>
      <c r="X75" s="121"/>
      <c r="Y75" s="121"/>
      <c r="Z75" s="121"/>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row>
    <row r="76">
      <c r="A76" s="177"/>
      <c r="B76" s="177"/>
      <c r="C76" s="121"/>
      <c r="D76" s="121"/>
      <c r="E76" s="121"/>
      <c r="F76" s="121"/>
      <c r="G76" s="177"/>
      <c r="H76" s="121"/>
      <c r="I76" s="121"/>
      <c r="J76" s="121"/>
      <c r="K76" s="121"/>
      <c r="L76" s="121"/>
      <c r="M76" s="121"/>
      <c r="N76" s="121"/>
      <c r="O76" s="121"/>
      <c r="P76" s="121"/>
      <c r="Q76" s="121"/>
      <c r="R76" s="121"/>
      <c r="S76" s="121"/>
      <c r="T76" s="121"/>
      <c r="U76" s="121"/>
      <c r="V76" s="121"/>
      <c r="W76" s="121"/>
      <c r="X76" s="121"/>
      <c r="Y76" s="121"/>
      <c r="Z76" s="121"/>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row>
    <row r="77">
      <c r="A77" s="177"/>
      <c r="B77" s="177"/>
      <c r="C77" s="121"/>
      <c r="D77" s="121"/>
      <c r="E77" s="121"/>
      <c r="F77" s="121"/>
      <c r="G77" s="177"/>
      <c r="H77" s="121"/>
      <c r="I77" s="121"/>
      <c r="J77" s="121"/>
      <c r="K77" s="121"/>
      <c r="L77" s="121"/>
      <c r="M77" s="121"/>
      <c r="N77" s="121"/>
      <c r="O77" s="121"/>
      <c r="P77" s="121"/>
      <c r="Q77" s="121"/>
      <c r="R77" s="121"/>
      <c r="S77" s="121"/>
      <c r="T77" s="121"/>
      <c r="U77" s="121"/>
      <c r="V77" s="121"/>
      <c r="W77" s="121"/>
      <c r="X77" s="121"/>
      <c r="Y77" s="121"/>
      <c r="Z77" s="121"/>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row>
    <row r="78">
      <c r="A78" s="177"/>
      <c r="B78" s="177"/>
      <c r="C78" s="121"/>
      <c r="D78" s="121"/>
      <c r="E78" s="121"/>
      <c r="F78" s="121"/>
      <c r="G78" s="177"/>
      <c r="H78" s="121"/>
      <c r="I78" s="121"/>
      <c r="J78" s="121"/>
      <c r="K78" s="121"/>
      <c r="L78" s="121"/>
      <c r="M78" s="121"/>
      <c r="N78" s="121"/>
      <c r="O78" s="121"/>
      <c r="P78" s="121"/>
      <c r="Q78" s="121"/>
      <c r="R78" s="121"/>
      <c r="S78" s="121"/>
      <c r="T78" s="121"/>
      <c r="U78" s="121"/>
      <c r="V78" s="121"/>
      <c r="W78" s="121"/>
      <c r="X78" s="121"/>
      <c r="Y78" s="121"/>
      <c r="Z78" s="121"/>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row>
    <row r="79">
      <c r="A79" s="177"/>
      <c r="B79" s="177"/>
      <c r="C79" s="121"/>
      <c r="D79" s="121"/>
      <c r="E79" s="121"/>
      <c r="F79" s="121"/>
      <c r="G79" s="177"/>
      <c r="H79" s="121"/>
      <c r="I79" s="121"/>
      <c r="J79" s="121"/>
      <c r="K79" s="121"/>
      <c r="L79" s="121"/>
      <c r="M79" s="121"/>
      <c r="N79" s="121"/>
      <c r="O79" s="121"/>
      <c r="P79" s="121"/>
      <c r="Q79" s="121"/>
      <c r="R79" s="121"/>
      <c r="S79" s="121"/>
      <c r="T79" s="121"/>
      <c r="U79" s="121"/>
      <c r="V79" s="121"/>
      <c r="W79" s="121"/>
      <c r="X79" s="121"/>
      <c r="Y79" s="121"/>
      <c r="Z79" s="121"/>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row>
    <row r="80">
      <c r="A80" s="177"/>
      <c r="B80" s="177"/>
      <c r="C80" s="121"/>
      <c r="D80" s="121"/>
      <c r="E80" s="121"/>
      <c r="F80" s="121"/>
      <c r="G80" s="177"/>
      <c r="H80" s="121"/>
      <c r="I80" s="121"/>
      <c r="J80" s="121"/>
      <c r="K80" s="121"/>
      <c r="L80" s="121"/>
      <c r="M80" s="121"/>
      <c r="N80" s="121"/>
      <c r="O80" s="121"/>
      <c r="P80" s="121"/>
      <c r="Q80" s="121"/>
      <c r="R80" s="121"/>
      <c r="S80" s="121"/>
      <c r="T80" s="121"/>
      <c r="U80" s="121"/>
      <c r="V80" s="121"/>
      <c r="W80" s="121"/>
      <c r="X80" s="121"/>
      <c r="Y80" s="121"/>
      <c r="Z80" s="121"/>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row>
    <row r="81">
      <c r="A81" s="177"/>
      <c r="B81" s="177"/>
      <c r="C81" s="121"/>
      <c r="D81" s="121"/>
      <c r="E81" s="121"/>
      <c r="F81" s="121"/>
      <c r="G81" s="177"/>
      <c r="H81" s="121"/>
      <c r="I81" s="121"/>
      <c r="J81" s="121"/>
      <c r="K81" s="121"/>
      <c r="L81" s="121"/>
      <c r="M81" s="121"/>
      <c r="N81" s="121"/>
      <c r="O81" s="121"/>
      <c r="P81" s="121"/>
      <c r="Q81" s="121"/>
      <c r="R81" s="121"/>
      <c r="S81" s="121"/>
      <c r="T81" s="121"/>
      <c r="U81" s="121"/>
      <c r="V81" s="121"/>
      <c r="W81" s="121"/>
      <c r="X81" s="121"/>
      <c r="Y81" s="121"/>
      <c r="Z81" s="121"/>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row>
    <row r="82">
      <c r="A82" s="177"/>
      <c r="B82" s="177"/>
      <c r="C82" s="121"/>
      <c r="D82" s="121"/>
      <c r="E82" s="121"/>
      <c r="F82" s="121"/>
      <c r="G82" s="177"/>
      <c r="H82" s="121"/>
      <c r="I82" s="121"/>
      <c r="J82" s="121"/>
      <c r="K82" s="121"/>
      <c r="L82" s="121"/>
      <c r="M82" s="121"/>
      <c r="N82" s="121"/>
      <c r="O82" s="121"/>
      <c r="P82" s="121"/>
      <c r="Q82" s="121"/>
      <c r="R82" s="121"/>
      <c r="S82" s="121"/>
      <c r="T82" s="121"/>
      <c r="U82" s="121"/>
      <c r="V82" s="121"/>
      <c r="W82" s="121"/>
      <c r="X82" s="121"/>
      <c r="Y82" s="121"/>
      <c r="Z82" s="121"/>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row>
    <row r="83">
      <c r="A83" s="177"/>
      <c r="B83" s="177"/>
      <c r="C83" s="121"/>
      <c r="D83" s="121"/>
      <c r="E83" s="121"/>
      <c r="F83" s="121"/>
      <c r="G83" s="177"/>
      <c r="H83" s="121"/>
      <c r="I83" s="121"/>
      <c r="J83" s="121"/>
      <c r="K83" s="121"/>
      <c r="L83" s="121"/>
      <c r="M83" s="121"/>
      <c r="N83" s="121"/>
      <c r="O83" s="121"/>
      <c r="P83" s="121"/>
      <c r="Q83" s="121"/>
      <c r="R83" s="121"/>
      <c r="S83" s="121"/>
      <c r="T83" s="121"/>
      <c r="U83" s="121"/>
      <c r="V83" s="121"/>
      <c r="W83" s="121"/>
      <c r="X83" s="121"/>
      <c r="Y83" s="121"/>
      <c r="Z83" s="121"/>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row>
    <row r="84">
      <c r="A84" s="177"/>
      <c r="B84" s="177"/>
      <c r="C84" s="121"/>
      <c r="D84" s="121"/>
      <c r="E84" s="121"/>
      <c r="F84" s="121"/>
      <c r="G84" s="177"/>
      <c r="H84" s="121"/>
      <c r="I84" s="121"/>
      <c r="J84" s="121"/>
      <c r="K84" s="121"/>
      <c r="L84" s="121"/>
      <c r="M84" s="121"/>
      <c r="N84" s="121"/>
      <c r="O84" s="121"/>
      <c r="P84" s="121"/>
      <c r="Q84" s="121"/>
      <c r="R84" s="121"/>
      <c r="S84" s="121"/>
      <c r="T84" s="121"/>
      <c r="U84" s="121"/>
      <c r="V84" s="121"/>
      <c r="W84" s="121"/>
      <c r="X84" s="121"/>
      <c r="Y84" s="121"/>
      <c r="Z84" s="121"/>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row>
    <row r="85">
      <c r="A85" s="177"/>
      <c r="B85" s="177"/>
      <c r="C85" s="121"/>
      <c r="D85" s="121"/>
      <c r="E85" s="121"/>
      <c r="F85" s="121"/>
      <c r="G85" s="177"/>
      <c r="H85" s="121"/>
      <c r="I85" s="121"/>
      <c r="J85" s="121"/>
      <c r="K85" s="121"/>
      <c r="L85" s="121"/>
      <c r="M85" s="121"/>
      <c r="N85" s="121"/>
      <c r="O85" s="121"/>
      <c r="P85" s="121"/>
      <c r="Q85" s="121"/>
      <c r="R85" s="121"/>
      <c r="S85" s="121"/>
      <c r="T85" s="121"/>
      <c r="U85" s="121"/>
      <c r="V85" s="121"/>
      <c r="W85" s="121"/>
      <c r="X85" s="121"/>
      <c r="Y85" s="121"/>
      <c r="Z85" s="121"/>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row>
    <row r="86">
      <c r="A86" s="177"/>
      <c r="B86" s="177"/>
      <c r="C86" s="121"/>
      <c r="D86" s="121"/>
      <c r="E86" s="121"/>
      <c r="F86" s="121"/>
      <c r="G86" s="177"/>
      <c r="H86" s="121"/>
      <c r="I86" s="121"/>
      <c r="J86" s="121"/>
      <c r="K86" s="121"/>
      <c r="L86" s="121"/>
      <c r="M86" s="121"/>
      <c r="N86" s="121"/>
      <c r="O86" s="121"/>
      <c r="P86" s="121"/>
      <c r="Q86" s="121"/>
      <c r="R86" s="121"/>
      <c r="S86" s="121"/>
      <c r="T86" s="121"/>
      <c r="U86" s="121"/>
      <c r="V86" s="121"/>
      <c r="W86" s="121"/>
      <c r="X86" s="121"/>
      <c r="Y86" s="121"/>
      <c r="Z86" s="121"/>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row>
    <row r="87">
      <c r="A87" s="177"/>
      <c r="B87" s="177"/>
      <c r="C87" s="121"/>
      <c r="D87" s="121"/>
      <c r="E87" s="121"/>
      <c r="F87" s="121"/>
      <c r="G87" s="177"/>
      <c r="H87" s="121"/>
      <c r="I87" s="121"/>
      <c r="J87" s="121"/>
      <c r="K87" s="121"/>
      <c r="L87" s="121"/>
      <c r="M87" s="121"/>
      <c r="N87" s="121"/>
      <c r="O87" s="121"/>
      <c r="P87" s="121"/>
      <c r="Q87" s="121"/>
      <c r="R87" s="121"/>
      <c r="S87" s="121"/>
      <c r="T87" s="121"/>
      <c r="U87" s="121"/>
      <c r="V87" s="121"/>
      <c r="W87" s="121"/>
      <c r="X87" s="121"/>
      <c r="Y87" s="121"/>
      <c r="Z87" s="121"/>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row>
    <row r="88">
      <c r="A88" s="173"/>
      <c r="B88" s="174"/>
      <c r="C88" s="174"/>
      <c r="D88" s="174"/>
      <c r="E88" s="174"/>
      <c r="F88" s="174"/>
      <c r="G88" s="174"/>
      <c r="H88" s="173"/>
      <c r="I88" s="173"/>
      <c r="J88" s="174"/>
      <c r="K88" s="174"/>
      <c r="L88" s="174"/>
      <c r="M88" s="174"/>
      <c r="N88" s="174"/>
      <c r="O88" s="174"/>
      <c r="P88" s="174"/>
      <c r="Q88" s="174"/>
      <c r="R88" s="174"/>
      <c r="S88" s="174"/>
      <c r="T88" s="174"/>
      <c r="U88" s="176"/>
      <c r="V88" s="71"/>
      <c r="W88" s="174"/>
      <c r="X88" s="174"/>
      <c r="Y88" s="175"/>
      <c r="Z88" s="175"/>
      <c r="AA88" s="178"/>
      <c r="AB88" s="178"/>
      <c r="AC88" s="178"/>
      <c r="AD88" s="178"/>
      <c r="AE88" s="178"/>
      <c r="AF88" s="178"/>
      <c r="AG88" s="178"/>
      <c r="AH88" s="178"/>
      <c r="AI88" s="178"/>
      <c r="AJ88" s="178"/>
      <c r="AK88" s="178"/>
      <c r="AL88" s="178"/>
      <c r="AM88" s="178"/>
      <c r="AN88" s="178"/>
      <c r="AO88" s="178"/>
      <c r="AP88" s="178"/>
      <c r="AQ88" s="178"/>
      <c r="AR88" s="178"/>
      <c r="AS88" s="178"/>
      <c r="AT88" s="178"/>
      <c r="AU88" s="178"/>
      <c r="AV88" s="178"/>
      <c r="AW88" s="178"/>
      <c r="AX88" s="178"/>
    </row>
    <row r="89">
      <c r="A89" s="113"/>
      <c r="B89" s="113"/>
      <c r="C89" s="113"/>
      <c r="D89" s="113"/>
      <c r="E89" s="113"/>
      <c r="F89" s="113"/>
      <c r="G89" s="113"/>
      <c r="H89" s="173"/>
      <c r="I89" s="173"/>
      <c r="J89" s="174"/>
      <c r="K89" s="174"/>
      <c r="L89" s="174"/>
      <c r="M89" s="174"/>
      <c r="N89" s="174"/>
      <c r="O89" s="174"/>
      <c r="P89" s="174"/>
      <c r="Q89" s="174"/>
      <c r="R89" s="174"/>
      <c r="S89" s="113"/>
      <c r="T89" s="71"/>
      <c r="U89" s="113"/>
      <c r="V89" s="113"/>
      <c r="W89" s="71"/>
      <c r="X89" s="71"/>
      <c r="Y89" s="136"/>
      <c r="Z89" s="136"/>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row>
    <row r="90">
      <c r="A90" s="177"/>
      <c r="B90" s="177"/>
      <c r="C90" s="121"/>
      <c r="D90" s="121"/>
      <c r="E90" s="121"/>
      <c r="F90" s="121"/>
      <c r="G90" s="177"/>
      <c r="H90" s="121"/>
      <c r="I90" s="121"/>
      <c r="J90" s="121"/>
      <c r="K90" s="121"/>
      <c r="L90" s="121"/>
      <c r="M90" s="121"/>
      <c r="N90" s="121"/>
      <c r="O90" s="121"/>
      <c r="P90" s="121"/>
      <c r="Q90" s="121"/>
      <c r="R90" s="121"/>
      <c r="S90" s="121"/>
      <c r="T90" s="121"/>
      <c r="U90" s="121"/>
      <c r="V90" s="121"/>
      <c r="W90" s="121"/>
      <c r="X90" s="121"/>
      <c r="Y90" s="121"/>
      <c r="Z90" s="121"/>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row>
    <row r="91">
      <c r="A91" s="177"/>
      <c r="B91" s="177"/>
      <c r="C91" s="121"/>
      <c r="D91" s="121"/>
      <c r="E91" s="121"/>
      <c r="F91" s="121"/>
      <c r="G91" s="177"/>
      <c r="H91" s="121"/>
      <c r="I91" s="121"/>
      <c r="J91" s="121"/>
      <c r="K91" s="121"/>
      <c r="L91" s="121"/>
      <c r="M91" s="121"/>
      <c r="N91" s="121"/>
      <c r="O91" s="121"/>
      <c r="P91" s="121"/>
      <c r="Q91" s="121"/>
      <c r="R91" s="121"/>
      <c r="S91" s="121"/>
      <c r="T91" s="121"/>
      <c r="U91" s="121"/>
      <c r="V91" s="121"/>
      <c r="W91" s="121"/>
      <c r="X91" s="121"/>
      <c r="Y91" s="121"/>
      <c r="Z91" s="121"/>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row>
    <row r="92">
      <c r="A92" s="177"/>
      <c r="B92" s="177"/>
      <c r="C92" s="121"/>
      <c r="D92" s="121"/>
      <c r="E92" s="121"/>
      <c r="F92" s="121"/>
      <c r="G92" s="177"/>
      <c r="H92" s="121"/>
      <c r="I92" s="121"/>
      <c r="J92" s="121"/>
      <c r="K92" s="121"/>
      <c r="L92" s="121"/>
      <c r="M92" s="121"/>
      <c r="N92" s="121"/>
      <c r="O92" s="121"/>
      <c r="P92" s="121"/>
      <c r="Q92" s="121"/>
      <c r="R92" s="121"/>
      <c r="S92" s="121"/>
      <c r="T92" s="121"/>
      <c r="U92" s="121"/>
      <c r="V92" s="121"/>
      <c r="W92" s="121"/>
      <c r="X92" s="121"/>
      <c r="Y92" s="121"/>
      <c r="Z92" s="121"/>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row>
    <row r="93">
      <c r="A93" s="177"/>
      <c r="B93" s="177"/>
      <c r="C93" s="121"/>
      <c r="D93" s="121"/>
      <c r="E93" s="121"/>
      <c r="F93" s="121"/>
      <c r="G93" s="177"/>
      <c r="H93" s="121"/>
      <c r="I93" s="121"/>
      <c r="J93" s="121"/>
      <c r="K93" s="121"/>
      <c r="L93" s="121"/>
      <c r="M93" s="121"/>
      <c r="N93" s="121"/>
      <c r="O93" s="121"/>
      <c r="P93" s="121"/>
      <c r="Q93" s="121"/>
      <c r="R93" s="121"/>
      <c r="S93" s="121"/>
      <c r="T93" s="121"/>
      <c r="U93" s="121"/>
      <c r="V93" s="121"/>
      <c r="W93" s="121"/>
      <c r="X93" s="121"/>
      <c r="Y93" s="121"/>
      <c r="Z93" s="121"/>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row>
    <row r="94">
      <c r="A94" s="177"/>
      <c r="B94" s="177"/>
      <c r="C94" s="121"/>
      <c r="D94" s="121"/>
      <c r="E94" s="121"/>
      <c r="F94" s="121"/>
      <c r="G94" s="177"/>
      <c r="H94" s="121"/>
      <c r="I94" s="121"/>
      <c r="J94" s="121"/>
      <c r="K94" s="121"/>
      <c r="L94" s="121"/>
      <c r="M94" s="121"/>
      <c r="N94" s="121"/>
      <c r="O94" s="121"/>
      <c r="P94" s="121"/>
      <c r="Q94" s="121"/>
      <c r="R94" s="121"/>
      <c r="S94" s="121"/>
      <c r="T94" s="121"/>
      <c r="U94" s="121"/>
      <c r="V94" s="121"/>
      <c r="W94" s="121"/>
      <c r="X94" s="121"/>
      <c r="Y94" s="121"/>
      <c r="Z94" s="121"/>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row>
    <row r="95">
      <c r="A95" s="177"/>
      <c r="B95" s="177"/>
      <c r="C95" s="121"/>
      <c r="D95" s="121"/>
      <c r="E95" s="121"/>
      <c r="F95" s="121"/>
      <c r="G95" s="177"/>
      <c r="H95" s="121"/>
      <c r="I95" s="121"/>
      <c r="J95" s="121"/>
      <c r="K95" s="121"/>
      <c r="L95" s="121"/>
      <c r="M95" s="121"/>
      <c r="N95" s="121"/>
      <c r="O95" s="121"/>
      <c r="P95" s="121"/>
      <c r="Q95" s="121"/>
      <c r="R95" s="121"/>
      <c r="S95" s="121"/>
      <c r="T95" s="121"/>
      <c r="U95" s="121"/>
      <c r="V95" s="121"/>
      <c r="W95" s="121"/>
      <c r="X95" s="121"/>
      <c r="Y95" s="121"/>
      <c r="Z95" s="121"/>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123"/>
    </row>
    <row r="96">
      <c r="A96" s="177"/>
      <c r="B96" s="177"/>
      <c r="C96" s="121"/>
      <c r="D96" s="121"/>
      <c r="E96" s="121"/>
      <c r="F96" s="121"/>
      <c r="G96" s="177"/>
      <c r="H96" s="121"/>
      <c r="I96" s="121"/>
      <c r="J96" s="121"/>
      <c r="K96" s="121"/>
      <c r="L96" s="121"/>
      <c r="M96" s="121"/>
      <c r="N96" s="121"/>
      <c r="O96" s="121"/>
      <c r="P96" s="121"/>
      <c r="Q96" s="121"/>
      <c r="R96" s="121"/>
      <c r="S96" s="121"/>
      <c r="T96" s="121"/>
      <c r="U96" s="121"/>
      <c r="V96" s="121"/>
      <c r="W96" s="121"/>
      <c r="X96" s="121"/>
      <c r="Y96" s="121"/>
      <c r="Z96" s="121"/>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row>
    <row r="97">
      <c r="A97" s="177"/>
      <c r="B97" s="177"/>
      <c r="C97" s="121"/>
      <c r="D97" s="121"/>
      <c r="E97" s="121"/>
      <c r="F97" s="121"/>
      <c r="G97" s="177"/>
      <c r="H97" s="121"/>
      <c r="I97" s="121"/>
      <c r="J97" s="121"/>
      <c r="K97" s="121"/>
      <c r="L97" s="121"/>
      <c r="M97" s="121"/>
      <c r="N97" s="121"/>
      <c r="O97" s="121"/>
      <c r="P97" s="121"/>
      <c r="Q97" s="121"/>
      <c r="R97" s="121"/>
      <c r="S97" s="121"/>
      <c r="T97" s="121"/>
      <c r="U97" s="121"/>
      <c r="V97" s="121"/>
      <c r="W97" s="121"/>
      <c r="X97" s="121"/>
      <c r="Y97" s="121"/>
      <c r="Z97" s="121"/>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23"/>
      <c r="AX97" s="123"/>
    </row>
    <row r="98">
      <c r="A98" s="177"/>
      <c r="B98" s="177"/>
      <c r="C98" s="121"/>
      <c r="D98" s="121"/>
      <c r="E98" s="121"/>
      <c r="F98" s="121"/>
      <c r="G98" s="177"/>
      <c r="H98" s="121"/>
      <c r="I98" s="121"/>
      <c r="J98" s="121"/>
      <c r="K98" s="121"/>
      <c r="L98" s="121"/>
      <c r="M98" s="121"/>
      <c r="N98" s="121"/>
      <c r="O98" s="121"/>
      <c r="P98" s="121"/>
      <c r="Q98" s="121"/>
      <c r="R98" s="121"/>
      <c r="S98" s="121"/>
      <c r="T98" s="121"/>
      <c r="U98" s="121"/>
      <c r="V98" s="121"/>
      <c r="W98" s="121"/>
      <c r="X98" s="121"/>
      <c r="Y98" s="121"/>
      <c r="Z98" s="121"/>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row>
    <row r="99">
      <c r="A99" s="177"/>
      <c r="B99" s="177"/>
      <c r="C99" s="121"/>
      <c r="D99" s="121"/>
      <c r="E99" s="121"/>
      <c r="F99" s="121"/>
      <c r="G99" s="177"/>
      <c r="H99" s="121"/>
      <c r="I99" s="121"/>
      <c r="J99" s="121"/>
      <c r="K99" s="121"/>
      <c r="L99" s="121"/>
      <c r="M99" s="121"/>
      <c r="N99" s="121"/>
      <c r="O99" s="121"/>
      <c r="P99" s="121"/>
      <c r="Q99" s="121"/>
      <c r="R99" s="121"/>
      <c r="S99" s="121"/>
      <c r="T99" s="121"/>
      <c r="U99" s="121"/>
      <c r="V99" s="121"/>
      <c r="W99" s="121"/>
      <c r="X99" s="121"/>
      <c r="Y99" s="121"/>
      <c r="Z99" s="121"/>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23"/>
      <c r="AX99" s="123"/>
    </row>
    <row r="100">
      <c r="A100" s="177"/>
      <c r="B100" s="177"/>
      <c r="C100" s="121"/>
      <c r="D100" s="121"/>
      <c r="E100" s="121"/>
      <c r="F100" s="121"/>
      <c r="G100" s="177"/>
      <c r="H100" s="121"/>
      <c r="I100" s="121"/>
      <c r="J100" s="121"/>
      <c r="K100" s="121"/>
      <c r="L100" s="121"/>
      <c r="M100" s="121"/>
      <c r="N100" s="121"/>
      <c r="O100" s="121"/>
      <c r="P100" s="121"/>
      <c r="Q100" s="121"/>
      <c r="R100" s="121"/>
      <c r="S100" s="121"/>
      <c r="T100" s="121"/>
      <c r="U100" s="121"/>
      <c r="V100" s="121"/>
      <c r="W100" s="121"/>
      <c r="X100" s="121"/>
      <c r="Y100" s="121"/>
      <c r="Z100" s="121"/>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row>
    <row r="101">
      <c r="A101" s="177"/>
      <c r="B101" s="177"/>
      <c r="C101" s="121"/>
      <c r="D101" s="121"/>
      <c r="E101" s="121"/>
      <c r="F101" s="121"/>
      <c r="G101" s="177"/>
      <c r="H101" s="121"/>
      <c r="I101" s="121"/>
      <c r="J101" s="121"/>
      <c r="K101" s="121"/>
      <c r="L101" s="121"/>
      <c r="M101" s="121"/>
      <c r="N101" s="121"/>
      <c r="O101" s="121"/>
      <c r="P101" s="121"/>
      <c r="Q101" s="121"/>
      <c r="R101" s="121"/>
      <c r="S101" s="121"/>
      <c r="T101" s="121"/>
      <c r="U101" s="121"/>
      <c r="V101" s="121"/>
      <c r="W101" s="121"/>
      <c r="X101" s="121"/>
      <c r="Y101" s="121"/>
      <c r="Z101" s="121"/>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row>
    <row r="102">
      <c r="A102" s="177"/>
      <c r="B102" s="177"/>
      <c r="C102" s="121"/>
      <c r="D102" s="121"/>
      <c r="E102" s="121"/>
      <c r="F102" s="121"/>
      <c r="G102" s="177"/>
      <c r="H102" s="121"/>
      <c r="I102" s="121"/>
      <c r="J102" s="121"/>
      <c r="K102" s="121"/>
      <c r="L102" s="121"/>
      <c r="M102" s="121"/>
      <c r="N102" s="121"/>
      <c r="O102" s="121"/>
      <c r="P102" s="121"/>
      <c r="Q102" s="121"/>
      <c r="R102" s="121"/>
      <c r="S102" s="121"/>
      <c r="T102" s="121"/>
      <c r="U102" s="121"/>
      <c r="V102" s="121"/>
      <c r="W102" s="121"/>
      <c r="X102" s="121"/>
      <c r="Y102" s="121"/>
      <c r="Z102" s="121"/>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row>
    <row r="103">
      <c r="A103" s="177"/>
      <c r="B103" s="177"/>
      <c r="C103" s="121"/>
      <c r="D103" s="121"/>
      <c r="E103" s="121"/>
      <c r="F103" s="121"/>
      <c r="G103" s="177"/>
      <c r="H103" s="121"/>
      <c r="I103" s="121"/>
      <c r="J103" s="121"/>
      <c r="K103" s="121"/>
      <c r="L103" s="121"/>
      <c r="M103" s="121"/>
      <c r="N103" s="121"/>
      <c r="O103" s="121"/>
      <c r="P103" s="121"/>
      <c r="Q103" s="121"/>
      <c r="R103" s="121"/>
      <c r="S103" s="121"/>
      <c r="T103" s="121"/>
      <c r="U103" s="121"/>
      <c r="V103" s="121"/>
      <c r="W103" s="121"/>
      <c r="X103" s="121"/>
      <c r="Y103" s="121"/>
      <c r="Z103" s="121"/>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row>
    <row r="104">
      <c r="A104" s="177"/>
      <c r="B104" s="177"/>
      <c r="C104" s="121"/>
      <c r="D104" s="121"/>
      <c r="E104" s="121"/>
      <c r="F104" s="121"/>
      <c r="G104" s="177"/>
      <c r="H104" s="121"/>
      <c r="I104" s="121"/>
      <c r="J104" s="121"/>
      <c r="K104" s="121"/>
      <c r="L104" s="121"/>
      <c r="M104" s="121"/>
      <c r="N104" s="121"/>
      <c r="O104" s="121"/>
      <c r="P104" s="121"/>
      <c r="Q104" s="121"/>
      <c r="R104" s="121"/>
      <c r="S104" s="121"/>
      <c r="T104" s="121"/>
      <c r="U104" s="121"/>
      <c r="V104" s="121"/>
      <c r="W104" s="121"/>
      <c r="X104" s="121"/>
      <c r="Y104" s="121"/>
      <c r="Z104" s="121"/>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row>
    <row r="105">
      <c r="A105" s="182"/>
      <c r="B105" s="183"/>
      <c r="C105" s="183"/>
      <c r="D105" s="184"/>
      <c r="E105" s="184"/>
      <c r="F105" s="184"/>
      <c r="G105" s="183"/>
      <c r="H105" s="184"/>
      <c r="I105" s="184"/>
      <c r="J105" s="184"/>
      <c r="K105" s="184"/>
      <c r="L105" s="184"/>
      <c r="M105" s="184"/>
      <c r="N105" s="184"/>
      <c r="O105" s="183"/>
      <c r="P105" s="183"/>
      <c r="Q105" s="184"/>
      <c r="R105" s="184"/>
      <c r="S105" s="184"/>
      <c r="T105" s="184"/>
      <c r="U105" s="184"/>
      <c r="V105" s="184"/>
      <c r="W105" s="183"/>
      <c r="X105" s="183"/>
      <c r="Y105" s="175"/>
      <c r="Z105" s="175"/>
      <c r="AA105" s="178"/>
      <c r="AB105" s="178"/>
      <c r="AC105" s="178"/>
      <c r="AD105" s="178"/>
      <c r="AE105" s="178"/>
      <c r="AF105" s="178"/>
      <c r="AG105" s="178"/>
      <c r="AH105" s="178"/>
      <c r="AI105" s="178"/>
      <c r="AJ105" s="178"/>
      <c r="AK105" s="178"/>
      <c r="AL105" s="178"/>
      <c r="AM105" s="178"/>
      <c r="AN105" s="178"/>
      <c r="AO105" s="178"/>
      <c r="AP105" s="178"/>
      <c r="AQ105" s="178"/>
      <c r="AR105" s="178"/>
      <c r="AS105" s="178"/>
      <c r="AT105" s="178"/>
      <c r="AU105" s="178"/>
      <c r="AV105" s="178"/>
      <c r="AW105" s="178"/>
      <c r="AX105" s="178"/>
    </row>
    <row r="106">
      <c r="A106" s="113"/>
      <c r="B106" s="71"/>
      <c r="C106" s="113"/>
      <c r="D106" s="113"/>
      <c r="E106" s="113"/>
      <c r="F106" s="113"/>
      <c r="G106" s="113"/>
      <c r="H106" s="113"/>
      <c r="I106" s="113"/>
      <c r="J106" s="113"/>
      <c r="K106" s="113"/>
      <c r="L106" s="113"/>
      <c r="M106" s="113"/>
      <c r="N106" s="71"/>
      <c r="O106" s="113"/>
      <c r="P106" s="113"/>
      <c r="Q106" s="113"/>
      <c r="R106" s="71"/>
      <c r="S106" s="114"/>
      <c r="T106" s="113"/>
      <c r="U106" s="71"/>
      <c r="V106" s="113"/>
      <c r="W106" s="113"/>
      <c r="X106" s="71"/>
      <c r="Y106" s="71"/>
      <c r="Z106" s="71"/>
      <c r="AA106" s="77"/>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row>
    <row r="107">
      <c r="A107" s="182"/>
      <c r="B107" s="183"/>
      <c r="C107" s="183"/>
      <c r="D107" s="184"/>
      <c r="E107" s="184"/>
      <c r="F107" s="184"/>
      <c r="G107" s="183"/>
      <c r="H107" s="184"/>
      <c r="I107" s="184"/>
      <c r="J107" s="184"/>
      <c r="K107" s="184"/>
      <c r="L107" s="184"/>
      <c r="M107" s="184"/>
      <c r="N107" s="184"/>
      <c r="O107" s="183"/>
      <c r="P107" s="183"/>
      <c r="Q107" s="184"/>
      <c r="R107" s="184"/>
      <c r="S107" s="184"/>
      <c r="T107" s="184"/>
      <c r="U107" s="184"/>
      <c r="V107" s="184"/>
      <c r="W107" s="184"/>
      <c r="X107" s="183"/>
      <c r="Y107" s="175"/>
      <c r="Z107" s="71"/>
      <c r="AA107" s="77"/>
      <c r="AB107" s="77"/>
      <c r="AC107" s="77"/>
      <c r="AD107" s="77"/>
      <c r="AE107" s="77"/>
      <c r="AF107" s="77"/>
      <c r="AG107" s="77"/>
      <c r="AH107" s="77"/>
      <c r="AI107" s="77"/>
      <c r="AJ107" s="77"/>
      <c r="AK107" s="77"/>
      <c r="AL107" s="77"/>
      <c r="AM107" s="77"/>
      <c r="AN107" s="77"/>
      <c r="AO107" s="77"/>
      <c r="AP107" s="77"/>
      <c r="AQ107" s="77"/>
      <c r="AR107" s="77"/>
      <c r="AS107" s="77"/>
      <c r="AT107" s="77"/>
      <c r="AU107" s="77"/>
      <c r="AV107" s="77"/>
      <c r="AW107" s="77"/>
      <c r="AX107" s="77"/>
    </row>
    <row r="108">
      <c r="A108" s="173"/>
      <c r="B108" s="174"/>
      <c r="C108" s="174"/>
      <c r="D108" s="174"/>
      <c r="E108" s="174"/>
      <c r="F108" s="174"/>
      <c r="G108" s="174"/>
      <c r="H108" s="173"/>
      <c r="I108" s="173"/>
      <c r="J108" s="174"/>
      <c r="K108" s="71"/>
      <c r="L108" s="174"/>
      <c r="M108" s="174"/>
      <c r="N108" s="174"/>
      <c r="O108" s="174"/>
      <c r="P108" s="174"/>
      <c r="Q108" s="174"/>
      <c r="R108" s="174"/>
      <c r="S108" s="71"/>
      <c r="T108" s="71"/>
      <c r="U108" s="176"/>
      <c r="V108" s="71"/>
      <c r="W108" s="174"/>
      <c r="X108" s="174"/>
      <c r="Y108" s="175"/>
      <c r="Z108" s="175"/>
      <c r="AA108" s="178"/>
      <c r="AB108" s="178"/>
      <c r="AC108" s="178"/>
      <c r="AD108" s="178"/>
      <c r="AE108" s="178"/>
      <c r="AF108" s="178"/>
      <c r="AG108" s="178"/>
      <c r="AH108" s="178"/>
      <c r="AI108" s="178"/>
      <c r="AJ108" s="178"/>
      <c r="AK108" s="178"/>
      <c r="AL108" s="178"/>
      <c r="AM108" s="178"/>
      <c r="AN108" s="178"/>
      <c r="AO108" s="178"/>
      <c r="AP108" s="178"/>
      <c r="AQ108" s="178"/>
      <c r="AR108" s="178"/>
      <c r="AS108" s="178"/>
      <c r="AT108" s="178"/>
      <c r="AU108" s="178"/>
      <c r="AV108" s="178"/>
      <c r="AW108" s="178"/>
      <c r="AX108" s="178"/>
    </row>
    <row r="109">
      <c r="A109" s="177"/>
      <c r="B109" s="177"/>
      <c r="C109" s="121"/>
      <c r="D109" s="121"/>
      <c r="E109" s="121"/>
      <c r="F109" s="121"/>
      <c r="G109" s="177"/>
      <c r="H109" s="121"/>
      <c r="I109" s="121"/>
      <c r="J109" s="121"/>
      <c r="K109" s="121"/>
      <c r="L109" s="121"/>
      <c r="M109" s="121"/>
      <c r="N109" s="121"/>
      <c r="O109" s="121"/>
      <c r="P109" s="121"/>
      <c r="Q109" s="121"/>
      <c r="R109" s="121"/>
      <c r="S109" s="121"/>
      <c r="T109" s="121"/>
      <c r="U109" s="121"/>
      <c r="V109" s="121"/>
      <c r="W109" s="121"/>
      <c r="X109" s="121"/>
      <c r="Y109" s="121"/>
      <c r="Z109" s="121"/>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row>
    <row r="110">
      <c r="A110" s="177"/>
      <c r="B110" s="177"/>
      <c r="C110" s="121"/>
      <c r="D110" s="121"/>
      <c r="E110" s="121"/>
      <c r="F110" s="121"/>
      <c r="G110" s="177"/>
      <c r="H110" s="121"/>
      <c r="I110" s="121"/>
      <c r="J110" s="121"/>
      <c r="K110" s="121"/>
      <c r="L110" s="121"/>
      <c r="M110" s="121"/>
      <c r="N110" s="121"/>
      <c r="O110" s="121"/>
      <c r="P110" s="121"/>
      <c r="Q110" s="121"/>
      <c r="R110" s="121"/>
      <c r="S110" s="121"/>
      <c r="T110" s="121"/>
      <c r="U110" s="121"/>
      <c r="V110" s="121"/>
      <c r="W110" s="121"/>
      <c r="X110" s="121"/>
      <c r="Y110" s="121"/>
      <c r="Z110" s="121"/>
      <c r="AA110" s="123"/>
      <c r="AB110" s="123"/>
      <c r="AC110" s="123"/>
      <c r="AD110" s="123"/>
      <c r="AE110" s="123"/>
      <c r="AF110" s="123"/>
      <c r="AG110" s="123"/>
      <c r="AH110" s="123"/>
      <c r="AI110" s="123"/>
      <c r="AJ110" s="123"/>
      <c r="AK110" s="123"/>
      <c r="AL110" s="123"/>
      <c r="AM110" s="123"/>
      <c r="AN110" s="123"/>
      <c r="AO110" s="123"/>
      <c r="AP110" s="123"/>
      <c r="AQ110" s="123"/>
      <c r="AR110" s="123"/>
      <c r="AS110" s="123"/>
      <c r="AT110" s="123"/>
      <c r="AU110" s="123"/>
      <c r="AV110" s="123"/>
      <c r="AW110" s="123"/>
      <c r="AX110" s="123"/>
    </row>
    <row r="111">
      <c r="A111" s="177"/>
      <c r="B111" s="177"/>
      <c r="C111" s="121"/>
      <c r="D111" s="121"/>
      <c r="E111" s="121"/>
      <c r="F111" s="121"/>
      <c r="G111" s="177"/>
      <c r="H111" s="121"/>
      <c r="I111" s="121"/>
      <c r="J111" s="121"/>
      <c r="K111" s="121"/>
      <c r="L111" s="121"/>
      <c r="M111" s="121"/>
      <c r="N111" s="121"/>
      <c r="O111" s="121"/>
      <c r="P111" s="121"/>
      <c r="Q111" s="121"/>
      <c r="R111" s="121"/>
      <c r="S111" s="121"/>
      <c r="T111" s="121"/>
      <c r="U111" s="121"/>
      <c r="V111" s="121"/>
      <c r="W111" s="121"/>
      <c r="X111" s="121"/>
      <c r="Y111" s="121"/>
      <c r="Z111" s="121"/>
      <c r="AA111" s="123"/>
      <c r="AB111" s="123"/>
      <c r="AC111" s="123"/>
      <c r="AD111" s="123"/>
      <c r="AE111" s="123"/>
      <c r="AF111" s="123"/>
      <c r="AG111" s="123"/>
      <c r="AH111" s="123"/>
      <c r="AI111" s="123"/>
      <c r="AJ111" s="123"/>
      <c r="AK111" s="123"/>
      <c r="AL111" s="123"/>
      <c r="AM111" s="123"/>
      <c r="AN111" s="123"/>
      <c r="AO111" s="123"/>
      <c r="AP111" s="123"/>
      <c r="AQ111" s="123"/>
      <c r="AR111" s="123"/>
      <c r="AS111" s="123"/>
      <c r="AT111" s="123"/>
      <c r="AU111" s="123"/>
      <c r="AV111" s="123"/>
      <c r="AW111" s="123"/>
      <c r="AX111" s="123"/>
    </row>
    <row r="112">
      <c r="A112" s="177"/>
      <c r="B112" s="177"/>
      <c r="C112" s="121"/>
      <c r="D112" s="121"/>
      <c r="E112" s="121"/>
      <c r="F112" s="121"/>
      <c r="G112" s="177"/>
      <c r="H112" s="121"/>
      <c r="I112" s="121"/>
      <c r="J112" s="121"/>
      <c r="K112" s="121"/>
      <c r="L112" s="121"/>
      <c r="M112" s="121"/>
      <c r="N112" s="121"/>
      <c r="O112" s="121"/>
      <c r="P112" s="121"/>
      <c r="Q112" s="121"/>
      <c r="R112" s="121"/>
      <c r="S112" s="121"/>
      <c r="T112" s="121"/>
      <c r="U112" s="121"/>
      <c r="V112" s="121"/>
      <c r="W112" s="121"/>
      <c r="X112" s="121"/>
      <c r="Y112" s="121"/>
      <c r="Z112" s="121"/>
      <c r="AA112" s="123"/>
      <c r="AB112" s="123"/>
      <c r="AC112" s="123"/>
      <c r="AD112" s="123"/>
      <c r="AE112" s="123"/>
      <c r="AF112" s="123"/>
      <c r="AG112" s="123"/>
      <c r="AH112" s="123"/>
      <c r="AI112" s="123"/>
      <c r="AJ112" s="123"/>
      <c r="AK112" s="123"/>
      <c r="AL112" s="123"/>
      <c r="AM112" s="123"/>
      <c r="AN112" s="123"/>
      <c r="AO112" s="123"/>
      <c r="AP112" s="123"/>
      <c r="AQ112" s="123"/>
      <c r="AR112" s="123"/>
      <c r="AS112" s="123"/>
      <c r="AT112" s="123"/>
      <c r="AU112" s="123"/>
      <c r="AV112" s="123"/>
      <c r="AW112" s="123"/>
      <c r="AX112" s="123"/>
    </row>
    <row r="113">
      <c r="A113" s="177"/>
      <c r="B113" s="177"/>
      <c r="C113" s="121"/>
      <c r="D113" s="121"/>
      <c r="E113" s="121"/>
      <c r="F113" s="121"/>
      <c r="G113" s="177"/>
      <c r="H113" s="121"/>
      <c r="I113" s="121"/>
      <c r="J113" s="121"/>
      <c r="K113" s="121"/>
      <c r="L113" s="121"/>
      <c r="M113" s="121"/>
      <c r="N113" s="121"/>
      <c r="O113" s="121"/>
      <c r="P113" s="121"/>
      <c r="Q113" s="121"/>
      <c r="R113" s="121"/>
      <c r="S113" s="121"/>
      <c r="T113" s="121"/>
      <c r="U113" s="121"/>
      <c r="V113" s="121"/>
      <c r="W113" s="121"/>
      <c r="X113" s="121"/>
      <c r="Y113" s="121"/>
      <c r="Z113" s="121"/>
      <c r="AA113" s="123"/>
      <c r="AB113" s="123"/>
      <c r="AC113" s="123"/>
      <c r="AD113" s="123"/>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row>
    <row r="114">
      <c r="A114" s="177"/>
      <c r="B114" s="177"/>
      <c r="C114" s="121"/>
      <c r="D114" s="121"/>
      <c r="E114" s="121"/>
      <c r="F114" s="121"/>
      <c r="G114" s="177"/>
      <c r="H114" s="121"/>
      <c r="I114" s="121"/>
      <c r="J114" s="121"/>
      <c r="K114" s="121"/>
      <c r="L114" s="121"/>
      <c r="M114" s="121"/>
      <c r="N114" s="121"/>
      <c r="O114" s="121"/>
      <c r="P114" s="121"/>
      <c r="Q114" s="121"/>
      <c r="R114" s="121"/>
      <c r="S114" s="121"/>
      <c r="T114" s="121"/>
      <c r="U114" s="121"/>
      <c r="V114" s="121"/>
      <c r="W114" s="121"/>
      <c r="X114" s="121"/>
      <c r="Y114" s="121"/>
      <c r="Z114" s="121"/>
      <c r="AA114" s="123"/>
      <c r="AB114" s="123"/>
      <c r="AC114" s="123"/>
      <c r="AD114" s="123"/>
      <c r="AE114" s="123"/>
      <c r="AF114" s="123"/>
      <c r="AG114" s="123"/>
      <c r="AH114" s="123"/>
      <c r="AI114" s="123"/>
      <c r="AJ114" s="123"/>
      <c r="AK114" s="123"/>
      <c r="AL114" s="123"/>
      <c r="AM114" s="123"/>
      <c r="AN114" s="123"/>
      <c r="AO114" s="123"/>
      <c r="AP114" s="123"/>
      <c r="AQ114" s="123"/>
      <c r="AR114" s="123"/>
      <c r="AS114" s="123"/>
      <c r="AT114" s="123"/>
      <c r="AU114" s="123"/>
      <c r="AV114" s="123"/>
      <c r="AW114" s="123"/>
      <c r="AX114" s="123"/>
    </row>
    <row r="115">
      <c r="A115" s="177"/>
      <c r="B115" s="177"/>
      <c r="C115" s="121"/>
      <c r="D115" s="121"/>
      <c r="E115" s="121"/>
      <c r="F115" s="121"/>
      <c r="G115" s="177"/>
      <c r="H115" s="121"/>
      <c r="I115" s="121"/>
      <c r="J115" s="121"/>
      <c r="K115" s="121"/>
      <c r="L115" s="121"/>
      <c r="M115" s="121"/>
      <c r="N115" s="121"/>
      <c r="O115" s="121"/>
      <c r="P115" s="121"/>
      <c r="Q115" s="121"/>
      <c r="R115" s="121"/>
      <c r="S115" s="121"/>
      <c r="T115" s="121"/>
      <c r="U115" s="121"/>
      <c r="V115" s="121"/>
      <c r="W115" s="121"/>
      <c r="X115" s="121"/>
      <c r="Y115" s="121"/>
      <c r="Z115" s="121"/>
      <c r="AA115" s="123"/>
      <c r="AB115" s="123"/>
      <c r="AC115" s="123"/>
      <c r="AD115" s="123"/>
      <c r="AE115" s="123"/>
      <c r="AF115" s="123"/>
      <c r="AG115" s="123"/>
      <c r="AH115" s="123"/>
      <c r="AI115" s="123"/>
      <c r="AJ115" s="123"/>
      <c r="AK115" s="123"/>
      <c r="AL115" s="123"/>
      <c r="AM115" s="123"/>
      <c r="AN115" s="123"/>
      <c r="AO115" s="123"/>
      <c r="AP115" s="123"/>
      <c r="AQ115" s="123"/>
      <c r="AR115" s="123"/>
      <c r="AS115" s="123"/>
      <c r="AT115" s="123"/>
      <c r="AU115" s="123"/>
      <c r="AV115" s="123"/>
      <c r="AW115" s="123"/>
      <c r="AX115" s="123"/>
    </row>
    <row r="116">
      <c r="A116" s="177"/>
      <c r="B116" s="177"/>
      <c r="C116" s="121"/>
      <c r="D116" s="121"/>
      <c r="E116" s="121"/>
      <c r="F116" s="121"/>
      <c r="G116" s="177"/>
      <c r="H116" s="121"/>
      <c r="I116" s="121"/>
      <c r="J116" s="121"/>
      <c r="K116" s="121"/>
      <c r="L116" s="121"/>
      <c r="M116" s="121"/>
      <c r="N116" s="121"/>
      <c r="O116" s="121"/>
      <c r="P116" s="121"/>
      <c r="Q116" s="121"/>
      <c r="R116" s="121"/>
      <c r="S116" s="121"/>
      <c r="T116" s="121"/>
      <c r="U116" s="121"/>
      <c r="V116" s="121"/>
      <c r="W116" s="121"/>
      <c r="X116" s="121"/>
      <c r="Y116" s="121"/>
      <c r="Z116" s="121"/>
      <c r="AA116" s="123"/>
      <c r="AB116" s="123"/>
      <c r="AC116" s="123"/>
      <c r="AD116" s="123"/>
      <c r="AE116" s="123"/>
      <c r="AF116" s="123"/>
      <c r="AG116" s="123"/>
      <c r="AH116" s="123"/>
      <c r="AI116" s="123"/>
      <c r="AJ116" s="123"/>
      <c r="AK116" s="123"/>
      <c r="AL116" s="123"/>
      <c r="AM116" s="123"/>
      <c r="AN116" s="123"/>
      <c r="AO116" s="123"/>
      <c r="AP116" s="123"/>
      <c r="AQ116" s="123"/>
      <c r="AR116" s="123"/>
      <c r="AS116" s="123"/>
      <c r="AT116" s="123"/>
      <c r="AU116" s="123"/>
      <c r="AV116" s="123"/>
      <c r="AW116" s="123"/>
      <c r="AX116" s="123"/>
    </row>
    <row r="117">
      <c r="A117" s="177"/>
      <c r="B117" s="177"/>
      <c r="C117" s="121"/>
      <c r="D117" s="121"/>
      <c r="E117" s="121"/>
      <c r="F117" s="121"/>
      <c r="G117" s="177"/>
      <c r="H117" s="121"/>
      <c r="I117" s="121"/>
      <c r="J117" s="121"/>
      <c r="K117" s="121"/>
      <c r="L117" s="121"/>
      <c r="M117" s="121"/>
      <c r="N117" s="121"/>
      <c r="O117" s="121"/>
      <c r="P117" s="121"/>
      <c r="Q117" s="121"/>
      <c r="R117" s="121"/>
      <c r="S117" s="121"/>
      <c r="T117" s="121"/>
      <c r="U117" s="121"/>
      <c r="V117" s="121"/>
      <c r="W117" s="121"/>
      <c r="X117" s="121"/>
      <c r="Y117" s="121"/>
      <c r="Z117" s="121"/>
      <c r="AA117" s="123"/>
      <c r="AB117" s="123"/>
      <c r="AC117" s="123"/>
      <c r="AD117" s="123"/>
      <c r="AE117" s="123"/>
      <c r="AF117" s="123"/>
      <c r="AG117" s="123"/>
      <c r="AH117" s="123"/>
      <c r="AI117" s="123"/>
      <c r="AJ117" s="123"/>
      <c r="AK117" s="123"/>
      <c r="AL117" s="123"/>
      <c r="AM117" s="123"/>
      <c r="AN117" s="123"/>
      <c r="AO117" s="123"/>
      <c r="AP117" s="123"/>
      <c r="AQ117" s="123"/>
      <c r="AR117" s="123"/>
      <c r="AS117" s="123"/>
      <c r="AT117" s="123"/>
      <c r="AU117" s="123"/>
      <c r="AV117" s="123"/>
      <c r="AW117" s="123"/>
      <c r="AX117" s="123"/>
    </row>
    <row r="118">
      <c r="A118" s="177"/>
      <c r="B118" s="177"/>
      <c r="C118" s="121"/>
      <c r="D118" s="121"/>
      <c r="E118" s="121"/>
      <c r="F118" s="121"/>
      <c r="G118" s="177"/>
      <c r="H118" s="121"/>
      <c r="I118" s="121"/>
      <c r="J118" s="121"/>
      <c r="K118" s="121"/>
      <c r="L118" s="121"/>
      <c r="M118" s="121"/>
      <c r="N118" s="121"/>
      <c r="O118" s="121"/>
      <c r="P118" s="121"/>
      <c r="Q118" s="121"/>
      <c r="R118" s="121"/>
      <c r="S118" s="121"/>
      <c r="T118" s="121"/>
      <c r="U118" s="121"/>
      <c r="V118" s="121"/>
      <c r="W118" s="121"/>
      <c r="X118" s="121"/>
      <c r="Y118" s="121"/>
      <c r="Z118" s="121"/>
      <c r="AA118" s="123"/>
      <c r="AB118" s="123"/>
      <c r="AC118" s="123"/>
      <c r="AD118" s="123"/>
      <c r="AE118" s="123"/>
      <c r="AF118" s="123"/>
      <c r="AG118" s="123"/>
      <c r="AH118" s="123"/>
      <c r="AI118" s="123"/>
      <c r="AJ118" s="123"/>
      <c r="AK118" s="123"/>
      <c r="AL118" s="123"/>
      <c r="AM118" s="123"/>
      <c r="AN118" s="123"/>
      <c r="AO118" s="123"/>
      <c r="AP118" s="123"/>
      <c r="AQ118" s="123"/>
      <c r="AR118" s="123"/>
      <c r="AS118" s="123"/>
      <c r="AT118" s="123"/>
      <c r="AU118" s="123"/>
      <c r="AV118" s="123"/>
      <c r="AW118" s="123"/>
      <c r="AX118" s="123"/>
    </row>
    <row r="119">
      <c r="A119" s="177"/>
      <c r="B119" s="177"/>
      <c r="C119" s="121"/>
      <c r="D119" s="121"/>
      <c r="E119" s="121"/>
      <c r="F119" s="121"/>
      <c r="G119" s="177"/>
      <c r="H119" s="121"/>
      <c r="I119" s="121"/>
      <c r="J119" s="121"/>
      <c r="K119" s="121"/>
      <c r="L119" s="121"/>
      <c r="M119" s="121"/>
      <c r="N119" s="121"/>
      <c r="O119" s="121"/>
      <c r="P119" s="121"/>
      <c r="Q119" s="121"/>
      <c r="R119" s="121"/>
      <c r="S119" s="121"/>
      <c r="T119" s="121"/>
      <c r="U119" s="121"/>
      <c r="V119" s="121"/>
      <c r="W119" s="121"/>
      <c r="X119" s="121"/>
      <c r="Y119" s="121"/>
      <c r="Z119" s="121"/>
      <c r="AA119" s="123"/>
      <c r="AB119" s="123"/>
      <c r="AC119" s="123"/>
      <c r="AD119" s="123"/>
      <c r="AE119" s="123"/>
      <c r="AF119" s="123"/>
      <c r="AG119" s="123"/>
      <c r="AH119" s="123"/>
      <c r="AI119" s="123"/>
      <c r="AJ119" s="123"/>
      <c r="AK119" s="123"/>
      <c r="AL119" s="123"/>
      <c r="AM119" s="123"/>
      <c r="AN119" s="123"/>
      <c r="AO119" s="123"/>
      <c r="AP119" s="123"/>
      <c r="AQ119" s="123"/>
      <c r="AR119" s="123"/>
      <c r="AS119" s="123"/>
      <c r="AT119" s="123"/>
      <c r="AU119" s="123"/>
      <c r="AV119" s="123"/>
      <c r="AW119" s="123"/>
      <c r="AX119" s="123"/>
    </row>
    <row r="120">
      <c r="A120" s="177"/>
      <c r="B120" s="177"/>
      <c r="C120" s="121"/>
      <c r="D120" s="121"/>
      <c r="E120" s="121"/>
      <c r="F120" s="121"/>
      <c r="G120" s="177"/>
      <c r="H120" s="121"/>
      <c r="I120" s="121"/>
      <c r="J120" s="121"/>
      <c r="K120" s="121"/>
      <c r="L120" s="121"/>
      <c r="M120" s="121"/>
      <c r="N120" s="121"/>
      <c r="O120" s="121"/>
      <c r="P120" s="121"/>
      <c r="Q120" s="121"/>
      <c r="R120" s="121"/>
      <c r="S120" s="121"/>
      <c r="T120" s="121"/>
      <c r="U120" s="121"/>
      <c r="V120" s="121"/>
      <c r="W120" s="121"/>
      <c r="X120" s="121"/>
      <c r="Y120" s="121"/>
      <c r="Z120" s="121"/>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row>
    <row r="121">
      <c r="A121" s="177"/>
      <c r="B121" s="177"/>
      <c r="C121" s="121"/>
      <c r="D121" s="121"/>
      <c r="E121" s="121"/>
      <c r="F121" s="121"/>
      <c r="G121" s="177"/>
      <c r="H121" s="121"/>
      <c r="I121" s="121"/>
      <c r="J121" s="121"/>
      <c r="K121" s="121"/>
      <c r="L121" s="121"/>
      <c r="M121" s="121"/>
      <c r="N121" s="121"/>
      <c r="O121" s="121"/>
      <c r="P121" s="121"/>
      <c r="Q121" s="121"/>
      <c r="R121" s="121"/>
      <c r="S121" s="121"/>
      <c r="T121" s="121"/>
      <c r="U121" s="121"/>
      <c r="V121" s="121"/>
      <c r="W121" s="121"/>
      <c r="X121" s="121"/>
      <c r="Y121" s="121"/>
      <c r="Z121" s="121"/>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row>
    <row r="122">
      <c r="A122" s="177"/>
      <c r="B122" s="177"/>
      <c r="C122" s="121"/>
      <c r="D122" s="121"/>
      <c r="E122" s="121"/>
      <c r="F122" s="121"/>
      <c r="G122" s="177"/>
      <c r="H122" s="121"/>
      <c r="I122" s="121"/>
      <c r="J122" s="121"/>
      <c r="K122" s="121"/>
      <c r="L122" s="121"/>
      <c r="M122" s="121"/>
      <c r="N122" s="121"/>
      <c r="O122" s="121"/>
      <c r="P122" s="121"/>
      <c r="Q122" s="121"/>
      <c r="R122" s="121"/>
      <c r="S122" s="121"/>
      <c r="T122" s="121"/>
      <c r="U122" s="121"/>
      <c r="V122" s="121"/>
      <c r="W122" s="121"/>
      <c r="X122" s="121"/>
      <c r="Y122" s="121"/>
      <c r="Z122" s="121"/>
      <c r="AA122" s="123"/>
      <c r="AB122" s="123"/>
      <c r="AC122" s="123"/>
      <c r="AD122" s="123"/>
      <c r="AE122" s="123"/>
      <c r="AF122" s="123"/>
      <c r="AG122" s="123"/>
      <c r="AH122" s="123"/>
      <c r="AI122" s="123"/>
      <c r="AJ122" s="123"/>
      <c r="AK122" s="123"/>
      <c r="AL122" s="123"/>
      <c r="AM122" s="123"/>
      <c r="AN122" s="123"/>
      <c r="AO122" s="123"/>
      <c r="AP122" s="123"/>
      <c r="AQ122" s="123"/>
      <c r="AR122" s="123"/>
      <c r="AS122" s="123"/>
      <c r="AT122" s="123"/>
      <c r="AU122" s="123"/>
      <c r="AV122" s="123"/>
      <c r="AW122" s="123"/>
      <c r="AX122" s="123"/>
    </row>
    <row r="123">
      <c r="A123" s="177"/>
      <c r="B123" s="177"/>
      <c r="C123" s="121"/>
      <c r="D123" s="121"/>
      <c r="E123" s="121"/>
      <c r="F123" s="121"/>
      <c r="G123" s="177"/>
      <c r="H123" s="121"/>
      <c r="I123" s="121"/>
      <c r="J123" s="121"/>
      <c r="K123" s="121"/>
      <c r="L123" s="121"/>
      <c r="M123" s="121"/>
      <c r="N123" s="121"/>
      <c r="O123" s="121"/>
      <c r="P123" s="121"/>
      <c r="Q123" s="121"/>
      <c r="R123" s="121"/>
      <c r="S123" s="121"/>
      <c r="T123" s="121"/>
      <c r="U123" s="121"/>
      <c r="V123" s="121"/>
      <c r="W123" s="121"/>
      <c r="X123" s="121"/>
      <c r="Y123" s="121"/>
      <c r="Z123" s="121"/>
      <c r="AA123" s="123"/>
      <c r="AB123" s="123"/>
      <c r="AC123" s="123"/>
      <c r="AD123" s="123"/>
      <c r="AE123" s="123"/>
      <c r="AF123" s="123"/>
      <c r="AG123" s="123"/>
      <c r="AH123" s="123"/>
      <c r="AI123" s="123"/>
      <c r="AJ123" s="123"/>
      <c r="AK123" s="123"/>
      <c r="AL123" s="123"/>
      <c r="AM123" s="123"/>
      <c r="AN123" s="123"/>
      <c r="AO123" s="123"/>
      <c r="AP123" s="123"/>
      <c r="AQ123" s="123"/>
      <c r="AR123" s="123"/>
      <c r="AS123" s="123"/>
      <c r="AT123" s="123"/>
      <c r="AU123" s="123"/>
      <c r="AV123" s="123"/>
      <c r="AW123" s="123"/>
      <c r="AX123" s="123"/>
    </row>
    <row r="124">
      <c r="A124" s="177"/>
      <c r="B124" s="177"/>
      <c r="C124" s="121"/>
      <c r="D124" s="121"/>
      <c r="E124" s="121"/>
      <c r="F124" s="121"/>
      <c r="G124" s="177"/>
      <c r="H124" s="121"/>
      <c r="I124" s="121"/>
      <c r="J124" s="121"/>
      <c r="K124" s="121"/>
      <c r="L124" s="121"/>
      <c r="M124" s="121"/>
      <c r="N124" s="121"/>
      <c r="O124" s="121"/>
      <c r="P124" s="121"/>
      <c r="Q124" s="121"/>
      <c r="R124" s="121"/>
      <c r="S124" s="121"/>
      <c r="T124" s="121"/>
      <c r="U124" s="121"/>
      <c r="V124" s="121"/>
      <c r="W124" s="121"/>
      <c r="X124" s="121"/>
      <c r="Y124" s="121"/>
      <c r="Z124" s="121"/>
      <c r="AA124" s="123"/>
      <c r="AB124" s="123"/>
      <c r="AC124" s="123"/>
      <c r="AD124" s="123"/>
      <c r="AE124" s="123"/>
      <c r="AF124" s="123"/>
      <c r="AG124" s="123"/>
      <c r="AH124" s="123"/>
      <c r="AI124" s="123"/>
      <c r="AJ124" s="123"/>
      <c r="AK124" s="123"/>
      <c r="AL124" s="123"/>
      <c r="AM124" s="123"/>
      <c r="AN124" s="123"/>
      <c r="AO124" s="123"/>
      <c r="AP124" s="123"/>
      <c r="AQ124" s="123"/>
      <c r="AR124" s="123"/>
      <c r="AS124" s="123"/>
      <c r="AT124" s="123"/>
      <c r="AU124" s="123"/>
      <c r="AV124" s="123"/>
      <c r="AW124" s="123"/>
      <c r="AX124" s="123"/>
    </row>
    <row r="125">
      <c r="A125" s="177"/>
      <c r="B125" s="177"/>
      <c r="C125" s="121"/>
      <c r="D125" s="121"/>
      <c r="E125" s="121"/>
      <c r="F125" s="121"/>
      <c r="G125" s="177"/>
      <c r="H125" s="121"/>
      <c r="I125" s="121"/>
      <c r="J125" s="121"/>
      <c r="K125" s="121"/>
      <c r="L125" s="121"/>
      <c r="M125" s="121"/>
      <c r="N125" s="121"/>
      <c r="O125" s="121"/>
      <c r="P125" s="121"/>
      <c r="Q125" s="121"/>
      <c r="R125" s="121"/>
      <c r="S125" s="121"/>
      <c r="T125" s="121"/>
      <c r="U125" s="121"/>
      <c r="V125" s="121"/>
      <c r="W125" s="121"/>
      <c r="X125" s="121"/>
      <c r="Y125" s="121"/>
      <c r="Z125" s="121"/>
      <c r="AA125" s="123"/>
      <c r="AB125" s="123"/>
      <c r="AC125" s="123"/>
      <c r="AD125" s="123"/>
      <c r="AE125" s="123"/>
      <c r="AF125" s="123"/>
      <c r="AG125" s="123"/>
      <c r="AH125" s="123"/>
      <c r="AI125" s="123"/>
      <c r="AJ125" s="123"/>
      <c r="AK125" s="123"/>
      <c r="AL125" s="123"/>
      <c r="AM125" s="123"/>
      <c r="AN125" s="123"/>
      <c r="AO125" s="123"/>
      <c r="AP125" s="123"/>
      <c r="AQ125" s="123"/>
      <c r="AR125" s="123"/>
      <c r="AS125" s="123"/>
      <c r="AT125" s="123"/>
      <c r="AU125" s="123"/>
      <c r="AV125" s="123"/>
      <c r="AW125" s="123"/>
      <c r="AX125" s="123"/>
    </row>
    <row r="126">
      <c r="A126" s="177"/>
      <c r="B126" s="177"/>
      <c r="C126" s="121"/>
      <c r="D126" s="121"/>
      <c r="E126" s="121"/>
      <c r="F126" s="121"/>
      <c r="G126" s="177"/>
      <c r="H126" s="121"/>
      <c r="I126" s="121"/>
      <c r="J126" s="121"/>
      <c r="K126" s="121"/>
      <c r="L126" s="121"/>
      <c r="M126" s="121"/>
      <c r="N126" s="121"/>
      <c r="O126" s="121"/>
      <c r="P126" s="121"/>
      <c r="Q126" s="121"/>
      <c r="R126" s="121"/>
      <c r="S126" s="121"/>
      <c r="T126" s="121"/>
      <c r="U126" s="121"/>
      <c r="V126" s="121"/>
      <c r="W126" s="121"/>
      <c r="X126" s="121"/>
      <c r="Y126" s="121"/>
      <c r="Z126" s="121"/>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123"/>
      <c r="AV126" s="123"/>
      <c r="AW126" s="123"/>
      <c r="AX126" s="123"/>
    </row>
    <row r="127">
      <c r="A127" s="177"/>
      <c r="B127" s="177"/>
      <c r="C127" s="121"/>
      <c r="D127" s="121"/>
      <c r="E127" s="121"/>
      <c r="F127" s="121"/>
      <c r="G127" s="177"/>
      <c r="H127" s="121"/>
      <c r="I127" s="121"/>
      <c r="J127" s="121"/>
      <c r="K127" s="121"/>
      <c r="L127" s="121"/>
      <c r="M127" s="121"/>
      <c r="N127" s="121"/>
      <c r="O127" s="121"/>
      <c r="P127" s="121"/>
      <c r="Q127" s="121"/>
      <c r="R127" s="121"/>
      <c r="S127" s="121"/>
      <c r="T127" s="121"/>
      <c r="U127" s="121"/>
      <c r="V127" s="121"/>
      <c r="W127" s="121"/>
      <c r="X127" s="121"/>
      <c r="Y127" s="121"/>
      <c r="Z127" s="121"/>
      <c r="AA127" s="123"/>
      <c r="AB127" s="123"/>
      <c r="AC127" s="123"/>
      <c r="AD127" s="123"/>
      <c r="AE127" s="123"/>
      <c r="AF127" s="123"/>
      <c r="AG127" s="123"/>
      <c r="AH127" s="123"/>
      <c r="AI127" s="123"/>
      <c r="AJ127" s="123"/>
      <c r="AK127" s="123"/>
      <c r="AL127" s="123"/>
      <c r="AM127" s="123"/>
      <c r="AN127" s="123"/>
      <c r="AO127" s="123"/>
      <c r="AP127" s="123"/>
      <c r="AQ127" s="123"/>
      <c r="AR127" s="123"/>
      <c r="AS127" s="123"/>
      <c r="AT127" s="123"/>
      <c r="AU127" s="123"/>
      <c r="AV127" s="123"/>
      <c r="AW127" s="123"/>
      <c r="AX127" s="123"/>
    </row>
    <row r="128">
      <c r="A128" s="177"/>
      <c r="B128" s="177"/>
      <c r="C128" s="121"/>
      <c r="D128" s="121"/>
      <c r="E128" s="121"/>
      <c r="F128" s="121"/>
      <c r="G128" s="177"/>
      <c r="H128" s="121"/>
      <c r="I128" s="121"/>
      <c r="J128" s="121"/>
      <c r="K128" s="121"/>
      <c r="L128" s="121"/>
      <c r="M128" s="121"/>
      <c r="N128" s="121"/>
      <c r="O128" s="121"/>
      <c r="P128" s="121"/>
      <c r="Q128" s="121"/>
      <c r="R128" s="121"/>
      <c r="S128" s="121"/>
      <c r="T128" s="121"/>
      <c r="U128" s="121"/>
      <c r="V128" s="121"/>
      <c r="W128" s="121"/>
      <c r="X128" s="121"/>
      <c r="Y128" s="121"/>
      <c r="Z128" s="121"/>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row>
    <row r="129">
      <c r="A129" s="177"/>
      <c r="B129" s="177"/>
      <c r="C129" s="121"/>
      <c r="D129" s="121"/>
      <c r="E129" s="121"/>
      <c r="F129" s="121"/>
      <c r="G129" s="177"/>
      <c r="H129" s="121"/>
      <c r="I129" s="121"/>
      <c r="J129" s="121"/>
      <c r="K129" s="121"/>
      <c r="L129" s="121"/>
      <c r="M129" s="121"/>
      <c r="N129" s="121"/>
      <c r="O129" s="121"/>
      <c r="P129" s="121"/>
      <c r="Q129" s="121"/>
      <c r="R129" s="121"/>
      <c r="S129" s="121"/>
      <c r="T129" s="121"/>
      <c r="U129" s="121"/>
      <c r="V129" s="121"/>
      <c r="W129" s="121"/>
      <c r="X129" s="121"/>
      <c r="Y129" s="121"/>
      <c r="Z129" s="121"/>
      <c r="AA129" s="123"/>
      <c r="AB129" s="123"/>
      <c r="AC129" s="123"/>
      <c r="AD129" s="123"/>
      <c r="AE129" s="123"/>
      <c r="AF129" s="123"/>
      <c r="AG129" s="123"/>
      <c r="AH129" s="123"/>
      <c r="AI129" s="123"/>
      <c r="AJ129" s="123"/>
      <c r="AK129" s="123"/>
      <c r="AL129" s="123"/>
      <c r="AM129" s="123"/>
      <c r="AN129" s="123"/>
      <c r="AO129" s="123"/>
      <c r="AP129" s="123"/>
      <c r="AQ129" s="123"/>
      <c r="AR129" s="123"/>
      <c r="AS129" s="123"/>
      <c r="AT129" s="123"/>
      <c r="AU129" s="123"/>
      <c r="AV129" s="123"/>
      <c r="AW129" s="123"/>
      <c r="AX129" s="123"/>
    </row>
    <row r="130">
      <c r="A130" s="177"/>
      <c r="B130" s="177"/>
      <c r="C130" s="121"/>
      <c r="D130" s="121"/>
      <c r="E130" s="121"/>
      <c r="F130" s="121"/>
      <c r="G130" s="177"/>
      <c r="H130" s="121"/>
      <c r="I130" s="121"/>
      <c r="J130" s="121"/>
      <c r="K130" s="121"/>
      <c r="L130" s="121"/>
      <c r="M130" s="121"/>
      <c r="N130" s="121"/>
      <c r="O130" s="121"/>
      <c r="P130" s="121"/>
      <c r="Q130" s="121"/>
      <c r="R130" s="121"/>
      <c r="S130" s="121"/>
      <c r="T130" s="121"/>
      <c r="U130" s="121"/>
      <c r="V130" s="121"/>
      <c r="W130" s="121"/>
      <c r="X130" s="121"/>
      <c r="Y130" s="121"/>
      <c r="Z130" s="121"/>
      <c r="AA130" s="123"/>
      <c r="AB130" s="123"/>
      <c r="AC130" s="123"/>
      <c r="AD130" s="123"/>
      <c r="AE130" s="123"/>
      <c r="AF130" s="123"/>
      <c r="AG130" s="123"/>
      <c r="AH130" s="123"/>
      <c r="AI130" s="123"/>
      <c r="AJ130" s="123"/>
      <c r="AK130" s="123"/>
      <c r="AL130" s="123"/>
      <c r="AM130" s="123"/>
      <c r="AN130" s="123"/>
      <c r="AO130" s="123"/>
      <c r="AP130" s="123"/>
      <c r="AQ130" s="123"/>
      <c r="AR130" s="123"/>
      <c r="AS130" s="123"/>
      <c r="AT130" s="123"/>
      <c r="AU130" s="123"/>
      <c r="AV130" s="123"/>
      <c r="AW130" s="123"/>
      <c r="AX130" s="123"/>
    </row>
    <row r="131">
      <c r="A131" s="177"/>
      <c r="B131" s="177"/>
      <c r="C131" s="121"/>
      <c r="D131" s="121"/>
      <c r="E131" s="121"/>
      <c r="F131" s="121"/>
      <c r="G131" s="177"/>
      <c r="H131" s="121"/>
      <c r="I131" s="121"/>
      <c r="J131" s="121"/>
      <c r="K131" s="121"/>
      <c r="L131" s="121"/>
      <c r="M131" s="121"/>
      <c r="N131" s="121"/>
      <c r="O131" s="121"/>
      <c r="P131" s="121"/>
      <c r="Q131" s="121"/>
      <c r="R131" s="121"/>
      <c r="S131" s="121"/>
      <c r="T131" s="121"/>
      <c r="U131" s="121"/>
      <c r="V131" s="121"/>
      <c r="W131" s="121"/>
      <c r="X131" s="121"/>
      <c r="Y131" s="121"/>
      <c r="Z131" s="121"/>
      <c r="AA131" s="123"/>
      <c r="AB131" s="123"/>
      <c r="AC131" s="123"/>
      <c r="AD131" s="123"/>
      <c r="AE131" s="123"/>
      <c r="AF131" s="123"/>
      <c r="AG131" s="123"/>
      <c r="AH131" s="123"/>
      <c r="AI131" s="123"/>
      <c r="AJ131" s="123"/>
      <c r="AK131" s="123"/>
      <c r="AL131" s="123"/>
      <c r="AM131" s="123"/>
      <c r="AN131" s="123"/>
      <c r="AO131" s="123"/>
      <c r="AP131" s="123"/>
      <c r="AQ131" s="123"/>
      <c r="AR131" s="123"/>
      <c r="AS131" s="123"/>
      <c r="AT131" s="123"/>
      <c r="AU131" s="123"/>
      <c r="AV131" s="123"/>
      <c r="AW131" s="123"/>
      <c r="AX131" s="123"/>
    </row>
    <row r="132">
      <c r="A132" s="177"/>
      <c r="B132" s="177"/>
      <c r="C132" s="121"/>
      <c r="D132" s="121"/>
      <c r="E132" s="121"/>
      <c r="F132" s="121"/>
      <c r="G132" s="177"/>
      <c r="H132" s="121"/>
      <c r="I132" s="121"/>
      <c r="J132" s="121"/>
      <c r="K132" s="121"/>
      <c r="L132" s="121"/>
      <c r="M132" s="121"/>
      <c r="N132" s="121"/>
      <c r="O132" s="121"/>
      <c r="P132" s="121"/>
      <c r="Q132" s="121"/>
      <c r="R132" s="121"/>
      <c r="S132" s="121"/>
      <c r="T132" s="121"/>
      <c r="U132" s="121"/>
      <c r="V132" s="121"/>
      <c r="W132" s="121"/>
      <c r="X132" s="121"/>
      <c r="Y132" s="121"/>
      <c r="Z132" s="121"/>
      <c r="AA132" s="123"/>
      <c r="AB132" s="123"/>
      <c r="AC132" s="123"/>
      <c r="AD132" s="123"/>
      <c r="AE132" s="123"/>
      <c r="AF132" s="123"/>
      <c r="AG132" s="123"/>
      <c r="AH132" s="123"/>
      <c r="AI132" s="123"/>
      <c r="AJ132" s="123"/>
      <c r="AK132" s="123"/>
      <c r="AL132" s="123"/>
      <c r="AM132" s="123"/>
      <c r="AN132" s="123"/>
      <c r="AO132" s="123"/>
      <c r="AP132" s="123"/>
      <c r="AQ132" s="123"/>
      <c r="AR132" s="123"/>
      <c r="AS132" s="123"/>
      <c r="AT132" s="123"/>
      <c r="AU132" s="123"/>
      <c r="AV132" s="123"/>
      <c r="AW132" s="123"/>
      <c r="AX132" s="123"/>
    </row>
    <row r="133">
      <c r="A133" s="177"/>
      <c r="B133" s="177"/>
      <c r="C133" s="121"/>
      <c r="D133" s="121"/>
      <c r="E133" s="121"/>
      <c r="F133" s="121"/>
      <c r="G133" s="177"/>
      <c r="H133" s="121"/>
      <c r="I133" s="121"/>
      <c r="J133" s="121"/>
      <c r="K133" s="121"/>
      <c r="L133" s="121"/>
      <c r="M133" s="121"/>
      <c r="N133" s="121"/>
      <c r="O133" s="121"/>
      <c r="P133" s="121"/>
      <c r="Q133" s="121"/>
      <c r="R133" s="121"/>
      <c r="S133" s="121"/>
      <c r="T133" s="121"/>
      <c r="U133" s="121"/>
      <c r="V133" s="121"/>
      <c r="W133" s="121"/>
      <c r="X133" s="121"/>
      <c r="Y133" s="121"/>
      <c r="Z133" s="121"/>
      <c r="AA133" s="123"/>
      <c r="AB133" s="123"/>
      <c r="AC133" s="123"/>
      <c r="AD133" s="123"/>
      <c r="AE133" s="123"/>
      <c r="AF133" s="123"/>
      <c r="AG133" s="123"/>
      <c r="AH133" s="123"/>
      <c r="AI133" s="123"/>
      <c r="AJ133" s="123"/>
      <c r="AK133" s="123"/>
      <c r="AL133" s="123"/>
      <c r="AM133" s="123"/>
      <c r="AN133" s="123"/>
      <c r="AO133" s="123"/>
      <c r="AP133" s="123"/>
      <c r="AQ133" s="123"/>
      <c r="AR133" s="123"/>
      <c r="AS133" s="123"/>
      <c r="AT133" s="123"/>
      <c r="AU133" s="123"/>
      <c r="AV133" s="123"/>
      <c r="AW133" s="123"/>
      <c r="AX133" s="123"/>
    </row>
    <row r="134">
      <c r="A134" s="177"/>
      <c r="B134" s="177"/>
      <c r="C134" s="121"/>
      <c r="D134" s="121"/>
      <c r="E134" s="121"/>
      <c r="F134" s="121"/>
      <c r="G134" s="177"/>
      <c r="H134" s="121"/>
      <c r="I134" s="121"/>
      <c r="J134" s="121"/>
      <c r="K134" s="121"/>
      <c r="L134" s="121"/>
      <c r="M134" s="121"/>
      <c r="N134" s="121"/>
      <c r="O134" s="121"/>
      <c r="P134" s="121"/>
      <c r="Q134" s="121"/>
      <c r="R134" s="121"/>
      <c r="S134" s="121"/>
      <c r="T134" s="121"/>
      <c r="U134" s="121"/>
      <c r="V134" s="121"/>
      <c r="W134" s="121"/>
      <c r="X134" s="121"/>
      <c r="Y134" s="121"/>
      <c r="Z134" s="121"/>
      <c r="AA134" s="123"/>
      <c r="AB134" s="123"/>
      <c r="AC134" s="123"/>
      <c r="AD134" s="123"/>
      <c r="AE134" s="123"/>
      <c r="AF134" s="123"/>
      <c r="AG134" s="123"/>
      <c r="AH134" s="123"/>
      <c r="AI134" s="123"/>
      <c r="AJ134" s="123"/>
      <c r="AK134" s="123"/>
      <c r="AL134" s="123"/>
      <c r="AM134" s="123"/>
      <c r="AN134" s="123"/>
      <c r="AO134" s="123"/>
      <c r="AP134" s="123"/>
      <c r="AQ134" s="123"/>
      <c r="AR134" s="123"/>
      <c r="AS134" s="123"/>
      <c r="AT134" s="123"/>
      <c r="AU134" s="123"/>
      <c r="AV134" s="123"/>
      <c r="AW134" s="123"/>
      <c r="AX134" s="123"/>
    </row>
    <row r="135">
      <c r="A135" s="177"/>
      <c r="B135" s="177"/>
      <c r="C135" s="121"/>
      <c r="D135" s="121"/>
      <c r="E135" s="121"/>
      <c r="F135" s="121"/>
      <c r="G135" s="177"/>
      <c r="H135" s="121"/>
      <c r="I135" s="121"/>
      <c r="J135" s="121"/>
      <c r="K135" s="121"/>
      <c r="L135" s="121"/>
      <c r="M135" s="121"/>
      <c r="N135" s="121"/>
      <c r="O135" s="121"/>
      <c r="P135" s="121"/>
      <c r="Q135" s="121"/>
      <c r="R135" s="121"/>
      <c r="S135" s="121"/>
      <c r="T135" s="121"/>
      <c r="U135" s="121"/>
      <c r="V135" s="121"/>
      <c r="W135" s="121"/>
      <c r="X135" s="121"/>
      <c r="Y135" s="121"/>
      <c r="Z135" s="121"/>
      <c r="AA135" s="123"/>
      <c r="AB135" s="123"/>
      <c r="AC135" s="123"/>
      <c r="AD135" s="123"/>
      <c r="AE135" s="123"/>
      <c r="AF135" s="123"/>
      <c r="AG135" s="123"/>
      <c r="AH135" s="123"/>
      <c r="AI135" s="123"/>
      <c r="AJ135" s="123"/>
      <c r="AK135" s="123"/>
      <c r="AL135" s="123"/>
      <c r="AM135" s="123"/>
      <c r="AN135" s="123"/>
      <c r="AO135" s="123"/>
      <c r="AP135" s="123"/>
      <c r="AQ135" s="123"/>
      <c r="AR135" s="123"/>
      <c r="AS135" s="123"/>
      <c r="AT135" s="123"/>
      <c r="AU135" s="123"/>
      <c r="AV135" s="123"/>
      <c r="AW135" s="123"/>
      <c r="AX135" s="123"/>
    </row>
    <row r="136">
      <c r="A136" s="177"/>
      <c r="B136" s="177"/>
      <c r="C136" s="121"/>
      <c r="D136" s="121"/>
      <c r="E136" s="121"/>
      <c r="F136" s="121"/>
      <c r="G136" s="177"/>
      <c r="H136" s="121"/>
      <c r="I136" s="121"/>
      <c r="J136" s="121"/>
      <c r="K136" s="121"/>
      <c r="L136" s="121"/>
      <c r="M136" s="121"/>
      <c r="N136" s="121"/>
      <c r="O136" s="121"/>
      <c r="P136" s="121"/>
      <c r="Q136" s="121"/>
      <c r="R136" s="121"/>
      <c r="S136" s="121"/>
      <c r="T136" s="121"/>
      <c r="U136" s="121"/>
      <c r="V136" s="121"/>
      <c r="W136" s="121"/>
      <c r="X136" s="121"/>
      <c r="Y136" s="121"/>
      <c r="Z136" s="121"/>
      <c r="AA136" s="123"/>
      <c r="AB136" s="123"/>
      <c r="AC136" s="123"/>
      <c r="AD136" s="123"/>
      <c r="AE136" s="123"/>
      <c r="AF136" s="123"/>
      <c r="AG136" s="123"/>
      <c r="AH136" s="123"/>
      <c r="AI136" s="123"/>
      <c r="AJ136" s="123"/>
      <c r="AK136" s="123"/>
      <c r="AL136" s="123"/>
      <c r="AM136" s="123"/>
      <c r="AN136" s="123"/>
      <c r="AO136" s="123"/>
      <c r="AP136" s="123"/>
      <c r="AQ136" s="123"/>
      <c r="AR136" s="123"/>
      <c r="AS136" s="123"/>
      <c r="AT136" s="123"/>
      <c r="AU136" s="123"/>
      <c r="AV136" s="123"/>
      <c r="AW136" s="123"/>
      <c r="AX136" s="123"/>
    </row>
    <row r="137">
      <c r="A137" s="177"/>
      <c r="B137" s="177"/>
      <c r="C137" s="121"/>
      <c r="D137" s="121"/>
      <c r="E137" s="121"/>
      <c r="F137" s="121"/>
      <c r="G137" s="177"/>
      <c r="H137" s="121"/>
      <c r="I137" s="121"/>
      <c r="J137" s="121"/>
      <c r="K137" s="121"/>
      <c r="L137" s="121"/>
      <c r="M137" s="121"/>
      <c r="N137" s="121"/>
      <c r="O137" s="121"/>
      <c r="P137" s="121"/>
      <c r="Q137" s="121"/>
      <c r="R137" s="121"/>
      <c r="S137" s="121"/>
      <c r="T137" s="121"/>
      <c r="U137" s="121"/>
      <c r="V137" s="121"/>
      <c r="W137" s="121"/>
      <c r="X137" s="121"/>
      <c r="Y137" s="121"/>
      <c r="Z137" s="121"/>
      <c r="AA137" s="123"/>
      <c r="AB137" s="123"/>
      <c r="AC137" s="123"/>
      <c r="AD137" s="123"/>
      <c r="AE137" s="123"/>
      <c r="AF137" s="123"/>
      <c r="AG137" s="123"/>
      <c r="AH137" s="123"/>
      <c r="AI137" s="123"/>
      <c r="AJ137" s="123"/>
      <c r="AK137" s="123"/>
      <c r="AL137" s="123"/>
      <c r="AM137" s="123"/>
      <c r="AN137" s="123"/>
      <c r="AO137" s="123"/>
      <c r="AP137" s="123"/>
      <c r="AQ137" s="123"/>
      <c r="AR137" s="123"/>
      <c r="AS137" s="123"/>
      <c r="AT137" s="123"/>
      <c r="AU137" s="123"/>
      <c r="AV137" s="123"/>
      <c r="AW137" s="123"/>
      <c r="AX137" s="123"/>
    </row>
    <row r="138">
      <c r="A138" s="182"/>
      <c r="B138" s="183"/>
      <c r="C138" s="183"/>
      <c r="D138" s="184"/>
      <c r="E138" s="184"/>
      <c r="F138" s="184"/>
      <c r="G138" s="183"/>
      <c r="H138" s="184"/>
      <c r="I138" s="184"/>
      <c r="J138" s="184"/>
      <c r="K138" s="184"/>
      <c r="L138" s="184"/>
      <c r="M138" s="184"/>
      <c r="N138" s="184"/>
      <c r="O138" s="183"/>
      <c r="P138" s="183"/>
      <c r="Q138" s="184"/>
      <c r="R138" s="184"/>
      <c r="S138" s="184"/>
      <c r="T138" s="184"/>
      <c r="U138" s="184"/>
      <c r="V138" s="184"/>
      <c r="W138" s="183"/>
      <c r="X138" s="183"/>
      <c r="Y138" s="175"/>
      <c r="Z138" s="175"/>
      <c r="AA138" s="178"/>
      <c r="AB138" s="178"/>
      <c r="AC138" s="178"/>
      <c r="AD138" s="178"/>
      <c r="AE138" s="178"/>
      <c r="AF138" s="178"/>
      <c r="AG138" s="178"/>
      <c r="AH138" s="178"/>
      <c r="AI138" s="178"/>
      <c r="AJ138" s="178"/>
      <c r="AK138" s="178"/>
      <c r="AL138" s="178"/>
      <c r="AM138" s="178"/>
      <c r="AN138" s="178"/>
      <c r="AO138" s="178"/>
      <c r="AP138" s="178"/>
      <c r="AQ138" s="178"/>
      <c r="AR138" s="178"/>
      <c r="AS138" s="178"/>
      <c r="AT138" s="178"/>
      <c r="AU138" s="178"/>
      <c r="AV138" s="178"/>
      <c r="AW138" s="178"/>
      <c r="AX138" s="178"/>
    </row>
    <row r="139">
      <c r="A139" s="186"/>
      <c r="B139" s="139"/>
      <c r="C139" s="139"/>
      <c r="D139" s="139"/>
      <c r="E139" s="139"/>
      <c r="F139" s="139"/>
      <c r="G139" s="187"/>
      <c r="H139" s="186"/>
      <c r="I139" s="186"/>
      <c r="J139" s="187"/>
      <c r="K139" s="139"/>
      <c r="L139" s="187"/>
      <c r="M139" s="187"/>
      <c r="N139" s="187"/>
      <c r="O139" s="187"/>
      <c r="P139" s="187"/>
      <c r="Q139" s="187"/>
      <c r="R139" s="187"/>
      <c r="S139" s="139"/>
      <c r="T139" s="139"/>
      <c r="U139" s="139"/>
      <c r="V139" s="139"/>
      <c r="W139" s="139"/>
      <c r="X139" s="139"/>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row>
    <row r="140">
      <c r="A140" s="177"/>
      <c r="B140" s="177"/>
      <c r="C140" s="121"/>
      <c r="D140" s="121"/>
      <c r="E140" s="121"/>
      <c r="F140" s="121"/>
      <c r="G140" s="177"/>
      <c r="H140" s="121"/>
      <c r="I140" s="121"/>
      <c r="J140" s="121"/>
      <c r="K140" s="121"/>
      <c r="L140" s="121"/>
      <c r="M140" s="121"/>
      <c r="N140" s="121"/>
      <c r="O140" s="121"/>
      <c r="P140" s="121"/>
      <c r="Q140" s="121"/>
      <c r="R140" s="121"/>
      <c r="S140" s="121"/>
      <c r="T140" s="121"/>
      <c r="U140" s="121"/>
      <c r="V140" s="121"/>
      <c r="W140" s="121"/>
      <c r="X140" s="121"/>
      <c r="Y140" s="123"/>
      <c r="Z140" s="123"/>
      <c r="AA140" s="123"/>
      <c r="AB140" s="123"/>
      <c r="AC140" s="123"/>
      <c r="AD140" s="123"/>
      <c r="AE140" s="123"/>
      <c r="AF140" s="123"/>
      <c r="AG140" s="123"/>
      <c r="AH140" s="123"/>
      <c r="AI140" s="123"/>
      <c r="AJ140" s="123"/>
      <c r="AK140" s="123"/>
      <c r="AL140" s="123"/>
      <c r="AM140" s="123"/>
      <c r="AN140" s="123"/>
      <c r="AO140" s="123"/>
      <c r="AP140" s="123"/>
      <c r="AQ140" s="123"/>
      <c r="AR140" s="123"/>
      <c r="AS140" s="123"/>
      <c r="AT140" s="123"/>
      <c r="AU140" s="123"/>
      <c r="AV140" s="123"/>
      <c r="AW140" s="123"/>
      <c r="AX140" s="123"/>
    </row>
    <row r="141">
      <c r="A141" s="177"/>
      <c r="B141" s="177"/>
      <c r="C141" s="121"/>
      <c r="D141" s="121"/>
      <c r="E141" s="121"/>
      <c r="F141" s="121"/>
      <c r="G141" s="177"/>
      <c r="H141" s="121"/>
      <c r="I141" s="121"/>
      <c r="J141" s="121"/>
      <c r="K141" s="121"/>
      <c r="L141" s="121"/>
      <c r="M141" s="121"/>
      <c r="N141" s="121"/>
      <c r="O141" s="121"/>
      <c r="P141" s="121"/>
      <c r="Q141" s="121"/>
      <c r="R141" s="121"/>
      <c r="S141" s="121"/>
      <c r="T141" s="121"/>
      <c r="U141" s="121"/>
      <c r="V141" s="121"/>
      <c r="W141" s="121"/>
      <c r="X141" s="121"/>
      <c r="Y141" s="123"/>
      <c r="Z141" s="123"/>
      <c r="AA141" s="123"/>
      <c r="AB141" s="123"/>
      <c r="AC141" s="123"/>
      <c r="AD141" s="123"/>
      <c r="AE141" s="123"/>
      <c r="AF141" s="123"/>
      <c r="AG141" s="123"/>
      <c r="AH141" s="123"/>
      <c r="AI141" s="123"/>
      <c r="AJ141" s="123"/>
      <c r="AK141" s="123"/>
      <c r="AL141" s="123"/>
      <c r="AM141" s="123"/>
      <c r="AN141" s="123"/>
      <c r="AO141" s="123"/>
      <c r="AP141" s="123"/>
      <c r="AQ141" s="123"/>
      <c r="AR141" s="123"/>
      <c r="AS141" s="123"/>
      <c r="AT141" s="123"/>
      <c r="AU141" s="123"/>
      <c r="AV141" s="123"/>
      <c r="AW141" s="123"/>
      <c r="AX141" s="123"/>
    </row>
    <row r="142">
      <c r="A142" s="177"/>
      <c r="B142" s="177"/>
      <c r="C142" s="121"/>
      <c r="D142" s="121"/>
      <c r="E142" s="121"/>
      <c r="F142" s="121"/>
      <c r="G142" s="177"/>
      <c r="H142" s="121"/>
      <c r="I142" s="121"/>
      <c r="J142" s="121"/>
      <c r="K142" s="121"/>
      <c r="L142" s="121"/>
      <c r="M142" s="121"/>
      <c r="N142" s="121"/>
      <c r="O142" s="121"/>
      <c r="P142" s="121"/>
      <c r="Q142" s="121"/>
      <c r="R142" s="121"/>
      <c r="S142" s="121"/>
      <c r="T142" s="121"/>
      <c r="U142" s="121"/>
      <c r="V142" s="121"/>
      <c r="W142" s="121"/>
      <c r="X142" s="121"/>
      <c r="Y142" s="123"/>
      <c r="Z142" s="123"/>
      <c r="AA142" s="123"/>
      <c r="AB142" s="123"/>
      <c r="AC142" s="123"/>
      <c r="AD142" s="123"/>
      <c r="AE142" s="123"/>
      <c r="AF142" s="123"/>
      <c r="AG142" s="123"/>
      <c r="AH142" s="123"/>
      <c r="AI142" s="123"/>
      <c r="AJ142" s="123"/>
      <c r="AK142" s="123"/>
      <c r="AL142" s="123"/>
      <c r="AM142" s="123"/>
      <c r="AN142" s="123"/>
      <c r="AO142" s="123"/>
      <c r="AP142" s="123"/>
      <c r="AQ142" s="123"/>
      <c r="AR142" s="123"/>
      <c r="AS142" s="123"/>
      <c r="AT142" s="123"/>
      <c r="AU142" s="123"/>
      <c r="AV142" s="123"/>
      <c r="AW142" s="123"/>
      <c r="AX142" s="123"/>
    </row>
    <row r="143">
      <c r="A143" s="177"/>
      <c r="B143" s="177"/>
      <c r="C143" s="121"/>
      <c r="D143" s="121"/>
      <c r="E143" s="121"/>
      <c r="F143" s="121"/>
      <c r="G143" s="177"/>
      <c r="H143" s="121"/>
      <c r="I143" s="121"/>
      <c r="J143" s="121"/>
      <c r="K143" s="121"/>
      <c r="L143" s="121"/>
      <c r="M143" s="121"/>
      <c r="N143" s="121"/>
      <c r="O143" s="121"/>
      <c r="P143" s="121"/>
      <c r="Q143" s="121"/>
      <c r="R143" s="121"/>
      <c r="S143" s="121"/>
      <c r="T143" s="121"/>
      <c r="U143" s="121"/>
      <c r="V143" s="121"/>
      <c r="W143" s="121"/>
      <c r="X143" s="121"/>
      <c r="Y143" s="123"/>
      <c r="Z143" s="123"/>
      <c r="AA143" s="123"/>
      <c r="AB143" s="123"/>
      <c r="AC143" s="123"/>
      <c r="AD143" s="123"/>
      <c r="AE143" s="123"/>
      <c r="AF143" s="123"/>
      <c r="AG143" s="123"/>
      <c r="AH143" s="123"/>
      <c r="AI143" s="123"/>
      <c r="AJ143" s="123"/>
      <c r="AK143" s="123"/>
      <c r="AL143" s="123"/>
      <c r="AM143" s="123"/>
      <c r="AN143" s="123"/>
      <c r="AO143" s="123"/>
      <c r="AP143" s="123"/>
      <c r="AQ143" s="123"/>
      <c r="AR143" s="123"/>
      <c r="AS143" s="123"/>
      <c r="AT143" s="123"/>
      <c r="AU143" s="123"/>
      <c r="AV143" s="123"/>
      <c r="AW143" s="123"/>
      <c r="AX143" s="123"/>
    </row>
    <row r="144">
      <c r="A144" s="177"/>
      <c r="B144" s="177"/>
      <c r="C144" s="121"/>
      <c r="D144" s="121"/>
      <c r="E144" s="121"/>
      <c r="F144" s="121"/>
      <c r="G144" s="177"/>
      <c r="H144" s="121"/>
      <c r="I144" s="121"/>
      <c r="J144" s="121"/>
      <c r="K144" s="121"/>
      <c r="L144" s="121"/>
      <c r="M144" s="121"/>
      <c r="N144" s="121"/>
      <c r="O144" s="121"/>
      <c r="P144" s="121"/>
      <c r="Q144" s="121"/>
      <c r="R144" s="121"/>
      <c r="S144" s="121"/>
      <c r="T144" s="121"/>
      <c r="U144" s="121"/>
      <c r="V144" s="121"/>
      <c r="W144" s="121"/>
      <c r="X144" s="121"/>
      <c r="Y144" s="123"/>
      <c r="Z144" s="123"/>
      <c r="AA144" s="123"/>
      <c r="AB144" s="123"/>
      <c r="AC144" s="123"/>
      <c r="AD144" s="123"/>
      <c r="AE144" s="123"/>
      <c r="AF144" s="123"/>
      <c r="AG144" s="123"/>
      <c r="AH144" s="123"/>
      <c r="AI144" s="123"/>
      <c r="AJ144" s="123"/>
      <c r="AK144" s="123"/>
      <c r="AL144" s="123"/>
      <c r="AM144" s="123"/>
      <c r="AN144" s="123"/>
      <c r="AO144" s="123"/>
      <c r="AP144" s="123"/>
      <c r="AQ144" s="123"/>
      <c r="AR144" s="123"/>
      <c r="AS144" s="123"/>
      <c r="AT144" s="123"/>
      <c r="AU144" s="123"/>
      <c r="AV144" s="123"/>
      <c r="AW144" s="123"/>
      <c r="AX144" s="123"/>
    </row>
    <row r="145">
      <c r="A145" s="177"/>
      <c r="B145" s="177"/>
      <c r="C145" s="121"/>
      <c r="D145" s="121"/>
      <c r="E145" s="121"/>
      <c r="F145" s="121"/>
      <c r="G145" s="177"/>
      <c r="H145" s="121"/>
      <c r="I145" s="121"/>
      <c r="J145" s="121"/>
      <c r="K145" s="121"/>
      <c r="L145" s="121"/>
      <c r="M145" s="121"/>
      <c r="N145" s="121"/>
      <c r="O145" s="121"/>
      <c r="P145" s="121"/>
      <c r="Q145" s="121"/>
      <c r="R145" s="121"/>
      <c r="S145" s="121"/>
      <c r="T145" s="121"/>
      <c r="U145" s="121"/>
      <c r="V145" s="121"/>
      <c r="W145" s="121"/>
      <c r="X145" s="121"/>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row>
    <row r="146">
      <c r="A146" s="177"/>
      <c r="B146" s="177"/>
      <c r="C146" s="121"/>
      <c r="D146" s="121"/>
      <c r="E146" s="121"/>
      <c r="F146" s="121"/>
      <c r="G146" s="177"/>
      <c r="H146" s="121"/>
      <c r="I146" s="121"/>
      <c r="J146" s="121"/>
      <c r="K146" s="121"/>
      <c r="L146" s="121"/>
      <c r="M146" s="121"/>
      <c r="N146" s="121"/>
      <c r="O146" s="121"/>
      <c r="P146" s="121"/>
      <c r="Q146" s="121"/>
      <c r="R146" s="121"/>
      <c r="S146" s="121"/>
      <c r="T146" s="121"/>
      <c r="U146" s="121"/>
      <c r="V146" s="121"/>
      <c r="W146" s="121"/>
      <c r="X146" s="121"/>
      <c r="Y146" s="123"/>
      <c r="Z146" s="123"/>
      <c r="AA146" s="123"/>
      <c r="AB146" s="123"/>
      <c r="AC146" s="123"/>
      <c r="AD146" s="123"/>
      <c r="AE146" s="123"/>
      <c r="AF146" s="123"/>
      <c r="AG146" s="123"/>
      <c r="AH146" s="123"/>
      <c r="AI146" s="123"/>
      <c r="AJ146" s="123"/>
      <c r="AK146" s="123"/>
      <c r="AL146" s="123"/>
      <c r="AM146" s="123"/>
      <c r="AN146" s="123"/>
      <c r="AO146" s="123"/>
      <c r="AP146" s="123"/>
      <c r="AQ146" s="123"/>
      <c r="AR146" s="123"/>
      <c r="AS146" s="123"/>
      <c r="AT146" s="123"/>
      <c r="AU146" s="123"/>
      <c r="AV146" s="123"/>
      <c r="AW146" s="123"/>
      <c r="AX146" s="123"/>
    </row>
    <row r="147">
      <c r="A147" s="177"/>
      <c r="B147" s="177"/>
      <c r="C147" s="121"/>
      <c r="D147" s="121"/>
      <c r="E147" s="121"/>
      <c r="F147" s="121"/>
      <c r="G147" s="177"/>
      <c r="H147" s="121"/>
      <c r="I147" s="121"/>
      <c r="J147" s="121"/>
      <c r="K147" s="121"/>
      <c r="L147" s="121"/>
      <c r="M147" s="121"/>
      <c r="N147" s="121"/>
      <c r="O147" s="121"/>
      <c r="P147" s="121"/>
      <c r="Q147" s="121"/>
      <c r="R147" s="121"/>
      <c r="S147" s="121"/>
      <c r="T147" s="121"/>
      <c r="U147" s="121"/>
      <c r="V147" s="121"/>
      <c r="W147" s="121"/>
      <c r="X147" s="121"/>
      <c r="Y147" s="123"/>
      <c r="Z147" s="123"/>
      <c r="AA147" s="123"/>
      <c r="AB147" s="123"/>
      <c r="AC147" s="123"/>
      <c r="AD147" s="123"/>
      <c r="AE147" s="123"/>
      <c r="AF147" s="123"/>
      <c r="AG147" s="123"/>
      <c r="AH147" s="123"/>
      <c r="AI147" s="123"/>
      <c r="AJ147" s="123"/>
      <c r="AK147" s="123"/>
      <c r="AL147" s="123"/>
      <c r="AM147" s="123"/>
      <c r="AN147" s="123"/>
      <c r="AO147" s="123"/>
      <c r="AP147" s="123"/>
      <c r="AQ147" s="123"/>
      <c r="AR147" s="123"/>
      <c r="AS147" s="123"/>
      <c r="AT147" s="123"/>
      <c r="AU147" s="123"/>
      <c r="AV147" s="123"/>
      <c r="AW147" s="123"/>
      <c r="AX147" s="123"/>
    </row>
    <row r="148">
      <c r="A148" s="177"/>
      <c r="B148" s="177"/>
      <c r="C148" s="121"/>
      <c r="D148" s="121"/>
      <c r="E148" s="121"/>
      <c r="F148" s="121"/>
      <c r="G148" s="177"/>
      <c r="H148" s="121"/>
      <c r="I148" s="121"/>
      <c r="J148" s="121"/>
      <c r="K148" s="121"/>
      <c r="L148" s="121"/>
      <c r="M148" s="121"/>
      <c r="N148" s="121"/>
      <c r="O148" s="121"/>
      <c r="P148" s="121"/>
      <c r="Q148" s="121"/>
      <c r="R148" s="121"/>
      <c r="S148" s="121"/>
      <c r="T148" s="121"/>
      <c r="U148" s="121"/>
      <c r="V148" s="121"/>
      <c r="W148" s="121"/>
      <c r="X148" s="121"/>
      <c r="Y148" s="123"/>
      <c r="Z148" s="123"/>
      <c r="AA148" s="123"/>
      <c r="AB148" s="123"/>
      <c r="AC148" s="123"/>
      <c r="AD148" s="123"/>
      <c r="AE148" s="123"/>
      <c r="AF148" s="123"/>
      <c r="AG148" s="123"/>
      <c r="AH148" s="123"/>
      <c r="AI148" s="123"/>
      <c r="AJ148" s="123"/>
      <c r="AK148" s="123"/>
      <c r="AL148" s="123"/>
      <c r="AM148" s="123"/>
      <c r="AN148" s="123"/>
      <c r="AO148" s="123"/>
      <c r="AP148" s="123"/>
      <c r="AQ148" s="123"/>
      <c r="AR148" s="123"/>
      <c r="AS148" s="123"/>
      <c r="AT148" s="123"/>
      <c r="AU148" s="123"/>
      <c r="AV148" s="123"/>
      <c r="AW148" s="123"/>
      <c r="AX148" s="123"/>
    </row>
    <row r="149">
      <c r="A149" s="177"/>
      <c r="B149" s="177"/>
      <c r="C149" s="121"/>
      <c r="D149" s="121"/>
      <c r="E149" s="121"/>
      <c r="F149" s="121"/>
      <c r="G149" s="177"/>
      <c r="H149" s="121"/>
      <c r="I149" s="121"/>
      <c r="J149" s="121"/>
      <c r="K149" s="121"/>
      <c r="L149" s="121"/>
      <c r="M149" s="121"/>
      <c r="N149" s="121"/>
      <c r="O149" s="121"/>
      <c r="P149" s="121"/>
      <c r="Q149" s="121"/>
      <c r="R149" s="121"/>
      <c r="S149" s="121"/>
      <c r="T149" s="121"/>
      <c r="U149" s="121"/>
      <c r="V149" s="121"/>
      <c r="W149" s="121"/>
      <c r="X149" s="121"/>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row>
    <row r="150">
      <c r="A150" s="177"/>
      <c r="B150" s="177"/>
      <c r="C150" s="121"/>
      <c r="D150" s="121"/>
      <c r="E150" s="121"/>
      <c r="F150" s="121"/>
      <c r="G150" s="177"/>
      <c r="H150" s="121"/>
      <c r="I150" s="121"/>
      <c r="J150" s="121"/>
      <c r="K150" s="121"/>
      <c r="L150" s="121"/>
      <c r="M150" s="121"/>
      <c r="N150" s="121"/>
      <c r="O150" s="121"/>
      <c r="P150" s="121"/>
      <c r="Q150" s="121"/>
      <c r="R150" s="121"/>
      <c r="S150" s="121"/>
      <c r="T150" s="121"/>
      <c r="U150" s="121"/>
      <c r="V150" s="121"/>
      <c r="W150" s="121"/>
      <c r="X150" s="121"/>
      <c r="Y150" s="123"/>
      <c r="Z150" s="123"/>
      <c r="AA150" s="123"/>
      <c r="AB150" s="123"/>
      <c r="AC150" s="123"/>
      <c r="AD150" s="123"/>
      <c r="AE150" s="123"/>
      <c r="AF150" s="123"/>
      <c r="AG150" s="123"/>
      <c r="AH150" s="123"/>
      <c r="AI150" s="123"/>
      <c r="AJ150" s="123"/>
      <c r="AK150" s="123"/>
      <c r="AL150" s="123"/>
      <c r="AM150" s="123"/>
      <c r="AN150" s="123"/>
      <c r="AO150" s="123"/>
      <c r="AP150" s="123"/>
      <c r="AQ150" s="123"/>
      <c r="AR150" s="123"/>
      <c r="AS150" s="123"/>
      <c r="AT150" s="123"/>
      <c r="AU150" s="123"/>
      <c r="AV150" s="123"/>
      <c r="AW150" s="123"/>
      <c r="AX150" s="123"/>
    </row>
    <row r="151">
      <c r="A151" s="177"/>
      <c r="B151" s="177"/>
      <c r="C151" s="121"/>
      <c r="D151" s="121"/>
      <c r="E151" s="121"/>
      <c r="F151" s="121"/>
      <c r="G151" s="177"/>
      <c r="H151" s="121"/>
      <c r="I151" s="121"/>
      <c r="J151" s="121"/>
      <c r="K151" s="121"/>
      <c r="L151" s="121"/>
      <c r="M151" s="121"/>
      <c r="N151" s="121"/>
      <c r="O151" s="121"/>
      <c r="P151" s="121"/>
      <c r="Q151" s="121"/>
      <c r="R151" s="121"/>
      <c r="S151" s="121"/>
      <c r="T151" s="121"/>
      <c r="U151" s="121"/>
      <c r="V151" s="121"/>
      <c r="W151" s="121"/>
      <c r="X151" s="121"/>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row>
    <row r="152">
      <c r="A152" s="177"/>
      <c r="B152" s="177"/>
      <c r="C152" s="121"/>
      <c r="D152" s="121"/>
      <c r="E152" s="121"/>
      <c r="F152" s="121"/>
      <c r="G152" s="177"/>
      <c r="H152" s="121"/>
      <c r="I152" s="121"/>
      <c r="J152" s="121"/>
      <c r="K152" s="121"/>
      <c r="L152" s="121"/>
      <c r="M152" s="121"/>
      <c r="N152" s="121"/>
      <c r="O152" s="121"/>
      <c r="P152" s="121"/>
      <c r="Q152" s="121"/>
      <c r="R152" s="121"/>
      <c r="S152" s="121"/>
      <c r="T152" s="121"/>
      <c r="U152" s="121"/>
      <c r="V152" s="121"/>
      <c r="W152" s="121"/>
      <c r="X152" s="121"/>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row>
    <row r="153">
      <c r="A153" s="177"/>
      <c r="B153" s="177"/>
      <c r="C153" s="121"/>
      <c r="D153" s="121"/>
      <c r="E153" s="121"/>
      <c r="F153" s="121"/>
      <c r="G153" s="177"/>
      <c r="H153" s="121"/>
      <c r="I153" s="121"/>
      <c r="J153" s="121"/>
      <c r="K153" s="121"/>
      <c r="L153" s="121"/>
      <c r="M153" s="121"/>
      <c r="N153" s="121"/>
      <c r="O153" s="121"/>
      <c r="P153" s="121"/>
      <c r="Q153" s="121"/>
      <c r="R153" s="121"/>
      <c r="S153" s="121"/>
      <c r="T153" s="121"/>
      <c r="U153" s="121"/>
      <c r="V153" s="121"/>
      <c r="W153" s="121"/>
      <c r="X153" s="121"/>
      <c r="Y153" s="123"/>
      <c r="Z153" s="123"/>
      <c r="AA153" s="123"/>
      <c r="AB153" s="123"/>
      <c r="AC153" s="123"/>
      <c r="AD153" s="123"/>
      <c r="AE153" s="123"/>
      <c r="AF153" s="123"/>
      <c r="AG153" s="123"/>
      <c r="AH153" s="123"/>
      <c r="AI153" s="123"/>
      <c r="AJ153" s="123"/>
      <c r="AK153" s="123"/>
      <c r="AL153" s="123"/>
      <c r="AM153" s="123"/>
      <c r="AN153" s="123"/>
      <c r="AO153" s="123"/>
      <c r="AP153" s="123"/>
      <c r="AQ153" s="123"/>
      <c r="AR153" s="123"/>
      <c r="AS153" s="123"/>
      <c r="AT153" s="123"/>
      <c r="AU153" s="123"/>
      <c r="AV153" s="123"/>
      <c r="AW153" s="123"/>
      <c r="AX153" s="123"/>
    </row>
    <row r="154">
      <c r="A154" s="177"/>
      <c r="B154" s="177"/>
      <c r="C154" s="121"/>
      <c r="D154" s="121"/>
      <c r="E154" s="121"/>
      <c r="F154" s="121"/>
      <c r="G154" s="177"/>
      <c r="H154" s="121"/>
      <c r="I154" s="121"/>
      <c r="J154" s="121"/>
      <c r="K154" s="121"/>
      <c r="L154" s="121"/>
      <c r="M154" s="121"/>
      <c r="N154" s="121"/>
      <c r="O154" s="121"/>
      <c r="P154" s="121"/>
      <c r="Q154" s="121"/>
      <c r="R154" s="121"/>
      <c r="S154" s="121"/>
      <c r="T154" s="121"/>
      <c r="U154" s="121"/>
      <c r="V154" s="121"/>
      <c r="W154" s="121"/>
      <c r="X154" s="121"/>
      <c r="Y154" s="123"/>
      <c r="Z154" s="123"/>
      <c r="AA154" s="123"/>
      <c r="AB154" s="123"/>
      <c r="AC154" s="123"/>
      <c r="AD154" s="123"/>
      <c r="AE154" s="123"/>
      <c r="AF154" s="123"/>
      <c r="AG154" s="123"/>
      <c r="AH154" s="123"/>
      <c r="AI154" s="123"/>
      <c r="AJ154" s="123"/>
      <c r="AK154" s="123"/>
      <c r="AL154" s="123"/>
      <c r="AM154" s="123"/>
      <c r="AN154" s="123"/>
      <c r="AO154" s="123"/>
      <c r="AP154" s="123"/>
      <c r="AQ154" s="123"/>
      <c r="AR154" s="123"/>
      <c r="AS154" s="123"/>
      <c r="AT154" s="123"/>
      <c r="AU154" s="123"/>
      <c r="AV154" s="123"/>
      <c r="AW154" s="123"/>
      <c r="AX154" s="123"/>
    </row>
    <row r="155">
      <c r="A155" s="173"/>
      <c r="B155" s="174"/>
      <c r="C155" s="175"/>
      <c r="D155" s="175"/>
      <c r="E155" s="71"/>
      <c r="F155" s="174"/>
      <c r="G155" s="174"/>
      <c r="H155" s="173"/>
      <c r="I155" s="173"/>
      <c r="J155" s="174"/>
      <c r="K155" s="71"/>
      <c r="L155" s="174"/>
      <c r="M155" s="174"/>
      <c r="N155" s="174"/>
      <c r="O155" s="174"/>
      <c r="P155" s="174"/>
      <c r="Q155" s="174"/>
      <c r="R155" s="174"/>
      <c r="S155" s="71"/>
      <c r="T155" s="71"/>
      <c r="U155" s="176"/>
      <c r="V155" s="175"/>
      <c r="W155" s="174"/>
      <c r="X155" s="174"/>
      <c r="Y155" s="181"/>
      <c r="Z155" s="181"/>
      <c r="AA155" s="181"/>
      <c r="AB155" s="181"/>
      <c r="AC155" s="181"/>
      <c r="AD155" s="181"/>
      <c r="AE155" s="181"/>
      <c r="AF155" s="181"/>
      <c r="AG155" s="181"/>
      <c r="AH155" s="181"/>
      <c r="AI155" s="181"/>
      <c r="AJ155" s="181"/>
      <c r="AK155" s="181"/>
      <c r="AL155" s="181"/>
      <c r="AM155" s="181"/>
      <c r="AN155" s="181"/>
      <c r="AO155" s="181"/>
      <c r="AP155" s="181"/>
      <c r="AQ155" s="181"/>
      <c r="AR155" s="181"/>
      <c r="AS155" s="181"/>
      <c r="AT155" s="181"/>
      <c r="AU155" s="181"/>
      <c r="AV155" s="181"/>
      <c r="AW155" s="181"/>
      <c r="AX155" s="181"/>
    </row>
    <row r="156">
      <c r="A156" s="173"/>
      <c r="B156" s="174"/>
      <c r="C156" s="71"/>
      <c r="D156" s="71"/>
      <c r="E156" s="71"/>
      <c r="F156" s="71"/>
      <c r="G156" s="174"/>
      <c r="H156" s="71"/>
      <c r="I156" s="71"/>
      <c r="J156" s="71"/>
      <c r="K156" s="71"/>
      <c r="L156" s="71"/>
      <c r="M156" s="71"/>
      <c r="N156" s="71"/>
      <c r="O156" s="174"/>
      <c r="P156" s="174"/>
      <c r="Q156" s="174"/>
      <c r="R156" s="71"/>
      <c r="S156" s="71"/>
      <c r="T156" s="71"/>
      <c r="U156" s="71"/>
      <c r="V156" s="71"/>
      <c r="W156" s="71"/>
      <c r="X156" s="71"/>
      <c r="Y156" s="77"/>
      <c r="Z156" s="77"/>
      <c r="AA156" s="77"/>
      <c r="AB156" s="77"/>
      <c r="AC156" s="77"/>
      <c r="AD156" s="77"/>
      <c r="AE156" s="77"/>
      <c r="AF156" s="77"/>
      <c r="AG156" s="77"/>
      <c r="AH156" s="77"/>
      <c r="AI156" s="77"/>
      <c r="AJ156" s="77"/>
      <c r="AK156" s="77"/>
      <c r="AL156" s="77"/>
      <c r="AM156" s="77"/>
      <c r="AN156" s="77"/>
      <c r="AO156" s="77"/>
      <c r="AP156" s="77"/>
      <c r="AQ156" s="77"/>
      <c r="AR156" s="77"/>
      <c r="AS156" s="77"/>
      <c r="AT156" s="77"/>
      <c r="AU156" s="77"/>
      <c r="AV156" s="77"/>
      <c r="AW156" s="77"/>
      <c r="AX156" s="77"/>
    </row>
    <row r="157">
      <c r="A157" s="173"/>
      <c r="B157" s="174"/>
      <c r="C157" s="174"/>
      <c r="D157" s="71"/>
      <c r="E157" s="71"/>
      <c r="F157" s="71"/>
      <c r="G157" s="174"/>
      <c r="H157" s="173"/>
      <c r="I157" s="173"/>
      <c r="J157" s="174"/>
      <c r="K157" s="71"/>
      <c r="L157" s="174"/>
      <c r="M157" s="174"/>
      <c r="N157" s="174"/>
      <c r="O157" s="174"/>
      <c r="P157" s="174"/>
      <c r="Q157" s="174"/>
      <c r="R157" s="174"/>
      <c r="S157" s="71"/>
      <c r="T157" s="71"/>
      <c r="U157" s="176"/>
      <c r="V157" s="174"/>
      <c r="W157" s="174"/>
      <c r="X157" s="174"/>
      <c r="Y157" s="71"/>
      <c r="Z157" s="71"/>
      <c r="AA157" s="77"/>
      <c r="AB157" s="77"/>
      <c r="AC157" s="77"/>
      <c r="AD157" s="77"/>
      <c r="AE157" s="77"/>
      <c r="AF157" s="77"/>
      <c r="AG157" s="77"/>
      <c r="AH157" s="77"/>
      <c r="AI157" s="77"/>
      <c r="AJ157" s="77"/>
      <c r="AK157" s="77"/>
      <c r="AL157" s="77"/>
      <c r="AM157" s="77"/>
      <c r="AN157" s="77"/>
      <c r="AO157" s="77"/>
      <c r="AP157" s="77"/>
      <c r="AQ157" s="77"/>
      <c r="AR157" s="77"/>
      <c r="AS157" s="77"/>
      <c r="AT157" s="77"/>
      <c r="AU157" s="77"/>
      <c r="AV157" s="77"/>
      <c r="AW157" s="77"/>
      <c r="AX157" s="77"/>
    </row>
    <row r="158">
      <c r="A158" s="113"/>
      <c r="B158" s="71"/>
      <c r="C158" s="113"/>
      <c r="D158" s="113"/>
      <c r="E158" s="113"/>
      <c r="F158" s="113"/>
      <c r="G158" s="113"/>
      <c r="H158" s="113"/>
      <c r="I158" s="113"/>
      <c r="J158" s="113"/>
      <c r="K158" s="71"/>
      <c r="L158" s="174"/>
      <c r="M158" s="174"/>
      <c r="N158" s="113"/>
      <c r="O158" s="113"/>
      <c r="P158" s="113"/>
      <c r="Q158" s="113"/>
      <c r="R158" s="174"/>
      <c r="S158" s="114"/>
      <c r="T158" s="113"/>
      <c r="U158" s="176"/>
      <c r="V158" s="174"/>
      <c r="W158" s="71"/>
      <c r="X158" s="113"/>
      <c r="Y158" s="113"/>
      <c r="Z158" s="113"/>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15"/>
      <c r="AW158" s="115"/>
      <c r="AX158" s="115"/>
    </row>
    <row r="159">
      <c r="A159" s="171"/>
      <c r="B159" s="185"/>
      <c r="C159" s="174"/>
      <c r="D159" s="71"/>
      <c r="E159" s="71"/>
      <c r="F159" s="71"/>
      <c r="G159" s="185"/>
      <c r="H159" s="71"/>
      <c r="I159" s="71"/>
      <c r="J159" s="71"/>
      <c r="K159" s="71"/>
      <c r="L159" s="71"/>
      <c r="M159" s="71"/>
      <c r="N159" s="71"/>
      <c r="O159" s="174"/>
      <c r="P159" s="174"/>
      <c r="Q159" s="174"/>
      <c r="R159" s="174"/>
      <c r="S159" s="71"/>
      <c r="T159" s="71"/>
      <c r="U159" s="71"/>
      <c r="V159" s="71"/>
      <c r="W159" s="71"/>
      <c r="X159" s="71"/>
      <c r="Y159" s="71"/>
      <c r="Z159" s="71"/>
      <c r="AA159" s="77"/>
      <c r="AB159" s="77"/>
      <c r="AC159" s="77"/>
      <c r="AD159" s="77"/>
      <c r="AE159" s="77"/>
      <c r="AF159" s="77"/>
      <c r="AG159" s="77"/>
      <c r="AH159" s="77"/>
      <c r="AI159" s="77"/>
      <c r="AJ159" s="77"/>
      <c r="AK159" s="77"/>
      <c r="AL159" s="77"/>
      <c r="AM159" s="77"/>
      <c r="AN159" s="77"/>
      <c r="AO159" s="77"/>
      <c r="AP159" s="77"/>
      <c r="AQ159" s="77"/>
      <c r="AR159" s="77"/>
      <c r="AS159" s="77"/>
      <c r="AT159" s="77"/>
      <c r="AU159" s="77"/>
      <c r="AV159" s="77"/>
      <c r="AW159" s="77"/>
      <c r="AX159" s="77"/>
    </row>
    <row r="160">
      <c r="A160" s="177"/>
      <c r="B160" s="177"/>
      <c r="C160" s="121"/>
      <c r="D160" s="121"/>
      <c r="E160" s="121"/>
      <c r="F160" s="121"/>
      <c r="G160" s="177"/>
      <c r="H160" s="121"/>
      <c r="I160" s="121"/>
      <c r="J160" s="121"/>
      <c r="K160" s="121"/>
      <c r="L160" s="121"/>
      <c r="M160" s="121"/>
      <c r="N160" s="121"/>
      <c r="O160" s="121"/>
      <c r="P160" s="121"/>
      <c r="Q160" s="121"/>
      <c r="R160" s="121"/>
      <c r="S160" s="121"/>
      <c r="T160" s="121"/>
      <c r="U160" s="121"/>
      <c r="V160" s="121"/>
      <c r="W160" s="121"/>
      <c r="X160" s="121"/>
      <c r="Y160" s="121"/>
      <c r="Z160" s="121"/>
      <c r="AA160" s="123"/>
      <c r="AB160" s="123"/>
      <c r="AC160" s="123"/>
      <c r="AD160" s="123"/>
      <c r="AE160" s="123"/>
      <c r="AF160" s="123"/>
      <c r="AG160" s="123"/>
      <c r="AH160" s="123"/>
      <c r="AI160" s="123"/>
      <c r="AJ160" s="123"/>
      <c r="AK160" s="123"/>
      <c r="AL160" s="123"/>
      <c r="AM160" s="123"/>
      <c r="AN160" s="123"/>
      <c r="AO160" s="123"/>
      <c r="AP160" s="123"/>
      <c r="AQ160" s="123"/>
      <c r="AR160" s="123"/>
      <c r="AS160" s="123"/>
      <c r="AT160" s="123"/>
      <c r="AU160" s="123"/>
      <c r="AV160" s="123"/>
      <c r="AW160" s="123"/>
      <c r="AX160" s="123"/>
    </row>
    <row r="161">
      <c r="A161" s="177"/>
      <c r="B161" s="177"/>
      <c r="C161" s="121"/>
      <c r="D161" s="121"/>
      <c r="E161" s="121"/>
      <c r="F161" s="121"/>
      <c r="G161" s="177"/>
      <c r="H161" s="121"/>
      <c r="I161" s="121"/>
      <c r="J161" s="121"/>
      <c r="K161" s="121"/>
      <c r="L161" s="121"/>
      <c r="M161" s="121"/>
      <c r="N161" s="121"/>
      <c r="O161" s="121"/>
      <c r="P161" s="121"/>
      <c r="Q161" s="121"/>
      <c r="R161" s="121"/>
      <c r="S161" s="121"/>
      <c r="T161" s="121"/>
      <c r="U161" s="121"/>
      <c r="V161" s="121"/>
      <c r="W161" s="121"/>
      <c r="X161" s="121"/>
      <c r="Y161" s="121"/>
      <c r="Z161" s="121"/>
      <c r="AA161" s="123"/>
      <c r="AB161" s="123"/>
      <c r="AC161" s="123"/>
      <c r="AD161" s="123"/>
      <c r="AE161" s="123"/>
      <c r="AF161" s="123"/>
      <c r="AG161" s="123"/>
      <c r="AH161" s="123"/>
      <c r="AI161" s="123"/>
      <c r="AJ161" s="123"/>
      <c r="AK161" s="123"/>
      <c r="AL161" s="123"/>
      <c r="AM161" s="123"/>
      <c r="AN161" s="123"/>
      <c r="AO161" s="123"/>
      <c r="AP161" s="123"/>
      <c r="AQ161" s="123"/>
      <c r="AR161" s="123"/>
      <c r="AS161" s="123"/>
      <c r="AT161" s="123"/>
      <c r="AU161" s="123"/>
      <c r="AV161" s="123"/>
      <c r="AW161" s="123"/>
      <c r="AX161" s="123"/>
    </row>
    <row r="162">
      <c r="A162" s="177"/>
      <c r="B162" s="177"/>
      <c r="C162" s="121"/>
      <c r="D162" s="121"/>
      <c r="E162" s="121"/>
      <c r="F162" s="121"/>
      <c r="G162" s="177"/>
      <c r="H162" s="121"/>
      <c r="I162" s="121"/>
      <c r="J162" s="121"/>
      <c r="K162" s="121"/>
      <c r="L162" s="121"/>
      <c r="M162" s="121"/>
      <c r="N162" s="121"/>
      <c r="O162" s="121"/>
      <c r="P162" s="121"/>
      <c r="Q162" s="121"/>
      <c r="R162" s="121"/>
      <c r="S162" s="121"/>
      <c r="T162" s="121"/>
      <c r="U162" s="121"/>
      <c r="V162" s="121"/>
      <c r="W162" s="121"/>
      <c r="X162" s="121"/>
      <c r="Y162" s="121"/>
      <c r="Z162" s="121"/>
      <c r="AA162" s="123"/>
      <c r="AB162" s="123"/>
      <c r="AC162" s="123"/>
      <c r="AD162" s="123"/>
      <c r="AE162" s="123"/>
      <c r="AF162" s="123"/>
      <c r="AG162" s="123"/>
      <c r="AH162" s="123"/>
      <c r="AI162" s="123"/>
      <c r="AJ162" s="123"/>
      <c r="AK162" s="123"/>
      <c r="AL162" s="123"/>
      <c r="AM162" s="123"/>
      <c r="AN162" s="123"/>
      <c r="AO162" s="123"/>
      <c r="AP162" s="123"/>
      <c r="AQ162" s="123"/>
      <c r="AR162" s="123"/>
      <c r="AS162" s="123"/>
      <c r="AT162" s="123"/>
      <c r="AU162" s="123"/>
      <c r="AV162" s="123"/>
      <c r="AW162" s="123"/>
      <c r="AX162" s="123"/>
    </row>
    <row r="163">
      <c r="A163" s="177"/>
      <c r="B163" s="177"/>
      <c r="C163" s="121"/>
      <c r="D163" s="121"/>
      <c r="E163" s="121"/>
      <c r="F163" s="121"/>
      <c r="G163" s="177"/>
      <c r="H163" s="121"/>
      <c r="I163" s="121"/>
      <c r="J163" s="121"/>
      <c r="K163" s="121"/>
      <c r="L163" s="121"/>
      <c r="M163" s="121"/>
      <c r="N163" s="121"/>
      <c r="O163" s="121"/>
      <c r="P163" s="121"/>
      <c r="Q163" s="121"/>
      <c r="R163" s="121"/>
      <c r="S163" s="121"/>
      <c r="T163" s="121"/>
      <c r="U163" s="121"/>
      <c r="V163" s="121"/>
      <c r="W163" s="121"/>
      <c r="X163" s="121"/>
      <c r="Y163" s="121"/>
      <c r="Z163" s="121"/>
      <c r="AA163" s="123"/>
      <c r="AB163" s="123"/>
      <c r="AC163" s="123"/>
      <c r="AD163" s="123"/>
      <c r="AE163" s="123"/>
      <c r="AF163" s="123"/>
      <c r="AG163" s="123"/>
      <c r="AH163" s="123"/>
      <c r="AI163" s="123"/>
      <c r="AJ163" s="123"/>
      <c r="AK163" s="123"/>
      <c r="AL163" s="123"/>
      <c r="AM163" s="123"/>
      <c r="AN163" s="123"/>
      <c r="AO163" s="123"/>
      <c r="AP163" s="123"/>
      <c r="AQ163" s="123"/>
      <c r="AR163" s="123"/>
      <c r="AS163" s="123"/>
      <c r="AT163" s="123"/>
      <c r="AU163" s="123"/>
      <c r="AV163" s="123"/>
      <c r="AW163" s="123"/>
      <c r="AX163" s="123"/>
    </row>
    <row r="164">
      <c r="A164" s="177"/>
      <c r="B164" s="177"/>
      <c r="C164" s="121"/>
      <c r="D164" s="121"/>
      <c r="E164" s="121"/>
      <c r="F164" s="121"/>
      <c r="G164" s="177"/>
      <c r="H164" s="121"/>
      <c r="I164" s="121"/>
      <c r="J164" s="121"/>
      <c r="K164" s="121"/>
      <c r="L164" s="121"/>
      <c r="M164" s="121"/>
      <c r="N164" s="121"/>
      <c r="O164" s="121"/>
      <c r="P164" s="121"/>
      <c r="Q164" s="121"/>
      <c r="R164" s="121"/>
      <c r="S164" s="121"/>
      <c r="T164" s="121"/>
      <c r="U164" s="121"/>
      <c r="V164" s="121"/>
      <c r="W164" s="121"/>
      <c r="X164" s="121"/>
      <c r="Y164" s="121"/>
      <c r="Z164" s="121"/>
      <c r="AA164" s="123"/>
      <c r="AB164" s="123"/>
      <c r="AC164" s="123"/>
      <c r="AD164" s="123"/>
      <c r="AE164" s="123"/>
      <c r="AF164" s="123"/>
      <c r="AG164" s="123"/>
      <c r="AH164" s="123"/>
      <c r="AI164" s="123"/>
      <c r="AJ164" s="123"/>
      <c r="AK164" s="123"/>
      <c r="AL164" s="123"/>
      <c r="AM164" s="123"/>
      <c r="AN164" s="123"/>
      <c r="AO164" s="123"/>
      <c r="AP164" s="123"/>
      <c r="AQ164" s="123"/>
      <c r="AR164" s="123"/>
      <c r="AS164" s="123"/>
      <c r="AT164" s="123"/>
      <c r="AU164" s="123"/>
      <c r="AV164" s="123"/>
      <c r="AW164" s="123"/>
      <c r="AX164" s="123"/>
    </row>
    <row r="165">
      <c r="A165" s="177"/>
      <c r="B165" s="177"/>
      <c r="C165" s="121"/>
      <c r="D165" s="121"/>
      <c r="E165" s="121"/>
      <c r="F165" s="121"/>
      <c r="G165" s="177"/>
      <c r="H165" s="121"/>
      <c r="I165" s="121"/>
      <c r="J165" s="121"/>
      <c r="K165" s="121"/>
      <c r="L165" s="121"/>
      <c r="M165" s="121"/>
      <c r="N165" s="121"/>
      <c r="O165" s="121"/>
      <c r="P165" s="121"/>
      <c r="Q165" s="121"/>
      <c r="R165" s="121"/>
      <c r="S165" s="121"/>
      <c r="T165" s="121"/>
      <c r="U165" s="121"/>
      <c r="V165" s="121"/>
      <c r="W165" s="121"/>
      <c r="X165" s="121"/>
      <c r="Y165" s="121"/>
      <c r="Z165" s="121"/>
      <c r="AA165" s="123"/>
      <c r="AB165" s="123"/>
      <c r="AC165" s="123"/>
      <c r="AD165" s="123"/>
      <c r="AE165" s="123"/>
      <c r="AF165" s="123"/>
      <c r="AG165" s="123"/>
      <c r="AH165" s="123"/>
      <c r="AI165" s="123"/>
      <c r="AJ165" s="123"/>
      <c r="AK165" s="123"/>
      <c r="AL165" s="123"/>
      <c r="AM165" s="123"/>
      <c r="AN165" s="123"/>
      <c r="AO165" s="123"/>
      <c r="AP165" s="123"/>
      <c r="AQ165" s="123"/>
      <c r="AR165" s="123"/>
      <c r="AS165" s="123"/>
      <c r="AT165" s="123"/>
      <c r="AU165" s="123"/>
      <c r="AV165" s="123"/>
      <c r="AW165" s="123"/>
      <c r="AX165" s="123"/>
    </row>
    <row r="166">
      <c r="A166" s="177"/>
      <c r="B166" s="177"/>
      <c r="C166" s="121"/>
      <c r="D166" s="121"/>
      <c r="E166" s="121"/>
      <c r="F166" s="121"/>
      <c r="G166" s="177"/>
      <c r="H166" s="121"/>
      <c r="I166" s="121"/>
      <c r="J166" s="121"/>
      <c r="K166" s="121"/>
      <c r="L166" s="121"/>
      <c r="M166" s="121"/>
      <c r="N166" s="121"/>
      <c r="O166" s="121"/>
      <c r="P166" s="121"/>
      <c r="Q166" s="121"/>
      <c r="R166" s="121"/>
      <c r="S166" s="121"/>
      <c r="T166" s="121"/>
      <c r="U166" s="121"/>
      <c r="V166" s="121"/>
      <c r="W166" s="121"/>
      <c r="X166" s="121"/>
      <c r="Y166" s="121"/>
      <c r="Z166" s="121"/>
      <c r="AA166" s="123"/>
      <c r="AB166" s="123"/>
      <c r="AC166" s="123"/>
      <c r="AD166" s="123"/>
      <c r="AE166" s="123"/>
      <c r="AF166" s="123"/>
      <c r="AG166" s="123"/>
      <c r="AH166" s="123"/>
      <c r="AI166" s="123"/>
      <c r="AJ166" s="123"/>
      <c r="AK166" s="123"/>
      <c r="AL166" s="123"/>
      <c r="AM166" s="123"/>
      <c r="AN166" s="123"/>
      <c r="AO166" s="123"/>
      <c r="AP166" s="123"/>
      <c r="AQ166" s="123"/>
      <c r="AR166" s="123"/>
      <c r="AS166" s="123"/>
      <c r="AT166" s="123"/>
      <c r="AU166" s="123"/>
      <c r="AV166" s="123"/>
      <c r="AW166" s="123"/>
      <c r="AX166" s="123"/>
    </row>
    <row r="167">
      <c r="A167" s="177"/>
      <c r="B167" s="177"/>
      <c r="C167" s="121"/>
      <c r="D167" s="121"/>
      <c r="E167" s="121"/>
      <c r="F167" s="121"/>
      <c r="G167" s="177"/>
      <c r="H167" s="121"/>
      <c r="I167" s="121"/>
      <c r="J167" s="121"/>
      <c r="K167" s="121"/>
      <c r="L167" s="121"/>
      <c r="M167" s="121"/>
      <c r="N167" s="121"/>
      <c r="O167" s="121"/>
      <c r="P167" s="121"/>
      <c r="Q167" s="121"/>
      <c r="R167" s="121"/>
      <c r="S167" s="121"/>
      <c r="T167" s="121"/>
      <c r="U167" s="121"/>
      <c r="V167" s="121"/>
      <c r="W167" s="121"/>
      <c r="X167" s="121"/>
      <c r="Y167" s="121"/>
      <c r="Z167" s="121"/>
      <c r="AA167" s="123"/>
      <c r="AB167" s="123"/>
      <c r="AC167" s="123"/>
      <c r="AD167" s="123"/>
      <c r="AE167" s="123"/>
      <c r="AF167" s="123"/>
      <c r="AG167" s="123"/>
      <c r="AH167" s="123"/>
      <c r="AI167" s="123"/>
      <c r="AJ167" s="123"/>
      <c r="AK167" s="123"/>
      <c r="AL167" s="123"/>
      <c r="AM167" s="123"/>
      <c r="AN167" s="123"/>
      <c r="AO167" s="123"/>
      <c r="AP167" s="123"/>
      <c r="AQ167" s="123"/>
      <c r="AR167" s="123"/>
      <c r="AS167" s="123"/>
      <c r="AT167" s="123"/>
      <c r="AU167" s="123"/>
      <c r="AV167" s="123"/>
      <c r="AW167" s="123"/>
      <c r="AX167" s="123"/>
    </row>
    <row r="168">
      <c r="A168" s="177"/>
      <c r="B168" s="177"/>
      <c r="C168" s="121"/>
      <c r="D168" s="121"/>
      <c r="E168" s="121"/>
      <c r="F168" s="121"/>
      <c r="G168" s="177"/>
      <c r="H168" s="121"/>
      <c r="I168" s="121"/>
      <c r="J168" s="121"/>
      <c r="K168" s="121"/>
      <c r="L168" s="121"/>
      <c r="M168" s="121"/>
      <c r="N168" s="121"/>
      <c r="O168" s="121"/>
      <c r="P168" s="121"/>
      <c r="Q168" s="121"/>
      <c r="R168" s="121"/>
      <c r="S168" s="121"/>
      <c r="T168" s="121"/>
      <c r="U168" s="121"/>
      <c r="V168" s="121"/>
      <c r="W168" s="121"/>
      <c r="X168" s="121"/>
      <c r="Y168" s="121"/>
      <c r="Z168" s="121"/>
      <c r="AA168" s="123"/>
      <c r="AB168" s="123"/>
      <c r="AC168" s="123"/>
      <c r="AD168" s="123"/>
      <c r="AE168" s="123"/>
      <c r="AF168" s="123"/>
      <c r="AG168" s="123"/>
      <c r="AH168" s="123"/>
      <c r="AI168" s="123"/>
      <c r="AJ168" s="123"/>
      <c r="AK168" s="123"/>
      <c r="AL168" s="123"/>
      <c r="AM168" s="123"/>
      <c r="AN168" s="123"/>
      <c r="AO168" s="123"/>
      <c r="AP168" s="123"/>
      <c r="AQ168" s="123"/>
      <c r="AR168" s="123"/>
      <c r="AS168" s="123"/>
      <c r="AT168" s="123"/>
      <c r="AU168" s="123"/>
      <c r="AV168" s="123"/>
      <c r="AW168" s="123"/>
      <c r="AX168" s="123"/>
    </row>
    <row r="169">
      <c r="A169" s="177"/>
      <c r="B169" s="177"/>
      <c r="C169" s="121"/>
      <c r="D169" s="121"/>
      <c r="E169" s="121"/>
      <c r="F169" s="121"/>
      <c r="G169" s="177"/>
      <c r="H169" s="121"/>
      <c r="I169" s="121"/>
      <c r="J169" s="121"/>
      <c r="K169" s="121"/>
      <c r="L169" s="121"/>
      <c r="M169" s="121"/>
      <c r="N169" s="121"/>
      <c r="O169" s="121"/>
      <c r="P169" s="121"/>
      <c r="Q169" s="121"/>
      <c r="R169" s="121"/>
      <c r="S169" s="121"/>
      <c r="T169" s="121"/>
      <c r="U169" s="121"/>
      <c r="V169" s="121"/>
      <c r="W169" s="121"/>
      <c r="X169" s="121"/>
      <c r="Y169" s="121"/>
      <c r="Z169" s="121"/>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c r="AV169" s="123"/>
      <c r="AW169" s="123"/>
      <c r="AX169" s="123"/>
    </row>
    <row r="170">
      <c r="A170" s="177"/>
      <c r="B170" s="177"/>
      <c r="C170" s="121"/>
      <c r="D170" s="121"/>
      <c r="E170" s="121"/>
      <c r="F170" s="121"/>
      <c r="G170" s="177"/>
      <c r="H170" s="121"/>
      <c r="I170" s="121"/>
      <c r="J170" s="121"/>
      <c r="K170" s="121"/>
      <c r="L170" s="121"/>
      <c r="M170" s="121"/>
      <c r="N170" s="121"/>
      <c r="O170" s="121"/>
      <c r="P170" s="121"/>
      <c r="Q170" s="121"/>
      <c r="R170" s="121"/>
      <c r="S170" s="121"/>
      <c r="T170" s="121"/>
      <c r="U170" s="121"/>
      <c r="V170" s="121"/>
      <c r="W170" s="121"/>
      <c r="X170" s="121"/>
      <c r="Y170" s="121"/>
      <c r="Z170" s="121"/>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c r="AV170" s="123"/>
      <c r="AW170" s="123"/>
      <c r="AX170" s="123"/>
    </row>
    <row r="171">
      <c r="A171" s="177"/>
      <c r="B171" s="177"/>
      <c r="C171" s="121"/>
      <c r="D171" s="121"/>
      <c r="E171" s="121"/>
      <c r="F171" s="121"/>
      <c r="G171" s="177"/>
      <c r="H171" s="121"/>
      <c r="I171" s="121"/>
      <c r="J171" s="121"/>
      <c r="K171" s="121"/>
      <c r="L171" s="121"/>
      <c r="M171" s="121"/>
      <c r="N171" s="121"/>
      <c r="O171" s="121"/>
      <c r="P171" s="121"/>
      <c r="Q171" s="121"/>
      <c r="R171" s="121"/>
      <c r="S171" s="121"/>
      <c r="T171" s="121"/>
      <c r="U171" s="121"/>
      <c r="V171" s="121"/>
      <c r="W171" s="121"/>
      <c r="X171" s="121"/>
      <c r="Y171" s="121"/>
      <c r="Z171" s="121"/>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c r="AV171" s="123"/>
      <c r="AW171" s="123"/>
      <c r="AX171" s="123"/>
    </row>
    <row r="172">
      <c r="A172" s="177"/>
      <c r="B172" s="177"/>
      <c r="C172" s="121"/>
      <c r="D172" s="121"/>
      <c r="E172" s="121"/>
      <c r="F172" s="121"/>
      <c r="G172" s="177"/>
      <c r="H172" s="121"/>
      <c r="I172" s="121"/>
      <c r="J172" s="121"/>
      <c r="K172" s="121"/>
      <c r="L172" s="121"/>
      <c r="M172" s="121"/>
      <c r="N172" s="121"/>
      <c r="O172" s="121"/>
      <c r="P172" s="121"/>
      <c r="Q172" s="121"/>
      <c r="R172" s="121"/>
      <c r="S172" s="121"/>
      <c r="T172" s="121"/>
      <c r="U172" s="121"/>
      <c r="V172" s="121"/>
      <c r="W172" s="121"/>
      <c r="X172" s="121"/>
      <c r="Y172" s="121"/>
      <c r="Z172" s="121"/>
      <c r="AA172" s="123"/>
      <c r="AB172" s="123"/>
      <c r="AC172" s="123"/>
      <c r="AD172" s="123"/>
      <c r="AE172" s="123"/>
      <c r="AF172" s="123"/>
      <c r="AG172" s="123"/>
      <c r="AH172" s="123"/>
      <c r="AI172" s="123"/>
      <c r="AJ172" s="123"/>
      <c r="AK172" s="123"/>
      <c r="AL172" s="123"/>
      <c r="AM172" s="123"/>
      <c r="AN172" s="123"/>
      <c r="AO172" s="123"/>
      <c r="AP172" s="123"/>
      <c r="AQ172" s="123"/>
      <c r="AR172" s="123"/>
      <c r="AS172" s="123"/>
      <c r="AT172" s="123"/>
      <c r="AU172" s="123"/>
      <c r="AV172" s="123"/>
      <c r="AW172" s="123"/>
      <c r="AX172" s="123"/>
    </row>
    <row r="173">
      <c r="A173" s="177"/>
      <c r="B173" s="177"/>
      <c r="C173" s="121"/>
      <c r="D173" s="121"/>
      <c r="E173" s="121"/>
      <c r="F173" s="121"/>
      <c r="G173" s="177"/>
      <c r="H173" s="121"/>
      <c r="I173" s="121"/>
      <c r="J173" s="121"/>
      <c r="K173" s="121"/>
      <c r="L173" s="121"/>
      <c r="M173" s="121"/>
      <c r="N173" s="121"/>
      <c r="O173" s="121"/>
      <c r="P173" s="121"/>
      <c r="Q173" s="121"/>
      <c r="R173" s="121"/>
      <c r="S173" s="121"/>
      <c r="T173" s="121"/>
      <c r="U173" s="121"/>
      <c r="V173" s="121"/>
      <c r="W173" s="121"/>
      <c r="X173" s="121"/>
      <c r="Y173" s="121"/>
      <c r="Z173" s="121"/>
      <c r="AA173" s="123"/>
      <c r="AB173" s="123"/>
      <c r="AC173" s="123"/>
      <c r="AD173" s="123"/>
      <c r="AE173" s="123"/>
      <c r="AF173" s="123"/>
      <c r="AG173" s="123"/>
      <c r="AH173" s="123"/>
      <c r="AI173" s="123"/>
      <c r="AJ173" s="123"/>
      <c r="AK173" s="123"/>
      <c r="AL173" s="123"/>
      <c r="AM173" s="123"/>
      <c r="AN173" s="123"/>
      <c r="AO173" s="123"/>
      <c r="AP173" s="123"/>
      <c r="AQ173" s="123"/>
      <c r="AR173" s="123"/>
      <c r="AS173" s="123"/>
      <c r="AT173" s="123"/>
      <c r="AU173" s="123"/>
      <c r="AV173" s="123"/>
      <c r="AW173" s="123"/>
      <c r="AX173" s="123"/>
    </row>
    <row r="174">
      <c r="A174" s="173"/>
      <c r="B174" s="174"/>
      <c r="C174" s="175"/>
      <c r="D174" s="175"/>
      <c r="E174" s="71"/>
      <c r="F174" s="174"/>
      <c r="G174" s="174"/>
      <c r="H174" s="173"/>
      <c r="I174" s="173"/>
      <c r="J174" s="174"/>
      <c r="K174" s="71"/>
      <c r="L174" s="174"/>
      <c r="M174" s="174"/>
      <c r="N174" s="174"/>
      <c r="O174" s="174"/>
      <c r="P174" s="174"/>
      <c r="Q174" s="174"/>
      <c r="R174" s="174"/>
      <c r="S174" s="174"/>
      <c r="T174" s="174"/>
      <c r="U174" s="176"/>
      <c r="V174" s="175"/>
      <c r="W174" s="174"/>
      <c r="X174" s="174"/>
      <c r="Y174" s="136"/>
      <c r="Z174" s="71"/>
      <c r="AA174" s="77"/>
      <c r="AB174" s="77"/>
      <c r="AC174" s="77"/>
      <c r="AD174" s="77"/>
      <c r="AE174" s="77"/>
      <c r="AF174" s="77"/>
      <c r="AG174" s="77"/>
      <c r="AH174" s="77"/>
      <c r="AI174" s="77"/>
      <c r="AJ174" s="77"/>
      <c r="AK174" s="77"/>
      <c r="AL174" s="77"/>
      <c r="AM174" s="77"/>
      <c r="AN174" s="77"/>
      <c r="AO174" s="77"/>
      <c r="AP174" s="77"/>
      <c r="AQ174" s="77"/>
      <c r="AR174" s="77"/>
      <c r="AS174" s="77"/>
      <c r="AT174" s="77"/>
      <c r="AU174" s="77"/>
      <c r="AV174" s="77"/>
      <c r="AW174" s="77"/>
      <c r="AX174" s="77"/>
    </row>
    <row r="175">
      <c r="A175" s="173"/>
      <c r="B175" s="174"/>
      <c r="C175" s="175"/>
      <c r="D175" s="175"/>
      <c r="E175" s="174"/>
      <c r="F175" s="174"/>
      <c r="G175" s="174"/>
      <c r="H175" s="173"/>
      <c r="I175" s="173"/>
      <c r="J175" s="174"/>
      <c r="K175" s="71"/>
      <c r="L175" s="174"/>
      <c r="M175" s="174"/>
      <c r="N175" s="174"/>
      <c r="O175" s="174"/>
      <c r="P175" s="174"/>
      <c r="Q175" s="174"/>
      <c r="R175" s="174"/>
      <c r="S175" s="71"/>
      <c r="T175" s="71"/>
      <c r="U175" s="176"/>
      <c r="V175" s="71"/>
      <c r="W175" s="174"/>
      <c r="X175" s="174"/>
      <c r="Y175" s="181"/>
      <c r="Z175" s="181"/>
      <c r="AA175" s="181"/>
      <c r="AB175" s="181"/>
      <c r="AC175" s="181"/>
      <c r="AD175" s="181"/>
      <c r="AE175" s="181"/>
      <c r="AF175" s="181"/>
      <c r="AG175" s="181"/>
      <c r="AH175" s="181"/>
      <c r="AI175" s="181"/>
      <c r="AJ175" s="181"/>
      <c r="AK175" s="181"/>
      <c r="AL175" s="181"/>
      <c r="AM175" s="181"/>
      <c r="AN175" s="181"/>
      <c r="AO175" s="181"/>
      <c r="AP175" s="181"/>
      <c r="AQ175" s="181"/>
      <c r="AR175" s="181"/>
      <c r="AS175" s="181"/>
      <c r="AT175" s="181"/>
      <c r="AU175" s="181"/>
      <c r="AV175" s="181"/>
      <c r="AW175" s="181"/>
      <c r="AX175" s="181"/>
    </row>
    <row r="176">
      <c r="A176" s="171"/>
      <c r="B176" s="113"/>
      <c r="C176" s="113"/>
      <c r="D176" s="136"/>
      <c r="E176" s="71"/>
      <c r="F176" s="71"/>
      <c r="G176" s="185"/>
      <c r="H176" s="173"/>
      <c r="I176" s="173"/>
      <c r="J176" s="174"/>
      <c r="K176" s="71"/>
      <c r="L176" s="174"/>
      <c r="M176" s="174"/>
      <c r="N176" s="174"/>
      <c r="O176" s="174"/>
      <c r="P176" s="174"/>
      <c r="Q176" s="174"/>
      <c r="R176" s="113"/>
      <c r="S176" s="71"/>
      <c r="T176" s="71"/>
      <c r="U176" s="71"/>
      <c r="V176" s="71"/>
      <c r="W176" s="71"/>
      <c r="X176" s="71"/>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87"/>
      <c r="AX176" s="87"/>
    </row>
    <row r="177">
      <c r="A177" s="177"/>
      <c r="B177" s="177"/>
      <c r="C177" s="121"/>
      <c r="D177" s="121"/>
      <c r="E177" s="121"/>
      <c r="F177" s="121"/>
      <c r="G177" s="177"/>
      <c r="H177" s="121"/>
      <c r="I177" s="121"/>
      <c r="J177" s="121"/>
      <c r="K177" s="121"/>
      <c r="L177" s="121"/>
      <c r="M177" s="121"/>
      <c r="N177" s="121"/>
      <c r="O177" s="121"/>
      <c r="P177" s="121"/>
      <c r="Q177" s="121"/>
      <c r="R177" s="121"/>
      <c r="S177" s="121"/>
      <c r="T177" s="121"/>
      <c r="U177" s="121"/>
      <c r="V177" s="121"/>
      <c r="W177" s="121"/>
      <c r="X177" s="121"/>
      <c r="Y177" s="123"/>
      <c r="Z177" s="123"/>
      <c r="AA177" s="123"/>
      <c r="AB177" s="123"/>
      <c r="AC177" s="123"/>
      <c r="AD177" s="123"/>
      <c r="AE177" s="123"/>
      <c r="AF177" s="123"/>
      <c r="AG177" s="123"/>
      <c r="AH177" s="123"/>
      <c r="AI177" s="123"/>
      <c r="AJ177" s="123"/>
      <c r="AK177" s="123"/>
      <c r="AL177" s="123"/>
      <c r="AM177" s="123"/>
      <c r="AN177" s="123"/>
      <c r="AO177" s="123"/>
      <c r="AP177" s="123"/>
      <c r="AQ177" s="123"/>
      <c r="AR177" s="123"/>
      <c r="AS177" s="123"/>
      <c r="AT177" s="123"/>
      <c r="AU177" s="123"/>
      <c r="AV177" s="123"/>
      <c r="AW177" s="123"/>
      <c r="AX177" s="123"/>
    </row>
    <row r="178">
      <c r="A178" s="177"/>
      <c r="B178" s="177"/>
      <c r="C178" s="121"/>
      <c r="D178" s="121"/>
      <c r="E178" s="121"/>
      <c r="F178" s="121"/>
      <c r="G178" s="177"/>
      <c r="H178" s="121"/>
      <c r="I178" s="121"/>
      <c r="J178" s="121"/>
      <c r="K178" s="121"/>
      <c r="L178" s="121"/>
      <c r="M178" s="121"/>
      <c r="N178" s="121"/>
      <c r="O178" s="121"/>
      <c r="P178" s="121"/>
      <c r="Q178" s="121"/>
      <c r="R178" s="121"/>
      <c r="S178" s="121"/>
      <c r="T178" s="121"/>
      <c r="U178" s="121"/>
      <c r="V178" s="121"/>
      <c r="W178" s="121"/>
      <c r="X178" s="121"/>
      <c r="Y178" s="123"/>
      <c r="Z178" s="123"/>
      <c r="AA178" s="123"/>
      <c r="AB178" s="123"/>
      <c r="AC178" s="123"/>
      <c r="AD178" s="123"/>
      <c r="AE178" s="123"/>
      <c r="AF178" s="123"/>
      <c r="AG178" s="123"/>
      <c r="AH178" s="123"/>
      <c r="AI178" s="123"/>
      <c r="AJ178" s="123"/>
      <c r="AK178" s="123"/>
      <c r="AL178" s="123"/>
      <c r="AM178" s="123"/>
      <c r="AN178" s="123"/>
      <c r="AO178" s="123"/>
      <c r="AP178" s="123"/>
      <c r="AQ178" s="123"/>
      <c r="AR178" s="123"/>
      <c r="AS178" s="123"/>
      <c r="AT178" s="123"/>
      <c r="AU178" s="123"/>
      <c r="AV178" s="123"/>
      <c r="AW178" s="123"/>
      <c r="AX178" s="123"/>
    </row>
    <row r="179">
      <c r="A179" s="177"/>
      <c r="B179" s="177"/>
      <c r="C179" s="121"/>
      <c r="D179" s="121"/>
      <c r="E179" s="121"/>
      <c r="F179" s="121"/>
      <c r="G179" s="177"/>
      <c r="H179" s="121"/>
      <c r="I179" s="121"/>
      <c r="J179" s="121"/>
      <c r="K179" s="121"/>
      <c r="L179" s="121"/>
      <c r="M179" s="121"/>
      <c r="N179" s="121"/>
      <c r="O179" s="121"/>
      <c r="P179" s="121"/>
      <c r="Q179" s="121"/>
      <c r="R179" s="121"/>
      <c r="S179" s="121"/>
      <c r="T179" s="121"/>
      <c r="U179" s="121"/>
      <c r="V179" s="121"/>
      <c r="W179" s="121"/>
      <c r="X179" s="121"/>
      <c r="Y179" s="123"/>
      <c r="Z179" s="123"/>
      <c r="AA179" s="123"/>
      <c r="AB179" s="123"/>
      <c r="AC179" s="123"/>
      <c r="AD179" s="123"/>
      <c r="AE179" s="123"/>
      <c r="AF179" s="123"/>
      <c r="AG179" s="123"/>
      <c r="AH179" s="123"/>
      <c r="AI179" s="123"/>
      <c r="AJ179" s="123"/>
      <c r="AK179" s="123"/>
      <c r="AL179" s="123"/>
      <c r="AM179" s="123"/>
      <c r="AN179" s="123"/>
      <c r="AO179" s="123"/>
      <c r="AP179" s="123"/>
      <c r="AQ179" s="123"/>
      <c r="AR179" s="123"/>
      <c r="AS179" s="123"/>
      <c r="AT179" s="123"/>
      <c r="AU179" s="123"/>
      <c r="AV179" s="123"/>
      <c r="AW179" s="123"/>
      <c r="AX179" s="123"/>
    </row>
    <row r="180">
      <c r="A180" s="177"/>
      <c r="B180" s="177"/>
      <c r="C180" s="121"/>
      <c r="D180" s="121"/>
      <c r="E180" s="121"/>
      <c r="F180" s="121"/>
      <c r="G180" s="177"/>
      <c r="H180" s="121"/>
      <c r="I180" s="121"/>
      <c r="J180" s="121"/>
      <c r="K180" s="121"/>
      <c r="L180" s="121"/>
      <c r="M180" s="121"/>
      <c r="N180" s="121"/>
      <c r="O180" s="121"/>
      <c r="P180" s="121"/>
      <c r="Q180" s="121"/>
      <c r="R180" s="121"/>
      <c r="S180" s="121"/>
      <c r="T180" s="121"/>
      <c r="U180" s="121"/>
      <c r="V180" s="121"/>
      <c r="W180" s="121"/>
      <c r="X180" s="121"/>
      <c r="Y180" s="123"/>
      <c r="Z180" s="123"/>
      <c r="AA180" s="123"/>
      <c r="AB180" s="123"/>
      <c r="AC180" s="123"/>
      <c r="AD180" s="123"/>
      <c r="AE180" s="123"/>
      <c r="AF180" s="123"/>
      <c r="AG180" s="123"/>
      <c r="AH180" s="123"/>
      <c r="AI180" s="123"/>
      <c r="AJ180" s="123"/>
      <c r="AK180" s="123"/>
      <c r="AL180" s="123"/>
      <c r="AM180" s="123"/>
      <c r="AN180" s="123"/>
      <c r="AO180" s="123"/>
      <c r="AP180" s="123"/>
      <c r="AQ180" s="123"/>
      <c r="AR180" s="123"/>
      <c r="AS180" s="123"/>
      <c r="AT180" s="123"/>
      <c r="AU180" s="123"/>
      <c r="AV180" s="123"/>
      <c r="AW180" s="123"/>
      <c r="AX180" s="123"/>
    </row>
    <row r="181">
      <c r="A181" s="177"/>
      <c r="B181" s="177"/>
      <c r="C181" s="121"/>
      <c r="D181" s="121"/>
      <c r="E181" s="121"/>
      <c r="F181" s="121"/>
      <c r="G181" s="177"/>
      <c r="H181" s="121"/>
      <c r="I181" s="121"/>
      <c r="J181" s="121"/>
      <c r="K181" s="121"/>
      <c r="L181" s="121"/>
      <c r="M181" s="121"/>
      <c r="N181" s="121"/>
      <c r="O181" s="121"/>
      <c r="P181" s="121"/>
      <c r="Q181" s="121"/>
      <c r="R181" s="121"/>
      <c r="S181" s="121"/>
      <c r="T181" s="121"/>
      <c r="U181" s="121"/>
      <c r="V181" s="121"/>
      <c r="W181" s="121"/>
      <c r="X181" s="121"/>
      <c r="Y181" s="123"/>
      <c r="Z181" s="123"/>
      <c r="AA181" s="123"/>
      <c r="AB181" s="123"/>
      <c r="AC181" s="123"/>
      <c r="AD181" s="123"/>
      <c r="AE181" s="123"/>
      <c r="AF181" s="123"/>
      <c r="AG181" s="123"/>
      <c r="AH181" s="123"/>
      <c r="AI181" s="123"/>
      <c r="AJ181" s="123"/>
      <c r="AK181" s="123"/>
      <c r="AL181" s="123"/>
      <c r="AM181" s="123"/>
      <c r="AN181" s="123"/>
      <c r="AO181" s="123"/>
      <c r="AP181" s="123"/>
      <c r="AQ181" s="123"/>
      <c r="AR181" s="123"/>
      <c r="AS181" s="123"/>
      <c r="AT181" s="123"/>
      <c r="AU181" s="123"/>
      <c r="AV181" s="123"/>
      <c r="AW181" s="123"/>
      <c r="AX181" s="123"/>
    </row>
    <row r="182">
      <c r="A182" s="177"/>
      <c r="B182" s="177"/>
      <c r="C182" s="121"/>
      <c r="D182" s="121"/>
      <c r="E182" s="121"/>
      <c r="F182" s="121"/>
      <c r="G182" s="177"/>
      <c r="H182" s="121"/>
      <c r="I182" s="121"/>
      <c r="J182" s="121"/>
      <c r="K182" s="121"/>
      <c r="L182" s="121"/>
      <c r="M182" s="121"/>
      <c r="N182" s="121"/>
      <c r="O182" s="121"/>
      <c r="P182" s="121"/>
      <c r="Q182" s="121"/>
      <c r="R182" s="121"/>
      <c r="S182" s="121"/>
      <c r="T182" s="121"/>
      <c r="U182" s="121"/>
      <c r="V182" s="121"/>
      <c r="W182" s="121"/>
      <c r="X182" s="121"/>
      <c r="Y182" s="123"/>
      <c r="Z182" s="123"/>
      <c r="AA182" s="123"/>
      <c r="AB182" s="123"/>
      <c r="AC182" s="123"/>
      <c r="AD182" s="123"/>
      <c r="AE182" s="123"/>
      <c r="AF182" s="123"/>
      <c r="AG182" s="123"/>
      <c r="AH182" s="123"/>
      <c r="AI182" s="123"/>
      <c r="AJ182" s="123"/>
      <c r="AK182" s="123"/>
      <c r="AL182" s="123"/>
      <c r="AM182" s="123"/>
      <c r="AN182" s="123"/>
      <c r="AO182" s="123"/>
      <c r="AP182" s="123"/>
      <c r="AQ182" s="123"/>
      <c r="AR182" s="123"/>
      <c r="AS182" s="123"/>
      <c r="AT182" s="123"/>
      <c r="AU182" s="123"/>
      <c r="AV182" s="123"/>
      <c r="AW182" s="123"/>
      <c r="AX182" s="123"/>
    </row>
    <row r="183">
      <c r="A183" s="177"/>
      <c r="B183" s="177"/>
      <c r="C183" s="121"/>
      <c r="D183" s="121"/>
      <c r="E183" s="121"/>
      <c r="F183" s="121"/>
      <c r="G183" s="177"/>
      <c r="H183" s="121"/>
      <c r="I183" s="121"/>
      <c r="J183" s="121"/>
      <c r="K183" s="121"/>
      <c r="L183" s="121"/>
      <c r="M183" s="121"/>
      <c r="N183" s="121"/>
      <c r="O183" s="121"/>
      <c r="P183" s="121"/>
      <c r="Q183" s="121"/>
      <c r="R183" s="121"/>
      <c r="S183" s="121"/>
      <c r="T183" s="121"/>
      <c r="U183" s="121"/>
      <c r="V183" s="121"/>
      <c r="W183" s="121"/>
      <c r="X183" s="121"/>
      <c r="Y183" s="123"/>
      <c r="Z183" s="123"/>
      <c r="AA183" s="123"/>
      <c r="AB183" s="123"/>
      <c r="AC183" s="123"/>
      <c r="AD183" s="123"/>
      <c r="AE183" s="123"/>
      <c r="AF183" s="123"/>
      <c r="AG183" s="123"/>
      <c r="AH183" s="123"/>
      <c r="AI183" s="123"/>
      <c r="AJ183" s="123"/>
      <c r="AK183" s="123"/>
      <c r="AL183" s="123"/>
      <c r="AM183" s="123"/>
      <c r="AN183" s="123"/>
      <c r="AO183" s="123"/>
      <c r="AP183" s="123"/>
      <c r="AQ183" s="123"/>
      <c r="AR183" s="123"/>
      <c r="AS183" s="123"/>
      <c r="AT183" s="123"/>
      <c r="AU183" s="123"/>
      <c r="AV183" s="123"/>
      <c r="AW183" s="123"/>
      <c r="AX183" s="123"/>
    </row>
    <row r="184">
      <c r="A184" s="177"/>
      <c r="B184" s="177"/>
      <c r="C184" s="121"/>
      <c r="D184" s="121"/>
      <c r="E184" s="121"/>
      <c r="F184" s="121"/>
      <c r="G184" s="177"/>
      <c r="H184" s="121"/>
      <c r="I184" s="121"/>
      <c r="J184" s="121"/>
      <c r="K184" s="121"/>
      <c r="L184" s="121"/>
      <c r="M184" s="121"/>
      <c r="N184" s="121"/>
      <c r="O184" s="121"/>
      <c r="P184" s="121"/>
      <c r="Q184" s="121"/>
      <c r="R184" s="121"/>
      <c r="S184" s="121"/>
      <c r="T184" s="121"/>
      <c r="U184" s="121"/>
      <c r="V184" s="121"/>
      <c r="W184" s="121"/>
      <c r="X184" s="121"/>
      <c r="Y184" s="123"/>
      <c r="Z184" s="123"/>
      <c r="AA184" s="123"/>
      <c r="AB184" s="123"/>
      <c r="AC184" s="123"/>
      <c r="AD184" s="123"/>
      <c r="AE184" s="123"/>
      <c r="AF184" s="123"/>
      <c r="AG184" s="123"/>
      <c r="AH184" s="123"/>
      <c r="AI184" s="123"/>
      <c r="AJ184" s="123"/>
      <c r="AK184" s="123"/>
      <c r="AL184" s="123"/>
      <c r="AM184" s="123"/>
      <c r="AN184" s="123"/>
      <c r="AO184" s="123"/>
      <c r="AP184" s="123"/>
      <c r="AQ184" s="123"/>
      <c r="AR184" s="123"/>
      <c r="AS184" s="123"/>
      <c r="AT184" s="123"/>
      <c r="AU184" s="123"/>
      <c r="AV184" s="123"/>
      <c r="AW184" s="123"/>
      <c r="AX184" s="123"/>
    </row>
    <row r="185">
      <c r="A185" s="177"/>
      <c r="B185" s="177"/>
      <c r="C185" s="121"/>
      <c r="D185" s="121"/>
      <c r="E185" s="121"/>
      <c r="F185" s="121"/>
      <c r="G185" s="177"/>
      <c r="H185" s="121"/>
      <c r="I185" s="121"/>
      <c r="J185" s="121"/>
      <c r="K185" s="121"/>
      <c r="L185" s="121"/>
      <c r="M185" s="121"/>
      <c r="N185" s="121"/>
      <c r="O185" s="121"/>
      <c r="P185" s="121"/>
      <c r="Q185" s="121"/>
      <c r="R185" s="121"/>
      <c r="S185" s="121"/>
      <c r="T185" s="121"/>
      <c r="U185" s="121"/>
      <c r="V185" s="121"/>
      <c r="W185" s="121"/>
      <c r="X185" s="121"/>
      <c r="Y185" s="123"/>
      <c r="Z185" s="123"/>
      <c r="AA185" s="123"/>
      <c r="AB185" s="123"/>
      <c r="AC185" s="123"/>
      <c r="AD185" s="123"/>
      <c r="AE185" s="123"/>
      <c r="AF185" s="123"/>
      <c r="AG185" s="123"/>
      <c r="AH185" s="123"/>
      <c r="AI185" s="123"/>
      <c r="AJ185" s="123"/>
      <c r="AK185" s="123"/>
      <c r="AL185" s="123"/>
      <c r="AM185" s="123"/>
      <c r="AN185" s="123"/>
      <c r="AO185" s="123"/>
      <c r="AP185" s="123"/>
      <c r="AQ185" s="123"/>
      <c r="AR185" s="123"/>
      <c r="AS185" s="123"/>
      <c r="AT185" s="123"/>
      <c r="AU185" s="123"/>
      <c r="AV185" s="123"/>
      <c r="AW185" s="123"/>
      <c r="AX185" s="123"/>
    </row>
    <row r="186">
      <c r="A186" s="177"/>
      <c r="B186" s="177"/>
      <c r="C186" s="121"/>
      <c r="D186" s="121"/>
      <c r="E186" s="121"/>
      <c r="F186" s="121"/>
      <c r="G186" s="177"/>
      <c r="H186" s="121"/>
      <c r="I186" s="121"/>
      <c r="J186" s="121"/>
      <c r="K186" s="121"/>
      <c r="L186" s="121"/>
      <c r="M186" s="121"/>
      <c r="N186" s="121"/>
      <c r="O186" s="121"/>
      <c r="P186" s="121"/>
      <c r="Q186" s="121"/>
      <c r="R186" s="121"/>
      <c r="S186" s="121"/>
      <c r="T186" s="121"/>
      <c r="U186" s="121"/>
      <c r="V186" s="121"/>
      <c r="W186" s="121"/>
      <c r="X186" s="121"/>
      <c r="Y186" s="123"/>
      <c r="Z186" s="123"/>
      <c r="AA186" s="123"/>
      <c r="AB186" s="123"/>
      <c r="AC186" s="123"/>
      <c r="AD186" s="123"/>
      <c r="AE186" s="123"/>
      <c r="AF186" s="123"/>
      <c r="AG186" s="123"/>
      <c r="AH186" s="123"/>
      <c r="AI186" s="123"/>
      <c r="AJ186" s="123"/>
      <c r="AK186" s="123"/>
      <c r="AL186" s="123"/>
      <c r="AM186" s="123"/>
      <c r="AN186" s="123"/>
      <c r="AO186" s="123"/>
      <c r="AP186" s="123"/>
      <c r="AQ186" s="123"/>
      <c r="AR186" s="123"/>
      <c r="AS186" s="123"/>
      <c r="AT186" s="123"/>
      <c r="AU186" s="123"/>
      <c r="AV186" s="123"/>
      <c r="AW186" s="123"/>
      <c r="AX186" s="123"/>
    </row>
    <row r="187">
      <c r="A187" s="177"/>
      <c r="B187" s="177"/>
      <c r="C187" s="121"/>
      <c r="D187" s="121"/>
      <c r="E187" s="121"/>
      <c r="F187" s="121"/>
      <c r="G187" s="177"/>
      <c r="H187" s="121"/>
      <c r="I187" s="121"/>
      <c r="J187" s="121"/>
      <c r="K187" s="121"/>
      <c r="L187" s="121"/>
      <c r="M187" s="121"/>
      <c r="N187" s="121"/>
      <c r="O187" s="121"/>
      <c r="P187" s="121"/>
      <c r="Q187" s="121"/>
      <c r="R187" s="121"/>
      <c r="S187" s="121"/>
      <c r="T187" s="121"/>
      <c r="U187" s="121"/>
      <c r="V187" s="121"/>
      <c r="W187" s="121"/>
      <c r="X187" s="121"/>
      <c r="Y187" s="123"/>
      <c r="Z187" s="123"/>
      <c r="AA187" s="123"/>
      <c r="AB187" s="123"/>
      <c r="AC187" s="123"/>
      <c r="AD187" s="123"/>
      <c r="AE187" s="123"/>
      <c r="AF187" s="123"/>
      <c r="AG187" s="123"/>
      <c r="AH187" s="123"/>
      <c r="AI187" s="123"/>
      <c r="AJ187" s="123"/>
      <c r="AK187" s="123"/>
      <c r="AL187" s="123"/>
      <c r="AM187" s="123"/>
      <c r="AN187" s="123"/>
      <c r="AO187" s="123"/>
      <c r="AP187" s="123"/>
      <c r="AQ187" s="123"/>
      <c r="AR187" s="123"/>
      <c r="AS187" s="123"/>
      <c r="AT187" s="123"/>
      <c r="AU187" s="123"/>
      <c r="AV187" s="123"/>
      <c r="AW187" s="123"/>
      <c r="AX187" s="123"/>
    </row>
    <row r="188">
      <c r="A188" s="177"/>
      <c r="B188" s="177"/>
      <c r="C188" s="121"/>
      <c r="D188" s="121"/>
      <c r="E188" s="121"/>
      <c r="F188" s="121"/>
      <c r="G188" s="177"/>
      <c r="H188" s="121"/>
      <c r="I188" s="121"/>
      <c r="J188" s="121"/>
      <c r="K188" s="121"/>
      <c r="L188" s="121"/>
      <c r="M188" s="121"/>
      <c r="N188" s="121"/>
      <c r="O188" s="121"/>
      <c r="P188" s="121"/>
      <c r="Q188" s="121"/>
      <c r="R188" s="121"/>
      <c r="S188" s="121"/>
      <c r="T188" s="121"/>
      <c r="U188" s="121"/>
      <c r="V188" s="121"/>
      <c r="W188" s="121"/>
      <c r="X188" s="121"/>
      <c r="Y188" s="123"/>
      <c r="Z188" s="123"/>
      <c r="AA188" s="123"/>
      <c r="AB188" s="123"/>
      <c r="AC188" s="123"/>
      <c r="AD188" s="123"/>
      <c r="AE188" s="123"/>
      <c r="AF188" s="123"/>
      <c r="AG188" s="123"/>
      <c r="AH188" s="123"/>
      <c r="AI188" s="123"/>
      <c r="AJ188" s="123"/>
      <c r="AK188" s="123"/>
      <c r="AL188" s="123"/>
      <c r="AM188" s="123"/>
      <c r="AN188" s="123"/>
      <c r="AO188" s="123"/>
      <c r="AP188" s="123"/>
      <c r="AQ188" s="123"/>
      <c r="AR188" s="123"/>
      <c r="AS188" s="123"/>
      <c r="AT188" s="123"/>
      <c r="AU188" s="123"/>
      <c r="AV188" s="123"/>
      <c r="AW188" s="123"/>
      <c r="AX188" s="123"/>
    </row>
    <row r="189">
      <c r="A189" s="177"/>
      <c r="B189" s="177"/>
      <c r="C189" s="121"/>
      <c r="D189" s="121"/>
      <c r="E189" s="121"/>
      <c r="F189" s="121"/>
      <c r="G189" s="177"/>
      <c r="H189" s="121"/>
      <c r="I189" s="121"/>
      <c r="J189" s="121"/>
      <c r="K189" s="121"/>
      <c r="L189" s="121"/>
      <c r="M189" s="121"/>
      <c r="N189" s="121"/>
      <c r="O189" s="121"/>
      <c r="P189" s="121"/>
      <c r="Q189" s="121"/>
      <c r="R189" s="121"/>
      <c r="S189" s="121"/>
      <c r="T189" s="121"/>
      <c r="U189" s="121"/>
      <c r="V189" s="121"/>
      <c r="W189" s="121"/>
      <c r="X189" s="121"/>
      <c r="Y189" s="123"/>
      <c r="Z189" s="123"/>
      <c r="AA189" s="123"/>
      <c r="AB189" s="123"/>
      <c r="AC189" s="123"/>
      <c r="AD189" s="123"/>
      <c r="AE189" s="123"/>
      <c r="AF189" s="123"/>
      <c r="AG189" s="123"/>
      <c r="AH189" s="123"/>
      <c r="AI189" s="123"/>
      <c r="AJ189" s="123"/>
      <c r="AK189" s="123"/>
      <c r="AL189" s="123"/>
      <c r="AM189" s="123"/>
      <c r="AN189" s="123"/>
      <c r="AO189" s="123"/>
      <c r="AP189" s="123"/>
      <c r="AQ189" s="123"/>
      <c r="AR189" s="123"/>
      <c r="AS189" s="123"/>
      <c r="AT189" s="123"/>
      <c r="AU189" s="123"/>
      <c r="AV189" s="123"/>
      <c r="AW189" s="123"/>
      <c r="AX189" s="123"/>
    </row>
    <row r="190">
      <c r="A190" s="177"/>
      <c r="B190" s="177"/>
      <c r="C190" s="121"/>
      <c r="D190" s="121"/>
      <c r="E190" s="121"/>
      <c r="F190" s="121"/>
      <c r="G190" s="177"/>
      <c r="H190" s="121"/>
      <c r="I190" s="121"/>
      <c r="J190" s="121"/>
      <c r="K190" s="121"/>
      <c r="L190" s="121"/>
      <c r="M190" s="121"/>
      <c r="N190" s="121"/>
      <c r="O190" s="121"/>
      <c r="P190" s="121"/>
      <c r="Q190" s="121"/>
      <c r="R190" s="121"/>
      <c r="S190" s="121"/>
      <c r="T190" s="121"/>
      <c r="U190" s="121"/>
      <c r="V190" s="121"/>
      <c r="W190" s="121"/>
      <c r="X190" s="121"/>
      <c r="Y190" s="123"/>
      <c r="Z190" s="123"/>
      <c r="AA190" s="123"/>
      <c r="AB190" s="123"/>
      <c r="AC190" s="123"/>
      <c r="AD190" s="123"/>
      <c r="AE190" s="123"/>
      <c r="AF190" s="123"/>
      <c r="AG190" s="123"/>
      <c r="AH190" s="123"/>
      <c r="AI190" s="123"/>
      <c r="AJ190" s="123"/>
      <c r="AK190" s="123"/>
      <c r="AL190" s="123"/>
      <c r="AM190" s="123"/>
      <c r="AN190" s="123"/>
      <c r="AO190" s="123"/>
      <c r="AP190" s="123"/>
      <c r="AQ190" s="123"/>
      <c r="AR190" s="123"/>
      <c r="AS190" s="123"/>
      <c r="AT190" s="123"/>
      <c r="AU190" s="123"/>
      <c r="AV190" s="123"/>
      <c r="AW190" s="123"/>
      <c r="AX190" s="123"/>
    </row>
    <row r="191">
      <c r="A191" s="177"/>
      <c r="B191" s="177"/>
      <c r="C191" s="121"/>
      <c r="D191" s="121"/>
      <c r="E191" s="121"/>
      <c r="F191" s="121"/>
      <c r="G191" s="177"/>
      <c r="H191" s="121"/>
      <c r="I191" s="121"/>
      <c r="J191" s="121"/>
      <c r="K191" s="121"/>
      <c r="L191" s="121"/>
      <c r="M191" s="121"/>
      <c r="N191" s="121"/>
      <c r="O191" s="121"/>
      <c r="P191" s="121"/>
      <c r="Q191" s="121"/>
      <c r="R191" s="121"/>
      <c r="S191" s="121"/>
      <c r="T191" s="121"/>
      <c r="U191" s="121"/>
      <c r="V191" s="121"/>
      <c r="W191" s="121"/>
      <c r="X191" s="121"/>
      <c r="Y191" s="123"/>
      <c r="Z191" s="123"/>
      <c r="AA191" s="123"/>
      <c r="AB191" s="123"/>
      <c r="AC191" s="123"/>
      <c r="AD191" s="123"/>
      <c r="AE191" s="123"/>
      <c r="AF191" s="123"/>
      <c r="AG191" s="123"/>
      <c r="AH191" s="123"/>
      <c r="AI191" s="123"/>
      <c r="AJ191" s="123"/>
      <c r="AK191" s="123"/>
      <c r="AL191" s="123"/>
      <c r="AM191" s="123"/>
      <c r="AN191" s="123"/>
      <c r="AO191" s="123"/>
      <c r="AP191" s="123"/>
      <c r="AQ191" s="123"/>
      <c r="AR191" s="123"/>
      <c r="AS191" s="123"/>
      <c r="AT191" s="123"/>
      <c r="AU191" s="123"/>
      <c r="AV191" s="123"/>
      <c r="AW191" s="123"/>
      <c r="AX191" s="123"/>
    </row>
    <row r="192">
      <c r="A192" s="182"/>
      <c r="B192" s="183"/>
      <c r="C192" s="183"/>
      <c r="D192" s="184"/>
      <c r="E192" s="184"/>
      <c r="F192" s="183"/>
      <c r="G192" s="184"/>
      <c r="H192" s="184"/>
      <c r="I192" s="184"/>
      <c r="J192" s="184"/>
      <c r="K192" s="184"/>
      <c r="L192" s="184"/>
      <c r="M192" s="184"/>
      <c r="N192" s="184"/>
      <c r="O192" s="183"/>
      <c r="P192" s="184"/>
      <c r="Q192" s="184"/>
      <c r="R192" s="184"/>
      <c r="S192" s="184"/>
      <c r="T192" s="184"/>
      <c r="U192" s="184"/>
      <c r="V192" s="184"/>
      <c r="W192" s="183"/>
      <c r="X192" s="183"/>
      <c r="Y192" s="181"/>
      <c r="Z192" s="181"/>
      <c r="AA192" s="181"/>
      <c r="AB192" s="181"/>
      <c r="AC192" s="181"/>
      <c r="AD192" s="181"/>
      <c r="AE192" s="181"/>
      <c r="AF192" s="181"/>
      <c r="AG192" s="181"/>
      <c r="AH192" s="181"/>
      <c r="AI192" s="181"/>
      <c r="AJ192" s="181"/>
      <c r="AK192" s="181"/>
      <c r="AL192" s="181"/>
      <c r="AM192" s="181"/>
      <c r="AN192" s="181"/>
      <c r="AO192" s="181"/>
      <c r="AP192" s="181"/>
      <c r="AQ192" s="181"/>
      <c r="AR192" s="181"/>
      <c r="AS192" s="181"/>
      <c r="AT192" s="181"/>
      <c r="AU192" s="181"/>
      <c r="AV192" s="181"/>
      <c r="AW192" s="181"/>
      <c r="AX192" s="181"/>
    </row>
    <row r="193">
      <c r="A193" s="173"/>
      <c r="B193" s="174"/>
      <c r="C193" s="175"/>
      <c r="D193" s="175"/>
      <c r="E193" s="71"/>
      <c r="F193" s="174"/>
      <c r="G193" s="174"/>
      <c r="H193" s="173"/>
      <c r="I193" s="173"/>
      <c r="J193" s="174"/>
      <c r="K193" s="71"/>
      <c r="L193" s="174"/>
      <c r="M193" s="174"/>
      <c r="N193" s="174"/>
      <c r="O193" s="174"/>
      <c r="P193" s="174"/>
      <c r="Q193" s="174"/>
      <c r="R193" s="174"/>
      <c r="S193" s="71"/>
      <c r="T193" s="71"/>
      <c r="U193" s="176"/>
      <c r="V193" s="174"/>
      <c r="W193" s="174"/>
      <c r="X193" s="174"/>
      <c r="Y193" s="175"/>
      <c r="Z193" s="175"/>
      <c r="AA193" s="178"/>
      <c r="AB193" s="178"/>
      <c r="AC193" s="178"/>
      <c r="AD193" s="178"/>
      <c r="AE193" s="178"/>
      <c r="AF193" s="178"/>
      <c r="AG193" s="178"/>
      <c r="AH193" s="178"/>
      <c r="AI193" s="178"/>
      <c r="AJ193" s="178"/>
      <c r="AK193" s="178"/>
      <c r="AL193" s="178"/>
      <c r="AM193" s="178"/>
      <c r="AN193" s="178"/>
      <c r="AO193" s="178"/>
      <c r="AP193" s="178"/>
      <c r="AQ193" s="178"/>
      <c r="AR193" s="178"/>
      <c r="AS193" s="178"/>
      <c r="AT193" s="178"/>
      <c r="AU193" s="178"/>
      <c r="AV193" s="178"/>
      <c r="AW193" s="178"/>
      <c r="AX193" s="178"/>
    </row>
    <row r="194">
      <c r="A194" s="171"/>
      <c r="B194" s="113"/>
      <c r="C194" s="113"/>
      <c r="D194" s="136"/>
      <c r="E194" s="71"/>
      <c r="F194" s="71"/>
      <c r="G194" s="185"/>
      <c r="H194" s="173"/>
      <c r="I194" s="173"/>
      <c r="J194" s="174"/>
      <c r="K194" s="71"/>
      <c r="L194" s="174"/>
      <c r="M194" s="174"/>
      <c r="N194" s="174"/>
      <c r="O194" s="174"/>
      <c r="P194" s="174"/>
      <c r="Q194" s="174"/>
      <c r="R194" s="174"/>
      <c r="S194" s="71"/>
      <c r="T194" s="71"/>
      <c r="U194" s="71"/>
      <c r="V194" s="71"/>
      <c r="W194" s="71"/>
      <c r="X194" s="71"/>
      <c r="Y194" s="136"/>
      <c r="Z194" s="136"/>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87"/>
      <c r="AX194" s="87"/>
    </row>
    <row r="195">
      <c r="A195" s="177"/>
      <c r="B195" s="177"/>
      <c r="C195" s="121"/>
      <c r="D195" s="121"/>
      <c r="E195" s="121"/>
      <c r="F195" s="121"/>
      <c r="G195" s="177"/>
      <c r="H195" s="121"/>
      <c r="I195" s="121"/>
      <c r="J195" s="121"/>
      <c r="K195" s="121"/>
      <c r="L195" s="121"/>
      <c r="M195" s="121"/>
      <c r="N195" s="121"/>
      <c r="O195" s="121"/>
      <c r="P195" s="121"/>
      <c r="Q195" s="121"/>
      <c r="R195" s="121"/>
      <c r="S195" s="121"/>
      <c r="T195" s="121"/>
      <c r="U195" s="121"/>
      <c r="V195" s="121"/>
      <c r="W195" s="121"/>
      <c r="X195" s="121"/>
      <c r="Y195" s="121"/>
      <c r="Z195" s="121"/>
      <c r="AA195" s="123"/>
      <c r="AB195" s="123"/>
      <c r="AC195" s="123"/>
      <c r="AD195" s="123"/>
      <c r="AE195" s="123"/>
      <c r="AF195" s="123"/>
      <c r="AG195" s="123"/>
      <c r="AH195" s="123"/>
      <c r="AI195" s="123"/>
      <c r="AJ195" s="123"/>
      <c r="AK195" s="123"/>
      <c r="AL195" s="123"/>
      <c r="AM195" s="123"/>
      <c r="AN195" s="123"/>
      <c r="AO195" s="123"/>
      <c r="AP195" s="123"/>
      <c r="AQ195" s="123"/>
      <c r="AR195" s="123"/>
      <c r="AS195" s="123"/>
      <c r="AT195" s="123"/>
      <c r="AU195" s="123"/>
      <c r="AV195" s="123"/>
      <c r="AW195" s="123"/>
      <c r="AX195" s="123"/>
    </row>
    <row r="196">
      <c r="A196" s="177"/>
      <c r="B196" s="177"/>
      <c r="C196" s="121"/>
      <c r="D196" s="121"/>
      <c r="E196" s="121"/>
      <c r="F196" s="121"/>
      <c r="G196" s="177"/>
      <c r="H196" s="121"/>
      <c r="I196" s="121"/>
      <c r="J196" s="121"/>
      <c r="K196" s="121"/>
      <c r="L196" s="121"/>
      <c r="M196" s="121"/>
      <c r="N196" s="121"/>
      <c r="O196" s="121"/>
      <c r="P196" s="121"/>
      <c r="Q196" s="121"/>
      <c r="R196" s="121"/>
      <c r="S196" s="121"/>
      <c r="T196" s="121"/>
      <c r="U196" s="121"/>
      <c r="V196" s="121"/>
      <c r="W196" s="121"/>
      <c r="X196" s="121"/>
      <c r="Y196" s="121"/>
      <c r="Z196" s="121"/>
      <c r="AA196" s="123"/>
      <c r="AB196" s="123"/>
      <c r="AC196" s="123"/>
      <c r="AD196" s="123"/>
      <c r="AE196" s="123"/>
      <c r="AF196" s="123"/>
      <c r="AG196" s="123"/>
      <c r="AH196" s="123"/>
      <c r="AI196" s="123"/>
      <c r="AJ196" s="123"/>
      <c r="AK196" s="123"/>
      <c r="AL196" s="123"/>
      <c r="AM196" s="123"/>
      <c r="AN196" s="123"/>
      <c r="AO196" s="123"/>
      <c r="AP196" s="123"/>
      <c r="AQ196" s="123"/>
      <c r="AR196" s="123"/>
      <c r="AS196" s="123"/>
      <c r="AT196" s="123"/>
      <c r="AU196" s="123"/>
      <c r="AV196" s="123"/>
      <c r="AW196" s="123"/>
      <c r="AX196" s="123"/>
    </row>
    <row r="197">
      <c r="A197" s="177"/>
      <c r="B197" s="177"/>
      <c r="C197" s="121"/>
      <c r="D197" s="121"/>
      <c r="E197" s="121"/>
      <c r="F197" s="121"/>
      <c r="G197" s="177"/>
      <c r="H197" s="121"/>
      <c r="I197" s="121"/>
      <c r="J197" s="121"/>
      <c r="K197" s="121"/>
      <c r="L197" s="121"/>
      <c r="M197" s="121"/>
      <c r="N197" s="121"/>
      <c r="O197" s="121"/>
      <c r="P197" s="121"/>
      <c r="Q197" s="121"/>
      <c r="R197" s="121"/>
      <c r="S197" s="121"/>
      <c r="T197" s="121"/>
      <c r="U197" s="121"/>
      <c r="V197" s="121"/>
      <c r="W197" s="121"/>
      <c r="X197" s="121"/>
      <c r="Y197" s="121"/>
      <c r="Z197" s="121"/>
      <c r="AA197" s="123"/>
      <c r="AB197" s="123"/>
      <c r="AC197" s="123"/>
      <c r="AD197" s="123"/>
      <c r="AE197" s="123"/>
      <c r="AF197" s="123"/>
      <c r="AG197" s="123"/>
      <c r="AH197" s="123"/>
      <c r="AI197" s="123"/>
      <c r="AJ197" s="123"/>
      <c r="AK197" s="123"/>
      <c r="AL197" s="123"/>
      <c r="AM197" s="123"/>
      <c r="AN197" s="123"/>
      <c r="AO197" s="123"/>
      <c r="AP197" s="123"/>
      <c r="AQ197" s="123"/>
      <c r="AR197" s="123"/>
      <c r="AS197" s="123"/>
      <c r="AT197" s="123"/>
      <c r="AU197" s="123"/>
      <c r="AV197" s="123"/>
      <c r="AW197" s="123"/>
      <c r="AX197" s="123"/>
    </row>
    <row r="198">
      <c r="A198" s="177"/>
      <c r="B198" s="177"/>
      <c r="C198" s="121"/>
      <c r="D198" s="121"/>
      <c r="E198" s="121"/>
      <c r="F198" s="121"/>
      <c r="G198" s="177"/>
      <c r="H198" s="121"/>
      <c r="I198" s="121"/>
      <c r="J198" s="121"/>
      <c r="K198" s="121"/>
      <c r="L198" s="121"/>
      <c r="M198" s="121"/>
      <c r="N198" s="121"/>
      <c r="O198" s="121"/>
      <c r="P198" s="121"/>
      <c r="Q198" s="121"/>
      <c r="R198" s="121"/>
      <c r="S198" s="121"/>
      <c r="T198" s="121"/>
      <c r="U198" s="121"/>
      <c r="V198" s="121"/>
      <c r="W198" s="121"/>
      <c r="X198" s="121"/>
      <c r="Y198" s="121"/>
      <c r="Z198" s="121"/>
      <c r="AA198" s="123"/>
      <c r="AB198" s="123"/>
      <c r="AC198" s="123"/>
      <c r="AD198" s="123"/>
      <c r="AE198" s="123"/>
      <c r="AF198" s="123"/>
      <c r="AG198" s="123"/>
      <c r="AH198" s="123"/>
      <c r="AI198" s="123"/>
      <c r="AJ198" s="123"/>
      <c r="AK198" s="123"/>
      <c r="AL198" s="123"/>
      <c r="AM198" s="123"/>
      <c r="AN198" s="123"/>
      <c r="AO198" s="123"/>
      <c r="AP198" s="123"/>
      <c r="AQ198" s="123"/>
      <c r="AR198" s="123"/>
      <c r="AS198" s="123"/>
      <c r="AT198" s="123"/>
      <c r="AU198" s="123"/>
      <c r="AV198" s="123"/>
      <c r="AW198" s="123"/>
      <c r="AX198" s="123"/>
    </row>
    <row r="199">
      <c r="A199" s="177"/>
      <c r="B199" s="177"/>
      <c r="C199" s="121"/>
      <c r="D199" s="121"/>
      <c r="E199" s="121"/>
      <c r="F199" s="121"/>
      <c r="G199" s="177"/>
      <c r="H199" s="121"/>
      <c r="I199" s="121"/>
      <c r="J199" s="121"/>
      <c r="K199" s="121"/>
      <c r="L199" s="121"/>
      <c r="M199" s="121"/>
      <c r="N199" s="121"/>
      <c r="O199" s="121"/>
      <c r="P199" s="121"/>
      <c r="Q199" s="121"/>
      <c r="R199" s="121"/>
      <c r="S199" s="121"/>
      <c r="T199" s="121"/>
      <c r="U199" s="121"/>
      <c r="V199" s="121"/>
      <c r="W199" s="121"/>
      <c r="X199" s="121"/>
      <c r="Y199" s="121"/>
      <c r="Z199" s="121"/>
      <c r="AA199" s="123"/>
      <c r="AB199" s="123"/>
      <c r="AC199" s="123"/>
      <c r="AD199" s="123"/>
      <c r="AE199" s="123"/>
      <c r="AF199" s="123"/>
      <c r="AG199" s="123"/>
      <c r="AH199" s="123"/>
      <c r="AI199" s="123"/>
      <c r="AJ199" s="123"/>
      <c r="AK199" s="123"/>
      <c r="AL199" s="123"/>
      <c r="AM199" s="123"/>
      <c r="AN199" s="123"/>
      <c r="AO199" s="123"/>
      <c r="AP199" s="123"/>
      <c r="AQ199" s="123"/>
      <c r="AR199" s="123"/>
      <c r="AS199" s="123"/>
      <c r="AT199" s="123"/>
      <c r="AU199" s="123"/>
      <c r="AV199" s="123"/>
      <c r="AW199" s="123"/>
      <c r="AX199" s="123"/>
    </row>
    <row r="200">
      <c r="A200" s="177"/>
      <c r="B200" s="177"/>
      <c r="C200" s="121"/>
      <c r="D200" s="121"/>
      <c r="E200" s="121"/>
      <c r="F200" s="121"/>
      <c r="G200" s="177"/>
      <c r="H200" s="121"/>
      <c r="I200" s="121"/>
      <c r="J200" s="121"/>
      <c r="K200" s="121"/>
      <c r="L200" s="121"/>
      <c r="M200" s="121"/>
      <c r="N200" s="121"/>
      <c r="O200" s="121"/>
      <c r="P200" s="121"/>
      <c r="Q200" s="121"/>
      <c r="R200" s="121"/>
      <c r="S200" s="121"/>
      <c r="T200" s="121"/>
      <c r="U200" s="121"/>
      <c r="V200" s="121"/>
      <c r="W200" s="121"/>
      <c r="X200" s="121"/>
      <c r="Y200" s="121"/>
      <c r="Z200" s="121"/>
      <c r="AA200" s="123"/>
      <c r="AB200" s="123"/>
      <c r="AC200" s="123"/>
      <c r="AD200" s="123"/>
      <c r="AE200" s="123"/>
      <c r="AF200" s="123"/>
      <c r="AG200" s="123"/>
      <c r="AH200" s="123"/>
      <c r="AI200" s="123"/>
      <c r="AJ200" s="123"/>
      <c r="AK200" s="123"/>
      <c r="AL200" s="123"/>
      <c r="AM200" s="123"/>
      <c r="AN200" s="123"/>
      <c r="AO200" s="123"/>
      <c r="AP200" s="123"/>
      <c r="AQ200" s="123"/>
      <c r="AR200" s="123"/>
      <c r="AS200" s="123"/>
      <c r="AT200" s="123"/>
      <c r="AU200" s="123"/>
      <c r="AV200" s="123"/>
      <c r="AW200" s="123"/>
      <c r="AX200" s="123"/>
    </row>
    <row r="201">
      <c r="A201" s="177"/>
      <c r="B201" s="177"/>
      <c r="C201" s="121"/>
      <c r="D201" s="121"/>
      <c r="E201" s="121"/>
      <c r="F201" s="121"/>
      <c r="G201" s="177"/>
      <c r="H201" s="121"/>
      <c r="I201" s="121"/>
      <c r="J201" s="121"/>
      <c r="K201" s="121"/>
      <c r="L201" s="121"/>
      <c r="M201" s="121"/>
      <c r="N201" s="121"/>
      <c r="O201" s="121"/>
      <c r="P201" s="121"/>
      <c r="Q201" s="121"/>
      <c r="R201" s="121"/>
      <c r="S201" s="121"/>
      <c r="T201" s="121"/>
      <c r="U201" s="121"/>
      <c r="V201" s="121"/>
      <c r="W201" s="121"/>
      <c r="X201" s="121"/>
      <c r="Y201" s="121"/>
      <c r="Z201" s="121"/>
      <c r="AA201" s="123"/>
      <c r="AB201" s="123"/>
      <c r="AC201" s="123"/>
      <c r="AD201" s="123"/>
      <c r="AE201" s="123"/>
      <c r="AF201" s="123"/>
      <c r="AG201" s="123"/>
      <c r="AH201" s="123"/>
      <c r="AI201" s="123"/>
      <c r="AJ201" s="123"/>
      <c r="AK201" s="123"/>
      <c r="AL201" s="123"/>
      <c r="AM201" s="123"/>
      <c r="AN201" s="123"/>
      <c r="AO201" s="123"/>
      <c r="AP201" s="123"/>
      <c r="AQ201" s="123"/>
      <c r="AR201" s="123"/>
      <c r="AS201" s="123"/>
      <c r="AT201" s="123"/>
      <c r="AU201" s="123"/>
      <c r="AV201" s="123"/>
      <c r="AW201" s="123"/>
      <c r="AX201" s="123"/>
    </row>
    <row r="202">
      <c r="A202" s="177"/>
      <c r="B202" s="177"/>
      <c r="C202" s="121"/>
      <c r="D202" s="121"/>
      <c r="E202" s="121"/>
      <c r="F202" s="121"/>
      <c r="G202" s="177"/>
      <c r="H202" s="121"/>
      <c r="I202" s="121"/>
      <c r="J202" s="121"/>
      <c r="K202" s="121"/>
      <c r="L202" s="121"/>
      <c r="M202" s="121"/>
      <c r="N202" s="121"/>
      <c r="O202" s="121"/>
      <c r="P202" s="121"/>
      <c r="Q202" s="121"/>
      <c r="R202" s="121"/>
      <c r="S202" s="121"/>
      <c r="T202" s="121"/>
      <c r="U202" s="121"/>
      <c r="V202" s="121"/>
      <c r="W202" s="121"/>
      <c r="X202" s="121"/>
      <c r="Y202" s="121"/>
      <c r="Z202" s="121"/>
      <c r="AA202" s="123"/>
      <c r="AB202" s="123"/>
      <c r="AC202" s="123"/>
      <c r="AD202" s="123"/>
      <c r="AE202" s="123"/>
      <c r="AF202" s="123"/>
      <c r="AG202" s="123"/>
      <c r="AH202" s="123"/>
      <c r="AI202" s="123"/>
      <c r="AJ202" s="123"/>
      <c r="AK202" s="123"/>
      <c r="AL202" s="123"/>
      <c r="AM202" s="123"/>
      <c r="AN202" s="123"/>
      <c r="AO202" s="123"/>
      <c r="AP202" s="123"/>
      <c r="AQ202" s="123"/>
      <c r="AR202" s="123"/>
      <c r="AS202" s="123"/>
      <c r="AT202" s="123"/>
      <c r="AU202" s="123"/>
      <c r="AV202" s="123"/>
      <c r="AW202" s="123"/>
      <c r="AX202" s="123"/>
    </row>
    <row r="203">
      <c r="A203" s="177"/>
      <c r="B203" s="177"/>
      <c r="C203" s="121"/>
      <c r="D203" s="121"/>
      <c r="E203" s="121"/>
      <c r="F203" s="121"/>
      <c r="G203" s="177"/>
      <c r="H203" s="121"/>
      <c r="I203" s="121"/>
      <c r="J203" s="121"/>
      <c r="K203" s="121"/>
      <c r="L203" s="121"/>
      <c r="M203" s="121"/>
      <c r="N203" s="121"/>
      <c r="O203" s="121"/>
      <c r="P203" s="121"/>
      <c r="Q203" s="121"/>
      <c r="R203" s="121"/>
      <c r="S203" s="121"/>
      <c r="T203" s="121"/>
      <c r="U203" s="121"/>
      <c r="V203" s="121"/>
      <c r="W203" s="121"/>
      <c r="X203" s="121"/>
      <c r="Y203" s="121"/>
      <c r="Z203" s="121"/>
      <c r="AA203" s="123"/>
      <c r="AB203" s="123"/>
      <c r="AC203" s="123"/>
      <c r="AD203" s="123"/>
      <c r="AE203" s="123"/>
      <c r="AF203" s="123"/>
      <c r="AG203" s="123"/>
      <c r="AH203" s="123"/>
      <c r="AI203" s="123"/>
      <c r="AJ203" s="123"/>
      <c r="AK203" s="123"/>
      <c r="AL203" s="123"/>
      <c r="AM203" s="123"/>
      <c r="AN203" s="123"/>
      <c r="AO203" s="123"/>
      <c r="AP203" s="123"/>
      <c r="AQ203" s="123"/>
      <c r="AR203" s="123"/>
      <c r="AS203" s="123"/>
      <c r="AT203" s="123"/>
      <c r="AU203" s="123"/>
      <c r="AV203" s="123"/>
      <c r="AW203" s="123"/>
      <c r="AX203" s="123"/>
    </row>
    <row r="204">
      <c r="A204" s="177"/>
      <c r="B204" s="177"/>
      <c r="C204" s="121"/>
      <c r="D204" s="121"/>
      <c r="E204" s="121"/>
      <c r="F204" s="121"/>
      <c r="G204" s="177"/>
      <c r="H204" s="121"/>
      <c r="I204" s="121"/>
      <c r="J204" s="121"/>
      <c r="K204" s="121"/>
      <c r="L204" s="121"/>
      <c r="M204" s="121"/>
      <c r="N204" s="121"/>
      <c r="O204" s="121"/>
      <c r="P204" s="121"/>
      <c r="Q204" s="121"/>
      <c r="R204" s="121"/>
      <c r="S204" s="121"/>
      <c r="T204" s="121"/>
      <c r="U204" s="121"/>
      <c r="V204" s="121"/>
      <c r="W204" s="121"/>
      <c r="X204" s="121"/>
      <c r="Y204" s="121"/>
      <c r="Z204" s="121"/>
      <c r="AA204" s="123"/>
      <c r="AB204" s="123"/>
      <c r="AC204" s="123"/>
      <c r="AD204" s="123"/>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row>
    <row r="205">
      <c r="A205" s="177"/>
      <c r="B205" s="177"/>
      <c r="C205" s="121"/>
      <c r="D205" s="121"/>
      <c r="E205" s="121"/>
      <c r="F205" s="121"/>
      <c r="G205" s="177"/>
      <c r="H205" s="121"/>
      <c r="I205" s="121"/>
      <c r="J205" s="121"/>
      <c r="K205" s="121"/>
      <c r="L205" s="121"/>
      <c r="M205" s="121"/>
      <c r="N205" s="121"/>
      <c r="O205" s="121"/>
      <c r="P205" s="121"/>
      <c r="Q205" s="121"/>
      <c r="R205" s="121"/>
      <c r="S205" s="121"/>
      <c r="T205" s="121"/>
      <c r="U205" s="121"/>
      <c r="V205" s="121"/>
      <c r="W205" s="121"/>
      <c r="X205" s="121"/>
      <c r="Y205" s="121"/>
      <c r="Z205" s="121"/>
      <c r="AA205" s="123"/>
      <c r="AB205" s="123"/>
      <c r="AC205" s="123"/>
      <c r="AD205" s="123"/>
      <c r="AE205" s="123"/>
      <c r="AF205" s="123"/>
      <c r="AG205" s="123"/>
      <c r="AH205" s="123"/>
      <c r="AI205" s="123"/>
      <c r="AJ205" s="123"/>
      <c r="AK205" s="123"/>
      <c r="AL205" s="123"/>
      <c r="AM205" s="123"/>
      <c r="AN205" s="123"/>
      <c r="AO205" s="123"/>
      <c r="AP205" s="123"/>
      <c r="AQ205" s="123"/>
      <c r="AR205" s="123"/>
      <c r="AS205" s="123"/>
      <c r="AT205" s="123"/>
      <c r="AU205" s="123"/>
      <c r="AV205" s="123"/>
      <c r="AW205" s="123"/>
      <c r="AX205" s="123"/>
    </row>
    <row r="206">
      <c r="A206" s="177"/>
      <c r="B206" s="177"/>
      <c r="C206" s="121"/>
      <c r="D206" s="121"/>
      <c r="E206" s="121"/>
      <c r="F206" s="121"/>
      <c r="G206" s="177"/>
      <c r="H206" s="121"/>
      <c r="I206" s="121"/>
      <c r="J206" s="121"/>
      <c r="K206" s="121"/>
      <c r="L206" s="121"/>
      <c r="M206" s="121"/>
      <c r="N206" s="121"/>
      <c r="O206" s="121"/>
      <c r="P206" s="121"/>
      <c r="Q206" s="121"/>
      <c r="R206" s="121"/>
      <c r="S206" s="121"/>
      <c r="T206" s="121"/>
      <c r="U206" s="121"/>
      <c r="V206" s="121"/>
      <c r="W206" s="121"/>
      <c r="X206" s="121"/>
      <c r="Y206" s="121"/>
      <c r="Z206" s="121"/>
      <c r="AA206" s="123"/>
      <c r="AB206" s="123"/>
      <c r="AC206" s="123"/>
      <c r="AD206" s="123"/>
      <c r="AE206" s="123"/>
      <c r="AF206" s="123"/>
      <c r="AG206" s="123"/>
      <c r="AH206" s="123"/>
      <c r="AI206" s="123"/>
      <c r="AJ206" s="123"/>
      <c r="AK206" s="123"/>
      <c r="AL206" s="123"/>
      <c r="AM206" s="123"/>
      <c r="AN206" s="123"/>
      <c r="AO206" s="123"/>
      <c r="AP206" s="123"/>
      <c r="AQ206" s="123"/>
      <c r="AR206" s="123"/>
      <c r="AS206" s="123"/>
      <c r="AT206" s="123"/>
      <c r="AU206" s="123"/>
      <c r="AV206" s="123"/>
      <c r="AW206" s="123"/>
      <c r="AX206" s="123"/>
    </row>
    <row r="207">
      <c r="A207" s="177"/>
      <c r="B207" s="177"/>
      <c r="C207" s="121"/>
      <c r="D207" s="121"/>
      <c r="E207" s="121"/>
      <c r="F207" s="121"/>
      <c r="G207" s="177"/>
      <c r="H207" s="121"/>
      <c r="I207" s="121"/>
      <c r="J207" s="121"/>
      <c r="K207" s="121"/>
      <c r="L207" s="121"/>
      <c r="M207" s="121"/>
      <c r="N207" s="121"/>
      <c r="O207" s="121"/>
      <c r="P207" s="121"/>
      <c r="Q207" s="121"/>
      <c r="R207" s="121"/>
      <c r="S207" s="121"/>
      <c r="T207" s="121"/>
      <c r="U207" s="121"/>
      <c r="V207" s="121"/>
      <c r="W207" s="121"/>
      <c r="X207" s="121"/>
      <c r="Y207" s="121"/>
      <c r="Z207" s="121"/>
      <c r="AA207" s="123"/>
      <c r="AB207" s="123"/>
      <c r="AC207" s="123"/>
      <c r="AD207" s="123"/>
      <c r="AE207" s="123"/>
      <c r="AF207" s="123"/>
      <c r="AG207" s="123"/>
      <c r="AH207" s="123"/>
      <c r="AI207" s="123"/>
      <c r="AJ207" s="123"/>
      <c r="AK207" s="123"/>
      <c r="AL207" s="123"/>
      <c r="AM207" s="123"/>
      <c r="AN207" s="123"/>
      <c r="AO207" s="123"/>
      <c r="AP207" s="123"/>
      <c r="AQ207" s="123"/>
      <c r="AR207" s="123"/>
      <c r="AS207" s="123"/>
      <c r="AT207" s="123"/>
      <c r="AU207" s="123"/>
      <c r="AV207" s="123"/>
      <c r="AW207" s="123"/>
      <c r="AX207" s="123"/>
    </row>
    <row r="208">
      <c r="A208" s="177"/>
      <c r="B208" s="177"/>
      <c r="C208" s="121"/>
      <c r="D208" s="121"/>
      <c r="E208" s="121"/>
      <c r="F208" s="121"/>
      <c r="G208" s="177"/>
      <c r="H208" s="121"/>
      <c r="I208" s="121"/>
      <c r="J208" s="121"/>
      <c r="K208" s="121"/>
      <c r="L208" s="121"/>
      <c r="M208" s="121"/>
      <c r="N208" s="121"/>
      <c r="O208" s="121"/>
      <c r="P208" s="121"/>
      <c r="Q208" s="121"/>
      <c r="R208" s="121"/>
      <c r="S208" s="121"/>
      <c r="T208" s="121"/>
      <c r="U208" s="121"/>
      <c r="V208" s="121"/>
      <c r="W208" s="121"/>
      <c r="X208" s="121"/>
      <c r="Y208" s="121"/>
      <c r="Z208" s="121"/>
      <c r="AA208" s="123"/>
      <c r="AB208" s="123"/>
      <c r="AC208" s="123"/>
      <c r="AD208" s="123"/>
      <c r="AE208" s="123"/>
      <c r="AF208" s="123"/>
      <c r="AG208" s="123"/>
      <c r="AH208" s="123"/>
      <c r="AI208" s="123"/>
      <c r="AJ208" s="123"/>
      <c r="AK208" s="123"/>
      <c r="AL208" s="123"/>
      <c r="AM208" s="123"/>
      <c r="AN208" s="123"/>
      <c r="AO208" s="123"/>
      <c r="AP208" s="123"/>
      <c r="AQ208" s="123"/>
      <c r="AR208" s="123"/>
      <c r="AS208" s="123"/>
      <c r="AT208" s="123"/>
      <c r="AU208" s="123"/>
      <c r="AV208" s="123"/>
      <c r="AW208" s="123"/>
      <c r="AX208" s="123"/>
    </row>
    <row r="209">
      <c r="A209" s="177"/>
      <c r="B209" s="177"/>
      <c r="C209" s="121"/>
      <c r="D209" s="121"/>
      <c r="E209" s="121"/>
      <c r="F209" s="121"/>
      <c r="G209" s="177"/>
      <c r="H209" s="121"/>
      <c r="I209" s="121"/>
      <c r="J209" s="121"/>
      <c r="K209" s="121"/>
      <c r="L209" s="121"/>
      <c r="M209" s="121"/>
      <c r="N209" s="121"/>
      <c r="O209" s="121"/>
      <c r="P209" s="121"/>
      <c r="Q209" s="121"/>
      <c r="R209" s="121"/>
      <c r="S209" s="121"/>
      <c r="T209" s="121"/>
      <c r="U209" s="121"/>
      <c r="V209" s="121"/>
      <c r="W209" s="121"/>
      <c r="X209" s="121"/>
      <c r="Y209" s="121"/>
      <c r="Z209" s="121"/>
      <c r="AA209" s="123"/>
      <c r="AB209" s="123"/>
      <c r="AC209" s="123"/>
      <c r="AD209" s="123"/>
      <c r="AE209" s="123"/>
      <c r="AF209" s="123"/>
      <c r="AG209" s="123"/>
      <c r="AH209" s="123"/>
      <c r="AI209" s="123"/>
      <c r="AJ209" s="123"/>
      <c r="AK209" s="123"/>
      <c r="AL209" s="123"/>
      <c r="AM209" s="123"/>
      <c r="AN209" s="123"/>
      <c r="AO209" s="123"/>
      <c r="AP209" s="123"/>
      <c r="AQ209" s="123"/>
      <c r="AR209" s="123"/>
      <c r="AS209" s="123"/>
      <c r="AT209" s="123"/>
      <c r="AU209" s="123"/>
      <c r="AV209" s="123"/>
      <c r="AW209" s="123"/>
      <c r="AX209" s="123"/>
    </row>
    <row r="210">
      <c r="A210" s="182"/>
      <c r="B210" s="183"/>
      <c r="C210" s="183"/>
      <c r="D210" s="184"/>
      <c r="E210" s="184"/>
      <c r="F210" s="183"/>
      <c r="G210" s="184"/>
      <c r="H210" s="184"/>
      <c r="I210" s="184"/>
      <c r="J210" s="184"/>
      <c r="K210" s="184"/>
      <c r="L210" s="184"/>
      <c r="M210" s="184"/>
      <c r="N210" s="184"/>
      <c r="O210" s="183"/>
      <c r="P210" s="184"/>
      <c r="Q210" s="184"/>
      <c r="R210" s="184"/>
      <c r="S210" s="184"/>
      <c r="T210" s="184"/>
      <c r="U210" s="184"/>
      <c r="V210" s="184"/>
      <c r="W210" s="183"/>
      <c r="X210" s="183"/>
      <c r="Y210" s="175"/>
      <c r="Z210" s="175"/>
      <c r="AA210" s="178"/>
      <c r="AB210" s="178"/>
      <c r="AC210" s="178"/>
      <c r="AD210" s="178"/>
      <c r="AE210" s="178"/>
      <c r="AF210" s="178"/>
      <c r="AG210" s="178"/>
      <c r="AH210" s="178"/>
      <c r="AI210" s="178"/>
      <c r="AJ210" s="178"/>
      <c r="AK210" s="178"/>
      <c r="AL210" s="178"/>
      <c r="AM210" s="178"/>
      <c r="AN210" s="178"/>
      <c r="AO210" s="178"/>
      <c r="AP210" s="178"/>
      <c r="AQ210" s="178"/>
      <c r="AR210" s="178"/>
      <c r="AS210" s="178"/>
      <c r="AT210" s="178"/>
      <c r="AU210" s="178"/>
      <c r="AV210" s="178"/>
      <c r="AW210" s="178"/>
      <c r="AX210" s="178"/>
    </row>
    <row r="211">
      <c r="A211" s="173"/>
      <c r="B211" s="174"/>
      <c r="C211" s="174"/>
      <c r="D211" s="71"/>
      <c r="E211" s="71"/>
      <c r="F211" s="71"/>
      <c r="G211" s="174"/>
      <c r="H211" s="173"/>
      <c r="I211" s="173"/>
      <c r="J211" s="174"/>
      <c r="K211" s="71"/>
      <c r="L211" s="174"/>
      <c r="M211" s="174"/>
      <c r="N211" s="174"/>
      <c r="O211" s="174"/>
      <c r="P211" s="174"/>
      <c r="Q211" s="174"/>
      <c r="R211" s="174"/>
      <c r="S211" s="71"/>
      <c r="T211" s="174"/>
      <c r="U211" s="176"/>
      <c r="V211" s="174"/>
      <c r="W211" s="174"/>
      <c r="X211" s="174"/>
      <c r="Y211" s="71"/>
      <c r="Z211" s="71"/>
      <c r="AA211" s="77"/>
      <c r="AB211" s="77"/>
      <c r="AC211" s="77"/>
      <c r="AD211" s="77"/>
      <c r="AE211" s="77"/>
      <c r="AF211" s="77"/>
      <c r="AG211" s="77"/>
      <c r="AH211" s="77"/>
      <c r="AI211" s="77"/>
      <c r="AJ211" s="77"/>
      <c r="AK211" s="77"/>
      <c r="AL211" s="77"/>
      <c r="AM211" s="77"/>
      <c r="AN211" s="77"/>
      <c r="AO211" s="77"/>
      <c r="AP211" s="77"/>
      <c r="AQ211" s="77"/>
      <c r="AR211" s="77"/>
      <c r="AS211" s="77"/>
      <c r="AT211" s="77"/>
      <c r="AU211" s="77"/>
      <c r="AV211" s="77"/>
      <c r="AW211" s="77"/>
      <c r="AX211" s="77"/>
    </row>
    <row r="212">
      <c r="A212" s="173"/>
      <c r="B212" s="174"/>
      <c r="C212" s="174"/>
      <c r="D212" s="71"/>
      <c r="E212" s="71"/>
      <c r="F212" s="71"/>
      <c r="G212" s="174"/>
      <c r="H212" s="173"/>
      <c r="I212" s="173"/>
      <c r="J212" s="174"/>
      <c r="K212" s="71"/>
      <c r="L212" s="174"/>
      <c r="M212" s="174"/>
      <c r="N212" s="174"/>
      <c r="O212" s="174"/>
      <c r="P212" s="174"/>
      <c r="Q212" s="174"/>
      <c r="R212" s="174"/>
      <c r="S212" s="71"/>
      <c r="T212" s="174"/>
      <c r="U212" s="176"/>
      <c r="V212" s="174"/>
      <c r="W212" s="174"/>
      <c r="X212" s="174"/>
      <c r="Y212" s="71"/>
      <c r="Z212" s="71"/>
      <c r="AA212" s="77"/>
      <c r="AB212" s="77"/>
      <c r="AC212" s="77"/>
      <c r="AD212" s="77"/>
      <c r="AE212" s="77"/>
      <c r="AF212" s="77"/>
      <c r="AG212" s="77"/>
      <c r="AH212" s="77"/>
      <c r="AI212" s="77"/>
      <c r="AJ212" s="77"/>
      <c r="AK212" s="77"/>
      <c r="AL212" s="77"/>
      <c r="AM212" s="77"/>
      <c r="AN212" s="77"/>
      <c r="AO212" s="77"/>
      <c r="AP212" s="77"/>
      <c r="AQ212" s="77"/>
      <c r="AR212" s="77"/>
      <c r="AS212" s="77"/>
      <c r="AT212" s="77"/>
      <c r="AU212" s="77"/>
      <c r="AV212" s="77"/>
      <c r="AW212" s="77"/>
      <c r="AX212" s="77"/>
    </row>
    <row r="213">
      <c r="A213" s="173"/>
      <c r="B213" s="174"/>
      <c r="C213" s="175"/>
      <c r="D213" s="175"/>
      <c r="E213" s="175"/>
      <c r="F213" s="174"/>
      <c r="G213" s="174"/>
      <c r="H213" s="71"/>
      <c r="I213" s="173"/>
      <c r="J213" s="174"/>
      <c r="K213" s="71"/>
      <c r="L213" s="174"/>
      <c r="M213" s="174"/>
      <c r="N213" s="174"/>
      <c r="O213" s="174"/>
      <c r="P213" s="174"/>
      <c r="Q213" s="174"/>
      <c r="R213" s="174"/>
      <c r="S213" s="174"/>
      <c r="T213" s="174"/>
      <c r="U213" s="176"/>
      <c r="V213" s="174"/>
      <c r="W213" s="174"/>
      <c r="X213" s="174"/>
      <c r="Y213" s="136"/>
      <c r="Z213" s="71"/>
      <c r="AA213" s="77"/>
      <c r="AB213" s="77"/>
      <c r="AC213" s="77"/>
      <c r="AD213" s="77"/>
      <c r="AE213" s="77"/>
      <c r="AF213" s="77"/>
      <c r="AG213" s="77"/>
      <c r="AH213" s="77"/>
      <c r="AI213" s="77"/>
      <c r="AJ213" s="77"/>
      <c r="AK213" s="77"/>
      <c r="AL213" s="77"/>
      <c r="AM213" s="77"/>
      <c r="AN213" s="77"/>
      <c r="AO213" s="77"/>
      <c r="AP213" s="77"/>
      <c r="AQ213" s="77"/>
      <c r="AR213" s="77"/>
      <c r="AS213" s="77"/>
      <c r="AT213" s="77"/>
      <c r="AU213" s="77"/>
      <c r="AV213" s="77"/>
      <c r="AW213" s="77"/>
      <c r="AX213" s="77"/>
    </row>
    <row r="214">
      <c r="A214" s="173"/>
      <c r="B214" s="174"/>
      <c r="C214" s="175"/>
      <c r="D214" s="175"/>
      <c r="E214" s="175"/>
      <c r="F214" s="174"/>
      <c r="G214" s="174"/>
      <c r="H214" s="71"/>
      <c r="I214" s="173"/>
      <c r="J214" s="174"/>
      <c r="K214" s="71"/>
      <c r="L214" s="174"/>
      <c r="M214" s="174"/>
      <c r="N214" s="174"/>
      <c r="O214" s="174"/>
      <c r="P214" s="174"/>
      <c r="Q214" s="174"/>
      <c r="R214" s="174"/>
      <c r="S214" s="71"/>
      <c r="T214" s="71"/>
      <c r="U214" s="176"/>
      <c r="V214" s="175"/>
      <c r="W214" s="174"/>
      <c r="X214" s="174"/>
      <c r="Y214" s="175"/>
      <c r="Z214" s="175"/>
      <c r="AA214" s="178"/>
      <c r="AB214" s="178"/>
      <c r="AC214" s="178"/>
      <c r="AD214" s="178"/>
      <c r="AE214" s="178"/>
      <c r="AF214" s="178"/>
      <c r="AG214" s="178"/>
      <c r="AH214" s="178"/>
      <c r="AI214" s="178"/>
      <c r="AJ214" s="178"/>
      <c r="AK214" s="178"/>
      <c r="AL214" s="178"/>
      <c r="AM214" s="178"/>
      <c r="AN214" s="178"/>
      <c r="AO214" s="178"/>
      <c r="AP214" s="178"/>
      <c r="AQ214" s="178"/>
      <c r="AR214" s="178"/>
      <c r="AS214" s="178"/>
      <c r="AT214" s="178"/>
      <c r="AU214" s="178"/>
      <c r="AV214" s="178"/>
      <c r="AW214" s="178"/>
      <c r="AX214" s="178"/>
    </row>
    <row r="215">
      <c r="A215" s="182"/>
      <c r="B215" s="183"/>
      <c r="C215" s="183"/>
      <c r="D215" s="184"/>
      <c r="E215" s="184"/>
      <c r="F215" s="184"/>
      <c r="G215" s="183"/>
      <c r="H215" s="184"/>
      <c r="I215" s="184"/>
      <c r="J215" s="184"/>
      <c r="K215" s="184"/>
      <c r="L215" s="184"/>
      <c r="M215" s="184"/>
      <c r="N215" s="184"/>
      <c r="O215" s="183"/>
      <c r="P215" s="183"/>
      <c r="Q215" s="184"/>
      <c r="R215" s="184"/>
      <c r="S215" s="184"/>
      <c r="T215" s="184"/>
      <c r="U215" s="184"/>
      <c r="V215" s="184"/>
      <c r="W215" s="183"/>
      <c r="X215" s="183"/>
      <c r="Y215" s="175"/>
      <c r="Z215" s="175"/>
      <c r="AA215" s="178"/>
      <c r="AB215" s="178"/>
      <c r="AC215" s="178"/>
      <c r="AD215" s="178"/>
      <c r="AE215" s="178"/>
      <c r="AF215" s="178"/>
      <c r="AG215" s="178"/>
      <c r="AH215" s="178"/>
      <c r="AI215" s="178"/>
      <c r="AJ215" s="178"/>
      <c r="AK215" s="178"/>
      <c r="AL215" s="178"/>
      <c r="AM215" s="178"/>
      <c r="AN215" s="178"/>
      <c r="AO215" s="178"/>
      <c r="AP215" s="178"/>
      <c r="AQ215" s="178"/>
      <c r="AR215" s="178"/>
      <c r="AS215" s="178"/>
      <c r="AT215" s="178"/>
      <c r="AU215" s="178"/>
      <c r="AV215" s="178"/>
      <c r="AW215" s="178"/>
      <c r="AX215" s="178"/>
    </row>
    <row r="216">
      <c r="A216" s="173"/>
      <c r="B216" s="174"/>
      <c r="C216" s="175"/>
      <c r="D216" s="175"/>
      <c r="E216" s="71"/>
      <c r="F216" s="174"/>
      <c r="G216" s="174"/>
      <c r="H216" s="173"/>
      <c r="I216" s="173"/>
      <c r="J216" s="174"/>
      <c r="K216" s="71"/>
      <c r="L216" s="174"/>
      <c r="M216" s="174"/>
      <c r="N216" s="174"/>
      <c r="O216" s="174"/>
      <c r="P216" s="174"/>
      <c r="Q216" s="174"/>
      <c r="R216" s="174"/>
      <c r="S216" s="174"/>
      <c r="T216" s="174"/>
      <c r="U216" s="176"/>
      <c r="V216" s="175"/>
      <c r="W216" s="174"/>
      <c r="X216" s="174"/>
      <c r="Y216" s="136"/>
      <c r="Z216" s="71"/>
      <c r="AA216" s="77"/>
      <c r="AB216" s="77"/>
      <c r="AC216" s="77"/>
      <c r="AD216" s="77"/>
      <c r="AE216" s="77"/>
      <c r="AF216" s="77"/>
      <c r="AG216" s="77"/>
      <c r="AH216" s="77"/>
      <c r="AI216" s="77"/>
      <c r="AJ216" s="77"/>
      <c r="AK216" s="77"/>
      <c r="AL216" s="77"/>
      <c r="AM216" s="77"/>
      <c r="AN216" s="77"/>
      <c r="AO216" s="77"/>
      <c r="AP216" s="77"/>
      <c r="AQ216" s="77"/>
      <c r="AR216" s="77"/>
      <c r="AS216" s="77"/>
      <c r="AT216" s="77"/>
      <c r="AU216" s="77"/>
      <c r="AV216" s="77"/>
      <c r="AW216" s="77"/>
      <c r="AX216" s="77"/>
    </row>
    <row r="217">
      <c r="A217" s="173"/>
      <c r="B217" s="174"/>
      <c r="C217" s="175"/>
      <c r="D217" s="175"/>
      <c r="E217" s="175"/>
      <c r="F217" s="174"/>
      <c r="G217" s="174"/>
      <c r="H217" s="173"/>
      <c r="I217" s="173"/>
      <c r="J217" s="174"/>
      <c r="K217" s="71"/>
      <c r="L217" s="174"/>
      <c r="M217" s="174"/>
      <c r="N217" s="174"/>
      <c r="O217" s="174"/>
      <c r="P217" s="174"/>
      <c r="Q217" s="174"/>
      <c r="R217" s="174"/>
      <c r="S217" s="71"/>
      <c r="T217" s="71"/>
      <c r="U217" s="176"/>
      <c r="V217" s="175"/>
      <c r="W217" s="174"/>
      <c r="X217" s="174"/>
      <c r="Y217" s="136"/>
      <c r="Z217" s="71"/>
      <c r="AA217" s="77"/>
      <c r="AB217" s="77"/>
      <c r="AC217" s="77"/>
      <c r="AD217" s="77"/>
      <c r="AE217" s="77"/>
      <c r="AF217" s="77"/>
      <c r="AG217" s="77"/>
      <c r="AH217" s="77"/>
      <c r="AI217" s="77"/>
      <c r="AJ217" s="77"/>
      <c r="AK217" s="77"/>
      <c r="AL217" s="77"/>
      <c r="AM217" s="77"/>
      <c r="AN217" s="77"/>
      <c r="AO217" s="77"/>
      <c r="AP217" s="77"/>
      <c r="AQ217" s="77"/>
      <c r="AR217" s="77"/>
      <c r="AS217" s="77"/>
      <c r="AT217" s="77"/>
      <c r="AU217" s="77"/>
      <c r="AV217" s="77"/>
      <c r="AW217" s="77"/>
      <c r="AX217" s="77"/>
    </row>
    <row r="218">
      <c r="A218" s="189"/>
      <c r="B218" s="190"/>
      <c r="C218" s="190"/>
      <c r="D218" s="190"/>
      <c r="E218" s="128"/>
      <c r="F218" s="190"/>
      <c r="G218" s="190"/>
      <c r="H218" s="189"/>
      <c r="I218" s="189"/>
      <c r="J218" s="190"/>
      <c r="K218" s="128"/>
      <c r="L218" s="190"/>
      <c r="M218" s="190"/>
      <c r="N218" s="190"/>
      <c r="O218" s="190"/>
      <c r="P218" s="190"/>
      <c r="Q218" s="190"/>
      <c r="R218" s="190"/>
      <c r="S218" s="190"/>
      <c r="T218" s="190"/>
      <c r="U218" s="191"/>
      <c r="V218" s="190"/>
      <c r="W218" s="190"/>
      <c r="X218" s="190"/>
      <c r="Y218" s="128"/>
      <c r="Z218" s="128"/>
      <c r="AA218" s="192"/>
      <c r="AB218" s="192"/>
      <c r="AC218" s="192"/>
      <c r="AD218" s="192"/>
      <c r="AE218" s="192"/>
      <c r="AF218" s="192"/>
      <c r="AG218" s="192"/>
      <c r="AH218" s="192"/>
      <c r="AI218" s="192"/>
      <c r="AJ218" s="192"/>
      <c r="AK218" s="192"/>
      <c r="AL218" s="192"/>
      <c r="AM218" s="192"/>
      <c r="AN218" s="192"/>
      <c r="AO218" s="192"/>
      <c r="AP218" s="192"/>
      <c r="AQ218" s="192"/>
      <c r="AR218" s="192"/>
      <c r="AS218" s="192"/>
      <c r="AT218" s="192"/>
      <c r="AU218" s="192"/>
      <c r="AV218" s="192"/>
      <c r="AW218" s="192"/>
      <c r="AX218" s="192"/>
    </row>
    <row r="219">
      <c r="A219" s="173"/>
      <c r="B219" s="174"/>
      <c r="C219" s="175"/>
      <c r="D219" s="175"/>
      <c r="E219" s="174"/>
      <c r="F219" s="174"/>
      <c r="G219" s="174"/>
      <c r="H219" s="173"/>
      <c r="I219" s="173"/>
      <c r="J219" s="174"/>
      <c r="K219" s="71"/>
      <c r="L219" s="174"/>
      <c r="M219" s="174"/>
      <c r="N219" s="174"/>
      <c r="O219" s="174"/>
      <c r="P219" s="174"/>
      <c r="Q219" s="174"/>
      <c r="R219" s="174"/>
      <c r="S219" s="71"/>
      <c r="T219" s="71"/>
      <c r="U219" s="176"/>
      <c r="V219" s="175"/>
      <c r="W219" s="174"/>
      <c r="X219" s="174"/>
      <c r="Y219" s="175"/>
      <c r="Z219" s="71"/>
      <c r="AA219" s="77"/>
      <c r="AB219" s="77"/>
      <c r="AC219" s="77"/>
      <c r="AD219" s="77"/>
      <c r="AE219" s="77"/>
      <c r="AF219" s="77"/>
      <c r="AG219" s="77"/>
      <c r="AH219" s="77"/>
      <c r="AI219" s="77"/>
      <c r="AJ219" s="77"/>
      <c r="AK219" s="77"/>
      <c r="AL219" s="77"/>
      <c r="AM219" s="77"/>
      <c r="AN219" s="77"/>
      <c r="AO219" s="77"/>
      <c r="AP219" s="77"/>
      <c r="AQ219" s="77"/>
      <c r="AR219" s="77"/>
      <c r="AS219" s="77"/>
      <c r="AT219" s="77"/>
      <c r="AU219" s="77"/>
      <c r="AV219" s="77"/>
      <c r="AW219" s="77"/>
      <c r="AX219" s="77"/>
    </row>
    <row r="220">
      <c r="A220" s="173"/>
      <c r="B220" s="113"/>
      <c r="C220" s="113"/>
      <c r="D220" s="113"/>
      <c r="E220" s="113"/>
      <c r="F220" s="71"/>
      <c r="G220" s="174"/>
      <c r="H220" s="173"/>
      <c r="I220" s="173"/>
      <c r="J220" s="174"/>
      <c r="K220" s="71"/>
      <c r="L220" s="174"/>
      <c r="M220" s="174"/>
      <c r="N220" s="174"/>
      <c r="O220" s="113"/>
      <c r="P220" s="71"/>
      <c r="Q220" s="174"/>
      <c r="R220" s="174"/>
      <c r="S220" s="71"/>
      <c r="T220" s="71"/>
      <c r="U220" s="176"/>
      <c r="V220" s="175"/>
      <c r="W220" s="71"/>
      <c r="X220" s="71"/>
      <c r="Y220" s="136"/>
      <c r="Z220" s="71"/>
      <c r="AA220" s="77"/>
      <c r="AB220" s="77"/>
      <c r="AC220" s="77"/>
      <c r="AD220" s="77"/>
      <c r="AE220" s="77"/>
      <c r="AF220" s="77"/>
      <c r="AG220" s="77"/>
      <c r="AH220" s="77"/>
      <c r="AI220" s="77"/>
      <c r="AJ220" s="77"/>
      <c r="AK220" s="77"/>
      <c r="AL220" s="77"/>
      <c r="AM220" s="77"/>
      <c r="AN220" s="77"/>
      <c r="AO220" s="77"/>
      <c r="AP220" s="77"/>
      <c r="AQ220" s="77"/>
      <c r="AR220" s="77"/>
      <c r="AS220" s="77"/>
      <c r="AT220" s="77"/>
      <c r="AU220" s="77"/>
      <c r="AV220" s="77"/>
      <c r="AW220" s="77"/>
      <c r="AX220" s="77"/>
    </row>
    <row r="221">
      <c r="A221" s="173"/>
      <c r="B221" s="174"/>
      <c r="C221" s="175"/>
      <c r="D221" s="175"/>
      <c r="E221" s="71"/>
      <c r="F221" s="174"/>
      <c r="G221" s="174"/>
      <c r="H221" s="173"/>
      <c r="I221" s="173"/>
      <c r="J221" s="174"/>
      <c r="K221" s="71"/>
      <c r="L221" s="174"/>
      <c r="M221" s="174"/>
      <c r="N221" s="174"/>
      <c r="O221" s="174"/>
      <c r="P221" s="174"/>
      <c r="Q221" s="174"/>
      <c r="R221" s="174"/>
      <c r="S221" s="71"/>
      <c r="T221" s="71"/>
      <c r="U221" s="176"/>
      <c r="V221" s="174"/>
      <c r="W221" s="174"/>
      <c r="X221" s="174"/>
      <c r="Y221" s="136"/>
      <c r="Z221" s="71"/>
      <c r="AA221" s="77"/>
      <c r="AB221" s="77"/>
      <c r="AC221" s="77"/>
      <c r="AD221" s="77"/>
      <c r="AE221" s="77"/>
      <c r="AF221" s="77"/>
      <c r="AG221" s="77"/>
      <c r="AH221" s="77"/>
      <c r="AI221" s="77"/>
      <c r="AJ221" s="77"/>
      <c r="AK221" s="77"/>
      <c r="AL221" s="77"/>
      <c r="AM221" s="77"/>
      <c r="AN221" s="77"/>
      <c r="AO221" s="77"/>
      <c r="AP221" s="77"/>
      <c r="AQ221" s="77"/>
      <c r="AR221" s="77"/>
      <c r="AS221" s="77"/>
      <c r="AT221" s="77"/>
      <c r="AU221" s="77"/>
      <c r="AV221" s="77"/>
      <c r="AW221" s="77"/>
      <c r="AX221" s="77"/>
    </row>
    <row r="222">
      <c r="A222" s="177"/>
      <c r="B222" s="177"/>
      <c r="C222" s="121"/>
      <c r="D222" s="121"/>
      <c r="E222" s="121"/>
      <c r="F222" s="121"/>
      <c r="G222" s="177"/>
      <c r="H222" s="121"/>
      <c r="I222" s="121"/>
      <c r="J222" s="121"/>
      <c r="K222" s="121"/>
      <c r="L222" s="121"/>
      <c r="M222" s="121"/>
      <c r="N222" s="121"/>
      <c r="O222" s="121"/>
      <c r="P222" s="121"/>
      <c r="Q222" s="121"/>
      <c r="R222" s="121"/>
      <c r="S222" s="121"/>
      <c r="T222" s="121"/>
      <c r="U222" s="121"/>
      <c r="V222" s="121"/>
      <c r="W222" s="121"/>
      <c r="X222" s="121"/>
      <c r="Y222" s="121"/>
      <c r="Z222" s="121"/>
      <c r="AA222" s="123"/>
      <c r="AB222" s="123"/>
      <c r="AC222" s="123"/>
      <c r="AD222" s="123"/>
      <c r="AE222" s="123"/>
      <c r="AF222" s="123"/>
      <c r="AG222" s="123"/>
      <c r="AH222" s="123"/>
      <c r="AI222" s="123"/>
      <c r="AJ222" s="123"/>
      <c r="AK222" s="123"/>
      <c r="AL222" s="123"/>
      <c r="AM222" s="123"/>
      <c r="AN222" s="123"/>
      <c r="AO222" s="123"/>
      <c r="AP222" s="123"/>
      <c r="AQ222" s="123"/>
      <c r="AR222" s="123"/>
      <c r="AS222" s="123"/>
      <c r="AT222" s="123"/>
      <c r="AU222" s="123"/>
      <c r="AV222" s="123"/>
      <c r="AW222" s="123"/>
      <c r="AX222" s="123"/>
    </row>
    <row r="223">
      <c r="A223" s="177"/>
      <c r="B223" s="177"/>
      <c r="C223" s="121"/>
      <c r="D223" s="121"/>
      <c r="E223" s="121"/>
      <c r="F223" s="121"/>
      <c r="G223" s="177"/>
      <c r="H223" s="121"/>
      <c r="I223" s="121"/>
      <c r="J223" s="121"/>
      <c r="K223" s="121"/>
      <c r="L223" s="121"/>
      <c r="M223" s="121"/>
      <c r="N223" s="121"/>
      <c r="O223" s="121"/>
      <c r="P223" s="121"/>
      <c r="Q223" s="121"/>
      <c r="R223" s="121"/>
      <c r="S223" s="121"/>
      <c r="T223" s="121"/>
      <c r="U223" s="121"/>
      <c r="V223" s="121"/>
      <c r="W223" s="121"/>
      <c r="X223" s="121"/>
      <c r="Y223" s="121"/>
      <c r="Z223" s="121"/>
      <c r="AA223" s="123"/>
      <c r="AB223" s="123"/>
      <c r="AC223" s="123"/>
      <c r="AD223" s="123"/>
      <c r="AE223" s="123"/>
      <c r="AF223" s="123"/>
      <c r="AG223" s="123"/>
      <c r="AH223" s="123"/>
      <c r="AI223" s="123"/>
      <c r="AJ223" s="123"/>
      <c r="AK223" s="123"/>
      <c r="AL223" s="123"/>
      <c r="AM223" s="123"/>
      <c r="AN223" s="123"/>
      <c r="AO223" s="123"/>
      <c r="AP223" s="123"/>
      <c r="AQ223" s="123"/>
      <c r="AR223" s="123"/>
      <c r="AS223" s="123"/>
      <c r="AT223" s="123"/>
      <c r="AU223" s="123"/>
      <c r="AV223" s="123"/>
      <c r="AW223" s="123"/>
      <c r="AX223" s="123"/>
    </row>
    <row r="224">
      <c r="A224" s="177"/>
      <c r="B224" s="177"/>
      <c r="C224" s="121"/>
      <c r="D224" s="121"/>
      <c r="E224" s="121"/>
      <c r="F224" s="121"/>
      <c r="G224" s="177"/>
      <c r="H224" s="121"/>
      <c r="I224" s="121"/>
      <c r="J224" s="121"/>
      <c r="K224" s="121"/>
      <c r="L224" s="121"/>
      <c r="M224" s="121"/>
      <c r="N224" s="121"/>
      <c r="O224" s="121"/>
      <c r="P224" s="121"/>
      <c r="Q224" s="121"/>
      <c r="R224" s="121"/>
      <c r="S224" s="121"/>
      <c r="T224" s="121"/>
      <c r="U224" s="121"/>
      <c r="V224" s="121"/>
      <c r="W224" s="121"/>
      <c r="X224" s="121"/>
      <c r="Y224" s="121"/>
      <c r="Z224" s="121"/>
      <c r="AA224" s="123"/>
      <c r="AB224" s="123"/>
      <c r="AC224" s="123"/>
      <c r="AD224" s="123"/>
      <c r="AE224" s="123"/>
      <c r="AF224" s="123"/>
      <c r="AG224" s="123"/>
      <c r="AH224" s="123"/>
      <c r="AI224" s="123"/>
      <c r="AJ224" s="123"/>
      <c r="AK224" s="123"/>
      <c r="AL224" s="123"/>
      <c r="AM224" s="123"/>
      <c r="AN224" s="123"/>
      <c r="AO224" s="123"/>
      <c r="AP224" s="123"/>
      <c r="AQ224" s="123"/>
      <c r="AR224" s="123"/>
      <c r="AS224" s="123"/>
      <c r="AT224" s="123"/>
      <c r="AU224" s="123"/>
      <c r="AV224" s="123"/>
      <c r="AW224" s="123"/>
      <c r="AX224" s="123"/>
    </row>
    <row r="225">
      <c r="A225" s="177"/>
      <c r="B225" s="177"/>
      <c r="C225" s="121"/>
      <c r="D225" s="121"/>
      <c r="E225" s="121"/>
      <c r="F225" s="121"/>
      <c r="G225" s="177"/>
      <c r="H225" s="121"/>
      <c r="I225" s="121"/>
      <c r="J225" s="121"/>
      <c r="K225" s="121"/>
      <c r="L225" s="121"/>
      <c r="M225" s="121"/>
      <c r="N225" s="121"/>
      <c r="O225" s="121"/>
      <c r="P225" s="121"/>
      <c r="Q225" s="121"/>
      <c r="R225" s="121"/>
      <c r="S225" s="121"/>
      <c r="T225" s="121"/>
      <c r="U225" s="121"/>
      <c r="V225" s="121"/>
      <c r="W225" s="121"/>
      <c r="X225" s="121"/>
      <c r="Y225" s="121"/>
      <c r="Z225" s="121"/>
      <c r="AA225" s="123"/>
      <c r="AB225" s="123"/>
      <c r="AC225" s="123"/>
      <c r="AD225" s="123"/>
      <c r="AE225" s="123"/>
      <c r="AF225" s="123"/>
      <c r="AG225" s="123"/>
      <c r="AH225" s="123"/>
      <c r="AI225" s="123"/>
      <c r="AJ225" s="123"/>
      <c r="AK225" s="123"/>
      <c r="AL225" s="123"/>
      <c r="AM225" s="123"/>
      <c r="AN225" s="123"/>
      <c r="AO225" s="123"/>
      <c r="AP225" s="123"/>
      <c r="AQ225" s="123"/>
      <c r="AR225" s="123"/>
      <c r="AS225" s="123"/>
      <c r="AT225" s="123"/>
      <c r="AU225" s="123"/>
      <c r="AV225" s="123"/>
      <c r="AW225" s="123"/>
      <c r="AX225" s="123"/>
    </row>
    <row r="226">
      <c r="A226" s="177"/>
      <c r="B226" s="177"/>
      <c r="C226" s="121"/>
      <c r="D226" s="121"/>
      <c r="E226" s="121"/>
      <c r="F226" s="121"/>
      <c r="G226" s="177"/>
      <c r="H226" s="121"/>
      <c r="I226" s="121"/>
      <c r="J226" s="121"/>
      <c r="K226" s="121"/>
      <c r="L226" s="121"/>
      <c r="M226" s="121"/>
      <c r="N226" s="121"/>
      <c r="O226" s="121"/>
      <c r="P226" s="121"/>
      <c r="Q226" s="121"/>
      <c r="R226" s="121"/>
      <c r="S226" s="121"/>
      <c r="T226" s="121"/>
      <c r="U226" s="121"/>
      <c r="V226" s="121"/>
      <c r="W226" s="121"/>
      <c r="X226" s="121"/>
      <c r="Y226" s="121"/>
      <c r="Z226" s="121"/>
      <c r="AA226" s="123"/>
      <c r="AB226" s="123"/>
      <c r="AC226" s="123"/>
      <c r="AD226" s="123"/>
      <c r="AE226" s="123"/>
      <c r="AF226" s="123"/>
      <c r="AG226" s="123"/>
      <c r="AH226" s="123"/>
      <c r="AI226" s="123"/>
      <c r="AJ226" s="123"/>
      <c r="AK226" s="123"/>
      <c r="AL226" s="123"/>
      <c r="AM226" s="123"/>
      <c r="AN226" s="123"/>
      <c r="AO226" s="123"/>
      <c r="AP226" s="123"/>
      <c r="AQ226" s="123"/>
      <c r="AR226" s="123"/>
      <c r="AS226" s="123"/>
      <c r="AT226" s="123"/>
      <c r="AU226" s="123"/>
      <c r="AV226" s="123"/>
      <c r="AW226" s="123"/>
      <c r="AX226" s="123"/>
    </row>
    <row r="227">
      <c r="A227" s="177"/>
      <c r="B227" s="177"/>
      <c r="C227" s="121"/>
      <c r="D227" s="121"/>
      <c r="E227" s="121"/>
      <c r="F227" s="121"/>
      <c r="G227" s="177"/>
      <c r="H227" s="121"/>
      <c r="I227" s="121"/>
      <c r="J227" s="121"/>
      <c r="K227" s="121"/>
      <c r="L227" s="121"/>
      <c r="M227" s="121"/>
      <c r="N227" s="121"/>
      <c r="O227" s="121"/>
      <c r="P227" s="121"/>
      <c r="Q227" s="121"/>
      <c r="R227" s="121"/>
      <c r="S227" s="121"/>
      <c r="T227" s="121"/>
      <c r="U227" s="121"/>
      <c r="V227" s="121"/>
      <c r="W227" s="121"/>
      <c r="X227" s="121"/>
      <c r="Y227" s="121"/>
      <c r="Z227" s="121"/>
      <c r="AA227" s="123"/>
      <c r="AB227" s="123"/>
      <c r="AC227" s="123"/>
      <c r="AD227" s="123"/>
      <c r="AE227" s="123"/>
      <c r="AF227" s="123"/>
      <c r="AG227" s="123"/>
      <c r="AH227" s="123"/>
      <c r="AI227" s="123"/>
      <c r="AJ227" s="123"/>
      <c r="AK227" s="123"/>
      <c r="AL227" s="123"/>
      <c r="AM227" s="123"/>
      <c r="AN227" s="123"/>
      <c r="AO227" s="123"/>
      <c r="AP227" s="123"/>
      <c r="AQ227" s="123"/>
      <c r="AR227" s="123"/>
      <c r="AS227" s="123"/>
      <c r="AT227" s="123"/>
      <c r="AU227" s="123"/>
      <c r="AV227" s="123"/>
      <c r="AW227" s="123"/>
      <c r="AX227" s="123"/>
    </row>
    <row r="228">
      <c r="A228" s="177"/>
      <c r="B228" s="177"/>
      <c r="C228" s="121"/>
      <c r="D228" s="121"/>
      <c r="E228" s="121"/>
      <c r="F228" s="121"/>
      <c r="G228" s="177"/>
      <c r="H228" s="121"/>
      <c r="I228" s="121"/>
      <c r="J228" s="121"/>
      <c r="K228" s="121"/>
      <c r="L228" s="121"/>
      <c r="M228" s="121"/>
      <c r="N228" s="121"/>
      <c r="O228" s="121"/>
      <c r="P228" s="121"/>
      <c r="Q228" s="121"/>
      <c r="R228" s="121"/>
      <c r="S228" s="121"/>
      <c r="T228" s="121"/>
      <c r="U228" s="121"/>
      <c r="V228" s="121"/>
      <c r="W228" s="121"/>
      <c r="X228" s="121"/>
      <c r="Y228" s="121"/>
      <c r="Z228" s="121"/>
      <c r="AA228" s="123"/>
      <c r="AB228" s="123"/>
      <c r="AC228" s="123"/>
      <c r="AD228" s="123"/>
      <c r="AE228" s="123"/>
      <c r="AF228" s="123"/>
      <c r="AG228" s="123"/>
      <c r="AH228" s="123"/>
      <c r="AI228" s="123"/>
      <c r="AJ228" s="123"/>
      <c r="AK228" s="123"/>
      <c r="AL228" s="123"/>
      <c r="AM228" s="123"/>
      <c r="AN228" s="123"/>
      <c r="AO228" s="123"/>
      <c r="AP228" s="123"/>
      <c r="AQ228" s="123"/>
      <c r="AR228" s="123"/>
      <c r="AS228" s="123"/>
      <c r="AT228" s="123"/>
      <c r="AU228" s="123"/>
      <c r="AV228" s="123"/>
      <c r="AW228" s="123"/>
      <c r="AX228" s="123"/>
    </row>
    <row r="229">
      <c r="A229" s="177"/>
      <c r="B229" s="177"/>
      <c r="C229" s="121"/>
      <c r="D229" s="121"/>
      <c r="E229" s="121"/>
      <c r="F229" s="121"/>
      <c r="G229" s="177"/>
      <c r="H229" s="121"/>
      <c r="I229" s="121"/>
      <c r="J229" s="121"/>
      <c r="K229" s="121"/>
      <c r="L229" s="121"/>
      <c r="M229" s="121"/>
      <c r="N229" s="121"/>
      <c r="O229" s="121"/>
      <c r="P229" s="121"/>
      <c r="Q229" s="121"/>
      <c r="R229" s="121"/>
      <c r="S229" s="121"/>
      <c r="T229" s="121"/>
      <c r="U229" s="121"/>
      <c r="V229" s="121"/>
      <c r="W229" s="121"/>
      <c r="X229" s="121"/>
      <c r="Y229" s="121"/>
      <c r="Z229" s="121"/>
      <c r="AA229" s="123"/>
      <c r="AB229" s="123"/>
      <c r="AC229" s="123"/>
      <c r="AD229" s="123"/>
      <c r="AE229" s="123"/>
      <c r="AF229" s="123"/>
      <c r="AG229" s="123"/>
      <c r="AH229" s="123"/>
      <c r="AI229" s="123"/>
      <c r="AJ229" s="123"/>
      <c r="AK229" s="123"/>
      <c r="AL229" s="123"/>
      <c r="AM229" s="123"/>
      <c r="AN229" s="123"/>
      <c r="AO229" s="123"/>
      <c r="AP229" s="123"/>
      <c r="AQ229" s="123"/>
      <c r="AR229" s="123"/>
      <c r="AS229" s="123"/>
      <c r="AT229" s="123"/>
      <c r="AU229" s="123"/>
      <c r="AV229" s="123"/>
      <c r="AW229" s="123"/>
      <c r="AX229" s="123"/>
    </row>
    <row r="230">
      <c r="A230" s="177"/>
      <c r="B230" s="177"/>
      <c r="C230" s="121"/>
      <c r="D230" s="121"/>
      <c r="E230" s="121"/>
      <c r="F230" s="121"/>
      <c r="G230" s="177"/>
      <c r="H230" s="121"/>
      <c r="I230" s="121"/>
      <c r="J230" s="121"/>
      <c r="K230" s="121"/>
      <c r="L230" s="121"/>
      <c r="M230" s="121"/>
      <c r="N230" s="121"/>
      <c r="O230" s="121"/>
      <c r="P230" s="121"/>
      <c r="Q230" s="121"/>
      <c r="R230" s="121"/>
      <c r="S230" s="121"/>
      <c r="T230" s="121"/>
      <c r="U230" s="121"/>
      <c r="V230" s="121"/>
      <c r="W230" s="121"/>
      <c r="X230" s="121"/>
      <c r="Y230" s="121"/>
      <c r="Z230" s="121"/>
      <c r="AA230" s="123"/>
      <c r="AB230" s="123"/>
      <c r="AC230" s="123"/>
      <c r="AD230" s="123"/>
      <c r="AE230" s="123"/>
      <c r="AF230" s="123"/>
      <c r="AG230" s="123"/>
      <c r="AH230" s="123"/>
      <c r="AI230" s="123"/>
      <c r="AJ230" s="123"/>
      <c r="AK230" s="123"/>
      <c r="AL230" s="123"/>
      <c r="AM230" s="123"/>
      <c r="AN230" s="123"/>
      <c r="AO230" s="123"/>
      <c r="AP230" s="123"/>
      <c r="AQ230" s="123"/>
      <c r="AR230" s="123"/>
      <c r="AS230" s="123"/>
      <c r="AT230" s="123"/>
      <c r="AU230" s="123"/>
      <c r="AV230" s="123"/>
      <c r="AW230" s="123"/>
      <c r="AX230" s="123"/>
    </row>
    <row r="231">
      <c r="A231" s="177"/>
      <c r="B231" s="177"/>
      <c r="C231" s="121"/>
      <c r="D231" s="121"/>
      <c r="E231" s="121"/>
      <c r="F231" s="121"/>
      <c r="G231" s="177"/>
      <c r="H231" s="121"/>
      <c r="I231" s="121"/>
      <c r="J231" s="121"/>
      <c r="K231" s="121"/>
      <c r="L231" s="121"/>
      <c r="M231" s="121"/>
      <c r="N231" s="121"/>
      <c r="O231" s="121"/>
      <c r="P231" s="121"/>
      <c r="Q231" s="121"/>
      <c r="R231" s="121"/>
      <c r="S231" s="121"/>
      <c r="T231" s="121"/>
      <c r="U231" s="121"/>
      <c r="V231" s="121"/>
      <c r="W231" s="121"/>
      <c r="X231" s="121"/>
      <c r="Y231" s="121"/>
      <c r="Z231" s="121"/>
      <c r="AA231" s="123"/>
      <c r="AB231" s="123"/>
      <c r="AC231" s="123"/>
      <c r="AD231" s="123"/>
      <c r="AE231" s="123"/>
      <c r="AF231" s="123"/>
      <c r="AG231" s="123"/>
      <c r="AH231" s="123"/>
      <c r="AI231" s="123"/>
      <c r="AJ231" s="123"/>
      <c r="AK231" s="123"/>
      <c r="AL231" s="123"/>
      <c r="AM231" s="123"/>
      <c r="AN231" s="123"/>
      <c r="AO231" s="123"/>
      <c r="AP231" s="123"/>
      <c r="AQ231" s="123"/>
      <c r="AR231" s="123"/>
      <c r="AS231" s="123"/>
      <c r="AT231" s="123"/>
      <c r="AU231" s="123"/>
      <c r="AV231" s="123"/>
      <c r="AW231" s="123"/>
      <c r="AX231" s="123"/>
    </row>
    <row r="232">
      <c r="A232" s="177"/>
      <c r="B232" s="177"/>
      <c r="C232" s="121"/>
      <c r="D232" s="121"/>
      <c r="E232" s="121"/>
      <c r="F232" s="121"/>
      <c r="G232" s="177"/>
      <c r="H232" s="121"/>
      <c r="I232" s="121"/>
      <c r="J232" s="121"/>
      <c r="K232" s="121"/>
      <c r="L232" s="121"/>
      <c r="M232" s="121"/>
      <c r="N232" s="121"/>
      <c r="O232" s="121"/>
      <c r="P232" s="121"/>
      <c r="Q232" s="121"/>
      <c r="R232" s="121"/>
      <c r="S232" s="121"/>
      <c r="T232" s="121"/>
      <c r="U232" s="121"/>
      <c r="V232" s="121"/>
      <c r="W232" s="121"/>
      <c r="X232" s="121"/>
      <c r="Y232" s="121"/>
      <c r="Z232" s="121"/>
      <c r="AA232" s="123"/>
      <c r="AB232" s="123"/>
      <c r="AC232" s="123"/>
      <c r="AD232" s="123"/>
      <c r="AE232" s="123"/>
      <c r="AF232" s="123"/>
      <c r="AG232" s="123"/>
      <c r="AH232" s="123"/>
      <c r="AI232" s="123"/>
      <c r="AJ232" s="123"/>
      <c r="AK232" s="123"/>
      <c r="AL232" s="123"/>
      <c r="AM232" s="123"/>
      <c r="AN232" s="123"/>
      <c r="AO232" s="123"/>
      <c r="AP232" s="123"/>
      <c r="AQ232" s="123"/>
      <c r="AR232" s="123"/>
      <c r="AS232" s="123"/>
      <c r="AT232" s="123"/>
      <c r="AU232" s="123"/>
      <c r="AV232" s="123"/>
      <c r="AW232" s="123"/>
      <c r="AX232" s="123"/>
    </row>
    <row r="233">
      <c r="A233" s="177"/>
      <c r="B233" s="177"/>
      <c r="C233" s="121"/>
      <c r="D233" s="121"/>
      <c r="E233" s="121"/>
      <c r="F233" s="121"/>
      <c r="G233" s="177"/>
      <c r="H233" s="121"/>
      <c r="I233" s="121"/>
      <c r="J233" s="121"/>
      <c r="K233" s="121"/>
      <c r="L233" s="121"/>
      <c r="M233" s="121"/>
      <c r="N233" s="121"/>
      <c r="O233" s="121"/>
      <c r="P233" s="121"/>
      <c r="Q233" s="121"/>
      <c r="R233" s="121"/>
      <c r="S233" s="121"/>
      <c r="T233" s="121"/>
      <c r="U233" s="121"/>
      <c r="V233" s="121"/>
      <c r="W233" s="121"/>
      <c r="X233" s="121"/>
      <c r="Y233" s="121"/>
      <c r="Z233" s="121"/>
      <c r="AA233" s="123"/>
      <c r="AB233" s="123"/>
      <c r="AC233" s="123"/>
      <c r="AD233" s="123"/>
      <c r="AE233" s="123"/>
      <c r="AF233" s="123"/>
      <c r="AG233" s="123"/>
      <c r="AH233" s="123"/>
      <c r="AI233" s="123"/>
      <c r="AJ233" s="123"/>
      <c r="AK233" s="123"/>
      <c r="AL233" s="123"/>
      <c r="AM233" s="123"/>
      <c r="AN233" s="123"/>
      <c r="AO233" s="123"/>
      <c r="AP233" s="123"/>
      <c r="AQ233" s="123"/>
      <c r="AR233" s="123"/>
      <c r="AS233" s="123"/>
      <c r="AT233" s="123"/>
      <c r="AU233" s="123"/>
      <c r="AV233" s="123"/>
      <c r="AW233" s="123"/>
      <c r="AX233" s="123"/>
    </row>
    <row r="234">
      <c r="A234" s="177"/>
      <c r="B234" s="177"/>
      <c r="C234" s="121"/>
      <c r="D234" s="121"/>
      <c r="E234" s="121"/>
      <c r="F234" s="121"/>
      <c r="G234" s="177"/>
      <c r="H234" s="121"/>
      <c r="I234" s="121"/>
      <c r="J234" s="121"/>
      <c r="K234" s="121"/>
      <c r="L234" s="121"/>
      <c r="M234" s="121"/>
      <c r="N234" s="121"/>
      <c r="O234" s="121"/>
      <c r="P234" s="121"/>
      <c r="Q234" s="121"/>
      <c r="R234" s="121"/>
      <c r="S234" s="121"/>
      <c r="T234" s="121"/>
      <c r="U234" s="121"/>
      <c r="V234" s="121"/>
      <c r="W234" s="121"/>
      <c r="X234" s="121"/>
      <c r="Y234" s="121"/>
      <c r="Z234" s="121"/>
      <c r="AA234" s="123"/>
      <c r="AB234" s="123"/>
      <c r="AC234" s="123"/>
      <c r="AD234" s="123"/>
      <c r="AE234" s="123"/>
      <c r="AF234" s="123"/>
      <c r="AG234" s="123"/>
      <c r="AH234" s="123"/>
      <c r="AI234" s="123"/>
      <c r="AJ234" s="123"/>
      <c r="AK234" s="123"/>
      <c r="AL234" s="123"/>
      <c r="AM234" s="123"/>
      <c r="AN234" s="123"/>
      <c r="AO234" s="123"/>
      <c r="AP234" s="123"/>
      <c r="AQ234" s="123"/>
      <c r="AR234" s="123"/>
      <c r="AS234" s="123"/>
      <c r="AT234" s="123"/>
      <c r="AU234" s="123"/>
      <c r="AV234" s="123"/>
      <c r="AW234" s="123"/>
      <c r="AX234" s="123"/>
    </row>
    <row r="235">
      <c r="A235" s="177"/>
      <c r="B235" s="177"/>
      <c r="C235" s="121"/>
      <c r="D235" s="121"/>
      <c r="E235" s="121"/>
      <c r="F235" s="121"/>
      <c r="G235" s="177"/>
      <c r="H235" s="121"/>
      <c r="I235" s="121"/>
      <c r="J235" s="121"/>
      <c r="K235" s="121"/>
      <c r="L235" s="121"/>
      <c r="M235" s="121"/>
      <c r="N235" s="121"/>
      <c r="O235" s="121"/>
      <c r="P235" s="121"/>
      <c r="Q235" s="121"/>
      <c r="R235" s="121"/>
      <c r="S235" s="121"/>
      <c r="T235" s="121"/>
      <c r="U235" s="121"/>
      <c r="V235" s="121"/>
      <c r="W235" s="121"/>
      <c r="X235" s="121"/>
      <c r="Y235" s="121"/>
      <c r="Z235" s="121"/>
      <c r="AA235" s="123"/>
      <c r="AB235" s="123"/>
      <c r="AC235" s="123"/>
      <c r="AD235" s="123"/>
      <c r="AE235" s="123"/>
      <c r="AF235" s="123"/>
      <c r="AG235" s="123"/>
      <c r="AH235" s="123"/>
      <c r="AI235" s="123"/>
      <c r="AJ235" s="123"/>
      <c r="AK235" s="123"/>
      <c r="AL235" s="123"/>
      <c r="AM235" s="123"/>
      <c r="AN235" s="123"/>
      <c r="AO235" s="123"/>
      <c r="AP235" s="123"/>
      <c r="AQ235" s="123"/>
      <c r="AR235" s="123"/>
      <c r="AS235" s="123"/>
      <c r="AT235" s="123"/>
      <c r="AU235" s="123"/>
      <c r="AV235" s="123"/>
      <c r="AW235" s="123"/>
      <c r="AX235" s="123"/>
    </row>
    <row r="236">
      <c r="A236" s="177"/>
      <c r="B236" s="177"/>
      <c r="C236" s="121"/>
      <c r="D236" s="121"/>
      <c r="E236" s="121"/>
      <c r="F236" s="121"/>
      <c r="G236" s="177"/>
      <c r="H236" s="121"/>
      <c r="I236" s="121"/>
      <c r="J236" s="121"/>
      <c r="K236" s="121"/>
      <c r="L236" s="121"/>
      <c r="M236" s="121"/>
      <c r="N236" s="121"/>
      <c r="O236" s="121"/>
      <c r="P236" s="121"/>
      <c r="Q236" s="121"/>
      <c r="R236" s="121"/>
      <c r="S236" s="121"/>
      <c r="T236" s="121"/>
      <c r="U236" s="121"/>
      <c r="V236" s="121"/>
      <c r="W236" s="121"/>
      <c r="X236" s="121"/>
      <c r="Y236" s="121"/>
      <c r="Z236" s="121"/>
      <c r="AA236" s="123"/>
      <c r="AB236" s="123"/>
      <c r="AC236" s="123"/>
      <c r="AD236" s="123"/>
      <c r="AE236" s="123"/>
      <c r="AF236" s="123"/>
      <c r="AG236" s="123"/>
      <c r="AH236" s="123"/>
      <c r="AI236" s="123"/>
      <c r="AJ236" s="123"/>
      <c r="AK236" s="123"/>
      <c r="AL236" s="123"/>
      <c r="AM236" s="123"/>
      <c r="AN236" s="123"/>
      <c r="AO236" s="123"/>
      <c r="AP236" s="123"/>
      <c r="AQ236" s="123"/>
      <c r="AR236" s="123"/>
      <c r="AS236" s="123"/>
      <c r="AT236" s="123"/>
      <c r="AU236" s="123"/>
      <c r="AV236" s="123"/>
      <c r="AW236" s="123"/>
      <c r="AX236" s="123"/>
    </row>
    <row r="237">
      <c r="A237" s="173"/>
      <c r="B237" s="174"/>
      <c r="C237" s="174"/>
      <c r="D237" s="71"/>
      <c r="E237" s="71"/>
      <c r="F237" s="71"/>
      <c r="G237" s="174"/>
      <c r="H237" s="173"/>
      <c r="I237" s="173"/>
      <c r="J237" s="174"/>
      <c r="K237" s="71"/>
      <c r="L237" s="174"/>
      <c r="M237" s="174"/>
      <c r="N237" s="174"/>
      <c r="O237" s="174"/>
      <c r="P237" s="174"/>
      <c r="Q237" s="174"/>
      <c r="R237" s="174"/>
      <c r="S237" s="71"/>
      <c r="T237" s="71"/>
      <c r="U237" s="176"/>
      <c r="V237" s="71"/>
      <c r="W237" s="71"/>
      <c r="X237" s="71"/>
      <c r="Y237" s="71"/>
      <c r="Z237" s="71"/>
      <c r="AA237" s="77"/>
      <c r="AB237" s="77"/>
      <c r="AC237" s="77"/>
      <c r="AD237" s="77"/>
      <c r="AE237" s="77"/>
      <c r="AF237" s="77"/>
      <c r="AG237" s="77"/>
      <c r="AH237" s="77"/>
      <c r="AI237" s="77"/>
      <c r="AJ237" s="77"/>
      <c r="AK237" s="77"/>
      <c r="AL237" s="77"/>
      <c r="AM237" s="77"/>
      <c r="AN237" s="77"/>
      <c r="AO237" s="77"/>
      <c r="AP237" s="77"/>
      <c r="AQ237" s="77"/>
      <c r="AR237" s="77"/>
      <c r="AS237" s="77"/>
      <c r="AT237" s="77"/>
      <c r="AU237" s="77"/>
      <c r="AV237" s="77"/>
      <c r="AW237" s="77"/>
      <c r="AX237" s="77"/>
    </row>
    <row r="238">
      <c r="A238" s="173"/>
      <c r="B238" s="174"/>
      <c r="C238" s="174"/>
      <c r="D238" s="71"/>
      <c r="E238" s="71"/>
      <c r="F238" s="71"/>
      <c r="G238" s="174"/>
      <c r="H238" s="173"/>
      <c r="I238" s="173"/>
      <c r="J238" s="174"/>
      <c r="K238" s="71"/>
      <c r="L238" s="174"/>
      <c r="M238" s="174"/>
      <c r="N238" s="174"/>
      <c r="O238" s="174"/>
      <c r="P238" s="174"/>
      <c r="Q238" s="174"/>
      <c r="R238" s="174"/>
      <c r="S238" s="71"/>
      <c r="T238" s="71"/>
      <c r="U238" s="176"/>
      <c r="V238" s="71"/>
      <c r="W238" s="71"/>
      <c r="X238" s="71"/>
      <c r="Y238" s="71"/>
      <c r="Z238" s="71"/>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row>
    <row r="239">
      <c r="A239" s="177"/>
      <c r="B239" s="177"/>
      <c r="C239" s="121"/>
      <c r="D239" s="121"/>
      <c r="E239" s="121"/>
      <c r="F239" s="121"/>
      <c r="G239" s="177"/>
      <c r="H239" s="121"/>
      <c r="I239" s="121"/>
      <c r="J239" s="121"/>
      <c r="K239" s="121"/>
      <c r="L239" s="121"/>
      <c r="M239" s="121"/>
      <c r="N239" s="121"/>
      <c r="O239" s="121"/>
      <c r="P239" s="121"/>
      <c r="Q239" s="121"/>
      <c r="R239" s="121"/>
      <c r="S239" s="121"/>
      <c r="T239" s="121"/>
      <c r="U239" s="121"/>
      <c r="V239" s="121"/>
      <c r="W239" s="121"/>
      <c r="X239" s="121"/>
      <c r="Y239" s="121"/>
      <c r="Z239" s="121"/>
      <c r="AA239" s="123"/>
      <c r="AB239" s="123"/>
      <c r="AC239" s="123"/>
      <c r="AD239" s="123"/>
      <c r="AE239" s="123"/>
      <c r="AF239" s="123"/>
      <c r="AG239" s="123"/>
      <c r="AH239" s="123"/>
      <c r="AI239" s="123"/>
      <c r="AJ239" s="123"/>
      <c r="AK239" s="123"/>
      <c r="AL239" s="123"/>
      <c r="AM239" s="123"/>
      <c r="AN239" s="123"/>
      <c r="AO239" s="123"/>
      <c r="AP239" s="123"/>
      <c r="AQ239" s="123"/>
      <c r="AR239" s="123"/>
      <c r="AS239" s="123"/>
      <c r="AT239" s="123"/>
      <c r="AU239" s="123"/>
      <c r="AV239" s="123"/>
      <c r="AW239" s="123"/>
      <c r="AX239" s="123"/>
    </row>
    <row r="240">
      <c r="A240" s="177"/>
      <c r="B240" s="177"/>
      <c r="C240" s="121"/>
      <c r="D240" s="121"/>
      <c r="E240" s="121"/>
      <c r="F240" s="121"/>
      <c r="G240" s="177"/>
      <c r="H240" s="121"/>
      <c r="I240" s="121"/>
      <c r="J240" s="121"/>
      <c r="K240" s="121"/>
      <c r="L240" s="121"/>
      <c r="M240" s="121"/>
      <c r="N240" s="121"/>
      <c r="O240" s="121"/>
      <c r="P240" s="121"/>
      <c r="Q240" s="121"/>
      <c r="R240" s="121"/>
      <c r="S240" s="121"/>
      <c r="T240" s="121"/>
      <c r="U240" s="121"/>
      <c r="V240" s="121"/>
      <c r="W240" s="121"/>
      <c r="X240" s="121"/>
      <c r="Y240" s="121"/>
      <c r="Z240" s="121"/>
      <c r="AA240" s="123"/>
      <c r="AB240" s="123"/>
      <c r="AC240" s="123"/>
      <c r="AD240" s="123"/>
      <c r="AE240" s="123"/>
      <c r="AF240" s="123"/>
      <c r="AG240" s="123"/>
      <c r="AH240" s="123"/>
      <c r="AI240" s="123"/>
      <c r="AJ240" s="123"/>
      <c r="AK240" s="123"/>
      <c r="AL240" s="123"/>
      <c r="AM240" s="123"/>
      <c r="AN240" s="123"/>
      <c r="AO240" s="123"/>
      <c r="AP240" s="123"/>
      <c r="AQ240" s="123"/>
      <c r="AR240" s="123"/>
      <c r="AS240" s="123"/>
      <c r="AT240" s="123"/>
      <c r="AU240" s="123"/>
      <c r="AV240" s="123"/>
      <c r="AW240" s="123"/>
      <c r="AX240" s="123"/>
    </row>
    <row r="241">
      <c r="A241" s="177"/>
      <c r="B241" s="177"/>
      <c r="C241" s="121"/>
      <c r="D241" s="121"/>
      <c r="E241" s="121"/>
      <c r="F241" s="121"/>
      <c r="G241" s="177"/>
      <c r="H241" s="121"/>
      <c r="I241" s="121"/>
      <c r="J241" s="121"/>
      <c r="K241" s="121"/>
      <c r="L241" s="121"/>
      <c r="M241" s="121"/>
      <c r="N241" s="121"/>
      <c r="O241" s="121"/>
      <c r="P241" s="121"/>
      <c r="Q241" s="121"/>
      <c r="R241" s="121"/>
      <c r="S241" s="121"/>
      <c r="T241" s="121"/>
      <c r="U241" s="121"/>
      <c r="V241" s="121"/>
      <c r="W241" s="121"/>
      <c r="X241" s="121"/>
      <c r="Y241" s="121"/>
      <c r="Z241" s="121"/>
      <c r="AA241" s="123"/>
      <c r="AB241" s="123"/>
      <c r="AC241" s="123"/>
      <c r="AD241" s="123"/>
      <c r="AE241" s="123"/>
      <c r="AF241" s="123"/>
      <c r="AG241" s="123"/>
      <c r="AH241" s="123"/>
      <c r="AI241" s="123"/>
      <c r="AJ241" s="123"/>
      <c r="AK241" s="123"/>
      <c r="AL241" s="123"/>
      <c r="AM241" s="123"/>
      <c r="AN241" s="123"/>
      <c r="AO241" s="123"/>
      <c r="AP241" s="123"/>
      <c r="AQ241" s="123"/>
      <c r="AR241" s="123"/>
      <c r="AS241" s="123"/>
      <c r="AT241" s="123"/>
      <c r="AU241" s="123"/>
      <c r="AV241" s="123"/>
      <c r="AW241" s="123"/>
      <c r="AX241" s="123"/>
    </row>
    <row r="242">
      <c r="A242" s="177"/>
      <c r="B242" s="177"/>
      <c r="C242" s="121"/>
      <c r="D242" s="121"/>
      <c r="E242" s="121"/>
      <c r="F242" s="121"/>
      <c r="G242" s="177"/>
      <c r="H242" s="121"/>
      <c r="I242" s="121"/>
      <c r="J242" s="121"/>
      <c r="K242" s="121"/>
      <c r="L242" s="121"/>
      <c r="M242" s="121"/>
      <c r="N242" s="121"/>
      <c r="O242" s="121"/>
      <c r="P242" s="121"/>
      <c r="Q242" s="121"/>
      <c r="R242" s="121"/>
      <c r="S242" s="121"/>
      <c r="T242" s="121"/>
      <c r="U242" s="121"/>
      <c r="V242" s="121"/>
      <c r="W242" s="121"/>
      <c r="X242" s="121"/>
      <c r="Y242" s="121"/>
      <c r="Z242" s="121"/>
      <c r="AA242" s="123"/>
      <c r="AB242" s="123"/>
      <c r="AC242" s="123"/>
      <c r="AD242" s="123"/>
      <c r="AE242" s="123"/>
      <c r="AF242" s="123"/>
      <c r="AG242" s="123"/>
      <c r="AH242" s="123"/>
      <c r="AI242" s="123"/>
      <c r="AJ242" s="123"/>
      <c r="AK242" s="123"/>
      <c r="AL242" s="123"/>
      <c r="AM242" s="123"/>
      <c r="AN242" s="123"/>
      <c r="AO242" s="123"/>
      <c r="AP242" s="123"/>
      <c r="AQ242" s="123"/>
      <c r="AR242" s="123"/>
      <c r="AS242" s="123"/>
      <c r="AT242" s="123"/>
      <c r="AU242" s="123"/>
      <c r="AV242" s="123"/>
      <c r="AW242" s="123"/>
      <c r="AX242" s="123"/>
    </row>
    <row r="243">
      <c r="A243" s="177"/>
      <c r="B243" s="177"/>
      <c r="C243" s="121"/>
      <c r="D243" s="121"/>
      <c r="E243" s="121"/>
      <c r="F243" s="121"/>
      <c r="G243" s="177"/>
      <c r="H243" s="121"/>
      <c r="I243" s="121"/>
      <c r="J243" s="121"/>
      <c r="K243" s="121"/>
      <c r="L243" s="121"/>
      <c r="M243" s="121"/>
      <c r="N243" s="121"/>
      <c r="O243" s="121"/>
      <c r="P243" s="121"/>
      <c r="Q243" s="121"/>
      <c r="R243" s="121"/>
      <c r="S243" s="121"/>
      <c r="T243" s="121"/>
      <c r="U243" s="121"/>
      <c r="V243" s="121"/>
      <c r="W243" s="121"/>
      <c r="X243" s="121"/>
      <c r="Y243" s="121"/>
      <c r="Z243" s="121"/>
      <c r="AA243" s="123"/>
      <c r="AB243" s="123"/>
      <c r="AC243" s="123"/>
      <c r="AD243" s="123"/>
      <c r="AE243" s="123"/>
      <c r="AF243" s="123"/>
      <c r="AG243" s="123"/>
      <c r="AH243" s="123"/>
      <c r="AI243" s="123"/>
      <c r="AJ243" s="123"/>
      <c r="AK243" s="123"/>
      <c r="AL243" s="123"/>
      <c r="AM243" s="123"/>
      <c r="AN243" s="123"/>
      <c r="AO243" s="123"/>
      <c r="AP243" s="123"/>
      <c r="AQ243" s="123"/>
      <c r="AR243" s="123"/>
      <c r="AS243" s="123"/>
      <c r="AT243" s="123"/>
      <c r="AU243" s="123"/>
      <c r="AV243" s="123"/>
      <c r="AW243" s="123"/>
      <c r="AX243" s="123"/>
    </row>
    <row r="244">
      <c r="A244" s="177"/>
      <c r="B244" s="177"/>
      <c r="C244" s="121"/>
      <c r="D244" s="121"/>
      <c r="E244" s="121"/>
      <c r="F244" s="121"/>
      <c r="G244" s="177"/>
      <c r="H244" s="121"/>
      <c r="I244" s="121"/>
      <c r="J244" s="121"/>
      <c r="K244" s="121"/>
      <c r="L244" s="121"/>
      <c r="M244" s="121"/>
      <c r="N244" s="121"/>
      <c r="O244" s="121"/>
      <c r="P244" s="121"/>
      <c r="Q244" s="121"/>
      <c r="R244" s="121"/>
      <c r="S244" s="121"/>
      <c r="T244" s="121"/>
      <c r="U244" s="121"/>
      <c r="V244" s="121"/>
      <c r="W244" s="121"/>
      <c r="X244" s="121"/>
      <c r="Y244" s="121"/>
      <c r="Z244" s="121"/>
      <c r="AA244" s="123"/>
      <c r="AB244" s="123"/>
      <c r="AC244" s="123"/>
      <c r="AD244" s="123"/>
      <c r="AE244" s="123"/>
      <c r="AF244" s="123"/>
      <c r="AG244" s="123"/>
      <c r="AH244" s="123"/>
      <c r="AI244" s="123"/>
      <c r="AJ244" s="123"/>
      <c r="AK244" s="123"/>
      <c r="AL244" s="123"/>
      <c r="AM244" s="123"/>
      <c r="AN244" s="123"/>
      <c r="AO244" s="123"/>
      <c r="AP244" s="123"/>
      <c r="AQ244" s="123"/>
      <c r="AR244" s="123"/>
      <c r="AS244" s="123"/>
      <c r="AT244" s="123"/>
      <c r="AU244" s="123"/>
      <c r="AV244" s="123"/>
      <c r="AW244" s="123"/>
      <c r="AX244" s="123"/>
    </row>
    <row r="245">
      <c r="A245" s="177"/>
      <c r="B245" s="177"/>
      <c r="C245" s="121"/>
      <c r="D245" s="121"/>
      <c r="E245" s="121"/>
      <c r="F245" s="121"/>
      <c r="G245" s="177"/>
      <c r="H245" s="121"/>
      <c r="I245" s="121"/>
      <c r="J245" s="121"/>
      <c r="K245" s="121"/>
      <c r="L245" s="121"/>
      <c r="M245" s="121"/>
      <c r="N245" s="121"/>
      <c r="O245" s="121"/>
      <c r="P245" s="121"/>
      <c r="Q245" s="121"/>
      <c r="R245" s="121"/>
      <c r="S245" s="121"/>
      <c r="T245" s="121"/>
      <c r="U245" s="121"/>
      <c r="V245" s="121"/>
      <c r="W245" s="121"/>
      <c r="X245" s="121"/>
      <c r="Y245" s="121"/>
      <c r="Z245" s="121"/>
      <c r="AA245" s="123"/>
      <c r="AB245" s="123"/>
      <c r="AC245" s="123"/>
      <c r="AD245" s="123"/>
      <c r="AE245" s="123"/>
      <c r="AF245" s="123"/>
      <c r="AG245" s="123"/>
      <c r="AH245" s="123"/>
      <c r="AI245" s="123"/>
      <c r="AJ245" s="123"/>
      <c r="AK245" s="123"/>
      <c r="AL245" s="123"/>
      <c r="AM245" s="123"/>
      <c r="AN245" s="123"/>
      <c r="AO245" s="123"/>
      <c r="AP245" s="123"/>
      <c r="AQ245" s="123"/>
      <c r="AR245" s="123"/>
      <c r="AS245" s="123"/>
      <c r="AT245" s="123"/>
      <c r="AU245" s="123"/>
      <c r="AV245" s="123"/>
      <c r="AW245" s="123"/>
      <c r="AX245" s="123"/>
    </row>
    <row r="246">
      <c r="A246" s="177"/>
      <c r="B246" s="177"/>
      <c r="C246" s="121"/>
      <c r="D246" s="121"/>
      <c r="E246" s="121"/>
      <c r="F246" s="121"/>
      <c r="G246" s="177"/>
      <c r="H246" s="121"/>
      <c r="I246" s="121"/>
      <c r="J246" s="121"/>
      <c r="K246" s="121"/>
      <c r="L246" s="121"/>
      <c r="M246" s="121"/>
      <c r="N246" s="121"/>
      <c r="O246" s="121"/>
      <c r="P246" s="121"/>
      <c r="Q246" s="121"/>
      <c r="R246" s="121"/>
      <c r="S246" s="121"/>
      <c r="T246" s="121"/>
      <c r="U246" s="121"/>
      <c r="V246" s="121"/>
      <c r="W246" s="121"/>
      <c r="X246" s="121"/>
      <c r="Y246" s="121"/>
      <c r="Z246" s="121"/>
      <c r="AA246" s="123"/>
      <c r="AB246" s="123"/>
      <c r="AC246" s="123"/>
      <c r="AD246" s="123"/>
      <c r="AE246" s="123"/>
      <c r="AF246" s="123"/>
      <c r="AG246" s="123"/>
      <c r="AH246" s="123"/>
      <c r="AI246" s="123"/>
      <c r="AJ246" s="123"/>
      <c r="AK246" s="123"/>
      <c r="AL246" s="123"/>
      <c r="AM246" s="123"/>
      <c r="AN246" s="123"/>
      <c r="AO246" s="123"/>
      <c r="AP246" s="123"/>
      <c r="AQ246" s="123"/>
      <c r="AR246" s="123"/>
      <c r="AS246" s="123"/>
      <c r="AT246" s="123"/>
      <c r="AU246" s="123"/>
      <c r="AV246" s="123"/>
      <c r="AW246" s="123"/>
      <c r="AX246" s="123"/>
    </row>
    <row r="247">
      <c r="A247" s="177"/>
      <c r="B247" s="177"/>
      <c r="C247" s="121"/>
      <c r="D247" s="121"/>
      <c r="E247" s="121"/>
      <c r="F247" s="121"/>
      <c r="G247" s="177"/>
      <c r="H247" s="121"/>
      <c r="I247" s="121"/>
      <c r="J247" s="121"/>
      <c r="K247" s="121"/>
      <c r="L247" s="121"/>
      <c r="M247" s="121"/>
      <c r="N247" s="121"/>
      <c r="O247" s="121"/>
      <c r="P247" s="121"/>
      <c r="Q247" s="121"/>
      <c r="R247" s="121"/>
      <c r="S247" s="121"/>
      <c r="T247" s="121"/>
      <c r="U247" s="121"/>
      <c r="V247" s="121"/>
      <c r="W247" s="121"/>
      <c r="X247" s="121"/>
      <c r="Y247" s="121"/>
      <c r="Z247" s="121"/>
      <c r="AA247" s="123"/>
      <c r="AB247" s="123"/>
      <c r="AC247" s="123"/>
      <c r="AD247" s="123"/>
      <c r="AE247" s="123"/>
      <c r="AF247" s="123"/>
      <c r="AG247" s="123"/>
      <c r="AH247" s="123"/>
      <c r="AI247" s="123"/>
      <c r="AJ247" s="123"/>
      <c r="AK247" s="123"/>
      <c r="AL247" s="123"/>
      <c r="AM247" s="123"/>
      <c r="AN247" s="123"/>
      <c r="AO247" s="123"/>
      <c r="AP247" s="123"/>
      <c r="AQ247" s="123"/>
      <c r="AR247" s="123"/>
      <c r="AS247" s="123"/>
      <c r="AT247" s="123"/>
      <c r="AU247" s="123"/>
      <c r="AV247" s="123"/>
      <c r="AW247" s="123"/>
      <c r="AX247" s="123"/>
    </row>
    <row r="248">
      <c r="A248" s="177"/>
      <c r="B248" s="177"/>
      <c r="C248" s="121"/>
      <c r="D248" s="121"/>
      <c r="E248" s="121"/>
      <c r="F248" s="121"/>
      <c r="G248" s="177"/>
      <c r="H248" s="121"/>
      <c r="I248" s="121"/>
      <c r="J248" s="121"/>
      <c r="K248" s="121"/>
      <c r="L248" s="121"/>
      <c r="M248" s="121"/>
      <c r="N248" s="121"/>
      <c r="O248" s="121"/>
      <c r="P248" s="121"/>
      <c r="Q248" s="121"/>
      <c r="R248" s="121"/>
      <c r="S248" s="121"/>
      <c r="T248" s="121"/>
      <c r="U248" s="121"/>
      <c r="V248" s="121"/>
      <c r="W248" s="121"/>
      <c r="X248" s="121"/>
      <c r="Y248" s="121"/>
      <c r="Z248" s="121"/>
      <c r="AA248" s="123"/>
      <c r="AB248" s="123"/>
      <c r="AC248" s="123"/>
      <c r="AD248" s="123"/>
      <c r="AE248" s="123"/>
      <c r="AF248" s="123"/>
      <c r="AG248" s="123"/>
      <c r="AH248" s="123"/>
      <c r="AI248" s="123"/>
      <c r="AJ248" s="123"/>
      <c r="AK248" s="123"/>
      <c r="AL248" s="123"/>
      <c r="AM248" s="123"/>
      <c r="AN248" s="123"/>
      <c r="AO248" s="123"/>
      <c r="AP248" s="123"/>
      <c r="AQ248" s="123"/>
      <c r="AR248" s="123"/>
      <c r="AS248" s="123"/>
      <c r="AT248" s="123"/>
      <c r="AU248" s="123"/>
      <c r="AV248" s="123"/>
      <c r="AW248" s="123"/>
      <c r="AX248" s="123"/>
    </row>
    <row r="249">
      <c r="A249" s="177"/>
      <c r="B249" s="177"/>
      <c r="C249" s="121"/>
      <c r="D249" s="121"/>
      <c r="E249" s="121"/>
      <c r="F249" s="121"/>
      <c r="G249" s="177"/>
      <c r="H249" s="121"/>
      <c r="I249" s="121"/>
      <c r="J249" s="121"/>
      <c r="K249" s="121"/>
      <c r="L249" s="121"/>
      <c r="M249" s="121"/>
      <c r="N249" s="121"/>
      <c r="O249" s="121"/>
      <c r="P249" s="121"/>
      <c r="Q249" s="121"/>
      <c r="R249" s="121"/>
      <c r="S249" s="121"/>
      <c r="T249" s="121"/>
      <c r="U249" s="121"/>
      <c r="V249" s="121"/>
      <c r="W249" s="121"/>
      <c r="X249" s="121"/>
      <c r="Y249" s="121"/>
      <c r="Z249" s="121"/>
      <c r="AA249" s="123"/>
      <c r="AB249" s="123"/>
      <c r="AC249" s="123"/>
      <c r="AD249" s="123"/>
      <c r="AE249" s="123"/>
      <c r="AF249" s="123"/>
      <c r="AG249" s="123"/>
      <c r="AH249" s="123"/>
      <c r="AI249" s="123"/>
      <c r="AJ249" s="123"/>
      <c r="AK249" s="123"/>
      <c r="AL249" s="123"/>
      <c r="AM249" s="123"/>
      <c r="AN249" s="123"/>
      <c r="AO249" s="123"/>
      <c r="AP249" s="123"/>
      <c r="AQ249" s="123"/>
      <c r="AR249" s="123"/>
      <c r="AS249" s="123"/>
      <c r="AT249" s="123"/>
      <c r="AU249" s="123"/>
      <c r="AV249" s="123"/>
      <c r="AW249" s="123"/>
      <c r="AX249" s="123"/>
    </row>
    <row r="250">
      <c r="A250" s="177"/>
      <c r="B250" s="177"/>
      <c r="C250" s="121"/>
      <c r="D250" s="121"/>
      <c r="E250" s="121"/>
      <c r="F250" s="121"/>
      <c r="G250" s="177"/>
      <c r="H250" s="121"/>
      <c r="I250" s="121"/>
      <c r="J250" s="121"/>
      <c r="K250" s="121"/>
      <c r="L250" s="121"/>
      <c r="M250" s="121"/>
      <c r="N250" s="121"/>
      <c r="O250" s="121"/>
      <c r="P250" s="121"/>
      <c r="Q250" s="121"/>
      <c r="R250" s="121"/>
      <c r="S250" s="121"/>
      <c r="T250" s="121"/>
      <c r="U250" s="121"/>
      <c r="V250" s="121"/>
      <c r="W250" s="121"/>
      <c r="X250" s="121"/>
      <c r="Y250" s="121"/>
      <c r="Z250" s="121"/>
      <c r="AA250" s="123"/>
      <c r="AB250" s="123"/>
      <c r="AC250" s="123"/>
      <c r="AD250" s="123"/>
      <c r="AE250" s="123"/>
      <c r="AF250" s="123"/>
      <c r="AG250" s="123"/>
      <c r="AH250" s="123"/>
      <c r="AI250" s="123"/>
      <c r="AJ250" s="123"/>
      <c r="AK250" s="123"/>
      <c r="AL250" s="123"/>
      <c r="AM250" s="123"/>
      <c r="AN250" s="123"/>
      <c r="AO250" s="123"/>
      <c r="AP250" s="123"/>
      <c r="AQ250" s="123"/>
      <c r="AR250" s="123"/>
      <c r="AS250" s="123"/>
      <c r="AT250" s="123"/>
      <c r="AU250" s="123"/>
      <c r="AV250" s="123"/>
      <c r="AW250" s="123"/>
      <c r="AX250" s="123"/>
    </row>
    <row r="251">
      <c r="A251" s="177"/>
      <c r="B251" s="177"/>
      <c r="C251" s="121"/>
      <c r="D251" s="121"/>
      <c r="E251" s="121"/>
      <c r="F251" s="121"/>
      <c r="G251" s="177"/>
      <c r="H251" s="121"/>
      <c r="I251" s="121"/>
      <c r="J251" s="121"/>
      <c r="K251" s="121"/>
      <c r="L251" s="121"/>
      <c r="M251" s="121"/>
      <c r="N251" s="121"/>
      <c r="O251" s="121"/>
      <c r="P251" s="121"/>
      <c r="Q251" s="121"/>
      <c r="R251" s="121"/>
      <c r="S251" s="121"/>
      <c r="T251" s="121"/>
      <c r="U251" s="121"/>
      <c r="V251" s="121"/>
      <c r="W251" s="121"/>
      <c r="X251" s="121"/>
      <c r="Y251" s="121"/>
      <c r="Z251" s="121"/>
      <c r="AA251" s="123"/>
      <c r="AB251" s="123"/>
      <c r="AC251" s="123"/>
      <c r="AD251" s="123"/>
      <c r="AE251" s="123"/>
      <c r="AF251" s="123"/>
      <c r="AG251" s="123"/>
      <c r="AH251" s="123"/>
      <c r="AI251" s="123"/>
      <c r="AJ251" s="123"/>
      <c r="AK251" s="123"/>
      <c r="AL251" s="123"/>
      <c r="AM251" s="123"/>
      <c r="AN251" s="123"/>
      <c r="AO251" s="123"/>
      <c r="AP251" s="123"/>
      <c r="AQ251" s="123"/>
      <c r="AR251" s="123"/>
      <c r="AS251" s="123"/>
      <c r="AT251" s="123"/>
      <c r="AU251" s="123"/>
      <c r="AV251" s="123"/>
      <c r="AW251" s="123"/>
      <c r="AX251" s="123"/>
    </row>
    <row r="252">
      <c r="A252" s="177"/>
      <c r="B252" s="177"/>
      <c r="C252" s="121"/>
      <c r="D252" s="121"/>
      <c r="E252" s="121"/>
      <c r="F252" s="121"/>
      <c r="G252" s="177"/>
      <c r="H252" s="121"/>
      <c r="I252" s="121"/>
      <c r="J252" s="121"/>
      <c r="K252" s="121"/>
      <c r="L252" s="121"/>
      <c r="M252" s="121"/>
      <c r="N252" s="121"/>
      <c r="O252" s="121"/>
      <c r="P252" s="121"/>
      <c r="Q252" s="121"/>
      <c r="R252" s="121"/>
      <c r="S252" s="121"/>
      <c r="T252" s="121"/>
      <c r="U252" s="121"/>
      <c r="V252" s="121"/>
      <c r="W252" s="121"/>
      <c r="X252" s="121"/>
      <c r="Y252" s="121"/>
      <c r="Z252" s="121"/>
      <c r="AA252" s="123"/>
      <c r="AB252" s="123"/>
      <c r="AC252" s="123"/>
      <c r="AD252" s="123"/>
      <c r="AE252" s="123"/>
      <c r="AF252" s="123"/>
      <c r="AG252" s="123"/>
      <c r="AH252" s="123"/>
      <c r="AI252" s="123"/>
      <c r="AJ252" s="123"/>
      <c r="AK252" s="123"/>
      <c r="AL252" s="123"/>
      <c r="AM252" s="123"/>
      <c r="AN252" s="123"/>
      <c r="AO252" s="123"/>
      <c r="AP252" s="123"/>
      <c r="AQ252" s="123"/>
      <c r="AR252" s="123"/>
      <c r="AS252" s="123"/>
      <c r="AT252" s="123"/>
      <c r="AU252" s="123"/>
      <c r="AV252" s="123"/>
      <c r="AW252" s="123"/>
      <c r="AX252" s="123"/>
    </row>
    <row r="253">
      <c r="A253" s="177"/>
      <c r="B253" s="177"/>
      <c r="C253" s="121"/>
      <c r="D253" s="121"/>
      <c r="E253" s="121"/>
      <c r="F253" s="121"/>
      <c r="G253" s="177"/>
      <c r="H253" s="121"/>
      <c r="I253" s="121"/>
      <c r="J253" s="121"/>
      <c r="K253" s="121"/>
      <c r="L253" s="121"/>
      <c r="M253" s="121"/>
      <c r="N253" s="121"/>
      <c r="O253" s="121"/>
      <c r="P253" s="121"/>
      <c r="Q253" s="121"/>
      <c r="R253" s="121"/>
      <c r="S253" s="121"/>
      <c r="T253" s="121"/>
      <c r="U253" s="121"/>
      <c r="V253" s="121"/>
      <c r="W253" s="121"/>
      <c r="X253" s="121"/>
      <c r="Y253" s="121"/>
      <c r="Z253" s="121"/>
      <c r="AA253" s="123"/>
      <c r="AB253" s="123"/>
      <c r="AC253" s="123"/>
      <c r="AD253" s="123"/>
      <c r="AE253" s="123"/>
      <c r="AF253" s="123"/>
      <c r="AG253" s="123"/>
      <c r="AH253" s="123"/>
      <c r="AI253" s="123"/>
      <c r="AJ253" s="123"/>
      <c r="AK253" s="123"/>
      <c r="AL253" s="123"/>
      <c r="AM253" s="123"/>
      <c r="AN253" s="123"/>
      <c r="AO253" s="123"/>
      <c r="AP253" s="123"/>
      <c r="AQ253" s="123"/>
      <c r="AR253" s="123"/>
      <c r="AS253" s="123"/>
      <c r="AT253" s="123"/>
      <c r="AU253" s="123"/>
      <c r="AV253" s="123"/>
      <c r="AW253" s="123"/>
      <c r="AX253" s="123"/>
    </row>
    <row r="254">
      <c r="A254" s="173"/>
      <c r="B254" s="174"/>
      <c r="C254" s="174"/>
      <c r="D254" s="71"/>
      <c r="E254" s="71"/>
      <c r="F254" s="71"/>
      <c r="G254" s="174"/>
      <c r="H254" s="173"/>
      <c r="I254" s="173"/>
      <c r="J254" s="174"/>
      <c r="K254" s="71"/>
      <c r="L254" s="174"/>
      <c r="M254" s="174"/>
      <c r="N254" s="71"/>
      <c r="O254" s="174"/>
      <c r="P254" s="174"/>
      <c r="Q254" s="174"/>
      <c r="R254" s="174"/>
      <c r="S254" s="71"/>
      <c r="T254" s="71"/>
      <c r="U254" s="176"/>
      <c r="V254" s="174"/>
      <c r="W254" s="174"/>
      <c r="X254" s="174"/>
      <c r="Y254" s="71"/>
      <c r="Z254" s="71"/>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row>
    <row r="255">
      <c r="A255" s="173"/>
      <c r="B255" s="174"/>
      <c r="C255" s="175"/>
      <c r="D255" s="175"/>
      <c r="E255" s="175"/>
      <c r="F255" s="174"/>
      <c r="G255" s="174"/>
      <c r="H255" s="71"/>
      <c r="I255" s="173"/>
      <c r="J255" s="174"/>
      <c r="K255" s="71"/>
      <c r="L255" s="174"/>
      <c r="M255" s="174"/>
      <c r="N255" s="174"/>
      <c r="O255" s="174"/>
      <c r="P255" s="174"/>
      <c r="Q255" s="174"/>
      <c r="R255" s="174"/>
      <c r="S255" s="174"/>
      <c r="T255" s="174"/>
      <c r="U255" s="176"/>
      <c r="V255" s="175"/>
      <c r="W255" s="174"/>
      <c r="X255" s="174"/>
      <c r="Y255" s="136"/>
      <c r="Z255" s="71"/>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row>
    <row r="256">
      <c r="A256" s="173"/>
      <c r="B256" s="174"/>
      <c r="C256" s="175"/>
      <c r="D256" s="175"/>
      <c r="E256" s="136"/>
      <c r="F256" s="174"/>
      <c r="G256" s="174"/>
      <c r="H256" s="173"/>
      <c r="I256" s="173"/>
      <c r="J256" s="174"/>
      <c r="K256" s="71"/>
      <c r="L256" s="174"/>
      <c r="M256" s="174"/>
      <c r="N256" s="174"/>
      <c r="O256" s="174"/>
      <c r="P256" s="174"/>
      <c r="Q256" s="174"/>
      <c r="R256" s="174"/>
      <c r="S256" s="174"/>
      <c r="T256" s="174"/>
      <c r="U256" s="176"/>
      <c r="V256" s="71"/>
      <c r="W256" s="174"/>
      <c r="X256" s="174"/>
      <c r="Y256" s="136"/>
      <c r="Z256" s="71"/>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row>
    <row r="257">
      <c r="A257" s="173"/>
      <c r="B257" s="174"/>
      <c r="C257" s="175"/>
      <c r="D257" s="175"/>
      <c r="E257" s="174"/>
      <c r="F257" s="174"/>
      <c r="G257" s="174"/>
      <c r="H257" s="173"/>
      <c r="I257" s="173"/>
      <c r="J257" s="174"/>
      <c r="K257" s="71"/>
      <c r="L257" s="174"/>
      <c r="M257" s="174"/>
      <c r="N257" s="174"/>
      <c r="O257" s="174"/>
      <c r="P257" s="174"/>
      <c r="Q257" s="174"/>
      <c r="R257" s="174"/>
      <c r="S257" s="71"/>
      <c r="T257" s="71"/>
      <c r="U257" s="176"/>
      <c r="V257" s="174"/>
      <c r="W257" s="174"/>
      <c r="X257" s="174"/>
      <c r="Y257" s="136"/>
      <c r="Z257" s="71"/>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row>
    <row r="258">
      <c r="A258" s="186"/>
      <c r="B258" s="187"/>
      <c r="C258" s="139"/>
      <c r="D258" s="139"/>
      <c r="E258" s="139"/>
      <c r="F258" s="139"/>
      <c r="G258" s="187"/>
      <c r="H258" s="139"/>
      <c r="I258" s="139"/>
      <c r="J258" s="139"/>
      <c r="K258" s="139"/>
      <c r="L258" s="139"/>
      <c r="M258" s="139"/>
      <c r="N258" s="139"/>
      <c r="O258" s="139"/>
      <c r="P258" s="139"/>
      <c r="Q258" s="139"/>
      <c r="R258" s="139"/>
      <c r="S258" s="139"/>
      <c r="T258" s="139"/>
      <c r="U258" s="139"/>
      <c r="V258" s="71"/>
      <c r="W258" s="71"/>
      <c r="X258" s="71"/>
      <c r="Y258" s="136"/>
      <c r="Z258" s="71"/>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row>
    <row r="259">
      <c r="A259" s="173"/>
      <c r="B259" s="174"/>
      <c r="C259" s="174"/>
      <c r="D259" s="71"/>
      <c r="E259" s="71"/>
      <c r="F259" s="71"/>
      <c r="G259" s="174"/>
      <c r="H259" s="173"/>
      <c r="I259" s="173"/>
      <c r="J259" s="174"/>
      <c r="K259" s="71"/>
      <c r="L259" s="174"/>
      <c r="M259" s="174"/>
      <c r="N259" s="174"/>
      <c r="O259" s="174"/>
      <c r="P259" s="174"/>
      <c r="Q259" s="174"/>
      <c r="R259" s="174"/>
      <c r="S259" s="71"/>
      <c r="T259" s="174"/>
      <c r="U259" s="176"/>
      <c r="V259" s="174"/>
      <c r="W259" s="71"/>
      <c r="X259" s="71"/>
      <c r="Y259" s="71"/>
      <c r="Z259" s="71"/>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row>
    <row r="260">
      <c r="A260" s="177"/>
      <c r="B260" s="177"/>
      <c r="C260" s="121"/>
      <c r="D260" s="121"/>
      <c r="E260" s="121"/>
      <c r="F260" s="121"/>
      <c r="G260" s="177"/>
      <c r="H260" s="121"/>
      <c r="I260" s="121"/>
      <c r="J260" s="121"/>
      <c r="K260" s="121"/>
      <c r="L260" s="121"/>
      <c r="M260" s="121"/>
      <c r="N260" s="121"/>
      <c r="O260" s="121"/>
      <c r="P260" s="121"/>
      <c r="Q260" s="121"/>
      <c r="R260" s="121"/>
      <c r="S260" s="121"/>
      <c r="T260" s="121"/>
      <c r="U260" s="121"/>
      <c r="V260" s="121"/>
      <c r="W260" s="121"/>
      <c r="X260" s="121"/>
      <c r="Y260" s="121"/>
      <c r="Z260" s="121"/>
      <c r="AA260" s="123"/>
      <c r="AB260" s="123"/>
      <c r="AC260" s="123"/>
      <c r="AD260" s="123"/>
      <c r="AE260" s="123"/>
      <c r="AF260" s="123"/>
      <c r="AG260" s="123"/>
      <c r="AH260" s="123"/>
      <c r="AI260" s="123"/>
      <c r="AJ260" s="123"/>
      <c r="AK260" s="123"/>
      <c r="AL260" s="123"/>
      <c r="AM260" s="123"/>
      <c r="AN260" s="123"/>
      <c r="AO260" s="123"/>
      <c r="AP260" s="123"/>
      <c r="AQ260" s="123"/>
      <c r="AR260" s="123"/>
      <c r="AS260" s="123"/>
      <c r="AT260" s="123"/>
      <c r="AU260" s="123"/>
      <c r="AV260" s="123"/>
      <c r="AW260" s="123"/>
      <c r="AX260" s="123"/>
    </row>
    <row r="261">
      <c r="A261" s="177"/>
      <c r="B261" s="177"/>
      <c r="C261" s="121"/>
      <c r="D261" s="121"/>
      <c r="E261" s="121"/>
      <c r="F261" s="121"/>
      <c r="G261" s="177"/>
      <c r="H261" s="121"/>
      <c r="I261" s="121"/>
      <c r="J261" s="121"/>
      <c r="K261" s="121"/>
      <c r="L261" s="121"/>
      <c r="M261" s="121"/>
      <c r="N261" s="121"/>
      <c r="O261" s="121"/>
      <c r="P261" s="121"/>
      <c r="Q261" s="121"/>
      <c r="R261" s="121"/>
      <c r="S261" s="121"/>
      <c r="T261" s="121"/>
      <c r="U261" s="121"/>
      <c r="V261" s="121"/>
      <c r="W261" s="121"/>
      <c r="X261" s="121"/>
      <c r="Y261" s="121"/>
      <c r="Z261" s="121"/>
      <c r="AA261" s="123"/>
      <c r="AB261" s="123"/>
      <c r="AC261" s="123"/>
      <c r="AD261" s="123"/>
      <c r="AE261" s="123"/>
      <c r="AF261" s="123"/>
      <c r="AG261" s="123"/>
      <c r="AH261" s="123"/>
      <c r="AI261" s="123"/>
      <c r="AJ261" s="123"/>
      <c r="AK261" s="123"/>
      <c r="AL261" s="123"/>
      <c r="AM261" s="123"/>
      <c r="AN261" s="123"/>
      <c r="AO261" s="123"/>
      <c r="AP261" s="123"/>
      <c r="AQ261" s="123"/>
      <c r="AR261" s="123"/>
      <c r="AS261" s="123"/>
      <c r="AT261" s="123"/>
      <c r="AU261" s="123"/>
      <c r="AV261" s="123"/>
      <c r="AW261" s="123"/>
      <c r="AX261" s="123"/>
    </row>
    <row r="262">
      <c r="A262" s="177"/>
      <c r="B262" s="177"/>
      <c r="C262" s="121"/>
      <c r="D262" s="121"/>
      <c r="E262" s="121"/>
      <c r="F262" s="121"/>
      <c r="G262" s="177"/>
      <c r="H262" s="121"/>
      <c r="I262" s="121"/>
      <c r="J262" s="121"/>
      <c r="K262" s="121"/>
      <c r="L262" s="121"/>
      <c r="M262" s="121"/>
      <c r="N262" s="121"/>
      <c r="O262" s="121"/>
      <c r="P262" s="121"/>
      <c r="Q262" s="121"/>
      <c r="R262" s="121"/>
      <c r="S262" s="121"/>
      <c r="T262" s="121"/>
      <c r="U262" s="121"/>
      <c r="V262" s="121"/>
      <c r="W262" s="121"/>
      <c r="X262" s="121"/>
      <c r="Y262" s="121"/>
      <c r="Z262" s="121"/>
      <c r="AA262" s="123"/>
      <c r="AB262" s="123"/>
      <c r="AC262" s="123"/>
      <c r="AD262" s="123"/>
      <c r="AE262" s="123"/>
      <c r="AF262" s="123"/>
      <c r="AG262" s="123"/>
      <c r="AH262" s="123"/>
      <c r="AI262" s="123"/>
      <c r="AJ262" s="123"/>
      <c r="AK262" s="123"/>
      <c r="AL262" s="123"/>
      <c r="AM262" s="123"/>
      <c r="AN262" s="123"/>
      <c r="AO262" s="123"/>
      <c r="AP262" s="123"/>
      <c r="AQ262" s="123"/>
      <c r="AR262" s="123"/>
      <c r="AS262" s="123"/>
      <c r="AT262" s="123"/>
      <c r="AU262" s="123"/>
      <c r="AV262" s="123"/>
      <c r="AW262" s="123"/>
      <c r="AX262" s="123"/>
    </row>
    <row r="263">
      <c r="A263" s="177"/>
      <c r="B263" s="177"/>
      <c r="C263" s="121"/>
      <c r="D263" s="121"/>
      <c r="E263" s="121"/>
      <c r="F263" s="121"/>
      <c r="G263" s="177"/>
      <c r="H263" s="121"/>
      <c r="I263" s="121"/>
      <c r="J263" s="121"/>
      <c r="K263" s="121"/>
      <c r="L263" s="121"/>
      <c r="M263" s="121"/>
      <c r="N263" s="121"/>
      <c r="O263" s="121"/>
      <c r="P263" s="121"/>
      <c r="Q263" s="121"/>
      <c r="R263" s="121"/>
      <c r="S263" s="121"/>
      <c r="T263" s="121"/>
      <c r="U263" s="121"/>
      <c r="V263" s="121"/>
      <c r="W263" s="121"/>
      <c r="X263" s="121"/>
      <c r="Y263" s="121"/>
      <c r="Z263" s="121"/>
      <c r="AA263" s="123"/>
      <c r="AB263" s="123"/>
      <c r="AC263" s="123"/>
      <c r="AD263" s="123"/>
      <c r="AE263" s="123"/>
      <c r="AF263" s="123"/>
      <c r="AG263" s="123"/>
      <c r="AH263" s="123"/>
      <c r="AI263" s="123"/>
      <c r="AJ263" s="123"/>
      <c r="AK263" s="123"/>
      <c r="AL263" s="123"/>
      <c r="AM263" s="123"/>
      <c r="AN263" s="123"/>
      <c r="AO263" s="123"/>
      <c r="AP263" s="123"/>
      <c r="AQ263" s="123"/>
      <c r="AR263" s="123"/>
      <c r="AS263" s="123"/>
      <c r="AT263" s="123"/>
      <c r="AU263" s="123"/>
      <c r="AV263" s="123"/>
      <c r="AW263" s="123"/>
      <c r="AX263" s="123"/>
    </row>
    <row r="264">
      <c r="A264" s="177"/>
      <c r="B264" s="177"/>
      <c r="C264" s="121"/>
      <c r="D264" s="121"/>
      <c r="E264" s="121"/>
      <c r="F264" s="121"/>
      <c r="G264" s="177"/>
      <c r="H264" s="121"/>
      <c r="I264" s="121"/>
      <c r="J264" s="121"/>
      <c r="K264" s="121"/>
      <c r="L264" s="121"/>
      <c r="M264" s="121"/>
      <c r="N264" s="121"/>
      <c r="O264" s="121"/>
      <c r="P264" s="121"/>
      <c r="Q264" s="121"/>
      <c r="R264" s="121"/>
      <c r="S264" s="121"/>
      <c r="T264" s="121"/>
      <c r="U264" s="121"/>
      <c r="V264" s="121"/>
      <c r="W264" s="121"/>
      <c r="X264" s="121"/>
      <c r="Y264" s="121"/>
      <c r="Z264" s="121"/>
      <c r="AA264" s="123"/>
      <c r="AB264" s="123"/>
      <c r="AC264" s="123"/>
      <c r="AD264" s="123"/>
      <c r="AE264" s="123"/>
      <c r="AF264" s="123"/>
      <c r="AG264" s="123"/>
      <c r="AH264" s="123"/>
      <c r="AI264" s="123"/>
      <c r="AJ264" s="123"/>
      <c r="AK264" s="123"/>
      <c r="AL264" s="123"/>
      <c r="AM264" s="123"/>
      <c r="AN264" s="123"/>
      <c r="AO264" s="123"/>
      <c r="AP264" s="123"/>
      <c r="AQ264" s="123"/>
      <c r="AR264" s="123"/>
      <c r="AS264" s="123"/>
      <c r="AT264" s="123"/>
      <c r="AU264" s="123"/>
      <c r="AV264" s="123"/>
      <c r="AW264" s="123"/>
      <c r="AX264" s="123"/>
    </row>
    <row r="265">
      <c r="A265" s="177"/>
      <c r="B265" s="177"/>
      <c r="C265" s="121"/>
      <c r="D265" s="121"/>
      <c r="E265" s="121"/>
      <c r="F265" s="121"/>
      <c r="G265" s="177"/>
      <c r="H265" s="121"/>
      <c r="I265" s="121"/>
      <c r="J265" s="121"/>
      <c r="K265" s="121"/>
      <c r="L265" s="121"/>
      <c r="M265" s="121"/>
      <c r="N265" s="121"/>
      <c r="O265" s="121"/>
      <c r="P265" s="121"/>
      <c r="Q265" s="121"/>
      <c r="R265" s="121"/>
      <c r="S265" s="121"/>
      <c r="T265" s="121"/>
      <c r="U265" s="121"/>
      <c r="V265" s="121"/>
      <c r="W265" s="121"/>
      <c r="X265" s="121"/>
      <c r="Y265" s="121"/>
      <c r="Z265" s="121"/>
      <c r="AA265" s="123"/>
      <c r="AB265" s="123"/>
      <c r="AC265" s="123"/>
      <c r="AD265" s="123"/>
      <c r="AE265" s="123"/>
      <c r="AF265" s="123"/>
      <c r="AG265" s="123"/>
      <c r="AH265" s="123"/>
      <c r="AI265" s="123"/>
      <c r="AJ265" s="123"/>
      <c r="AK265" s="123"/>
      <c r="AL265" s="123"/>
      <c r="AM265" s="123"/>
      <c r="AN265" s="123"/>
      <c r="AO265" s="123"/>
      <c r="AP265" s="123"/>
      <c r="AQ265" s="123"/>
      <c r="AR265" s="123"/>
      <c r="AS265" s="123"/>
      <c r="AT265" s="123"/>
      <c r="AU265" s="123"/>
      <c r="AV265" s="123"/>
      <c r="AW265" s="123"/>
      <c r="AX265" s="123"/>
    </row>
    <row r="266">
      <c r="A266" s="177"/>
      <c r="B266" s="177"/>
      <c r="C266" s="121"/>
      <c r="D266" s="121"/>
      <c r="E266" s="121"/>
      <c r="F266" s="121"/>
      <c r="G266" s="177"/>
      <c r="H266" s="121"/>
      <c r="I266" s="121"/>
      <c r="J266" s="121"/>
      <c r="K266" s="121"/>
      <c r="L266" s="121"/>
      <c r="M266" s="121"/>
      <c r="N266" s="121"/>
      <c r="O266" s="121"/>
      <c r="P266" s="121"/>
      <c r="Q266" s="121"/>
      <c r="R266" s="121"/>
      <c r="S266" s="121"/>
      <c r="T266" s="121"/>
      <c r="U266" s="121"/>
      <c r="V266" s="121"/>
      <c r="W266" s="121"/>
      <c r="X266" s="121"/>
      <c r="Y266" s="121"/>
      <c r="Z266" s="121"/>
      <c r="AA266" s="123"/>
      <c r="AB266" s="123"/>
      <c r="AC266" s="123"/>
      <c r="AD266" s="123"/>
      <c r="AE266" s="123"/>
      <c r="AF266" s="123"/>
      <c r="AG266" s="123"/>
      <c r="AH266" s="123"/>
      <c r="AI266" s="123"/>
      <c r="AJ266" s="123"/>
      <c r="AK266" s="123"/>
      <c r="AL266" s="123"/>
      <c r="AM266" s="123"/>
      <c r="AN266" s="123"/>
      <c r="AO266" s="123"/>
      <c r="AP266" s="123"/>
      <c r="AQ266" s="123"/>
      <c r="AR266" s="123"/>
      <c r="AS266" s="123"/>
      <c r="AT266" s="123"/>
      <c r="AU266" s="123"/>
      <c r="AV266" s="123"/>
      <c r="AW266" s="123"/>
      <c r="AX266" s="123"/>
    </row>
    <row r="267">
      <c r="A267" s="177"/>
      <c r="B267" s="177"/>
      <c r="C267" s="121"/>
      <c r="D267" s="121"/>
      <c r="E267" s="121"/>
      <c r="F267" s="121"/>
      <c r="G267" s="177"/>
      <c r="H267" s="121"/>
      <c r="I267" s="121"/>
      <c r="J267" s="121"/>
      <c r="K267" s="121"/>
      <c r="L267" s="121"/>
      <c r="M267" s="121"/>
      <c r="N267" s="121"/>
      <c r="O267" s="121"/>
      <c r="P267" s="121"/>
      <c r="Q267" s="121"/>
      <c r="R267" s="121"/>
      <c r="S267" s="121"/>
      <c r="T267" s="121"/>
      <c r="U267" s="121"/>
      <c r="V267" s="121"/>
      <c r="W267" s="121"/>
      <c r="X267" s="121"/>
      <c r="Y267" s="121"/>
      <c r="Z267" s="121"/>
      <c r="AA267" s="123"/>
      <c r="AB267" s="123"/>
      <c r="AC267" s="123"/>
      <c r="AD267" s="123"/>
      <c r="AE267" s="123"/>
      <c r="AF267" s="123"/>
      <c r="AG267" s="123"/>
      <c r="AH267" s="123"/>
      <c r="AI267" s="123"/>
      <c r="AJ267" s="123"/>
      <c r="AK267" s="123"/>
      <c r="AL267" s="123"/>
      <c r="AM267" s="123"/>
      <c r="AN267" s="123"/>
      <c r="AO267" s="123"/>
      <c r="AP267" s="123"/>
      <c r="AQ267" s="123"/>
      <c r="AR267" s="123"/>
      <c r="AS267" s="123"/>
      <c r="AT267" s="123"/>
      <c r="AU267" s="123"/>
      <c r="AV267" s="123"/>
      <c r="AW267" s="123"/>
      <c r="AX267" s="123"/>
    </row>
    <row r="268">
      <c r="A268" s="177"/>
      <c r="B268" s="177"/>
      <c r="C268" s="121"/>
      <c r="D268" s="121"/>
      <c r="E268" s="121"/>
      <c r="F268" s="121"/>
      <c r="G268" s="177"/>
      <c r="H268" s="121"/>
      <c r="I268" s="121"/>
      <c r="J268" s="121"/>
      <c r="K268" s="121"/>
      <c r="L268" s="121"/>
      <c r="M268" s="121"/>
      <c r="N268" s="121"/>
      <c r="O268" s="121"/>
      <c r="P268" s="121"/>
      <c r="Q268" s="121"/>
      <c r="R268" s="121"/>
      <c r="S268" s="121"/>
      <c r="T268" s="121"/>
      <c r="U268" s="121"/>
      <c r="V268" s="121"/>
      <c r="W268" s="121"/>
      <c r="X268" s="121"/>
      <c r="Y268" s="121"/>
      <c r="Z268" s="121"/>
      <c r="AA268" s="123"/>
      <c r="AB268" s="123"/>
      <c r="AC268" s="123"/>
      <c r="AD268" s="123"/>
      <c r="AE268" s="123"/>
      <c r="AF268" s="123"/>
      <c r="AG268" s="123"/>
      <c r="AH268" s="123"/>
      <c r="AI268" s="123"/>
      <c r="AJ268" s="123"/>
      <c r="AK268" s="123"/>
      <c r="AL268" s="123"/>
      <c r="AM268" s="123"/>
      <c r="AN268" s="123"/>
      <c r="AO268" s="123"/>
      <c r="AP268" s="123"/>
      <c r="AQ268" s="123"/>
      <c r="AR268" s="123"/>
      <c r="AS268" s="123"/>
      <c r="AT268" s="123"/>
      <c r="AU268" s="123"/>
      <c r="AV268" s="123"/>
      <c r="AW268" s="123"/>
      <c r="AX268" s="123"/>
    </row>
    <row r="269">
      <c r="A269" s="177"/>
      <c r="B269" s="177"/>
      <c r="C269" s="121"/>
      <c r="D269" s="121"/>
      <c r="E269" s="121"/>
      <c r="F269" s="121"/>
      <c r="G269" s="177"/>
      <c r="H269" s="121"/>
      <c r="I269" s="121"/>
      <c r="J269" s="121"/>
      <c r="K269" s="121"/>
      <c r="L269" s="121"/>
      <c r="M269" s="121"/>
      <c r="N269" s="121"/>
      <c r="O269" s="121"/>
      <c r="P269" s="121"/>
      <c r="Q269" s="121"/>
      <c r="R269" s="121"/>
      <c r="S269" s="121"/>
      <c r="T269" s="121"/>
      <c r="U269" s="121"/>
      <c r="V269" s="121"/>
      <c r="W269" s="121"/>
      <c r="X269" s="121"/>
      <c r="Y269" s="121"/>
      <c r="Z269" s="121"/>
      <c r="AA269" s="123"/>
      <c r="AB269" s="123"/>
      <c r="AC269" s="123"/>
      <c r="AD269" s="123"/>
      <c r="AE269" s="123"/>
      <c r="AF269" s="123"/>
      <c r="AG269" s="123"/>
      <c r="AH269" s="123"/>
      <c r="AI269" s="123"/>
      <c r="AJ269" s="123"/>
      <c r="AK269" s="123"/>
      <c r="AL269" s="123"/>
      <c r="AM269" s="123"/>
      <c r="AN269" s="123"/>
      <c r="AO269" s="123"/>
      <c r="AP269" s="123"/>
      <c r="AQ269" s="123"/>
      <c r="AR269" s="123"/>
      <c r="AS269" s="123"/>
      <c r="AT269" s="123"/>
      <c r="AU269" s="123"/>
      <c r="AV269" s="123"/>
      <c r="AW269" s="123"/>
      <c r="AX269" s="123"/>
    </row>
    <row r="270">
      <c r="A270" s="177"/>
      <c r="B270" s="177"/>
      <c r="C270" s="121"/>
      <c r="D270" s="121"/>
      <c r="E270" s="121"/>
      <c r="F270" s="121"/>
      <c r="G270" s="177"/>
      <c r="H270" s="121"/>
      <c r="I270" s="121"/>
      <c r="J270" s="121"/>
      <c r="K270" s="121"/>
      <c r="L270" s="121"/>
      <c r="M270" s="121"/>
      <c r="N270" s="121"/>
      <c r="O270" s="121"/>
      <c r="P270" s="121"/>
      <c r="Q270" s="121"/>
      <c r="R270" s="121"/>
      <c r="S270" s="121"/>
      <c r="T270" s="121"/>
      <c r="U270" s="121"/>
      <c r="V270" s="121"/>
      <c r="W270" s="121"/>
      <c r="X270" s="121"/>
      <c r="Y270" s="121"/>
      <c r="Z270" s="121"/>
      <c r="AA270" s="123"/>
      <c r="AB270" s="123"/>
      <c r="AC270" s="123"/>
      <c r="AD270" s="123"/>
      <c r="AE270" s="123"/>
      <c r="AF270" s="123"/>
      <c r="AG270" s="123"/>
      <c r="AH270" s="123"/>
      <c r="AI270" s="123"/>
      <c r="AJ270" s="123"/>
      <c r="AK270" s="123"/>
      <c r="AL270" s="123"/>
      <c r="AM270" s="123"/>
      <c r="AN270" s="123"/>
      <c r="AO270" s="123"/>
      <c r="AP270" s="123"/>
      <c r="AQ270" s="123"/>
      <c r="AR270" s="123"/>
      <c r="AS270" s="123"/>
      <c r="AT270" s="123"/>
      <c r="AU270" s="123"/>
      <c r="AV270" s="123"/>
      <c r="AW270" s="123"/>
      <c r="AX270" s="123"/>
    </row>
    <row r="271">
      <c r="A271" s="177"/>
      <c r="B271" s="177"/>
      <c r="C271" s="121"/>
      <c r="D271" s="121"/>
      <c r="E271" s="121"/>
      <c r="F271" s="121"/>
      <c r="G271" s="177"/>
      <c r="H271" s="121"/>
      <c r="I271" s="121"/>
      <c r="J271" s="121"/>
      <c r="K271" s="121"/>
      <c r="L271" s="121"/>
      <c r="M271" s="121"/>
      <c r="N271" s="121"/>
      <c r="O271" s="121"/>
      <c r="P271" s="121"/>
      <c r="Q271" s="121"/>
      <c r="R271" s="121"/>
      <c r="S271" s="121"/>
      <c r="T271" s="121"/>
      <c r="U271" s="121"/>
      <c r="V271" s="121"/>
      <c r="W271" s="121"/>
      <c r="X271" s="121"/>
      <c r="Y271" s="121"/>
      <c r="Z271" s="121"/>
      <c r="AA271" s="123"/>
      <c r="AB271" s="123"/>
      <c r="AC271" s="123"/>
      <c r="AD271" s="123"/>
      <c r="AE271" s="123"/>
      <c r="AF271" s="123"/>
      <c r="AG271" s="123"/>
      <c r="AH271" s="123"/>
      <c r="AI271" s="123"/>
      <c r="AJ271" s="123"/>
      <c r="AK271" s="123"/>
      <c r="AL271" s="123"/>
      <c r="AM271" s="123"/>
      <c r="AN271" s="123"/>
      <c r="AO271" s="123"/>
      <c r="AP271" s="123"/>
      <c r="AQ271" s="123"/>
      <c r="AR271" s="123"/>
      <c r="AS271" s="123"/>
      <c r="AT271" s="123"/>
      <c r="AU271" s="123"/>
      <c r="AV271" s="123"/>
      <c r="AW271" s="123"/>
      <c r="AX271" s="123"/>
    </row>
    <row r="272">
      <c r="A272" s="177"/>
      <c r="B272" s="177"/>
      <c r="C272" s="121"/>
      <c r="D272" s="121"/>
      <c r="E272" s="121"/>
      <c r="F272" s="121"/>
      <c r="G272" s="177"/>
      <c r="H272" s="121"/>
      <c r="I272" s="121"/>
      <c r="J272" s="121"/>
      <c r="K272" s="121"/>
      <c r="L272" s="121"/>
      <c r="M272" s="121"/>
      <c r="N272" s="121"/>
      <c r="O272" s="121"/>
      <c r="P272" s="121"/>
      <c r="Q272" s="121"/>
      <c r="R272" s="121"/>
      <c r="S272" s="121"/>
      <c r="T272" s="121"/>
      <c r="U272" s="121"/>
      <c r="V272" s="121"/>
      <c r="W272" s="121"/>
      <c r="X272" s="121"/>
      <c r="Y272" s="121"/>
      <c r="Z272" s="121"/>
      <c r="AA272" s="123"/>
      <c r="AB272" s="123"/>
      <c r="AC272" s="123"/>
      <c r="AD272" s="123"/>
      <c r="AE272" s="123"/>
      <c r="AF272" s="123"/>
      <c r="AG272" s="123"/>
      <c r="AH272" s="123"/>
      <c r="AI272" s="123"/>
      <c r="AJ272" s="123"/>
      <c r="AK272" s="123"/>
      <c r="AL272" s="123"/>
      <c r="AM272" s="123"/>
      <c r="AN272" s="123"/>
      <c r="AO272" s="123"/>
      <c r="AP272" s="123"/>
      <c r="AQ272" s="123"/>
      <c r="AR272" s="123"/>
      <c r="AS272" s="123"/>
      <c r="AT272" s="123"/>
      <c r="AU272" s="123"/>
      <c r="AV272" s="123"/>
      <c r="AW272" s="123"/>
      <c r="AX272" s="123"/>
    </row>
    <row r="273">
      <c r="A273" s="177"/>
      <c r="B273" s="177"/>
      <c r="C273" s="121"/>
      <c r="D273" s="121"/>
      <c r="E273" s="121"/>
      <c r="F273" s="121"/>
      <c r="G273" s="177"/>
      <c r="H273" s="121"/>
      <c r="I273" s="121"/>
      <c r="J273" s="121"/>
      <c r="K273" s="121"/>
      <c r="L273" s="121"/>
      <c r="M273" s="121"/>
      <c r="N273" s="121"/>
      <c r="O273" s="121"/>
      <c r="P273" s="121"/>
      <c r="Q273" s="121"/>
      <c r="R273" s="121"/>
      <c r="S273" s="121"/>
      <c r="T273" s="121"/>
      <c r="U273" s="121"/>
      <c r="V273" s="121"/>
      <c r="W273" s="121"/>
      <c r="X273" s="121"/>
      <c r="Y273" s="121"/>
      <c r="Z273" s="121"/>
      <c r="AA273" s="123"/>
      <c r="AB273" s="123"/>
      <c r="AC273" s="123"/>
      <c r="AD273" s="123"/>
      <c r="AE273" s="123"/>
      <c r="AF273" s="123"/>
      <c r="AG273" s="123"/>
      <c r="AH273" s="123"/>
      <c r="AI273" s="123"/>
      <c r="AJ273" s="123"/>
      <c r="AK273" s="123"/>
      <c r="AL273" s="123"/>
      <c r="AM273" s="123"/>
      <c r="AN273" s="123"/>
      <c r="AO273" s="123"/>
      <c r="AP273" s="123"/>
      <c r="AQ273" s="123"/>
      <c r="AR273" s="123"/>
      <c r="AS273" s="123"/>
      <c r="AT273" s="123"/>
      <c r="AU273" s="123"/>
      <c r="AV273" s="123"/>
      <c r="AW273" s="123"/>
      <c r="AX273" s="123"/>
    </row>
    <row r="274">
      <c r="A274" s="177"/>
      <c r="B274" s="177"/>
      <c r="C274" s="121"/>
      <c r="D274" s="121"/>
      <c r="E274" s="121"/>
      <c r="F274" s="121"/>
      <c r="G274" s="177"/>
      <c r="H274" s="121"/>
      <c r="I274" s="121"/>
      <c r="J274" s="121"/>
      <c r="K274" s="121"/>
      <c r="L274" s="121"/>
      <c r="M274" s="121"/>
      <c r="N274" s="121"/>
      <c r="O274" s="121"/>
      <c r="P274" s="121"/>
      <c r="Q274" s="121"/>
      <c r="R274" s="121"/>
      <c r="S274" s="121"/>
      <c r="T274" s="121"/>
      <c r="U274" s="121"/>
      <c r="V274" s="121"/>
      <c r="W274" s="121"/>
      <c r="X274" s="121"/>
      <c r="Y274" s="121"/>
      <c r="Z274" s="121"/>
      <c r="AA274" s="123"/>
      <c r="AB274" s="123"/>
      <c r="AC274" s="123"/>
      <c r="AD274" s="123"/>
      <c r="AE274" s="123"/>
      <c r="AF274" s="123"/>
      <c r="AG274" s="123"/>
      <c r="AH274" s="123"/>
      <c r="AI274" s="123"/>
      <c r="AJ274" s="123"/>
      <c r="AK274" s="123"/>
      <c r="AL274" s="123"/>
      <c r="AM274" s="123"/>
      <c r="AN274" s="123"/>
      <c r="AO274" s="123"/>
      <c r="AP274" s="123"/>
      <c r="AQ274" s="123"/>
      <c r="AR274" s="123"/>
      <c r="AS274" s="123"/>
      <c r="AT274" s="123"/>
      <c r="AU274" s="123"/>
      <c r="AV274" s="123"/>
      <c r="AW274" s="123"/>
      <c r="AX274" s="123"/>
    </row>
    <row r="275">
      <c r="A275" s="173"/>
      <c r="B275" s="174"/>
      <c r="C275" s="175"/>
      <c r="D275" s="175"/>
      <c r="E275" s="174"/>
      <c r="F275" s="174"/>
      <c r="G275" s="174"/>
      <c r="H275" s="173"/>
      <c r="I275" s="173"/>
      <c r="J275" s="174"/>
      <c r="K275" s="71"/>
      <c r="L275" s="174"/>
      <c r="M275" s="174"/>
      <c r="N275" s="174"/>
      <c r="O275" s="174"/>
      <c r="P275" s="174"/>
      <c r="Q275" s="174"/>
      <c r="R275" s="174"/>
      <c r="S275" s="174"/>
      <c r="T275" s="174"/>
      <c r="U275" s="176"/>
      <c r="V275" s="71"/>
      <c r="W275" s="174"/>
      <c r="X275" s="174"/>
      <c r="Y275" s="136"/>
      <c r="Z275" s="71"/>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row>
    <row r="276">
      <c r="A276" s="173"/>
      <c r="B276" s="174"/>
      <c r="C276" s="175"/>
      <c r="D276" s="175"/>
      <c r="E276" s="174"/>
      <c r="F276" s="174"/>
      <c r="G276" s="174"/>
      <c r="H276" s="173"/>
      <c r="I276" s="173"/>
      <c r="J276" s="174"/>
      <c r="K276" s="71"/>
      <c r="L276" s="174"/>
      <c r="M276" s="174"/>
      <c r="N276" s="174"/>
      <c r="O276" s="174"/>
      <c r="P276" s="174"/>
      <c r="Q276" s="174"/>
      <c r="R276" s="174"/>
      <c r="S276" s="174"/>
      <c r="T276" s="174"/>
      <c r="U276" s="176"/>
      <c r="V276" s="71"/>
      <c r="W276" s="174"/>
      <c r="X276" s="174"/>
      <c r="Y276" s="136"/>
      <c r="Z276" s="71"/>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row>
    <row r="277">
      <c r="A277" s="173"/>
      <c r="B277" s="174"/>
      <c r="C277" s="175"/>
      <c r="D277" s="175"/>
      <c r="E277" s="71"/>
      <c r="F277" s="174"/>
      <c r="G277" s="174"/>
      <c r="H277" s="71"/>
      <c r="I277" s="173"/>
      <c r="J277" s="174"/>
      <c r="K277" s="71"/>
      <c r="L277" s="174"/>
      <c r="M277" s="174"/>
      <c r="N277" s="174"/>
      <c r="O277" s="174"/>
      <c r="P277" s="174"/>
      <c r="Q277" s="174"/>
      <c r="R277" s="174"/>
      <c r="S277" s="71"/>
      <c r="T277" s="71"/>
      <c r="U277" s="176"/>
      <c r="V277" s="175"/>
      <c r="W277" s="174"/>
      <c r="X277" s="174"/>
      <c r="Y277" s="175"/>
      <c r="Z277" s="175"/>
      <c r="AA277" s="178"/>
      <c r="AB277" s="178"/>
      <c r="AC277" s="178"/>
      <c r="AD277" s="178"/>
      <c r="AE277" s="178"/>
      <c r="AF277" s="178"/>
      <c r="AG277" s="178"/>
      <c r="AH277" s="178"/>
      <c r="AI277" s="178"/>
      <c r="AJ277" s="178"/>
      <c r="AK277" s="178"/>
      <c r="AL277" s="178"/>
      <c r="AM277" s="178"/>
      <c r="AN277" s="178"/>
      <c r="AO277" s="178"/>
      <c r="AP277" s="178"/>
      <c r="AQ277" s="178"/>
      <c r="AR277" s="178"/>
      <c r="AS277" s="178"/>
      <c r="AT277" s="178"/>
      <c r="AU277" s="178"/>
      <c r="AV277" s="178"/>
      <c r="AW277" s="178"/>
      <c r="AX277" s="178"/>
    </row>
    <row r="278">
      <c r="A278" s="182"/>
      <c r="B278" s="183"/>
      <c r="C278" s="183"/>
      <c r="D278" s="184"/>
      <c r="E278" s="184"/>
      <c r="F278" s="183"/>
      <c r="G278" s="184"/>
      <c r="H278" s="184"/>
      <c r="I278" s="184"/>
      <c r="J278" s="184"/>
      <c r="K278" s="184"/>
      <c r="L278" s="184"/>
      <c r="M278" s="184"/>
      <c r="N278" s="184"/>
      <c r="O278" s="182"/>
      <c r="P278" s="184"/>
      <c r="Q278" s="184"/>
      <c r="R278" s="182"/>
      <c r="S278" s="184"/>
      <c r="T278" s="184"/>
      <c r="U278" s="184"/>
      <c r="V278" s="184"/>
      <c r="W278" s="183"/>
      <c r="X278" s="183"/>
      <c r="Y278" s="175"/>
      <c r="Z278" s="175"/>
      <c r="AA278" s="178"/>
      <c r="AB278" s="178"/>
      <c r="AC278" s="178"/>
      <c r="AD278" s="178"/>
      <c r="AE278" s="178"/>
      <c r="AF278" s="178"/>
      <c r="AG278" s="178"/>
      <c r="AH278" s="178"/>
      <c r="AI278" s="178"/>
      <c r="AJ278" s="178"/>
      <c r="AK278" s="178"/>
      <c r="AL278" s="178"/>
      <c r="AM278" s="178"/>
      <c r="AN278" s="178"/>
      <c r="AO278" s="178"/>
      <c r="AP278" s="178"/>
      <c r="AQ278" s="178"/>
      <c r="AR278" s="178"/>
      <c r="AS278" s="178"/>
      <c r="AT278" s="178"/>
      <c r="AU278" s="178"/>
      <c r="AV278" s="178"/>
      <c r="AW278" s="178"/>
      <c r="AX278" s="178"/>
    </row>
    <row r="279">
      <c r="A279" s="173"/>
      <c r="B279" s="174"/>
      <c r="C279" s="175"/>
      <c r="D279" s="175"/>
      <c r="E279" s="71"/>
      <c r="F279" s="193"/>
      <c r="G279" s="193"/>
      <c r="H279" s="173"/>
      <c r="I279" s="173"/>
      <c r="J279" s="174"/>
      <c r="K279" s="71"/>
      <c r="L279" s="174"/>
      <c r="M279" s="174"/>
      <c r="N279" s="174"/>
      <c r="O279" s="174"/>
      <c r="P279" s="174"/>
      <c r="Q279" s="174"/>
      <c r="R279" s="174"/>
      <c r="S279" s="174"/>
      <c r="T279" s="174"/>
      <c r="U279" s="176"/>
      <c r="V279" s="174"/>
      <c r="W279" s="174"/>
      <c r="X279" s="174"/>
      <c r="Y279" s="136"/>
      <c r="Z279" s="71"/>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row>
    <row r="280">
      <c r="A280" s="173"/>
      <c r="B280" s="174"/>
      <c r="C280" s="175"/>
      <c r="D280" s="175"/>
      <c r="E280" s="71"/>
      <c r="F280" s="174"/>
      <c r="G280" s="174"/>
      <c r="H280" s="71"/>
      <c r="I280" s="173"/>
      <c r="J280" s="174"/>
      <c r="K280" s="71"/>
      <c r="L280" s="174"/>
      <c r="M280" s="174"/>
      <c r="N280" s="174"/>
      <c r="O280" s="174"/>
      <c r="P280" s="174"/>
      <c r="Q280" s="174"/>
      <c r="R280" s="174"/>
      <c r="S280" s="174"/>
      <c r="T280" s="174"/>
      <c r="U280" s="176"/>
      <c r="V280" s="71"/>
      <c r="W280" s="174"/>
      <c r="X280" s="174"/>
      <c r="Y280" s="136"/>
      <c r="Z280" s="71"/>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row>
    <row r="281">
      <c r="A281" s="173"/>
      <c r="B281" s="174"/>
      <c r="C281" s="174"/>
      <c r="D281" s="71"/>
      <c r="E281" s="71"/>
      <c r="F281" s="71"/>
      <c r="G281" s="174"/>
      <c r="H281" s="71"/>
      <c r="I281" s="173"/>
      <c r="J281" s="174"/>
      <c r="K281" s="71"/>
      <c r="L281" s="174"/>
      <c r="M281" s="174"/>
      <c r="N281" s="174"/>
      <c r="O281" s="174"/>
      <c r="P281" s="174"/>
      <c r="Q281" s="174"/>
      <c r="R281" s="174"/>
      <c r="S281" s="71"/>
      <c r="T281" s="174"/>
      <c r="U281" s="176"/>
      <c r="V281" s="174"/>
      <c r="W281" s="71"/>
      <c r="X281" s="71"/>
      <c r="Y281" s="71"/>
      <c r="Z281" s="71"/>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row>
    <row r="282">
      <c r="A282" s="173"/>
      <c r="B282" s="174"/>
      <c r="C282" s="175"/>
      <c r="D282" s="175"/>
      <c r="E282" s="175"/>
      <c r="F282" s="174"/>
      <c r="G282" s="174"/>
      <c r="H282" s="71"/>
      <c r="I282" s="173"/>
      <c r="J282" s="174"/>
      <c r="K282" s="71"/>
      <c r="L282" s="174"/>
      <c r="M282" s="174"/>
      <c r="N282" s="174"/>
      <c r="O282" s="174"/>
      <c r="P282" s="174"/>
      <c r="Q282" s="174"/>
      <c r="R282" s="174"/>
      <c r="S282" s="71"/>
      <c r="T282" s="71"/>
      <c r="U282" s="176"/>
      <c r="V282" s="71"/>
      <c r="W282" s="174"/>
      <c r="X282" s="174"/>
      <c r="Y282" s="136"/>
      <c r="Z282" s="71"/>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row>
    <row r="283">
      <c r="A283" s="173"/>
      <c r="B283" s="174"/>
      <c r="C283" s="175"/>
      <c r="D283" s="175"/>
      <c r="E283" s="71"/>
      <c r="F283" s="174"/>
      <c r="G283" s="174"/>
      <c r="H283" s="71"/>
      <c r="I283" s="173"/>
      <c r="J283" s="174"/>
      <c r="K283" s="71"/>
      <c r="L283" s="174"/>
      <c r="M283" s="174"/>
      <c r="N283" s="174"/>
      <c r="O283" s="174"/>
      <c r="P283" s="174"/>
      <c r="Q283" s="174"/>
      <c r="R283" s="174"/>
      <c r="S283" s="71"/>
      <c r="T283" s="71"/>
      <c r="U283" s="176"/>
      <c r="V283" s="174"/>
      <c r="W283" s="174"/>
      <c r="X283" s="174"/>
      <c r="Y283" s="136"/>
      <c r="Z283" s="71"/>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row>
    <row r="284">
      <c r="A284" s="173"/>
      <c r="B284" s="174"/>
      <c r="C284" s="175"/>
      <c r="D284" s="175"/>
      <c r="E284" s="175"/>
      <c r="F284" s="174"/>
      <c r="G284" s="174"/>
      <c r="H284" s="173"/>
      <c r="I284" s="173"/>
      <c r="J284" s="174"/>
      <c r="K284" s="71"/>
      <c r="L284" s="174"/>
      <c r="M284" s="174"/>
      <c r="N284" s="174"/>
      <c r="O284" s="174"/>
      <c r="P284" s="174"/>
      <c r="Q284" s="174"/>
      <c r="R284" s="174"/>
      <c r="S284" s="174"/>
      <c r="T284" s="174"/>
      <c r="U284" s="176"/>
      <c r="V284" s="71"/>
      <c r="W284" s="174"/>
      <c r="X284" s="174"/>
      <c r="Y284" s="175"/>
      <c r="Z284" s="173"/>
      <c r="AA284" s="171"/>
      <c r="AB284" s="171"/>
      <c r="AC284" s="171"/>
      <c r="AD284" s="171"/>
      <c r="AE284" s="171"/>
      <c r="AF284" s="171"/>
      <c r="AG284" s="171"/>
      <c r="AH284" s="171"/>
      <c r="AI284" s="171"/>
      <c r="AJ284" s="171"/>
      <c r="AK284" s="171"/>
      <c r="AL284" s="171"/>
      <c r="AM284" s="171"/>
      <c r="AN284" s="171"/>
      <c r="AO284" s="171"/>
      <c r="AP284" s="171"/>
      <c r="AQ284" s="171"/>
      <c r="AR284" s="171"/>
      <c r="AS284" s="171"/>
      <c r="AT284" s="171"/>
      <c r="AU284" s="171"/>
      <c r="AV284" s="171"/>
      <c r="AW284" s="171"/>
      <c r="AX284" s="171"/>
    </row>
    <row r="285">
      <c r="A285" s="177"/>
      <c r="B285" s="177"/>
      <c r="C285" s="121"/>
      <c r="D285" s="121"/>
      <c r="E285" s="121"/>
      <c r="F285" s="121"/>
      <c r="G285" s="177"/>
      <c r="H285" s="121"/>
      <c r="I285" s="121"/>
      <c r="J285" s="121"/>
      <c r="K285" s="121"/>
      <c r="L285" s="121"/>
      <c r="M285" s="121"/>
      <c r="N285" s="121"/>
      <c r="O285" s="121"/>
      <c r="P285" s="121"/>
      <c r="Q285" s="121"/>
      <c r="R285" s="121"/>
      <c r="S285" s="121"/>
      <c r="T285" s="121"/>
      <c r="U285" s="121"/>
      <c r="V285" s="121"/>
      <c r="W285" s="121"/>
      <c r="X285" s="121"/>
      <c r="Y285" s="121"/>
      <c r="Z285" s="121"/>
      <c r="AA285" s="123"/>
      <c r="AB285" s="123"/>
      <c r="AC285" s="123"/>
      <c r="AD285" s="123"/>
      <c r="AE285" s="123"/>
      <c r="AF285" s="123"/>
      <c r="AG285" s="123"/>
      <c r="AH285" s="123"/>
      <c r="AI285" s="123"/>
      <c r="AJ285" s="123"/>
      <c r="AK285" s="123"/>
      <c r="AL285" s="123"/>
      <c r="AM285" s="123"/>
      <c r="AN285" s="123"/>
      <c r="AO285" s="123"/>
      <c r="AP285" s="123"/>
      <c r="AQ285" s="123"/>
      <c r="AR285" s="123"/>
      <c r="AS285" s="123"/>
      <c r="AT285" s="123"/>
      <c r="AU285" s="123"/>
      <c r="AV285" s="123"/>
      <c r="AW285" s="123"/>
      <c r="AX285" s="123"/>
    </row>
    <row r="286">
      <c r="A286" s="177"/>
      <c r="B286" s="177"/>
      <c r="C286" s="121"/>
      <c r="D286" s="121"/>
      <c r="E286" s="121"/>
      <c r="F286" s="121"/>
      <c r="G286" s="177"/>
      <c r="H286" s="121"/>
      <c r="I286" s="121"/>
      <c r="J286" s="121"/>
      <c r="K286" s="121"/>
      <c r="L286" s="121"/>
      <c r="M286" s="121"/>
      <c r="N286" s="121"/>
      <c r="O286" s="121"/>
      <c r="P286" s="121"/>
      <c r="Q286" s="121"/>
      <c r="R286" s="121"/>
      <c r="S286" s="121"/>
      <c r="T286" s="121"/>
      <c r="U286" s="121"/>
      <c r="V286" s="121"/>
      <c r="W286" s="121"/>
      <c r="X286" s="121"/>
      <c r="Y286" s="121"/>
      <c r="Z286" s="121"/>
      <c r="AA286" s="123"/>
      <c r="AB286" s="123"/>
      <c r="AC286" s="123"/>
      <c r="AD286" s="123"/>
      <c r="AE286" s="123"/>
      <c r="AF286" s="123"/>
      <c r="AG286" s="123"/>
      <c r="AH286" s="123"/>
      <c r="AI286" s="123"/>
      <c r="AJ286" s="123"/>
      <c r="AK286" s="123"/>
      <c r="AL286" s="123"/>
      <c r="AM286" s="123"/>
      <c r="AN286" s="123"/>
      <c r="AO286" s="123"/>
      <c r="AP286" s="123"/>
      <c r="AQ286" s="123"/>
      <c r="AR286" s="123"/>
      <c r="AS286" s="123"/>
      <c r="AT286" s="123"/>
      <c r="AU286" s="123"/>
      <c r="AV286" s="123"/>
      <c r="AW286" s="123"/>
      <c r="AX286" s="123"/>
    </row>
    <row r="287">
      <c r="A287" s="177"/>
      <c r="B287" s="177"/>
      <c r="C287" s="121"/>
      <c r="D287" s="121"/>
      <c r="E287" s="121"/>
      <c r="F287" s="121"/>
      <c r="G287" s="177"/>
      <c r="H287" s="121"/>
      <c r="I287" s="121"/>
      <c r="J287" s="121"/>
      <c r="K287" s="121"/>
      <c r="L287" s="121"/>
      <c r="M287" s="121"/>
      <c r="N287" s="121"/>
      <c r="O287" s="121"/>
      <c r="P287" s="121"/>
      <c r="Q287" s="121"/>
      <c r="R287" s="121"/>
      <c r="S287" s="121"/>
      <c r="T287" s="121"/>
      <c r="U287" s="121"/>
      <c r="V287" s="121"/>
      <c r="W287" s="121"/>
      <c r="X287" s="121"/>
      <c r="Y287" s="121"/>
      <c r="Z287" s="121"/>
      <c r="AA287" s="123"/>
      <c r="AB287" s="123"/>
      <c r="AC287" s="123"/>
      <c r="AD287" s="123"/>
      <c r="AE287" s="123"/>
      <c r="AF287" s="123"/>
      <c r="AG287" s="123"/>
      <c r="AH287" s="123"/>
      <c r="AI287" s="123"/>
      <c r="AJ287" s="123"/>
      <c r="AK287" s="123"/>
      <c r="AL287" s="123"/>
      <c r="AM287" s="123"/>
      <c r="AN287" s="123"/>
      <c r="AO287" s="123"/>
      <c r="AP287" s="123"/>
      <c r="AQ287" s="123"/>
      <c r="AR287" s="123"/>
      <c r="AS287" s="123"/>
      <c r="AT287" s="123"/>
      <c r="AU287" s="123"/>
      <c r="AV287" s="123"/>
      <c r="AW287" s="123"/>
      <c r="AX287" s="123"/>
    </row>
    <row r="288">
      <c r="A288" s="177"/>
      <c r="B288" s="177"/>
      <c r="C288" s="121"/>
      <c r="D288" s="121"/>
      <c r="E288" s="121"/>
      <c r="F288" s="121"/>
      <c r="G288" s="177"/>
      <c r="H288" s="121"/>
      <c r="I288" s="121"/>
      <c r="J288" s="121"/>
      <c r="K288" s="121"/>
      <c r="L288" s="121"/>
      <c r="M288" s="121"/>
      <c r="N288" s="121"/>
      <c r="O288" s="121"/>
      <c r="P288" s="121"/>
      <c r="Q288" s="121"/>
      <c r="R288" s="121"/>
      <c r="S288" s="121"/>
      <c r="T288" s="121"/>
      <c r="U288" s="121"/>
      <c r="V288" s="121"/>
      <c r="W288" s="121"/>
      <c r="X288" s="121"/>
      <c r="Y288" s="121"/>
      <c r="Z288" s="121"/>
      <c r="AA288" s="123"/>
      <c r="AB288" s="123"/>
      <c r="AC288" s="123"/>
      <c r="AD288" s="123"/>
      <c r="AE288" s="123"/>
      <c r="AF288" s="123"/>
      <c r="AG288" s="123"/>
      <c r="AH288" s="123"/>
      <c r="AI288" s="123"/>
      <c r="AJ288" s="123"/>
      <c r="AK288" s="123"/>
      <c r="AL288" s="123"/>
      <c r="AM288" s="123"/>
      <c r="AN288" s="123"/>
      <c r="AO288" s="123"/>
      <c r="AP288" s="123"/>
      <c r="AQ288" s="123"/>
      <c r="AR288" s="123"/>
      <c r="AS288" s="123"/>
      <c r="AT288" s="123"/>
      <c r="AU288" s="123"/>
      <c r="AV288" s="123"/>
      <c r="AW288" s="123"/>
      <c r="AX288" s="123"/>
    </row>
    <row r="289">
      <c r="A289" s="177"/>
      <c r="B289" s="177"/>
      <c r="C289" s="121"/>
      <c r="D289" s="121"/>
      <c r="E289" s="121"/>
      <c r="F289" s="121"/>
      <c r="G289" s="177"/>
      <c r="H289" s="121"/>
      <c r="I289" s="121"/>
      <c r="J289" s="121"/>
      <c r="K289" s="121"/>
      <c r="L289" s="121"/>
      <c r="M289" s="121"/>
      <c r="N289" s="121"/>
      <c r="O289" s="121"/>
      <c r="P289" s="121"/>
      <c r="Q289" s="121"/>
      <c r="R289" s="121"/>
      <c r="S289" s="121"/>
      <c r="T289" s="121"/>
      <c r="U289" s="121"/>
      <c r="V289" s="121"/>
      <c r="W289" s="121"/>
      <c r="X289" s="121"/>
      <c r="Y289" s="121"/>
      <c r="Z289" s="121"/>
      <c r="AA289" s="123"/>
      <c r="AB289" s="123"/>
      <c r="AC289" s="123"/>
      <c r="AD289" s="123"/>
      <c r="AE289" s="123"/>
      <c r="AF289" s="123"/>
      <c r="AG289" s="123"/>
      <c r="AH289" s="123"/>
      <c r="AI289" s="123"/>
      <c r="AJ289" s="123"/>
      <c r="AK289" s="123"/>
      <c r="AL289" s="123"/>
      <c r="AM289" s="123"/>
      <c r="AN289" s="123"/>
      <c r="AO289" s="123"/>
      <c r="AP289" s="123"/>
      <c r="AQ289" s="123"/>
      <c r="AR289" s="123"/>
      <c r="AS289" s="123"/>
      <c r="AT289" s="123"/>
      <c r="AU289" s="123"/>
      <c r="AV289" s="123"/>
      <c r="AW289" s="123"/>
      <c r="AX289" s="123"/>
    </row>
    <row r="290">
      <c r="A290" s="177"/>
      <c r="B290" s="177"/>
      <c r="C290" s="121"/>
      <c r="D290" s="121"/>
      <c r="E290" s="121"/>
      <c r="F290" s="121"/>
      <c r="G290" s="177"/>
      <c r="H290" s="121"/>
      <c r="I290" s="121"/>
      <c r="J290" s="121"/>
      <c r="K290" s="121"/>
      <c r="L290" s="121"/>
      <c r="M290" s="121"/>
      <c r="N290" s="121"/>
      <c r="O290" s="121"/>
      <c r="P290" s="121"/>
      <c r="Q290" s="121"/>
      <c r="R290" s="121"/>
      <c r="S290" s="121"/>
      <c r="T290" s="121"/>
      <c r="U290" s="121"/>
      <c r="V290" s="121"/>
      <c r="W290" s="121"/>
      <c r="X290" s="121"/>
      <c r="Y290" s="121"/>
      <c r="Z290" s="121"/>
      <c r="AA290" s="123"/>
      <c r="AB290" s="123"/>
      <c r="AC290" s="123"/>
      <c r="AD290" s="123"/>
      <c r="AE290" s="123"/>
      <c r="AF290" s="123"/>
      <c r="AG290" s="123"/>
      <c r="AH290" s="123"/>
      <c r="AI290" s="123"/>
      <c r="AJ290" s="123"/>
      <c r="AK290" s="123"/>
      <c r="AL290" s="123"/>
      <c r="AM290" s="123"/>
      <c r="AN290" s="123"/>
      <c r="AO290" s="123"/>
      <c r="AP290" s="123"/>
      <c r="AQ290" s="123"/>
      <c r="AR290" s="123"/>
      <c r="AS290" s="123"/>
      <c r="AT290" s="123"/>
      <c r="AU290" s="123"/>
      <c r="AV290" s="123"/>
      <c r="AW290" s="123"/>
      <c r="AX290" s="123"/>
    </row>
    <row r="291">
      <c r="A291" s="177"/>
      <c r="B291" s="177"/>
      <c r="C291" s="121"/>
      <c r="D291" s="121"/>
      <c r="E291" s="121"/>
      <c r="F291" s="121"/>
      <c r="G291" s="177"/>
      <c r="H291" s="121"/>
      <c r="I291" s="121"/>
      <c r="J291" s="121"/>
      <c r="K291" s="121"/>
      <c r="L291" s="121"/>
      <c r="M291" s="121"/>
      <c r="N291" s="121"/>
      <c r="O291" s="121"/>
      <c r="P291" s="121"/>
      <c r="Q291" s="121"/>
      <c r="R291" s="121"/>
      <c r="S291" s="121"/>
      <c r="T291" s="121"/>
      <c r="U291" s="121"/>
      <c r="V291" s="121"/>
      <c r="W291" s="121"/>
      <c r="X291" s="121"/>
      <c r="Y291" s="121"/>
      <c r="Z291" s="121"/>
      <c r="AA291" s="123"/>
      <c r="AB291" s="123"/>
      <c r="AC291" s="123"/>
      <c r="AD291" s="123"/>
      <c r="AE291" s="123"/>
      <c r="AF291" s="123"/>
      <c r="AG291" s="123"/>
      <c r="AH291" s="123"/>
      <c r="AI291" s="123"/>
      <c r="AJ291" s="123"/>
      <c r="AK291" s="123"/>
      <c r="AL291" s="123"/>
      <c r="AM291" s="123"/>
      <c r="AN291" s="123"/>
      <c r="AO291" s="123"/>
      <c r="AP291" s="123"/>
      <c r="AQ291" s="123"/>
      <c r="AR291" s="123"/>
      <c r="AS291" s="123"/>
      <c r="AT291" s="123"/>
      <c r="AU291" s="123"/>
      <c r="AV291" s="123"/>
      <c r="AW291" s="123"/>
      <c r="AX291" s="123"/>
    </row>
    <row r="292">
      <c r="A292" s="177"/>
      <c r="B292" s="177"/>
      <c r="C292" s="121"/>
      <c r="D292" s="121"/>
      <c r="E292" s="121"/>
      <c r="F292" s="121"/>
      <c r="G292" s="177"/>
      <c r="H292" s="121"/>
      <c r="I292" s="121"/>
      <c r="J292" s="121"/>
      <c r="K292" s="121"/>
      <c r="L292" s="121"/>
      <c r="M292" s="121"/>
      <c r="N292" s="121"/>
      <c r="O292" s="121"/>
      <c r="P292" s="121"/>
      <c r="Q292" s="121"/>
      <c r="R292" s="121"/>
      <c r="S292" s="121"/>
      <c r="T292" s="121"/>
      <c r="U292" s="121"/>
      <c r="V292" s="121"/>
      <c r="W292" s="121"/>
      <c r="X292" s="121"/>
      <c r="Y292" s="121"/>
      <c r="Z292" s="121"/>
      <c r="AA292" s="123"/>
      <c r="AB292" s="123"/>
      <c r="AC292" s="123"/>
      <c r="AD292" s="123"/>
      <c r="AE292" s="123"/>
      <c r="AF292" s="123"/>
      <c r="AG292" s="123"/>
      <c r="AH292" s="123"/>
      <c r="AI292" s="123"/>
      <c r="AJ292" s="123"/>
      <c r="AK292" s="123"/>
      <c r="AL292" s="123"/>
      <c r="AM292" s="123"/>
      <c r="AN292" s="123"/>
      <c r="AO292" s="123"/>
      <c r="AP292" s="123"/>
      <c r="AQ292" s="123"/>
      <c r="AR292" s="123"/>
      <c r="AS292" s="123"/>
      <c r="AT292" s="123"/>
      <c r="AU292" s="123"/>
      <c r="AV292" s="123"/>
      <c r="AW292" s="123"/>
      <c r="AX292" s="123"/>
    </row>
    <row r="293">
      <c r="A293" s="177"/>
      <c r="B293" s="177"/>
      <c r="C293" s="121"/>
      <c r="D293" s="121"/>
      <c r="E293" s="121"/>
      <c r="F293" s="121"/>
      <c r="G293" s="177"/>
      <c r="H293" s="121"/>
      <c r="I293" s="121"/>
      <c r="J293" s="121"/>
      <c r="K293" s="121"/>
      <c r="L293" s="121"/>
      <c r="M293" s="121"/>
      <c r="N293" s="121"/>
      <c r="O293" s="121"/>
      <c r="P293" s="121"/>
      <c r="Q293" s="121"/>
      <c r="R293" s="121"/>
      <c r="S293" s="121"/>
      <c r="T293" s="121"/>
      <c r="U293" s="121"/>
      <c r="V293" s="121"/>
      <c r="W293" s="121"/>
      <c r="X293" s="121"/>
      <c r="Y293" s="121"/>
      <c r="Z293" s="121"/>
      <c r="AA293" s="123"/>
      <c r="AB293" s="123"/>
      <c r="AC293" s="123"/>
      <c r="AD293" s="123"/>
      <c r="AE293" s="123"/>
      <c r="AF293" s="123"/>
      <c r="AG293" s="123"/>
      <c r="AH293" s="123"/>
      <c r="AI293" s="123"/>
      <c r="AJ293" s="123"/>
      <c r="AK293" s="123"/>
      <c r="AL293" s="123"/>
      <c r="AM293" s="123"/>
      <c r="AN293" s="123"/>
      <c r="AO293" s="123"/>
      <c r="AP293" s="123"/>
      <c r="AQ293" s="123"/>
      <c r="AR293" s="123"/>
      <c r="AS293" s="123"/>
      <c r="AT293" s="123"/>
      <c r="AU293" s="123"/>
      <c r="AV293" s="123"/>
      <c r="AW293" s="123"/>
      <c r="AX293" s="123"/>
    </row>
    <row r="294">
      <c r="A294" s="177"/>
      <c r="B294" s="177"/>
      <c r="C294" s="121"/>
      <c r="D294" s="121"/>
      <c r="E294" s="121"/>
      <c r="F294" s="121"/>
      <c r="G294" s="177"/>
      <c r="H294" s="121"/>
      <c r="I294" s="121"/>
      <c r="J294" s="121"/>
      <c r="K294" s="121"/>
      <c r="L294" s="121"/>
      <c r="M294" s="121"/>
      <c r="N294" s="121"/>
      <c r="O294" s="121"/>
      <c r="P294" s="121"/>
      <c r="Q294" s="121"/>
      <c r="R294" s="121"/>
      <c r="S294" s="121"/>
      <c r="T294" s="121"/>
      <c r="U294" s="121"/>
      <c r="V294" s="121"/>
      <c r="W294" s="121"/>
      <c r="X294" s="121"/>
      <c r="Y294" s="121"/>
      <c r="Z294" s="121"/>
      <c r="AA294" s="123"/>
      <c r="AB294" s="123"/>
      <c r="AC294" s="123"/>
      <c r="AD294" s="123"/>
      <c r="AE294" s="123"/>
      <c r="AF294" s="123"/>
      <c r="AG294" s="123"/>
      <c r="AH294" s="123"/>
      <c r="AI294" s="123"/>
      <c r="AJ294" s="123"/>
      <c r="AK294" s="123"/>
      <c r="AL294" s="123"/>
      <c r="AM294" s="123"/>
      <c r="AN294" s="123"/>
      <c r="AO294" s="123"/>
      <c r="AP294" s="123"/>
      <c r="AQ294" s="123"/>
      <c r="AR294" s="123"/>
      <c r="AS294" s="123"/>
      <c r="AT294" s="123"/>
      <c r="AU294" s="123"/>
      <c r="AV294" s="123"/>
      <c r="AW294" s="123"/>
      <c r="AX294" s="123"/>
    </row>
    <row r="295">
      <c r="A295" s="177"/>
      <c r="B295" s="177"/>
      <c r="C295" s="121"/>
      <c r="D295" s="121"/>
      <c r="E295" s="121"/>
      <c r="F295" s="121"/>
      <c r="G295" s="177"/>
      <c r="H295" s="121"/>
      <c r="I295" s="121"/>
      <c r="J295" s="121"/>
      <c r="K295" s="121"/>
      <c r="L295" s="121"/>
      <c r="M295" s="121"/>
      <c r="N295" s="121"/>
      <c r="O295" s="121"/>
      <c r="P295" s="121"/>
      <c r="Q295" s="121"/>
      <c r="R295" s="121"/>
      <c r="S295" s="121"/>
      <c r="T295" s="121"/>
      <c r="U295" s="121"/>
      <c r="V295" s="121"/>
      <c r="W295" s="121"/>
      <c r="X295" s="121"/>
      <c r="Y295" s="121"/>
      <c r="Z295" s="121"/>
      <c r="AA295" s="123"/>
      <c r="AB295" s="123"/>
      <c r="AC295" s="123"/>
      <c r="AD295" s="123"/>
      <c r="AE295" s="123"/>
      <c r="AF295" s="123"/>
      <c r="AG295" s="123"/>
      <c r="AH295" s="123"/>
      <c r="AI295" s="123"/>
      <c r="AJ295" s="123"/>
      <c r="AK295" s="123"/>
      <c r="AL295" s="123"/>
      <c r="AM295" s="123"/>
      <c r="AN295" s="123"/>
      <c r="AO295" s="123"/>
      <c r="AP295" s="123"/>
      <c r="AQ295" s="123"/>
      <c r="AR295" s="123"/>
      <c r="AS295" s="123"/>
      <c r="AT295" s="123"/>
      <c r="AU295" s="123"/>
      <c r="AV295" s="123"/>
      <c r="AW295" s="123"/>
      <c r="AX295" s="123"/>
    </row>
    <row r="296">
      <c r="A296" s="177"/>
      <c r="B296" s="177"/>
      <c r="C296" s="121"/>
      <c r="D296" s="121"/>
      <c r="E296" s="121"/>
      <c r="F296" s="121"/>
      <c r="G296" s="177"/>
      <c r="H296" s="121"/>
      <c r="I296" s="121"/>
      <c r="J296" s="121"/>
      <c r="K296" s="121"/>
      <c r="L296" s="121"/>
      <c r="M296" s="121"/>
      <c r="N296" s="121"/>
      <c r="O296" s="121"/>
      <c r="P296" s="121"/>
      <c r="Q296" s="121"/>
      <c r="R296" s="121"/>
      <c r="S296" s="121"/>
      <c r="T296" s="121"/>
      <c r="U296" s="121"/>
      <c r="V296" s="121"/>
      <c r="W296" s="121"/>
      <c r="X296" s="121"/>
      <c r="Y296" s="121"/>
      <c r="Z296" s="121"/>
      <c r="AA296" s="123"/>
      <c r="AB296" s="123"/>
      <c r="AC296" s="123"/>
      <c r="AD296" s="123"/>
      <c r="AE296" s="123"/>
      <c r="AF296" s="123"/>
      <c r="AG296" s="123"/>
      <c r="AH296" s="123"/>
      <c r="AI296" s="123"/>
      <c r="AJ296" s="123"/>
      <c r="AK296" s="123"/>
      <c r="AL296" s="123"/>
      <c r="AM296" s="123"/>
      <c r="AN296" s="123"/>
      <c r="AO296" s="123"/>
      <c r="AP296" s="123"/>
      <c r="AQ296" s="123"/>
      <c r="AR296" s="123"/>
      <c r="AS296" s="123"/>
      <c r="AT296" s="123"/>
      <c r="AU296" s="123"/>
      <c r="AV296" s="123"/>
      <c r="AW296" s="123"/>
      <c r="AX296" s="123"/>
    </row>
    <row r="297">
      <c r="A297" s="177"/>
      <c r="B297" s="177"/>
      <c r="C297" s="121"/>
      <c r="D297" s="121"/>
      <c r="E297" s="121"/>
      <c r="F297" s="121"/>
      <c r="G297" s="177"/>
      <c r="H297" s="121"/>
      <c r="I297" s="121"/>
      <c r="J297" s="121"/>
      <c r="K297" s="121"/>
      <c r="L297" s="121"/>
      <c r="M297" s="121"/>
      <c r="N297" s="121"/>
      <c r="O297" s="121"/>
      <c r="P297" s="121"/>
      <c r="Q297" s="121"/>
      <c r="R297" s="121"/>
      <c r="S297" s="121"/>
      <c r="T297" s="121"/>
      <c r="U297" s="121"/>
      <c r="V297" s="121"/>
      <c r="W297" s="121"/>
      <c r="X297" s="121"/>
      <c r="Y297" s="121"/>
      <c r="Z297" s="121"/>
      <c r="AA297" s="123"/>
      <c r="AB297" s="123"/>
      <c r="AC297" s="123"/>
      <c r="AD297" s="123"/>
      <c r="AE297" s="123"/>
      <c r="AF297" s="123"/>
      <c r="AG297" s="123"/>
      <c r="AH297" s="123"/>
      <c r="AI297" s="123"/>
      <c r="AJ297" s="123"/>
      <c r="AK297" s="123"/>
      <c r="AL297" s="123"/>
      <c r="AM297" s="123"/>
      <c r="AN297" s="123"/>
      <c r="AO297" s="123"/>
      <c r="AP297" s="123"/>
      <c r="AQ297" s="123"/>
      <c r="AR297" s="123"/>
      <c r="AS297" s="123"/>
      <c r="AT297" s="123"/>
      <c r="AU297" s="123"/>
      <c r="AV297" s="123"/>
      <c r="AW297" s="123"/>
      <c r="AX297" s="123"/>
    </row>
    <row r="298">
      <c r="A298" s="177"/>
      <c r="B298" s="177"/>
      <c r="C298" s="121"/>
      <c r="D298" s="121"/>
      <c r="E298" s="121"/>
      <c r="F298" s="121"/>
      <c r="G298" s="177"/>
      <c r="H298" s="121"/>
      <c r="I298" s="121"/>
      <c r="J298" s="121"/>
      <c r="K298" s="121"/>
      <c r="L298" s="121"/>
      <c r="M298" s="121"/>
      <c r="N298" s="121"/>
      <c r="O298" s="121"/>
      <c r="P298" s="121"/>
      <c r="Q298" s="121"/>
      <c r="R298" s="121"/>
      <c r="S298" s="121"/>
      <c r="T298" s="121"/>
      <c r="U298" s="121"/>
      <c r="V298" s="121"/>
      <c r="W298" s="121"/>
      <c r="X298" s="121"/>
      <c r="Y298" s="121"/>
      <c r="Z298" s="121"/>
      <c r="AA298" s="123"/>
      <c r="AB298" s="123"/>
      <c r="AC298" s="123"/>
      <c r="AD298" s="123"/>
      <c r="AE298" s="123"/>
      <c r="AF298" s="123"/>
      <c r="AG298" s="123"/>
      <c r="AH298" s="123"/>
      <c r="AI298" s="123"/>
      <c r="AJ298" s="123"/>
      <c r="AK298" s="123"/>
      <c r="AL298" s="123"/>
      <c r="AM298" s="123"/>
      <c r="AN298" s="123"/>
      <c r="AO298" s="123"/>
      <c r="AP298" s="123"/>
      <c r="AQ298" s="123"/>
      <c r="AR298" s="123"/>
      <c r="AS298" s="123"/>
      <c r="AT298" s="123"/>
      <c r="AU298" s="123"/>
      <c r="AV298" s="123"/>
      <c r="AW298" s="123"/>
      <c r="AX298" s="123"/>
    </row>
    <row r="299">
      <c r="A299" s="177"/>
      <c r="B299" s="177"/>
      <c r="C299" s="121"/>
      <c r="D299" s="121"/>
      <c r="E299" s="121"/>
      <c r="F299" s="121"/>
      <c r="G299" s="177"/>
      <c r="H299" s="121"/>
      <c r="I299" s="121"/>
      <c r="J299" s="121"/>
      <c r="K299" s="121"/>
      <c r="L299" s="121"/>
      <c r="M299" s="121"/>
      <c r="N299" s="121"/>
      <c r="O299" s="121"/>
      <c r="P299" s="121"/>
      <c r="Q299" s="121"/>
      <c r="R299" s="121"/>
      <c r="S299" s="121"/>
      <c r="T299" s="121"/>
      <c r="U299" s="121"/>
      <c r="V299" s="121"/>
      <c r="W299" s="121"/>
      <c r="X299" s="121"/>
      <c r="Y299" s="121"/>
      <c r="Z299" s="121"/>
      <c r="AA299" s="123"/>
      <c r="AB299" s="123"/>
      <c r="AC299" s="123"/>
      <c r="AD299" s="123"/>
      <c r="AE299" s="123"/>
      <c r="AF299" s="123"/>
      <c r="AG299" s="123"/>
      <c r="AH299" s="123"/>
      <c r="AI299" s="123"/>
      <c r="AJ299" s="123"/>
      <c r="AK299" s="123"/>
      <c r="AL299" s="123"/>
      <c r="AM299" s="123"/>
      <c r="AN299" s="123"/>
      <c r="AO299" s="123"/>
      <c r="AP299" s="123"/>
      <c r="AQ299" s="123"/>
      <c r="AR299" s="123"/>
      <c r="AS299" s="123"/>
      <c r="AT299" s="123"/>
      <c r="AU299" s="123"/>
      <c r="AV299" s="123"/>
      <c r="AW299" s="123"/>
      <c r="AX299" s="123"/>
    </row>
    <row r="300">
      <c r="A300" s="182"/>
      <c r="B300" s="183"/>
      <c r="C300" s="183"/>
      <c r="D300" s="184"/>
      <c r="E300" s="184"/>
      <c r="F300" s="184"/>
      <c r="G300" s="183"/>
      <c r="H300" s="182"/>
      <c r="I300" s="184"/>
      <c r="J300" s="184"/>
      <c r="K300" s="184"/>
      <c r="L300" s="184"/>
      <c r="M300" s="184"/>
      <c r="N300" s="184"/>
      <c r="O300" s="183"/>
      <c r="P300" s="183"/>
      <c r="Q300" s="184"/>
      <c r="R300" s="184"/>
      <c r="S300" s="184"/>
      <c r="T300" s="184"/>
      <c r="U300" s="184"/>
      <c r="V300" s="184"/>
      <c r="W300" s="183"/>
      <c r="X300" s="183"/>
      <c r="Y300" s="175"/>
      <c r="Z300" s="182"/>
      <c r="AA300" s="194"/>
      <c r="AB300" s="194"/>
      <c r="AC300" s="194"/>
      <c r="AD300" s="194"/>
      <c r="AE300" s="194"/>
      <c r="AF300" s="194"/>
      <c r="AG300" s="194"/>
      <c r="AH300" s="194"/>
      <c r="AI300" s="194"/>
      <c r="AJ300" s="194"/>
      <c r="AK300" s="194"/>
      <c r="AL300" s="194"/>
      <c r="AM300" s="194"/>
      <c r="AN300" s="194"/>
      <c r="AO300" s="194"/>
      <c r="AP300" s="194"/>
      <c r="AQ300" s="194"/>
      <c r="AR300" s="194"/>
      <c r="AS300" s="194"/>
      <c r="AT300" s="194"/>
      <c r="AU300" s="194"/>
      <c r="AV300" s="194"/>
      <c r="AW300" s="194"/>
      <c r="AX300" s="194"/>
    </row>
    <row r="301">
      <c r="A301" s="182"/>
      <c r="B301" s="183"/>
      <c r="C301" s="183"/>
      <c r="D301" s="184"/>
      <c r="E301" s="184"/>
      <c r="F301" s="184"/>
      <c r="G301" s="183"/>
      <c r="H301" s="182"/>
      <c r="I301" s="184"/>
      <c r="J301" s="184"/>
      <c r="K301" s="184"/>
      <c r="L301" s="184"/>
      <c r="M301" s="184"/>
      <c r="N301" s="184"/>
      <c r="O301" s="183"/>
      <c r="P301" s="183"/>
      <c r="Q301" s="184"/>
      <c r="R301" s="184"/>
      <c r="S301" s="184"/>
      <c r="T301" s="184"/>
      <c r="U301" s="184"/>
      <c r="V301" s="184"/>
      <c r="W301" s="183"/>
      <c r="X301" s="183"/>
      <c r="Y301" s="175"/>
      <c r="Z301" s="182"/>
      <c r="AA301" s="194"/>
      <c r="AB301" s="194"/>
      <c r="AC301" s="194"/>
      <c r="AD301" s="194"/>
      <c r="AE301" s="194"/>
      <c r="AF301" s="194"/>
      <c r="AG301" s="194"/>
      <c r="AH301" s="194"/>
      <c r="AI301" s="194"/>
      <c r="AJ301" s="194"/>
      <c r="AK301" s="194"/>
      <c r="AL301" s="194"/>
      <c r="AM301" s="194"/>
      <c r="AN301" s="194"/>
      <c r="AO301" s="194"/>
      <c r="AP301" s="194"/>
      <c r="AQ301" s="194"/>
      <c r="AR301" s="194"/>
      <c r="AS301" s="194"/>
      <c r="AT301" s="194"/>
      <c r="AU301" s="194"/>
      <c r="AV301" s="194"/>
      <c r="AW301" s="194"/>
      <c r="AX301" s="194"/>
    </row>
    <row r="302">
      <c r="A302" s="173"/>
      <c r="B302" s="174"/>
      <c r="C302" s="174"/>
      <c r="D302" s="71"/>
      <c r="E302" s="71"/>
      <c r="F302" s="71"/>
      <c r="G302" s="174"/>
      <c r="H302" s="173"/>
      <c r="I302" s="173"/>
      <c r="J302" s="174"/>
      <c r="K302" s="71"/>
      <c r="L302" s="174"/>
      <c r="M302" s="174"/>
      <c r="N302" s="174"/>
      <c r="O302" s="174"/>
      <c r="P302" s="174"/>
      <c r="Q302" s="174"/>
      <c r="R302" s="174"/>
      <c r="S302" s="71"/>
      <c r="T302" s="71"/>
      <c r="U302" s="176"/>
      <c r="V302" s="174"/>
      <c r="W302" s="174"/>
      <c r="X302" s="174"/>
      <c r="Y302" s="71"/>
      <c r="Z302" s="71"/>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row>
    <row r="303">
      <c r="A303" s="171"/>
      <c r="B303" s="174"/>
      <c r="C303" s="174"/>
      <c r="D303" s="71"/>
      <c r="E303" s="71"/>
      <c r="F303" s="71"/>
      <c r="G303" s="174"/>
      <c r="H303" s="173"/>
      <c r="I303" s="173"/>
      <c r="J303" s="174"/>
      <c r="K303" s="71"/>
      <c r="L303" s="174"/>
      <c r="M303" s="174"/>
      <c r="N303" s="174"/>
      <c r="O303" s="174"/>
      <c r="P303" s="174"/>
      <c r="Q303" s="174"/>
      <c r="R303" s="174"/>
      <c r="S303" s="71"/>
      <c r="T303" s="71"/>
      <c r="U303" s="176"/>
      <c r="V303" s="174"/>
      <c r="W303" s="174"/>
      <c r="X303" s="174"/>
      <c r="Y303" s="71"/>
      <c r="Z303" s="71"/>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row>
    <row r="304">
      <c r="A304" s="171"/>
      <c r="B304" s="174"/>
      <c r="C304" s="174"/>
      <c r="D304" s="71"/>
      <c r="E304" s="71"/>
      <c r="F304" s="71"/>
      <c r="G304" s="174"/>
      <c r="H304" s="173"/>
      <c r="I304" s="173"/>
      <c r="J304" s="174"/>
      <c r="K304" s="71"/>
      <c r="L304" s="174"/>
      <c r="M304" s="174"/>
      <c r="N304" s="174"/>
      <c r="O304" s="174"/>
      <c r="P304" s="174"/>
      <c r="Q304" s="174"/>
      <c r="R304" s="174"/>
      <c r="S304" s="71"/>
      <c r="T304" s="71"/>
      <c r="U304" s="176"/>
      <c r="V304" s="174"/>
      <c r="W304" s="174"/>
      <c r="X304" s="174"/>
      <c r="Y304" s="71"/>
      <c r="Z304" s="71"/>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row>
    <row r="305">
      <c r="A305" s="177"/>
      <c r="B305" s="177"/>
      <c r="C305" s="121"/>
      <c r="D305" s="121"/>
      <c r="E305" s="121"/>
      <c r="F305" s="121"/>
      <c r="G305" s="177"/>
      <c r="H305" s="121"/>
      <c r="I305" s="121"/>
      <c r="J305" s="121"/>
      <c r="K305" s="121"/>
      <c r="L305" s="121"/>
      <c r="M305" s="121"/>
      <c r="N305" s="121"/>
      <c r="O305" s="121"/>
      <c r="P305" s="121"/>
      <c r="Q305" s="121"/>
      <c r="R305" s="121"/>
      <c r="S305" s="121"/>
      <c r="T305" s="121"/>
      <c r="U305" s="121"/>
      <c r="V305" s="121"/>
      <c r="W305" s="121"/>
      <c r="X305" s="121"/>
      <c r="Y305" s="121"/>
      <c r="Z305" s="121"/>
      <c r="AA305" s="123"/>
      <c r="AB305" s="123"/>
      <c r="AC305" s="123"/>
      <c r="AD305" s="123"/>
      <c r="AE305" s="123"/>
      <c r="AF305" s="123"/>
      <c r="AG305" s="123"/>
      <c r="AH305" s="123"/>
      <c r="AI305" s="123"/>
      <c r="AJ305" s="123"/>
      <c r="AK305" s="123"/>
      <c r="AL305" s="123"/>
      <c r="AM305" s="123"/>
      <c r="AN305" s="123"/>
      <c r="AO305" s="123"/>
      <c r="AP305" s="123"/>
      <c r="AQ305" s="123"/>
      <c r="AR305" s="123"/>
      <c r="AS305" s="123"/>
      <c r="AT305" s="123"/>
      <c r="AU305" s="123"/>
      <c r="AV305" s="123"/>
      <c r="AW305" s="123"/>
      <c r="AX305" s="123"/>
    </row>
    <row r="306">
      <c r="A306" s="177"/>
      <c r="B306" s="177"/>
      <c r="C306" s="121"/>
      <c r="D306" s="121"/>
      <c r="E306" s="121"/>
      <c r="F306" s="121"/>
      <c r="G306" s="177"/>
      <c r="H306" s="121"/>
      <c r="I306" s="121"/>
      <c r="J306" s="121"/>
      <c r="K306" s="121"/>
      <c r="L306" s="121"/>
      <c r="M306" s="121"/>
      <c r="N306" s="121"/>
      <c r="O306" s="121"/>
      <c r="P306" s="121"/>
      <c r="Q306" s="121"/>
      <c r="R306" s="121"/>
      <c r="S306" s="121"/>
      <c r="T306" s="121"/>
      <c r="U306" s="121"/>
      <c r="V306" s="121"/>
      <c r="W306" s="121"/>
      <c r="X306" s="121"/>
      <c r="Y306" s="121"/>
      <c r="Z306" s="121"/>
      <c r="AA306" s="123"/>
      <c r="AB306" s="123"/>
      <c r="AC306" s="123"/>
      <c r="AD306" s="123"/>
      <c r="AE306" s="123"/>
      <c r="AF306" s="123"/>
      <c r="AG306" s="123"/>
      <c r="AH306" s="123"/>
      <c r="AI306" s="123"/>
      <c r="AJ306" s="123"/>
      <c r="AK306" s="123"/>
      <c r="AL306" s="123"/>
      <c r="AM306" s="123"/>
      <c r="AN306" s="123"/>
      <c r="AO306" s="123"/>
      <c r="AP306" s="123"/>
      <c r="AQ306" s="123"/>
      <c r="AR306" s="123"/>
      <c r="AS306" s="123"/>
      <c r="AT306" s="123"/>
      <c r="AU306" s="123"/>
      <c r="AV306" s="123"/>
      <c r="AW306" s="123"/>
      <c r="AX306" s="123"/>
    </row>
    <row r="307">
      <c r="A307" s="177"/>
      <c r="B307" s="177"/>
      <c r="C307" s="121"/>
      <c r="D307" s="121"/>
      <c r="E307" s="121"/>
      <c r="F307" s="121"/>
      <c r="G307" s="177"/>
      <c r="H307" s="121"/>
      <c r="I307" s="121"/>
      <c r="J307" s="121"/>
      <c r="K307" s="121"/>
      <c r="L307" s="121"/>
      <c r="M307" s="121"/>
      <c r="N307" s="121"/>
      <c r="O307" s="121"/>
      <c r="P307" s="121"/>
      <c r="Q307" s="121"/>
      <c r="R307" s="121"/>
      <c r="S307" s="121"/>
      <c r="T307" s="121"/>
      <c r="U307" s="121"/>
      <c r="V307" s="121"/>
      <c r="W307" s="121"/>
      <c r="X307" s="121"/>
      <c r="Y307" s="121"/>
      <c r="Z307" s="121"/>
      <c r="AA307" s="123"/>
      <c r="AB307" s="123"/>
      <c r="AC307" s="123"/>
      <c r="AD307" s="123"/>
      <c r="AE307" s="123"/>
      <c r="AF307" s="123"/>
      <c r="AG307" s="123"/>
      <c r="AH307" s="123"/>
      <c r="AI307" s="123"/>
      <c r="AJ307" s="123"/>
      <c r="AK307" s="123"/>
      <c r="AL307" s="123"/>
      <c r="AM307" s="123"/>
      <c r="AN307" s="123"/>
      <c r="AO307" s="123"/>
      <c r="AP307" s="123"/>
      <c r="AQ307" s="123"/>
      <c r="AR307" s="123"/>
      <c r="AS307" s="123"/>
      <c r="AT307" s="123"/>
      <c r="AU307" s="123"/>
      <c r="AV307" s="123"/>
      <c r="AW307" s="123"/>
      <c r="AX307" s="123"/>
    </row>
    <row r="308">
      <c r="A308" s="177"/>
      <c r="B308" s="177"/>
      <c r="C308" s="121"/>
      <c r="D308" s="121"/>
      <c r="E308" s="121"/>
      <c r="F308" s="121"/>
      <c r="G308" s="177"/>
      <c r="H308" s="121"/>
      <c r="I308" s="121"/>
      <c r="J308" s="121"/>
      <c r="K308" s="121"/>
      <c r="L308" s="121"/>
      <c r="M308" s="121"/>
      <c r="N308" s="121"/>
      <c r="O308" s="121"/>
      <c r="P308" s="121"/>
      <c r="Q308" s="121"/>
      <c r="R308" s="121"/>
      <c r="S308" s="121"/>
      <c r="T308" s="121"/>
      <c r="U308" s="121"/>
      <c r="V308" s="121"/>
      <c r="W308" s="121"/>
      <c r="X308" s="121"/>
      <c r="Y308" s="121"/>
      <c r="Z308" s="121"/>
      <c r="AA308" s="123"/>
      <c r="AB308" s="123"/>
      <c r="AC308" s="123"/>
      <c r="AD308" s="123"/>
      <c r="AE308" s="123"/>
      <c r="AF308" s="123"/>
      <c r="AG308" s="123"/>
      <c r="AH308" s="123"/>
      <c r="AI308" s="123"/>
      <c r="AJ308" s="123"/>
      <c r="AK308" s="123"/>
      <c r="AL308" s="123"/>
      <c r="AM308" s="123"/>
      <c r="AN308" s="123"/>
      <c r="AO308" s="123"/>
      <c r="AP308" s="123"/>
      <c r="AQ308" s="123"/>
      <c r="AR308" s="123"/>
      <c r="AS308" s="123"/>
      <c r="AT308" s="123"/>
      <c r="AU308" s="123"/>
      <c r="AV308" s="123"/>
      <c r="AW308" s="123"/>
      <c r="AX308" s="123"/>
    </row>
    <row r="309">
      <c r="A309" s="177"/>
      <c r="B309" s="177"/>
      <c r="C309" s="121"/>
      <c r="D309" s="121"/>
      <c r="E309" s="121"/>
      <c r="F309" s="121"/>
      <c r="G309" s="177"/>
      <c r="H309" s="121"/>
      <c r="I309" s="121"/>
      <c r="J309" s="121"/>
      <c r="K309" s="121"/>
      <c r="L309" s="121"/>
      <c r="M309" s="121"/>
      <c r="N309" s="121"/>
      <c r="O309" s="121"/>
      <c r="P309" s="121"/>
      <c r="Q309" s="121"/>
      <c r="R309" s="121"/>
      <c r="S309" s="121"/>
      <c r="T309" s="121"/>
      <c r="U309" s="121"/>
      <c r="V309" s="121"/>
      <c r="W309" s="121"/>
      <c r="X309" s="121"/>
      <c r="Y309" s="121"/>
      <c r="Z309" s="121"/>
      <c r="AA309" s="123"/>
      <c r="AB309" s="123"/>
      <c r="AC309" s="123"/>
      <c r="AD309" s="123"/>
      <c r="AE309" s="123"/>
      <c r="AF309" s="123"/>
      <c r="AG309" s="123"/>
      <c r="AH309" s="123"/>
      <c r="AI309" s="123"/>
      <c r="AJ309" s="123"/>
      <c r="AK309" s="123"/>
      <c r="AL309" s="123"/>
      <c r="AM309" s="123"/>
      <c r="AN309" s="123"/>
      <c r="AO309" s="123"/>
      <c r="AP309" s="123"/>
      <c r="AQ309" s="123"/>
      <c r="AR309" s="123"/>
      <c r="AS309" s="123"/>
      <c r="AT309" s="123"/>
      <c r="AU309" s="123"/>
      <c r="AV309" s="123"/>
      <c r="AW309" s="123"/>
      <c r="AX309" s="123"/>
    </row>
    <row r="310">
      <c r="A310" s="177"/>
      <c r="B310" s="177"/>
      <c r="C310" s="121"/>
      <c r="D310" s="121"/>
      <c r="E310" s="121"/>
      <c r="F310" s="121"/>
      <c r="G310" s="177"/>
      <c r="H310" s="121"/>
      <c r="I310" s="121"/>
      <c r="J310" s="121"/>
      <c r="K310" s="121"/>
      <c r="L310" s="121"/>
      <c r="M310" s="121"/>
      <c r="N310" s="121"/>
      <c r="O310" s="121"/>
      <c r="P310" s="121"/>
      <c r="Q310" s="121"/>
      <c r="R310" s="121"/>
      <c r="S310" s="121"/>
      <c r="T310" s="121"/>
      <c r="U310" s="121"/>
      <c r="V310" s="121"/>
      <c r="W310" s="121"/>
      <c r="X310" s="121"/>
      <c r="Y310" s="121"/>
      <c r="Z310" s="121"/>
      <c r="AA310" s="123"/>
      <c r="AB310" s="123"/>
      <c r="AC310" s="123"/>
      <c r="AD310" s="123"/>
      <c r="AE310" s="123"/>
      <c r="AF310" s="123"/>
      <c r="AG310" s="123"/>
      <c r="AH310" s="123"/>
      <c r="AI310" s="123"/>
      <c r="AJ310" s="123"/>
      <c r="AK310" s="123"/>
      <c r="AL310" s="123"/>
      <c r="AM310" s="123"/>
      <c r="AN310" s="123"/>
      <c r="AO310" s="123"/>
      <c r="AP310" s="123"/>
      <c r="AQ310" s="123"/>
      <c r="AR310" s="123"/>
      <c r="AS310" s="123"/>
      <c r="AT310" s="123"/>
      <c r="AU310" s="123"/>
      <c r="AV310" s="123"/>
      <c r="AW310" s="123"/>
      <c r="AX310" s="123"/>
    </row>
    <row r="311">
      <c r="A311" s="177"/>
      <c r="B311" s="177"/>
      <c r="C311" s="121"/>
      <c r="D311" s="121"/>
      <c r="E311" s="121"/>
      <c r="F311" s="121"/>
      <c r="G311" s="177"/>
      <c r="H311" s="121"/>
      <c r="I311" s="121"/>
      <c r="J311" s="121"/>
      <c r="K311" s="121"/>
      <c r="L311" s="121"/>
      <c r="M311" s="121"/>
      <c r="N311" s="121"/>
      <c r="O311" s="121"/>
      <c r="P311" s="121"/>
      <c r="Q311" s="121"/>
      <c r="R311" s="121"/>
      <c r="S311" s="121"/>
      <c r="T311" s="121"/>
      <c r="U311" s="121"/>
      <c r="V311" s="121"/>
      <c r="W311" s="121"/>
      <c r="X311" s="121"/>
      <c r="Y311" s="121"/>
      <c r="Z311" s="121"/>
      <c r="AA311" s="123"/>
      <c r="AB311" s="123"/>
      <c r="AC311" s="123"/>
      <c r="AD311" s="123"/>
      <c r="AE311" s="123"/>
      <c r="AF311" s="123"/>
      <c r="AG311" s="123"/>
      <c r="AH311" s="123"/>
      <c r="AI311" s="123"/>
      <c r="AJ311" s="123"/>
      <c r="AK311" s="123"/>
      <c r="AL311" s="123"/>
      <c r="AM311" s="123"/>
      <c r="AN311" s="123"/>
      <c r="AO311" s="123"/>
      <c r="AP311" s="123"/>
      <c r="AQ311" s="123"/>
      <c r="AR311" s="123"/>
      <c r="AS311" s="123"/>
      <c r="AT311" s="123"/>
      <c r="AU311" s="123"/>
      <c r="AV311" s="123"/>
      <c r="AW311" s="123"/>
      <c r="AX311" s="123"/>
    </row>
    <row r="312">
      <c r="A312" s="177"/>
      <c r="B312" s="177"/>
      <c r="C312" s="121"/>
      <c r="D312" s="121"/>
      <c r="E312" s="121"/>
      <c r="F312" s="121"/>
      <c r="G312" s="177"/>
      <c r="H312" s="121"/>
      <c r="I312" s="121"/>
      <c r="J312" s="121"/>
      <c r="K312" s="121"/>
      <c r="L312" s="121"/>
      <c r="M312" s="121"/>
      <c r="N312" s="121"/>
      <c r="O312" s="121"/>
      <c r="P312" s="121"/>
      <c r="Q312" s="121"/>
      <c r="R312" s="121"/>
      <c r="S312" s="121"/>
      <c r="T312" s="121"/>
      <c r="U312" s="121"/>
      <c r="V312" s="121"/>
      <c r="W312" s="121"/>
      <c r="X312" s="121"/>
      <c r="Y312" s="121"/>
      <c r="Z312" s="121"/>
      <c r="AA312" s="123"/>
      <c r="AB312" s="123"/>
      <c r="AC312" s="123"/>
      <c r="AD312" s="123"/>
      <c r="AE312" s="123"/>
      <c r="AF312" s="123"/>
      <c r="AG312" s="123"/>
      <c r="AH312" s="123"/>
      <c r="AI312" s="123"/>
      <c r="AJ312" s="123"/>
      <c r="AK312" s="123"/>
      <c r="AL312" s="123"/>
      <c r="AM312" s="123"/>
      <c r="AN312" s="123"/>
      <c r="AO312" s="123"/>
      <c r="AP312" s="123"/>
      <c r="AQ312" s="123"/>
      <c r="AR312" s="123"/>
      <c r="AS312" s="123"/>
      <c r="AT312" s="123"/>
      <c r="AU312" s="123"/>
      <c r="AV312" s="123"/>
      <c r="AW312" s="123"/>
      <c r="AX312" s="123"/>
    </row>
    <row r="313">
      <c r="A313" s="177"/>
      <c r="B313" s="177"/>
      <c r="C313" s="121"/>
      <c r="D313" s="121"/>
      <c r="E313" s="121"/>
      <c r="F313" s="121"/>
      <c r="G313" s="177"/>
      <c r="H313" s="121"/>
      <c r="I313" s="121"/>
      <c r="J313" s="121"/>
      <c r="K313" s="121"/>
      <c r="L313" s="121"/>
      <c r="M313" s="121"/>
      <c r="N313" s="121"/>
      <c r="O313" s="121"/>
      <c r="P313" s="121"/>
      <c r="Q313" s="121"/>
      <c r="R313" s="121"/>
      <c r="S313" s="121"/>
      <c r="T313" s="121"/>
      <c r="U313" s="121"/>
      <c r="V313" s="121"/>
      <c r="W313" s="121"/>
      <c r="X313" s="121"/>
      <c r="Y313" s="121"/>
      <c r="Z313" s="121"/>
      <c r="AA313" s="123"/>
      <c r="AB313" s="123"/>
      <c r="AC313" s="123"/>
      <c r="AD313" s="123"/>
      <c r="AE313" s="123"/>
      <c r="AF313" s="123"/>
      <c r="AG313" s="123"/>
      <c r="AH313" s="123"/>
      <c r="AI313" s="123"/>
      <c r="AJ313" s="123"/>
      <c r="AK313" s="123"/>
      <c r="AL313" s="123"/>
      <c r="AM313" s="123"/>
      <c r="AN313" s="123"/>
      <c r="AO313" s="123"/>
      <c r="AP313" s="123"/>
      <c r="AQ313" s="123"/>
      <c r="AR313" s="123"/>
      <c r="AS313" s="123"/>
      <c r="AT313" s="123"/>
      <c r="AU313" s="123"/>
      <c r="AV313" s="123"/>
      <c r="AW313" s="123"/>
      <c r="AX313" s="123"/>
    </row>
    <row r="314">
      <c r="A314" s="177"/>
      <c r="B314" s="177"/>
      <c r="C314" s="121"/>
      <c r="D314" s="121"/>
      <c r="E314" s="121"/>
      <c r="F314" s="121"/>
      <c r="G314" s="177"/>
      <c r="H314" s="121"/>
      <c r="I314" s="121"/>
      <c r="J314" s="121"/>
      <c r="K314" s="121"/>
      <c r="L314" s="121"/>
      <c r="M314" s="121"/>
      <c r="N314" s="121"/>
      <c r="O314" s="121"/>
      <c r="P314" s="121"/>
      <c r="Q314" s="121"/>
      <c r="R314" s="121"/>
      <c r="S314" s="121"/>
      <c r="T314" s="121"/>
      <c r="U314" s="121"/>
      <c r="V314" s="121"/>
      <c r="W314" s="121"/>
      <c r="X314" s="121"/>
      <c r="Y314" s="121"/>
      <c r="Z314" s="121"/>
      <c r="AA314" s="123"/>
      <c r="AB314" s="123"/>
      <c r="AC314" s="123"/>
      <c r="AD314" s="123"/>
      <c r="AE314" s="123"/>
      <c r="AF314" s="123"/>
      <c r="AG314" s="123"/>
      <c r="AH314" s="123"/>
      <c r="AI314" s="123"/>
      <c r="AJ314" s="123"/>
      <c r="AK314" s="123"/>
      <c r="AL314" s="123"/>
      <c r="AM314" s="123"/>
      <c r="AN314" s="123"/>
      <c r="AO314" s="123"/>
      <c r="AP314" s="123"/>
      <c r="AQ314" s="123"/>
      <c r="AR314" s="123"/>
      <c r="AS314" s="123"/>
      <c r="AT314" s="123"/>
      <c r="AU314" s="123"/>
      <c r="AV314" s="123"/>
      <c r="AW314" s="123"/>
      <c r="AX314" s="123"/>
    </row>
    <row r="315">
      <c r="A315" s="177"/>
      <c r="B315" s="177"/>
      <c r="C315" s="121"/>
      <c r="D315" s="121"/>
      <c r="E315" s="121"/>
      <c r="F315" s="121"/>
      <c r="G315" s="177"/>
      <c r="H315" s="121"/>
      <c r="I315" s="121"/>
      <c r="J315" s="121"/>
      <c r="K315" s="121"/>
      <c r="L315" s="121"/>
      <c r="M315" s="121"/>
      <c r="N315" s="121"/>
      <c r="O315" s="121"/>
      <c r="P315" s="121"/>
      <c r="Q315" s="121"/>
      <c r="R315" s="121"/>
      <c r="S315" s="121"/>
      <c r="T315" s="121"/>
      <c r="U315" s="121"/>
      <c r="V315" s="121"/>
      <c r="W315" s="121"/>
      <c r="X315" s="121"/>
      <c r="Y315" s="121"/>
      <c r="Z315" s="121"/>
      <c r="AA315" s="123"/>
      <c r="AB315" s="123"/>
      <c r="AC315" s="123"/>
      <c r="AD315" s="123"/>
      <c r="AE315" s="123"/>
      <c r="AF315" s="123"/>
      <c r="AG315" s="123"/>
      <c r="AH315" s="123"/>
      <c r="AI315" s="123"/>
      <c r="AJ315" s="123"/>
      <c r="AK315" s="123"/>
      <c r="AL315" s="123"/>
      <c r="AM315" s="123"/>
      <c r="AN315" s="123"/>
      <c r="AO315" s="123"/>
      <c r="AP315" s="123"/>
      <c r="AQ315" s="123"/>
      <c r="AR315" s="123"/>
      <c r="AS315" s="123"/>
      <c r="AT315" s="123"/>
      <c r="AU315" s="123"/>
      <c r="AV315" s="123"/>
      <c r="AW315" s="123"/>
      <c r="AX315" s="123"/>
    </row>
    <row r="316">
      <c r="A316" s="177"/>
      <c r="B316" s="177"/>
      <c r="C316" s="121"/>
      <c r="D316" s="121"/>
      <c r="E316" s="121"/>
      <c r="F316" s="121"/>
      <c r="G316" s="177"/>
      <c r="H316" s="121"/>
      <c r="I316" s="121"/>
      <c r="J316" s="121"/>
      <c r="K316" s="121"/>
      <c r="L316" s="121"/>
      <c r="M316" s="121"/>
      <c r="N316" s="121"/>
      <c r="O316" s="121"/>
      <c r="P316" s="121"/>
      <c r="Q316" s="121"/>
      <c r="R316" s="121"/>
      <c r="S316" s="121"/>
      <c r="T316" s="121"/>
      <c r="U316" s="121"/>
      <c r="V316" s="121"/>
      <c r="W316" s="121"/>
      <c r="X316" s="121"/>
      <c r="Y316" s="121"/>
      <c r="Z316" s="121"/>
      <c r="AA316" s="123"/>
      <c r="AB316" s="123"/>
      <c r="AC316" s="123"/>
      <c r="AD316" s="123"/>
      <c r="AE316" s="123"/>
      <c r="AF316" s="123"/>
      <c r="AG316" s="123"/>
      <c r="AH316" s="123"/>
      <c r="AI316" s="123"/>
      <c r="AJ316" s="123"/>
      <c r="AK316" s="123"/>
      <c r="AL316" s="123"/>
      <c r="AM316" s="123"/>
      <c r="AN316" s="123"/>
      <c r="AO316" s="123"/>
      <c r="AP316" s="123"/>
      <c r="AQ316" s="123"/>
      <c r="AR316" s="123"/>
      <c r="AS316" s="123"/>
      <c r="AT316" s="123"/>
      <c r="AU316" s="123"/>
      <c r="AV316" s="123"/>
      <c r="AW316" s="123"/>
      <c r="AX316" s="123"/>
    </row>
    <row r="317">
      <c r="A317" s="177"/>
      <c r="B317" s="177"/>
      <c r="C317" s="121"/>
      <c r="D317" s="121"/>
      <c r="E317" s="121"/>
      <c r="F317" s="121"/>
      <c r="G317" s="177"/>
      <c r="H317" s="121"/>
      <c r="I317" s="121"/>
      <c r="J317" s="121"/>
      <c r="K317" s="121"/>
      <c r="L317" s="121"/>
      <c r="M317" s="121"/>
      <c r="N317" s="121"/>
      <c r="O317" s="121"/>
      <c r="P317" s="121"/>
      <c r="Q317" s="121"/>
      <c r="R317" s="121"/>
      <c r="S317" s="121"/>
      <c r="T317" s="121"/>
      <c r="U317" s="121"/>
      <c r="V317" s="121"/>
      <c r="W317" s="121"/>
      <c r="X317" s="121"/>
      <c r="Y317" s="121"/>
      <c r="Z317" s="121"/>
      <c r="AA317" s="123"/>
      <c r="AB317" s="123"/>
      <c r="AC317" s="123"/>
      <c r="AD317" s="123"/>
      <c r="AE317" s="123"/>
      <c r="AF317" s="123"/>
      <c r="AG317" s="123"/>
      <c r="AH317" s="123"/>
      <c r="AI317" s="123"/>
      <c r="AJ317" s="123"/>
      <c r="AK317" s="123"/>
      <c r="AL317" s="123"/>
      <c r="AM317" s="123"/>
      <c r="AN317" s="123"/>
      <c r="AO317" s="123"/>
      <c r="AP317" s="123"/>
      <c r="AQ317" s="123"/>
      <c r="AR317" s="123"/>
      <c r="AS317" s="123"/>
      <c r="AT317" s="123"/>
      <c r="AU317" s="123"/>
      <c r="AV317" s="123"/>
      <c r="AW317" s="123"/>
      <c r="AX317" s="123"/>
    </row>
    <row r="318">
      <c r="A318" s="177"/>
      <c r="B318" s="177"/>
      <c r="C318" s="121"/>
      <c r="D318" s="121"/>
      <c r="E318" s="121"/>
      <c r="F318" s="121"/>
      <c r="G318" s="177"/>
      <c r="H318" s="121"/>
      <c r="I318" s="121"/>
      <c r="J318" s="121"/>
      <c r="K318" s="121"/>
      <c r="L318" s="121"/>
      <c r="M318" s="121"/>
      <c r="N318" s="121"/>
      <c r="O318" s="121"/>
      <c r="P318" s="121"/>
      <c r="Q318" s="121"/>
      <c r="R318" s="121"/>
      <c r="S318" s="121"/>
      <c r="T318" s="121"/>
      <c r="U318" s="121"/>
      <c r="V318" s="121"/>
      <c r="W318" s="121"/>
      <c r="X318" s="121"/>
      <c r="Y318" s="121"/>
      <c r="Z318" s="121"/>
      <c r="AA318" s="123"/>
      <c r="AB318" s="123"/>
      <c r="AC318" s="123"/>
      <c r="AD318" s="123"/>
      <c r="AE318" s="123"/>
      <c r="AF318" s="123"/>
      <c r="AG318" s="123"/>
      <c r="AH318" s="123"/>
      <c r="AI318" s="123"/>
      <c r="AJ318" s="123"/>
      <c r="AK318" s="123"/>
      <c r="AL318" s="123"/>
      <c r="AM318" s="123"/>
      <c r="AN318" s="123"/>
      <c r="AO318" s="123"/>
      <c r="AP318" s="123"/>
      <c r="AQ318" s="123"/>
      <c r="AR318" s="123"/>
      <c r="AS318" s="123"/>
      <c r="AT318" s="123"/>
      <c r="AU318" s="123"/>
      <c r="AV318" s="123"/>
      <c r="AW318" s="123"/>
      <c r="AX318" s="123"/>
    </row>
    <row r="319">
      <c r="A319" s="177"/>
      <c r="B319" s="177"/>
      <c r="C319" s="121"/>
      <c r="D319" s="121"/>
      <c r="E319" s="121"/>
      <c r="F319" s="121"/>
      <c r="G319" s="177"/>
      <c r="H319" s="121"/>
      <c r="I319" s="121"/>
      <c r="J319" s="121"/>
      <c r="K319" s="121"/>
      <c r="L319" s="121"/>
      <c r="M319" s="121"/>
      <c r="N319" s="121"/>
      <c r="O319" s="121"/>
      <c r="P319" s="121"/>
      <c r="Q319" s="121"/>
      <c r="R319" s="121"/>
      <c r="S319" s="121"/>
      <c r="T319" s="121"/>
      <c r="U319" s="121"/>
      <c r="V319" s="121"/>
      <c r="W319" s="121"/>
      <c r="X319" s="121"/>
      <c r="Y319" s="121"/>
      <c r="Z319" s="121"/>
      <c r="AA319" s="123"/>
      <c r="AB319" s="123"/>
      <c r="AC319" s="123"/>
      <c r="AD319" s="123"/>
      <c r="AE319" s="123"/>
      <c r="AF319" s="123"/>
      <c r="AG319" s="123"/>
      <c r="AH319" s="123"/>
      <c r="AI319" s="123"/>
      <c r="AJ319" s="123"/>
      <c r="AK319" s="123"/>
      <c r="AL319" s="123"/>
      <c r="AM319" s="123"/>
      <c r="AN319" s="123"/>
      <c r="AO319" s="123"/>
      <c r="AP319" s="123"/>
      <c r="AQ319" s="123"/>
      <c r="AR319" s="123"/>
      <c r="AS319" s="123"/>
      <c r="AT319" s="123"/>
      <c r="AU319" s="123"/>
      <c r="AV319" s="123"/>
      <c r="AW319" s="123"/>
      <c r="AX319" s="123"/>
    </row>
    <row r="320">
      <c r="A320" s="173"/>
      <c r="B320" s="174"/>
      <c r="C320" s="185"/>
      <c r="D320" s="174"/>
      <c r="E320" s="174"/>
      <c r="F320" s="174"/>
      <c r="G320" s="174"/>
      <c r="H320" s="173"/>
      <c r="I320" s="173"/>
      <c r="J320" s="174"/>
      <c r="K320" s="71"/>
      <c r="L320" s="71"/>
      <c r="M320" s="174"/>
      <c r="N320" s="174"/>
      <c r="O320" s="174"/>
      <c r="P320" s="174"/>
      <c r="Q320" s="174"/>
      <c r="R320" s="174"/>
      <c r="S320" s="71"/>
      <c r="T320" s="71"/>
      <c r="U320" s="176"/>
      <c r="V320" s="71"/>
      <c r="W320" s="71"/>
      <c r="X320" s="174"/>
      <c r="Y320" s="136"/>
      <c r="Z320" s="173"/>
      <c r="AA320" s="171"/>
      <c r="AB320" s="171"/>
      <c r="AC320" s="171"/>
      <c r="AD320" s="171"/>
      <c r="AE320" s="171"/>
      <c r="AF320" s="171"/>
      <c r="AG320" s="171"/>
      <c r="AH320" s="171"/>
      <c r="AI320" s="171"/>
      <c r="AJ320" s="171"/>
      <c r="AK320" s="171"/>
      <c r="AL320" s="171"/>
      <c r="AM320" s="171"/>
      <c r="AN320" s="171"/>
      <c r="AO320" s="171"/>
      <c r="AP320" s="171"/>
      <c r="AQ320" s="171"/>
      <c r="AR320" s="171"/>
      <c r="AS320" s="171"/>
      <c r="AT320" s="171"/>
      <c r="AU320" s="171"/>
      <c r="AV320" s="171"/>
      <c r="AW320" s="171"/>
      <c r="AX320" s="171"/>
    </row>
    <row r="321">
      <c r="A321" s="173"/>
      <c r="B321" s="174"/>
      <c r="C321" s="174"/>
      <c r="D321" s="174"/>
      <c r="E321" s="71"/>
      <c r="F321" s="174"/>
      <c r="G321" s="174"/>
      <c r="H321" s="173"/>
      <c r="I321" s="173"/>
      <c r="J321" s="174"/>
      <c r="K321" s="71"/>
      <c r="L321" s="174"/>
      <c r="M321" s="174"/>
      <c r="N321" s="174"/>
      <c r="O321" s="174"/>
      <c r="P321" s="174"/>
      <c r="Q321" s="174"/>
      <c r="R321" s="174"/>
      <c r="S321" s="71"/>
      <c r="T321" s="71"/>
      <c r="U321" s="176"/>
      <c r="V321" s="174"/>
      <c r="W321" s="174"/>
      <c r="X321" s="174"/>
      <c r="Y321" s="175"/>
      <c r="Z321" s="175"/>
      <c r="AA321" s="178"/>
      <c r="AB321" s="178"/>
      <c r="AC321" s="178"/>
      <c r="AD321" s="178"/>
      <c r="AE321" s="178"/>
      <c r="AF321" s="178"/>
      <c r="AG321" s="178"/>
      <c r="AH321" s="178"/>
      <c r="AI321" s="178"/>
      <c r="AJ321" s="178"/>
      <c r="AK321" s="178"/>
      <c r="AL321" s="178"/>
      <c r="AM321" s="178"/>
      <c r="AN321" s="178"/>
      <c r="AO321" s="178"/>
      <c r="AP321" s="178"/>
      <c r="AQ321" s="178"/>
      <c r="AR321" s="178"/>
      <c r="AS321" s="178"/>
      <c r="AT321" s="178"/>
      <c r="AU321" s="178"/>
      <c r="AV321" s="178"/>
      <c r="AW321" s="178"/>
      <c r="AX321" s="178"/>
    </row>
    <row r="322">
      <c r="A322" s="182"/>
      <c r="B322" s="184"/>
      <c r="C322" s="183"/>
      <c r="D322" s="184"/>
      <c r="E322" s="184"/>
      <c r="F322" s="184"/>
      <c r="G322" s="183"/>
      <c r="H322" s="182"/>
      <c r="I322" s="184"/>
      <c r="J322" s="184"/>
      <c r="K322" s="184"/>
      <c r="L322" s="184"/>
      <c r="M322" s="184"/>
      <c r="N322" s="184"/>
      <c r="O322" s="183"/>
      <c r="P322" s="183"/>
      <c r="Q322" s="184"/>
      <c r="R322" s="184"/>
      <c r="S322" s="184"/>
      <c r="T322" s="184"/>
      <c r="U322" s="184"/>
      <c r="V322" s="184"/>
      <c r="W322" s="183"/>
      <c r="X322" s="183"/>
      <c r="Y322" s="175"/>
      <c r="Z322" s="175"/>
      <c r="AA322" s="178"/>
      <c r="AB322" s="178"/>
      <c r="AC322" s="178"/>
      <c r="AD322" s="178"/>
      <c r="AE322" s="178"/>
      <c r="AF322" s="178"/>
      <c r="AG322" s="178"/>
      <c r="AH322" s="178"/>
      <c r="AI322" s="178"/>
      <c r="AJ322" s="178"/>
      <c r="AK322" s="178"/>
      <c r="AL322" s="178"/>
      <c r="AM322" s="178"/>
      <c r="AN322" s="178"/>
      <c r="AO322" s="178"/>
      <c r="AP322" s="178"/>
      <c r="AQ322" s="178"/>
      <c r="AR322" s="178"/>
      <c r="AS322" s="178"/>
      <c r="AT322" s="178"/>
      <c r="AU322" s="178"/>
      <c r="AV322" s="178"/>
      <c r="AW322" s="178"/>
      <c r="AX322" s="178"/>
    </row>
    <row r="323">
      <c r="A323" s="182"/>
      <c r="B323" s="184"/>
      <c r="C323" s="183"/>
      <c r="D323" s="184"/>
      <c r="E323" s="184"/>
      <c r="F323" s="184"/>
      <c r="G323" s="183"/>
      <c r="H323" s="182"/>
      <c r="I323" s="184"/>
      <c r="J323" s="184"/>
      <c r="K323" s="184"/>
      <c r="L323" s="184"/>
      <c r="M323" s="184"/>
      <c r="N323" s="184"/>
      <c r="O323" s="183"/>
      <c r="P323" s="183"/>
      <c r="Q323" s="184"/>
      <c r="R323" s="184"/>
      <c r="S323" s="184"/>
      <c r="T323" s="184"/>
      <c r="U323" s="184"/>
      <c r="V323" s="184"/>
      <c r="W323" s="183"/>
      <c r="X323" s="183"/>
      <c r="Y323" s="175"/>
      <c r="Z323" s="175"/>
      <c r="AA323" s="178"/>
      <c r="AB323" s="178"/>
      <c r="AC323" s="178"/>
      <c r="AD323" s="178"/>
      <c r="AE323" s="178"/>
      <c r="AF323" s="178"/>
      <c r="AG323" s="178"/>
      <c r="AH323" s="178"/>
      <c r="AI323" s="178"/>
      <c r="AJ323" s="178"/>
      <c r="AK323" s="178"/>
      <c r="AL323" s="178"/>
      <c r="AM323" s="178"/>
      <c r="AN323" s="178"/>
      <c r="AO323" s="178"/>
      <c r="AP323" s="178"/>
      <c r="AQ323" s="178"/>
      <c r="AR323" s="178"/>
      <c r="AS323" s="178"/>
      <c r="AT323" s="178"/>
      <c r="AU323" s="178"/>
      <c r="AV323" s="178"/>
      <c r="AW323" s="178"/>
      <c r="AX323" s="178"/>
    </row>
    <row r="324">
      <c r="A324" s="173"/>
      <c r="B324" s="174"/>
      <c r="C324" s="175"/>
      <c r="D324" s="175"/>
      <c r="E324" s="174"/>
      <c r="F324" s="174"/>
      <c r="G324" s="174"/>
      <c r="H324" s="71"/>
      <c r="I324" s="173"/>
      <c r="J324" s="174"/>
      <c r="K324" s="71"/>
      <c r="L324" s="174"/>
      <c r="M324" s="174"/>
      <c r="N324" s="174"/>
      <c r="O324" s="174"/>
      <c r="P324" s="174"/>
      <c r="Q324" s="174"/>
      <c r="R324" s="174"/>
      <c r="S324" s="174"/>
      <c r="T324" s="174"/>
      <c r="U324" s="176"/>
      <c r="V324" s="71"/>
      <c r="W324" s="174"/>
      <c r="X324" s="174"/>
      <c r="Y324" s="175"/>
      <c r="Z324" s="175"/>
      <c r="AA324" s="178"/>
      <c r="AB324" s="178"/>
      <c r="AC324" s="178"/>
      <c r="AD324" s="178"/>
      <c r="AE324" s="178"/>
      <c r="AF324" s="178"/>
      <c r="AG324" s="178"/>
      <c r="AH324" s="178"/>
      <c r="AI324" s="178"/>
      <c r="AJ324" s="178"/>
      <c r="AK324" s="178"/>
      <c r="AL324" s="178"/>
      <c r="AM324" s="178"/>
      <c r="AN324" s="178"/>
      <c r="AO324" s="178"/>
      <c r="AP324" s="178"/>
      <c r="AQ324" s="178"/>
      <c r="AR324" s="178"/>
      <c r="AS324" s="178"/>
      <c r="AT324" s="178"/>
      <c r="AU324" s="178"/>
      <c r="AV324" s="178"/>
      <c r="AW324" s="178"/>
      <c r="AX324" s="178"/>
    </row>
    <row r="325">
      <c r="A325" s="177"/>
      <c r="B325" s="177"/>
      <c r="C325" s="121"/>
      <c r="D325" s="121"/>
      <c r="E325" s="121"/>
      <c r="F325" s="121"/>
      <c r="G325" s="177"/>
      <c r="H325" s="121"/>
      <c r="I325" s="121"/>
      <c r="J325" s="121"/>
      <c r="K325" s="121"/>
      <c r="L325" s="121"/>
      <c r="M325" s="121"/>
      <c r="N325" s="121"/>
      <c r="O325" s="121"/>
      <c r="P325" s="121"/>
      <c r="Q325" s="121"/>
      <c r="R325" s="121"/>
      <c r="S325" s="121"/>
      <c r="T325" s="121"/>
      <c r="U325" s="121"/>
      <c r="V325" s="121"/>
      <c r="W325" s="121"/>
      <c r="X325" s="121"/>
      <c r="Y325" s="121"/>
      <c r="Z325" s="121"/>
      <c r="AA325" s="123"/>
      <c r="AB325" s="123"/>
      <c r="AC325" s="123"/>
      <c r="AD325" s="123"/>
      <c r="AE325" s="123"/>
      <c r="AF325" s="123"/>
      <c r="AG325" s="123"/>
      <c r="AH325" s="123"/>
      <c r="AI325" s="123"/>
      <c r="AJ325" s="123"/>
      <c r="AK325" s="123"/>
      <c r="AL325" s="123"/>
      <c r="AM325" s="123"/>
      <c r="AN325" s="123"/>
      <c r="AO325" s="123"/>
      <c r="AP325" s="123"/>
      <c r="AQ325" s="123"/>
      <c r="AR325" s="123"/>
      <c r="AS325" s="123"/>
      <c r="AT325" s="123"/>
      <c r="AU325" s="123"/>
      <c r="AV325" s="123"/>
      <c r="AW325" s="123"/>
      <c r="AX325" s="123"/>
    </row>
    <row r="326">
      <c r="A326" s="195"/>
      <c r="B326" s="195"/>
      <c r="C326" s="187"/>
      <c r="D326" s="139"/>
      <c r="E326" s="139"/>
      <c r="F326" s="139"/>
      <c r="G326" s="195"/>
      <c r="H326" s="182"/>
      <c r="I326" s="186"/>
      <c r="J326" s="187"/>
      <c r="K326" s="139"/>
      <c r="L326" s="187"/>
      <c r="M326" s="187"/>
      <c r="N326" s="187"/>
      <c r="O326" s="183"/>
      <c r="P326" s="196"/>
      <c r="Q326" s="139"/>
      <c r="R326" s="139"/>
      <c r="S326" s="139"/>
      <c r="T326" s="139"/>
      <c r="U326" s="197"/>
      <c r="V326" s="139"/>
      <c r="W326" s="174"/>
      <c r="X326" s="139"/>
      <c r="Y326" s="139"/>
      <c r="Z326" s="139"/>
      <c r="AA326" s="188"/>
      <c r="AB326" s="188"/>
      <c r="AC326" s="188"/>
      <c r="AD326" s="188"/>
      <c r="AE326" s="188"/>
      <c r="AF326" s="188"/>
      <c r="AG326" s="188"/>
      <c r="AH326" s="188"/>
      <c r="AI326" s="188"/>
      <c r="AJ326" s="188"/>
      <c r="AK326" s="188"/>
      <c r="AL326" s="188"/>
      <c r="AM326" s="188"/>
      <c r="AN326" s="188"/>
      <c r="AO326" s="188"/>
      <c r="AP326" s="188"/>
      <c r="AQ326" s="188"/>
      <c r="AR326" s="188"/>
      <c r="AS326" s="188"/>
      <c r="AT326" s="188"/>
      <c r="AU326" s="188"/>
      <c r="AV326" s="188"/>
      <c r="AW326" s="188"/>
      <c r="AX326" s="188"/>
    </row>
    <row r="327">
      <c r="A327" s="177"/>
      <c r="B327" s="177"/>
      <c r="C327" s="121"/>
      <c r="D327" s="121"/>
      <c r="E327" s="121"/>
      <c r="F327" s="121"/>
      <c r="G327" s="177"/>
      <c r="H327" s="121"/>
      <c r="I327" s="121"/>
      <c r="J327" s="121"/>
      <c r="K327" s="121"/>
      <c r="L327" s="121"/>
      <c r="M327" s="121"/>
      <c r="N327" s="121"/>
      <c r="O327" s="121"/>
      <c r="P327" s="121"/>
      <c r="Q327" s="121"/>
      <c r="R327" s="121"/>
      <c r="S327" s="121"/>
      <c r="T327" s="121"/>
      <c r="U327" s="121"/>
      <c r="V327" s="121"/>
      <c r="W327" s="121"/>
      <c r="X327" s="121"/>
      <c r="Y327" s="121"/>
      <c r="Z327" s="121"/>
      <c r="AA327" s="123"/>
      <c r="AB327" s="123"/>
      <c r="AC327" s="123"/>
      <c r="AD327" s="123"/>
      <c r="AE327" s="123"/>
      <c r="AF327" s="123"/>
      <c r="AG327" s="123"/>
      <c r="AH327" s="123"/>
      <c r="AI327" s="123"/>
      <c r="AJ327" s="123"/>
      <c r="AK327" s="123"/>
      <c r="AL327" s="123"/>
      <c r="AM327" s="123"/>
      <c r="AN327" s="123"/>
      <c r="AO327" s="123"/>
      <c r="AP327" s="123"/>
      <c r="AQ327" s="123"/>
      <c r="AR327" s="123"/>
      <c r="AS327" s="123"/>
      <c r="AT327" s="123"/>
      <c r="AU327" s="123"/>
      <c r="AV327" s="123"/>
      <c r="AW327" s="123"/>
      <c r="AX327" s="123"/>
    </row>
    <row r="328">
      <c r="A328" s="177"/>
      <c r="B328" s="177"/>
      <c r="C328" s="121"/>
      <c r="D328" s="121"/>
      <c r="E328" s="121"/>
      <c r="F328" s="121"/>
      <c r="G328" s="177"/>
      <c r="H328" s="121"/>
      <c r="I328" s="121"/>
      <c r="J328" s="121"/>
      <c r="K328" s="121"/>
      <c r="L328" s="121"/>
      <c r="M328" s="121"/>
      <c r="N328" s="121"/>
      <c r="O328" s="121"/>
      <c r="P328" s="121"/>
      <c r="Q328" s="121"/>
      <c r="R328" s="121"/>
      <c r="S328" s="121"/>
      <c r="T328" s="121"/>
      <c r="U328" s="121"/>
      <c r="V328" s="121"/>
      <c r="W328" s="121"/>
      <c r="X328" s="121"/>
      <c r="Y328" s="121"/>
      <c r="Z328" s="121"/>
      <c r="AA328" s="123"/>
      <c r="AB328" s="123"/>
      <c r="AC328" s="123"/>
      <c r="AD328" s="123"/>
      <c r="AE328" s="123"/>
      <c r="AF328" s="123"/>
      <c r="AG328" s="123"/>
      <c r="AH328" s="123"/>
      <c r="AI328" s="123"/>
      <c r="AJ328" s="123"/>
      <c r="AK328" s="123"/>
      <c r="AL328" s="123"/>
      <c r="AM328" s="123"/>
      <c r="AN328" s="123"/>
      <c r="AO328" s="123"/>
      <c r="AP328" s="123"/>
      <c r="AQ328" s="123"/>
      <c r="AR328" s="123"/>
      <c r="AS328" s="123"/>
      <c r="AT328" s="123"/>
      <c r="AU328" s="123"/>
      <c r="AV328" s="123"/>
      <c r="AW328" s="123"/>
      <c r="AX328" s="123"/>
    </row>
    <row r="329">
      <c r="A329" s="177"/>
      <c r="B329" s="177"/>
      <c r="C329" s="121"/>
      <c r="D329" s="121"/>
      <c r="E329" s="121"/>
      <c r="F329" s="121"/>
      <c r="G329" s="177"/>
      <c r="H329" s="121"/>
      <c r="I329" s="121"/>
      <c r="J329" s="121"/>
      <c r="K329" s="121"/>
      <c r="L329" s="121"/>
      <c r="M329" s="121"/>
      <c r="N329" s="121"/>
      <c r="O329" s="121"/>
      <c r="P329" s="121"/>
      <c r="Q329" s="121"/>
      <c r="R329" s="121"/>
      <c r="S329" s="121"/>
      <c r="T329" s="121"/>
      <c r="U329" s="121"/>
      <c r="V329" s="121"/>
      <c r="W329" s="121"/>
      <c r="X329" s="121"/>
      <c r="Y329" s="121"/>
      <c r="Z329" s="121"/>
      <c r="AA329" s="123"/>
      <c r="AB329" s="123"/>
      <c r="AC329" s="123"/>
      <c r="AD329" s="123"/>
      <c r="AE329" s="123"/>
      <c r="AF329" s="123"/>
      <c r="AG329" s="123"/>
      <c r="AH329" s="123"/>
      <c r="AI329" s="123"/>
      <c r="AJ329" s="123"/>
      <c r="AK329" s="123"/>
      <c r="AL329" s="123"/>
      <c r="AM329" s="123"/>
      <c r="AN329" s="123"/>
      <c r="AO329" s="123"/>
      <c r="AP329" s="123"/>
      <c r="AQ329" s="123"/>
      <c r="AR329" s="123"/>
      <c r="AS329" s="123"/>
      <c r="AT329" s="123"/>
      <c r="AU329" s="123"/>
      <c r="AV329" s="123"/>
      <c r="AW329" s="123"/>
      <c r="AX329" s="123"/>
    </row>
    <row r="330">
      <c r="A330" s="177"/>
      <c r="B330" s="177"/>
      <c r="C330" s="121"/>
      <c r="D330" s="121"/>
      <c r="E330" s="121"/>
      <c r="F330" s="121"/>
      <c r="G330" s="177"/>
      <c r="H330" s="121"/>
      <c r="I330" s="121"/>
      <c r="J330" s="121"/>
      <c r="K330" s="121"/>
      <c r="L330" s="121"/>
      <c r="M330" s="121"/>
      <c r="N330" s="121"/>
      <c r="O330" s="121"/>
      <c r="P330" s="121"/>
      <c r="Q330" s="121"/>
      <c r="R330" s="121"/>
      <c r="S330" s="121"/>
      <c r="T330" s="121"/>
      <c r="U330" s="121"/>
      <c r="V330" s="121"/>
      <c r="W330" s="121"/>
      <c r="X330" s="121"/>
      <c r="Y330" s="121"/>
      <c r="Z330" s="121"/>
      <c r="AA330" s="123"/>
      <c r="AB330" s="123"/>
      <c r="AC330" s="123"/>
      <c r="AD330" s="123"/>
      <c r="AE330" s="123"/>
      <c r="AF330" s="123"/>
      <c r="AG330" s="123"/>
      <c r="AH330" s="123"/>
      <c r="AI330" s="123"/>
      <c r="AJ330" s="123"/>
      <c r="AK330" s="123"/>
      <c r="AL330" s="123"/>
      <c r="AM330" s="123"/>
      <c r="AN330" s="123"/>
      <c r="AO330" s="123"/>
      <c r="AP330" s="123"/>
      <c r="AQ330" s="123"/>
      <c r="AR330" s="123"/>
      <c r="AS330" s="123"/>
      <c r="AT330" s="123"/>
      <c r="AU330" s="123"/>
      <c r="AV330" s="123"/>
      <c r="AW330" s="123"/>
      <c r="AX330" s="123"/>
    </row>
    <row r="331">
      <c r="A331" s="177"/>
      <c r="B331" s="177"/>
      <c r="C331" s="121"/>
      <c r="D331" s="121"/>
      <c r="E331" s="121"/>
      <c r="F331" s="121"/>
      <c r="G331" s="177"/>
      <c r="H331" s="121"/>
      <c r="I331" s="121"/>
      <c r="J331" s="121"/>
      <c r="K331" s="121"/>
      <c r="L331" s="121"/>
      <c r="M331" s="121"/>
      <c r="N331" s="121"/>
      <c r="O331" s="121"/>
      <c r="P331" s="121"/>
      <c r="Q331" s="121"/>
      <c r="R331" s="121"/>
      <c r="S331" s="121"/>
      <c r="T331" s="121"/>
      <c r="U331" s="121"/>
      <c r="V331" s="121"/>
      <c r="W331" s="121"/>
      <c r="X331" s="121"/>
      <c r="Y331" s="121"/>
      <c r="Z331" s="121"/>
      <c r="AA331" s="123"/>
      <c r="AB331" s="123"/>
      <c r="AC331" s="123"/>
      <c r="AD331" s="123"/>
      <c r="AE331" s="123"/>
      <c r="AF331" s="123"/>
      <c r="AG331" s="123"/>
      <c r="AH331" s="123"/>
      <c r="AI331" s="123"/>
      <c r="AJ331" s="123"/>
      <c r="AK331" s="123"/>
      <c r="AL331" s="123"/>
      <c r="AM331" s="123"/>
      <c r="AN331" s="123"/>
      <c r="AO331" s="123"/>
      <c r="AP331" s="123"/>
      <c r="AQ331" s="123"/>
      <c r="AR331" s="123"/>
      <c r="AS331" s="123"/>
      <c r="AT331" s="123"/>
      <c r="AU331" s="123"/>
      <c r="AV331" s="123"/>
      <c r="AW331" s="123"/>
      <c r="AX331" s="123"/>
    </row>
    <row r="332">
      <c r="A332" s="177"/>
      <c r="B332" s="177"/>
      <c r="C332" s="121"/>
      <c r="D332" s="121"/>
      <c r="E332" s="121"/>
      <c r="F332" s="121"/>
      <c r="G332" s="177"/>
      <c r="H332" s="121"/>
      <c r="I332" s="121"/>
      <c r="J332" s="121"/>
      <c r="K332" s="121"/>
      <c r="L332" s="121"/>
      <c r="M332" s="121"/>
      <c r="N332" s="121"/>
      <c r="O332" s="121"/>
      <c r="P332" s="121"/>
      <c r="Q332" s="121"/>
      <c r="R332" s="121"/>
      <c r="S332" s="121"/>
      <c r="T332" s="121"/>
      <c r="U332" s="121"/>
      <c r="V332" s="121"/>
      <c r="W332" s="121"/>
      <c r="X332" s="121"/>
      <c r="Y332" s="121"/>
      <c r="Z332" s="121"/>
      <c r="AA332" s="123"/>
      <c r="AB332" s="123"/>
      <c r="AC332" s="123"/>
      <c r="AD332" s="123"/>
      <c r="AE332" s="123"/>
      <c r="AF332" s="123"/>
      <c r="AG332" s="123"/>
      <c r="AH332" s="123"/>
      <c r="AI332" s="123"/>
      <c r="AJ332" s="123"/>
      <c r="AK332" s="123"/>
      <c r="AL332" s="123"/>
      <c r="AM332" s="123"/>
      <c r="AN332" s="123"/>
      <c r="AO332" s="123"/>
      <c r="AP332" s="123"/>
      <c r="AQ332" s="123"/>
      <c r="AR332" s="123"/>
      <c r="AS332" s="123"/>
      <c r="AT332" s="123"/>
      <c r="AU332" s="123"/>
      <c r="AV332" s="123"/>
      <c r="AW332" s="123"/>
      <c r="AX332" s="123"/>
    </row>
    <row r="333">
      <c r="A333" s="177"/>
      <c r="B333" s="177"/>
      <c r="C333" s="121"/>
      <c r="D333" s="121"/>
      <c r="E333" s="121"/>
      <c r="F333" s="121"/>
      <c r="G333" s="177"/>
      <c r="H333" s="121"/>
      <c r="I333" s="121"/>
      <c r="J333" s="121"/>
      <c r="K333" s="121"/>
      <c r="L333" s="121"/>
      <c r="M333" s="121"/>
      <c r="N333" s="121"/>
      <c r="O333" s="121"/>
      <c r="P333" s="121"/>
      <c r="Q333" s="121"/>
      <c r="R333" s="121"/>
      <c r="S333" s="121"/>
      <c r="T333" s="121"/>
      <c r="U333" s="121"/>
      <c r="V333" s="121"/>
      <c r="W333" s="121"/>
      <c r="X333" s="121"/>
      <c r="Y333" s="121"/>
      <c r="Z333" s="121"/>
      <c r="AA333" s="123"/>
      <c r="AB333" s="123"/>
      <c r="AC333" s="123"/>
      <c r="AD333" s="123"/>
      <c r="AE333" s="123"/>
      <c r="AF333" s="123"/>
      <c r="AG333" s="123"/>
      <c r="AH333" s="123"/>
      <c r="AI333" s="123"/>
      <c r="AJ333" s="123"/>
      <c r="AK333" s="123"/>
      <c r="AL333" s="123"/>
      <c r="AM333" s="123"/>
      <c r="AN333" s="123"/>
      <c r="AO333" s="123"/>
      <c r="AP333" s="123"/>
      <c r="AQ333" s="123"/>
      <c r="AR333" s="123"/>
      <c r="AS333" s="123"/>
      <c r="AT333" s="123"/>
      <c r="AU333" s="123"/>
      <c r="AV333" s="123"/>
      <c r="AW333" s="123"/>
      <c r="AX333" s="123"/>
    </row>
    <row r="334">
      <c r="A334" s="177"/>
      <c r="B334" s="177"/>
      <c r="C334" s="121"/>
      <c r="D334" s="121"/>
      <c r="E334" s="121"/>
      <c r="F334" s="121"/>
      <c r="G334" s="177"/>
      <c r="H334" s="121"/>
      <c r="I334" s="121"/>
      <c r="J334" s="121"/>
      <c r="K334" s="121"/>
      <c r="L334" s="121"/>
      <c r="M334" s="121"/>
      <c r="N334" s="121"/>
      <c r="O334" s="121"/>
      <c r="P334" s="121"/>
      <c r="Q334" s="121"/>
      <c r="R334" s="121"/>
      <c r="S334" s="121"/>
      <c r="T334" s="121"/>
      <c r="U334" s="121"/>
      <c r="V334" s="121"/>
      <c r="W334" s="121"/>
      <c r="X334" s="121"/>
      <c r="Y334" s="121"/>
      <c r="Z334" s="121"/>
      <c r="AA334" s="123"/>
      <c r="AB334" s="123"/>
      <c r="AC334" s="123"/>
      <c r="AD334" s="123"/>
      <c r="AE334" s="123"/>
      <c r="AF334" s="123"/>
      <c r="AG334" s="123"/>
      <c r="AH334" s="123"/>
      <c r="AI334" s="123"/>
      <c r="AJ334" s="123"/>
      <c r="AK334" s="123"/>
      <c r="AL334" s="123"/>
      <c r="AM334" s="123"/>
      <c r="AN334" s="123"/>
      <c r="AO334" s="123"/>
      <c r="AP334" s="123"/>
      <c r="AQ334" s="123"/>
      <c r="AR334" s="123"/>
      <c r="AS334" s="123"/>
      <c r="AT334" s="123"/>
      <c r="AU334" s="123"/>
      <c r="AV334" s="123"/>
      <c r="AW334" s="123"/>
      <c r="AX334" s="123"/>
    </row>
    <row r="335">
      <c r="A335" s="177"/>
      <c r="B335" s="177"/>
      <c r="C335" s="121"/>
      <c r="D335" s="121"/>
      <c r="E335" s="121"/>
      <c r="F335" s="121"/>
      <c r="G335" s="177"/>
      <c r="H335" s="121"/>
      <c r="I335" s="121"/>
      <c r="J335" s="121"/>
      <c r="K335" s="121"/>
      <c r="L335" s="121"/>
      <c r="M335" s="121"/>
      <c r="N335" s="121"/>
      <c r="O335" s="121"/>
      <c r="P335" s="121"/>
      <c r="Q335" s="121"/>
      <c r="R335" s="121"/>
      <c r="S335" s="121"/>
      <c r="T335" s="121"/>
      <c r="U335" s="121"/>
      <c r="V335" s="121"/>
      <c r="W335" s="121"/>
      <c r="X335" s="121"/>
      <c r="Y335" s="121"/>
      <c r="Z335" s="121"/>
      <c r="AA335" s="123"/>
      <c r="AB335" s="123"/>
      <c r="AC335" s="123"/>
      <c r="AD335" s="123"/>
      <c r="AE335" s="123"/>
      <c r="AF335" s="123"/>
      <c r="AG335" s="123"/>
      <c r="AH335" s="123"/>
      <c r="AI335" s="123"/>
      <c r="AJ335" s="123"/>
      <c r="AK335" s="123"/>
      <c r="AL335" s="123"/>
      <c r="AM335" s="123"/>
      <c r="AN335" s="123"/>
      <c r="AO335" s="123"/>
      <c r="AP335" s="123"/>
      <c r="AQ335" s="123"/>
      <c r="AR335" s="123"/>
      <c r="AS335" s="123"/>
      <c r="AT335" s="123"/>
      <c r="AU335" s="123"/>
      <c r="AV335" s="123"/>
      <c r="AW335" s="123"/>
      <c r="AX335" s="123"/>
    </row>
    <row r="336">
      <c r="A336" s="177"/>
      <c r="B336" s="177"/>
      <c r="C336" s="121"/>
      <c r="D336" s="121"/>
      <c r="E336" s="121"/>
      <c r="F336" s="121"/>
      <c r="G336" s="177"/>
      <c r="H336" s="121"/>
      <c r="I336" s="121"/>
      <c r="J336" s="121"/>
      <c r="K336" s="121"/>
      <c r="L336" s="121"/>
      <c r="M336" s="121"/>
      <c r="N336" s="121"/>
      <c r="O336" s="121"/>
      <c r="P336" s="121"/>
      <c r="Q336" s="121"/>
      <c r="R336" s="121"/>
      <c r="S336" s="121"/>
      <c r="T336" s="121"/>
      <c r="U336" s="121"/>
      <c r="V336" s="121"/>
      <c r="W336" s="121"/>
      <c r="X336" s="121"/>
      <c r="Y336" s="121"/>
      <c r="Z336" s="121"/>
      <c r="AA336" s="123"/>
      <c r="AB336" s="123"/>
      <c r="AC336" s="123"/>
      <c r="AD336" s="123"/>
      <c r="AE336" s="123"/>
      <c r="AF336" s="123"/>
      <c r="AG336" s="123"/>
      <c r="AH336" s="123"/>
      <c r="AI336" s="123"/>
      <c r="AJ336" s="123"/>
      <c r="AK336" s="123"/>
      <c r="AL336" s="123"/>
      <c r="AM336" s="123"/>
      <c r="AN336" s="123"/>
      <c r="AO336" s="123"/>
      <c r="AP336" s="123"/>
      <c r="AQ336" s="123"/>
      <c r="AR336" s="123"/>
      <c r="AS336" s="123"/>
      <c r="AT336" s="123"/>
      <c r="AU336" s="123"/>
      <c r="AV336" s="123"/>
      <c r="AW336" s="123"/>
      <c r="AX336" s="123"/>
    </row>
    <row r="337">
      <c r="A337" s="177"/>
      <c r="B337" s="177"/>
      <c r="C337" s="121"/>
      <c r="D337" s="121"/>
      <c r="E337" s="121"/>
      <c r="F337" s="121"/>
      <c r="G337" s="177"/>
      <c r="H337" s="121"/>
      <c r="I337" s="121"/>
      <c r="J337" s="121"/>
      <c r="K337" s="121"/>
      <c r="L337" s="121"/>
      <c r="M337" s="121"/>
      <c r="N337" s="121"/>
      <c r="O337" s="121"/>
      <c r="P337" s="121"/>
      <c r="Q337" s="121"/>
      <c r="R337" s="121"/>
      <c r="S337" s="121"/>
      <c r="T337" s="121"/>
      <c r="U337" s="121"/>
      <c r="V337" s="121"/>
      <c r="W337" s="121"/>
      <c r="X337" s="121"/>
      <c r="Y337" s="121"/>
      <c r="Z337" s="121"/>
      <c r="AA337" s="123"/>
      <c r="AB337" s="123"/>
      <c r="AC337" s="123"/>
      <c r="AD337" s="123"/>
      <c r="AE337" s="123"/>
      <c r="AF337" s="123"/>
      <c r="AG337" s="123"/>
      <c r="AH337" s="123"/>
      <c r="AI337" s="123"/>
      <c r="AJ337" s="123"/>
      <c r="AK337" s="123"/>
      <c r="AL337" s="123"/>
      <c r="AM337" s="123"/>
      <c r="AN337" s="123"/>
      <c r="AO337" s="123"/>
      <c r="AP337" s="123"/>
      <c r="AQ337" s="123"/>
      <c r="AR337" s="123"/>
      <c r="AS337" s="123"/>
      <c r="AT337" s="123"/>
      <c r="AU337" s="123"/>
      <c r="AV337" s="123"/>
      <c r="AW337" s="123"/>
      <c r="AX337" s="123"/>
    </row>
    <row r="338">
      <c r="A338" s="177"/>
      <c r="B338" s="177"/>
      <c r="C338" s="121"/>
      <c r="D338" s="121"/>
      <c r="E338" s="121"/>
      <c r="F338" s="121"/>
      <c r="G338" s="177"/>
      <c r="H338" s="121"/>
      <c r="I338" s="121"/>
      <c r="J338" s="121"/>
      <c r="K338" s="121"/>
      <c r="L338" s="121"/>
      <c r="M338" s="121"/>
      <c r="N338" s="121"/>
      <c r="O338" s="121"/>
      <c r="P338" s="121"/>
      <c r="Q338" s="121"/>
      <c r="R338" s="121"/>
      <c r="S338" s="121"/>
      <c r="T338" s="121"/>
      <c r="U338" s="121"/>
      <c r="V338" s="121"/>
      <c r="W338" s="121"/>
      <c r="X338" s="121"/>
      <c r="Y338" s="121"/>
      <c r="Z338" s="121"/>
      <c r="AA338" s="123"/>
      <c r="AB338" s="123"/>
      <c r="AC338" s="123"/>
      <c r="AD338" s="123"/>
      <c r="AE338" s="123"/>
      <c r="AF338" s="123"/>
      <c r="AG338" s="123"/>
      <c r="AH338" s="123"/>
      <c r="AI338" s="123"/>
      <c r="AJ338" s="123"/>
      <c r="AK338" s="123"/>
      <c r="AL338" s="123"/>
      <c r="AM338" s="123"/>
      <c r="AN338" s="123"/>
      <c r="AO338" s="123"/>
      <c r="AP338" s="123"/>
      <c r="AQ338" s="123"/>
      <c r="AR338" s="123"/>
      <c r="AS338" s="123"/>
      <c r="AT338" s="123"/>
      <c r="AU338" s="123"/>
      <c r="AV338" s="123"/>
      <c r="AW338" s="123"/>
      <c r="AX338" s="123"/>
    </row>
    <row r="339">
      <c r="A339" s="177"/>
      <c r="B339" s="177"/>
      <c r="C339" s="121"/>
      <c r="D339" s="121"/>
      <c r="E339" s="121"/>
      <c r="F339" s="121"/>
      <c r="G339" s="177"/>
      <c r="H339" s="121"/>
      <c r="I339" s="121"/>
      <c r="J339" s="121"/>
      <c r="K339" s="121"/>
      <c r="L339" s="121"/>
      <c r="M339" s="121"/>
      <c r="N339" s="121"/>
      <c r="O339" s="121"/>
      <c r="P339" s="121"/>
      <c r="Q339" s="121"/>
      <c r="R339" s="121"/>
      <c r="S339" s="121"/>
      <c r="T339" s="121"/>
      <c r="U339" s="121"/>
      <c r="V339" s="121"/>
      <c r="W339" s="121"/>
      <c r="X339" s="121"/>
      <c r="Y339" s="121"/>
      <c r="Z339" s="121"/>
      <c r="AA339" s="123"/>
      <c r="AB339" s="123"/>
      <c r="AC339" s="123"/>
      <c r="AD339" s="123"/>
      <c r="AE339" s="123"/>
      <c r="AF339" s="123"/>
      <c r="AG339" s="123"/>
      <c r="AH339" s="123"/>
      <c r="AI339" s="123"/>
      <c r="AJ339" s="123"/>
      <c r="AK339" s="123"/>
      <c r="AL339" s="123"/>
      <c r="AM339" s="123"/>
      <c r="AN339" s="123"/>
      <c r="AO339" s="123"/>
      <c r="AP339" s="123"/>
      <c r="AQ339" s="123"/>
      <c r="AR339" s="123"/>
      <c r="AS339" s="123"/>
      <c r="AT339" s="123"/>
      <c r="AU339" s="123"/>
      <c r="AV339" s="123"/>
      <c r="AW339" s="123"/>
      <c r="AX339" s="123"/>
    </row>
    <row r="340">
      <c r="A340" s="177"/>
      <c r="B340" s="177"/>
      <c r="C340" s="121"/>
      <c r="D340" s="121"/>
      <c r="E340" s="121"/>
      <c r="F340" s="121"/>
      <c r="G340" s="177"/>
      <c r="H340" s="121"/>
      <c r="I340" s="121"/>
      <c r="J340" s="121"/>
      <c r="K340" s="121"/>
      <c r="L340" s="121"/>
      <c r="M340" s="121"/>
      <c r="N340" s="121"/>
      <c r="O340" s="121"/>
      <c r="P340" s="121"/>
      <c r="Q340" s="121"/>
      <c r="R340" s="121"/>
      <c r="S340" s="121"/>
      <c r="T340" s="121"/>
      <c r="U340" s="121"/>
      <c r="V340" s="121"/>
      <c r="W340" s="121"/>
      <c r="X340" s="121"/>
      <c r="Y340" s="121"/>
      <c r="Z340" s="121"/>
      <c r="AA340" s="123"/>
      <c r="AB340" s="123"/>
      <c r="AC340" s="123"/>
      <c r="AD340" s="123"/>
      <c r="AE340" s="123"/>
      <c r="AF340" s="123"/>
      <c r="AG340" s="123"/>
      <c r="AH340" s="123"/>
      <c r="AI340" s="123"/>
      <c r="AJ340" s="123"/>
      <c r="AK340" s="123"/>
      <c r="AL340" s="123"/>
      <c r="AM340" s="123"/>
      <c r="AN340" s="123"/>
      <c r="AO340" s="123"/>
      <c r="AP340" s="123"/>
      <c r="AQ340" s="123"/>
      <c r="AR340" s="123"/>
      <c r="AS340" s="123"/>
      <c r="AT340" s="123"/>
      <c r="AU340" s="123"/>
      <c r="AV340" s="123"/>
      <c r="AW340" s="123"/>
      <c r="AX340" s="123"/>
    </row>
    <row r="341">
      <c r="A341" s="182"/>
      <c r="B341" s="183"/>
      <c r="C341" s="183"/>
      <c r="D341" s="184"/>
      <c r="E341" s="184"/>
      <c r="F341" s="183"/>
      <c r="G341" s="184"/>
      <c r="H341" s="184"/>
      <c r="I341" s="184"/>
      <c r="J341" s="184"/>
      <c r="K341" s="184"/>
      <c r="L341" s="184"/>
      <c r="M341" s="184"/>
      <c r="N341" s="184"/>
      <c r="O341" s="183"/>
      <c r="P341" s="183"/>
      <c r="Q341" s="184"/>
      <c r="R341" s="184"/>
      <c r="S341" s="184"/>
      <c r="T341" s="184"/>
      <c r="U341" s="184"/>
      <c r="V341" s="184"/>
      <c r="W341" s="183"/>
      <c r="X341" s="183"/>
      <c r="Y341" s="175"/>
      <c r="Z341" s="175"/>
      <c r="AA341" s="178"/>
      <c r="AB341" s="178"/>
      <c r="AC341" s="178"/>
      <c r="AD341" s="178"/>
      <c r="AE341" s="178"/>
      <c r="AF341" s="178"/>
      <c r="AG341" s="178"/>
      <c r="AH341" s="178"/>
      <c r="AI341" s="178"/>
      <c r="AJ341" s="178"/>
      <c r="AK341" s="178"/>
      <c r="AL341" s="178"/>
      <c r="AM341" s="178"/>
      <c r="AN341" s="178"/>
      <c r="AO341" s="178"/>
      <c r="AP341" s="178"/>
      <c r="AQ341" s="178"/>
      <c r="AR341" s="178"/>
      <c r="AS341" s="178"/>
      <c r="AT341" s="178"/>
      <c r="AU341" s="178"/>
      <c r="AV341" s="178"/>
      <c r="AW341" s="178"/>
      <c r="AX341" s="178"/>
    </row>
    <row r="342">
      <c r="A342" s="173"/>
      <c r="B342" s="174"/>
      <c r="C342" s="174"/>
      <c r="D342" s="71"/>
      <c r="E342" s="71"/>
      <c r="F342" s="71"/>
      <c r="G342" s="174"/>
      <c r="H342" s="173"/>
      <c r="I342" s="173"/>
      <c r="J342" s="174"/>
      <c r="K342" s="71"/>
      <c r="L342" s="174"/>
      <c r="M342" s="174"/>
      <c r="N342" s="174"/>
      <c r="O342" s="174"/>
      <c r="P342" s="174"/>
      <c r="Q342" s="174"/>
      <c r="R342" s="174"/>
      <c r="S342" s="71"/>
      <c r="T342" s="174"/>
      <c r="U342" s="176"/>
      <c r="V342" s="174"/>
      <c r="W342" s="174"/>
      <c r="X342" s="174"/>
      <c r="Y342" s="71"/>
      <c r="Z342" s="71"/>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row>
    <row r="343">
      <c r="A343" s="177"/>
      <c r="B343" s="177"/>
      <c r="C343" s="121"/>
      <c r="D343" s="121"/>
      <c r="E343" s="121"/>
      <c r="F343" s="121"/>
      <c r="G343" s="177"/>
      <c r="H343" s="121"/>
      <c r="I343" s="121"/>
      <c r="J343" s="121"/>
      <c r="K343" s="121"/>
      <c r="L343" s="121"/>
      <c r="M343" s="121"/>
      <c r="N343" s="121"/>
      <c r="O343" s="121"/>
      <c r="P343" s="121"/>
      <c r="Q343" s="121"/>
      <c r="R343" s="121"/>
      <c r="S343" s="121"/>
      <c r="T343" s="121"/>
      <c r="U343" s="121"/>
      <c r="V343" s="121"/>
      <c r="W343" s="121"/>
      <c r="X343" s="121"/>
      <c r="Y343" s="121"/>
      <c r="Z343" s="121"/>
      <c r="AA343" s="123"/>
      <c r="AB343" s="123"/>
      <c r="AC343" s="123"/>
      <c r="AD343" s="123"/>
      <c r="AE343" s="123"/>
      <c r="AF343" s="123"/>
      <c r="AG343" s="123"/>
      <c r="AH343" s="123"/>
      <c r="AI343" s="123"/>
      <c r="AJ343" s="123"/>
      <c r="AK343" s="123"/>
      <c r="AL343" s="123"/>
      <c r="AM343" s="123"/>
      <c r="AN343" s="123"/>
      <c r="AO343" s="123"/>
      <c r="AP343" s="123"/>
      <c r="AQ343" s="123"/>
      <c r="AR343" s="123"/>
      <c r="AS343" s="123"/>
      <c r="AT343" s="123"/>
      <c r="AU343" s="123"/>
      <c r="AV343" s="123"/>
      <c r="AW343" s="123"/>
      <c r="AX343" s="123"/>
    </row>
    <row r="344">
      <c r="A344" s="177"/>
      <c r="B344" s="177"/>
      <c r="C344" s="121"/>
      <c r="D344" s="121"/>
      <c r="E344" s="121"/>
      <c r="F344" s="121"/>
      <c r="G344" s="177"/>
      <c r="H344" s="121"/>
      <c r="I344" s="121"/>
      <c r="J344" s="121"/>
      <c r="K344" s="121"/>
      <c r="L344" s="121"/>
      <c r="M344" s="121"/>
      <c r="N344" s="121"/>
      <c r="O344" s="121"/>
      <c r="P344" s="121"/>
      <c r="Q344" s="121"/>
      <c r="R344" s="121"/>
      <c r="S344" s="121"/>
      <c r="T344" s="121"/>
      <c r="U344" s="121"/>
      <c r="V344" s="121"/>
      <c r="W344" s="121"/>
      <c r="X344" s="121"/>
      <c r="Y344" s="121"/>
      <c r="Z344" s="121"/>
      <c r="AA344" s="123"/>
      <c r="AB344" s="123"/>
      <c r="AC344" s="123"/>
      <c r="AD344" s="123"/>
      <c r="AE344" s="123"/>
      <c r="AF344" s="123"/>
      <c r="AG344" s="123"/>
      <c r="AH344" s="123"/>
      <c r="AI344" s="123"/>
      <c r="AJ344" s="123"/>
      <c r="AK344" s="123"/>
      <c r="AL344" s="123"/>
      <c r="AM344" s="123"/>
      <c r="AN344" s="123"/>
      <c r="AO344" s="123"/>
      <c r="AP344" s="123"/>
      <c r="AQ344" s="123"/>
      <c r="AR344" s="123"/>
      <c r="AS344" s="123"/>
      <c r="AT344" s="123"/>
      <c r="AU344" s="123"/>
      <c r="AV344" s="123"/>
      <c r="AW344" s="123"/>
      <c r="AX344" s="123"/>
    </row>
    <row r="345">
      <c r="A345" s="177"/>
      <c r="B345" s="177"/>
      <c r="C345" s="121"/>
      <c r="D345" s="121"/>
      <c r="E345" s="121"/>
      <c r="F345" s="121"/>
      <c r="G345" s="177"/>
      <c r="H345" s="121"/>
      <c r="I345" s="121"/>
      <c r="J345" s="121"/>
      <c r="K345" s="121"/>
      <c r="L345" s="121"/>
      <c r="M345" s="121"/>
      <c r="N345" s="121"/>
      <c r="O345" s="121"/>
      <c r="P345" s="121"/>
      <c r="Q345" s="121"/>
      <c r="R345" s="121"/>
      <c r="S345" s="121"/>
      <c r="T345" s="121"/>
      <c r="U345" s="121"/>
      <c r="V345" s="121"/>
      <c r="W345" s="121"/>
      <c r="X345" s="121"/>
      <c r="Y345" s="121"/>
      <c r="Z345" s="121"/>
      <c r="AA345" s="123"/>
      <c r="AB345" s="123"/>
      <c r="AC345" s="123"/>
      <c r="AD345" s="123"/>
      <c r="AE345" s="123"/>
      <c r="AF345" s="123"/>
      <c r="AG345" s="123"/>
      <c r="AH345" s="123"/>
      <c r="AI345" s="123"/>
      <c r="AJ345" s="123"/>
      <c r="AK345" s="123"/>
      <c r="AL345" s="123"/>
      <c r="AM345" s="123"/>
      <c r="AN345" s="123"/>
      <c r="AO345" s="123"/>
      <c r="AP345" s="123"/>
      <c r="AQ345" s="123"/>
      <c r="AR345" s="123"/>
      <c r="AS345" s="123"/>
      <c r="AT345" s="123"/>
      <c r="AU345" s="123"/>
      <c r="AV345" s="123"/>
      <c r="AW345" s="123"/>
      <c r="AX345" s="123"/>
    </row>
    <row r="346">
      <c r="A346" s="177"/>
      <c r="B346" s="177"/>
      <c r="C346" s="121"/>
      <c r="D346" s="121"/>
      <c r="E346" s="121"/>
      <c r="F346" s="121"/>
      <c r="G346" s="177"/>
      <c r="H346" s="121"/>
      <c r="I346" s="121"/>
      <c r="J346" s="121"/>
      <c r="K346" s="121"/>
      <c r="L346" s="121"/>
      <c r="M346" s="121"/>
      <c r="N346" s="121"/>
      <c r="O346" s="121"/>
      <c r="P346" s="121"/>
      <c r="Q346" s="121"/>
      <c r="R346" s="121"/>
      <c r="S346" s="121"/>
      <c r="T346" s="121"/>
      <c r="U346" s="121"/>
      <c r="V346" s="121"/>
      <c r="W346" s="121"/>
      <c r="X346" s="121"/>
      <c r="Y346" s="121"/>
      <c r="Z346" s="121"/>
      <c r="AA346" s="123"/>
      <c r="AB346" s="123"/>
      <c r="AC346" s="123"/>
      <c r="AD346" s="123"/>
      <c r="AE346" s="123"/>
      <c r="AF346" s="123"/>
      <c r="AG346" s="123"/>
      <c r="AH346" s="123"/>
      <c r="AI346" s="123"/>
      <c r="AJ346" s="123"/>
      <c r="AK346" s="123"/>
      <c r="AL346" s="123"/>
      <c r="AM346" s="123"/>
      <c r="AN346" s="123"/>
      <c r="AO346" s="123"/>
      <c r="AP346" s="123"/>
      <c r="AQ346" s="123"/>
      <c r="AR346" s="123"/>
      <c r="AS346" s="123"/>
      <c r="AT346" s="123"/>
      <c r="AU346" s="123"/>
      <c r="AV346" s="123"/>
      <c r="AW346" s="123"/>
      <c r="AX346" s="123"/>
    </row>
    <row r="347">
      <c r="A347" s="177"/>
      <c r="B347" s="177"/>
      <c r="C347" s="121"/>
      <c r="D347" s="121"/>
      <c r="E347" s="121"/>
      <c r="F347" s="121"/>
      <c r="G347" s="177"/>
      <c r="H347" s="121"/>
      <c r="I347" s="121"/>
      <c r="J347" s="121"/>
      <c r="K347" s="121"/>
      <c r="L347" s="121"/>
      <c r="M347" s="121"/>
      <c r="N347" s="121"/>
      <c r="O347" s="121"/>
      <c r="P347" s="121"/>
      <c r="Q347" s="121"/>
      <c r="R347" s="121"/>
      <c r="S347" s="121"/>
      <c r="T347" s="121"/>
      <c r="U347" s="121"/>
      <c r="V347" s="121"/>
      <c r="W347" s="121"/>
      <c r="X347" s="121"/>
      <c r="Y347" s="121"/>
      <c r="Z347" s="121"/>
      <c r="AA347" s="123"/>
      <c r="AB347" s="123"/>
      <c r="AC347" s="123"/>
      <c r="AD347" s="123"/>
      <c r="AE347" s="123"/>
      <c r="AF347" s="123"/>
      <c r="AG347" s="123"/>
      <c r="AH347" s="123"/>
      <c r="AI347" s="123"/>
      <c r="AJ347" s="123"/>
      <c r="AK347" s="123"/>
      <c r="AL347" s="123"/>
      <c r="AM347" s="123"/>
      <c r="AN347" s="123"/>
      <c r="AO347" s="123"/>
      <c r="AP347" s="123"/>
      <c r="AQ347" s="123"/>
      <c r="AR347" s="123"/>
      <c r="AS347" s="123"/>
      <c r="AT347" s="123"/>
      <c r="AU347" s="123"/>
      <c r="AV347" s="123"/>
      <c r="AW347" s="123"/>
      <c r="AX347" s="123"/>
    </row>
    <row r="348">
      <c r="A348" s="177"/>
      <c r="B348" s="177"/>
      <c r="C348" s="121"/>
      <c r="D348" s="121"/>
      <c r="E348" s="121"/>
      <c r="F348" s="121"/>
      <c r="G348" s="177"/>
      <c r="H348" s="121"/>
      <c r="I348" s="121"/>
      <c r="J348" s="121"/>
      <c r="K348" s="121"/>
      <c r="L348" s="121"/>
      <c r="M348" s="121"/>
      <c r="N348" s="121"/>
      <c r="O348" s="121"/>
      <c r="P348" s="121"/>
      <c r="Q348" s="121"/>
      <c r="R348" s="121"/>
      <c r="S348" s="121"/>
      <c r="T348" s="121"/>
      <c r="U348" s="121"/>
      <c r="V348" s="121"/>
      <c r="W348" s="121"/>
      <c r="X348" s="121"/>
      <c r="Y348" s="121"/>
      <c r="Z348" s="121"/>
      <c r="AA348" s="123"/>
      <c r="AB348" s="123"/>
      <c r="AC348" s="123"/>
      <c r="AD348" s="123"/>
      <c r="AE348" s="123"/>
      <c r="AF348" s="123"/>
      <c r="AG348" s="123"/>
      <c r="AH348" s="123"/>
      <c r="AI348" s="123"/>
      <c r="AJ348" s="123"/>
      <c r="AK348" s="123"/>
      <c r="AL348" s="123"/>
      <c r="AM348" s="123"/>
      <c r="AN348" s="123"/>
      <c r="AO348" s="123"/>
      <c r="AP348" s="123"/>
      <c r="AQ348" s="123"/>
      <c r="AR348" s="123"/>
      <c r="AS348" s="123"/>
      <c r="AT348" s="123"/>
      <c r="AU348" s="123"/>
      <c r="AV348" s="123"/>
      <c r="AW348" s="123"/>
      <c r="AX348" s="123"/>
    </row>
    <row r="349">
      <c r="A349" s="177"/>
      <c r="B349" s="177"/>
      <c r="C349" s="121"/>
      <c r="D349" s="121"/>
      <c r="E349" s="121"/>
      <c r="F349" s="121"/>
      <c r="G349" s="177"/>
      <c r="H349" s="121"/>
      <c r="I349" s="121"/>
      <c r="J349" s="121"/>
      <c r="K349" s="121"/>
      <c r="L349" s="121"/>
      <c r="M349" s="121"/>
      <c r="N349" s="121"/>
      <c r="O349" s="121"/>
      <c r="P349" s="121"/>
      <c r="Q349" s="121"/>
      <c r="R349" s="121"/>
      <c r="S349" s="121"/>
      <c r="T349" s="121"/>
      <c r="U349" s="121"/>
      <c r="V349" s="121"/>
      <c r="W349" s="121"/>
      <c r="X349" s="121"/>
      <c r="Y349" s="121"/>
      <c r="Z349" s="121"/>
      <c r="AA349" s="123"/>
      <c r="AB349" s="123"/>
      <c r="AC349" s="123"/>
      <c r="AD349" s="123"/>
      <c r="AE349" s="123"/>
      <c r="AF349" s="123"/>
      <c r="AG349" s="123"/>
      <c r="AH349" s="123"/>
      <c r="AI349" s="123"/>
      <c r="AJ349" s="123"/>
      <c r="AK349" s="123"/>
      <c r="AL349" s="123"/>
      <c r="AM349" s="123"/>
      <c r="AN349" s="123"/>
      <c r="AO349" s="123"/>
      <c r="AP349" s="123"/>
      <c r="AQ349" s="123"/>
      <c r="AR349" s="123"/>
      <c r="AS349" s="123"/>
      <c r="AT349" s="123"/>
      <c r="AU349" s="123"/>
      <c r="AV349" s="123"/>
      <c r="AW349" s="123"/>
      <c r="AX349" s="123"/>
    </row>
    <row r="350">
      <c r="A350" s="177"/>
      <c r="B350" s="177"/>
      <c r="C350" s="121"/>
      <c r="D350" s="121"/>
      <c r="E350" s="121"/>
      <c r="F350" s="121"/>
      <c r="G350" s="177"/>
      <c r="H350" s="121"/>
      <c r="I350" s="121"/>
      <c r="J350" s="121"/>
      <c r="K350" s="121"/>
      <c r="L350" s="121"/>
      <c r="M350" s="121"/>
      <c r="N350" s="121"/>
      <c r="O350" s="121"/>
      <c r="P350" s="121"/>
      <c r="Q350" s="121"/>
      <c r="R350" s="121"/>
      <c r="S350" s="121"/>
      <c r="T350" s="121"/>
      <c r="U350" s="121"/>
      <c r="V350" s="121"/>
      <c r="W350" s="121"/>
      <c r="X350" s="121"/>
      <c r="Y350" s="121"/>
      <c r="Z350" s="121"/>
      <c r="AA350" s="123"/>
      <c r="AB350" s="123"/>
      <c r="AC350" s="123"/>
      <c r="AD350" s="123"/>
      <c r="AE350" s="123"/>
      <c r="AF350" s="123"/>
      <c r="AG350" s="123"/>
      <c r="AH350" s="123"/>
      <c r="AI350" s="123"/>
      <c r="AJ350" s="123"/>
      <c r="AK350" s="123"/>
      <c r="AL350" s="123"/>
      <c r="AM350" s="123"/>
      <c r="AN350" s="123"/>
      <c r="AO350" s="123"/>
      <c r="AP350" s="123"/>
      <c r="AQ350" s="123"/>
      <c r="AR350" s="123"/>
      <c r="AS350" s="123"/>
      <c r="AT350" s="123"/>
      <c r="AU350" s="123"/>
      <c r="AV350" s="123"/>
      <c r="AW350" s="123"/>
      <c r="AX350" s="123"/>
    </row>
    <row r="351">
      <c r="A351" s="177"/>
      <c r="B351" s="177"/>
      <c r="C351" s="121"/>
      <c r="D351" s="121"/>
      <c r="E351" s="121"/>
      <c r="F351" s="121"/>
      <c r="G351" s="177"/>
      <c r="H351" s="121"/>
      <c r="I351" s="121"/>
      <c r="J351" s="121"/>
      <c r="K351" s="121"/>
      <c r="L351" s="121"/>
      <c r="M351" s="121"/>
      <c r="N351" s="121"/>
      <c r="O351" s="121"/>
      <c r="P351" s="121"/>
      <c r="Q351" s="121"/>
      <c r="R351" s="121"/>
      <c r="S351" s="121"/>
      <c r="T351" s="121"/>
      <c r="U351" s="121"/>
      <c r="V351" s="121"/>
      <c r="W351" s="121"/>
      <c r="X351" s="121"/>
      <c r="Y351" s="121"/>
      <c r="Z351" s="121"/>
      <c r="AA351" s="123"/>
      <c r="AB351" s="123"/>
      <c r="AC351" s="123"/>
      <c r="AD351" s="123"/>
      <c r="AE351" s="123"/>
      <c r="AF351" s="123"/>
      <c r="AG351" s="123"/>
      <c r="AH351" s="123"/>
      <c r="AI351" s="123"/>
      <c r="AJ351" s="123"/>
      <c r="AK351" s="123"/>
      <c r="AL351" s="123"/>
      <c r="AM351" s="123"/>
      <c r="AN351" s="123"/>
      <c r="AO351" s="123"/>
      <c r="AP351" s="123"/>
      <c r="AQ351" s="123"/>
      <c r="AR351" s="123"/>
      <c r="AS351" s="123"/>
      <c r="AT351" s="123"/>
      <c r="AU351" s="123"/>
      <c r="AV351" s="123"/>
      <c r="AW351" s="123"/>
      <c r="AX351" s="123"/>
    </row>
    <row r="352">
      <c r="A352" s="177"/>
      <c r="B352" s="177"/>
      <c r="C352" s="121"/>
      <c r="D352" s="121"/>
      <c r="E352" s="121"/>
      <c r="F352" s="121"/>
      <c r="G352" s="177"/>
      <c r="H352" s="121"/>
      <c r="I352" s="121"/>
      <c r="J352" s="121"/>
      <c r="K352" s="121"/>
      <c r="L352" s="121"/>
      <c r="M352" s="121"/>
      <c r="N352" s="121"/>
      <c r="O352" s="121"/>
      <c r="P352" s="121"/>
      <c r="Q352" s="121"/>
      <c r="R352" s="121"/>
      <c r="S352" s="121"/>
      <c r="T352" s="121"/>
      <c r="U352" s="121"/>
      <c r="V352" s="121"/>
      <c r="W352" s="121"/>
      <c r="X352" s="121"/>
      <c r="Y352" s="121"/>
      <c r="Z352" s="121"/>
      <c r="AA352" s="123"/>
      <c r="AB352" s="123"/>
      <c r="AC352" s="123"/>
      <c r="AD352" s="123"/>
      <c r="AE352" s="123"/>
      <c r="AF352" s="123"/>
      <c r="AG352" s="123"/>
      <c r="AH352" s="123"/>
      <c r="AI352" s="123"/>
      <c r="AJ352" s="123"/>
      <c r="AK352" s="123"/>
      <c r="AL352" s="123"/>
      <c r="AM352" s="123"/>
      <c r="AN352" s="123"/>
      <c r="AO352" s="123"/>
      <c r="AP352" s="123"/>
      <c r="AQ352" s="123"/>
      <c r="AR352" s="123"/>
      <c r="AS352" s="123"/>
      <c r="AT352" s="123"/>
      <c r="AU352" s="123"/>
      <c r="AV352" s="123"/>
      <c r="AW352" s="123"/>
      <c r="AX352" s="123"/>
    </row>
    <row r="353">
      <c r="A353" s="177"/>
      <c r="B353" s="177"/>
      <c r="C353" s="121"/>
      <c r="D353" s="121"/>
      <c r="E353" s="121"/>
      <c r="F353" s="121"/>
      <c r="G353" s="177"/>
      <c r="H353" s="121"/>
      <c r="I353" s="121"/>
      <c r="J353" s="121"/>
      <c r="K353" s="121"/>
      <c r="L353" s="121"/>
      <c r="M353" s="121"/>
      <c r="N353" s="121"/>
      <c r="O353" s="121"/>
      <c r="P353" s="121"/>
      <c r="Q353" s="121"/>
      <c r="R353" s="121"/>
      <c r="S353" s="121"/>
      <c r="T353" s="121"/>
      <c r="U353" s="121"/>
      <c r="V353" s="121"/>
      <c r="W353" s="121"/>
      <c r="X353" s="121"/>
      <c r="Y353" s="121"/>
      <c r="Z353" s="121"/>
      <c r="AA353" s="123"/>
      <c r="AB353" s="123"/>
      <c r="AC353" s="123"/>
      <c r="AD353" s="123"/>
      <c r="AE353" s="123"/>
      <c r="AF353" s="123"/>
      <c r="AG353" s="123"/>
      <c r="AH353" s="123"/>
      <c r="AI353" s="123"/>
      <c r="AJ353" s="123"/>
      <c r="AK353" s="123"/>
      <c r="AL353" s="123"/>
      <c r="AM353" s="123"/>
      <c r="AN353" s="123"/>
      <c r="AO353" s="123"/>
      <c r="AP353" s="123"/>
      <c r="AQ353" s="123"/>
      <c r="AR353" s="123"/>
      <c r="AS353" s="123"/>
      <c r="AT353" s="123"/>
      <c r="AU353" s="123"/>
      <c r="AV353" s="123"/>
      <c r="AW353" s="123"/>
      <c r="AX353" s="123"/>
    </row>
    <row r="354">
      <c r="A354" s="177"/>
      <c r="B354" s="177"/>
      <c r="C354" s="121"/>
      <c r="D354" s="121"/>
      <c r="E354" s="121"/>
      <c r="F354" s="121"/>
      <c r="G354" s="177"/>
      <c r="H354" s="121"/>
      <c r="I354" s="121"/>
      <c r="J354" s="121"/>
      <c r="K354" s="121"/>
      <c r="L354" s="121"/>
      <c r="M354" s="121"/>
      <c r="N354" s="121"/>
      <c r="O354" s="121"/>
      <c r="P354" s="121"/>
      <c r="Q354" s="121"/>
      <c r="R354" s="121"/>
      <c r="S354" s="121"/>
      <c r="T354" s="121"/>
      <c r="U354" s="121"/>
      <c r="V354" s="121"/>
      <c r="W354" s="121"/>
      <c r="X354" s="121"/>
      <c r="Y354" s="121"/>
      <c r="Z354" s="121"/>
      <c r="AA354" s="123"/>
      <c r="AB354" s="123"/>
      <c r="AC354" s="123"/>
      <c r="AD354" s="123"/>
      <c r="AE354" s="123"/>
      <c r="AF354" s="123"/>
      <c r="AG354" s="123"/>
      <c r="AH354" s="123"/>
      <c r="AI354" s="123"/>
      <c r="AJ354" s="123"/>
      <c r="AK354" s="123"/>
      <c r="AL354" s="123"/>
      <c r="AM354" s="123"/>
      <c r="AN354" s="123"/>
      <c r="AO354" s="123"/>
      <c r="AP354" s="123"/>
      <c r="AQ354" s="123"/>
      <c r="AR354" s="123"/>
      <c r="AS354" s="123"/>
      <c r="AT354" s="123"/>
      <c r="AU354" s="123"/>
      <c r="AV354" s="123"/>
      <c r="AW354" s="123"/>
      <c r="AX354" s="123"/>
    </row>
    <row r="355">
      <c r="A355" s="177"/>
      <c r="B355" s="177"/>
      <c r="C355" s="121"/>
      <c r="D355" s="121"/>
      <c r="E355" s="121"/>
      <c r="F355" s="121"/>
      <c r="G355" s="177"/>
      <c r="H355" s="121"/>
      <c r="I355" s="121"/>
      <c r="J355" s="121"/>
      <c r="K355" s="121"/>
      <c r="L355" s="121"/>
      <c r="M355" s="121"/>
      <c r="N355" s="121"/>
      <c r="O355" s="121"/>
      <c r="P355" s="121"/>
      <c r="Q355" s="121"/>
      <c r="R355" s="121"/>
      <c r="S355" s="121"/>
      <c r="T355" s="121"/>
      <c r="U355" s="121"/>
      <c r="V355" s="121"/>
      <c r="W355" s="121"/>
      <c r="X355" s="121"/>
      <c r="Y355" s="121"/>
      <c r="Z355" s="121"/>
      <c r="AA355" s="123"/>
      <c r="AB355" s="123"/>
      <c r="AC355" s="123"/>
      <c r="AD355" s="123"/>
      <c r="AE355" s="123"/>
      <c r="AF355" s="123"/>
      <c r="AG355" s="123"/>
      <c r="AH355" s="123"/>
      <c r="AI355" s="123"/>
      <c r="AJ355" s="123"/>
      <c r="AK355" s="123"/>
      <c r="AL355" s="123"/>
      <c r="AM355" s="123"/>
      <c r="AN355" s="123"/>
      <c r="AO355" s="123"/>
      <c r="AP355" s="123"/>
      <c r="AQ355" s="123"/>
      <c r="AR355" s="123"/>
      <c r="AS355" s="123"/>
      <c r="AT355" s="123"/>
      <c r="AU355" s="123"/>
      <c r="AV355" s="123"/>
      <c r="AW355" s="123"/>
      <c r="AX355" s="123"/>
    </row>
    <row r="356">
      <c r="A356" s="177"/>
      <c r="B356" s="177"/>
      <c r="C356" s="121"/>
      <c r="D356" s="121"/>
      <c r="E356" s="121"/>
      <c r="F356" s="121"/>
      <c r="G356" s="177"/>
      <c r="H356" s="121"/>
      <c r="I356" s="121"/>
      <c r="J356" s="121"/>
      <c r="K356" s="121"/>
      <c r="L356" s="121"/>
      <c r="M356" s="121"/>
      <c r="N356" s="121"/>
      <c r="O356" s="121"/>
      <c r="P356" s="121"/>
      <c r="Q356" s="121"/>
      <c r="R356" s="121"/>
      <c r="S356" s="121"/>
      <c r="T356" s="121"/>
      <c r="U356" s="121"/>
      <c r="V356" s="121"/>
      <c r="W356" s="121"/>
      <c r="X356" s="121"/>
      <c r="Y356" s="121"/>
      <c r="Z356" s="121"/>
      <c r="AA356" s="123"/>
      <c r="AB356" s="123"/>
      <c r="AC356" s="123"/>
      <c r="AD356" s="123"/>
      <c r="AE356" s="123"/>
      <c r="AF356" s="123"/>
      <c r="AG356" s="123"/>
      <c r="AH356" s="123"/>
      <c r="AI356" s="123"/>
      <c r="AJ356" s="123"/>
      <c r="AK356" s="123"/>
      <c r="AL356" s="123"/>
      <c r="AM356" s="123"/>
      <c r="AN356" s="123"/>
      <c r="AO356" s="123"/>
      <c r="AP356" s="123"/>
      <c r="AQ356" s="123"/>
      <c r="AR356" s="123"/>
      <c r="AS356" s="123"/>
      <c r="AT356" s="123"/>
      <c r="AU356" s="123"/>
      <c r="AV356" s="123"/>
      <c r="AW356" s="123"/>
      <c r="AX356" s="123"/>
    </row>
    <row r="357">
      <c r="A357" s="177"/>
      <c r="B357" s="177"/>
      <c r="C357" s="121"/>
      <c r="D357" s="121"/>
      <c r="E357" s="121"/>
      <c r="F357" s="121"/>
      <c r="G357" s="177"/>
      <c r="H357" s="121"/>
      <c r="I357" s="121"/>
      <c r="J357" s="121"/>
      <c r="K357" s="121"/>
      <c r="L357" s="121"/>
      <c r="M357" s="121"/>
      <c r="N357" s="121"/>
      <c r="O357" s="121"/>
      <c r="P357" s="121"/>
      <c r="Q357" s="121"/>
      <c r="R357" s="121"/>
      <c r="S357" s="121"/>
      <c r="T357" s="121"/>
      <c r="U357" s="121"/>
      <c r="V357" s="121"/>
      <c r="W357" s="121"/>
      <c r="X357" s="121"/>
      <c r="Y357" s="121"/>
      <c r="Z357" s="121"/>
      <c r="AA357" s="123"/>
      <c r="AB357" s="123"/>
      <c r="AC357" s="123"/>
      <c r="AD357" s="123"/>
      <c r="AE357" s="123"/>
      <c r="AF357" s="123"/>
      <c r="AG357" s="123"/>
      <c r="AH357" s="123"/>
      <c r="AI357" s="123"/>
      <c r="AJ357" s="123"/>
      <c r="AK357" s="123"/>
      <c r="AL357" s="123"/>
      <c r="AM357" s="123"/>
      <c r="AN357" s="123"/>
      <c r="AO357" s="123"/>
      <c r="AP357" s="123"/>
      <c r="AQ357" s="123"/>
      <c r="AR357" s="123"/>
      <c r="AS357" s="123"/>
      <c r="AT357" s="123"/>
      <c r="AU357" s="123"/>
      <c r="AV357" s="123"/>
      <c r="AW357" s="123"/>
      <c r="AX357" s="123"/>
    </row>
    <row r="358">
      <c r="A358" s="173"/>
      <c r="B358" s="174"/>
      <c r="C358" s="174"/>
      <c r="D358" s="71"/>
      <c r="E358" s="71"/>
      <c r="F358" s="71"/>
      <c r="G358" s="174"/>
      <c r="H358" s="173"/>
      <c r="I358" s="173"/>
      <c r="J358" s="174"/>
      <c r="K358" s="71"/>
      <c r="L358" s="174"/>
      <c r="M358" s="174"/>
      <c r="N358" s="174"/>
      <c r="O358" s="174"/>
      <c r="P358" s="174"/>
      <c r="Q358" s="174"/>
      <c r="R358" s="174"/>
      <c r="S358" s="71"/>
      <c r="T358" s="71"/>
      <c r="U358" s="176"/>
      <c r="V358" s="174"/>
      <c r="W358" s="71"/>
      <c r="X358" s="71"/>
      <c r="Y358" s="71"/>
      <c r="Z358" s="71"/>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row>
    <row r="359">
      <c r="A359" s="171"/>
      <c r="B359" s="185"/>
      <c r="C359" s="71"/>
      <c r="D359" s="71"/>
      <c r="E359" s="71"/>
      <c r="F359" s="71"/>
      <c r="G359" s="174"/>
      <c r="H359" s="71"/>
      <c r="I359" s="71"/>
      <c r="J359" s="71"/>
      <c r="K359" s="71"/>
      <c r="L359" s="71"/>
      <c r="M359" s="71"/>
      <c r="N359" s="71"/>
      <c r="O359" s="174"/>
      <c r="P359" s="174"/>
      <c r="Q359" s="174"/>
      <c r="R359" s="71"/>
      <c r="S359" s="71"/>
      <c r="T359" s="71"/>
      <c r="U359" s="71"/>
      <c r="V359" s="71"/>
      <c r="W359" s="71"/>
      <c r="X359" s="71"/>
      <c r="Y359" s="71"/>
      <c r="Z359" s="71"/>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row>
    <row r="360">
      <c r="A360" s="177"/>
      <c r="B360" s="177"/>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3"/>
      <c r="AB360" s="123"/>
      <c r="AC360" s="123"/>
      <c r="AD360" s="123"/>
      <c r="AE360" s="123"/>
      <c r="AF360" s="123"/>
      <c r="AG360" s="123"/>
      <c r="AH360" s="123"/>
      <c r="AI360" s="123"/>
      <c r="AJ360" s="123"/>
      <c r="AK360" s="123"/>
      <c r="AL360" s="123"/>
      <c r="AM360" s="123"/>
      <c r="AN360" s="123"/>
      <c r="AO360" s="123"/>
      <c r="AP360" s="123"/>
      <c r="AQ360" s="123"/>
      <c r="AR360" s="123"/>
      <c r="AS360" s="123"/>
      <c r="AT360" s="123"/>
      <c r="AU360" s="123"/>
      <c r="AV360" s="123"/>
      <c r="AW360" s="123"/>
      <c r="AX360" s="123"/>
    </row>
    <row r="361">
      <c r="A361" s="177"/>
      <c r="B361" s="177"/>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3"/>
      <c r="AB361" s="123"/>
      <c r="AC361" s="123"/>
      <c r="AD361" s="123"/>
      <c r="AE361" s="123"/>
      <c r="AF361" s="123"/>
      <c r="AG361" s="123"/>
      <c r="AH361" s="123"/>
      <c r="AI361" s="123"/>
      <c r="AJ361" s="123"/>
      <c r="AK361" s="123"/>
      <c r="AL361" s="123"/>
      <c r="AM361" s="123"/>
      <c r="AN361" s="123"/>
      <c r="AO361" s="123"/>
      <c r="AP361" s="123"/>
      <c r="AQ361" s="123"/>
      <c r="AR361" s="123"/>
      <c r="AS361" s="123"/>
      <c r="AT361" s="123"/>
      <c r="AU361" s="123"/>
      <c r="AV361" s="123"/>
      <c r="AW361" s="123"/>
      <c r="AX361" s="123"/>
    </row>
    <row r="362">
      <c r="A362" s="177"/>
      <c r="B362" s="177"/>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3"/>
      <c r="AB362" s="123"/>
      <c r="AC362" s="123"/>
      <c r="AD362" s="123"/>
      <c r="AE362" s="123"/>
      <c r="AF362" s="123"/>
      <c r="AG362" s="123"/>
      <c r="AH362" s="123"/>
      <c r="AI362" s="123"/>
      <c r="AJ362" s="123"/>
      <c r="AK362" s="123"/>
      <c r="AL362" s="123"/>
      <c r="AM362" s="123"/>
      <c r="AN362" s="123"/>
      <c r="AO362" s="123"/>
      <c r="AP362" s="123"/>
      <c r="AQ362" s="123"/>
      <c r="AR362" s="123"/>
      <c r="AS362" s="123"/>
      <c r="AT362" s="123"/>
      <c r="AU362" s="123"/>
      <c r="AV362" s="123"/>
      <c r="AW362" s="123"/>
      <c r="AX362" s="123"/>
    </row>
    <row r="363">
      <c r="A363" s="177"/>
      <c r="B363" s="177"/>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3"/>
      <c r="AB363" s="123"/>
      <c r="AC363" s="123"/>
      <c r="AD363" s="123"/>
      <c r="AE363" s="123"/>
      <c r="AF363" s="123"/>
      <c r="AG363" s="123"/>
      <c r="AH363" s="123"/>
      <c r="AI363" s="123"/>
      <c r="AJ363" s="123"/>
      <c r="AK363" s="123"/>
      <c r="AL363" s="123"/>
      <c r="AM363" s="123"/>
      <c r="AN363" s="123"/>
      <c r="AO363" s="123"/>
      <c r="AP363" s="123"/>
      <c r="AQ363" s="123"/>
      <c r="AR363" s="123"/>
      <c r="AS363" s="123"/>
      <c r="AT363" s="123"/>
      <c r="AU363" s="123"/>
      <c r="AV363" s="123"/>
      <c r="AW363" s="123"/>
      <c r="AX363" s="123"/>
    </row>
    <row r="364">
      <c r="A364" s="177"/>
      <c r="B364" s="177"/>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3"/>
      <c r="AB364" s="123"/>
      <c r="AC364" s="123"/>
      <c r="AD364" s="123"/>
      <c r="AE364" s="123"/>
      <c r="AF364" s="123"/>
      <c r="AG364" s="123"/>
      <c r="AH364" s="123"/>
      <c r="AI364" s="123"/>
      <c r="AJ364" s="123"/>
      <c r="AK364" s="123"/>
      <c r="AL364" s="123"/>
      <c r="AM364" s="123"/>
      <c r="AN364" s="123"/>
      <c r="AO364" s="123"/>
      <c r="AP364" s="123"/>
      <c r="AQ364" s="123"/>
      <c r="AR364" s="123"/>
      <c r="AS364" s="123"/>
      <c r="AT364" s="123"/>
      <c r="AU364" s="123"/>
      <c r="AV364" s="123"/>
      <c r="AW364" s="123"/>
      <c r="AX364" s="123"/>
    </row>
    <row r="365">
      <c r="A365" s="177"/>
      <c r="B365" s="177"/>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3"/>
      <c r="AB365" s="123"/>
      <c r="AC365" s="123"/>
      <c r="AD365" s="123"/>
      <c r="AE365" s="123"/>
      <c r="AF365" s="123"/>
      <c r="AG365" s="123"/>
      <c r="AH365" s="123"/>
      <c r="AI365" s="123"/>
      <c r="AJ365" s="123"/>
      <c r="AK365" s="123"/>
      <c r="AL365" s="123"/>
      <c r="AM365" s="123"/>
      <c r="AN365" s="123"/>
      <c r="AO365" s="123"/>
      <c r="AP365" s="123"/>
      <c r="AQ365" s="123"/>
      <c r="AR365" s="123"/>
      <c r="AS365" s="123"/>
      <c r="AT365" s="123"/>
      <c r="AU365" s="123"/>
      <c r="AV365" s="123"/>
      <c r="AW365" s="123"/>
      <c r="AX365" s="123"/>
    </row>
    <row r="366">
      <c r="A366" s="177"/>
      <c r="B366" s="177"/>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3"/>
      <c r="AB366" s="123"/>
      <c r="AC366" s="123"/>
      <c r="AD366" s="123"/>
      <c r="AE366" s="123"/>
      <c r="AF366" s="123"/>
      <c r="AG366" s="123"/>
      <c r="AH366" s="123"/>
      <c r="AI366" s="123"/>
      <c r="AJ366" s="123"/>
      <c r="AK366" s="123"/>
      <c r="AL366" s="123"/>
      <c r="AM366" s="123"/>
      <c r="AN366" s="123"/>
      <c r="AO366" s="123"/>
      <c r="AP366" s="123"/>
      <c r="AQ366" s="123"/>
      <c r="AR366" s="123"/>
      <c r="AS366" s="123"/>
      <c r="AT366" s="123"/>
      <c r="AU366" s="123"/>
      <c r="AV366" s="123"/>
      <c r="AW366" s="123"/>
      <c r="AX366" s="123"/>
    </row>
    <row r="367">
      <c r="A367" s="177"/>
      <c r="B367" s="177"/>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3"/>
      <c r="AB367" s="123"/>
      <c r="AC367" s="123"/>
      <c r="AD367" s="123"/>
      <c r="AE367" s="123"/>
      <c r="AF367" s="123"/>
      <c r="AG367" s="123"/>
      <c r="AH367" s="123"/>
      <c r="AI367" s="123"/>
      <c r="AJ367" s="123"/>
      <c r="AK367" s="123"/>
      <c r="AL367" s="123"/>
      <c r="AM367" s="123"/>
      <c r="AN367" s="123"/>
      <c r="AO367" s="123"/>
      <c r="AP367" s="123"/>
      <c r="AQ367" s="123"/>
      <c r="AR367" s="123"/>
      <c r="AS367" s="123"/>
      <c r="AT367" s="123"/>
      <c r="AU367" s="123"/>
      <c r="AV367" s="123"/>
      <c r="AW367" s="123"/>
      <c r="AX367" s="123"/>
    </row>
    <row r="368">
      <c r="A368" s="177"/>
      <c r="B368" s="177"/>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3"/>
      <c r="AB368" s="123"/>
      <c r="AC368" s="123"/>
      <c r="AD368" s="123"/>
      <c r="AE368" s="123"/>
      <c r="AF368" s="123"/>
      <c r="AG368" s="123"/>
      <c r="AH368" s="123"/>
      <c r="AI368" s="123"/>
      <c r="AJ368" s="123"/>
      <c r="AK368" s="123"/>
      <c r="AL368" s="123"/>
      <c r="AM368" s="123"/>
      <c r="AN368" s="123"/>
      <c r="AO368" s="123"/>
      <c r="AP368" s="123"/>
      <c r="AQ368" s="123"/>
      <c r="AR368" s="123"/>
      <c r="AS368" s="123"/>
      <c r="AT368" s="123"/>
      <c r="AU368" s="123"/>
      <c r="AV368" s="123"/>
      <c r="AW368" s="123"/>
      <c r="AX368" s="123"/>
    </row>
    <row r="369">
      <c r="A369" s="177"/>
      <c r="B369" s="177"/>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3"/>
      <c r="AB369" s="123"/>
      <c r="AC369" s="123"/>
      <c r="AD369" s="123"/>
      <c r="AE369" s="123"/>
      <c r="AF369" s="123"/>
      <c r="AG369" s="123"/>
      <c r="AH369" s="123"/>
      <c r="AI369" s="123"/>
      <c r="AJ369" s="123"/>
      <c r="AK369" s="123"/>
      <c r="AL369" s="123"/>
      <c r="AM369" s="123"/>
      <c r="AN369" s="123"/>
      <c r="AO369" s="123"/>
      <c r="AP369" s="123"/>
      <c r="AQ369" s="123"/>
      <c r="AR369" s="123"/>
      <c r="AS369" s="123"/>
      <c r="AT369" s="123"/>
      <c r="AU369" s="123"/>
      <c r="AV369" s="123"/>
      <c r="AW369" s="123"/>
      <c r="AX369" s="123"/>
    </row>
    <row r="370">
      <c r="A370" s="177"/>
      <c r="B370" s="177"/>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3"/>
      <c r="AB370" s="123"/>
      <c r="AC370" s="123"/>
      <c r="AD370" s="123"/>
      <c r="AE370" s="123"/>
      <c r="AF370" s="123"/>
      <c r="AG370" s="123"/>
      <c r="AH370" s="123"/>
      <c r="AI370" s="123"/>
      <c r="AJ370" s="123"/>
      <c r="AK370" s="123"/>
      <c r="AL370" s="123"/>
      <c r="AM370" s="123"/>
      <c r="AN370" s="123"/>
      <c r="AO370" s="123"/>
      <c r="AP370" s="123"/>
      <c r="AQ370" s="123"/>
      <c r="AR370" s="123"/>
      <c r="AS370" s="123"/>
      <c r="AT370" s="123"/>
      <c r="AU370" s="123"/>
      <c r="AV370" s="123"/>
      <c r="AW370" s="123"/>
      <c r="AX370" s="123"/>
    </row>
    <row r="371">
      <c r="A371" s="177"/>
      <c r="B371" s="177"/>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3"/>
      <c r="AB371" s="123"/>
      <c r="AC371" s="123"/>
      <c r="AD371" s="123"/>
      <c r="AE371" s="123"/>
      <c r="AF371" s="123"/>
      <c r="AG371" s="123"/>
      <c r="AH371" s="123"/>
      <c r="AI371" s="123"/>
      <c r="AJ371" s="123"/>
      <c r="AK371" s="123"/>
      <c r="AL371" s="123"/>
      <c r="AM371" s="123"/>
      <c r="AN371" s="123"/>
      <c r="AO371" s="123"/>
      <c r="AP371" s="123"/>
      <c r="AQ371" s="123"/>
      <c r="AR371" s="123"/>
      <c r="AS371" s="123"/>
      <c r="AT371" s="123"/>
      <c r="AU371" s="123"/>
      <c r="AV371" s="123"/>
      <c r="AW371" s="123"/>
      <c r="AX371" s="123"/>
    </row>
    <row r="372">
      <c r="A372" s="177"/>
      <c r="B372" s="177"/>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3"/>
      <c r="AB372" s="123"/>
      <c r="AC372" s="123"/>
      <c r="AD372" s="123"/>
      <c r="AE372" s="123"/>
      <c r="AF372" s="123"/>
      <c r="AG372" s="123"/>
      <c r="AH372" s="123"/>
      <c r="AI372" s="123"/>
      <c r="AJ372" s="123"/>
      <c r="AK372" s="123"/>
      <c r="AL372" s="123"/>
      <c r="AM372" s="123"/>
      <c r="AN372" s="123"/>
      <c r="AO372" s="123"/>
      <c r="AP372" s="123"/>
      <c r="AQ372" s="123"/>
      <c r="AR372" s="123"/>
      <c r="AS372" s="123"/>
      <c r="AT372" s="123"/>
      <c r="AU372" s="123"/>
      <c r="AV372" s="123"/>
      <c r="AW372" s="123"/>
      <c r="AX372" s="123"/>
    </row>
    <row r="373">
      <c r="A373" s="177"/>
      <c r="B373" s="177"/>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3"/>
      <c r="AB373" s="123"/>
      <c r="AC373" s="123"/>
      <c r="AD373" s="123"/>
      <c r="AE373" s="123"/>
      <c r="AF373" s="123"/>
      <c r="AG373" s="123"/>
      <c r="AH373" s="123"/>
      <c r="AI373" s="123"/>
      <c r="AJ373" s="123"/>
      <c r="AK373" s="123"/>
      <c r="AL373" s="123"/>
      <c r="AM373" s="123"/>
      <c r="AN373" s="123"/>
      <c r="AO373" s="123"/>
      <c r="AP373" s="123"/>
      <c r="AQ373" s="123"/>
      <c r="AR373" s="123"/>
      <c r="AS373" s="123"/>
      <c r="AT373" s="123"/>
      <c r="AU373" s="123"/>
      <c r="AV373" s="123"/>
      <c r="AW373" s="123"/>
      <c r="AX373" s="123"/>
    </row>
    <row r="374">
      <c r="A374" s="177"/>
      <c r="B374" s="177"/>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3"/>
      <c r="AB374" s="123"/>
      <c r="AC374" s="123"/>
      <c r="AD374" s="123"/>
      <c r="AE374" s="123"/>
      <c r="AF374" s="123"/>
      <c r="AG374" s="123"/>
      <c r="AH374" s="123"/>
      <c r="AI374" s="123"/>
      <c r="AJ374" s="123"/>
      <c r="AK374" s="123"/>
      <c r="AL374" s="123"/>
      <c r="AM374" s="123"/>
      <c r="AN374" s="123"/>
      <c r="AO374" s="123"/>
      <c r="AP374" s="123"/>
      <c r="AQ374" s="123"/>
      <c r="AR374" s="123"/>
      <c r="AS374" s="123"/>
      <c r="AT374" s="123"/>
      <c r="AU374" s="123"/>
      <c r="AV374" s="123"/>
      <c r="AW374" s="123"/>
      <c r="AX374" s="123"/>
    </row>
    <row r="375">
      <c r="A375" s="177"/>
      <c r="B375" s="177"/>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3"/>
      <c r="AB375" s="123"/>
      <c r="AC375" s="123"/>
      <c r="AD375" s="123"/>
      <c r="AE375" s="123"/>
      <c r="AF375" s="123"/>
      <c r="AG375" s="123"/>
      <c r="AH375" s="123"/>
      <c r="AI375" s="123"/>
      <c r="AJ375" s="123"/>
      <c r="AK375" s="123"/>
      <c r="AL375" s="123"/>
      <c r="AM375" s="123"/>
      <c r="AN375" s="123"/>
      <c r="AO375" s="123"/>
      <c r="AP375" s="123"/>
      <c r="AQ375" s="123"/>
      <c r="AR375" s="123"/>
      <c r="AS375" s="123"/>
      <c r="AT375" s="123"/>
      <c r="AU375" s="123"/>
      <c r="AV375" s="123"/>
      <c r="AW375" s="123"/>
      <c r="AX375" s="123"/>
    </row>
    <row r="376">
      <c r="A376" s="177"/>
      <c r="B376" s="177"/>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3"/>
      <c r="AB376" s="123"/>
      <c r="AC376" s="123"/>
      <c r="AD376" s="123"/>
      <c r="AE376" s="123"/>
      <c r="AF376" s="123"/>
      <c r="AG376" s="123"/>
      <c r="AH376" s="123"/>
      <c r="AI376" s="123"/>
      <c r="AJ376" s="123"/>
      <c r="AK376" s="123"/>
      <c r="AL376" s="123"/>
      <c r="AM376" s="123"/>
      <c r="AN376" s="123"/>
      <c r="AO376" s="123"/>
      <c r="AP376" s="123"/>
      <c r="AQ376" s="123"/>
      <c r="AR376" s="123"/>
      <c r="AS376" s="123"/>
      <c r="AT376" s="123"/>
      <c r="AU376" s="123"/>
      <c r="AV376" s="123"/>
      <c r="AW376" s="123"/>
      <c r="AX376" s="123"/>
    </row>
    <row r="377">
      <c r="A377" s="177"/>
      <c r="B377" s="177"/>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3"/>
      <c r="AB377" s="123"/>
      <c r="AC377" s="123"/>
      <c r="AD377" s="123"/>
      <c r="AE377" s="123"/>
      <c r="AF377" s="123"/>
      <c r="AG377" s="123"/>
      <c r="AH377" s="123"/>
      <c r="AI377" s="123"/>
      <c r="AJ377" s="123"/>
      <c r="AK377" s="123"/>
      <c r="AL377" s="123"/>
      <c r="AM377" s="123"/>
      <c r="AN377" s="123"/>
      <c r="AO377" s="123"/>
      <c r="AP377" s="123"/>
      <c r="AQ377" s="123"/>
      <c r="AR377" s="123"/>
      <c r="AS377" s="123"/>
      <c r="AT377" s="123"/>
      <c r="AU377" s="123"/>
      <c r="AV377" s="123"/>
      <c r="AW377" s="123"/>
      <c r="AX377" s="123"/>
    </row>
    <row r="378">
      <c r="A378" s="177"/>
      <c r="B378" s="177"/>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3"/>
      <c r="AB378" s="123"/>
      <c r="AC378" s="123"/>
      <c r="AD378" s="123"/>
      <c r="AE378" s="123"/>
      <c r="AF378" s="123"/>
      <c r="AG378" s="123"/>
      <c r="AH378" s="123"/>
      <c r="AI378" s="123"/>
      <c r="AJ378" s="123"/>
      <c r="AK378" s="123"/>
      <c r="AL378" s="123"/>
      <c r="AM378" s="123"/>
      <c r="AN378" s="123"/>
      <c r="AO378" s="123"/>
      <c r="AP378" s="123"/>
      <c r="AQ378" s="123"/>
      <c r="AR378" s="123"/>
      <c r="AS378" s="123"/>
      <c r="AT378" s="123"/>
      <c r="AU378" s="123"/>
      <c r="AV378" s="123"/>
      <c r="AW378" s="123"/>
      <c r="AX378" s="123"/>
    </row>
    <row r="379">
      <c r="A379" s="177"/>
      <c r="B379" s="177"/>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3"/>
      <c r="AB379" s="123"/>
      <c r="AC379" s="123"/>
      <c r="AD379" s="123"/>
      <c r="AE379" s="123"/>
      <c r="AF379" s="123"/>
      <c r="AG379" s="123"/>
      <c r="AH379" s="123"/>
      <c r="AI379" s="123"/>
      <c r="AJ379" s="123"/>
      <c r="AK379" s="123"/>
      <c r="AL379" s="123"/>
      <c r="AM379" s="123"/>
      <c r="AN379" s="123"/>
      <c r="AO379" s="123"/>
      <c r="AP379" s="123"/>
      <c r="AQ379" s="123"/>
      <c r="AR379" s="123"/>
      <c r="AS379" s="123"/>
      <c r="AT379" s="123"/>
      <c r="AU379" s="123"/>
      <c r="AV379" s="123"/>
      <c r="AW379" s="123"/>
      <c r="AX379" s="123"/>
    </row>
    <row r="380">
      <c r="A380" s="177"/>
      <c r="B380" s="177"/>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3"/>
      <c r="AB380" s="123"/>
      <c r="AC380" s="123"/>
      <c r="AD380" s="123"/>
      <c r="AE380" s="123"/>
      <c r="AF380" s="123"/>
      <c r="AG380" s="123"/>
      <c r="AH380" s="123"/>
      <c r="AI380" s="123"/>
      <c r="AJ380" s="123"/>
      <c r="AK380" s="123"/>
      <c r="AL380" s="123"/>
      <c r="AM380" s="123"/>
      <c r="AN380" s="123"/>
      <c r="AO380" s="123"/>
      <c r="AP380" s="123"/>
      <c r="AQ380" s="123"/>
      <c r="AR380" s="123"/>
      <c r="AS380" s="123"/>
      <c r="AT380" s="123"/>
      <c r="AU380" s="123"/>
      <c r="AV380" s="123"/>
      <c r="AW380" s="123"/>
      <c r="AX380" s="123"/>
    </row>
    <row r="381">
      <c r="A381" s="177"/>
      <c r="B381" s="177"/>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3"/>
      <c r="AB381" s="123"/>
      <c r="AC381" s="123"/>
      <c r="AD381" s="123"/>
      <c r="AE381" s="123"/>
      <c r="AF381" s="123"/>
      <c r="AG381" s="123"/>
      <c r="AH381" s="123"/>
      <c r="AI381" s="123"/>
      <c r="AJ381" s="123"/>
      <c r="AK381" s="123"/>
      <c r="AL381" s="123"/>
      <c r="AM381" s="123"/>
      <c r="AN381" s="123"/>
      <c r="AO381" s="123"/>
      <c r="AP381" s="123"/>
      <c r="AQ381" s="123"/>
      <c r="AR381" s="123"/>
      <c r="AS381" s="123"/>
      <c r="AT381" s="123"/>
      <c r="AU381" s="123"/>
      <c r="AV381" s="123"/>
      <c r="AW381" s="123"/>
      <c r="AX381" s="123"/>
    </row>
    <row r="382">
      <c r="A382" s="177"/>
      <c r="B382" s="177"/>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3"/>
      <c r="AB382" s="123"/>
      <c r="AC382" s="123"/>
      <c r="AD382" s="123"/>
      <c r="AE382" s="123"/>
      <c r="AF382" s="123"/>
      <c r="AG382" s="123"/>
      <c r="AH382" s="123"/>
      <c r="AI382" s="123"/>
      <c r="AJ382" s="123"/>
      <c r="AK382" s="123"/>
      <c r="AL382" s="123"/>
      <c r="AM382" s="123"/>
      <c r="AN382" s="123"/>
      <c r="AO382" s="123"/>
      <c r="AP382" s="123"/>
      <c r="AQ382" s="123"/>
      <c r="AR382" s="123"/>
      <c r="AS382" s="123"/>
      <c r="AT382" s="123"/>
      <c r="AU382" s="123"/>
      <c r="AV382" s="123"/>
      <c r="AW382" s="123"/>
      <c r="AX382" s="123"/>
    </row>
    <row r="383">
      <c r="A383" s="177"/>
      <c r="B383" s="177"/>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3"/>
      <c r="AB383" s="123"/>
      <c r="AC383" s="123"/>
      <c r="AD383" s="123"/>
      <c r="AE383" s="123"/>
      <c r="AF383" s="123"/>
      <c r="AG383" s="123"/>
      <c r="AH383" s="123"/>
      <c r="AI383" s="123"/>
      <c r="AJ383" s="123"/>
      <c r="AK383" s="123"/>
      <c r="AL383" s="123"/>
      <c r="AM383" s="123"/>
      <c r="AN383" s="123"/>
      <c r="AO383" s="123"/>
      <c r="AP383" s="123"/>
      <c r="AQ383" s="123"/>
      <c r="AR383" s="123"/>
      <c r="AS383" s="123"/>
      <c r="AT383" s="123"/>
      <c r="AU383" s="123"/>
      <c r="AV383" s="123"/>
      <c r="AW383" s="123"/>
      <c r="AX383" s="123"/>
    </row>
    <row r="384">
      <c r="A384" s="177"/>
      <c r="B384" s="177"/>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3"/>
      <c r="AB384" s="123"/>
      <c r="AC384" s="123"/>
      <c r="AD384" s="123"/>
      <c r="AE384" s="123"/>
      <c r="AF384" s="123"/>
      <c r="AG384" s="123"/>
      <c r="AH384" s="123"/>
      <c r="AI384" s="123"/>
      <c r="AJ384" s="123"/>
      <c r="AK384" s="123"/>
      <c r="AL384" s="123"/>
      <c r="AM384" s="123"/>
      <c r="AN384" s="123"/>
      <c r="AO384" s="123"/>
      <c r="AP384" s="123"/>
      <c r="AQ384" s="123"/>
      <c r="AR384" s="123"/>
      <c r="AS384" s="123"/>
      <c r="AT384" s="123"/>
      <c r="AU384" s="123"/>
      <c r="AV384" s="123"/>
      <c r="AW384" s="123"/>
      <c r="AX384" s="123"/>
    </row>
    <row r="385">
      <c r="A385" s="177"/>
      <c r="B385" s="177"/>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3"/>
      <c r="AB385" s="123"/>
      <c r="AC385" s="123"/>
      <c r="AD385" s="123"/>
      <c r="AE385" s="123"/>
      <c r="AF385" s="123"/>
      <c r="AG385" s="123"/>
      <c r="AH385" s="123"/>
      <c r="AI385" s="123"/>
      <c r="AJ385" s="123"/>
      <c r="AK385" s="123"/>
      <c r="AL385" s="123"/>
      <c r="AM385" s="123"/>
      <c r="AN385" s="123"/>
      <c r="AO385" s="123"/>
      <c r="AP385" s="123"/>
      <c r="AQ385" s="123"/>
      <c r="AR385" s="123"/>
      <c r="AS385" s="123"/>
      <c r="AT385" s="123"/>
      <c r="AU385" s="123"/>
      <c r="AV385" s="123"/>
      <c r="AW385" s="123"/>
      <c r="AX385" s="123"/>
    </row>
    <row r="386">
      <c r="A386" s="177"/>
      <c r="B386" s="177"/>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3"/>
      <c r="AB386" s="123"/>
      <c r="AC386" s="123"/>
      <c r="AD386" s="123"/>
      <c r="AE386" s="123"/>
      <c r="AF386" s="123"/>
      <c r="AG386" s="123"/>
      <c r="AH386" s="123"/>
      <c r="AI386" s="123"/>
      <c r="AJ386" s="123"/>
      <c r="AK386" s="123"/>
      <c r="AL386" s="123"/>
      <c r="AM386" s="123"/>
      <c r="AN386" s="123"/>
      <c r="AO386" s="123"/>
      <c r="AP386" s="123"/>
      <c r="AQ386" s="123"/>
      <c r="AR386" s="123"/>
      <c r="AS386" s="123"/>
      <c r="AT386" s="123"/>
      <c r="AU386" s="123"/>
      <c r="AV386" s="123"/>
      <c r="AW386" s="123"/>
      <c r="AX386" s="123"/>
    </row>
    <row r="387">
      <c r="A387" s="177"/>
      <c r="B387" s="177"/>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3"/>
      <c r="AB387" s="123"/>
      <c r="AC387" s="123"/>
      <c r="AD387" s="123"/>
      <c r="AE387" s="123"/>
      <c r="AF387" s="123"/>
      <c r="AG387" s="123"/>
      <c r="AH387" s="123"/>
      <c r="AI387" s="123"/>
      <c r="AJ387" s="123"/>
      <c r="AK387" s="123"/>
      <c r="AL387" s="123"/>
      <c r="AM387" s="123"/>
      <c r="AN387" s="123"/>
      <c r="AO387" s="123"/>
      <c r="AP387" s="123"/>
      <c r="AQ387" s="123"/>
      <c r="AR387" s="123"/>
      <c r="AS387" s="123"/>
      <c r="AT387" s="123"/>
      <c r="AU387" s="123"/>
      <c r="AV387" s="123"/>
      <c r="AW387" s="123"/>
      <c r="AX387" s="123"/>
    </row>
    <row r="388">
      <c r="A388" s="177"/>
      <c r="B388" s="177"/>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3"/>
      <c r="AB388" s="123"/>
      <c r="AC388" s="123"/>
      <c r="AD388" s="123"/>
      <c r="AE388" s="123"/>
      <c r="AF388" s="123"/>
      <c r="AG388" s="123"/>
      <c r="AH388" s="123"/>
      <c r="AI388" s="123"/>
      <c r="AJ388" s="123"/>
      <c r="AK388" s="123"/>
      <c r="AL388" s="123"/>
      <c r="AM388" s="123"/>
      <c r="AN388" s="123"/>
      <c r="AO388" s="123"/>
      <c r="AP388" s="123"/>
      <c r="AQ388" s="123"/>
      <c r="AR388" s="123"/>
      <c r="AS388" s="123"/>
      <c r="AT388" s="123"/>
      <c r="AU388" s="123"/>
      <c r="AV388" s="123"/>
      <c r="AW388" s="123"/>
      <c r="AX388" s="123"/>
    </row>
    <row r="389">
      <c r="A389" s="173"/>
      <c r="B389" s="174"/>
      <c r="C389" s="175"/>
      <c r="D389" s="175"/>
      <c r="E389" s="71"/>
      <c r="F389" s="174"/>
      <c r="G389" s="174"/>
      <c r="H389" s="173"/>
      <c r="I389" s="173"/>
      <c r="J389" s="174"/>
      <c r="K389" s="71"/>
      <c r="L389" s="174"/>
      <c r="M389" s="174"/>
      <c r="N389" s="174"/>
      <c r="O389" s="174"/>
      <c r="P389" s="174"/>
      <c r="Q389" s="174"/>
      <c r="R389" s="174"/>
      <c r="S389" s="71"/>
      <c r="T389" s="71"/>
      <c r="U389" s="176"/>
      <c r="V389" s="175"/>
      <c r="W389" s="174"/>
      <c r="X389" s="174"/>
      <c r="Y389" s="136"/>
      <c r="Z389" s="71"/>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row>
    <row r="390">
      <c r="A390" s="177"/>
      <c r="B390" s="177"/>
      <c r="C390" s="121"/>
      <c r="D390" s="121"/>
      <c r="E390" s="121"/>
      <c r="F390" s="121"/>
      <c r="G390" s="177"/>
      <c r="H390" s="121"/>
      <c r="I390" s="121"/>
      <c r="J390" s="121"/>
      <c r="K390" s="121"/>
      <c r="L390" s="121"/>
      <c r="M390" s="121"/>
      <c r="N390" s="121"/>
      <c r="O390" s="121"/>
      <c r="P390" s="121"/>
      <c r="Q390" s="121"/>
      <c r="R390" s="121"/>
      <c r="S390" s="121"/>
      <c r="T390" s="121"/>
      <c r="U390" s="121"/>
      <c r="V390" s="121"/>
      <c r="W390" s="121"/>
      <c r="X390" s="121"/>
      <c r="Y390" s="121"/>
      <c r="Z390" s="121"/>
      <c r="AA390" s="123"/>
      <c r="AB390" s="123"/>
      <c r="AC390" s="123"/>
      <c r="AD390" s="123"/>
      <c r="AE390" s="123"/>
      <c r="AF390" s="123"/>
      <c r="AG390" s="123"/>
      <c r="AH390" s="123"/>
      <c r="AI390" s="123"/>
      <c r="AJ390" s="123"/>
      <c r="AK390" s="123"/>
      <c r="AL390" s="123"/>
      <c r="AM390" s="123"/>
      <c r="AN390" s="123"/>
      <c r="AO390" s="123"/>
      <c r="AP390" s="123"/>
      <c r="AQ390" s="123"/>
      <c r="AR390" s="123"/>
      <c r="AS390" s="123"/>
      <c r="AT390" s="123"/>
      <c r="AU390" s="123"/>
      <c r="AV390" s="123"/>
      <c r="AW390" s="123"/>
      <c r="AX390" s="123"/>
    </row>
    <row r="391">
      <c r="A391" s="177"/>
      <c r="B391" s="177"/>
      <c r="C391" s="121"/>
      <c r="D391" s="121"/>
      <c r="E391" s="121"/>
      <c r="F391" s="121"/>
      <c r="G391" s="177"/>
      <c r="H391" s="121"/>
      <c r="I391" s="121"/>
      <c r="J391" s="121"/>
      <c r="K391" s="121"/>
      <c r="L391" s="121"/>
      <c r="M391" s="121"/>
      <c r="N391" s="121"/>
      <c r="O391" s="121"/>
      <c r="P391" s="121"/>
      <c r="Q391" s="121"/>
      <c r="R391" s="121"/>
      <c r="S391" s="121"/>
      <c r="T391" s="121"/>
      <c r="U391" s="121"/>
      <c r="V391" s="121"/>
      <c r="W391" s="121"/>
      <c r="X391" s="121"/>
      <c r="Y391" s="121"/>
      <c r="Z391" s="121"/>
      <c r="AA391" s="123"/>
      <c r="AB391" s="123"/>
      <c r="AC391" s="123"/>
      <c r="AD391" s="123"/>
      <c r="AE391" s="123"/>
      <c r="AF391" s="123"/>
      <c r="AG391" s="123"/>
      <c r="AH391" s="123"/>
      <c r="AI391" s="123"/>
      <c r="AJ391" s="123"/>
      <c r="AK391" s="123"/>
      <c r="AL391" s="123"/>
      <c r="AM391" s="123"/>
      <c r="AN391" s="123"/>
      <c r="AO391" s="123"/>
      <c r="AP391" s="123"/>
      <c r="AQ391" s="123"/>
      <c r="AR391" s="123"/>
      <c r="AS391" s="123"/>
      <c r="AT391" s="123"/>
      <c r="AU391" s="123"/>
      <c r="AV391" s="123"/>
      <c r="AW391" s="123"/>
      <c r="AX391" s="123"/>
    </row>
    <row r="392">
      <c r="A392" s="177"/>
      <c r="B392" s="177"/>
      <c r="C392" s="121"/>
      <c r="D392" s="121"/>
      <c r="E392" s="121"/>
      <c r="F392" s="121"/>
      <c r="G392" s="177"/>
      <c r="H392" s="121"/>
      <c r="I392" s="121"/>
      <c r="J392" s="121"/>
      <c r="K392" s="121"/>
      <c r="L392" s="121"/>
      <c r="M392" s="121"/>
      <c r="N392" s="121"/>
      <c r="O392" s="121"/>
      <c r="P392" s="121"/>
      <c r="Q392" s="121"/>
      <c r="R392" s="121"/>
      <c r="S392" s="121"/>
      <c r="T392" s="121"/>
      <c r="U392" s="121"/>
      <c r="V392" s="121"/>
      <c r="W392" s="121"/>
      <c r="X392" s="121"/>
      <c r="Y392" s="121"/>
      <c r="Z392" s="121"/>
      <c r="AA392" s="123"/>
      <c r="AB392" s="123"/>
      <c r="AC392" s="123"/>
      <c r="AD392" s="123"/>
      <c r="AE392" s="123"/>
      <c r="AF392" s="123"/>
      <c r="AG392" s="123"/>
      <c r="AH392" s="123"/>
      <c r="AI392" s="123"/>
      <c r="AJ392" s="123"/>
      <c r="AK392" s="123"/>
      <c r="AL392" s="123"/>
      <c r="AM392" s="123"/>
      <c r="AN392" s="123"/>
      <c r="AO392" s="123"/>
      <c r="AP392" s="123"/>
      <c r="AQ392" s="123"/>
      <c r="AR392" s="123"/>
      <c r="AS392" s="123"/>
      <c r="AT392" s="123"/>
      <c r="AU392" s="123"/>
      <c r="AV392" s="123"/>
      <c r="AW392" s="123"/>
      <c r="AX392" s="123"/>
    </row>
    <row r="393">
      <c r="A393" s="177"/>
      <c r="B393" s="177"/>
      <c r="C393" s="121"/>
      <c r="D393" s="121"/>
      <c r="E393" s="121"/>
      <c r="F393" s="121"/>
      <c r="G393" s="177"/>
      <c r="H393" s="121"/>
      <c r="I393" s="121"/>
      <c r="J393" s="121"/>
      <c r="K393" s="121"/>
      <c r="L393" s="121"/>
      <c r="M393" s="121"/>
      <c r="N393" s="121"/>
      <c r="O393" s="121"/>
      <c r="P393" s="121"/>
      <c r="Q393" s="121"/>
      <c r="R393" s="121"/>
      <c r="S393" s="121"/>
      <c r="T393" s="121"/>
      <c r="U393" s="121"/>
      <c r="V393" s="121"/>
      <c r="W393" s="121"/>
      <c r="X393" s="121"/>
      <c r="Y393" s="121"/>
      <c r="Z393" s="121"/>
      <c r="AA393" s="123"/>
      <c r="AB393" s="123"/>
      <c r="AC393" s="123"/>
      <c r="AD393" s="123"/>
      <c r="AE393" s="123"/>
      <c r="AF393" s="123"/>
      <c r="AG393" s="123"/>
      <c r="AH393" s="123"/>
      <c r="AI393" s="123"/>
      <c r="AJ393" s="123"/>
      <c r="AK393" s="123"/>
      <c r="AL393" s="123"/>
      <c r="AM393" s="123"/>
      <c r="AN393" s="123"/>
      <c r="AO393" s="123"/>
      <c r="AP393" s="123"/>
      <c r="AQ393" s="123"/>
      <c r="AR393" s="123"/>
      <c r="AS393" s="123"/>
      <c r="AT393" s="123"/>
      <c r="AU393" s="123"/>
      <c r="AV393" s="123"/>
      <c r="AW393" s="123"/>
      <c r="AX393" s="123"/>
    </row>
    <row r="394">
      <c r="A394" s="177"/>
      <c r="B394" s="177"/>
      <c r="C394" s="121"/>
      <c r="D394" s="121"/>
      <c r="E394" s="121"/>
      <c r="F394" s="121"/>
      <c r="G394" s="177"/>
      <c r="H394" s="121"/>
      <c r="I394" s="121"/>
      <c r="J394" s="121"/>
      <c r="K394" s="121"/>
      <c r="L394" s="121"/>
      <c r="M394" s="121"/>
      <c r="N394" s="121"/>
      <c r="O394" s="121"/>
      <c r="P394" s="121"/>
      <c r="Q394" s="121"/>
      <c r="R394" s="121"/>
      <c r="S394" s="121"/>
      <c r="T394" s="121"/>
      <c r="U394" s="121"/>
      <c r="V394" s="121"/>
      <c r="W394" s="121"/>
      <c r="X394" s="121"/>
      <c r="Y394" s="121"/>
      <c r="Z394" s="121"/>
      <c r="AA394" s="123"/>
      <c r="AB394" s="123"/>
      <c r="AC394" s="123"/>
      <c r="AD394" s="123"/>
      <c r="AE394" s="123"/>
      <c r="AF394" s="123"/>
      <c r="AG394" s="123"/>
      <c r="AH394" s="123"/>
      <c r="AI394" s="123"/>
      <c r="AJ394" s="123"/>
      <c r="AK394" s="123"/>
      <c r="AL394" s="123"/>
      <c r="AM394" s="123"/>
      <c r="AN394" s="123"/>
      <c r="AO394" s="123"/>
      <c r="AP394" s="123"/>
      <c r="AQ394" s="123"/>
      <c r="AR394" s="123"/>
      <c r="AS394" s="123"/>
      <c r="AT394" s="123"/>
      <c r="AU394" s="123"/>
      <c r="AV394" s="123"/>
      <c r="AW394" s="123"/>
      <c r="AX394" s="123"/>
    </row>
    <row r="395">
      <c r="A395" s="177"/>
      <c r="B395" s="177"/>
      <c r="C395" s="121"/>
      <c r="D395" s="121"/>
      <c r="E395" s="121"/>
      <c r="F395" s="121"/>
      <c r="G395" s="177"/>
      <c r="H395" s="121"/>
      <c r="I395" s="121"/>
      <c r="J395" s="121"/>
      <c r="K395" s="121"/>
      <c r="L395" s="121"/>
      <c r="M395" s="121"/>
      <c r="N395" s="121"/>
      <c r="O395" s="121"/>
      <c r="P395" s="121"/>
      <c r="Q395" s="121"/>
      <c r="R395" s="121"/>
      <c r="S395" s="121"/>
      <c r="T395" s="121"/>
      <c r="U395" s="121"/>
      <c r="V395" s="121"/>
      <c r="W395" s="121"/>
      <c r="X395" s="121"/>
      <c r="Y395" s="121"/>
      <c r="Z395" s="121"/>
      <c r="AA395" s="123"/>
      <c r="AB395" s="123"/>
      <c r="AC395" s="123"/>
      <c r="AD395" s="123"/>
      <c r="AE395" s="123"/>
      <c r="AF395" s="123"/>
      <c r="AG395" s="123"/>
      <c r="AH395" s="123"/>
      <c r="AI395" s="123"/>
      <c r="AJ395" s="123"/>
      <c r="AK395" s="123"/>
      <c r="AL395" s="123"/>
      <c r="AM395" s="123"/>
      <c r="AN395" s="123"/>
      <c r="AO395" s="123"/>
      <c r="AP395" s="123"/>
      <c r="AQ395" s="123"/>
      <c r="AR395" s="123"/>
      <c r="AS395" s="123"/>
      <c r="AT395" s="123"/>
      <c r="AU395" s="123"/>
      <c r="AV395" s="123"/>
      <c r="AW395" s="123"/>
      <c r="AX395" s="123"/>
    </row>
    <row r="396">
      <c r="A396" s="177"/>
      <c r="B396" s="177"/>
      <c r="C396" s="121"/>
      <c r="D396" s="121"/>
      <c r="E396" s="121"/>
      <c r="F396" s="121"/>
      <c r="G396" s="177"/>
      <c r="H396" s="121"/>
      <c r="I396" s="121"/>
      <c r="J396" s="121"/>
      <c r="K396" s="121"/>
      <c r="L396" s="121"/>
      <c r="M396" s="121"/>
      <c r="N396" s="121"/>
      <c r="O396" s="121"/>
      <c r="P396" s="121"/>
      <c r="Q396" s="121"/>
      <c r="R396" s="121"/>
      <c r="S396" s="121"/>
      <c r="T396" s="121"/>
      <c r="U396" s="121"/>
      <c r="V396" s="121"/>
      <c r="W396" s="121"/>
      <c r="X396" s="121"/>
      <c r="Y396" s="121"/>
      <c r="Z396" s="121"/>
      <c r="AA396" s="123"/>
      <c r="AB396" s="123"/>
      <c r="AC396" s="123"/>
      <c r="AD396" s="123"/>
      <c r="AE396" s="123"/>
      <c r="AF396" s="123"/>
      <c r="AG396" s="123"/>
      <c r="AH396" s="123"/>
      <c r="AI396" s="123"/>
      <c r="AJ396" s="123"/>
      <c r="AK396" s="123"/>
      <c r="AL396" s="123"/>
      <c r="AM396" s="123"/>
      <c r="AN396" s="123"/>
      <c r="AO396" s="123"/>
      <c r="AP396" s="123"/>
      <c r="AQ396" s="123"/>
      <c r="AR396" s="123"/>
      <c r="AS396" s="123"/>
      <c r="AT396" s="123"/>
      <c r="AU396" s="123"/>
      <c r="AV396" s="123"/>
      <c r="AW396" s="123"/>
      <c r="AX396" s="123"/>
    </row>
    <row r="397">
      <c r="A397" s="177"/>
      <c r="B397" s="177"/>
      <c r="C397" s="121"/>
      <c r="D397" s="121"/>
      <c r="E397" s="121"/>
      <c r="F397" s="121"/>
      <c r="G397" s="177"/>
      <c r="H397" s="121"/>
      <c r="I397" s="121"/>
      <c r="J397" s="121"/>
      <c r="K397" s="121"/>
      <c r="L397" s="121"/>
      <c r="M397" s="121"/>
      <c r="N397" s="121"/>
      <c r="O397" s="121"/>
      <c r="P397" s="121"/>
      <c r="Q397" s="121"/>
      <c r="R397" s="121"/>
      <c r="S397" s="121"/>
      <c r="T397" s="121"/>
      <c r="U397" s="121"/>
      <c r="V397" s="121"/>
      <c r="W397" s="121"/>
      <c r="X397" s="121"/>
      <c r="Y397" s="121"/>
      <c r="Z397" s="121"/>
      <c r="AA397" s="123"/>
      <c r="AB397" s="123"/>
      <c r="AC397" s="123"/>
      <c r="AD397" s="123"/>
      <c r="AE397" s="123"/>
      <c r="AF397" s="123"/>
      <c r="AG397" s="123"/>
      <c r="AH397" s="123"/>
      <c r="AI397" s="123"/>
      <c r="AJ397" s="123"/>
      <c r="AK397" s="123"/>
      <c r="AL397" s="123"/>
      <c r="AM397" s="123"/>
      <c r="AN397" s="123"/>
      <c r="AO397" s="123"/>
      <c r="AP397" s="123"/>
      <c r="AQ397" s="123"/>
      <c r="AR397" s="123"/>
      <c r="AS397" s="123"/>
      <c r="AT397" s="123"/>
      <c r="AU397" s="123"/>
      <c r="AV397" s="123"/>
      <c r="AW397" s="123"/>
      <c r="AX397" s="123"/>
    </row>
    <row r="398">
      <c r="A398" s="177"/>
      <c r="B398" s="177"/>
      <c r="C398" s="121"/>
      <c r="D398" s="121"/>
      <c r="E398" s="121"/>
      <c r="F398" s="121"/>
      <c r="G398" s="177"/>
      <c r="H398" s="121"/>
      <c r="I398" s="121"/>
      <c r="J398" s="121"/>
      <c r="K398" s="121"/>
      <c r="L398" s="121"/>
      <c r="M398" s="121"/>
      <c r="N398" s="121"/>
      <c r="O398" s="121"/>
      <c r="P398" s="121"/>
      <c r="Q398" s="121"/>
      <c r="R398" s="121"/>
      <c r="S398" s="121"/>
      <c r="T398" s="121"/>
      <c r="U398" s="121"/>
      <c r="V398" s="121"/>
      <c r="W398" s="121"/>
      <c r="X398" s="121"/>
      <c r="Y398" s="121"/>
      <c r="Z398" s="121"/>
      <c r="AA398" s="123"/>
      <c r="AB398" s="123"/>
      <c r="AC398" s="123"/>
      <c r="AD398" s="123"/>
      <c r="AE398" s="123"/>
      <c r="AF398" s="123"/>
      <c r="AG398" s="123"/>
      <c r="AH398" s="123"/>
      <c r="AI398" s="123"/>
      <c r="AJ398" s="123"/>
      <c r="AK398" s="123"/>
      <c r="AL398" s="123"/>
      <c r="AM398" s="123"/>
      <c r="AN398" s="123"/>
      <c r="AO398" s="123"/>
      <c r="AP398" s="123"/>
      <c r="AQ398" s="123"/>
      <c r="AR398" s="123"/>
      <c r="AS398" s="123"/>
      <c r="AT398" s="123"/>
      <c r="AU398" s="123"/>
      <c r="AV398" s="123"/>
      <c r="AW398" s="123"/>
      <c r="AX398" s="123"/>
    </row>
    <row r="399">
      <c r="A399" s="177"/>
      <c r="B399" s="177"/>
      <c r="C399" s="121"/>
      <c r="D399" s="121"/>
      <c r="E399" s="121"/>
      <c r="F399" s="121"/>
      <c r="G399" s="177"/>
      <c r="H399" s="121"/>
      <c r="I399" s="121"/>
      <c r="J399" s="121"/>
      <c r="K399" s="121"/>
      <c r="L399" s="121"/>
      <c r="M399" s="121"/>
      <c r="N399" s="121"/>
      <c r="O399" s="121"/>
      <c r="P399" s="121"/>
      <c r="Q399" s="121"/>
      <c r="R399" s="121"/>
      <c r="S399" s="121"/>
      <c r="T399" s="121"/>
      <c r="U399" s="121"/>
      <c r="V399" s="121"/>
      <c r="W399" s="121"/>
      <c r="X399" s="121"/>
      <c r="Y399" s="121"/>
      <c r="Z399" s="121"/>
      <c r="AA399" s="123"/>
      <c r="AB399" s="123"/>
      <c r="AC399" s="123"/>
      <c r="AD399" s="123"/>
      <c r="AE399" s="123"/>
      <c r="AF399" s="123"/>
      <c r="AG399" s="123"/>
      <c r="AH399" s="123"/>
      <c r="AI399" s="123"/>
      <c r="AJ399" s="123"/>
      <c r="AK399" s="123"/>
      <c r="AL399" s="123"/>
      <c r="AM399" s="123"/>
      <c r="AN399" s="123"/>
      <c r="AO399" s="123"/>
      <c r="AP399" s="123"/>
      <c r="AQ399" s="123"/>
      <c r="AR399" s="123"/>
      <c r="AS399" s="123"/>
      <c r="AT399" s="123"/>
      <c r="AU399" s="123"/>
      <c r="AV399" s="123"/>
      <c r="AW399" s="123"/>
      <c r="AX399" s="123"/>
    </row>
    <row r="400">
      <c r="A400" s="177"/>
      <c r="B400" s="177"/>
      <c r="C400" s="121"/>
      <c r="D400" s="121"/>
      <c r="E400" s="121"/>
      <c r="F400" s="121"/>
      <c r="G400" s="177"/>
      <c r="H400" s="121"/>
      <c r="I400" s="121"/>
      <c r="J400" s="121"/>
      <c r="K400" s="121"/>
      <c r="L400" s="121"/>
      <c r="M400" s="121"/>
      <c r="N400" s="121"/>
      <c r="O400" s="121"/>
      <c r="P400" s="121"/>
      <c r="Q400" s="121"/>
      <c r="R400" s="121"/>
      <c r="S400" s="121"/>
      <c r="T400" s="121"/>
      <c r="U400" s="121"/>
      <c r="V400" s="121"/>
      <c r="W400" s="121"/>
      <c r="X400" s="121"/>
      <c r="Y400" s="121"/>
      <c r="Z400" s="121"/>
      <c r="AA400" s="123"/>
      <c r="AB400" s="123"/>
      <c r="AC400" s="123"/>
      <c r="AD400" s="123"/>
      <c r="AE400" s="123"/>
      <c r="AF400" s="123"/>
      <c r="AG400" s="123"/>
      <c r="AH400" s="123"/>
      <c r="AI400" s="123"/>
      <c r="AJ400" s="123"/>
      <c r="AK400" s="123"/>
      <c r="AL400" s="123"/>
      <c r="AM400" s="123"/>
      <c r="AN400" s="123"/>
      <c r="AO400" s="123"/>
      <c r="AP400" s="123"/>
      <c r="AQ400" s="123"/>
      <c r="AR400" s="123"/>
      <c r="AS400" s="123"/>
      <c r="AT400" s="123"/>
      <c r="AU400" s="123"/>
      <c r="AV400" s="123"/>
      <c r="AW400" s="123"/>
      <c r="AX400" s="123"/>
    </row>
    <row r="401">
      <c r="A401" s="177"/>
      <c r="B401" s="177"/>
      <c r="C401" s="121"/>
      <c r="D401" s="121"/>
      <c r="E401" s="121"/>
      <c r="F401" s="121"/>
      <c r="G401" s="177"/>
      <c r="H401" s="121"/>
      <c r="I401" s="121"/>
      <c r="J401" s="121"/>
      <c r="K401" s="121"/>
      <c r="L401" s="121"/>
      <c r="M401" s="121"/>
      <c r="N401" s="121"/>
      <c r="O401" s="121"/>
      <c r="P401" s="121"/>
      <c r="Q401" s="121"/>
      <c r="R401" s="121"/>
      <c r="S401" s="121"/>
      <c r="T401" s="121"/>
      <c r="U401" s="121"/>
      <c r="V401" s="121"/>
      <c r="W401" s="121"/>
      <c r="X401" s="121"/>
      <c r="Y401" s="121"/>
      <c r="Z401" s="121"/>
      <c r="AA401" s="123"/>
      <c r="AB401" s="123"/>
      <c r="AC401" s="123"/>
      <c r="AD401" s="123"/>
      <c r="AE401" s="123"/>
      <c r="AF401" s="123"/>
      <c r="AG401" s="123"/>
      <c r="AH401" s="123"/>
      <c r="AI401" s="123"/>
      <c r="AJ401" s="123"/>
      <c r="AK401" s="123"/>
      <c r="AL401" s="123"/>
      <c r="AM401" s="123"/>
      <c r="AN401" s="123"/>
      <c r="AO401" s="123"/>
      <c r="AP401" s="123"/>
      <c r="AQ401" s="123"/>
      <c r="AR401" s="123"/>
      <c r="AS401" s="123"/>
      <c r="AT401" s="123"/>
      <c r="AU401" s="123"/>
      <c r="AV401" s="123"/>
      <c r="AW401" s="123"/>
      <c r="AX401" s="123"/>
    </row>
    <row r="402">
      <c r="A402" s="177"/>
      <c r="B402" s="177"/>
      <c r="C402" s="121"/>
      <c r="D402" s="121"/>
      <c r="E402" s="121"/>
      <c r="F402" s="121"/>
      <c r="G402" s="177"/>
      <c r="H402" s="121"/>
      <c r="I402" s="121"/>
      <c r="J402" s="121"/>
      <c r="K402" s="121"/>
      <c r="L402" s="121"/>
      <c r="M402" s="121"/>
      <c r="N402" s="121"/>
      <c r="O402" s="121"/>
      <c r="P402" s="121"/>
      <c r="Q402" s="121"/>
      <c r="R402" s="121"/>
      <c r="S402" s="121"/>
      <c r="T402" s="121"/>
      <c r="U402" s="121"/>
      <c r="V402" s="121"/>
      <c r="W402" s="121"/>
      <c r="X402" s="121"/>
      <c r="Y402" s="121"/>
      <c r="Z402" s="121"/>
      <c r="AA402" s="123"/>
      <c r="AB402" s="123"/>
      <c r="AC402" s="123"/>
      <c r="AD402" s="123"/>
      <c r="AE402" s="123"/>
      <c r="AF402" s="123"/>
      <c r="AG402" s="123"/>
      <c r="AH402" s="123"/>
      <c r="AI402" s="123"/>
      <c r="AJ402" s="123"/>
      <c r="AK402" s="123"/>
      <c r="AL402" s="123"/>
      <c r="AM402" s="123"/>
      <c r="AN402" s="123"/>
      <c r="AO402" s="123"/>
      <c r="AP402" s="123"/>
      <c r="AQ402" s="123"/>
      <c r="AR402" s="123"/>
      <c r="AS402" s="123"/>
      <c r="AT402" s="123"/>
      <c r="AU402" s="123"/>
      <c r="AV402" s="123"/>
      <c r="AW402" s="123"/>
      <c r="AX402" s="123"/>
    </row>
    <row r="403">
      <c r="A403" s="177"/>
      <c r="B403" s="177"/>
      <c r="C403" s="121"/>
      <c r="D403" s="121"/>
      <c r="E403" s="121"/>
      <c r="F403" s="121"/>
      <c r="G403" s="177"/>
      <c r="H403" s="121"/>
      <c r="I403" s="121"/>
      <c r="J403" s="121"/>
      <c r="K403" s="121"/>
      <c r="L403" s="121"/>
      <c r="M403" s="121"/>
      <c r="N403" s="121"/>
      <c r="O403" s="121"/>
      <c r="P403" s="121"/>
      <c r="Q403" s="121"/>
      <c r="R403" s="121"/>
      <c r="S403" s="121"/>
      <c r="T403" s="121"/>
      <c r="U403" s="121"/>
      <c r="V403" s="121"/>
      <c r="W403" s="121"/>
      <c r="X403" s="121"/>
      <c r="Y403" s="121"/>
      <c r="Z403" s="121"/>
      <c r="AA403" s="123"/>
      <c r="AB403" s="123"/>
      <c r="AC403" s="123"/>
      <c r="AD403" s="123"/>
      <c r="AE403" s="123"/>
      <c r="AF403" s="123"/>
      <c r="AG403" s="123"/>
      <c r="AH403" s="123"/>
      <c r="AI403" s="123"/>
      <c r="AJ403" s="123"/>
      <c r="AK403" s="123"/>
      <c r="AL403" s="123"/>
      <c r="AM403" s="123"/>
      <c r="AN403" s="123"/>
      <c r="AO403" s="123"/>
      <c r="AP403" s="123"/>
      <c r="AQ403" s="123"/>
      <c r="AR403" s="123"/>
      <c r="AS403" s="123"/>
      <c r="AT403" s="123"/>
      <c r="AU403" s="123"/>
      <c r="AV403" s="123"/>
      <c r="AW403" s="123"/>
      <c r="AX403" s="123"/>
    </row>
    <row r="404">
      <c r="A404" s="177"/>
      <c r="B404" s="177"/>
      <c r="C404" s="121"/>
      <c r="D404" s="121"/>
      <c r="E404" s="121"/>
      <c r="F404" s="121"/>
      <c r="G404" s="177"/>
      <c r="H404" s="121"/>
      <c r="I404" s="121"/>
      <c r="J404" s="121"/>
      <c r="K404" s="121"/>
      <c r="L404" s="121"/>
      <c r="M404" s="121"/>
      <c r="N404" s="121"/>
      <c r="O404" s="121"/>
      <c r="P404" s="121"/>
      <c r="Q404" s="121"/>
      <c r="R404" s="121"/>
      <c r="S404" s="121"/>
      <c r="T404" s="121"/>
      <c r="U404" s="121"/>
      <c r="V404" s="121"/>
      <c r="W404" s="121"/>
      <c r="X404" s="121"/>
      <c r="Y404" s="121"/>
      <c r="Z404" s="121"/>
      <c r="AA404" s="123"/>
      <c r="AB404" s="123"/>
      <c r="AC404" s="123"/>
      <c r="AD404" s="123"/>
      <c r="AE404" s="123"/>
      <c r="AF404" s="123"/>
      <c r="AG404" s="123"/>
      <c r="AH404" s="123"/>
      <c r="AI404" s="123"/>
      <c r="AJ404" s="123"/>
      <c r="AK404" s="123"/>
      <c r="AL404" s="123"/>
      <c r="AM404" s="123"/>
      <c r="AN404" s="123"/>
      <c r="AO404" s="123"/>
      <c r="AP404" s="123"/>
      <c r="AQ404" s="123"/>
      <c r="AR404" s="123"/>
      <c r="AS404" s="123"/>
      <c r="AT404" s="123"/>
      <c r="AU404" s="123"/>
      <c r="AV404" s="123"/>
      <c r="AW404" s="123"/>
      <c r="AX404" s="123"/>
    </row>
    <row r="405">
      <c r="A405" s="173"/>
      <c r="B405" s="174"/>
      <c r="C405" s="175"/>
      <c r="D405" s="175"/>
      <c r="E405" s="71"/>
      <c r="F405" s="174"/>
      <c r="G405" s="174"/>
      <c r="H405" s="173"/>
      <c r="I405" s="173"/>
      <c r="J405" s="174"/>
      <c r="K405" s="174"/>
      <c r="L405" s="174"/>
      <c r="M405" s="174"/>
      <c r="N405" s="174"/>
      <c r="O405" s="174"/>
      <c r="P405" s="174"/>
      <c r="Q405" s="174"/>
      <c r="R405" s="174"/>
      <c r="S405" s="174"/>
      <c r="T405" s="174"/>
      <c r="U405" s="176"/>
      <c r="V405" s="71"/>
      <c r="W405" s="174"/>
      <c r="X405" s="174"/>
      <c r="Y405" s="136"/>
      <c r="Z405" s="71"/>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row>
    <row r="406">
      <c r="A406" s="173"/>
      <c r="B406" s="174"/>
      <c r="C406" s="175"/>
      <c r="D406" s="175"/>
      <c r="E406" s="71"/>
      <c r="F406" s="174"/>
      <c r="G406" s="174"/>
      <c r="H406" s="173"/>
      <c r="I406" s="71"/>
      <c r="J406" s="174"/>
      <c r="K406" s="71"/>
      <c r="L406" s="174"/>
      <c r="M406" s="174"/>
      <c r="N406" s="174"/>
      <c r="O406" s="174"/>
      <c r="P406" s="174"/>
      <c r="Q406" s="174"/>
      <c r="R406" s="174"/>
      <c r="S406" s="71"/>
      <c r="T406" s="71"/>
      <c r="U406" s="176"/>
      <c r="V406" s="174"/>
      <c r="W406" s="174"/>
      <c r="X406" s="174"/>
      <c r="Y406" s="136"/>
      <c r="Z406" s="71"/>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row>
    <row r="407">
      <c r="A407" s="173"/>
      <c r="B407" s="174"/>
      <c r="C407" s="175"/>
      <c r="D407" s="175"/>
      <c r="E407" s="71"/>
      <c r="F407" s="174"/>
      <c r="G407" s="174"/>
      <c r="H407" s="173"/>
      <c r="I407" s="71"/>
      <c r="J407" s="174"/>
      <c r="K407" s="71"/>
      <c r="L407" s="174"/>
      <c r="M407" s="174"/>
      <c r="N407" s="174"/>
      <c r="O407" s="174"/>
      <c r="P407" s="174"/>
      <c r="Q407" s="174"/>
      <c r="R407" s="174"/>
      <c r="S407" s="71"/>
      <c r="T407" s="71"/>
      <c r="U407" s="176"/>
      <c r="V407" s="174"/>
      <c r="W407" s="174"/>
      <c r="X407" s="174"/>
      <c r="Y407" s="136"/>
      <c r="Z407" s="71"/>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row>
    <row r="408">
      <c r="A408" s="177"/>
      <c r="B408" s="177"/>
      <c r="C408" s="121"/>
      <c r="D408" s="121"/>
      <c r="E408" s="121"/>
      <c r="F408" s="121"/>
      <c r="G408" s="177"/>
      <c r="H408" s="121"/>
      <c r="I408" s="121"/>
      <c r="J408" s="121"/>
      <c r="K408" s="121"/>
      <c r="L408" s="121"/>
      <c r="M408" s="121"/>
      <c r="N408" s="121"/>
      <c r="O408" s="121"/>
      <c r="P408" s="121"/>
      <c r="Q408" s="121"/>
      <c r="R408" s="121"/>
      <c r="S408" s="121"/>
      <c r="T408" s="121"/>
      <c r="U408" s="121"/>
      <c r="V408" s="121"/>
      <c r="W408" s="121"/>
      <c r="X408" s="121"/>
      <c r="Y408" s="121"/>
      <c r="Z408" s="121"/>
      <c r="AA408" s="123"/>
      <c r="AB408" s="123"/>
      <c r="AC408" s="123"/>
      <c r="AD408" s="123"/>
      <c r="AE408" s="123"/>
      <c r="AF408" s="123"/>
      <c r="AG408" s="123"/>
      <c r="AH408" s="123"/>
      <c r="AI408" s="123"/>
      <c r="AJ408" s="123"/>
      <c r="AK408" s="123"/>
      <c r="AL408" s="123"/>
      <c r="AM408" s="123"/>
      <c r="AN408" s="123"/>
      <c r="AO408" s="123"/>
      <c r="AP408" s="123"/>
      <c r="AQ408" s="123"/>
      <c r="AR408" s="123"/>
      <c r="AS408" s="123"/>
      <c r="AT408" s="123"/>
      <c r="AU408" s="123"/>
      <c r="AV408" s="123"/>
      <c r="AW408" s="123"/>
      <c r="AX408" s="123"/>
    </row>
    <row r="409">
      <c r="A409" s="177"/>
      <c r="B409" s="177"/>
      <c r="C409" s="121"/>
      <c r="D409" s="121"/>
      <c r="E409" s="121"/>
      <c r="F409" s="121"/>
      <c r="G409" s="177"/>
      <c r="H409" s="121"/>
      <c r="I409" s="121"/>
      <c r="J409" s="121"/>
      <c r="K409" s="121"/>
      <c r="L409" s="121"/>
      <c r="M409" s="121"/>
      <c r="N409" s="121"/>
      <c r="O409" s="121"/>
      <c r="P409" s="121"/>
      <c r="Q409" s="121"/>
      <c r="R409" s="121"/>
      <c r="S409" s="121"/>
      <c r="T409" s="121"/>
      <c r="U409" s="121"/>
      <c r="V409" s="121"/>
      <c r="W409" s="121"/>
      <c r="X409" s="121"/>
      <c r="Y409" s="121"/>
      <c r="Z409" s="121"/>
      <c r="AA409" s="123"/>
      <c r="AB409" s="123"/>
      <c r="AC409" s="123"/>
      <c r="AD409" s="123"/>
      <c r="AE409" s="123"/>
      <c r="AF409" s="123"/>
      <c r="AG409" s="123"/>
      <c r="AH409" s="123"/>
      <c r="AI409" s="123"/>
      <c r="AJ409" s="123"/>
      <c r="AK409" s="123"/>
      <c r="AL409" s="123"/>
      <c r="AM409" s="123"/>
      <c r="AN409" s="123"/>
      <c r="AO409" s="123"/>
      <c r="AP409" s="123"/>
      <c r="AQ409" s="123"/>
      <c r="AR409" s="123"/>
      <c r="AS409" s="123"/>
      <c r="AT409" s="123"/>
      <c r="AU409" s="123"/>
      <c r="AV409" s="123"/>
      <c r="AW409" s="123"/>
      <c r="AX409" s="123"/>
    </row>
    <row r="410">
      <c r="A410" s="177"/>
      <c r="B410" s="177"/>
      <c r="C410" s="121"/>
      <c r="D410" s="121"/>
      <c r="E410" s="121"/>
      <c r="F410" s="121"/>
      <c r="G410" s="177"/>
      <c r="H410" s="121"/>
      <c r="I410" s="121"/>
      <c r="J410" s="121"/>
      <c r="K410" s="121"/>
      <c r="L410" s="121"/>
      <c r="M410" s="121"/>
      <c r="N410" s="121"/>
      <c r="O410" s="121"/>
      <c r="P410" s="121"/>
      <c r="Q410" s="121"/>
      <c r="R410" s="121"/>
      <c r="S410" s="121"/>
      <c r="T410" s="121"/>
      <c r="U410" s="121"/>
      <c r="V410" s="121"/>
      <c r="W410" s="121"/>
      <c r="X410" s="121"/>
      <c r="Y410" s="121"/>
      <c r="Z410" s="121"/>
      <c r="AA410" s="123"/>
      <c r="AB410" s="123"/>
      <c r="AC410" s="123"/>
      <c r="AD410" s="123"/>
      <c r="AE410" s="123"/>
      <c r="AF410" s="123"/>
      <c r="AG410" s="123"/>
      <c r="AH410" s="123"/>
      <c r="AI410" s="123"/>
      <c r="AJ410" s="123"/>
      <c r="AK410" s="123"/>
      <c r="AL410" s="123"/>
      <c r="AM410" s="123"/>
      <c r="AN410" s="123"/>
      <c r="AO410" s="123"/>
      <c r="AP410" s="123"/>
      <c r="AQ410" s="123"/>
      <c r="AR410" s="123"/>
      <c r="AS410" s="123"/>
      <c r="AT410" s="123"/>
      <c r="AU410" s="123"/>
      <c r="AV410" s="123"/>
      <c r="AW410" s="123"/>
      <c r="AX410" s="123"/>
    </row>
    <row r="411">
      <c r="A411" s="177"/>
      <c r="B411" s="177"/>
      <c r="C411" s="121"/>
      <c r="D411" s="121"/>
      <c r="E411" s="121"/>
      <c r="F411" s="121"/>
      <c r="G411" s="177"/>
      <c r="H411" s="121"/>
      <c r="I411" s="121"/>
      <c r="J411" s="121"/>
      <c r="K411" s="121"/>
      <c r="L411" s="121"/>
      <c r="M411" s="121"/>
      <c r="N411" s="121"/>
      <c r="O411" s="121"/>
      <c r="P411" s="121"/>
      <c r="Q411" s="121"/>
      <c r="R411" s="121"/>
      <c r="S411" s="121"/>
      <c r="T411" s="121"/>
      <c r="U411" s="121"/>
      <c r="V411" s="121"/>
      <c r="W411" s="121"/>
      <c r="X411" s="121"/>
      <c r="Y411" s="121"/>
      <c r="Z411" s="121"/>
      <c r="AA411" s="123"/>
      <c r="AB411" s="123"/>
      <c r="AC411" s="123"/>
      <c r="AD411" s="123"/>
      <c r="AE411" s="123"/>
      <c r="AF411" s="123"/>
      <c r="AG411" s="123"/>
      <c r="AH411" s="123"/>
      <c r="AI411" s="123"/>
      <c r="AJ411" s="123"/>
      <c r="AK411" s="123"/>
      <c r="AL411" s="123"/>
      <c r="AM411" s="123"/>
      <c r="AN411" s="123"/>
      <c r="AO411" s="123"/>
      <c r="AP411" s="123"/>
      <c r="AQ411" s="123"/>
      <c r="AR411" s="123"/>
      <c r="AS411" s="123"/>
      <c r="AT411" s="123"/>
      <c r="AU411" s="123"/>
      <c r="AV411" s="123"/>
      <c r="AW411" s="123"/>
      <c r="AX411" s="123"/>
    </row>
    <row r="412">
      <c r="A412" s="177"/>
      <c r="B412" s="177"/>
      <c r="C412" s="121"/>
      <c r="D412" s="121"/>
      <c r="E412" s="121"/>
      <c r="F412" s="121"/>
      <c r="G412" s="177"/>
      <c r="H412" s="121"/>
      <c r="I412" s="121"/>
      <c r="J412" s="121"/>
      <c r="K412" s="121"/>
      <c r="L412" s="121"/>
      <c r="M412" s="121"/>
      <c r="N412" s="121"/>
      <c r="O412" s="121"/>
      <c r="P412" s="121"/>
      <c r="Q412" s="121"/>
      <c r="R412" s="121"/>
      <c r="S412" s="121"/>
      <c r="T412" s="121"/>
      <c r="U412" s="121"/>
      <c r="V412" s="121"/>
      <c r="W412" s="121"/>
      <c r="X412" s="121"/>
      <c r="Y412" s="121"/>
      <c r="Z412" s="121"/>
      <c r="AA412" s="123"/>
      <c r="AB412" s="123"/>
      <c r="AC412" s="123"/>
      <c r="AD412" s="123"/>
      <c r="AE412" s="123"/>
      <c r="AF412" s="123"/>
      <c r="AG412" s="123"/>
      <c r="AH412" s="123"/>
      <c r="AI412" s="123"/>
      <c r="AJ412" s="123"/>
      <c r="AK412" s="123"/>
      <c r="AL412" s="123"/>
      <c r="AM412" s="123"/>
      <c r="AN412" s="123"/>
      <c r="AO412" s="123"/>
      <c r="AP412" s="123"/>
      <c r="AQ412" s="123"/>
      <c r="AR412" s="123"/>
      <c r="AS412" s="123"/>
      <c r="AT412" s="123"/>
      <c r="AU412" s="123"/>
      <c r="AV412" s="123"/>
      <c r="AW412" s="123"/>
      <c r="AX412" s="123"/>
    </row>
    <row r="413">
      <c r="A413" s="177"/>
      <c r="B413" s="177"/>
      <c r="C413" s="121"/>
      <c r="D413" s="121"/>
      <c r="E413" s="121"/>
      <c r="F413" s="121"/>
      <c r="G413" s="177"/>
      <c r="H413" s="121"/>
      <c r="I413" s="121"/>
      <c r="J413" s="121"/>
      <c r="K413" s="121"/>
      <c r="L413" s="121"/>
      <c r="M413" s="121"/>
      <c r="N413" s="121"/>
      <c r="O413" s="121"/>
      <c r="P413" s="121"/>
      <c r="Q413" s="121"/>
      <c r="R413" s="121"/>
      <c r="S413" s="121"/>
      <c r="T413" s="121"/>
      <c r="U413" s="121"/>
      <c r="V413" s="121"/>
      <c r="W413" s="121"/>
      <c r="X413" s="121"/>
      <c r="Y413" s="121"/>
      <c r="Z413" s="121"/>
      <c r="AA413" s="123"/>
      <c r="AB413" s="123"/>
      <c r="AC413" s="123"/>
      <c r="AD413" s="123"/>
      <c r="AE413" s="123"/>
      <c r="AF413" s="123"/>
      <c r="AG413" s="123"/>
      <c r="AH413" s="123"/>
      <c r="AI413" s="123"/>
      <c r="AJ413" s="123"/>
      <c r="AK413" s="123"/>
      <c r="AL413" s="123"/>
      <c r="AM413" s="123"/>
      <c r="AN413" s="123"/>
      <c r="AO413" s="123"/>
      <c r="AP413" s="123"/>
      <c r="AQ413" s="123"/>
      <c r="AR413" s="123"/>
      <c r="AS413" s="123"/>
      <c r="AT413" s="123"/>
      <c r="AU413" s="123"/>
      <c r="AV413" s="123"/>
      <c r="AW413" s="123"/>
      <c r="AX413" s="123"/>
    </row>
    <row r="414">
      <c r="A414" s="177"/>
      <c r="B414" s="177"/>
      <c r="C414" s="121"/>
      <c r="D414" s="121"/>
      <c r="E414" s="121"/>
      <c r="F414" s="121"/>
      <c r="G414" s="177"/>
      <c r="H414" s="121"/>
      <c r="I414" s="121"/>
      <c r="J414" s="121"/>
      <c r="K414" s="121"/>
      <c r="L414" s="121"/>
      <c r="M414" s="121"/>
      <c r="N414" s="121"/>
      <c r="O414" s="121"/>
      <c r="P414" s="121"/>
      <c r="Q414" s="121"/>
      <c r="R414" s="121"/>
      <c r="S414" s="121"/>
      <c r="T414" s="121"/>
      <c r="U414" s="121"/>
      <c r="V414" s="121"/>
      <c r="W414" s="121"/>
      <c r="X414" s="121"/>
      <c r="Y414" s="121"/>
      <c r="Z414" s="121"/>
      <c r="AA414" s="123"/>
      <c r="AB414" s="123"/>
      <c r="AC414" s="123"/>
      <c r="AD414" s="123"/>
      <c r="AE414" s="123"/>
      <c r="AF414" s="123"/>
      <c r="AG414" s="123"/>
      <c r="AH414" s="123"/>
      <c r="AI414" s="123"/>
      <c r="AJ414" s="123"/>
      <c r="AK414" s="123"/>
      <c r="AL414" s="123"/>
      <c r="AM414" s="123"/>
      <c r="AN414" s="123"/>
      <c r="AO414" s="123"/>
      <c r="AP414" s="123"/>
      <c r="AQ414" s="123"/>
      <c r="AR414" s="123"/>
      <c r="AS414" s="123"/>
      <c r="AT414" s="123"/>
      <c r="AU414" s="123"/>
      <c r="AV414" s="123"/>
      <c r="AW414" s="123"/>
      <c r="AX414" s="123"/>
    </row>
    <row r="415">
      <c r="A415" s="177"/>
      <c r="B415" s="177"/>
      <c r="C415" s="121"/>
      <c r="D415" s="121"/>
      <c r="E415" s="121"/>
      <c r="F415" s="121"/>
      <c r="G415" s="177"/>
      <c r="H415" s="121"/>
      <c r="I415" s="121"/>
      <c r="J415" s="121"/>
      <c r="K415" s="121"/>
      <c r="L415" s="121"/>
      <c r="M415" s="121"/>
      <c r="N415" s="121"/>
      <c r="O415" s="121"/>
      <c r="P415" s="121"/>
      <c r="Q415" s="121"/>
      <c r="R415" s="121"/>
      <c r="S415" s="121"/>
      <c r="T415" s="121"/>
      <c r="U415" s="121"/>
      <c r="V415" s="121"/>
      <c r="W415" s="121"/>
      <c r="X415" s="121"/>
      <c r="Y415" s="121"/>
      <c r="Z415" s="121"/>
      <c r="AA415" s="123"/>
      <c r="AB415" s="123"/>
      <c r="AC415" s="123"/>
      <c r="AD415" s="123"/>
      <c r="AE415" s="123"/>
      <c r="AF415" s="123"/>
      <c r="AG415" s="123"/>
      <c r="AH415" s="123"/>
      <c r="AI415" s="123"/>
      <c r="AJ415" s="123"/>
      <c r="AK415" s="123"/>
      <c r="AL415" s="123"/>
      <c r="AM415" s="123"/>
      <c r="AN415" s="123"/>
      <c r="AO415" s="123"/>
      <c r="AP415" s="123"/>
      <c r="AQ415" s="123"/>
      <c r="AR415" s="123"/>
      <c r="AS415" s="123"/>
      <c r="AT415" s="123"/>
      <c r="AU415" s="123"/>
      <c r="AV415" s="123"/>
      <c r="AW415" s="123"/>
      <c r="AX415" s="123"/>
    </row>
    <row r="416">
      <c r="A416" s="177"/>
      <c r="B416" s="177"/>
      <c r="C416" s="121"/>
      <c r="D416" s="121"/>
      <c r="E416" s="121"/>
      <c r="F416" s="121"/>
      <c r="G416" s="177"/>
      <c r="H416" s="121"/>
      <c r="I416" s="121"/>
      <c r="J416" s="121"/>
      <c r="K416" s="121"/>
      <c r="L416" s="121"/>
      <c r="M416" s="121"/>
      <c r="N416" s="121"/>
      <c r="O416" s="121"/>
      <c r="P416" s="121"/>
      <c r="Q416" s="121"/>
      <c r="R416" s="121"/>
      <c r="S416" s="121"/>
      <c r="T416" s="121"/>
      <c r="U416" s="121"/>
      <c r="V416" s="121"/>
      <c r="W416" s="121"/>
      <c r="X416" s="121"/>
      <c r="Y416" s="121"/>
      <c r="Z416" s="121"/>
      <c r="AA416" s="123"/>
      <c r="AB416" s="123"/>
      <c r="AC416" s="123"/>
      <c r="AD416" s="123"/>
      <c r="AE416" s="123"/>
      <c r="AF416" s="123"/>
      <c r="AG416" s="123"/>
      <c r="AH416" s="123"/>
      <c r="AI416" s="123"/>
      <c r="AJ416" s="123"/>
      <c r="AK416" s="123"/>
      <c r="AL416" s="123"/>
      <c r="AM416" s="123"/>
      <c r="AN416" s="123"/>
      <c r="AO416" s="123"/>
      <c r="AP416" s="123"/>
      <c r="AQ416" s="123"/>
      <c r="AR416" s="123"/>
      <c r="AS416" s="123"/>
      <c r="AT416" s="123"/>
      <c r="AU416" s="123"/>
      <c r="AV416" s="123"/>
      <c r="AW416" s="123"/>
      <c r="AX416" s="123"/>
    </row>
    <row r="417">
      <c r="A417" s="177"/>
      <c r="B417" s="177"/>
      <c r="C417" s="121"/>
      <c r="D417" s="121"/>
      <c r="E417" s="121"/>
      <c r="F417" s="121"/>
      <c r="G417" s="177"/>
      <c r="H417" s="121"/>
      <c r="I417" s="121"/>
      <c r="J417" s="121"/>
      <c r="K417" s="121"/>
      <c r="L417" s="121"/>
      <c r="M417" s="121"/>
      <c r="N417" s="121"/>
      <c r="O417" s="121"/>
      <c r="P417" s="121"/>
      <c r="Q417" s="121"/>
      <c r="R417" s="121"/>
      <c r="S417" s="121"/>
      <c r="T417" s="121"/>
      <c r="U417" s="121"/>
      <c r="V417" s="121"/>
      <c r="W417" s="121"/>
      <c r="X417" s="121"/>
      <c r="Y417" s="121"/>
      <c r="Z417" s="121"/>
      <c r="AA417" s="123"/>
      <c r="AB417" s="123"/>
      <c r="AC417" s="123"/>
      <c r="AD417" s="123"/>
      <c r="AE417" s="123"/>
      <c r="AF417" s="123"/>
      <c r="AG417" s="123"/>
      <c r="AH417" s="123"/>
      <c r="AI417" s="123"/>
      <c r="AJ417" s="123"/>
      <c r="AK417" s="123"/>
      <c r="AL417" s="123"/>
      <c r="AM417" s="123"/>
      <c r="AN417" s="123"/>
      <c r="AO417" s="123"/>
      <c r="AP417" s="123"/>
      <c r="AQ417" s="123"/>
      <c r="AR417" s="123"/>
      <c r="AS417" s="123"/>
      <c r="AT417" s="123"/>
      <c r="AU417" s="123"/>
      <c r="AV417" s="123"/>
      <c r="AW417" s="123"/>
      <c r="AX417" s="123"/>
    </row>
    <row r="418">
      <c r="A418" s="177"/>
      <c r="B418" s="177"/>
      <c r="C418" s="121"/>
      <c r="D418" s="121"/>
      <c r="E418" s="121"/>
      <c r="F418" s="121"/>
      <c r="G418" s="177"/>
      <c r="H418" s="121"/>
      <c r="I418" s="121"/>
      <c r="J418" s="121"/>
      <c r="K418" s="121"/>
      <c r="L418" s="121"/>
      <c r="M418" s="121"/>
      <c r="N418" s="121"/>
      <c r="O418" s="121"/>
      <c r="P418" s="121"/>
      <c r="Q418" s="121"/>
      <c r="R418" s="121"/>
      <c r="S418" s="121"/>
      <c r="T418" s="121"/>
      <c r="U418" s="121"/>
      <c r="V418" s="121"/>
      <c r="W418" s="121"/>
      <c r="X418" s="121"/>
      <c r="Y418" s="121"/>
      <c r="Z418" s="121"/>
      <c r="AA418" s="123"/>
      <c r="AB418" s="123"/>
      <c r="AC418" s="123"/>
      <c r="AD418" s="123"/>
      <c r="AE418" s="123"/>
      <c r="AF418" s="123"/>
      <c r="AG418" s="123"/>
      <c r="AH418" s="123"/>
      <c r="AI418" s="123"/>
      <c r="AJ418" s="123"/>
      <c r="AK418" s="123"/>
      <c r="AL418" s="123"/>
      <c r="AM418" s="123"/>
      <c r="AN418" s="123"/>
      <c r="AO418" s="123"/>
      <c r="AP418" s="123"/>
      <c r="AQ418" s="123"/>
      <c r="AR418" s="123"/>
      <c r="AS418" s="123"/>
      <c r="AT418" s="123"/>
      <c r="AU418" s="123"/>
      <c r="AV418" s="123"/>
      <c r="AW418" s="123"/>
      <c r="AX418" s="123"/>
    </row>
    <row r="419">
      <c r="A419" s="177"/>
      <c r="B419" s="177"/>
      <c r="C419" s="121"/>
      <c r="D419" s="121"/>
      <c r="E419" s="121"/>
      <c r="F419" s="121"/>
      <c r="G419" s="177"/>
      <c r="H419" s="121"/>
      <c r="I419" s="121"/>
      <c r="J419" s="121"/>
      <c r="K419" s="121"/>
      <c r="L419" s="121"/>
      <c r="M419" s="121"/>
      <c r="N419" s="121"/>
      <c r="O419" s="121"/>
      <c r="P419" s="121"/>
      <c r="Q419" s="121"/>
      <c r="R419" s="121"/>
      <c r="S419" s="121"/>
      <c r="T419" s="121"/>
      <c r="U419" s="121"/>
      <c r="V419" s="121"/>
      <c r="W419" s="121"/>
      <c r="X419" s="121"/>
      <c r="Y419" s="121"/>
      <c r="Z419" s="121"/>
      <c r="AA419" s="123"/>
      <c r="AB419" s="123"/>
      <c r="AC419" s="123"/>
      <c r="AD419" s="123"/>
      <c r="AE419" s="123"/>
      <c r="AF419" s="123"/>
      <c r="AG419" s="123"/>
      <c r="AH419" s="123"/>
      <c r="AI419" s="123"/>
      <c r="AJ419" s="123"/>
      <c r="AK419" s="123"/>
      <c r="AL419" s="123"/>
      <c r="AM419" s="123"/>
      <c r="AN419" s="123"/>
      <c r="AO419" s="123"/>
      <c r="AP419" s="123"/>
      <c r="AQ419" s="123"/>
      <c r="AR419" s="123"/>
      <c r="AS419" s="123"/>
      <c r="AT419" s="123"/>
      <c r="AU419" s="123"/>
      <c r="AV419" s="123"/>
      <c r="AW419" s="123"/>
      <c r="AX419" s="123"/>
    </row>
    <row r="420">
      <c r="A420" s="177"/>
      <c r="B420" s="177"/>
      <c r="C420" s="121"/>
      <c r="D420" s="121"/>
      <c r="E420" s="121"/>
      <c r="F420" s="121"/>
      <c r="G420" s="177"/>
      <c r="H420" s="121"/>
      <c r="I420" s="121"/>
      <c r="J420" s="121"/>
      <c r="K420" s="121"/>
      <c r="L420" s="121"/>
      <c r="M420" s="121"/>
      <c r="N420" s="121"/>
      <c r="O420" s="121"/>
      <c r="P420" s="121"/>
      <c r="Q420" s="121"/>
      <c r="R420" s="121"/>
      <c r="S420" s="121"/>
      <c r="T420" s="121"/>
      <c r="U420" s="121"/>
      <c r="V420" s="121"/>
      <c r="W420" s="121"/>
      <c r="X420" s="121"/>
      <c r="Y420" s="121"/>
      <c r="Z420" s="121"/>
      <c r="AA420" s="123"/>
      <c r="AB420" s="123"/>
      <c r="AC420" s="123"/>
      <c r="AD420" s="123"/>
      <c r="AE420" s="123"/>
      <c r="AF420" s="123"/>
      <c r="AG420" s="123"/>
      <c r="AH420" s="123"/>
      <c r="AI420" s="123"/>
      <c r="AJ420" s="123"/>
      <c r="AK420" s="123"/>
      <c r="AL420" s="123"/>
      <c r="AM420" s="123"/>
      <c r="AN420" s="123"/>
      <c r="AO420" s="123"/>
      <c r="AP420" s="123"/>
      <c r="AQ420" s="123"/>
      <c r="AR420" s="123"/>
      <c r="AS420" s="123"/>
      <c r="AT420" s="123"/>
      <c r="AU420" s="123"/>
      <c r="AV420" s="123"/>
      <c r="AW420" s="123"/>
      <c r="AX420" s="123"/>
    </row>
    <row r="421">
      <c r="A421" s="177"/>
      <c r="B421" s="177"/>
      <c r="C421" s="121"/>
      <c r="D421" s="121"/>
      <c r="E421" s="121"/>
      <c r="F421" s="121"/>
      <c r="G421" s="177"/>
      <c r="H421" s="121"/>
      <c r="I421" s="121"/>
      <c r="J421" s="121"/>
      <c r="K421" s="121"/>
      <c r="L421" s="121"/>
      <c r="M421" s="121"/>
      <c r="N421" s="121"/>
      <c r="O421" s="121"/>
      <c r="P421" s="121"/>
      <c r="Q421" s="121"/>
      <c r="R421" s="121"/>
      <c r="S421" s="121"/>
      <c r="T421" s="121"/>
      <c r="U421" s="121"/>
      <c r="V421" s="121"/>
      <c r="W421" s="121"/>
      <c r="X421" s="121"/>
      <c r="Y421" s="121"/>
      <c r="Z421" s="121"/>
      <c r="AA421" s="123"/>
      <c r="AB421" s="123"/>
      <c r="AC421" s="123"/>
      <c r="AD421" s="123"/>
      <c r="AE421" s="123"/>
      <c r="AF421" s="123"/>
      <c r="AG421" s="123"/>
      <c r="AH421" s="123"/>
      <c r="AI421" s="123"/>
      <c r="AJ421" s="123"/>
      <c r="AK421" s="123"/>
      <c r="AL421" s="123"/>
      <c r="AM421" s="123"/>
      <c r="AN421" s="123"/>
      <c r="AO421" s="123"/>
      <c r="AP421" s="123"/>
      <c r="AQ421" s="123"/>
      <c r="AR421" s="123"/>
      <c r="AS421" s="123"/>
      <c r="AT421" s="123"/>
      <c r="AU421" s="123"/>
      <c r="AV421" s="123"/>
      <c r="AW421" s="123"/>
      <c r="AX421" s="123"/>
    </row>
    <row r="422">
      <c r="A422" s="177"/>
      <c r="B422" s="177"/>
      <c r="C422" s="121"/>
      <c r="D422" s="121"/>
      <c r="E422" s="121"/>
      <c r="F422" s="121"/>
      <c r="G422" s="177"/>
      <c r="H422" s="121"/>
      <c r="I422" s="121"/>
      <c r="J422" s="121"/>
      <c r="K422" s="121"/>
      <c r="L422" s="121"/>
      <c r="M422" s="121"/>
      <c r="N422" s="121"/>
      <c r="O422" s="121"/>
      <c r="P422" s="121"/>
      <c r="Q422" s="121"/>
      <c r="R422" s="121"/>
      <c r="S422" s="121"/>
      <c r="T422" s="121"/>
      <c r="U422" s="121"/>
      <c r="V422" s="121"/>
      <c r="W422" s="121"/>
      <c r="X422" s="121"/>
      <c r="Y422" s="121"/>
      <c r="Z422" s="121"/>
      <c r="AA422" s="123"/>
      <c r="AB422" s="123"/>
      <c r="AC422" s="123"/>
      <c r="AD422" s="123"/>
      <c r="AE422" s="123"/>
      <c r="AF422" s="123"/>
      <c r="AG422" s="123"/>
      <c r="AH422" s="123"/>
      <c r="AI422" s="123"/>
      <c r="AJ422" s="123"/>
      <c r="AK422" s="123"/>
      <c r="AL422" s="123"/>
      <c r="AM422" s="123"/>
      <c r="AN422" s="123"/>
      <c r="AO422" s="123"/>
      <c r="AP422" s="123"/>
      <c r="AQ422" s="123"/>
      <c r="AR422" s="123"/>
      <c r="AS422" s="123"/>
      <c r="AT422" s="123"/>
      <c r="AU422" s="123"/>
      <c r="AV422" s="123"/>
      <c r="AW422" s="123"/>
      <c r="AX422" s="123"/>
    </row>
    <row r="423">
      <c r="A423" s="173"/>
      <c r="B423" s="174"/>
      <c r="C423" s="174"/>
      <c r="D423" s="71"/>
      <c r="E423" s="71"/>
      <c r="F423" s="71"/>
      <c r="G423" s="174"/>
      <c r="H423" s="173"/>
      <c r="I423" s="173"/>
      <c r="J423" s="174"/>
      <c r="K423" s="71"/>
      <c r="L423" s="174"/>
      <c r="M423" s="174"/>
      <c r="N423" s="174"/>
      <c r="O423" s="174"/>
      <c r="P423" s="174"/>
      <c r="Q423" s="174"/>
      <c r="R423" s="174"/>
      <c r="S423" s="71"/>
      <c r="T423" s="174"/>
      <c r="U423" s="176"/>
      <c r="V423" s="174"/>
      <c r="W423" s="174"/>
      <c r="X423" s="174"/>
      <c r="Y423" s="71"/>
      <c r="Z423" s="71"/>
      <c r="AA423" s="77"/>
      <c r="AB423" s="77"/>
      <c r="AC423" s="77"/>
      <c r="AD423" s="77"/>
      <c r="AE423" s="77"/>
      <c r="AF423" s="77"/>
      <c r="AG423" s="77"/>
      <c r="AH423" s="77"/>
      <c r="AI423" s="77"/>
      <c r="AJ423" s="77"/>
      <c r="AK423" s="77"/>
      <c r="AL423" s="77"/>
      <c r="AM423" s="77"/>
      <c r="AN423" s="77"/>
      <c r="AO423" s="77"/>
      <c r="AP423" s="77"/>
      <c r="AQ423" s="77"/>
      <c r="AR423" s="77"/>
      <c r="AS423" s="77"/>
      <c r="AT423" s="77"/>
      <c r="AU423" s="77"/>
      <c r="AV423" s="77"/>
      <c r="AW423" s="77"/>
      <c r="AX423" s="77"/>
    </row>
    <row r="424">
      <c r="A424" s="177"/>
      <c r="B424" s="177"/>
      <c r="C424" s="121"/>
      <c r="D424" s="121"/>
      <c r="E424" s="121"/>
      <c r="F424" s="121"/>
      <c r="G424" s="177"/>
      <c r="H424" s="121"/>
      <c r="I424" s="121"/>
      <c r="J424" s="121"/>
      <c r="K424" s="121"/>
      <c r="L424" s="121"/>
      <c r="M424" s="121"/>
      <c r="N424" s="121"/>
      <c r="O424" s="121"/>
      <c r="P424" s="121"/>
      <c r="Q424" s="121"/>
      <c r="R424" s="121"/>
      <c r="S424" s="121"/>
      <c r="T424" s="121"/>
      <c r="U424" s="121"/>
      <c r="V424" s="121"/>
      <c r="W424" s="121"/>
      <c r="X424" s="121"/>
      <c r="Y424" s="121"/>
      <c r="Z424" s="121"/>
      <c r="AA424" s="123"/>
      <c r="AB424" s="123"/>
      <c r="AC424" s="123"/>
      <c r="AD424" s="123"/>
      <c r="AE424" s="123"/>
      <c r="AF424" s="123"/>
      <c r="AG424" s="123"/>
      <c r="AH424" s="123"/>
      <c r="AI424" s="123"/>
      <c r="AJ424" s="123"/>
      <c r="AK424" s="123"/>
      <c r="AL424" s="123"/>
      <c r="AM424" s="123"/>
      <c r="AN424" s="123"/>
      <c r="AO424" s="123"/>
      <c r="AP424" s="123"/>
      <c r="AQ424" s="123"/>
      <c r="AR424" s="123"/>
      <c r="AS424" s="123"/>
      <c r="AT424" s="123"/>
      <c r="AU424" s="123"/>
      <c r="AV424" s="123"/>
      <c r="AW424" s="123"/>
      <c r="AX424" s="123"/>
    </row>
    <row r="425">
      <c r="A425" s="177"/>
      <c r="B425" s="177"/>
      <c r="C425" s="121"/>
      <c r="D425" s="121"/>
      <c r="E425" s="121"/>
      <c r="F425" s="121"/>
      <c r="G425" s="177"/>
      <c r="H425" s="121"/>
      <c r="I425" s="121"/>
      <c r="J425" s="121"/>
      <c r="K425" s="121"/>
      <c r="L425" s="121"/>
      <c r="M425" s="121"/>
      <c r="N425" s="121"/>
      <c r="O425" s="121"/>
      <c r="P425" s="121"/>
      <c r="Q425" s="121"/>
      <c r="R425" s="121"/>
      <c r="S425" s="121"/>
      <c r="T425" s="121"/>
      <c r="U425" s="121"/>
      <c r="V425" s="121"/>
      <c r="W425" s="121"/>
      <c r="X425" s="121"/>
      <c r="Y425" s="121"/>
      <c r="Z425" s="121"/>
      <c r="AA425" s="123"/>
      <c r="AB425" s="123"/>
      <c r="AC425" s="123"/>
      <c r="AD425" s="123"/>
      <c r="AE425" s="123"/>
      <c r="AF425" s="123"/>
      <c r="AG425" s="123"/>
      <c r="AH425" s="123"/>
      <c r="AI425" s="123"/>
      <c r="AJ425" s="123"/>
      <c r="AK425" s="123"/>
      <c r="AL425" s="123"/>
      <c r="AM425" s="123"/>
      <c r="AN425" s="123"/>
      <c r="AO425" s="123"/>
      <c r="AP425" s="123"/>
      <c r="AQ425" s="123"/>
      <c r="AR425" s="123"/>
      <c r="AS425" s="123"/>
      <c r="AT425" s="123"/>
      <c r="AU425" s="123"/>
      <c r="AV425" s="123"/>
      <c r="AW425" s="123"/>
      <c r="AX425" s="123"/>
    </row>
    <row r="426">
      <c r="A426" s="177"/>
      <c r="B426" s="177"/>
      <c r="C426" s="121"/>
      <c r="D426" s="121"/>
      <c r="E426" s="121"/>
      <c r="F426" s="121"/>
      <c r="G426" s="177"/>
      <c r="H426" s="121"/>
      <c r="I426" s="121"/>
      <c r="J426" s="121"/>
      <c r="K426" s="121"/>
      <c r="L426" s="121"/>
      <c r="M426" s="121"/>
      <c r="N426" s="121"/>
      <c r="O426" s="121"/>
      <c r="P426" s="121"/>
      <c r="Q426" s="121"/>
      <c r="R426" s="121"/>
      <c r="S426" s="121"/>
      <c r="T426" s="121"/>
      <c r="U426" s="121"/>
      <c r="V426" s="121"/>
      <c r="W426" s="121"/>
      <c r="X426" s="121"/>
      <c r="Y426" s="121"/>
      <c r="Z426" s="121"/>
      <c r="AA426" s="123"/>
      <c r="AB426" s="123"/>
      <c r="AC426" s="123"/>
      <c r="AD426" s="123"/>
      <c r="AE426" s="123"/>
      <c r="AF426" s="123"/>
      <c r="AG426" s="123"/>
      <c r="AH426" s="123"/>
      <c r="AI426" s="123"/>
      <c r="AJ426" s="123"/>
      <c r="AK426" s="123"/>
      <c r="AL426" s="123"/>
      <c r="AM426" s="123"/>
      <c r="AN426" s="123"/>
      <c r="AO426" s="123"/>
      <c r="AP426" s="123"/>
      <c r="AQ426" s="123"/>
      <c r="AR426" s="123"/>
      <c r="AS426" s="123"/>
      <c r="AT426" s="123"/>
      <c r="AU426" s="123"/>
      <c r="AV426" s="123"/>
      <c r="AW426" s="123"/>
      <c r="AX426" s="123"/>
    </row>
    <row r="427">
      <c r="A427" s="177"/>
      <c r="B427" s="177"/>
      <c r="C427" s="121"/>
      <c r="D427" s="121"/>
      <c r="E427" s="121"/>
      <c r="F427" s="121"/>
      <c r="G427" s="177"/>
      <c r="H427" s="121"/>
      <c r="I427" s="121"/>
      <c r="J427" s="121"/>
      <c r="K427" s="121"/>
      <c r="L427" s="121"/>
      <c r="M427" s="121"/>
      <c r="N427" s="121"/>
      <c r="O427" s="121"/>
      <c r="P427" s="121"/>
      <c r="Q427" s="121"/>
      <c r="R427" s="121"/>
      <c r="S427" s="121"/>
      <c r="T427" s="121"/>
      <c r="U427" s="121"/>
      <c r="V427" s="121"/>
      <c r="W427" s="121"/>
      <c r="X427" s="121"/>
      <c r="Y427" s="121"/>
      <c r="Z427" s="121"/>
      <c r="AA427" s="123"/>
      <c r="AB427" s="123"/>
      <c r="AC427" s="123"/>
      <c r="AD427" s="123"/>
      <c r="AE427" s="123"/>
      <c r="AF427" s="123"/>
      <c r="AG427" s="123"/>
      <c r="AH427" s="123"/>
      <c r="AI427" s="123"/>
      <c r="AJ427" s="123"/>
      <c r="AK427" s="123"/>
      <c r="AL427" s="123"/>
      <c r="AM427" s="123"/>
      <c r="AN427" s="123"/>
      <c r="AO427" s="123"/>
      <c r="AP427" s="123"/>
      <c r="AQ427" s="123"/>
      <c r="AR427" s="123"/>
      <c r="AS427" s="123"/>
      <c r="AT427" s="123"/>
      <c r="AU427" s="123"/>
      <c r="AV427" s="123"/>
      <c r="AW427" s="123"/>
      <c r="AX427" s="123"/>
    </row>
    <row r="428">
      <c r="A428" s="177"/>
      <c r="B428" s="177"/>
      <c r="C428" s="121"/>
      <c r="D428" s="121"/>
      <c r="E428" s="121"/>
      <c r="F428" s="121"/>
      <c r="G428" s="177"/>
      <c r="H428" s="121"/>
      <c r="I428" s="121"/>
      <c r="J428" s="121"/>
      <c r="K428" s="121"/>
      <c r="L428" s="121"/>
      <c r="M428" s="121"/>
      <c r="N428" s="121"/>
      <c r="O428" s="121"/>
      <c r="P428" s="121"/>
      <c r="Q428" s="121"/>
      <c r="R428" s="121"/>
      <c r="S428" s="121"/>
      <c r="T428" s="121"/>
      <c r="U428" s="121"/>
      <c r="V428" s="121"/>
      <c r="W428" s="121"/>
      <c r="X428" s="121"/>
      <c r="Y428" s="121"/>
      <c r="Z428" s="121"/>
      <c r="AA428" s="123"/>
      <c r="AB428" s="123"/>
      <c r="AC428" s="123"/>
      <c r="AD428" s="123"/>
      <c r="AE428" s="123"/>
      <c r="AF428" s="123"/>
      <c r="AG428" s="123"/>
      <c r="AH428" s="123"/>
      <c r="AI428" s="123"/>
      <c r="AJ428" s="123"/>
      <c r="AK428" s="123"/>
      <c r="AL428" s="123"/>
      <c r="AM428" s="123"/>
      <c r="AN428" s="123"/>
      <c r="AO428" s="123"/>
      <c r="AP428" s="123"/>
      <c r="AQ428" s="123"/>
      <c r="AR428" s="123"/>
      <c r="AS428" s="123"/>
      <c r="AT428" s="123"/>
      <c r="AU428" s="123"/>
      <c r="AV428" s="123"/>
      <c r="AW428" s="123"/>
      <c r="AX428" s="123"/>
    </row>
    <row r="429">
      <c r="A429" s="177"/>
      <c r="B429" s="177"/>
      <c r="C429" s="121"/>
      <c r="D429" s="121"/>
      <c r="E429" s="121"/>
      <c r="F429" s="121"/>
      <c r="G429" s="177"/>
      <c r="H429" s="121"/>
      <c r="I429" s="121"/>
      <c r="J429" s="121"/>
      <c r="K429" s="121"/>
      <c r="L429" s="121"/>
      <c r="M429" s="121"/>
      <c r="N429" s="121"/>
      <c r="O429" s="121"/>
      <c r="P429" s="121"/>
      <c r="Q429" s="121"/>
      <c r="R429" s="121"/>
      <c r="S429" s="121"/>
      <c r="T429" s="121"/>
      <c r="U429" s="121"/>
      <c r="V429" s="121"/>
      <c r="W429" s="121"/>
      <c r="X429" s="121"/>
      <c r="Y429" s="121"/>
      <c r="Z429" s="121"/>
      <c r="AA429" s="123"/>
      <c r="AB429" s="123"/>
      <c r="AC429" s="123"/>
      <c r="AD429" s="123"/>
      <c r="AE429" s="123"/>
      <c r="AF429" s="123"/>
      <c r="AG429" s="123"/>
      <c r="AH429" s="123"/>
      <c r="AI429" s="123"/>
      <c r="AJ429" s="123"/>
      <c r="AK429" s="123"/>
      <c r="AL429" s="123"/>
      <c r="AM429" s="123"/>
      <c r="AN429" s="123"/>
      <c r="AO429" s="123"/>
      <c r="AP429" s="123"/>
      <c r="AQ429" s="123"/>
      <c r="AR429" s="123"/>
      <c r="AS429" s="123"/>
      <c r="AT429" s="123"/>
      <c r="AU429" s="123"/>
      <c r="AV429" s="123"/>
      <c r="AW429" s="123"/>
      <c r="AX429" s="123"/>
    </row>
    <row r="430">
      <c r="A430" s="177"/>
      <c r="B430" s="177"/>
      <c r="C430" s="121"/>
      <c r="D430" s="121"/>
      <c r="E430" s="121"/>
      <c r="F430" s="121"/>
      <c r="G430" s="177"/>
      <c r="H430" s="121"/>
      <c r="I430" s="121"/>
      <c r="J430" s="121"/>
      <c r="K430" s="121"/>
      <c r="L430" s="121"/>
      <c r="M430" s="121"/>
      <c r="N430" s="121"/>
      <c r="O430" s="121"/>
      <c r="P430" s="121"/>
      <c r="Q430" s="121"/>
      <c r="R430" s="121"/>
      <c r="S430" s="121"/>
      <c r="T430" s="121"/>
      <c r="U430" s="121"/>
      <c r="V430" s="121"/>
      <c r="W430" s="121"/>
      <c r="X430" s="121"/>
      <c r="Y430" s="121"/>
      <c r="Z430" s="121"/>
      <c r="AA430" s="123"/>
      <c r="AB430" s="123"/>
      <c r="AC430" s="123"/>
      <c r="AD430" s="123"/>
      <c r="AE430" s="123"/>
      <c r="AF430" s="123"/>
      <c r="AG430" s="123"/>
      <c r="AH430" s="123"/>
      <c r="AI430" s="123"/>
      <c r="AJ430" s="123"/>
      <c r="AK430" s="123"/>
      <c r="AL430" s="123"/>
      <c r="AM430" s="123"/>
      <c r="AN430" s="123"/>
      <c r="AO430" s="123"/>
      <c r="AP430" s="123"/>
      <c r="AQ430" s="123"/>
      <c r="AR430" s="123"/>
      <c r="AS430" s="123"/>
      <c r="AT430" s="123"/>
      <c r="AU430" s="123"/>
      <c r="AV430" s="123"/>
      <c r="AW430" s="123"/>
      <c r="AX430" s="123"/>
    </row>
    <row r="431">
      <c r="A431" s="177"/>
      <c r="B431" s="177"/>
      <c r="C431" s="121"/>
      <c r="D431" s="121"/>
      <c r="E431" s="121"/>
      <c r="F431" s="121"/>
      <c r="G431" s="177"/>
      <c r="H431" s="121"/>
      <c r="I431" s="121"/>
      <c r="J431" s="121"/>
      <c r="K431" s="121"/>
      <c r="L431" s="121"/>
      <c r="M431" s="121"/>
      <c r="N431" s="121"/>
      <c r="O431" s="121"/>
      <c r="P431" s="121"/>
      <c r="Q431" s="121"/>
      <c r="R431" s="121"/>
      <c r="S431" s="121"/>
      <c r="T431" s="121"/>
      <c r="U431" s="121"/>
      <c r="V431" s="121"/>
      <c r="W431" s="121"/>
      <c r="X431" s="121"/>
      <c r="Y431" s="121"/>
      <c r="Z431" s="121"/>
      <c r="AA431" s="123"/>
      <c r="AB431" s="123"/>
      <c r="AC431" s="123"/>
      <c r="AD431" s="123"/>
      <c r="AE431" s="123"/>
      <c r="AF431" s="123"/>
      <c r="AG431" s="123"/>
      <c r="AH431" s="123"/>
      <c r="AI431" s="123"/>
      <c r="AJ431" s="123"/>
      <c r="AK431" s="123"/>
      <c r="AL431" s="123"/>
      <c r="AM431" s="123"/>
      <c r="AN431" s="123"/>
      <c r="AO431" s="123"/>
      <c r="AP431" s="123"/>
      <c r="AQ431" s="123"/>
      <c r="AR431" s="123"/>
      <c r="AS431" s="123"/>
      <c r="AT431" s="123"/>
      <c r="AU431" s="123"/>
      <c r="AV431" s="123"/>
      <c r="AW431" s="123"/>
      <c r="AX431" s="123"/>
    </row>
    <row r="432">
      <c r="A432" s="177"/>
      <c r="B432" s="177"/>
      <c r="C432" s="121"/>
      <c r="D432" s="121"/>
      <c r="E432" s="121"/>
      <c r="F432" s="121"/>
      <c r="G432" s="177"/>
      <c r="H432" s="121"/>
      <c r="I432" s="121"/>
      <c r="J432" s="121"/>
      <c r="K432" s="121"/>
      <c r="L432" s="121"/>
      <c r="M432" s="121"/>
      <c r="N432" s="121"/>
      <c r="O432" s="121"/>
      <c r="P432" s="121"/>
      <c r="Q432" s="121"/>
      <c r="R432" s="121"/>
      <c r="S432" s="121"/>
      <c r="T432" s="121"/>
      <c r="U432" s="121"/>
      <c r="V432" s="121"/>
      <c r="W432" s="121"/>
      <c r="X432" s="121"/>
      <c r="Y432" s="121"/>
      <c r="Z432" s="121"/>
      <c r="AA432" s="123"/>
      <c r="AB432" s="123"/>
      <c r="AC432" s="123"/>
      <c r="AD432" s="123"/>
      <c r="AE432" s="123"/>
      <c r="AF432" s="123"/>
      <c r="AG432" s="123"/>
      <c r="AH432" s="123"/>
      <c r="AI432" s="123"/>
      <c r="AJ432" s="123"/>
      <c r="AK432" s="123"/>
      <c r="AL432" s="123"/>
      <c r="AM432" s="123"/>
      <c r="AN432" s="123"/>
      <c r="AO432" s="123"/>
      <c r="AP432" s="123"/>
      <c r="AQ432" s="123"/>
      <c r="AR432" s="123"/>
      <c r="AS432" s="123"/>
      <c r="AT432" s="123"/>
      <c r="AU432" s="123"/>
      <c r="AV432" s="123"/>
      <c r="AW432" s="123"/>
      <c r="AX432" s="123"/>
    </row>
    <row r="433">
      <c r="A433" s="177"/>
      <c r="B433" s="177"/>
      <c r="C433" s="121"/>
      <c r="D433" s="121"/>
      <c r="E433" s="121"/>
      <c r="F433" s="121"/>
      <c r="G433" s="177"/>
      <c r="H433" s="121"/>
      <c r="I433" s="121"/>
      <c r="J433" s="121"/>
      <c r="K433" s="121"/>
      <c r="L433" s="121"/>
      <c r="M433" s="121"/>
      <c r="N433" s="121"/>
      <c r="O433" s="121"/>
      <c r="P433" s="121"/>
      <c r="Q433" s="121"/>
      <c r="R433" s="121"/>
      <c r="S433" s="121"/>
      <c r="T433" s="121"/>
      <c r="U433" s="121"/>
      <c r="V433" s="121"/>
      <c r="W433" s="121"/>
      <c r="X433" s="121"/>
      <c r="Y433" s="121"/>
      <c r="Z433" s="121"/>
      <c r="AA433" s="123"/>
      <c r="AB433" s="123"/>
      <c r="AC433" s="123"/>
      <c r="AD433" s="123"/>
      <c r="AE433" s="123"/>
      <c r="AF433" s="123"/>
      <c r="AG433" s="123"/>
      <c r="AH433" s="123"/>
      <c r="AI433" s="123"/>
      <c r="AJ433" s="123"/>
      <c r="AK433" s="123"/>
      <c r="AL433" s="123"/>
      <c r="AM433" s="123"/>
      <c r="AN433" s="123"/>
      <c r="AO433" s="123"/>
      <c r="AP433" s="123"/>
      <c r="AQ433" s="123"/>
      <c r="AR433" s="123"/>
      <c r="AS433" s="123"/>
      <c r="AT433" s="123"/>
      <c r="AU433" s="123"/>
      <c r="AV433" s="123"/>
      <c r="AW433" s="123"/>
      <c r="AX433" s="123"/>
    </row>
    <row r="434">
      <c r="A434" s="177"/>
      <c r="B434" s="177"/>
      <c r="C434" s="121"/>
      <c r="D434" s="121"/>
      <c r="E434" s="121"/>
      <c r="F434" s="121"/>
      <c r="G434" s="177"/>
      <c r="H434" s="121"/>
      <c r="I434" s="121"/>
      <c r="J434" s="121"/>
      <c r="K434" s="121"/>
      <c r="L434" s="121"/>
      <c r="M434" s="121"/>
      <c r="N434" s="121"/>
      <c r="O434" s="121"/>
      <c r="P434" s="121"/>
      <c r="Q434" s="121"/>
      <c r="R434" s="121"/>
      <c r="S434" s="121"/>
      <c r="T434" s="121"/>
      <c r="U434" s="121"/>
      <c r="V434" s="121"/>
      <c r="W434" s="121"/>
      <c r="X434" s="121"/>
      <c r="Y434" s="121"/>
      <c r="Z434" s="121"/>
      <c r="AA434" s="123"/>
      <c r="AB434" s="123"/>
      <c r="AC434" s="123"/>
      <c r="AD434" s="123"/>
      <c r="AE434" s="123"/>
      <c r="AF434" s="123"/>
      <c r="AG434" s="123"/>
      <c r="AH434" s="123"/>
      <c r="AI434" s="123"/>
      <c r="AJ434" s="123"/>
      <c r="AK434" s="123"/>
      <c r="AL434" s="123"/>
      <c r="AM434" s="123"/>
      <c r="AN434" s="123"/>
      <c r="AO434" s="123"/>
      <c r="AP434" s="123"/>
      <c r="AQ434" s="123"/>
      <c r="AR434" s="123"/>
      <c r="AS434" s="123"/>
      <c r="AT434" s="123"/>
      <c r="AU434" s="123"/>
      <c r="AV434" s="123"/>
      <c r="AW434" s="123"/>
      <c r="AX434" s="123"/>
    </row>
    <row r="435">
      <c r="A435" s="177"/>
      <c r="B435" s="177"/>
      <c r="C435" s="121"/>
      <c r="D435" s="121"/>
      <c r="E435" s="121"/>
      <c r="F435" s="121"/>
      <c r="G435" s="177"/>
      <c r="H435" s="121"/>
      <c r="I435" s="121"/>
      <c r="J435" s="121"/>
      <c r="K435" s="121"/>
      <c r="L435" s="121"/>
      <c r="M435" s="121"/>
      <c r="N435" s="121"/>
      <c r="O435" s="121"/>
      <c r="P435" s="121"/>
      <c r="Q435" s="121"/>
      <c r="R435" s="121"/>
      <c r="S435" s="121"/>
      <c r="T435" s="121"/>
      <c r="U435" s="121"/>
      <c r="V435" s="121"/>
      <c r="W435" s="121"/>
      <c r="X435" s="121"/>
      <c r="Y435" s="121"/>
      <c r="Z435" s="121"/>
      <c r="AA435" s="123"/>
      <c r="AB435" s="123"/>
      <c r="AC435" s="123"/>
      <c r="AD435" s="123"/>
      <c r="AE435" s="123"/>
      <c r="AF435" s="123"/>
      <c r="AG435" s="123"/>
      <c r="AH435" s="123"/>
      <c r="AI435" s="123"/>
      <c r="AJ435" s="123"/>
      <c r="AK435" s="123"/>
      <c r="AL435" s="123"/>
      <c r="AM435" s="123"/>
      <c r="AN435" s="123"/>
      <c r="AO435" s="123"/>
      <c r="AP435" s="123"/>
      <c r="AQ435" s="123"/>
      <c r="AR435" s="123"/>
      <c r="AS435" s="123"/>
      <c r="AT435" s="123"/>
      <c r="AU435" s="123"/>
      <c r="AV435" s="123"/>
      <c r="AW435" s="123"/>
      <c r="AX435" s="123"/>
    </row>
    <row r="436">
      <c r="A436" s="177"/>
      <c r="B436" s="177"/>
      <c r="C436" s="121"/>
      <c r="D436" s="121"/>
      <c r="E436" s="121"/>
      <c r="F436" s="121"/>
      <c r="G436" s="177"/>
      <c r="H436" s="121"/>
      <c r="I436" s="121"/>
      <c r="J436" s="121"/>
      <c r="K436" s="121"/>
      <c r="L436" s="121"/>
      <c r="M436" s="121"/>
      <c r="N436" s="121"/>
      <c r="O436" s="121"/>
      <c r="P436" s="121"/>
      <c r="Q436" s="121"/>
      <c r="R436" s="121"/>
      <c r="S436" s="121"/>
      <c r="T436" s="121"/>
      <c r="U436" s="121"/>
      <c r="V436" s="121"/>
      <c r="W436" s="121"/>
      <c r="X436" s="121"/>
      <c r="Y436" s="121"/>
      <c r="Z436" s="121"/>
      <c r="AA436" s="123"/>
      <c r="AB436" s="123"/>
      <c r="AC436" s="123"/>
      <c r="AD436" s="123"/>
      <c r="AE436" s="123"/>
      <c r="AF436" s="123"/>
      <c r="AG436" s="123"/>
      <c r="AH436" s="123"/>
      <c r="AI436" s="123"/>
      <c r="AJ436" s="123"/>
      <c r="AK436" s="123"/>
      <c r="AL436" s="123"/>
      <c r="AM436" s="123"/>
      <c r="AN436" s="123"/>
      <c r="AO436" s="123"/>
      <c r="AP436" s="123"/>
      <c r="AQ436" s="123"/>
      <c r="AR436" s="123"/>
      <c r="AS436" s="123"/>
      <c r="AT436" s="123"/>
      <c r="AU436" s="123"/>
      <c r="AV436" s="123"/>
      <c r="AW436" s="123"/>
      <c r="AX436" s="123"/>
    </row>
    <row r="437">
      <c r="A437" s="177"/>
      <c r="B437" s="177"/>
      <c r="C437" s="121"/>
      <c r="D437" s="121"/>
      <c r="E437" s="121"/>
      <c r="F437" s="121"/>
      <c r="G437" s="177"/>
      <c r="H437" s="121"/>
      <c r="I437" s="121"/>
      <c r="J437" s="121"/>
      <c r="K437" s="121"/>
      <c r="L437" s="121"/>
      <c r="M437" s="121"/>
      <c r="N437" s="121"/>
      <c r="O437" s="121"/>
      <c r="P437" s="121"/>
      <c r="Q437" s="121"/>
      <c r="R437" s="121"/>
      <c r="S437" s="121"/>
      <c r="T437" s="121"/>
      <c r="U437" s="121"/>
      <c r="V437" s="121"/>
      <c r="W437" s="121"/>
      <c r="X437" s="121"/>
      <c r="Y437" s="121"/>
      <c r="Z437" s="121"/>
      <c r="AA437" s="123"/>
      <c r="AB437" s="123"/>
      <c r="AC437" s="123"/>
      <c r="AD437" s="123"/>
      <c r="AE437" s="123"/>
      <c r="AF437" s="123"/>
      <c r="AG437" s="123"/>
      <c r="AH437" s="123"/>
      <c r="AI437" s="123"/>
      <c r="AJ437" s="123"/>
      <c r="AK437" s="123"/>
      <c r="AL437" s="123"/>
      <c r="AM437" s="123"/>
      <c r="AN437" s="123"/>
      <c r="AO437" s="123"/>
      <c r="AP437" s="123"/>
      <c r="AQ437" s="123"/>
      <c r="AR437" s="123"/>
      <c r="AS437" s="123"/>
      <c r="AT437" s="123"/>
      <c r="AU437" s="123"/>
      <c r="AV437" s="123"/>
      <c r="AW437" s="123"/>
      <c r="AX437" s="123"/>
    </row>
    <row r="438">
      <c r="A438" s="177"/>
      <c r="B438" s="177"/>
      <c r="C438" s="121"/>
      <c r="D438" s="121"/>
      <c r="E438" s="121"/>
      <c r="F438" s="121"/>
      <c r="G438" s="177"/>
      <c r="H438" s="121"/>
      <c r="I438" s="121"/>
      <c r="J438" s="121"/>
      <c r="K438" s="121"/>
      <c r="L438" s="121"/>
      <c r="M438" s="121"/>
      <c r="N438" s="121"/>
      <c r="O438" s="121"/>
      <c r="P438" s="121"/>
      <c r="Q438" s="121"/>
      <c r="R438" s="121"/>
      <c r="S438" s="121"/>
      <c r="T438" s="121"/>
      <c r="U438" s="121"/>
      <c r="V438" s="121"/>
      <c r="W438" s="121"/>
      <c r="X438" s="121"/>
      <c r="Y438" s="121"/>
      <c r="Z438" s="121"/>
      <c r="AA438" s="123"/>
      <c r="AB438" s="123"/>
      <c r="AC438" s="123"/>
      <c r="AD438" s="123"/>
      <c r="AE438" s="123"/>
      <c r="AF438" s="123"/>
      <c r="AG438" s="123"/>
      <c r="AH438" s="123"/>
      <c r="AI438" s="123"/>
      <c r="AJ438" s="123"/>
      <c r="AK438" s="123"/>
      <c r="AL438" s="123"/>
      <c r="AM438" s="123"/>
      <c r="AN438" s="123"/>
      <c r="AO438" s="123"/>
      <c r="AP438" s="123"/>
      <c r="AQ438" s="123"/>
      <c r="AR438" s="123"/>
      <c r="AS438" s="123"/>
      <c r="AT438" s="123"/>
      <c r="AU438" s="123"/>
      <c r="AV438" s="123"/>
      <c r="AW438" s="123"/>
      <c r="AX438" s="123"/>
    </row>
    <row r="439">
      <c r="A439" s="173"/>
      <c r="B439" s="174"/>
      <c r="C439" s="175"/>
      <c r="D439" s="175"/>
      <c r="E439" s="71"/>
      <c r="F439" s="174"/>
      <c r="G439" s="174"/>
      <c r="H439" s="173"/>
      <c r="I439" s="173"/>
      <c r="J439" s="174"/>
      <c r="K439" s="71"/>
      <c r="L439" s="174"/>
      <c r="M439" s="174"/>
      <c r="N439" s="174"/>
      <c r="O439" s="174"/>
      <c r="P439" s="174"/>
      <c r="Q439" s="174"/>
      <c r="R439" s="174"/>
      <c r="S439" s="174"/>
      <c r="T439" s="174"/>
      <c r="U439" s="176"/>
      <c r="V439" s="174"/>
      <c r="W439" s="71"/>
      <c r="X439" s="174"/>
      <c r="Y439" s="136"/>
      <c r="Z439" s="71"/>
      <c r="AA439" s="77"/>
      <c r="AB439" s="77"/>
      <c r="AC439" s="77"/>
      <c r="AD439" s="77"/>
      <c r="AE439" s="77"/>
      <c r="AF439" s="77"/>
      <c r="AG439" s="77"/>
      <c r="AH439" s="77"/>
      <c r="AI439" s="77"/>
      <c r="AJ439" s="77"/>
      <c r="AK439" s="77"/>
      <c r="AL439" s="77"/>
      <c r="AM439" s="77"/>
      <c r="AN439" s="77"/>
      <c r="AO439" s="77"/>
      <c r="AP439" s="77"/>
      <c r="AQ439" s="77"/>
      <c r="AR439" s="77"/>
      <c r="AS439" s="77"/>
      <c r="AT439" s="77"/>
      <c r="AU439" s="77"/>
      <c r="AV439" s="77"/>
      <c r="AW439" s="77"/>
      <c r="AX439" s="77"/>
    </row>
    <row r="440">
      <c r="A440" s="173"/>
      <c r="B440" s="174"/>
      <c r="C440" s="175"/>
      <c r="D440" s="175"/>
      <c r="E440" s="71"/>
      <c r="F440" s="174"/>
      <c r="G440" s="174"/>
      <c r="H440" s="173"/>
      <c r="I440" s="173"/>
      <c r="J440" s="174"/>
      <c r="K440" s="71"/>
      <c r="L440" s="174"/>
      <c r="M440" s="174"/>
      <c r="N440" s="174"/>
      <c r="O440" s="174"/>
      <c r="P440" s="174"/>
      <c r="Q440" s="174"/>
      <c r="R440" s="174"/>
      <c r="S440" s="71"/>
      <c r="T440" s="71"/>
      <c r="U440" s="176"/>
      <c r="V440" s="71"/>
      <c r="W440" s="174"/>
      <c r="X440" s="174"/>
      <c r="Y440" s="136"/>
      <c r="Z440" s="71"/>
      <c r="AA440" s="77"/>
      <c r="AB440" s="77"/>
      <c r="AC440" s="77"/>
      <c r="AD440" s="77"/>
      <c r="AE440" s="77"/>
      <c r="AF440" s="77"/>
      <c r="AG440" s="77"/>
      <c r="AH440" s="77"/>
      <c r="AI440" s="77"/>
      <c r="AJ440" s="77"/>
      <c r="AK440" s="77"/>
      <c r="AL440" s="77"/>
      <c r="AM440" s="77"/>
      <c r="AN440" s="77"/>
      <c r="AO440" s="77"/>
      <c r="AP440" s="77"/>
      <c r="AQ440" s="77"/>
      <c r="AR440" s="77"/>
      <c r="AS440" s="77"/>
      <c r="AT440" s="77"/>
      <c r="AU440" s="77"/>
      <c r="AV440" s="77"/>
      <c r="AW440" s="77"/>
      <c r="AX440" s="77"/>
    </row>
    <row r="441">
      <c r="A441" s="177"/>
      <c r="B441" s="177"/>
      <c r="C441" s="121"/>
      <c r="D441" s="121"/>
      <c r="E441" s="121"/>
      <c r="F441" s="121"/>
      <c r="G441" s="177"/>
      <c r="H441" s="121"/>
      <c r="I441" s="121"/>
      <c r="J441" s="121"/>
      <c r="K441" s="121"/>
      <c r="L441" s="121"/>
      <c r="M441" s="121"/>
      <c r="N441" s="121"/>
      <c r="O441" s="121"/>
      <c r="P441" s="121"/>
      <c r="Q441" s="121"/>
      <c r="R441" s="121"/>
      <c r="S441" s="121"/>
      <c r="T441" s="121"/>
      <c r="U441" s="121"/>
      <c r="V441" s="121"/>
      <c r="W441" s="121"/>
      <c r="X441" s="121"/>
      <c r="Y441" s="121"/>
      <c r="Z441" s="121"/>
      <c r="AA441" s="123"/>
      <c r="AB441" s="123"/>
      <c r="AC441" s="123"/>
      <c r="AD441" s="123"/>
      <c r="AE441" s="123"/>
      <c r="AF441" s="123"/>
      <c r="AG441" s="123"/>
      <c r="AH441" s="123"/>
      <c r="AI441" s="123"/>
      <c r="AJ441" s="123"/>
      <c r="AK441" s="123"/>
      <c r="AL441" s="123"/>
      <c r="AM441" s="123"/>
      <c r="AN441" s="123"/>
      <c r="AO441" s="123"/>
      <c r="AP441" s="123"/>
      <c r="AQ441" s="123"/>
      <c r="AR441" s="123"/>
      <c r="AS441" s="123"/>
      <c r="AT441" s="123"/>
      <c r="AU441" s="123"/>
      <c r="AV441" s="123"/>
      <c r="AW441" s="123"/>
      <c r="AX441" s="123"/>
    </row>
    <row r="442">
      <c r="A442" s="177"/>
      <c r="B442" s="177"/>
      <c r="C442" s="121"/>
      <c r="D442" s="121"/>
      <c r="E442" s="121"/>
      <c r="F442" s="121"/>
      <c r="G442" s="177"/>
      <c r="H442" s="121"/>
      <c r="I442" s="121"/>
      <c r="J442" s="121"/>
      <c r="K442" s="121"/>
      <c r="L442" s="121"/>
      <c r="M442" s="121"/>
      <c r="N442" s="121"/>
      <c r="O442" s="121"/>
      <c r="P442" s="121"/>
      <c r="Q442" s="121"/>
      <c r="R442" s="121"/>
      <c r="S442" s="121"/>
      <c r="T442" s="121"/>
      <c r="U442" s="121"/>
      <c r="V442" s="121"/>
      <c r="W442" s="121"/>
      <c r="X442" s="121"/>
      <c r="Y442" s="121"/>
      <c r="Z442" s="121"/>
      <c r="AA442" s="123"/>
      <c r="AB442" s="123"/>
      <c r="AC442" s="123"/>
      <c r="AD442" s="123"/>
      <c r="AE442" s="123"/>
      <c r="AF442" s="123"/>
      <c r="AG442" s="123"/>
      <c r="AH442" s="123"/>
      <c r="AI442" s="123"/>
      <c r="AJ442" s="123"/>
      <c r="AK442" s="123"/>
      <c r="AL442" s="123"/>
      <c r="AM442" s="123"/>
      <c r="AN442" s="123"/>
      <c r="AO442" s="123"/>
      <c r="AP442" s="123"/>
      <c r="AQ442" s="123"/>
      <c r="AR442" s="123"/>
      <c r="AS442" s="123"/>
      <c r="AT442" s="123"/>
      <c r="AU442" s="123"/>
      <c r="AV442" s="123"/>
      <c r="AW442" s="123"/>
      <c r="AX442" s="123"/>
    </row>
    <row r="443">
      <c r="A443" s="177"/>
      <c r="B443" s="177"/>
      <c r="C443" s="121"/>
      <c r="D443" s="121"/>
      <c r="E443" s="121"/>
      <c r="F443" s="121"/>
      <c r="G443" s="177"/>
      <c r="H443" s="121"/>
      <c r="I443" s="121"/>
      <c r="J443" s="121"/>
      <c r="K443" s="121"/>
      <c r="L443" s="121"/>
      <c r="M443" s="121"/>
      <c r="N443" s="121"/>
      <c r="O443" s="121"/>
      <c r="P443" s="121"/>
      <c r="Q443" s="121"/>
      <c r="R443" s="121"/>
      <c r="S443" s="121"/>
      <c r="T443" s="121"/>
      <c r="U443" s="121"/>
      <c r="V443" s="121"/>
      <c r="W443" s="121"/>
      <c r="X443" s="121"/>
      <c r="Y443" s="121"/>
      <c r="Z443" s="121"/>
      <c r="AA443" s="123"/>
      <c r="AB443" s="123"/>
      <c r="AC443" s="123"/>
      <c r="AD443" s="123"/>
      <c r="AE443" s="123"/>
      <c r="AF443" s="123"/>
      <c r="AG443" s="123"/>
      <c r="AH443" s="123"/>
      <c r="AI443" s="123"/>
      <c r="AJ443" s="123"/>
      <c r="AK443" s="123"/>
      <c r="AL443" s="123"/>
      <c r="AM443" s="123"/>
      <c r="AN443" s="123"/>
      <c r="AO443" s="123"/>
      <c r="AP443" s="123"/>
      <c r="AQ443" s="123"/>
      <c r="AR443" s="123"/>
      <c r="AS443" s="123"/>
      <c r="AT443" s="123"/>
      <c r="AU443" s="123"/>
      <c r="AV443" s="123"/>
      <c r="AW443" s="123"/>
      <c r="AX443" s="123"/>
    </row>
    <row r="444">
      <c r="A444" s="177"/>
      <c r="B444" s="177"/>
      <c r="C444" s="121"/>
      <c r="D444" s="121"/>
      <c r="E444" s="121"/>
      <c r="F444" s="121"/>
      <c r="G444" s="177"/>
      <c r="H444" s="121"/>
      <c r="I444" s="121"/>
      <c r="J444" s="121"/>
      <c r="K444" s="121"/>
      <c r="L444" s="121"/>
      <c r="M444" s="121"/>
      <c r="N444" s="121"/>
      <c r="O444" s="121"/>
      <c r="P444" s="121"/>
      <c r="Q444" s="121"/>
      <c r="R444" s="121"/>
      <c r="S444" s="121"/>
      <c r="T444" s="121"/>
      <c r="U444" s="121"/>
      <c r="V444" s="121"/>
      <c r="W444" s="121"/>
      <c r="X444" s="121"/>
      <c r="Y444" s="121"/>
      <c r="Z444" s="121"/>
      <c r="AA444" s="123"/>
      <c r="AB444" s="123"/>
      <c r="AC444" s="123"/>
      <c r="AD444" s="123"/>
      <c r="AE444" s="123"/>
      <c r="AF444" s="123"/>
      <c r="AG444" s="123"/>
      <c r="AH444" s="123"/>
      <c r="AI444" s="123"/>
      <c r="AJ444" s="123"/>
      <c r="AK444" s="123"/>
      <c r="AL444" s="123"/>
      <c r="AM444" s="123"/>
      <c r="AN444" s="123"/>
      <c r="AO444" s="123"/>
      <c r="AP444" s="123"/>
      <c r="AQ444" s="123"/>
      <c r="AR444" s="123"/>
      <c r="AS444" s="123"/>
      <c r="AT444" s="123"/>
      <c r="AU444" s="123"/>
      <c r="AV444" s="123"/>
      <c r="AW444" s="123"/>
      <c r="AX444" s="123"/>
    </row>
    <row r="445">
      <c r="A445" s="177"/>
      <c r="B445" s="177"/>
      <c r="C445" s="121"/>
      <c r="D445" s="121"/>
      <c r="E445" s="121"/>
      <c r="F445" s="121"/>
      <c r="G445" s="177"/>
      <c r="H445" s="121"/>
      <c r="I445" s="121"/>
      <c r="J445" s="121"/>
      <c r="K445" s="121"/>
      <c r="L445" s="121"/>
      <c r="M445" s="121"/>
      <c r="N445" s="121"/>
      <c r="O445" s="121"/>
      <c r="P445" s="121"/>
      <c r="Q445" s="121"/>
      <c r="R445" s="121"/>
      <c r="S445" s="121"/>
      <c r="T445" s="121"/>
      <c r="U445" s="121"/>
      <c r="V445" s="121"/>
      <c r="W445" s="121"/>
      <c r="X445" s="121"/>
      <c r="Y445" s="121"/>
      <c r="Z445" s="121"/>
      <c r="AA445" s="123"/>
      <c r="AB445" s="123"/>
      <c r="AC445" s="123"/>
      <c r="AD445" s="123"/>
      <c r="AE445" s="123"/>
      <c r="AF445" s="123"/>
      <c r="AG445" s="123"/>
      <c r="AH445" s="123"/>
      <c r="AI445" s="123"/>
      <c r="AJ445" s="123"/>
      <c r="AK445" s="123"/>
      <c r="AL445" s="123"/>
      <c r="AM445" s="123"/>
      <c r="AN445" s="123"/>
      <c r="AO445" s="123"/>
      <c r="AP445" s="123"/>
      <c r="AQ445" s="123"/>
      <c r="AR445" s="123"/>
      <c r="AS445" s="123"/>
      <c r="AT445" s="123"/>
      <c r="AU445" s="123"/>
      <c r="AV445" s="123"/>
      <c r="AW445" s="123"/>
      <c r="AX445" s="123"/>
    </row>
    <row r="446">
      <c r="A446" s="177"/>
      <c r="B446" s="177"/>
      <c r="C446" s="121"/>
      <c r="D446" s="121"/>
      <c r="E446" s="121"/>
      <c r="F446" s="121"/>
      <c r="G446" s="177"/>
      <c r="H446" s="121"/>
      <c r="I446" s="121"/>
      <c r="J446" s="121"/>
      <c r="K446" s="121"/>
      <c r="L446" s="121"/>
      <c r="M446" s="121"/>
      <c r="N446" s="121"/>
      <c r="O446" s="121"/>
      <c r="P446" s="121"/>
      <c r="Q446" s="121"/>
      <c r="R446" s="121"/>
      <c r="S446" s="121"/>
      <c r="T446" s="121"/>
      <c r="U446" s="121"/>
      <c r="V446" s="121"/>
      <c r="W446" s="121"/>
      <c r="X446" s="121"/>
      <c r="Y446" s="121"/>
      <c r="Z446" s="121"/>
      <c r="AA446" s="123"/>
      <c r="AB446" s="123"/>
      <c r="AC446" s="123"/>
      <c r="AD446" s="123"/>
      <c r="AE446" s="123"/>
      <c r="AF446" s="123"/>
      <c r="AG446" s="123"/>
      <c r="AH446" s="123"/>
      <c r="AI446" s="123"/>
      <c r="AJ446" s="123"/>
      <c r="AK446" s="123"/>
      <c r="AL446" s="123"/>
      <c r="AM446" s="123"/>
      <c r="AN446" s="123"/>
      <c r="AO446" s="123"/>
      <c r="AP446" s="123"/>
      <c r="AQ446" s="123"/>
      <c r="AR446" s="123"/>
      <c r="AS446" s="123"/>
      <c r="AT446" s="123"/>
      <c r="AU446" s="123"/>
      <c r="AV446" s="123"/>
      <c r="AW446" s="123"/>
      <c r="AX446" s="123"/>
    </row>
    <row r="447">
      <c r="A447" s="177"/>
      <c r="B447" s="177"/>
      <c r="C447" s="121"/>
      <c r="D447" s="121"/>
      <c r="E447" s="121"/>
      <c r="F447" s="121"/>
      <c r="G447" s="177"/>
      <c r="H447" s="121"/>
      <c r="I447" s="121"/>
      <c r="J447" s="121"/>
      <c r="K447" s="121"/>
      <c r="L447" s="121"/>
      <c r="M447" s="121"/>
      <c r="N447" s="121"/>
      <c r="O447" s="121"/>
      <c r="P447" s="121"/>
      <c r="Q447" s="121"/>
      <c r="R447" s="121"/>
      <c r="S447" s="121"/>
      <c r="T447" s="121"/>
      <c r="U447" s="121"/>
      <c r="V447" s="121"/>
      <c r="W447" s="121"/>
      <c r="X447" s="121"/>
      <c r="Y447" s="121"/>
      <c r="Z447" s="121"/>
      <c r="AA447" s="123"/>
      <c r="AB447" s="123"/>
      <c r="AC447" s="123"/>
      <c r="AD447" s="123"/>
      <c r="AE447" s="123"/>
      <c r="AF447" s="123"/>
      <c r="AG447" s="123"/>
      <c r="AH447" s="123"/>
      <c r="AI447" s="123"/>
      <c r="AJ447" s="123"/>
      <c r="AK447" s="123"/>
      <c r="AL447" s="123"/>
      <c r="AM447" s="123"/>
      <c r="AN447" s="123"/>
      <c r="AO447" s="123"/>
      <c r="AP447" s="123"/>
      <c r="AQ447" s="123"/>
      <c r="AR447" s="123"/>
      <c r="AS447" s="123"/>
      <c r="AT447" s="123"/>
      <c r="AU447" s="123"/>
      <c r="AV447" s="123"/>
      <c r="AW447" s="123"/>
      <c r="AX447" s="123"/>
    </row>
    <row r="448">
      <c r="A448" s="177"/>
      <c r="B448" s="177"/>
      <c r="C448" s="121"/>
      <c r="D448" s="121"/>
      <c r="E448" s="121"/>
      <c r="F448" s="121"/>
      <c r="G448" s="177"/>
      <c r="H448" s="121"/>
      <c r="I448" s="121"/>
      <c r="J448" s="121"/>
      <c r="K448" s="121"/>
      <c r="L448" s="121"/>
      <c r="M448" s="121"/>
      <c r="N448" s="121"/>
      <c r="O448" s="121"/>
      <c r="P448" s="121"/>
      <c r="Q448" s="121"/>
      <c r="R448" s="121"/>
      <c r="S448" s="121"/>
      <c r="T448" s="121"/>
      <c r="U448" s="121"/>
      <c r="V448" s="121"/>
      <c r="W448" s="121"/>
      <c r="X448" s="121"/>
      <c r="Y448" s="121"/>
      <c r="Z448" s="121"/>
      <c r="AA448" s="123"/>
      <c r="AB448" s="123"/>
      <c r="AC448" s="123"/>
      <c r="AD448" s="123"/>
      <c r="AE448" s="123"/>
      <c r="AF448" s="123"/>
      <c r="AG448" s="123"/>
      <c r="AH448" s="123"/>
      <c r="AI448" s="123"/>
      <c r="AJ448" s="123"/>
      <c r="AK448" s="123"/>
      <c r="AL448" s="123"/>
      <c r="AM448" s="123"/>
      <c r="AN448" s="123"/>
      <c r="AO448" s="123"/>
      <c r="AP448" s="123"/>
      <c r="AQ448" s="123"/>
      <c r="AR448" s="123"/>
      <c r="AS448" s="123"/>
      <c r="AT448" s="123"/>
      <c r="AU448" s="123"/>
      <c r="AV448" s="123"/>
      <c r="AW448" s="123"/>
      <c r="AX448" s="123"/>
    </row>
    <row r="449">
      <c r="A449" s="177"/>
      <c r="B449" s="177"/>
      <c r="C449" s="121"/>
      <c r="D449" s="121"/>
      <c r="E449" s="121"/>
      <c r="F449" s="121"/>
      <c r="G449" s="177"/>
      <c r="H449" s="121"/>
      <c r="I449" s="121"/>
      <c r="J449" s="121"/>
      <c r="K449" s="121"/>
      <c r="L449" s="121"/>
      <c r="M449" s="121"/>
      <c r="N449" s="121"/>
      <c r="O449" s="121"/>
      <c r="P449" s="121"/>
      <c r="Q449" s="121"/>
      <c r="R449" s="121"/>
      <c r="S449" s="121"/>
      <c r="T449" s="121"/>
      <c r="U449" s="121"/>
      <c r="V449" s="121"/>
      <c r="W449" s="121"/>
      <c r="X449" s="121"/>
      <c r="Y449" s="121"/>
      <c r="Z449" s="121"/>
      <c r="AA449" s="123"/>
      <c r="AB449" s="123"/>
      <c r="AC449" s="123"/>
      <c r="AD449" s="123"/>
      <c r="AE449" s="123"/>
      <c r="AF449" s="123"/>
      <c r="AG449" s="123"/>
      <c r="AH449" s="123"/>
      <c r="AI449" s="123"/>
      <c r="AJ449" s="123"/>
      <c r="AK449" s="123"/>
      <c r="AL449" s="123"/>
      <c r="AM449" s="123"/>
      <c r="AN449" s="123"/>
      <c r="AO449" s="123"/>
      <c r="AP449" s="123"/>
      <c r="AQ449" s="123"/>
      <c r="AR449" s="123"/>
      <c r="AS449" s="123"/>
      <c r="AT449" s="123"/>
      <c r="AU449" s="123"/>
      <c r="AV449" s="123"/>
      <c r="AW449" s="123"/>
      <c r="AX449" s="123"/>
    </row>
    <row r="450">
      <c r="A450" s="177"/>
      <c r="B450" s="177"/>
      <c r="C450" s="121"/>
      <c r="D450" s="121"/>
      <c r="E450" s="121"/>
      <c r="F450" s="121"/>
      <c r="G450" s="177"/>
      <c r="H450" s="121"/>
      <c r="I450" s="121"/>
      <c r="J450" s="121"/>
      <c r="K450" s="121"/>
      <c r="L450" s="121"/>
      <c r="M450" s="121"/>
      <c r="N450" s="121"/>
      <c r="O450" s="121"/>
      <c r="P450" s="121"/>
      <c r="Q450" s="121"/>
      <c r="R450" s="121"/>
      <c r="S450" s="121"/>
      <c r="T450" s="121"/>
      <c r="U450" s="121"/>
      <c r="V450" s="121"/>
      <c r="W450" s="121"/>
      <c r="X450" s="121"/>
      <c r="Y450" s="121"/>
      <c r="Z450" s="121"/>
      <c r="AA450" s="123"/>
      <c r="AB450" s="123"/>
      <c r="AC450" s="123"/>
      <c r="AD450" s="123"/>
      <c r="AE450" s="123"/>
      <c r="AF450" s="123"/>
      <c r="AG450" s="123"/>
      <c r="AH450" s="123"/>
      <c r="AI450" s="123"/>
      <c r="AJ450" s="123"/>
      <c r="AK450" s="123"/>
      <c r="AL450" s="123"/>
      <c r="AM450" s="123"/>
      <c r="AN450" s="123"/>
      <c r="AO450" s="123"/>
      <c r="AP450" s="123"/>
      <c r="AQ450" s="123"/>
      <c r="AR450" s="123"/>
      <c r="AS450" s="123"/>
      <c r="AT450" s="123"/>
      <c r="AU450" s="123"/>
      <c r="AV450" s="123"/>
      <c r="AW450" s="123"/>
      <c r="AX450" s="123"/>
    </row>
    <row r="451">
      <c r="A451" s="177"/>
      <c r="B451" s="177"/>
      <c r="C451" s="121"/>
      <c r="D451" s="121"/>
      <c r="E451" s="121"/>
      <c r="F451" s="121"/>
      <c r="G451" s="177"/>
      <c r="H451" s="121"/>
      <c r="I451" s="121"/>
      <c r="J451" s="121"/>
      <c r="K451" s="121"/>
      <c r="L451" s="121"/>
      <c r="M451" s="121"/>
      <c r="N451" s="121"/>
      <c r="O451" s="121"/>
      <c r="P451" s="121"/>
      <c r="Q451" s="121"/>
      <c r="R451" s="121"/>
      <c r="S451" s="121"/>
      <c r="T451" s="121"/>
      <c r="U451" s="121"/>
      <c r="V451" s="121"/>
      <c r="W451" s="121"/>
      <c r="X451" s="121"/>
      <c r="Y451" s="121"/>
      <c r="Z451" s="121"/>
      <c r="AA451" s="123"/>
      <c r="AB451" s="123"/>
      <c r="AC451" s="123"/>
      <c r="AD451" s="123"/>
      <c r="AE451" s="123"/>
      <c r="AF451" s="123"/>
      <c r="AG451" s="123"/>
      <c r="AH451" s="123"/>
      <c r="AI451" s="123"/>
      <c r="AJ451" s="123"/>
      <c r="AK451" s="123"/>
      <c r="AL451" s="123"/>
      <c r="AM451" s="123"/>
      <c r="AN451" s="123"/>
      <c r="AO451" s="123"/>
      <c r="AP451" s="123"/>
      <c r="AQ451" s="123"/>
      <c r="AR451" s="123"/>
      <c r="AS451" s="123"/>
      <c r="AT451" s="123"/>
      <c r="AU451" s="123"/>
      <c r="AV451" s="123"/>
      <c r="AW451" s="123"/>
      <c r="AX451" s="123"/>
    </row>
    <row r="452">
      <c r="A452" s="177"/>
      <c r="B452" s="177"/>
      <c r="C452" s="121"/>
      <c r="D452" s="121"/>
      <c r="E452" s="121"/>
      <c r="F452" s="121"/>
      <c r="G452" s="177"/>
      <c r="H452" s="121"/>
      <c r="I452" s="121"/>
      <c r="J452" s="121"/>
      <c r="K452" s="121"/>
      <c r="L452" s="121"/>
      <c r="M452" s="121"/>
      <c r="N452" s="121"/>
      <c r="O452" s="121"/>
      <c r="P452" s="121"/>
      <c r="Q452" s="121"/>
      <c r="R452" s="121"/>
      <c r="S452" s="121"/>
      <c r="T452" s="121"/>
      <c r="U452" s="121"/>
      <c r="V452" s="121"/>
      <c r="W452" s="121"/>
      <c r="X452" s="121"/>
      <c r="Y452" s="121"/>
      <c r="Z452" s="121"/>
      <c r="AA452" s="123"/>
      <c r="AB452" s="123"/>
      <c r="AC452" s="123"/>
      <c r="AD452" s="123"/>
      <c r="AE452" s="123"/>
      <c r="AF452" s="123"/>
      <c r="AG452" s="123"/>
      <c r="AH452" s="123"/>
      <c r="AI452" s="123"/>
      <c r="AJ452" s="123"/>
      <c r="AK452" s="123"/>
      <c r="AL452" s="123"/>
      <c r="AM452" s="123"/>
      <c r="AN452" s="123"/>
      <c r="AO452" s="123"/>
      <c r="AP452" s="123"/>
      <c r="AQ452" s="123"/>
      <c r="AR452" s="123"/>
      <c r="AS452" s="123"/>
      <c r="AT452" s="123"/>
      <c r="AU452" s="123"/>
      <c r="AV452" s="123"/>
      <c r="AW452" s="123"/>
      <c r="AX452" s="123"/>
    </row>
    <row r="453">
      <c r="A453" s="177"/>
      <c r="B453" s="177"/>
      <c r="C453" s="121"/>
      <c r="D453" s="121"/>
      <c r="E453" s="121"/>
      <c r="F453" s="121"/>
      <c r="G453" s="177"/>
      <c r="H453" s="121"/>
      <c r="I453" s="121"/>
      <c r="J453" s="121"/>
      <c r="K453" s="121"/>
      <c r="L453" s="121"/>
      <c r="M453" s="121"/>
      <c r="N453" s="121"/>
      <c r="O453" s="121"/>
      <c r="P453" s="121"/>
      <c r="Q453" s="121"/>
      <c r="R453" s="121"/>
      <c r="S453" s="121"/>
      <c r="T453" s="121"/>
      <c r="U453" s="121"/>
      <c r="V453" s="121"/>
      <c r="W453" s="121"/>
      <c r="X453" s="121"/>
      <c r="Y453" s="121"/>
      <c r="Z453" s="121"/>
      <c r="AA453" s="123"/>
      <c r="AB453" s="123"/>
      <c r="AC453" s="123"/>
      <c r="AD453" s="123"/>
      <c r="AE453" s="123"/>
      <c r="AF453" s="123"/>
      <c r="AG453" s="123"/>
      <c r="AH453" s="123"/>
      <c r="AI453" s="123"/>
      <c r="AJ453" s="123"/>
      <c r="AK453" s="123"/>
      <c r="AL453" s="123"/>
      <c r="AM453" s="123"/>
      <c r="AN453" s="123"/>
      <c r="AO453" s="123"/>
      <c r="AP453" s="123"/>
      <c r="AQ453" s="123"/>
      <c r="AR453" s="123"/>
      <c r="AS453" s="123"/>
      <c r="AT453" s="123"/>
      <c r="AU453" s="123"/>
      <c r="AV453" s="123"/>
      <c r="AW453" s="123"/>
      <c r="AX453" s="123"/>
    </row>
    <row r="454">
      <c r="A454" s="177"/>
      <c r="B454" s="177"/>
      <c r="C454" s="121"/>
      <c r="D454" s="121"/>
      <c r="E454" s="121"/>
      <c r="F454" s="121"/>
      <c r="G454" s="177"/>
      <c r="H454" s="121"/>
      <c r="I454" s="121"/>
      <c r="J454" s="121"/>
      <c r="K454" s="121"/>
      <c r="L454" s="121"/>
      <c r="M454" s="121"/>
      <c r="N454" s="121"/>
      <c r="O454" s="121"/>
      <c r="P454" s="121"/>
      <c r="Q454" s="121"/>
      <c r="R454" s="121"/>
      <c r="S454" s="121"/>
      <c r="T454" s="121"/>
      <c r="U454" s="121"/>
      <c r="V454" s="121"/>
      <c r="W454" s="121"/>
      <c r="X454" s="121"/>
      <c r="Y454" s="121"/>
      <c r="Z454" s="121"/>
      <c r="AA454" s="123"/>
      <c r="AB454" s="123"/>
      <c r="AC454" s="123"/>
      <c r="AD454" s="123"/>
      <c r="AE454" s="123"/>
      <c r="AF454" s="123"/>
      <c r="AG454" s="123"/>
      <c r="AH454" s="123"/>
      <c r="AI454" s="123"/>
      <c r="AJ454" s="123"/>
      <c r="AK454" s="123"/>
      <c r="AL454" s="123"/>
      <c r="AM454" s="123"/>
      <c r="AN454" s="123"/>
      <c r="AO454" s="123"/>
      <c r="AP454" s="123"/>
      <c r="AQ454" s="123"/>
      <c r="AR454" s="123"/>
      <c r="AS454" s="123"/>
      <c r="AT454" s="123"/>
      <c r="AU454" s="123"/>
      <c r="AV454" s="123"/>
      <c r="AW454" s="123"/>
      <c r="AX454" s="123"/>
    </row>
    <row r="455">
      <c r="A455" s="177"/>
      <c r="B455" s="177"/>
      <c r="C455" s="121"/>
      <c r="D455" s="121"/>
      <c r="E455" s="121"/>
      <c r="F455" s="121"/>
      <c r="G455" s="177"/>
      <c r="H455" s="121"/>
      <c r="I455" s="121"/>
      <c r="J455" s="121"/>
      <c r="K455" s="121"/>
      <c r="L455" s="121"/>
      <c r="M455" s="121"/>
      <c r="N455" s="121"/>
      <c r="O455" s="121"/>
      <c r="P455" s="121"/>
      <c r="Q455" s="121"/>
      <c r="R455" s="121"/>
      <c r="S455" s="121"/>
      <c r="T455" s="121"/>
      <c r="U455" s="121"/>
      <c r="V455" s="121"/>
      <c r="W455" s="121"/>
      <c r="X455" s="121"/>
      <c r="Y455" s="121"/>
      <c r="Z455" s="121"/>
      <c r="AA455" s="123"/>
      <c r="AB455" s="123"/>
      <c r="AC455" s="123"/>
      <c r="AD455" s="123"/>
      <c r="AE455" s="123"/>
      <c r="AF455" s="123"/>
      <c r="AG455" s="123"/>
      <c r="AH455" s="123"/>
      <c r="AI455" s="123"/>
      <c r="AJ455" s="123"/>
      <c r="AK455" s="123"/>
      <c r="AL455" s="123"/>
      <c r="AM455" s="123"/>
      <c r="AN455" s="123"/>
      <c r="AO455" s="123"/>
      <c r="AP455" s="123"/>
      <c r="AQ455" s="123"/>
      <c r="AR455" s="123"/>
      <c r="AS455" s="123"/>
      <c r="AT455" s="123"/>
      <c r="AU455" s="123"/>
      <c r="AV455" s="123"/>
      <c r="AW455" s="123"/>
      <c r="AX455" s="123"/>
    </row>
    <row r="456">
      <c r="A456" s="173"/>
      <c r="B456" s="174"/>
      <c r="C456" s="175"/>
      <c r="D456" s="175"/>
      <c r="E456" s="71"/>
      <c r="F456" s="174"/>
      <c r="G456" s="174"/>
      <c r="H456" s="173"/>
      <c r="I456" s="173"/>
      <c r="J456" s="174"/>
      <c r="K456" s="71"/>
      <c r="L456" s="174"/>
      <c r="M456" s="174"/>
      <c r="N456" s="174"/>
      <c r="O456" s="174"/>
      <c r="P456" s="174"/>
      <c r="Q456" s="174"/>
      <c r="R456" s="174"/>
      <c r="S456" s="71"/>
      <c r="T456" s="71"/>
      <c r="U456" s="176"/>
      <c r="V456" s="71"/>
      <c r="W456" s="174"/>
      <c r="X456" s="174"/>
      <c r="Y456" s="136"/>
      <c r="Z456" s="71"/>
      <c r="AA456" s="77"/>
      <c r="AB456" s="77"/>
      <c r="AC456" s="77"/>
      <c r="AD456" s="77"/>
      <c r="AE456" s="77"/>
      <c r="AF456" s="77"/>
      <c r="AG456" s="77"/>
      <c r="AH456" s="77"/>
      <c r="AI456" s="77"/>
      <c r="AJ456" s="77"/>
      <c r="AK456" s="77"/>
      <c r="AL456" s="77"/>
      <c r="AM456" s="77"/>
      <c r="AN456" s="77"/>
      <c r="AO456" s="77"/>
      <c r="AP456" s="77"/>
      <c r="AQ456" s="77"/>
      <c r="AR456" s="77"/>
      <c r="AS456" s="77"/>
      <c r="AT456" s="77"/>
      <c r="AU456" s="77"/>
      <c r="AV456" s="77"/>
      <c r="AW456" s="77"/>
      <c r="AX456" s="77"/>
    </row>
    <row r="457">
      <c r="A457" s="173"/>
      <c r="B457" s="174"/>
      <c r="C457" s="174"/>
      <c r="D457" s="71"/>
      <c r="E457" s="71"/>
      <c r="F457" s="71"/>
      <c r="G457" s="174"/>
      <c r="H457" s="173"/>
      <c r="I457" s="173"/>
      <c r="J457" s="174"/>
      <c r="K457" s="71"/>
      <c r="L457" s="174"/>
      <c r="M457" s="174"/>
      <c r="N457" s="174"/>
      <c r="O457" s="174"/>
      <c r="P457" s="174"/>
      <c r="Q457" s="174"/>
      <c r="R457" s="174"/>
      <c r="S457" s="71"/>
      <c r="T457" s="71"/>
      <c r="U457" s="176"/>
      <c r="V457" s="71"/>
      <c r="W457" s="174"/>
      <c r="X457" s="174"/>
      <c r="Y457" s="77"/>
      <c r="Z457" s="71"/>
      <c r="AA457" s="77"/>
      <c r="AB457" s="77"/>
      <c r="AC457" s="77"/>
      <c r="AD457" s="77"/>
      <c r="AE457" s="77"/>
      <c r="AF457" s="77"/>
      <c r="AG457" s="77"/>
      <c r="AH457" s="77"/>
      <c r="AI457" s="77"/>
      <c r="AJ457" s="77"/>
      <c r="AK457" s="77"/>
      <c r="AL457" s="77"/>
      <c r="AM457" s="77"/>
      <c r="AN457" s="77"/>
      <c r="AO457" s="77"/>
      <c r="AP457" s="77"/>
      <c r="AQ457" s="77"/>
      <c r="AR457" s="77"/>
      <c r="AS457" s="77"/>
      <c r="AT457" s="77"/>
      <c r="AU457" s="77"/>
      <c r="AV457" s="77"/>
      <c r="AW457" s="77"/>
      <c r="AX457" s="77"/>
    </row>
    <row r="458">
      <c r="A458" s="177"/>
      <c r="B458" s="177"/>
      <c r="C458" s="121"/>
      <c r="D458" s="121"/>
      <c r="E458" s="121"/>
      <c r="F458" s="121"/>
      <c r="G458" s="177"/>
      <c r="H458" s="121"/>
      <c r="I458" s="121"/>
      <c r="J458" s="121"/>
      <c r="K458" s="121"/>
      <c r="L458" s="121"/>
      <c r="M458" s="121"/>
      <c r="N458" s="121"/>
      <c r="O458" s="121"/>
      <c r="P458" s="121"/>
      <c r="Q458" s="121"/>
      <c r="R458" s="121"/>
      <c r="S458" s="121"/>
      <c r="T458" s="121"/>
      <c r="U458" s="121"/>
      <c r="V458" s="121"/>
      <c r="W458" s="121"/>
      <c r="X458" s="121"/>
      <c r="Y458" s="123"/>
      <c r="Z458" s="121"/>
      <c r="AA458" s="123"/>
      <c r="AB458" s="123"/>
      <c r="AC458" s="123"/>
      <c r="AD458" s="123"/>
      <c r="AE458" s="123"/>
      <c r="AF458" s="123"/>
      <c r="AG458" s="123"/>
      <c r="AH458" s="123"/>
      <c r="AI458" s="123"/>
      <c r="AJ458" s="123"/>
      <c r="AK458" s="123"/>
      <c r="AL458" s="123"/>
      <c r="AM458" s="123"/>
      <c r="AN458" s="123"/>
      <c r="AO458" s="123"/>
      <c r="AP458" s="123"/>
      <c r="AQ458" s="123"/>
      <c r="AR458" s="123"/>
      <c r="AS458" s="123"/>
      <c r="AT458" s="123"/>
      <c r="AU458" s="123"/>
      <c r="AV458" s="123"/>
      <c r="AW458" s="123"/>
      <c r="AX458" s="123"/>
    </row>
    <row r="459">
      <c r="A459" s="177"/>
      <c r="B459" s="177"/>
      <c r="C459" s="121"/>
      <c r="D459" s="121"/>
      <c r="E459" s="121"/>
      <c r="F459" s="121"/>
      <c r="G459" s="177"/>
      <c r="H459" s="121"/>
      <c r="I459" s="121"/>
      <c r="J459" s="121"/>
      <c r="K459" s="121"/>
      <c r="L459" s="121"/>
      <c r="M459" s="121"/>
      <c r="N459" s="121"/>
      <c r="O459" s="121"/>
      <c r="P459" s="121"/>
      <c r="Q459" s="121"/>
      <c r="R459" s="121"/>
      <c r="S459" s="121"/>
      <c r="T459" s="121"/>
      <c r="U459" s="121"/>
      <c r="V459" s="121"/>
      <c r="W459" s="121"/>
      <c r="X459" s="121"/>
      <c r="Y459" s="123"/>
      <c r="Z459" s="121"/>
      <c r="AA459" s="123"/>
      <c r="AB459" s="123"/>
      <c r="AC459" s="123"/>
      <c r="AD459" s="123"/>
      <c r="AE459" s="123"/>
      <c r="AF459" s="123"/>
      <c r="AG459" s="123"/>
      <c r="AH459" s="123"/>
      <c r="AI459" s="123"/>
      <c r="AJ459" s="123"/>
      <c r="AK459" s="123"/>
      <c r="AL459" s="123"/>
      <c r="AM459" s="123"/>
      <c r="AN459" s="123"/>
      <c r="AO459" s="123"/>
      <c r="AP459" s="123"/>
      <c r="AQ459" s="123"/>
      <c r="AR459" s="123"/>
      <c r="AS459" s="123"/>
      <c r="AT459" s="123"/>
      <c r="AU459" s="123"/>
      <c r="AV459" s="123"/>
      <c r="AW459" s="123"/>
      <c r="AX459" s="123"/>
    </row>
    <row r="460">
      <c r="A460" s="177"/>
      <c r="B460" s="177"/>
      <c r="C460" s="121"/>
      <c r="D460" s="121"/>
      <c r="E460" s="121"/>
      <c r="F460" s="121"/>
      <c r="G460" s="177"/>
      <c r="H460" s="121"/>
      <c r="I460" s="121"/>
      <c r="J460" s="121"/>
      <c r="K460" s="121"/>
      <c r="L460" s="121"/>
      <c r="M460" s="121"/>
      <c r="N460" s="121"/>
      <c r="O460" s="121"/>
      <c r="P460" s="121"/>
      <c r="Q460" s="121"/>
      <c r="R460" s="121"/>
      <c r="S460" s="121"/>
      <c r="T460" s="121"/>
      <c r="U460" s="121"/>
      <c r="V460" s="121"/>
      <c r="W460" s="121"/>
      <c r="X460" s="121"/>
      <c r="Y460" s="123"/>
      <c r="Z460" s="121"/>
      <c r="AA460" s="123"/>
      <c r="AB460" s="123"/>
      <c r="AC460" s="123"/>
      <c r="AD460" s="123"/>
      <c r="AE460" s="123"/>
      <c r="AF460" s="123"/>
      <c r="AG460" s="123"/>
      <c r="AH460" s="123"/>
      <c r="AI460" s="123"/>
      <c r="AJ460" s="123"/>
      <c r="AK460" s="123"/>
      <c r="AL460" s="123"/>
      <c r="AM460" s="123"/>
      <c r="AN460" s="123"/>
      <c r="AO460" s="123"/>
      <c r="AP460" s="123"/>
      <c r="AQ460" s="123"/>
      <c r="AR460" s="123"/>
      <c r="AS460" s="123"/>
      <c r="AT460" s="123"/>
      <c r="AU460" s="123"/>
      <c r="AV460" s="123"/>
      <c r="AW460" s="123"/>
      <c r="AX460" s="123"/>
    </row>
    <row r="461">
      <c r="A461" s="177"/>
      <c r="B461" s="177"/>
      <c r="C461" s="121"/>
      <c r="D461" s="121"/>
      <c r="E461" s="121"/>
      <c r="F461" s="121"/>
      <c r="G461" s="177"/>
      <c r="H461" s="121"/>
      <c r="I461" s="121"/>
      <c r="J461" s="121"/>
      <c r="K461" s="121"/>
      <c r="L461" s="121"/>
      <c r="M461" s="121"/>
      <c r="N461" s="121"/>
      <c r="O461" s="121"/>
      <c r="P461" s="121"/>
      <c r="Q461" s="121"/>
      <c r="R461" s="121"/>
      <c r="S461" s="121"/>
      <c r="T461" s="121"/>
      <c r="U461" s="121"/>
      <c r="V461" s="121"/>
      <c r="W461" s="121"/>
      <c r="X461" s="121"/>
      <c r="Y461" s="123"/>
      <c r="Z461" s="121"/>
      <c r="AA461" s="123"/>
      <c r="AB461" s="123"/>
      <c r="AC461" s="123"/>
      <c r="AD461" s="123"/>
      <c r="AE461" s="123"/>
      <c r="AF461" s="123"/>
      <c r="AG461" s="123"/>
      <c r="AH461" s="123"/>
      <c r="AI461" s="123"/>
      <c r="AJ461" s="123"/>
      <c r="AK461" s="123"/>
      <c r="AL461" s="123"/>
      <c r="AM461" s="123"/>
      <c r="AN461" s="123"/>
      <c r="AO461" s="123"/>
      <c r="AP461" s="123"/>
      <c r="AQ461" s="123"/>
      <c r="AR461" s="123"/>
      <c r="AS461" s="123"/>
      <c r="AT461" s="123"/>
      <c r="AU461" s="123"/>
      <c r="AV461" s="123"/>
      <c r="AW461" s="123"/>
      <c r="AX461" s="123"/>
    </row>
    <row r="462">
      <c r="A462" s="177"/>
      <c r="B462" s="177"/>
      <c r="C462" s="121"/>
      <c r="D462" s="121"/>
      <c r="E462" s="121"/>
      <c r="F462" s="121"/>
      <c r="G462" s="177"/>
      <c r="H462" s="121"/>
      <c r="I462" s="121"/>
      <c r="J462" s="121"/>
      <c r="K462" s="121"/>
      <c r="L462" s="121"/>
      <c r="M462" s="121"/>
      <c r="N462" s="121"/>
      <c r="O462" s="121"/>
      <c r="P462" s="121"/>
      <c r="Q462" s="121"/>
      <c r="R462" s="121"/>
      <c r="S462" s="121"/>
      <c r="T462" s="121"/>
      <c r="U462" s="121"/>
      <c r="V462" s="121"/>
      <c r="W462" s="121"/>
      <c r="X462" s="121"/>
      <c r="Y462" s="123"/>
      <c r="Z462" s="121"/>
      <c r="AA462" s="123"/>
      <c r="AB462" s="123"/>
      <c r="AC462" s="123"/>
      <c r="AD462" s="123"/>
      <c r="AE462" s="123"/>
      <c r="AF462" s="123"/>
      <c r="AG462" s="123"/>
      <c r="AH462" s="123"/>
      <c r="AI462" s="123"/>
      <c r="AJ462" s="123"/>
      <c r="AK462" s="123"/>
      <c r="AL462" s="123"/>
      <c r="AM462" s="123"/>
      <c r="AN462" s="123"/>
      <c r="AO462" s="123"/>
      <c r="AP462" s="123"/>
      <c r="AQ462" s="123"/>
      <c r="AR462" s="123"/>
      <c r="AS462" s="123"/>
      <c r="AT462" s="123"/>
      <c r="AU462" s="123"/>
      <c r="AV462" s="123"/>
      <c r="AW462" s="123"/>
      <c r="AX462" s="123"/>
    </row>
    <row r="463">
      <c r="A463" s="177"/>
      <c r="B463" s="177"/>
      <c r="C463" s="121"/>
      <c r="D463" s="121"/>
      <c r="E463" s="121"/>
      <c r="F463" s="121"/>
      <c r="G463" s="177"/>
      <c r="H463" s="121"/>
      <c r="I463" s="121"/>
      <c r="J463" s="121"/>
      <c r="K463" s="121"/>
      <c r="L463" s="121"/>
      <c r="M463" s="121"/>
      <c r="N463" s="121"/>
      <c r="O463" s="121"/>
      <c r="P463" s="121"/>
      <c r="Q463" s="121"/>
      <c r="R463" s="121"/>
      <c r="S463" s="121"/>
      <c r="T463" s="121"/>
      <c r="U463" s="121"/>
      <c r="V463" s="121"/>
      <c r="W463" s="121"/>
      <c r="X463" s="121"/>
      <c r="Y463" s="123"/>
      <c r="Z463" s="121"/>
      <c r="AA463" s="123"/>
      <c r="AB463" s="123"/>
      <c r="AC463" s="123"/>
      <c r="AD463" s="123"/>
      <c r="AE463" s="123"/>
      <c r="AF463" s="123"/>
      <c r="AG463" s="123"/>
      <c r="AH463" s="123"/>
      <c r="AI463" s="123"/>
      <c r="AJ463" s="123"/>
      <c r="AK463" s="123"/>
      <c r="AL463" s="123"/>
      <c r="AM463" s="123"/>
      <c r="AN463" s="123"/>
      <c r="AO463" s="123"/>
      <c r="AP463" s="123"/>
      <c r="AQ463" s="123"/>
      <c r="AR463" s="123"/>
      <c r="AS463" s="123"/>
      <c r="AT463" s="123"/>
      <c r="AU463" s="123"/>
      <c r="AV463" s="123"/>
      <c r="AW463" s="123"/>
      <c r="AX463" s="123"/>
    </row>
    <row r="464">
      <c r="A464" s="177"/>
      <c r="B464" s="177"/>
      <c r="C464" s="121"/>
      <c r="D464" s="121"/>
      <c r="E464" s="121"/>
      <c r="F464" s="121"/>
      <c r="G464" s="177"/>
      <c r="H464" s="121"/>
      <c r="I464" s="121"/>
      <c r="J464" s="121"/>
      <c r="K464" s="121"/>
      <c r="L464" s="121"/>
      <c r="M464" s="121"/>
      <c r="N464" s="121"/>
      <c r="O464" s="121"/>
      <c r="P464" s="121"/>
      <c r="Q464" s="121"/>
      <c r="R464" s="121"/>
      <c r="S464" s="121"/>
      <c r="T464" s="121"/>
      <c r="U464" s="121"/>
      <c r="V464" s="121"/>
      <c r="W464" s="121"/>
      <c r="X464" s="121"/>
      <c r="Y464" s="123"/>
      <c r="Z464" s="121"/>
      <c r="AA464" s="123"/>
      <c r="AB464" s="123"/>
      <c r="AC464" s="123"/>
      <c r="AD464" s="123"/>
      <c r="AE464" s="123"/>
      <c r="AF464" s="123"/>
      <c r="AG464" s="123"/>
      <c r="AH464" s="123"/>
      <c r="AI464" s="123"/>
      <c r="AJ464" s="123"/>
      <c r="AK464" s="123"/>
      <c r="AL464" s="123"/>
      <c r="AM464" s="123"/>
      <c r="AN464" s="123"/>
      <c r="AO464" s="123"/>
      <c r="AP464" s="123"/>
      <c r="AQ464" s="123"/>
      <c r="AR464" s="123"/>
      <c r="AS464" s="123"/>
      <c r="AT464" s="123"/>
      <c r="AU464" s="123"/>
      <c r="AV464" s="123"/>
      <c r="AW464" s="123"/>
      <c r="AX464" s="123"/>
    </row>
    <row r="465">
      <c r="A465" s="177"/>
      <c r="B465" s="177"/>
      <c r="C465" s="121"/>
      <c r="D465" s="121"/>
      <c r="E465" s="121"/>
      <c r="F465" s="121"/>
      <c r="G465" s="177"/>
      <c r="H465" s="121"/>
      <c r="I465" s="121"/>
      <c r="J465" s="121"/>
      <c r="K465" s="121"/>
      <c r="L465" s="121"/>
      <c r="M465" s="121"/>
      <c r="N465" s="121"/>
      <c r="O465" s="121"/>
      <c r="P465" s="121"/>
      <c r="Q465" s="121"/>
      <c r="R465" s="121"/>
      <c r="S465" s="121"/>
      <c r="T465" s="121"/>
      <c r="U465" s="121"/>
      <c r="V465" s="121"/>
      <c r="W465" s="121"/>
      <c r="X465" s="121"/>
      <c r="Y465" s="123"/>
      <c r="Z465" s="121"/>
      <c r="AA465" s="123"/>
      <c r="AB465" s="123"/>
      <c r="AC465" s="123"/>
      <c r="AD465" s="123"/>
      <c r="AE465" s="123"/>
      <c r="AF465" s="123"/>
      <c r="AG465" s="123"/>
      <c r="AH465" s="123"/>
      <c r="AI465" s="123"/>
      <c r="AJ465" s="123"/>
      <c r="AK465" s="123"/>
      <c r="AL465" s="123"/>
      <c r="AM465" s="123"/>
      <c r="AN465" s="123"/>
      <c r="AO465" s="123"/>
      <c r="AP465" s="123"/>
      <c r="AQ465" s="123"/>
      <c r="AR465" s="123"/>
      <c r="AS465" s="123"/>
      <c r="AT465" s="123"/>
      <c r="AU465" s="123"/>
      <c r="AV465" s="123"/>
      <c r="AW465" s="123"/>
      <c r="AX465" s="123"/>
    </row>
    <row r="466">
      <c r="A466" s="177"/>
      <c r="B466" s="177"/>
      <c r="C466" s="121"/>
      <c r="D466" s="121"/>
      <c r="E466" s="121"/>
      <c r="F466" s="121"/>
      <c r="G466" s="177"/>
      <c r="H466" s="121"/>
      <c r="I466" s="121"/>
      <c r="J466" s="121"/>
      <c r="K466" s="121"/>
      <c r="L466" s="121"/>
      <c r="M466" s="121"/>
      <c r="N466" s="121"/>
      <c r="O466" s="121"/>
      <c r="P466" s="121"/>
      <c r="Q466" s="121"/>
      <c r="R466" s="121"/>
      <c r="S466" s="121"/>
      <c r="T466" s="121"/>
      <c r="U466" s="121"/>
      <c r="V466" s="121"/>
      <c r="W466" s="121"/>
      <c r="X466" s="121"/>
      <c r="Y466" s="123"/>
      <c r="Z466" s="121"/>
      <c r="AA466" s="123"/>
      <c r="AB466" s="123"/>
      <c r="AC466" s="123"/>
      <c r="AD466" s="123"/>
      <c r="AE466" s="123"/>
      <c r="AF466" s="123"/>
      <c r="AG466" s="123"/>
      <c r="AH466" s="123"/>
      <c r="AI466" s="123"/>
      <c r="AJ466" s="123"/>
      <c r="AK466" s="123"/>
      <c r="AL466" s="123"/>
      <c r="AM466" s="123"/>
      <c r="AN466" s="123"/>
      <c r="AO466" s="123"/>
      <c r="AP466" s="123"/>
      <c r="AQ466" s="123"/>
      <c r="AR466" s="123"/>
      <c r="AS466" s="123"/>
      <c r="AT466" s="123"/>
      <c r="AU466" s="123"/>
      <c r="AV466" s="123"/>
      <c r="AW466" s="123"/>
      <c r="AX466" s="123"/>
    </row>
    <row r="467">
      <c r="A467" s="177"/>
      <c r="B467" s="177"/>
      <c r="C467" s="121"/>
      <c r="D467" s="121"/>
      <c r="E467" s="121"/>
      <c r="F467" s="121"/>
      <c r="G467" s="177"/>
      <c r="H467" s="121"/>
      <c r="I467" s="121"/>
      <c r="J467" s="121"/>
      <c r="K467" s="121"/>
      <c r="L467" s="121"/>
      <c r="M467" s="121"/>
      <c r="N467" s="121"/>
      <c r="O467" s="121"/>
      <c r="P467" s="121"/>
      <c r="Q467" s="121"/>
      <c r="R467" s="121"/>
      <c r="S467" s="121"/>
      <c r="T467" s="121"/>
      <c r="U467" s="121"/>
      <c r="V467" s="121"/>
      <c r="W467" s="121"/>
      <c r="X467" s="121"/>
      <c r="Y467" s="123"/>
      <c r="Z467" s="121"/>
      <c r="AA467" s="123"/>
      <c r="AB467" s="123"/>
      <c r="AC467" s="123"/>
      <c r="AD467" s="123"/>
      <c r="AE467" s="123"/>
      <c r="AF467" s="123"/>
      <c r="AG467" s="123"/>
      <c r="AH467" s="123"/>
      <c r="AI467" s="123"/>
      <c r="AJ467" s="123"/>
      <c r="AK467" s="123"/>
      <c r="AL467" s="123"/>
      <c r="AM467" s="123"/>
      <c r="AN467" s="123"/>
      <c r="AO467" s="123"/>
      <c r="AP467" s="123"/>
      <c r="AQ467" s="123"/>
      <c r="AR467" s="123"/>
      <c r="AS467" s="123"/>
      <c r="AT467" s="123"/>
      <c r="AU467" s="123"/>
      <c r="AV467" s="123"/>
      <c r="AW467" s="123"/>
      <c r="AX467" s="123"/>
    </row>
    <row r="468">
      <c r="A468" s="177"/>
      <c r="B468" s="177"/>
      <c r="C468" s="121"/>
      <c r="D468" s="121"/>
      <c r="E468" s="121"/>
      <c r="F468" s="121"/>
      <c r="G468" s="177"/>
      <c r="H468" s="121"/>
      <c r="I468" s="121"/>
      <c r="J468" s="121"/>
      <c r="K468" s="121"/>
      <c r="L468" s="121"/>
      <c r="M468" s="121"/>
      <c r="N468" s="121"/>
      <c r="O468" s="121"/>
      <c r="P468" s="121"/>
      <c r="Q468" s="121"/>
      <c r="R468" s="121"/>
      <c r="S468" s="121"/>
      <c r="T468" s="121"/>
      <c r="U468" s="121"/>
      <c r="V468" s="121"/>
      <c r="W468" s="121"/>
      <c r="X468" s="121"/>
      <c r="Y468" s="123"/>
      <c r="Z468" s="121"/>
      <c r="AA468" s="123"/>
      <c r="AB468" s="123"/>
      <c r="AC468" s="123"/>
      <c r="AD468" s="123"/>
      <c r="AE468" s="123"/>
      <c r="AF468" s="123"/>
      <c r="AG468" s="123"/>
      <c r="AH468" s="123"/>
      <c r="AI468" s="123"/>
      <c r="AJ468" s="123"/>
      <c r="AK468" s="123"/>
      <c r="AL468" s="123"/>
      <c r="AM468" s="123"/>
      <c r="AN468" s="123"/>
      <c r="AO468" s="123"/>
      <c r="AP468" s="123"/>
      <c r="AQ468" s="123"/>
      <c r="AR468" s="123"/>
      <c r="AS468" s="123"/>
      <c r="AT468" s="123"/>
      <c r="AU468" s="123"/>
      <c r="AV468" s="123"/>
      <c r="AW468" s="123"/>
      <c r="AX468" s="123"/>
    </row>
    <row r="469">
      <c r="A469" s="177"/>
      <c r="B469" s="177"/>
      <c r="C469" s="121"/>
      <c r="D469" s="121"/>
      <c r="E469" s="121"/>
      <c r="F469" s="121"/>
      <c r="G469" s="177"/>
      <c r="H469" s="121"/>
      <c r="I469" s="121"/>
      <c r="J469" s="121"/>
      <c r="K469" s="121"/>
      <c r="L469" s="121"/>
      <c r="M469" s="121"/>
      <c r="N469" s="121"/>
      <c r="O469" s="121"/>
      <c r="P469" s="121"/>
      <c r="Q469" s="121"/>
      <c r="R469" s="121"/>
      <c r="S469" s="121"/>
      <c r="T469" s="121"/>
      <c r="U469" s="121"/>
      <c r="V469" s="121"/>
      <c r="W469" s="121"/>
      <c r="X469" s="121"/>
      <c r="Y469" s="123"/>
      <c r="Z469" s="121"/>
      <c r="AA469" s="123"/>
      <c r="AB469" s="123"/>
      <c r="AC469" s="123"/>
      <c r="AD469" s="123"/>
      <c r="AE469" s="123"/>
      <c r="AF469" s="123"/>
      <c r="AG469" s="123"/>
      <c r="AH469" s="123"/>
      <c r="AI469" s="123"/>
      <c r="AJ469" s="123"/>
      <c r="AK469" s="123"/>
      <c r="AL469" s="123"/>
      <c r="AM469" s="123"/>
      <c r="AN469" s="123"/>
      <c r="AO469" s="123"/>
      <c r="AP469" s="123"/>
      <c r="AQ469" s="123"/>
      <c r="AR469" s="123"/>
      <c r="AS469" s="123"/>
      <c r="AT469" s="123"/>
      <c r="AU469" s="123"/>
      <c r="AV469" s="123"/>
      <c r="AW469" s="123"/>
      <c r="AX469" s="123"/>
    </row>
    <row r="470">
      <c r="A470" s="177"/>
      <c r="B470" s="177"/>
      <c r="C470" s="121"/>
      <c r="D470" s="121"/>
      <c r="E470" s="121"/>
      <c r="F470" s="121"/>
      <c r="G470" s="177"/>
      <c r="H470" s="121"/>
      <c r="I470" s="121"/>
      <c r="J470" s="121"/>
      <c r="K470" s="121"/>
      <c r="L470" s="121"/>
      <c r="M470" s="121"/>
      <c r="N470" s="121"/>
      <c r="O470" s="121"/>
      <c r="P470" s="121"/>
      <c r="Q470" s="121"/>
      <c r="R470" s="121"/>
      <c r="S470" s="121"/>
      <c r="T470" s="121"/>
      <c r="U470" s="121"/>
      <c r="V470" s="121"/>
      <c r="W470" s="121"/>
      <c r="X470" s="121"/>
      <c r="Y470" s="123"/>
      <c r="Z470" s="121"/>
      <c r="AA470" s="123"/>
      <c r="AB470" s="123"/>
      <c r="AC470" s="123"/>
      <c r="AD470" s="123"/>
      <c r="AE470" s="123"/>
      <c r="AF470" s="123"/>
      <c r="AG470" s="123"/>
      <c r="AH470" s="123"/>
      <c r="AI470" s="123"/>
      <c r="AJ470" s="123"/>
      <c r="AK470" s="123"/>
      <c r="AL470" s="123"/>
      <c r="AM470" s="123"/>
      <c r="AN470" s="123"/>
      <c r="AO470" s="123"/>
      <c r="AP470" s="123"/>
      <c r="AQ470" s="123"/>
      <c r="AR470" s="123"/>
      <c r="AS470" s="123"/>
      <c r="AT470" s="123"/>
      <c r="AU470" s="123"/>
      <c r="AV470" s="123"/>
      <c r="AW470" s="123"/>
      <c r="AX470" s="123"/>
    </row>
    <row r="471">
      <c r="A471" s="177"/>
      <c r="B471" s="177"/>
      <c r="C471" s="121"/>
      <c r="D471" s="121"/>
      <c r="E471" s="121"/>
      <c r="F471" s="121"/>
      <c r="G471" s="177"/>
      <c r="H471" s="121"/>
      <c r="I471" s="121"/>
      <c r="J471" s="121"/>
      <c r="K471" s="121"/>
      <c r="L471" s="121"/>
      <c r="M471" s="121"/>
      <c r="N471" s="121"/>
      <c r="O471" s="121"/>
      <c r="P471" s="121"/>
      <c r="Q471" s="121"/>
      <c r="R471" s="121"/>
      <c r="S471" s="121"/>
      <c r="T471" s="121"/>
      <c r="U471" s="121"/>
      <c r="V471" s="121"/>
      <c r="W471" s="121"/>
      <c r="X471" s="121"/>
      <c r="Y471" s="123"/>
      <c r="Z471" s="121"/>
      <c r="AA471" s="123"/>
      <c r="AB471" s="123"/>
      <c r="AC471" s="123"/>
      <c r="AD471" s="123"/>
      <c r="AE471" s="123"/>
      <c r="AF471" s="123"/>
      <c r="AG471" s="123"/>
      <c r="AH471" s="123"/>
      <c r="AI471" s="123"/>
      <c r="AJ471" s="123"/>
      <c r="AK471" s="123"/>
      <c r="AL471" s="123"/>
      <c r="AM471" s="123"/>
      <c r="AN471" s="123"/>
      <c r="AO471" s="123"/>
      <c r="AP471" s="123"/>
      <c r="AQ471" s="123"/>
      <c r="AR471" s="123"/>
      <c r="AS471" s="123"/>
      <c r="AT471" s="123"/>
      <c r="AU471" s="123"/>
      <c r="AV471" s="123"/>
      <c r="AW471" s="123"/>
      <c r="AX471" s="123"/>
    </row>
    <row r="472">
      <c r="A472" s="177"/>
      <c r="B472" s="177"/>
      <c r="C472" s="121"/>
      <c r="D472" s="121"/>
      <c r="E472" s="121"/>
      <c r="F472" s="121"/>
      <c r="G472" s="177"/>
      <c r="H472" s="121"/>
      <c r="I472" s="121"/>
      <c r="J472" s="121"/>
      <c r="K472" s="121"/>
      <c r="L472" s="121"/>
      <c r="M472" s="121"/>
      <c r="N472" s="121"/>
      <c r="O472" s="121"/>
      <c r="P472" s="121"/>
      <c r="Q472" s="121"/>
      <c r="R472" s="121"/>
      <c r="S472" s="121"/>
      <c r="T472" s="121"/>
      <c r="U472" s="121"/>
      <c r="V472" s="121"/>
      <c r="W472" s="121"/>
      <c r="X472" s="121"/>
      <c r="Y472" s="123"/>
      <c r="Z472" s="121"/>
      <c r="AA472" s="123"/>
      <c r="AB472" s="123"/>
      <c r="AC472" s="123"/>
      <c r="AD472" s="123"/>
      <c r="AE472" s="123"/>
      <c r="AF472" s="123"/>
      <c r="AG472" s="123"/>
      <c r="AH472" s="123"/>
      <c r="AI472" s="123"/>
      <c r="AJ472" s="123"/>
      <c r="AK472" s="123"/>
      <c r="AL472" s="123"/>
      <c r="AM472" s="123"/>
      <c r="AN472" s="123"/>
      <c r="AO472" s="123"/>
      <c r="AP472" s="123"/>
      <c r="AQ472" s="123"/>
      <c r="AR472" s="123"/>
      <c r="AS472" s="123"/>
      <c r="AT472" s="123"/>
      <c r="AU472" s="123"/>
      <c r="AV472" s="123"/>
      <c r="AW472" s="123"/>
      <c r="AX472" s="123"/>
    </row>
    <row r="473">
      <c r="A473" s="173"/>
      <c r="B473" s="174"/>
      <c r="C473" s="175"/>
      <c r="D473" s="175"/>
      <c r="E473" s="71"/>
      <c r="F473" s="174"/>
      <c r="G473" s="174"/>
      <c r="H473" s="173"/>
      <c r="I473" s="173"/>
      <c r="J473" s="174"/>
      <c r="K473" s="71"/>
      <c r="L473" s="174"/>
      <c r="M473" s="174"/>
      <c r="N473" s="174"/>
      <c r="O473" s="174"/>
      <c r="P473" s="174"/>
      <c r="Q473" s="174"/>
      <c r="R473" s="174"/>
      <c r="S473" s="71"/>
      <c r="T473" s="71"/>
      <c r="U473" s="176"/>
      <c r="V473" s="71"/>
      <c r="W473" s="174"/>
      <c r="X473" s="174"/>
      <c r="Y473" s="181"/>
      <c r="Z473" s="71"/>
      <c r="AA473" s="77"/>
      <c r="AB473" s="77"/>
      <c r="AC473" s="77"/>
      <c r="AD473" s="77"/>
      <c r="AE473" s="77"/>
      <c r="AF473" s="77"/>
      <c r="AG473" s="77"/>
      <c r="AH473" s="77"/>
      <c r="AI473" s="77"/>
      <c r="AJ473" s="77"/>
      <c r="AK473" s="77"/>
      <c r="AL473" s="77"/>
      <c r="AM473" s="77"/>
      <c r="AN473" s="77"/>
      <c r="AO473" s="77"/>
      <c r="AP473" s="77"/>
      <c r="AQ473" s="77"/>
      <c r="AR473" s="77"/>
      <c r="AS473" s="77"/>
      <c r="AT473" s="77"/>
      <c r="AU473" s="77"/>
      <c r="AV473" s="77"/>
      <c r="AW473" s="77"/>
      <c r="AX473" s="77"/>
    </row>
    <row r="474">
      <c r="A474" s="113"/>
      <c r="B474" s="71"/>
      <c r="C474" s="113"/>
      <c r="D474" s="113"/>
      <c r="E474" s="113"/>
      <c r="F474" s="113"/>
      <c r="G474" s="113"/>
      <c r="H474" s="113"/>
      <c r="I474" s="113"/>
      <c r="J474" s="113"/>
      <c r="K474" s="113"/>
      <c r="L474" s="113"/>
      <c r="M474" s="113"/>
      <c r="N474" s="113"/>
      <c r="O474" s="113"/>
      <c r="P474" s="113"/>
      <c r="Q474" s="113"/>
      <c r="R474" s="71"/>
      <c r="S474" s="114"/>
      <c r="T474" s="113"/>
      <c r="U474" s="71"/>
      <c r="V474" s="113"/>
      <c r="W474" s="113"/>
      <c r="X474" s="71"/>
      <c r="Y474" s="113"/>
      <c r="Z474" s="71"/>
      <c r="AA474" s="77"/>
      <c r="AB474" s="77"/>
      <c r="AC474" s="77"/>
      <c r="AD474" s="77"/>
      <c r="AE474" s="77"/>
      <c r="AF474" s="77"/>
      <c r="AG474" s="77"/>
      <c r="AH474" s="77"/>
      <c r="AI474" s="77"/>
      <c r="AJ474" s="77"/>
      <c r="AK474" s="77"/>
      <c r="AL474" s="77"/>
      <c r="AM474" s="77"/>
      <c r="AN474" s="77"/>
      <c r="AO474" s="77"/>
      <c r="AP474" s="77"/>
      <c r="AQ474" s="77"/>
      <c r="AR474" s="77"/>
      <c r="AS474" s="77"/>
      <c r="AT474" s="77"/>
      <c r="AU474" s="77"/>
      <c r="AV474" s="77"/>
      <c r="AW474" s="77"/>
      <c r="AX474" s="77"/>
    </row>
    <row r="475">
      <c r="A475" s="177"/>
      <c r="B475" s="177"/>
      <c r="C475" s="121"/>
      <c r="D475" s="121"/>
      <c r="E475" s="121"/>
      <c r="F475" s="121"/>
      <c r="G475" s="177"/>
      <c r="H475" s="121"/>
      <c r="I475" s="121"/>
      <c r="J475" s="121"/>
      <c r="K475" s="121"/>
      <c r="L475" s="121"/>
      <c r="M475" s="121"/>
      <c r="N475" s="121"/>
      <c r="O475" s="121"/>
      <c r="P475" s="121"/>
      <c r="Q475" s="121"/>
      <c r="R475" s="121"/>
      <c r="S475" s="121"/>
      <c r="T475" s="121"/>
      <c r="U475" s="121"/>
      <c r="V475" s="121"/>
      <c r="W475" s="121"/>
      <c r="X475" s="121"/>
      <c r="Y475" s="123"/>
      <c r="Z475" s="121"/>
      <c r="AA475" s="123"/>
      <c r="AB475" s="123"/>
      <c r="AC475" s="123"/>
      <c r="AD475" s="123"/>
      <c r="AE475" s="123"/>
      <c r="AF475" s="123"/>
      <c r="AG475" s="123"/>
      <c r="AH475" s="123"/>
      <c r="AI475" s="123"/>
      <c r="AJ475" s="123"/>
      <c r="AK475" s="123"/>
      <c r="AL475" s="123"/>
      <c r="AM475" s="123"/>
      <c r="AN475" s="123"/>
      <c r="AO475" s="123"/>
      <c r="AP475" s="123"/>
      <c r="AQ475" s="123"/>
      <c r="AR475" s="123"/>
      <c r="AS475" s="123"/>
      <c r="AT475" s="123"/>
      <c r="AU475" s="123"/>
      <c r="AV475" s="123"/>
      <c r="AW475" s="123"/>
      <c r="AX475" s="123"/>
    </row>
    <row r="476">
      <c r="A476" s="177"/>
      <c r="B476" s="177"/>
      <c r="C476" s="121"/>
      <c r="D476" s="121"/>
      <c r="E476" s="121"/>
      <c r="F476" s="121"/>
      <c r="G476" s="177"/>
      <c r="H476" s="121"/>
      <c r="I476" s="121"/>
      <c r="J476" s="121"/>
      <c r="K476" s="121"/>
      <c r="L476" s="121"/>
      <c r="M476" s="121"/>
      <c r="N476" s="121"/>
      <c r="O476" s="121"/>
      <c r="P476" s="121"/>
      <c r="Q476" s="121"/>
      <c r="R476" s="121"/>
      <c r="S476" s="121"/>
      <c r="T476" s="121"/>
      <c r="U476" s="121"/>
      <c r="V476" s="121"/>
      <c r="W476" s="121"/>
      <c r="X476" s="121"/>
      <c r="Y476" s="123"/>
      <c r="Z476" s="121"/>
      <c r="AA476" s="123"/>
      <c r="AB476" s="123"/>
      <c r="AC476" s="123"/>
      <c r="AD476" s="123"/>
      <c r="AE476" s="123"/>
      <c r="AF476" s="123"/>
      <c r="AG476" s="123"/>
      <c r="AH476" s="123"/>
      <c r="AI476" s="123"/>
      <c r="AJ476" s="123"/>
      <c r="AK476" s="123"/>
      <c r="AL476" s="123"/>
      <c r="AM476" s="123"/>
      <c r="AN476" s="123"/>
      <c r="AO476" s="123"/>
      <c r="AP476" s="123"/>
      <c r="AQ476" s="123"/>
      <c r="AR476" s="123"/>
      <c r="AS476" s="123"/>
      <c r="AT476" s="123"/>
      <c r="AU476" s="123"/>
      <c r="AV476" s="123"/>
      <c r="AW476" s="123"/>
      <c r="AX476" s="123"/>
    </row>
    <row r="477">
      <c r="A477" s="177"/>
      <c r="B477" s="177"/>
      <c r="C477" s="121"/>
      <c r="D477" s="121"/>
      <c r="E477" s="121"/>
      <c r="F477" s="121"/>
      <c r="G477" s="177"/>
      <c r="H477" s="121"/>
      <c r="I477" s="121"/>
      <c r="J477" s="121"/>
      <c r="K477" s="121"/>
      <c r="L477" s="121"/>
      <c r="M477" s="121"/>
      <c r="N477" s="121"/>
      <c r="O477" s="121"/>
      <c r="P477" s="121"/>
      <c r="Q477" s="121"/>
      <c r="R477" s="121"/>
      <c r="S477" s="121"/>
      <c r="T477" s="121"/>
      <c r="U477" s="121"/>
      <c r="V477" s="121"/>
      <c r="W477" s="121"/>
      <c r="X477" s="121"/>
      <c r="Y477" s="123"/>
      <c r="Z477" s="121"/>
      <c r="AA477" s="123"/>
      <c r="AB477" s="123"/>
      <c r="AC477" s="123"/>
      <c r="AD477" s="123"/>
      <c r="AE477" s="123"/>
      <c r="AF477" s="123"/>
      <c r="AG477" s="123"/>
      <c r="AH477" s="123"/>
      <c r="AI477" s="123"/>
      <c r="AJ477" s="123"/>
      <c r="AK477" s="123"/>
      <c r="AL477" s="123"/>
      <c r="AM477" s="123"/>
      <c r="AN477" s="123"/>
      <c r="AO477" s="123"/>
      <c r="AP477" s="123"/>
      <c r="AQ477" s="123"/>
      <c r="AR477" s="123"/>
      <c r="AS477" s="123"/>
      <c r="AT477" s="123"/>
      <c r="AU477" s="123"/>
      <c r="AV477" s="123"/>
      <c r="AW477" s="123"/>
      <c r="AX477" s="123"/>
    </row>
    <row r="478">
      <c r="A478" s="177"/>
      <c r="B478" s="177"/>
      <c r="C478" s="121"/>
      <c r="D478" s="121"/>
      <c r="E478" s="121"/>
      <c r="F478" s="121"/>
      <c r="G478" s="177"/>
      <c r="H478" s="121"/>
      <c r="I478" s="121"/>
      <c r="J478" s="121"/>
      <c r="K478" s="121"/>
      <c r="L478" s="121"/>
      <c r="M478" s="121"/>
      <c r="N478" s="121"/>
      <c r="O478" s="121"/>
      <c r="P478" s="121"/>
      <c r="Q478" s="121"/>
      <c r="R478" s="121"/>
      <c r="S478" s="121"/>
      <c r="T478" s="121"/>
      <c r="U478" s="121"/>
      <c r="V478" s="121"/>
      <c r="W478" s="121"/>
      <c r="X478" s="121"/>
      <c r="Y478" s="123"/>
      <c r="Z478" s="121"/>
      <c r="AA478" s="123"/>
      <c r="AB478" s="123"/>
      <c r="AC478" s="123"/>
      <c r="AD478" s="123"/>
      <c r="AE478" s="123"/>
      <c r="AF478" s="123"/>
      <c r="AG478" s="123"/>
      <c r="AH478" s="123"/>
      <c r="AI478" s="123"/>
      <c r="AJ478" s="123"/>
      <c r="AK478" s="123"/>
      <c r="AL478" s="123"/>
      <c r="AM478" s="123"/>
      <c r="AN478" s="123"/>
      <c r="AO478" s="123"/>
      <c r="AP478" s="123"/>
      <c r="AQ478" s="123"/>
      <c r="AR478" s="123"/>
      <c r="AS478" s="123"/>
      <c r="AT478" s="123"/>
      <c r="AU478" s="123"/>
      <c r="AV478" s="123"/>
      <c r="AW478" s="123"/>
      <c r="AX478" s="123"/>
    </row>
    <row r="479">
      <c r="A479" s="177"/>
      <c r="B479" s="177"/>
      <c r="C479" s="121"/>
      <c r="D479" s="121"/>
      <c r="E479" s="121"/>
      <c r="F479" s="121"/>
      <c r="G479" s="177"/>
      <c r="H479" s="121"/>
      <c r="I479" s="121"/>
      <c r="J479" s="121"/>
      <c r="K479" s="121"/>
      <c r="L479" s="121"/>
      <c r="M479" s="121"/>
      <c r="N479" s="121"/>
      <c r="O479" s="121"/>
      <c r="P479" s="121"/>
      <c r="Q479" s="121"/>
      <c r="R479" s="121"/>
      <c r="S479" s="121"/>
      <c r="T479" s="121"/>
      <c r="U479" s="121"/>
      <c r="V479" s="121"/>
      <c r="W479" s="121"/>
      <c r="X479" s="121"/>
      <c r="Y479" s="123"/>
      <c r="Z479" s="121"/>
      <c r="AA479" s="123"/>
      <c r="AB479" s="123"/>
      <c r="AC479" s="123"/>
      <c r="AD479" s="123"/>
      <c r="AE479" s="123"/>
      <c r="AF479" s="123"/>
      <c r="AG479" s="123"/>
      <c r="AH479" s="123"/>
      <c r="AI479" s="123"/>
      <c r="AJ479" s="123"/>
      <c r="AK479" s="123"/>
      <c r="AL479" s="123"/>
      <c r="AM479" s="123"/>
      <c r="AN479" s="123"/>
      <c r="AO479" s="123"/>
      <c r="AP479" s="123"/>
      <c r="AQ479" s="123"/>
      <c r="AR479" s="123"/>
      <c r="AS479" s="123"/>
      <c r="AT479" s="123"/>
      <c r="AU479" s="123"/>
      <c r="AV479" s="123"/>
      <c r="AW479" s="123"/>
      <c r="AX479" s="123"/>
    </row>
    <row r="480">
      <c r="A480" s="177"/>
      <c r="B480" s="177"/>
      <c r="C480" s="121"/>
      <c r="D480" s="121"/>
      <c r="E480" s="121"/>
      <c r="F480" s="121"/>
      <c r="G480" s="177"/>
      <c r="H480" s="121"/>
      <c r="I480" s="121"/>
      <c r="J480" s="121"/>
      <c r="K480" s="121"/>
      <c r="L480" s="121"/>
      <c r="M480" s="121"/>
      <c r="N480" s="121"/>
      <c r="O480" s="121"/>
      <c r="P480" s="121"/>
      <c r="Q480" s="121"/>
      <c r="R480" s="121"/>
      <c r="S480" s="121"/>
      <c r="T480" s="121"/>
      <c r="U480" s="121"/>
      <c r="V480" s="121"/>
      <c r="W480" s="121"/>
      <c r="X480" s="121"/>
      <c r="Y480" s="123"/>
      <c r="Z480" s="121"/>
      <c r="AA480" s="123"/>
      <c r="AB480" s="123"/>
      <c r="AC480" s="123"/>
      <c r="AD480" s="123"/>
      <c r="AE480" s="123"/>
      <c r="AF480" s="123"/>
      <c r="AG480" s="123"/>
      <c r="AH480" s="123"/>
      <c r="AI480" s="123"/>
      <c r="AJ480" s="123"/>
      <c r="AK480" s="123"/>
      <c r="AL480" s="123"/>
      <c r="AM480" s="123"/>
      <c r="AN480" s="123"/>
      <c r="AO480" s="123"/>
      <c r="AP480" s="123"/>
      <c r="AQ480" s="123"/>
      <c r="AR480" s="123"/>
      <c r="AS480" s="123"/>
      <c r="AT480" s="123"/>
      <c r="AU480" s="123"/>
      <c r="AV480" s="123"/>
      <c r="AW480" s="123"/>
      <c r="AX480" s="123"/>
    </row>
    <row r="481">
      <c r="A481" s="177"/>
      <c r="B481" s="177"/>
      <c r="C481" s="121"/>
      <c r="D481" s="121"/>
      <c r="E481" s="121"/>
      <c r="F481" s="121"/>
      <c r="G481" s="177"/>
      <c r="H481" s="121"/>
      <c r="I481" s="121"/>
      <c r="J481" s="121"/>
      <c r="K481" s="121"/>
      <c r="L481" s="121"/>
      <c r="M481" s="121"/>
      <c r="N481" s="121"/>
      <c r="O481" s="121"/>
      <c r="P481" s="121"/>
      <c r="Q481" s="121"/>
      <c r="R481" s="121"/>
      <c r="S481" s="121"/>
      <c r="T481" s="121"/>
      <c r="U481" s="121"/>
      <c r="V481" s="121"/>
      <c r="W481" s="121"/>
      <c r="X481" s="121"/>
      <c r="Y481" s="123"/>
      <c r="Z481" s="121"/>
      <c r="AA481" s="123"/>
      <c r="AB481" s="123"/>
      <c r="AC481" s="123"/>
      <c r="AD481" s="123"/>
      <c r="AE481" s="123"/>
      <c r="AF481" s="123"/>
      <c r="AG481" s="123"/>
      <c r="AH481" s="123"/>
      <c r="AI481" s="123"/>
      <c r="AJ481" s="123"/>
      <c r="AK481" s="123"/>
      <c r="AL481" s="123"/>
      <c r="AM481" s="123"/>
      <c r="AN481" s="123"/>
      <c r="AO481" s="123"/>
      <c r="AP481" s="123"/>
      <c r="AQ481" s="123"/>
      <c r="AR481" s="123"/>
      <c r="AS481" s="123"/>
      <c r="AT481" s="123"/>
      <c r="AU481" s="123"/>
      <c r="AV481" s="123"/>
      <c r="AW481" s="123"/>
      <c r="AX481" s="123"/>
    </row>
    <row r="482">
      <c r="A482" s="177"/>
      <c r="B482" s="177"/>
      <c r="C482" s="121"/>
      <c r="D482" s="121"/>
      <c r="E482" s="121"/>
      <c r="F482" s="121"/>
      <c r="G482" s="177"/>
      <c r="H482" s="121"/>
      <c r="I482" s="121"/>
      <c r="J482" s="121"/>
      <c r="K482" s="121"/>
      <c r="L482" s="121"/>
      <c r="M482" s="121"/>
      <c r="N482" s="121"/>
      <c r="O482" s="121"/>
      <c r="P482" s="121"/>
      <c r="Q482" s="121"/>
      <c r="R482" s="121"/>
      <c r="S482" s="121"/>
      <c r="T482" s="121"/>
      <c r="U482" s="121"/>
      <c r="V482" s="121"/>
      <c r="W482" s="121"/>
      <c r="X482" s="121"/>
      <c r="Y482" s="123"/>
      <c r="Z482" s="121"/>
      <c r="AA482" s="123"/>
      <c r="AB482" s="123"/>
      <c r="AC482" s="123"/>
      <c r="AD482" s="123"/>
      <c r="AE482" s="123"/>
      <c r="AF482" s="123"/>
      <c r="AG482" s="123"/>
      <c r="AH482" s="123"/>
      <c r="AI482" s="123"/>
      <c r="AJ482" s="123"/>
      <c r="AK482" s="123"/>
      <c r="AL482" s="123"/>
      <c r="AM482" s="123"/>
      <c r="AN482" s="123"/>
      <c r="AO482" s="123"/>
      <c r="AP482" s="123"/>
      <c r="AQ482" s="123"/>
      <c r="AR482" s="123"/>
      <c r="AS482" s="123"/>
      <c r="AT482" s="123"/>
      <c r="AU482" s="123"/>
      <c r="AV482" s="123"/>
      <c r="AW482" s="123"/>
      <c r="AX482" s="123"/>
    </row>
    <row r="483">
      <c r="A483" s="177"/>
      <c r="B483" s="177"/>
      <c r="C483" s="121"/>
      <c r="D483" s="121"/>
      <c r="E483" s="121"/>
      <c r="F483" s="121"/>
      <c r="G483" s="177"/>
      <c r="H483" s="121"/>
      <c r="I483" s="121"/>
      <c r="J483" s="121"/>
      <c r="K483" s="121"/>
      <c r="L483" s="121"/>
      <c r="M483" s="121"/>
      <c r="N483" s="121"/>
      <c r="O483" s="121"/>
      <c r="P483" s="121"/>
      <c r="Q483" s="121"/>
      <c r="R483" s="121"/>
      <c r="S483" s="121"/>
      <c r="T483" s="121"/>
      <c r="U483" s="121"/>
      <c r="V483" s="121"/>
      <c r="W483" s="121"/>
      <c r="X483" s="121"/>
      <c r="Y483" s="123"/>
      <c r="Z483" s="121"/>
      <c r="AA483" s="123"/>
      <c r="AB483" s="123"/>
      <c r="AC483" s="123"/>
      <c r="AD483" s="123"/>
      <c r="AE483" s="123"/>
      <c r="AF483" s="123"/>
      <c r="AG483" s="123"/>
      <c r="AH483" s="123"/>
      <c r="AI483" s="123"/>
      <c r="AJ483" s="123"/>
      <c r="AK483" s="123"/>
      <c r="AL483" s="123"/>
      <c r="AM483" s="123"/>
      <c r="AN483" s="123"/>
      <c r="AO483" s="123"/>
      <c r="AP483" s="123"/>
      <c r="AQ483" s="123"/>
      <c r="AR483" s="123"/>
      <c r="AS483" s="123"/>
      <c r="AT483" s="123"/>
      <c r="AU483" s="123"/>
      <c r="AV483" s="123"/>
      <c r="AW483" s="123"/>
      <c r="AX483" s="123"/>
    </row>
    <row r="484">
      <c r="A484" s="177"/>
      <c r="B484" s="177"/>
      <c r="C484" s="121"/>
      <c r="D484" s="121"/>
      <c r="E484" s="121"/>
      <c r="F484" s="121"/>
      <c r="G484" s="177"/>
      <c r="H484" s="121"/>
      <c r="I484" s="121"/>
      <c r="J484" s="121"/>
      <c r="K484" s="121"/>
      <c r="L484" s="121"/>
      <c r="M484" s="121"/>
      <c r="N484" s="121"/>
      <c r="O484" s="121"/>
      <c r="P484" s="121"/>
      <c r="Q484" s="121"/>
      <c r="R484" s="121"/>
      <c r="S484" s="121"/>
      <c r="T484" s="121"/>
      <c r="U484" s="121"/>
      <c r="V484" s="121"/>
      <c r="W484" s="121"/>
      <c r="X484" s="121"/>
      <c r="Y484" s="123"/>
      <c r="Z484" s="121"/>
      <c r="AA484" s="123"/>
      <c r="AB484" s="123"/>
      <c r="AC484" s="123"/>
      <c r="AD484" s="123"/>
      <c r="AE484" s="123"/>
      <c r="AF484" s="123"/>
      <c r="AG484" s="123"/>
      <c r="AH484" s="123"/>
      <c r="AI484" s="123"/>
      <c r="AJ484" s="123"/>
      <c r="AK484" s="123"/>
      <c r="AL484" s="123"/>
      <c r="AM484" s="123"/>
      <c r="AN484" s="123"/>
      <c r="AO484" s="123"/>
      <c r="AP484" s="123"/>
      <c r="AQ484" s="123"/>
      <c r="AR484" s="123"/>
      <c r="AS484" s="123"/>
      <c r="AT484" s="123"/>
      <c r="AU484" s="123"/>
      <c r="AV484" s="123"/>
      <c r="AW484" s="123"/>
      <c r="AX484" s="123"/>
    </row>
    <row r="485">
      <c r="A485" s="177"/>
      <c r="B485" s="177"/>
      <c r="C485" s="121"/>
      <c r="D485" s="121"/>
      <c r="E485" s="121"/>
      <c r="F485" s="121"/>
      <c r="G485" s="177"/>
      <c r="H485" s="121"/>
      <c r="I485" s="121"/>
      <c r="J485" s="121"/>
      <c r="K485" s="121"/>
      <c r="L485" s="121"/>
      <c r="M485" s="121"/>
      <c r="N485" s="121"/>
      <c r="O485" s="121"/>
      <c r="P485" s="121"/>
      <c r="Q485" s="121"/>
      <c r="R485" s="121"/>
      <c r="S485" s="121"/>
      <c r="T485" s="121"/>
      <c r="U485" s="121"/>
      <c r="V485" s="121"/>
      <c r="W485" s="121"/>
      <c r="X485" s="121"/>
      <c r="Y485" s="123"/>
      <c r="Z485" s="121"/>
      <c r="AA485" s="123"/>
      <c r="AB485" s="123"/>
      <c r="AC485" s="123"/>
      <c r="AD485" s="123"/>
      <c r="AE485" s="123"/>
      <c r="AF485" s="123"/>
      <c r="AG485" s="123"/>
      <c r="AH485" s="123"/>
      <c r="AI485" s="123"/>
      <c r="AJ485" s="123"/>
      <c r="AK485" s="123"/>
      <c r="AL485" s="123"/>
      <c r="AM485" s="123"/>
      <c r="AN485" s="123"/>
      <c r="AO485" s="123"/>
      <c r="AP485" s="123"/>
      <c r="AQ485" s="123"/>
      <c r="AR485" s="123"/>
      <c r="AS485" s="123"/>
      <c r="AT485" s="123"/>
      <c r="AU485" s="123"/>
      <c r="AV485" s="123"/>
      <c r="AW485" s="123"/>
      <c r="AX485" s="123"/>
    </row>
    <row r="486">
      <c r="A486" s="177"/>
      <c r="B486" s="177"/>
      <c r="C486" s="121"/>
      <c r="D486" s="121"/>
      <c r="E486" s="121"/>
      <c r="F486" s="121"/>
      <c r="G486" s="177"/>
      <c r="H486" s="121"/>
      <c r="I486" s="121"/>
      <c r="J486" s="121"/>
      <c r="K486" s="121"/>
      <c r="L486" s="121"/>
      <c r="M486" s="121"/>
      <c r="N486" s="121"/>
      <c r="O486" s="121"/>
      <c r="P486" s="121"/>
      <c r="Q486" s="121"/>
      <c r="R486" s="121"/>
      <c r="S486" s="121"/>
      <c r="T486" s="121"/>
      <c r="U486" s="121"/>
      <c r="V486" s="121"/>
      <c r="W486" s="121"/>
      <c r="X486" s="121"/>
      <c r="Y486" s="123"/>
      <c r="Z486" s="121"/>
      <c r="AA486" s="123"/>
      <c r="AB486" s="123"/>
      <c r="AC486" s="123"/>
      <c r="AD486" s="123"/>
      <c r="AE486" s="123"/>
      <c r="AF486" s="123"/>
      <c r="AG486" s="123"/>
      <c r="AH486" s="123"/>
      <c r="AI486" s="123"/>
      <c r="AJ486" s="123"/>
      <c r="AK486" s="123"/>
      <c r="AL486" s="123"/>
      <c r="AM486" s="123"/>
      <c r="AN486" s="123"/>
      <c r="AO486" s="123"/>
      <c r="AP486" s="123"/>
      <c r="AQ486" s="123"/>
      <c r="AR486" s="123"/>
      <c r="AS486" s="123"/>
      <c r="AT486" s="123"/>
      <c r="AU486" s="123"/>
      <c r="AV486" s="123"/>
      <c r="AW486" s="123"/>
      <c r="AX486" s="123"/>
    </row>
    <row r="487">
      <c r="A487" s="177"/>
      <c r="B487" s="177"/>
      <c r="C487" s="121"/>
      <c r="D487" s="121"/>
      <c r="E487" s="121"/>
      <c r="F487" s="121"/>
      <c r="G487" s="177"/>
      <c r="H487" s="121"/>
      <c r="I487" s="121"/>
      <c r="J487" s="121"/>
      <c r="K487" s="121"/>
      <c r="L487" s="121"/>
      <c r="M487" s="121"/>
      <c r="N487" s="121"/>
      <c r="O487" s="121"/>
      <c r="P487" s="121"/>
      <c r="Q487" s="121"/>
      <c r="R487" s="121"/>
      <c r="S487" s="121"/>
      <c r="T487" s="121"/>
      <c r="U487" s="121"/>
      <c r="V487" s="121"/>
      <c r="W487" s="121"/>
      <c r="X487" s="121"/>
      <c r="Y487" s="123"/>
      <c r="Z487" s="121"/>
      <c r="AA487" s="123"/>
      <c r="AB487" s="123"/>
      <c r="AC487" s="123"/>
      <c r="AD487" s="123"/>
      <c r="AE487" s="123"/>
      <c r="AF487" s="123"/>
      <c r="AG487" s="123"/>
      <c r="AH487" s="123"/>
      <c r="AI487" s="123"/>
      <c r="AJ487" s="123"/>
      <c r="AK487" s="123"/>
      <c r="AL487" s="123"/>
      <c r="AM487" s="123"/>
      <c r="AN487" s="123"/>
      <c r="AO487" s="123"/>
      <c r="AP487" s="123"/>
      <c r="AQ487" s="123"/>
      <c r="AR487" s="123"/>
      <c r="AS487" s="123"/>
      <c r="AT487" s="123"/>
      <c r="AU487" s="123"/>
      <c r="AV487" s="123"/>
      <c r="AW487" s="123"/>
      <c r="AX487" s="123"/>
    </row>
    <row r="488">
      <c r="A488" s="177"/>
      <c r="B488" s="177"/>
      <c r="C488" s="121"/>
      <c r="D488" s="121"/>
      <c r="E488" s="121"/>
      <c r="F488" s="121"/>
      <c r="G488" s="177"/>
      <c r="H488" s="121"/>
      <c r="I488" s="121"/>
      <c r="J488" s="121"/>
      <c r="K488" s="121"/>
      <c r="L488" s="121"/>
      <c r="M488" s="121"/>
      <c r="N488" s="121"/>
      <c r="O488" s="121"/>
      <c r="P488" s="121"/>
      <c r="Q488" s="121"/>
      <c r="R488" s="121"/>
      <c r="S488" s="121"/>
      <c r="T488" s="121"/>
      <c r="U488" s="121"/>
      <c r="V488" s="121"/>
      <c r="W488" s="121"/>
      <c r="X488" s="121"/>
      <c r="Y488" s="123"/>
      <c r="Z488" s="121"/>
      <c r="AA488" s="123"/>
      <c r="AB488" s="123"/>
      <c r="AC488" s="123"/>
      <c r="AD488" s="123"/>
      <c r="AE488" s="123"/>
      <c r="AF488" s="123"/>
      <c r="AG488" s="123"/>
      <c r="AH488" s="123"/>
      <c r="AI488" s="123"/>
      <c r="AJ488" s="123"/>
      <c r="AK488" s="123"/>
      <c r="AL488" s="123"/>
      <c r="AM488" s="123"/>
      <c r="AN488" s="123"/>
      <c r="AO488" s="123"/>
      <c r="AP488" s="123"/>
      <c r="AQ488" s="123"/>
      <c r="AR488" s="123"/>
      <c r="AS488" s="123"/>
      <c r="AT488" s="123"/>
      <c r="AU488" s="123"/>
      <c r="AV488" s="123"/>
      <c r="AW488" s="123"/>
      <c r="AX488" s="123"/>
    </row>
    <row r="489">
      <c r="A489" s="177"/>
      <c r="B489" s="177"/>
      <c r="C489" s="121"/>
      <c r="D489" s="121"/>
      <c r="E489" s="121"/>
      <c r="F489" s="121"/>
      <c r="G489" s="177"/>
      <c r="H489" s="121"/>
      <c r="I489" s="121"/>
      <c r="J489" s="121"/>
      <c r="K489" s="121"/>
      <c r="L489" s="121"/>
      <c r="M489" s="121"/>
      <c r="N489" s="121"/>
      <c r="O489" s="121"/>
      <c r="P489" s="121"/>
      <c r="Q489" s="121"/>
      <c r="R489" s="121"/>
      <c r="S489" s="121"/>
      <c r="T489" s="121"/>
      <c r="U489" s="121"/>
      <c r="V489" s="121"/>
      <c r="W489" s="121"/>
      <c r="X489" s="121"/>
      <c r="Y489" s="123"/>
      <c r="Z489" s="121"/>
      <c r="AA489" s="123"/>
      <c r="AB489" s="123"/>
      <c r="AC489" s="123"/>
      <c r="AD489" s="123"/>
      <c r="AE489" s="123"/>
      <c r="AF489" s="123"/>
      <c r="AG489" s="123"/>
      <c r="AH489" s="123"/>
      <c r="AI489" s="123"/>
      <c r="AJ489" s="123"/>
      <c r="AK489" s="123"/>
      <c r="AL489" s="123"/>
      <c r="AM489" s="123"/>
      <c r="AN489" s="123"/>
      <c r="AO489" s="123"/>
      <c r="AP489" s="123"/>
      <c r="AQ489" s="123"/>
      <c r="AR489" s="123"/>
      <c r="AS489" s="123"/>
      <c r="AT489" s="123"/>
      <c r="AU489" s="123"/>
      <c r="AV489" s="123"/>
      <c r="AW489" s="123"/>
      <c r="AX489" s="123"/>
    </row>
    <row r="490">
      <c r="A490" s="173"/>
      <c r="B490" s="174"/>
      <c r="C490" s="174"/>
      <c r="D490" s="71"/>
      <c r="E490" s="71"/>
      <c r="F490" s="71"/>
      <c r="G490" s="174"/>
      <c r="H490" s="173"/>
      <c r="I490" s="173"/>
      <c r="J490" s="174"/>
      <c r="K490" s="71"/>
      <c r="L490" s="174"/>
      <c r="M490" s="174"/>
      <c r="N490" s="174"/>
      <c r="O490" s="174"/>
      <c r="P490" s="174"/>
      <c r="Q490" s="174"/>
      <c r="R490" s="174"/>
      <c r="S490" s="71"/>
      <c r="T490" s="71"/>
      <c r="U490" s="198"/>
      <c r="V490" s="174"/>
      <c r="W490" s="71"/>
      <c r="X490" s="71"/>
      <c r="Y490" s="71"/>
      <c r="Z490" s="71"/>
      <c r="AA490" s="77"/>
      <c r="AB490" s="77"/>
      <c r="AC490" s="77"/>
      <c r="AD490" s="77"/>
      <c r="AE490" s="77"/>
      <c r="AF490" s="77"/>
      <c r="AG490" s="77"/>
      <c r="AH490" s="77"/>
      <c r="AI490" s="77"/>
      <c r="AJ490" s="77"/>
      <c r="AK490" s="77"/>
      <c r="AL490" s="77"/>
      <c r="AM490" s="77"/>
      <c r="AN490" s="77"/>
      <c r="AO490" s="77"/>
      <c r="AP490" s="77"/>
      <c r="AQ490" s="77"/>
      <c r="AR490" s="77"/>
      <c r="AS490" s="77"/>
      <c r="AT490" s="77"/>
      <c r="AU490" s="77"/>
      <c r="AV490" s="77"/>
      <c r="AW490" s="77"/>
      <c r="AX490" s="77"/>
    </row>
    <row r="491">
      <c r="A491" s="173"/>
      <c r="B491" s="174"/>
      <c r="C491" s="174"/>
      <c r="D491" s="71"/>
      <c r="E491" s="71"/>
      <c r="F491" s="71"/>
      <c r="G491" s="174"/>
      <c r="H491" s="173"/>
      <c r="I491" s="173"/>
      <c r="J491" s="174"/>
      <c r="K491" s="71"/>
      <c r="L491" s="174"/>
      <c r="M491" s="174"/>
      <c r="N491" s="174"/>
      <c r="O491" s="174"/>
      <c r="P491" s="174"/>
      <c r="Q491" s="174"/>
      <c r="R491" s="174"/>
      <c r="S491" s="71"/>
      <c r="T491" s="71"/>
      <c r="U491" s="176"/>
      <c r="V491" s="174"/>
      <c r="W491" s="174"/>
      <c r="X491" s="71"/>
      <c r="Y491" s="71"/>
      <c r="Z491" s="71"/>
      <c r="AA491" s="77"/>
      <c r="AB491" s="77"/>
      <c r="AC491" s="77"/>
      <c r="AD491" s="77"/>
      <c r="AE491" s="77"/>
      <c r="AF491" s="77"/>
      <c r="AG491" s="77"/>
      <c r="AH491" s="77"/>
      <c r="AI491" s="77"/>
      <c r="AJ491" s="77"/>
      <c r="AK491" s="77"/>
      <c r="AL491" s="77"/>
      <c r="AM491" s="77"/>
      <c r="AN491" s="77"/>
      <c r="AO491" s="77"/>
      <c r="AP491" s="77"/>
      <c r="AQ491" s="77"/>
      <c r="AR491" s="77"/>
      <c r="AS491" s="77"/>
      <c r="AT491" s="77"/>
      <c r="AU491" s="77"/>
      <c r="AV491" s="77"/>
      <c r="AW491" s="77"/>
      <c r="AX491" s="77"/>
    </row>
    <row r="492">
      <c r="A492" s="173"/>
      <c r="B492" s="174"/>
      <c r="C492" s="174"/>
      <c r="D492" s="71"/>
      <c r="E492" s="71"/>
      <c r="F492" s="71"/>
      <c r="G492" s="174"/>
      <c r="H492" s="173"/>
      <c r="I492" s="173"/>
      <c r="J492" s="174"/>
      <c r="K492" s="71"/>
      <c r="L492" s="174"/>
      <c r="M492" s="174"/>
      <c r="N492" s="174"/>
      <c r="O492" s="174"/>
      <c r="P492" s="174"/>
      <c r="Q492" s="174"/>
      <c r="R492" s="174"/>
      <c r="S492" s="71"/>
      <c r="T492" s="174"/>
      <c r="U492" s="176"/>
      <c r="V492" s="174"/>
      <c r="W492" s="174"/>
      <c r="X492" s="174"/>
      <c r="Y492" s="71"/>
      <c r="Z492" s="71"/>
      <c r="AA492" s="77"/>
      <c r="AB492" s="77"/>
      <c r="AC492" s="77"/>
      <c r="AD492" s="77"/>
      <c r="AE492" s="77"/>
      <c r="AF492" s="77"/>
      <c r="AG492" s="77"/>
      <c r="AH492" s="77"/>
      <c r="AI492" s="77"/>
      <c r="AJ492" s="77"/>
      <c r="AK492" s="77"/>
      <c r="AL492" s="77"/>
      <c r="AM492" s="77"/>
      <c r="AN492" s="77"/>
      <c r="AO492" s="77"/>
      <c r="AP492" s="77"/>
      <c r="AQ492" s="77"/>
      <c r="AR492" s="77"/>
      <c r="AS492" s="77"/>
      <c r="AT492" s="77"/>
      <c r="AU492" s="77"/>
      <c r="AV492" s="77"/>
      <c r="AW492" s="77"/>
      <c r="AX492" s="77"/>
    </row>
    <row r="493">
      <c r="A493" s="177"/>
      <c r="B493" s="177"/>
      <c r="C493" s="123"/>
      <c r="D493" s="123"/>
      <c r="E493" s="123"/>
      <c r="F493" s="123"/>
      <c r="G493" s="177"/>
      <c r="H493" s="123"/>
      <c r="I493" s="123"/>
      <c r="J493" s="123"/>
      <c r="K493" s="123"/>
      <c r="L493" s="123"/>
      <c r="M493" s="123"/>
      <c r="N493" s="123"/>
      <c r="O493" s="123"/>
      <c r="P493" s="123"/>
      <c r="Q493" s="123"/>
      <c r="R493" s="123"/>
      <c r="S493" s="123"/>
      <c r="T493" s="123"/>
      <c r="U493" s="123"/>
      <c r="V493" s="123"/>
      <c r="W493" s="123"/>
      <c r="X493" s="123"/>
      <c r="Y493" s="123"/>
      <c r="Z493" s="123"/>
      <c r="AA493" s="123"/>
      <c r="AB493" s="123"/>
      <c r="AC493" s="123"/>
      <c r="AD493" s="123"/>
      <c r="AE493" s="123"/>
      <c r="AF493" s="123"/>
      <c r="AG493" s="123"/>
      <c r="AH493" s="123"/>
      <c r="AI493" s="123"/>
      <c r="AJ493" s="123"/>
      <c r="AK493" s="123"/>
      <c r="AL493" s="123"/>
      <c r="AM493" s="123"/>
      <c r="AN493" s="123"/>
      <c r="AO493" s="123"/>
      <c r="AP493" s="123"/>
      <c r="AQ493" s="123"/>
      <c r="AR493" s="123"/>
      <c r="AS493" s="123"/>
      <c r="AT493" s="123"/>
      <c r="AU493" s="123"/>
      <c r="AV493" s="123"/>
      <c r="AW493" s="123"/>
      <c r="AX493" s="1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sheetData>
    <row r="1">
      <c r="A1" s="199"/>
      <c r="B1" s="199"/>
      <c r="C1" s="199"/>
      <c r="D1" s="200">
        <v>1.0</v>
      </c>
      <c r="E1" s="200">
        <f t="shared" ref="E1:AI1" si="1">D1+1</f>
        <v>2</v>
      </c>
      <c r="F1" s="200">
        <f t="shared" si="1"/>
        <v>3</v>
      </c>
      <c r="G1" s="200">
        <f t="shared" si="1"/>
        <v>4</v>
      </c>
      <c r="H1" s="200">
        <f t="shared" si="1"/>
        <v>5</v>
      </c>
      <c r="I1" s="200">
        <f t="shared" si="1"/>
        <v>6</v>
      </c>
      <c r="J1" s="200">
        <f t="shared" si="1"/>
        <v>7</v>
      </c>
      <c r="K1" s="200">
        <f t="shared" si="1"/>
        <v>8</v>
      </c>
      <c r="L1" s="200">
        <f t="shared" si="1"/>
        <v>9</v>
      </c>
      <c r="M1" s="200">
        <f t="shared" si="1"/>
        <v>10</v>
      </c>
      <c r="N1" s="200">
        <f t="shared" si="1"/>
        <v>11</v>
      </c>
      <c r="O1" s="200">
        <f t="shared" si="1"/>
        <v>12</v>
      </c>
      <c r="P1" s="200">
        <f t="shared" si="1"/>
        <v>13</v>
      </c>
      <c r="Q1" s="200">
        <f t="shared" si="1"/>
        <v>14</v>
      </c>
      <c r="R1" s="200">
        <f t="shared" si="1"/>
        <v>15</v>
      </c>
      <c r="S1" s="200">
        <f t="shared" si="1"/>
        <v>16</v>
      </c>
      <c r="T1" s="200">
        <f t="shared" si="1"/>
        <v>17</v>
      </c>
      <c r="U1" s="200">
        <f t="shared" si="1"/>
        <v>18</v>
      </c>
      <c r="V1" s="200">
        <f t="shared" si="1"/>
        <v>19</v>
      </c>
      <c r="W1" s="200">
        <f t="shared" si="1"/>
        <v>20</v>
      </c>
      <c r="X1" s="200">
        <f t="shared" si="1"/>
        <v>21</v>
      </c>
      <c r="Y1" s="200">
        <f t="shared" si="1"/>
        <v>22</v>
      </c>
      <c r="Z1" s="200">
        <f t="shared" si="1"/>
        <v>23</v>
      </c>
      <c r="AA1" s="200">
        <f t="shared" si="1"/>
        <v>24</v>
      </c>
      <c r="AB1" s="200">
        <f t="shared" si="1"/>
        <v>25</v>
      </c>
      <c r="AC1" s="200">
        <f t="shared" si="1"/>
        <v>26</v>
      </c>
      <c r="AD1" s="200">
        <f t="shared" si="1"/>
        <v>27</v>
      </c>
      <c r="AE1" s="200">
        <f t="shared" si="1"/>
        <v>28</v>
      </c>
      <c r="AF1" s="200">
        <f t="shared" si="1"/>
        <v>29</v>
      </c>
      <c r="AG1" s="200">
        <f t="shared" si="1"/>
        <v>30</v>
      </c>
      <c r="AH1" s="200">
        <f t="shared" si="1"/>
        <v>31</v>
      </c>
      <c r="AI1" s="200">
        <f t="shared" si="1"/>
        <v>32</v>
      </c>
      <c r="AJ1" s="201"/>
      <c r="AK1" s="201"/>
      <c r="AL1" s="201"/>
      <c r="AM1" s="201"/>
      <c r="AN1" s="201"/>
      <c r="AO1" s="202"/>
      <c r="AP1" s="202"/>
      <c r="AQ1" s="202"/>
      <c r="AR1" s="202"/>
      <c r="AS1" s="202"/>
      <c r="AT1" s="203"/>
      <c r="AU1" s="203"/>
      <c r="AV1" s="203"/>
      <c r="AW1" s="203"/>
      <c r="AX1" s="203"/>
      <c r="AY1" s="203"/>
      <c r="AZ1" s="77"/>
      <c r="BA1" s="77"/>
      <c r="BB1" s="77"/>
      <c r="BC1" s="77"/>
      <c r="BD1" s="77"/>
      <c r="BE1" s="77"/>
    </row>
    <row r="2">
      <c r="A2" s="199" t="s">
        <v>6520</v>
      </c>
      <c r="B2" s="199" t="s">
        <v>6521</v>
      </c>
      <c r="C2" s="199" t="s">
        <v>6522</v>
      </c>
      <c r="D2" s="199" t="s">
        <v>6520</v>
      </c>
      <c r="E2" s="199" t="s">
        <v>6521</v>
      </c>
      <c r="F2" s="199" t="s">
        <v>6523</v>
      </c>
      <c r="G2" s="199" t="s">
        <v>6524</v>
      </c>
      <c r="H2" s="199" t="s">
        <v>6525</v>
      </c>
      <c r="I2" s="199" t="s">
        <v>6526</v>
      </c>
      <c r="J2" s="199" t="s">
        <v>5588</v>
      </c>
      <c r="K2" s="199" t="s">
        <v>6527</v>
      </c>
      <c r="L2" s="199" t="s">
        <v>6528</v>
      </c>
      <c r="M2" s="199" t="s">
        <v>6529</v>
      </c>
      <c r="N2" s="199" t="s">
        <v>6530</v>
      </c>
      <c r="O2" s="78" t="s">
        <v>6531</v>
      </c>
      <c r="P2" s="199" t="s">
        <v>64</v>
      </c>
      <c r="Q2" s="204" t="s">
        <v>6532</v>
      </c>
      <c r="R2" s="205" t="s">
        <v>6533</v>
      </c>
      <c r="S2" s="206" t="s">
        <v>6534</v>
      </c>
      <c r="T2" s="207" t="s">
        <v>68</v>
      </c>
      <c r="U2" s="199" t="s">
        <v>69</v>
      </c>
      <c r="V2" s="206" t="s">
        <v>6535</v>
      </c>
      <c r="W2" s="77"/>
      <c r="X2" s="77"/>
      <c r="Y2" s="208" t="s">
        <v>6289</v>
      </c>
      <c r="Z2" s="209" t="s">
        <v>75</v>
      </c>
      <c r="AA2" s="209" t="s">
        <v>6536</v>
      </c>
      <c r="AB2" s="77"/>
      <c r="AC2" s="77"/>
      <c r="AD2" s="209" t="s">
        <v>6537</v>
      </c>
      <c r="AE2" s="210" t="s">
        <v>109</v>
      </c>
      <c r="AF2" s="209" t="s">
        <v>111</v>
      </c>
      <c r="AG2" s="210" t="s">
        <v>110</v>
      </c>
      <c r="AH2" s="210" t="s">
        <v>112</v>
      </c>
      <c r="AI2" s="210" t="s">
        <v>113</v>
      </c>
      <c r="AJ2" s="201" t="s">
        <v>6537</v>
      </c>
      <c r="AK2" s="201" t="s">
        <v>109</v>
      </c>
      <c r="AL2" s="201" t="s">
        <v>110</v>
      </c>
      <c r="AM2" s="201" t="s">
        <v>112</v>
      </c>
      <c r="AN2" s="201" t="s">
        <v>113</v>
      </c>
      <c r="AO2" s="202" t="s">
        <v>6537</v>
      </c>
      <c r="AP2" s="202" t="s">
        <v>109</v>
      </c>
      <c r="AQ2" s="202" t="s">
        <v>110</v>
      </c>
      <c r="AR2" s="202" t="s">
        <v>112</v>
      </c>
      <c r="AS2" s="202" t="s">
        <v>113</v>
      </c>
      <c r="AT2" s="203" t="s">
        <v>6537</v>
      </c>
      <c r="AU2" s="203" t="s">
        <v>109</v>
      </c>
      <c r="AV2" s="203" t="s">
        <v>110</v>
      </c>
      <c r="AW2" s="203" t="s">
        <v>112</v>
      </c>
      <c r="AX2" s="203" t="s">
        <v>113</v>
      </c>
      <c r="AY2" s="203" t="s">
        <v>6538</v>
      </c>
      <c r="AZ2" s="77"/>
      <c r="BA2" s="77"/>
      <c r="BB2" s="77"/>
      <c r="BC2" s="77"/>
      <c r="BD2" s="77"/>
      <c r="BE2" s="77"/>
    </row>
    <row r="3">
      <c r="A3" s="77" t="s">
        <v>2418</v>
      </c>
      <c r="B3" s="77" t="s">
        <v>2418</v>
      </c>
      <c r="C3" s="77" t="s">
        <v>2420</v>
      </c>
      <c r="D3" s="211" t="s">
        <v>2418</v>
      </c>
      <c r="E3" s="212" t="s">
        <v>2418</v>
      </c>
      <c r="F3" s="212" t="s">
        <v>2418</v>
      </c>
      <c r="G3" s="188"/>
      <c r="H3" s="188"/>
      <c r="I3" s="188"/>
      <c r="J3" s="213">
        <v>1.63758027E8</v>
      </c>
      <c r="K3" s="213">
        <v>1.020776527E9</v>
      </c>
      <c r="L3" s="77"/>
      <c r="M3" s="77"/>
      <c r="N3" s="77"/>
      <c r="O3" s="78" t="s">
        <v>116</v>
      </c>
      <c r="P3" s="211" t="s">
        <v>283</v>
      </c>
      <c r="Q3" s="214" t="s">
        <v>2422</v>
      </c>
      <c r="R3" s="77" t="s">
        <v>2419</v>
      </c>
      <c r="S3" s="77"/>
      <c r="T3" s="211" t="s">
        <v>6539</v>
      </c>
      <c r="U3" s="215" t="s">
        <v>1557</v>
      </c>
      <c r="V3" s="77"/>
      <c r="W3" s="77"/>
      <c r="X3" s="77"/>
      <c r="Y3" s="77"/>
      <c r="Z3" s="216">
        <v>2.106909808E9</v>
      </c>
      <c r="AA3" s="77" t="s">
        <v>6540</v>
      </c>
      <c r="AB3" s="217">
        <v>1.65241082E8</v>
      </c>
      <c r="AC3" s="77" t="str">
        <f t="shared" ref="AC3:AC95" si="2">VLOOKUP( AB3,J:Q,8,0)</f>
        <v>ZMA тестостерон для мужчин Цинк + Магний + Аспарагиновая Кислота + В6 Qeep Экдистерон 120 капсул</v>
      </c>
      <c r="AD3" s="218">
        <v>9.0</v>
      </c>
      <c r="AE3" s="216">
        <v>4.0</v>
      </c>
      <c r="AF3" s="218">
        <v>9.0</v>
      </c>
      <c r="AG3" s="216">
        <v>5.0</v>
      </c>
      <c r="AH3" s="77"/>
      <c r="AI3" s="216">
        <v>0.062</v>
      </c>
      <c r="AJ3" s="77"/>
      <c r="AK3" s="77"/>
      <c r="AL3" s="77"/>
      <c r="AM3" s="77"/>
      <c r="AN3" s="77"/>
      <c r="AO3" s="77"/>
      <c r="AP3" s="77"/>
      <c r="AQ3" s="77"/>
      <c r="AR3" s="77"/>
      <c r="AS3" s="77"/>
      <c r="AT3" s="77"/>
      <c r="AU3" s="77"/>
      <c r="AV3" s="77"/>
      <c r="AW3" s="77"/>
      <c r="AX3" s="77"/>
      <c r="AY3" s="77"/>
      <c r="AZ3" s="77"/>
      <c r="BA3" s="77"/>
      <c r="BB3" s="77"/>
      <c r="BC3" s="77"/>
      <c r="BD3" s="77"/>
      <c r="BE3" s="77"/>
    </row>
    <row r="4">
      <c r="A4" s="77" t="s">
        <v>2630</v>
      </c>
      <c r="B4" s="77" t="s">
        <v>2630</v>
      </c>
      <c r="C4" s="77" t="s">
        <v>2632</v>
      </c>
      <c r="D4" s="211" t="s">
        <v>2630</v>
      </c>
      <c r="E4" s="212" t="s">
        <v>2630</v>
      </c>
      <c r="F4" s="212" t="s">
        <v>2630</v>
      </c>
      <c r="G4" s="188"/>
      <c r="H4" s="188"/>
      <c r="I4" s="188"/>
      <c r="J4" s="213">
        <v>1.57011739E8</v>
      </c>
      <c r="K4" s="213">
        <v>9.4693155E8</v>
      </c>
      <c r="L4" s="77"/>
      <c r="M4" s="77"/>
      <c r="N4" s="77"/>
      <c r="O4" s="78" t="s">
        <v>116</v>
      </c>
      <c r="P4" s="211" t="s">
        <v>283</v>
      </c>
      <c r="Q4" s="214" t="s">
        <v>2634</v>
      </c>
      <c r="R4" s="77" t="s">
        <v>2631</v>
      </c>
      <c r="S4" s="77"/>
      <c r="T4" s="211" t="s">
        <v>6539</v>
      </c>
      <c r="U4" s="215" t="s">
        <v>662</v>
      </c>
      <c r="V4" s="77"/>
      <c r="W4" s="77"/>
      <c r="X4" s="77"/>
      <c r="Y4" s="77"/>
      <c r="Z4" s="216">
        <v>2.106909808E9</v>
      </c>
      <c r="AA4" s="77" t="s">
        <v>6540</v>
      </c>
      <c r="AB4" s="217">
        <v>4.73683865E8</v>
      </c>
      <c r="AC4" s="77" t="str">
        <f t="shared" si="2"/>
        <v>Паста для вывода шерсти кошек и хорьков Harly 75 мл</v>
      </c>
      <c r="AD4" s="218">
        <v>5.0</v>
      </c>
      <c r="AE4" s="216">
        <v>9.0</v>
      </c>
      <c r="AF4" s="218">
        <v>5.0</v>
      </c>
      <c r="AG4" s="216">
        <v>4.0</v>
      </c>
      <c r="AH4" s="77"/>
      <c r="AI4" s="216">
        <v>0.08</v>
      </c>
      <c r="AJ4" s="77"/>
      <c r="AK4" s="77"/>
      <c r="AL4" s="77"/>
      <c r="AM4" s="77"/>
      <c r="AN4" s="77"/>
      <c r="AO4" s="77"/>
      <c r="AP4" s="77"/>
      <c r="AQ4" s="77"/>
      <c r="AR4" s="77"/>
      <c r="AS4" s="77"/>
      <c r="AT4" s="77"/>
      <c r="AU4" s="77"/>
      <c r="AV4" s="77"/>
      <c r="AW4" s="77"/>
      <c r="AX4" s="77"/>
      <c r="AY4" s="77"/>
      <c r="AZ4" s="77"/>
      <c r="BA4" s="77"/>
      <c r="BB4" s="77"/>
      <c r="BC4" s="77"/>
      <c r="BD4" s="77"/>
      <c r="BE4" s="77"/>
    </row>
    <row r="5">
      <c r="A5" s="77" t="s">
        <v>1779</v>
      </c>
      <c r="B5" s="77" t="s">
        <v>1779</v>
      </c>
      <c r="C5" s="77" t="s">
        <v>1781</v>
      </c>
      <c r="D5" s="211" t="s">
        <v>1779</v>
      </c>
      <c r="E5" s="212" t="s">
        <v>1779</v>
      </c>
      <c r="F5" s="212" t="s">
        <v>1779</v>
      </c>
      <c r="G5" s="219" t="s">
        <v>1779</v>
      </c>
      <c r="H5" s="188"/>
      <c r="I5" s="188"/>
      <c r="J5" s="213">
        <v>1.77867999E8</v>
      </c>
      <c r="K5" s="213">
        <v>1.200359466E9</v>
      </c>
      <c r="L5" s="220">
        <v>1.03372577016E11</v>
      </c>
      <c r="M5" s="77"/>
      <c r="N5" s="77"/>
      <c r="O5" s="78" t="s">
        <v>116</v>
      </c>
      <c r="P5" s="211" t="s">
        <v>283</v>
      </c>
      <c r="Q5" s="214" t="s">
        <v>1783</v>
      </c>
      <c r="R5" s="77" t="s">
        <v>1780</v>
      </c>
      <c r="S5" s="77"/>
      <c r="T5" s="211" t="s">
        <v>6539</v>
      </c>
      <c r="U5" s="215" t="s">
        <v>662</v>
      </c>
      <c r="V5" s="77"/>
      <c r="W5" s="77"/>
      <c r="X5" s="77"/>
      <c r="Y5" s="77"/>
      <c r="Z5" s="216">
        <v>2.106909808E9</v>
      </c>
      <c r="AA5" s="77" t="s">
        <v>6540</v>
      </c>
      <c r="AB5" s="217">
        <v>4.84619244E8</v>
      </c>
      <c r="AC5" s="77" t="str">
        <f t="shared" si="2"/>
        <v>Пенка для укладки волос у корней Ciao bella, qeep 150 мл</v>
      </c>
      <c r="AD5" s="218">
        <v>10.0</v>
      </c>
      <c r="AE5" s="216">
        <v>5.0</v>
      </c>
      <c r="AF5" s="218">
        <v>10.0</v>
      </c>
      <c r="AG5" s="216">
        <v>5.0</v>
      </c>
      <c r="AH5" s="77"/>
      <c r="AI5" s="216">
        <v>0.082</v>
      </c>
      <c r="AJ5" s="77"/>
      <c r="AK5" s="77"/>
      <c r="AL5" s="77"/>
      <c r="AM5" s="77"/>
      <c r="AN5" s="77"/>
      <c r="AO5" s="77"/>
      <c r="AP5" s="77"/>
      <c r="AQ5" s="77"/>
      <c r="AR5" s="77"/>
      <c r="AS5" s="77"/>
      <c r="AT5" s="77"/>
      <c r="AU5" s="77"/>
      <c r="AV5" s="77"/>
      <c r="AW5" s="77"/>
      <c r="AX5" s="77"/>
      <c r="AY5" s="77"/>
      <c r="AZ5" s="77"/>
      <c r="BA5" s="77"/>
      <c r="BB5" s="77"/>
      <c r="BC5" s="77"/>
      <c r="BD5" s="77"/>
      <c r="BE5" s="77"/>
    </row>
    <row r="6">
      <c r="A6" s="77" t="s">
        <v>950</v>
      </c>
      <c r="B6" s="77" t="s">
        <v>950</v>
      </c>
      <c r="C6" s="77" t="s">
        <v>953</v>
      </c>
      <c r="D6" s="211" t="s">
        <v>950</v>
      </c>
      <c r="E6" s="212" t="s">
        <v>950</v>
      </c>
      <c r="F6" s="212" t="s">
        <v>950</v>
      </c>
      <c r="G6" s="219" t="s">
        <v>950</v>
      </c>
      <c r="H6" s="188"/>
      <c r="I6" s="188"/>
      <c r="J6" s="213">
        <v>1.9312388E8</v>
      </c>
      <c r="K6" s="213">
        <v>1.323353605E9</v>
      </c>
      <c r="L6" s="220">
        <v>1.03614885657E11</v>
      </c>
      <c r="M6" s="77"/>
      <c r="N6" s="77"/>
      <c r="O6" s="78" t="s">
        <v>116</v>
      </c>
      <c r="P6" s="211" t="s">
        <v>283</v>
      </c>
      <c r="Q6" s="214" t="s">
        <v>955</v>
      </c>
      <c r="R6" s="77" t="s">
        <v>952</v>
      </c>
      <c r="S6" s="77"/>
      <c r="T6" s="211" t="s">
        <v>6539</v>
      </c>
      <c r="U6" s="211" t="s">
        <v>641</v>
      </c>
      <c r="V6" s="77"/>
      <c r="W6" s="77"/>
      <c r="X6" s="77"/>
      <c r="Y6" s="77"/>
      <c r="Z6" s="216">
        <v>2.106909808E9</v>
      </c>
      <c r="AA6" s="77" t="s">
        <v>6540</v>
      </c>
      <c r="AB6" s="217">
        <v>2.76247301E8</v>
      </c>
      <c r="AC6" s="77" t="str">
        <f t="shared" si="2"/>
        <v>Воск для лапок собак и кошек защитный Harly 30 мл</v>
      </c>
      <c r="AD6" s="218">
        <v>8.0</v>
      </c>
      <c r="AE6" s="216">
        <v>11.0</v>
      </c>
      <c r="AF6" s="218">
        <v>8.0</v>
      </c>
      <c r="AG6" s="216">
        <v>6.0</v>
      </c>
      <c r="AH6" s="77"/>
      <c r="AI6" s="216">
        <v>0.06</v>
      </c>
      <c r="AJ6" s="77"/>
      <c r="AK6" s="77"/>
      <c r="AL6" s="77"/>
      <c r="AM6" s="77"/>
      <c r="AN6" s="77"/>
      <c r="AO6" s="77"/>
      <c r="AP6" s="77"/>
      <c r="AQ6" s="77"/>
      <c r="AR6" s="77"/>
      <c r="AS6" s="77"/>
      <c r="AT6" s="77"/>
      <c r="AU6" s="77"/>
      <c r="AV6" s="77"/>
      <c r="AW6" s="77"/>
      <c r="AX6" s="77"/>
      <c r="AY6" s="77"/>
      <c r="AZ6" s="77"/>
      <c r="BA6" s="77"/>
      <c r="BB6" s="77"/>
      <c r="BC6" s="77"/>
      <c r="BD6" s="77"/>
      <c r="BE6" s="77"/>
    </row>
    <row r="7">
      <c r="A7" s="77" t="s">
        <v>1716</v>
      </c>
      <c r="B7" s="77" t="s">
        <v>1716</v>
      </c>
      <c r="C7" s="77" t="s">
        <v>1718</v>
      </c>
      <c r="D7" s="211" t="s">
        <v>1716</v>
      </c>
      <c r="E7" s="212" t="s">
        <v>1716</v>
      </c>
      <c r="F7" s="212" t="s">
        <v>1716</v>
      </c>
      <c r="G7" s="219" t="s">
        <v>1716</v>
      </c>
      <c r="H7" s="188"/>
      <c r="I7" s="188"/>
      <c r="J7" s="213">
        <v>1.58114551E8</v>
      </c>
      <c r="K7" s="213">
        <v>9.51604183E8</v>
      </c>
      <c r="L7" s="220">
        <v>1.02024722039E11</v>
      </c>
      <c r="M7" s="77"/>
      <c r="N7" s="77"/>
      <c r="O7" s="78" t="s">
        <v>116</v>
      </c>
      <c r="P7" s="211" t="s">
        <v>283</v>
      </c>
      <c r="Q7" s="214" t="s">
        <v>1720</v>
      </c>
      <c r="R7" s="77" t="s">
        <v>1717</v>
      </c>
      <c r="S7" s="77"/>
      <c r="T7" s="211" t="s">
        <v>6539</v>
      </c>
      <c r="U7" s="215" t="s">
        <v>662</v>
      </c>
      <c r="V7" s="77"/>
      <c r="W7" s="77"/>
      <c r="X7" s="77"/>
      <c r="Y7" s="77"/>
      <c r="Z7" s="216">
        <v>2.106909808E9</v>
      </c>
      <c r="AA7" s="77" t="s">
        <v>6540</v>
      </c>
      <c r="AB7" s="217">
        <v>3.81335309E8</v>
      </c>
      <c r="AC7" s="77" t="str">
        <f t="shared" si="2"/>
        <v>Лососевое масло для собак и кошек Harly 150 мл</v>
      </c>
      <c r="AD7" s="218">
        <v>11.0</v>
      </c>
      <c r="AE7" s="216">
        <v>4.0</v>
      </c>
      <c r="AF7" s="218">
        <v>11.0</v>
      </c>
      <c r="AG7" s="216">
        <v>4.0</v>
      </c>
      <c r="AH7" s="77"/>
      <c r="AI7" s="216">
        <v>0.056</v>
      </c>
      <c r="AJ7" s="77"/>
      <c r="AK7" s="77"/>
      <c r="AL7" s="77"/>
      <c r="AM7" s="77"/>
      <c r="AN7" s="77"/>
      <c r="AO7" s="77"/>
      <c r="AP7" s="77"/>
      <c r="AQ7" s="77"/>
      <c r="AR7" s="77"/>
      <c r="AS7" s="77"/>
      <c r="AT7" s="77"/>
      <c r="AU7" s="77"/>
      <c r="AV7" s="77"/>
      <c r="AW7" s="77"/>
      <c r="AX7" s="77"/>
      <c r="AY7" s="77"/>
      <c r="AZ7" s="77"/>
      <c r="BA7" s="77"/>
      <c r="BB7" s="77"/>
      <c r="BC7" s="77"/>
      <c r="BD7" s="77"/>
      <c r="BE7" s="77"/>
    </row>
    <row r="8">
      <c r="A8" s="77" t="s">
        <v>474</v>
      </c>
      <c r="B8" s="77" t="s">
        <v>474</v>
      </c>
      <c r="C8" s="77" t="s">
        <v>477</v>
      </c>
      <c r="D8" s="211" t="s">
        <v>474</v>
      </c>
      <c r="E8" s="212" t="s">
        <v>474</v>
      </c>
      <c r="F8" s="212" t="s">
        <v>474</v>
      </c>
      <c r="G8" s="219" t="s">
        <v>474</v>
      </c>
      <c r="H8" s="188"/>
      <c r="I8" s="212" t="s">
        <v>474</v>
      </c>
      <c r="J8" s="213">
        <v>1.98421782E8</v>
      </c>
      <c r="K8" s="213">
        <v>1.361997453E9</v>
      </c>
      <c r="L8" s="220">
        <v>1.03374785698E11</v>
      </c>
      <c r="M8" s="77"/>
      <c r="N8" s="213">
        <v>9.9000118637E10</v>
      </c>
      <c r="O8" s="78" t="s">
        <v>116</v>
      </c>
      <c r="P8" s="211" t="s">
        <v>283</v>
      </c>
      <c r="Q8" s="214" t="s">
        <v>479</v>
      </c>
      <c r="R8" s="77" t="s">
        <v>475</v>
      </c>
      <c r="S8" s="77"/>
      <c r="T8" s="211" t="s">
        <v>6539</v>
      </c>
      <c r="U8" s="211" t="s">
        <v>6541</v>
      </c>
      <c r="V8" s="77"/>
      <c r="W8" s="77"/>
      <c r="X8" s="77"/>
      <c r="Y8" s="77"/>
      <c r="Z8" s="216">
        <v>2.106909808E9</v>
      </c>
      <c r="AA8" s="77" t="s">
        <v>6540</v>
      </c>
      <c r="AB8" s="217">
        <v>2.19926965E8</v>
      </c>
      <c r="AC8" s="77" t="str">
        <f t="shared" si="2"/>
        <v>Шампунь для собак и кошек с кондиционером, 500 мл</v>
      </c>
      <c r="AD8" s="218">
        <v>11.0</v>
      </c>
      <c r="AE8" s="216">
        <v>5.0</v>
      </c>
      <c r="AF8" s="218">
        <v>11.0</v>
      </c>
      <c r="AG8" s="216">
        <v>6.0</v>
      </c>
      <c r="AH8" s="77"/>
      <c r="AI8" s="216">
        <v>0.087</v>
      </c>
      <c r="AJ8" s="77"/>
      <c r="AK8" s="77"/>
      <c r="AL8" s="77"/>
      <c r="AM8" s="77"/>
      <c r="AN8" s="77"/>
      <c r="AO8" s="77"/>
      <c r="AP8" s="77"/>
      <c r="AQ8" s="77"/>
      <c r="AR8" s="77"/>
      <c r="AS8" s="77"/>
      <c r="AT8" s="77"/>
      <c r="AU8" s="77"/>
      <c r="AV8" s="77"/>
      <c r="AW8" s="77"/>
      <c r="AX8" s="77"/>
      <c r="AY8" s="77"/>
      <c r="AZ8" s="77"/>
      <c r="BA8" s="77"/>
      <c r="BB8" s="77"/>
      <c r="BC8" s="77"/>
      <c r="BD8" s="77"/>
      <c r="BE8" s="77"/>
    </row>
    <row r="9">
      <c r="A9" s="77" t="s">
        <v>970</v>
      </c>
      <c r="B9" s="77" t="s">
        <v>970</v>
      </c>
      <c r="C9" s="77" t="s">
        <v>973</v>
      </c>
      <c r="D9" s="211" t="s">
        <v>970</v>
      </c>
      <c r="E9" s="212" t="s">
        <v>970</v>
      </c>
      <c r="F9" s="212" t="s">
        <v>970</v>
      </c>
      <c r="G9" s="219" t="s">
        <v>970</v>
      </c>
      <c r="H9" s="188"/>
      <c r="I9" s="212" t="s">
        <v>970</v>
      </c>
      <c r="J9" s="213">
        <v>1.69963867E8</v>
      </c>
      <c r="K9" s="213">
        <v>1.101330936E9</v>
      </c>
      <c r="L9" s="220">
        <v>1.03374785701E11</v>
      </c>
      <c r="M9" s="77"/>
      <c r="N9" s="213">
        <v>9.9000118639E10</v>
      </c>
      <c r="O9" s="78" t="s">
        <v>116</v>
      </c>
      <c r="P9" s="211" t="s">
        <v>283</v>
      </c>
      <c r="Q9" s="214" t="s">
        <v>975</v>
      </c>
      <c r="R9" s="77" t="s">
        <v>972</v>
      </c>
      <c r="S9" s="77"/>
      <c r="T9" s="211" t="s">
        <v>6539</v>
      </c>
      <c r="U9" s="215" t="s">
        <v>641</v>
      </c>
      <c r="V9" s="77"/>
      <c r="W9" s="77"/>
      <c r="X9" s="77"/>
      <c r="Y9" s="77"/>
      <c r="Z9" s="216">
        <v>2.106909808E9</v>
      </c>
      <c r="AA9" s="77" t="s">
        <v>6540</v>
      </c>
      <c r="AB9" s="217">
        <v>2.55212157E8</v>
      </c>
      <c r="AC9" s="77" t="str">
        <f t="shared" si="2"/>
        <v>Шампунь для собак и кошек от блох и клещей Harly 500 мл</v>
      </c>
      <c r="AD9" s="218">
        <v>5.0</v>
      </c>
      <c r="AE9" s="216">
        <v>15.0</v>
      </c>
      <c r="AF9" s="218">
        <v>5.0</v>
      </c>
      <c r="AG9" s="216">
        <v>8.0</v>
      </c>
      <c r="AH9" s="77"/>
      <c r="AI9" s="216">
        <v>0.088</v>
      </c>
      <c r="AJ9" s="77"/>
      <c r="AK9" s="77"/>
      <c r="AL9" s="77"/>
      <c r="AM9" s="77"/>
      <c r="AN9" s="77"/>
      <c r="AO9" s="77"/>
      <c r="AP9" s="77"/>
      <c r="AQ9" s="77"/>
      <c r="AR9" s="77"/>
      <c r="AS9" s="77"/>
      <c r="AT9" s="77"/>
      <c r="AU9" s="77"/>
      <c r="AV9" s="77"/>
      <c r="AW9" s="77"/>
      <c r="AX9" s="77"/>
      <c r="AY9" s="77"/>
      <c r="AZ9" s="77"/>
      <c r="BA9" s="77"/>
      <c r="BB9" s="77"/>
      <c r="BC9" s="77"/>
      <c r="BD9" s="77"/>
      <c r="BE9" s="77"/>
    </row>
    <row r="10">
      <c r="A10" s="77" t="s">
        <v>1220</v>
      </c>
      <c r="B10" s="77" t="s">
        <v>1220</v>
      </c>
      <c r="C10" s="77" t="s">
        <v>1222</v>
      </c>
      <c r="D10" s="211" t="s">
        <v>1220</v>
      </c>
      <c r="E10" s="212" t="s">
        <v>1220</v>
      </c>
      <c r="F10" s="212" t="s">
        <v>1220</v>
      </c>
      <c r="G10" s="219" t="s">
        <v>1220</v>
      </c>
      <c r="H10" s="188"/>
      <c r="I10" s="212" t="s">
        <v>1220</v>
      </c>
      <c r="J10" s="213">
        <v>2.21232387E8</v>
      </c>
      <c r="K10" s="213">
        <v>1.539152458E9</v>
      </c>
      <c r="L10" s="220">
        <v>1.03398256607E11</v>
      </c>
      <c r="M10" s="77"/>
      <c r="N10" s="213">
        <v>9.9000118343E10</v>
      </c>
      <c r="O10" s="78" t="s">
        <v>116</v>
      </c>
      <c r="P10" s="211" t="s">
        <v>283</v>
      </c>
      <c r="Q10" s="214" t="s">
        <v>1224</v>
      </c>
      <c r="R10" s="77" t="s">
        <v>1221</v>
      </c>
      <c r="S10" s="77"/>
      <c r="T10" s="211" t="s">
        <v>6539</v>
      </c>
      <c r="U10" s="215" t="s">
        <v>1027</v>
      </c>
      <c r="V10" s="77"/>
      <c r="W10" s="77"/>
      <c r="X10" s="77"/>
      <c r="Y10" s="77"/>
      <c r="Z10" s="216">
        <v>2.106909808E9</v>
      </c>
      <c r="AA10" s="77" t="s">
        <v>6540</v>
      </c>
      <c r="AB10" s="217">
        <v>1.50253274E8</v>
      </c>
      <c r="AC10" s="77" t="str">
        <f t="shared" si="2"/>
        <v>Витамины для собак и щенков для здоровой и красивой шерсти, 100 таблеток</v>
      </c>
      <c r="AD10" s="218">
        <v>5.0</v>
      </c>
      <c r="AE10" s="216">
        <v>5.0</v>
      </c>
      <c r="AF10" s="218">
        <v>5.0</v>
      </c>
      <c r="AG10" s="216">
        <v>9.0</v>
      </c>
      <c r="AH10" s="77"/>
      <c r="AI10" s="216">
        <v>0.058</v>
      </c>
      <c r="AJ10" s="77"/>
      <c r="AK10" s="77"/>
      <c r="AL10" s="77"/>
      <c r="AM10" s="77"/>
      <c r="AN10" s="77"/>
      <c r="AO10" s="77"/>
      <c r="AP10" s="77"/>
      <c r="AQ10" s="77"/>
      <c r="AR10" s="77"/>
      <c r="AS10" s="77"/>
      <c r="AT10" s="77"/>
      <c r="AU10" s="77"/>
      <c r="AV10" s="77"/>
      <c r="AW10" s="77"/>
      <c r="AX10" s="77"/>
      <c r="AY10" s="77"/>
      <c r="AZ10" s="77"/>
      <c r="BA10" s="77"/>
      <c r="BB10" s="77"/>
      <c r="BC10" s="77"/>
      <c r="BD10" s="77"/>
      <c r="BE10" s="77"/>
    </row>
    <row r="11">
      <c r="A11" s="77" t="s">
        <v>425</v>
      </c>
      <c r="B11" s="77" t="s">
        <v>425</v>
      </c>
      <c r="C11" s="77" t="s">
        <v>427</v>
      </c>
      <c r="D11" s="211" t="s">
        <v>425</v>
      </c>
      <c r="E11" s="212" t="s">
        <v>425</v>
      </c>
      <c r="F11" s="212" t="s">
        <v>425</v>
      </c>
      <c r="G11" s="219" t="s">
        <v>425</v>
      </c>
      <c r="H11" s="188"/>
      <c r="I11" s="212" t="s">
        <v>425</v>
      </c>
      <c r="J11" s="213">
        <v>4.32841134E8</v>
      </c>
      <c r="K11" s="213">
        <v>2.214748873E9</v>
      </c>
      <c r="L11" s="220">
        <v>4.47631033E9</v>
      </c>
      <c r="M11" s="77"/>
      <c r="N11" s="213">
        <v>9.9000117739E10</v>
      </c>
      <c r="O11" s="78" t="s">
        <v>116</v>
      </c>
      <c r="P11" s="211" t="s">
        <v>283</v>
      </c>
      <c r="Q11" s="214" t="s">
        <v>429</v>
      </c>
      <c r="R11" s="77" t="s">
        <v>426</v>
      </c>
      <c r="S11" s="77"/>
      <c r="T11" s="211" t="s">
        <v>6539</v>
      </c>
      <c r="U11" s="211" t="s">
        <v>362</v>
      </c>
      <c r="V11" s="77"/>
      <c r="W11" s="77"/>
      <c r="X11" s="77"/>
      <c r="Y11" s="77"/>
      <c r="Z11" s="216">
        <v>2.106909808E9</v>
      </c>
      <c r="AA11" s="77" t="s">
        <v>6540</v>
      </c>
      <c r="AB11" s="217">
        <v>2.63831566E8</v>
      </c>
      <c r="AC11" s="77" t="str">
        <f t="shared" si="2"/>
        <v>Корм для собак мелких пород сухой, индейка Harly 2 кг</v>
      </c>
      <c r="AD11" s="218">
        <v>7.0</v>
      </c>
      <c r="AE11" s="216">
        <v>13.0</v>
      </c>
      <c r="AF11" s="218">
        <v>7.0</v>
      </c>
      <c r="AG11" s="216">
        <v>7.0</v>
      </c>
      <c r="AH11" s="77"/>
      <c r="AI11" s="216">
        <v>0.227</v>
      </c>
      <c r="AJ11" s="77"/>
      <c r="AK11" s="77"/>
      <c r="AL11" s="77"/>
      <c r="AM11" s="77"/>
      <c r="AN11" s="77"/>
      <c r="AO11" s="77"/>
      <c r="AP11" s="77"/>
      <c r="AQ11" s="77"/>
      <c r="AR11" s="77"/>
      <c r="AS11" s="77"/>
      <c r="AT11" s="77"/>
      <c r="AU11" s="77"/>
      <c r="AV11" s="77"/>
      <c r="AW11" s="77"/>
      <c r="AX11" s="77"/>
      <c r="AY11" s="77"/>
      <c r="AZ11" s="77"/>
      <c r="BA11" s="77"/>
      <c r="BB11" s="77"/>
      <c r="BC11" s="77"/>
      <c r="BD11" s="77"/>
      <c r="BE11" s="77"/>
    </row>
    <row r="12">
      <c r="A12" s="77" t="s">
        <v>1083</v>
      </c>
      <c r="B12" s="77" t="s">
        <v>1083</v>
      </c>
      <c r="C12" s="77" t="s">
        <v>1085</v>
      </c>
      <c r="D12" s="211" t="s">
        <v>1083</v>
      </c>
      <c r="E12" s="212" t="s">
        <v>1083</v>
      </c>
      <c r="F12" s="212" t="s">
        <v>1083</v>
      </c>
      <c r="G12" s="219" t="s">
        <v>1083</v>
      </c>
      <c r="H12" s="188"/>
      <c r="I12" s="188"/>
      <c r="J12" s="213">
        <v>1.76110909E8</v>
      </c>
      <c r="K12" s="213">
        <v>1.181035529E9</v>
      </c>
      <c r="L12" s="220">
        <v>1.03374785702E11</v>
      </c>
      <c r="M12" s="77"/>
      <c r="N12" s="77"/>
      <c r="O12" s="78" t="s">
        <v>116</v>
      </c>
      <c r="P12" s="211" t="s">
        <v>283</v>
      </c>
      <c r="Q12" s="214" t="s">
        <v>1087</v>
      </c>
      <c r="R12" s="77" t="s">
        <v>1084</v>
      </c>
      <c r="S12" s="77"/>
      <c r="T12" s="211" t="s">
        <v>6539</v>
      </c>
      <c r="U12" s="214" t="s">
        <v>1027</v>
      </c>
      <c r="V12" s="77"/>
      <c r="W12" s="77"/>
      <c r="X12" s="77"/>
      <c r="Y12" s="77"/>
      <c r="Z12" s="216">
        <v>2.106909808E9</v>
      </c>
      <c r="AA12" s="77" t="s">
        <v>6540</v>
      </c>
      <c r="AB12" s="217">
        <v>3.0787453E8</v>
      </c>
      <c r="AC12" s="77" t="str">
        <f t="shared" si="2"/>
        <v>Мыло для лап собак с пантенолом и коллоидным серебром Harly 500 мл</v>
      </c>
      <c r="AD12" s="218">
        <v>9.0</v>
      </c>
      <c r="AE12" s="216">
        <v>5.0</v>
      </c>
      <c r="AF12" s="218">
        <v>9.0</v>
      </c>
      <c r="AG12" s="216">
        <v>5.0</v>
      </c>
      <c r="AH12" s="77"/>
      <c r="AI12" s="216">
        <v>0.086</v>
      </c>
      <c r="AJ12" s="77"/>
      <c r="AK12" s="77"/>
      <c r="AL12" s="77"/>
      <c r="AM12" s="77"/>
      <c r="AN12" s="77"/>
      <c r="AO12" s="77"/>
      <c r="AP12" s="77"/>
      <c r="AQ12" s="77"/>
      <c r="AR12" s="77"/>
      <c r="AS12" s="77"/>
      <c r="AT12" s="77"/>
      <c r="AU12" s="77"/>
      <c r="AV12" s="77"/>
      <c r="AW12" s="77"/>
      <c r="AX12" s="77"/>
      <c r="AY12" s="77"/>
      <c r="AZ12" s="77"/>
      <c r="BA12" s="77"/>
      <c r="BB12" s="77"/>
      <c r="BC12" s="77"/>
      <c r="BD12" s="77"/>
      <c r="BE12" s="77"/>
    </row>
    <row r="13">
      <c r="A13" s="77" t="s">
        <v>2019</v>
      </c>
      <c r="B13" s="77" t="s">
        <v>2019</v>
      </c>
      <c r="C13" s="77" t="s">
        <v>2021</v>
      </c>
      <c r="D13" s="211" t="s">
        <v>2019</v>
      </c>
      <c r="E13" s="212" t="s">
        <v>2019</v>
      </c>
      <c r="F13" s="212" t="s">
        <v>2019</v>
      </c>
      <c r="G13" s="188"/>
      <c r="H13" s="188"/>
      <c r="I13" s="188"/>
      <c r="J13" s="213">
        <v>1.86730528E8</v>
      </c>
      <c r="K13" s="213">
        <v>1.271355943E9</v>
      </c>
      <c r="L13" s="77"/>
      <c r="M13" s="77"/>
      <c r="N13" s="77"/>
      <c r="O13" s="78" t="s">
        <v>116</v>
      </c>
      <c r="P13" s="211" t="s">
        <v>283</v>
      </c>
      <c r="Q13" s="214" t="s">
        <v>2023</v>
      </c>
      <c r="R13" s="77" t="s">
        <v>2020</v>
      </c>
      <c r="S13" s="77"/>
      <c r="T13" s="211" t="s">
        <v>6539</v>
      </c>
      <c r="U13" s="211" t="s">
        <v>1557</v>
      </c>
      <c r="V13" s="77"/>
      <c r="W13" s="77"/>
      <c r="X13" s="77"/>
      <c r="Y13" s="77"/>
      <c r="Z13" s="216">
        <v>2.106909808E9</v>
      </c>
      <c r="AA13" s="77" t="s">
        <v>6540</v>
      </c>
      <c r="AB13" s="217">
        <v>1.38757897E8</v>
      </c>
      <c r="AC13" s="77" t="str">
        <f t="shared" si="2"/>
        <v>Омега 3 витамины для детей 540 мг Qeep 90 капсул</v>
      </c>
      <c r="AD13" s="218">
        <v>6.0</v>
      </c>
      <c r="AE13" s="216">
        <v>12.0</v>
      </c>
      <c r="AF13" s="218">
        <v>6.0</v>
      </c>
      <c r="AG13" s="216">
        <v>6.0</v>
      </c>
      <c r="AH13" s="77"/>
      <c r="AI13" s="216">
        <v>0.06</v>
      </c>
      <c r="AJ13" s="77"/>
      <c r="AK13" s="77"/>
      <c r="AL13" s="77"/>
      <c r="AM13" s="77"/>
      <c r="AN13" s="77"/>
      <c r="AO13" s="77"/>
      <c r="AP13" s="77"/>
      <c r="AQ13" s="77"/>
      <c r="AR13" s="77"/>
      <c r="AS13" s="77"/>
      <c r="AT13" s="77"/>
      <c r="AU13" s="77"/>
      <c r="AV13" s="77"/>
      <c r="AW13" s="77"/>
      <c r="AX13" s="77"/>
      <c r="AY13" s="77"/>
      <c r="AZ13" s="77"/>
      <c r="BA13" s="77"/>
      <c r="BB13" s="77"/>
      <c r="BC13" s="77"/>
      <c r="BD13" s="77"/>
      <c r="BE13" s="77"/>
    </row>
    <row r="14">
      <c r="A14" s="77" t="s">
        <v>806</v>
      </c>
      <c r="B14" s="77" t="s">
        <v>806</v>
      </c>
      <c r="C14" s="77" t="s">
        <v>809</v>
      </c>
      <c r="D14" s="211" t="s">
        <v>806</v>
      </c>
      <c r="E14" s="212" t="s">
        <v>806</v>
      </c>
      <c r="F14" s="212" t="s">
        <v>806</v>
      </c>
      <c r="G14" s="219" t="s">
        <v>806</v>
      </c>
      <c r="H14" s="188"/>
      <c r="I14" s="188"/>
      <c r="J14" s="213">
        <v>2.060201E8</v>
      </c>
      <c r="K14" s="213">
        <v>1.408084489E9</v>
      </c>
      <c r="L14" s="220">
        <v>1.03398260187E11</v>
      </c>
      <c r="M14" s="77"/>
      <c r="N14" s="77"/>
      <c r="O14" s="78" t="s">
        <v>116</v>
      </c>
      <c r="P14" s="211" t="s">
        <v>283</v>
      </c>
      <c r="Q14" s="214" t="s">
        <v>811</v>
      </c>
      <c r="R14" s="77" t="s">
        <v>808</v>
      </c>
      <c r="S14" s="77"/>
      <c r="T14" s="211" t="s">
        <v>6539</v>
      </c>
      <c r="U14" s="211" t="s">
        <v>6541</v>
      </c>
      <c r="V14" s="77"/>
      <c r="W14" s="77"/>
      <c r="X14" s="77"/>
      <c r="Y14" s="77"/>
      <c r="Z14" s="216">
        <v>2.106909808E9</v>
      </c>
      <c r="AA14" s="77" t="s">
        <v>6540</v>
      </c>
      <c r="AB14" s="217">
        <v>1.38754901E8</v>
      </c>
      <c r="AC14" s="77" t="str">
        <f t="shared" si="2"/>
        <v>Селен витамины 125 мкг Qeep 60 капсул</v>
      </c>
      <c r="AD14" s="218">
        <v>4.0</v>
      </c>
      <c r="AE14" s="216">
        <v>9.0</v>
      </c>
      <c r="AF14" s="218">
        <v>4.0</v>
      </c>
      <c r="AG14" s="216">
        <v>4.0</v>
      </c>
      <c r="AH14" s="77"/>
      <c r="AI14" s="216">
        <v>0.062</v>
      </c>
      <c r="AJ14" s="77"/>
      <c r="AK14" s="77"/>
      <c r="AL14" s="77"/>
      <c r="AM14" s="77"/>
      <c r="AN14" s="77"/>
      <c r="AO14" s="77"/>
      <c r="AP14" s="77"/>
      <c r="AQ14" s="77"/>
      <c r="AR14" s="77"/>
      <c r="AS14" s="77"/>
      <c r="AT14" s="77"/>
      <c r="AU14" s="77"/>
      <c r="AV14" s="77"/>
      <c r="AW14" s="77"/>
      <c r="AX14" s="77"/>
      <c r="AY14" s="77"/>
      <c r="AZ14" s="77"/>
      <c r="BA14" s="77"/>
      <c r="BB14" s="77"/>
      <c r="BC14" s="77"/>
      <c r="BD14" s="77"/>
      <c r="BE14" s="77"/>
    </row>
    <row r="15">
      <c r="A15" s="77" t="s">
        <v>819</v>
      </c>
      <c r="B15" s="77" t="s">
        <v>819</v>
      </c>
      <c r="C15" s="77" t="s">
        <v>821</v>
      </c>
      <c r="D15" s="211" t="s">
        <v>819</v>
      </c>
      <c r="E15" s="212" t="s">
        <v>819</v>
      </c>
      <c r="F15" s="212" t="s">
        <v>819</v>
      </c>
      <c r="G15" s="219" t="s">
        <v>819</v>
      </c>
      <c r="H15" s="188"/>
      <c r="I15" s="212" t="s">
        <v>819</v>
      </c>
      <c r="J15" s="213">
        <v>2.16488606E8</v>
      </c>
      <c r="K15" s="213">
        <v>1.500211407E9</v>
      </c>
      <c r="L15" s="220">
        <v>1.03398256606E11</v>
      </c>
      <c r="M15" s="77"/>
      <c r="N15" s="213">
        <v>9.9000118341E10</v>
      </c>
      <c r="O15" s="78" t="s">
        <v>116</v>
      </c>
      <c r="P15" s="211" t="s">
        <v>283</v>
      </c>
      <c r="Q15" s="214" t="s">
        <v>823</v>
      </c>
      <c r="R15" s="77" t="s">
        <v>820</v>
      </c>
      <c r="S15" s="77"/>
      <c r="T15" s="211" t="s">
        <v>6539</v>
      </c>
      <c r="U15" s="211" t="s">
        <v>6541</v>
      </c>
      <c r="V15" s="77"/>
      <c r="W15" s="77"/>
      <c r="X15" s="77"/>
      <c r="Y15" s="77"/>
      <c r="Z15" s="216">
        <v>2.106909808E9</v>
      </c>
      <c r="AA15" s="77" t="s">
        <v>6540</v>
      </c>
      <c r="AB15" s="217">
        <v>1.38758948E8</v>
      </c>
      <c r="AC15" s="77" t="str">
        <f t="shared" si="2"/>
        <v>Цинк хелат 25 мг Qeep 90 таблеток</v>
      </c>
      <c r="AD15" s="218">
        <v>5.0</v>
      </c>
      <c r="AE15" s="216">
        <v>9.0</v>
      </c>
      <c r="AF15" s="218">
        <v>5.0</v>
      </c>
      <c r="AG15" s="216">
        <v>5.0</v>
      </c>
      <c r="AH15" s="77"/>
      <c r="AI15" s="216">
        <v>0.062</v>
      </c>
      <c r="AJ15" s="77"/>
      <c r="AK15" s="77"/>
      <c r="AL15" s="77"/>
      <c r="AM15" s="77"/>
      <c r="AN15" s="77"/>
      <c r="AO15" s="77"/>
      <c r="AP15" s="77"/>
      <c r="AQ15" s="77"/>
      <c r="AR15" s="77"/>
      <c r="AS15" s="77"/>
      <c r="AT15" s="77"/>
      <c r="AU15" s="77"/>
      <c r="AV15" s="77"/>
      <c r="AW15" s="77"/>
      <c r="AX15" s="77"/>
      <c r="AY15" s="77"/>
      <c r="AZ15" s="77"/>
      <c r="BA15" s="77"/>
      <c r="BB15" s="77"/>
      <c r="BC15" s="77"/>
      <c r="BD15" s="77"/>
      <c r="BE15" s="77"/>
    </row>
    <row r="16">
      <c r="A16" s="77" t="s">
        <v>2254</v>
      </c>
      <c r="B16" s="77" t="s">
        <v>2254</v>
      </c>
      <c r="C16" s="77" t="s">
        <v>2255</v>
      </c>
      <c r="D16" s="211" t="s">
        <v>2254</v>
      </c>
      <c r="E16" s="212" t="s">
        <v>2254</v>
      </c>
      <c r="F16" s="212" t="s">
        <v>2254</v>
      </c>
      <c r="G16" s="188"/>
      <c r="H16" s="188"/>
      <c r="I16" s="188"/>
      <c r="J16" s="213">
        <v>1.70004552E8</v>
      </c>
      <c r="K16" s="213">
        <v>1.092025113E9</v>
      </c>
      <c r="L16" s="77"/>
      <c r="M16" s="77"/>
      <c r="N16" s="77"/>
      <c r="O16" s="78" t="s">
        <v>116</v>
      </c>
      <c r="P16" s="211" t="s">
        <v>283</v>
      </c>
      <c r="Q16" s="214" t="s">
        <v>823</v>
      </c>
      <c r="R16" s="77" t="s">
        <v>820</v>
      </c>
      <c r="S16" s="77"/>
      <c r="T16" s="211" t="s">
        <v>6539</v>
      </c>
      <c r="U16" s="211" t="s">
        <v>6541</v>
      </c>
      <c r="V16" s="77"/>
      <c r="W16" s="77"/>
      <c r="X16" s="77"/>
      <c r="Y16" s="77"/>
      <c r="Z16" s="216">
        <v>2.106909808E9</v>
      </c>
      <c r="AA16" s="77" t="s">
        <v>6540</v>
      </c>
      <c r="AB16" s="217">
        <v>2.21232387E8</v>
      </c>
      <c r="AC16" s="77" t="str">
        <f t="shared" si="2"/>
        <v>Витамин А 10000 МЕ Qeep 90 капсул</v>
      </c>
      <c r="AD16" s="218">
        <v>5.0</v>
      </c>
      <c r="AE16" s="216">
        <v>9.0</v>
      </c>
      <c r="AF16" s="218">
        <v>5.0</v>
      </c>
      <c r="AG16" s="216">
        <v>5.0</v>
      </c>
      <c r="AH16" s="77"/>
      <c r="AI16" s="216">
        <v>0.06</v>
      </c>
      <c r="AJ16" s="77"/>
      <c r="AK16" s="77"/>
      <c r="AL16" s="77"/>
      <c r="AM16" s="77"/>
      <c r="AN16" s="77"/>
      <c r="AO16" s="77"/>
      <c r="AP16" s="77"/>
      <c r="AQ16" s="77"/>
      <c r="AR16" s="77"/>
      <c r="AS16" s="77"/>
      <c r="AT16" s="77"/>
      <c r="AU16" s="77"/>
      <c r="AV16" s="77"/>
      <c r="AW16" s="77"/>
      <c r="AX16" s="77"/>
      <c r="AY16" s="77"/>
      <c r="AZ16" s="77"/>
      <c r="BA16" s="77"/>
      <c r="BB16" s="77"/>
      <c r="BC16" s="77"/>
      <c r="BD16" s="77"/>
      <c r="BE16" s="77"/>
    </row>
    <row r="17">
      <c r="A17" s="77" t="s">
        <v>2058</v>
      </c>
      <c r="B17" s="77" t="s">
        <v>2058</v>
      </c>
      <c r="C17" s="77" t="s">
        <v>2060</v>
      </c>
      <c r="D17" s="211" t="s">
        <v>2058</v>
      </c>
      <c r="E17" s="212" t="s">
        <v>2058</v>
      </c>
      <c r="F17" s="212" t="s">
        <v>2058</v>
      </c>
      <c r="G17" s="219" t="s">
        <v>2058</v>
      </c>
      <c r="H17" s="188"/>
      <c r="I17" s="188"/>
      <c r="J17" s="77"/>
      <c r="K17" s="213">
        <v>1.773357213E9</v>
      </c>
      <c r="L17" s="220">
        <v>1.03665484859E11</v>
      </c>
      <c r="M17" s="77"/>
      <c r="N17" s="77"/>
      <c r="O17" s="78" t="s">
        <v>116</v>
      </c>
      <c r="P17" s="211" t="s">
        <v>283</v>
      </c>
      <c r="Q17" s="214" t="s">
        <v>2062</v>
      </c>
      <c r="R17" s="77" t="s">
        <v>2059</v>
      </c>
      <c r="S17" s="77"/>
      <c r="T17" s="211" t="s">
        <v>6539</v>
      </c>
      <c r="U17" s="215" t="s">
        <v>1027</v>
      </c>
      <c r="V17" s="77"/>
      <c r="W17" s="77"/>
      <c r="X17" s="77"/>
      <c r="Y17" s="77"/>
      <c r="Z17" s="216">
        <v>2.106909808E9</v>
      </c>
      <c r="AA17" s="77" t="s">
        <v>6540</v>
      </c>
      <c r="AB17" s="217">
        <v>2.94499845E8</v>
      </c>
      <c r="AC17" s="77" t="str">
        <f t="shared" si="2"/>
        <v>#N/A</v>
      </c>
      <c r="AD17" s="218">
        <v>19.0</v>
      </c>
      <c r="AE17" s="216">
        <v>13.0</v>
      </c>
      <c r="AF17" s="218">
        <v>19.0</v>
      </c>
      <c r="AG17" s="216">
        <v>11.0</v>
      </c>
      <c r="AH17" s="77"/>
      <c r="AI17" s="216">
        <v>0.25</v>
      </c>
      <c r="AJ17" s="77"/>
      <c r="AK17" s="77"/>
      <c r="AL17" s="77"/>
      <c r="AM17" s="77"/>
      <c r="AN17" s="77"/>
      <c r="AO17" s="77"/>
      <c r="AP17" s="77"/>
      <c r="AQ17" s="77"/>
      <c r="AR17" s="77"/>
      <c r="AS17" s="77"/>
      <c r="AT17" s="77"/>
      <c r="AU17" s="77"/>
      <c r="AV17" s="77"/>
      <c r="AW17" s="77"/>
      <c r="AX17" s="77"/>
      <c r="AY17" s="77"/>
      <c r="AZ17" s="77"/>
      <c r="BA17" s="77"/>
      <c r="BB17" s="77"/>
      <c r="BC17" s="77"/>
      <c r="BD17" s="77"/>
      <c r="BE17" s="77"/>
    </row>
    <row r="18">
      <c r="A18" s="77" t="s">
        <v>1590</v>
      </c>
      <c r="B18" s="77" t="s">
        <v>1590</v>
      </c>
      <c r="C18" s="77" t="s">
        <v>1592</v>
      </c>
      <c r="D18" s="211" t="s">
        <v>1590</v>
      </c>
      <c r="E18" s="212" t="s">
        <v>1590</v>
      </c>
      <c r="F18" s="212" t="s">
        <v>1590</v>
      </c>
      <c r="G18" s="219" t="s">
        <v>1590</v>
      </c>
      <c r="H18" s="188"/>
      <c r="I18" s="212" t="s">
        <v>1590</v>
      </c>
      <c r="J18" s="213">
        <v>1.5973404E8</v>
      </c>
      <c r="K18" s="213">
        <v>9.67623667E8</v>
      </c>
      <c r="L18" s="220">
        <v>1.02196237159E11</v>
      </c>
      <c r="M18" s="77"/>
      <c r="N18" s="213">
        <v>9.9000122452E10</v>
      </c>
      <c r="O18" s="78" t="s">
        <v>116</v>
      </c>
      <c r="P18" s="211" t="s">
        <v>283</v>
      </c>
      <c r="Q18" s="214" t="s">
        <v>1594</v>
      </c>
      <c r="R18" s="77" t="s">
        <v>1591</v>
      </c>
      <c r="S18" s="77"/>
      <c r="T18" s="211" t="s">
        <v>6539</v>
      </c>
      <c r="U18" s="215" t="s">
        <v>1557</v>
      </c>
      <c r="V18" s="77"/>
      <c r="W18" s="77"/>
      <c r="X18" s="77"/>
      <c r="Y18" s="77"/>
      <c r="Z18" s="216">
        <v>2.106909808E9</v>
      </c>
      <c r="AA18" s="77" t="s">
        <v>6540</v>
      </c>
      <c r="AB18" s="217">
        <v>2.33815804E8</v>
      </c>
      <c r="AC18" s="77" t="str">
        <f t="shared" si="2"/>
        <v>Сухой корм для стерилизованных кошек и кастрированных котов Harly Cat Premium с индейкой и витаминами, 2 кг</v>
      </c>
      <c r="AD18" s="218">
        <v>5.0</v>
      </c>
      <c r="AE18" s="216">
        <v>9.0</v>
      </c>
      <c r="AF18" s="218">
        <v>5.0</v>
      </c>
      <c r="AG18" s="216">
        <v>5.0</v>
      </c>
      <c r="AH18" s="77"/>
      <c r="AI18" s="216">
        <v>0.076</v>
      </c>
      <c r="AJ18" s="77"/>
      <c r="AK18" s="77"/>
      <c r="AL18" s="77"/>
      <c r="AM18" s="77"/>
      <c r="AN18" s="77"/>
      <c r="AO18" s="77"/>
      <c r="AP18" s="77"/>
      <c r="AQ18" s="77"/>
      <c r="AR18" s="77"/>
      <c r="AS18" s="77"/>
      <c r="AT18" s="77"/>
      <c r="AU18" s="77"/>
      <c r="AV18" s="77"/>
      <c r="AW18" s="77"/>
      <c r="AX18" s="77"/>
      <c r="AY18" s="77"/>
      <c r="AZ18" s="77"/>
      <c r="BA18" s="77"/>
      <c r="BB18" s="77"/>
      <c r="BC18" s="77"/>
      <c r="BD18" s="77"/>
      <c r="BE18" s="77"/>
    </row>
    <row r="19">
      <c r="A19" s="77" t="s">
        <v>1574</v>
      </c>
      <c r="B19" s="77" t="s">
        <v>1574</v>
      </c>
      <c r="C19" s="77" t="s">
        <v>1576</v>
      </c>
      <c r="D19" s="211" t="s">
        <v>1574</v>
      </c>
      <c r="E19" s="212" t="s">
        <v>1574</v>
      </c>
      <c r="F19" s="212" t="s">
        <v>1574</v>
      </c>
      <c r="G19" s="219" t="s">
        <v>1574</v>
      </c>
      <c r="H19" s="188"/>
      <c r="I19" s="212" t="s">
        <v>1574</v>
      </c>
      <c r="J19" s="213">
        <v>1.69962249E8</v>
      </c>
      <c r="K19" s="213">
        <v>1.101364594E9</v>
      </c>
      <c r="L19" s="220">
        <v>1.02318027321E11</v>
      </c>
      <c r="M19" s="77"/>
      <c r="N19" s="213">
        <v>9.900011864E10</v>
      </c>
      <c r="O19" s="78" t="s">
        <v>116</v>
      </c>
      <c r="P19" s="211" t="s">
        <v>283</v>
      </c>
      <c r="Q19" s="214" t="s">
        <v>1578</v>
      </c>
      <c r="R19" s="77" t="s">
        <v>1575</v>
      </c>
      <c r="S19" s="77"/>
      <c r="T19" s="211" t="s">
        <v>6539</v>
      </c>
      <c r="U19" s="215" t="s">
        <v>1557</v>
      </c>
      <c r="V19" s="77"/>
      <c r="W19" s="77"/>
      <c r="X19" s="77"/>
      <c r="Y19" s="77"/>
      <c r="Z19" s="216">
        <v>2.106909808E9</v>
      </c>
      <c r="AA19" s="77" t="s">
        <v>6540</v>
      </c>
      <c r="AB19" s="217">
        <v>2.33855851E8</v>
      </c>
      <c r="AC19" s="77" t="str">
        <f t="shared" si="2"/>
        <v>Сухой корм для стерилизованных кошек и кастрированных котов Harly Cat Premium с телятиной и витаминами, 2 кг</v>
      </c>
      <c r="AD19" s="218">
        <v>12.0</v>
      </c>
      <c r="AE19" s="216">
        <v>6.0</v>
      </c>
      <c r="AF19" s="218">
        <v>12.0</v>
      </c>
      <c r="AG19" s="216">
        <v>6.0</v>
      </c>
      <c r="AH19" s="77"/>
      <c r="AI19" s="216">
        <v>0.094</v>
      </c>
      <c r="AJ19" s="77"/>
      <c r="AK19" s="77"/>
      <c r="AL19" s="77"/>
      <c r="AM19" s="77"/>
      <c r="AN19" s="77"/>
      <c r="AO19" s="77"/>
      <c r="AP19" s="77"/>
      <c r="AQ19" s="77"/>
      <c r="AR19" s="77"/>
      <c r="AS19" s="77"/>
      <c r="AT19" s="77"/>
      <c r="AU19" s="77"/>
      <c r="AV19" s="77"/>
      <c r="AW19" s="77"/>
      <c r="AX19" s="77"/>
      <c r="AY19" s="77"/>
      <c r="AZ19" s="77"/>
      <c r="BA19" s="77"/>
      <c r="BB19" s="77"/>
      <c r="BC19" s="77"/>
      <c r="BD19" s="77"/>
      <c r="BE19" s="77"/>
    </row>
    <row r="20">
      <c r="A20" s="77" t="s">
        <v>2591</v>
      </c>
      <c r="B20" s="77" t="s">
        <v>2591</v>
      </c>
      <c r="C20" s="77" t="s">
        <v>2593</v>
      </c>
      <c r="D20" s="211" t="s">
        <v>2591</v>
      </c>
      <c r="E20" s="212" t="s">
        <v>2591</v>
      </c>
      <c r="F20" s="212" t="s">
        <v>2591</v>
      </c>
      <c r="G20" s="188"/>
      <c r="H20" s="188"/>
      <c r="I20" s="188"/>
      <c r="J20" s="213">
        <v>1.91073458E8</v>
      </c>
      <c r="K20" s="213">
        <v>1.315703641E9</v>
      </c>
      <c r="L20" s="77"/>
      <c r="M20" s="77"/>
      <c r="N20" s="77"/>
      <c r="O20" s="78" t="s">
        <v>116</v>
      </c>
      <c r="P20" s="211" t="s">
        <v>283</v>
      </c>
      <c r="Q20" s="214" t="s">
        <v>2595</v>
      </c>
      <c r="R20" s="77" t="s">
        <v>2592</v>
      </c>
      <c r="S20" s="77"/>
      <c r="T20" s="211" t="s">
        <v>6539</v>
      </c>
      <c r="U20" s="215" t="s">
        <v>662</v>
      </c>
      <c r="V20" s="77"/>
      <c r="W20" s="77"/>
      <c r="X20" s="77"/>
      <c r="Y20" s="77"/>
      <c r="Z20" s="216">
        <v>2.106909808E9</v>
      </c>
      <c r="AA20" s="77" t="s">
        <v>6540</v>
      </c>
      <c r="AB20" s="217">
        <v>3.25209184E8</v>
      </c>
      <c r="AC20" s="77" t="str">
        <f t="shared" si="2"/>
        <v>Шампунь для кошек гипоаллергенный с пантенолом Harly 250 мл</v>
      </c>
      <c r="AD20" s="218">
        <v>6.0</v>
      </c>
      <c r="AE20" s="216">
        <v>11.0</v>
      </c>
      <c r="AF20" s="218">
        <v>6.0</v>
      </c>
      <c r="AG20" s="216">
        <v>6.0</v>
      </c>
      <c r="AH20" s="77"/>
      <c r="AI20" s="216">
        <v>0.12</v>
      </c>
      <c r="AJ20" s="77"/>
      <c r="AK20" s="77"/>
      <c r="AL20" s="77"/>
      <c r="AM20" s="77"/>
      <c r="AN20" s="77"/>
      <c r="AO20" s="77"/>
      <c r="AP20" s="77"/>
      <c r="AQ20" s="77"/>
      <c r="AR20" s="77"/>
      <c r="AS20" s="77"/>
      <c r="AT20" s="77"/>
      <c r="AU20" s="77"/>
      <c r="AV20" s="77"/>
      <c r="AW20" s="77"/>
      <c r="AX20" s="77"/>
      <c r="AY20" s="77"/>
      <c r="AZ20" s="77"/>
      <c r="BA20" s="77"/>
      <c r="BB20" s="77"/>
      <c r="BC20" s="77"/>
      <c r="BD20" s="77"/>
      <c r="BE20" s="77"/>
    </row>
    <row r="21">
      <c r="A21" s="77" t="s">
        <v>1188</v>
      </c>
      <c r="B21" s="77" t="s">
        <v>1188</v>
      </c>
      <c r="C21" s="77" t="s">
        <v>1190</v>
      </c>
      <c r="D21" s="211" t="s">
        <v>1188</v>
      </c>
      <c r="E21" s="212" t="s">
        <v>1188</v>
      </c>
      <c r="F21" s="212" t="s">
        <v>1188</v>
      </c>
      <c r="G21" s="219" t="s">
        <v>1188</v>
      </c>
      <c r="H21" s="188"/>
      <c r="I21" s="212" t="s">
        <v>1188</v>
      </c>
      <c r="J21" s="213">
        <v>1.96519115E8</v>
      </c>
      <c r="K21" s="213">
        <v>1.342066127E9</v>
      </c>
      <c r="L21" s="220">
        <v>1.03374785697E11</v>
      </c>
      <c r="M21" s="77"/>
      <c r="N21" s="213">
        <v>9.9000121327E10</v>
      </c>
      <c r="O21" s="78" t="s">
        <v>116</v>
      </c>
      <c r="P21" s="211" t="s">
        <v>283</v>
      </c>
      <c r="Q21" s="214" t="s">
        <v>1192</v>
      </c>
      <c r="R21" s="77" t="s">
        <v>1189</v>
      </c>
      <c r="S21" s="77"/>
      <c r="T21" s="211" t="s">
        <v>6539</v>
      </c>
      <c r="U21" s="214" t="s">
        <v>1027</v>
      </c>
      <c r="V21" s="77"/>
      <c r="W21" s="77"/>
      <c r="X21" s="77"/>
      <c r="Y21" s="77"/>
      <c r="Z21" s="216">
        <v>2.106909808E9</v>
      </c>
      <c r="AA21" s="77" t="s">
        <v>6540</v>
      </c>
      <c r="AB21" s="217">
        <v>1.6368338E8</v>
      </c>
      <c r="AC21" s="77" t="str">
        <f t="shared" si="2"/>
        <v>Витамины для кастрированных и стерилизованных котов, 100 таблеток</v>
      </c>
      <c r="AD21" s="218">
        <v>4.0</v>
      </c>
      <c r="AE21" s="216">
        <v>9.0</v>
      </c>
      <c r="AF21" s="218">
        <v>4.0</v>
      </c>
      <c r="AG21" s="216">
        <v>4.0</v>
      </c>
      <c r="AH21" s="77"/>
      <c r="AI21" s="216">
        <v>0.062</v>
      </c>
      <c r="AJ21" s="77"/>
      <c r="AK21" s="77"/>
      <c r="AL21" s="77"/>
      <c r="AM21" s="77"/>
      <c r="AN21" s="77"/>
      <c r="AO21" s="77"/>
      <c r="AP21" s="77"/>
      <c r="AQ21" s="77"/>
      <c r="AR21" s="77"/>
      <c r="AS21" s="77"/>
      <c r="AT21" s="77"/>
      <c r="AU21" s="77"/>
      <c r="AV21" s="77"/>
      <c r="AW21" s="77"/>
      <c r="AX21" s="77"/>
      <c r="AY21" s="77"/>
      <c r="AZ21" s="77"/>
      <c r="BA21" s="77"/>
      <c r="BB21" s="77"/>
      <c r="BC21" s="77"/>
      <c r="BD21" s="77"/>
      <c r="BE21" s="77"/>
    </row>
    <row r="22">
      <c r="A22" s="77" t="s">
        <v>1171</v>
      </c>
      <c r="B22" s="77" t="s">
        <v>1171</v>
      </c>
      <c r="C22" s="77" t="s">
        <v>1174</v>
      </c>
      <c r="D22" s="211" t="s">
        <v>1171</v>
      </c>
      <c r="E22" s="212" t="s">
        <v>1171</v>
      </c>
      <c r="F22" s="212" t="s">
        <v>1171</v>
      </c>
      <c r="G22" s="219" t="s">
        <v>1171</v>
      </c>
      <c r="H22" s="188"/>
      <c r="I22" s="212" t="s">
        <v>1171</v>
      </c>
      <c r="J22" s="213">
        <v>2.09196024E8</v>
      </c>
      <c r="K22" s="213">
        <v>1.499949331E9</v>
      </c>
      <c r="L22" s="220">
        <v>1.03398256605E11</v>
      </c>
      <c r="M22" s="77"/>
      <c r="N22" s="213">
        <v>9.9000121333E10</v>
      </c>
      <c r="O22" s="78" t="s">
        <v>116</v>
      </c>
      <c r="P22" s="211" t="s">
        <v>283</v>
      </c>
      <c r="Q22" s="214" t="s">
        <v>1176</v>
      </c>
      <c r="R22" s="77" t="s">
        <v>1173</v>
      </c>
      <c r="S22" s="77"/>
      <c r="T22" s="211" t="s">
        <v>6539</v>
      </c>
      <c r="U22" s="214" t="s">
        <v>1027</v>
      </c>
      <c r="V22" s="77"/>
      <c r="W22" s="77"/>
      <c r="X22" s="77"/>
      <c r="Y22" s="77"/>
      <c r="Z22" s="216">
        <v>2.106909808E9</v>
      </c>
      <c r="AA22" s="77" t="s">
        <v>6540</v>
      </c>
      <c r="AB22" s="217">
        <v>1.63688556E8</v>
      </c>
      <c r="AC22" s="77" t="str">
        <f t="shared" si="2"/>
        <v>Витамины для кошек для костей и зубов, 100 таблеток</v>
      </c>
      <c r="AD22" s="218">
        <v>4.0</v>
      </c>
      <c r="AE22" s="216">
        <v>9.0</v>
      </c>
      <c r="AF22" s="218">
        <v>4.0</v>
      </c>
      <c r="AG22" s="216">
        <v>4.0</v>
      </c>
      <c r="AH22" s="77"/>
      <c r="AI22" s="216">
        <v>0.062</v>
      </c>
      <c r="AJ22" s="77"/>
      <c r="AK22" s="77"/>
      <c r="AL22" s="77"/>
      <c r="AM22" s="77"/>
      <c r="AN22" s="77"/>
      <c r="AO22" s="77"/>
      <c r="AP22" s="77"/>
      <c r="AQ22" s="77"/>
      <c r="AR22" s="77"/>
      <c r="AS22" s="77"/>
      <c r="AT22" s="77"/>
      <c r="AU22" s="77"/>
      <c r="AV22" s="77"/>
      <c r="AW22" s="77"/>
      <c r="AX22" s="77"/>
      <c r="AY22" s="77"/>
      <c r="AZ22" s="77"/>
      <c r="BA22" s="77"/>
      <c r="BB22" s="77"/>
      <c r="BC22" s="77"/>
      <c r="BD22" s="77"/>
      <c r="BE22" s="77"/>
    </row>
    <row r="23">
      <c r="A23" s="77" t="s">
        <v>2157</v>
      </c>
      <c r="B23" s="77" t="s">
        <v>2157</v>
      </c>
      <c r="C23" s="77" t="s">
        <v>2159</v>
      </c>
      <c r="D23" s="211" t="s">
        <v>2157</v>
      </c>
      <c r="E23" s="212" t="s">
        <v>2157</v>
      </c>
      <c r="F23" s="212" t="s">
        <v>2157</v>
      </c>
      <c r="G23" s="188"/>
      <c r="H23" s="188"/>
      <c r="I23" s="188"/>
      <c r="J23" s="213">
        <v>1.34150432E8</v>
      </c>
      <c r="K23" s="213">
        <v>7.84856113E8</v>
      </c>
      <c r="L23" s="77"/>
      <c r="M23" s="77"/>
      <c r="N23" s="77"/>
      <c r="O23" s="78" t="s">
        <v>116</v>
      </c>
      <c r="P23" s="211" t="s">
        <v>283</v>
      </c>
      <c r="Q23" s="214" t="s">
        <v>2160</v>
      </c>
      <c r="R23" s="77" t="s">
        <v>2158</v>
      </c>
      <c r="S23" s="77"/>
      <c r="T23" s="211" t="s">
        <v>6539</v>
      </c>
      <c r="U23" s="215" t="s">
        <v>1027</v>
      </c>
      <c r="V23" s="77"/>
      <c r="W23" s="77"/>
      <c r="X23" s="77"/>
      <c r="Y23" s="77"/>
      <c r="Z23" s="216">
        <v>2.106909808E9</v>
      </c>
      <c r="AA23" s="77" t="s">
        <v>6540</v>
      </c>
      <c r="AB23" s="217">
        <v>2.32468472E8</v>
      </c>
      <c r="AC23" s="77" t="str">
        <f t="shared" si="2"/>
        <v>Витамины противоаллергические собакам Harly Dog Anti-Allergy 100 таблеток</v>
      </c>
      <c r="AD23" s="218">
        <v>10.0</v>
      </c>
      <c r="AE23" s="216">
        <v>6.0</v>
      </c>
      <c r="AF23" s="218">
        <v>10.0</v>
      </c>
      <c r="AG23" s="216">
        <v>6.0</v>
      </c>
      <c r="AH23" s="77"/>
      <c r="AI23" s="216">
        <v>0.05</v>
      </c>
      <c r="AJ23" s="77"/>
      <c r="AK23" s="77"/>
      <c r="AL23" s="77"/>
      <c r="AM23" s="77"/>
      <c r="AN23" s="77"/>
      <c r="AO23" s="77"/>
      <c r="AP23" s="77"/>
      <c r="AQ23" s="77"/>
      <c r="AR23" s="77"/>
      <c r="AS23" s="77"/>
      <c r="AT23" s="77"/>
      <c r="AU23" s="77"/>
      <c r="AV23" s="77"/>
      <c r="AW23" s="77"/>
      <c r="AX23" s="77"/>
      <c r="AY23" s="77"/>
      <c r="AZ23" s="77"/>
      <c r="BA23" s="77"/>
      <c r="BB23" s="77"/>
      <c r="BC23" s="77"/>
      <c r="BD23" s="77"/>
      <c r="BE23" s="77"/>
    </row>
    <row r="24">
      <c r="A24" s="77" t="s">
        <v>2169</v>
      </c>
      <c r="B24" s="77" t="s">
        <v>2169</v>
      </c>
      <c r="C24" s="77" t="s">
        <v>2171</v>
      </c>
      <c r="D24" s="211" t="s">
        <v>2169</v>
      </c>
      <c r="E24" s="212" t="s">
        <v>2169</v>
      </c>
      <c r="F24" s="212" t="s">
        <v>2169</v>
      </c>
      <c r="G24" s="188"/>
      <c r="H24" s="188"/>
      <c r="I24" s="188"/>
      <c r="J24" s="213">
        <v>1.52169206E8</v>
      </c>
      <c r="K24" s="213">
        <v>9.01402455E8</v>
      </c>
      <c r="L24" s="77"/>
      <c r="M24" s="77"/>
      <c r="N24" s="77"/>
      <c r="O24" s="78" t="s">
        <v>116</v>
      </c>
      <c r="P24" s="211" t="s">
        <v>283</v>
      </c>
      <c r="Q24" s="214" t="s">
        <v>2173</v>
      </c>
      <c r="R24" s="77" t="s">
        <v>2170</v>
      </c>
      <c r="S24" s="77"/>
      <c r="T24" s="211" t="s">
        <v>6539</v>
      </c>
      <c r="U24" s="215" t="s">
        <v>1027</v>
      </c>
      <c r="V24" s="77"/>
      <c r="W24" s="77"/>
      <c r="X24" s="77"/>
      <c r="Y24" s="77"/>
      <c r="Z24" s="216">
        <v>2.106909808E9</v>
      </c>
      <c r="AA24" s="77" t="s">
        <v>6540</v>
      </c>
      <c r="AB24" s="217">
        <v>2.32465954E8</v>
      </c>
      <c r="AC24" s="77" t="str">
        <f t="shared" si="2"/>
        <v>Пребиотик для собак и кошек лактобактерии для профилактики жкт</v>
      </c>
      <c r="AD24" s="218">
        <v>21.0</v>
      </c>
      <c r="AE24" s="216">
        <v>4.0</v>
      </c>
      <c r="AF24" s="218">
        <v>21.0</v>
      </c>
      <c r="AG24" s="216">
        <v>6.0</v>
      </c>
      <c r="AH24" s="77"/>
      <c r="AI24" s="216">
        <v>0.1</v>
      </c>
      <c r="AJ24" s="77"/>
      <c r="AK24" s="77"/>
      <c r="AL24" s="77"/>
      <c r="AM24" s="77"/>
      <c r="AN24" s="77"/>
      <c r="AO24" s="77"/>
      <c r="AP24" s="77"/>
      <c r="AQ24" s="77"/>
      <c r="AR24" s="77"/>
      <c r="AS24" s="77"/>
      <c r="AT24" s="77"/>
      <c r="AU24" s="77"/>
      <c r="AV24" s="77"/>
      <c r="AW24" s="77"/>
      <c r="AX24" s="77"/>
      <c r="AY24" s="77"/>
      <c r="AZ24" s="77"/>
      <c r="BA24" s="77"/>
      <c r="BB24" s="77"/>
      <c r="BC24" s="77"/>
      <c r="BD24" s="77"/>
      <c r="BE24" s="77"/>
    </row>
    <row r="25">
      <c r="A25" s="77" t="s">
        <v>1120</v>
      </c>
      <c r="B25" s="77" t="s">
        <v>1120</v>
      </c>
      <c r="C25" s="77" t="s">
        <v>1122</v>
      </c>
      <c r="D25" s="211" t="s">
        <v>1120</v>
      </c>
      <c r="E25" s="212" t="s">
        <v>1120</v>
      </c>
      <c r="F25" s="212" t="s">
        <v>1120</v>
      </c>
      <c r="G25" s="219" t="s">
        <v>1120</v>
      </c>
      <c r="H25" s="188"/>
      <c r="I25" s="212" t="s">
        <v>1120</v>
      </c>
      <c r="J25" s="213">
        <v>1.57382017E8</v>
      </c>
      <c r="K25" s="213">
        <v>9.45003764E8</v>
      </c>
      <c r="L25" s="220">
        <v>1.02019832737E11</v>
      </c>
      <c r="M25" s="77"/>
      <c r="N25" s="213">
        <v>9.9000121335E10</v>
      </c>
      <c r="O25" s="78" t="s">
        <v>116</v>
      </c>
      <c r="P25" s="211" t="s">
        <v>283</v>
      </c>
      <c r="Q25" s="214" t="s">
        <v>1124</v>
      </c>
      <c r="R25" s="77" t="s">
        <v>1121</v>
      </c>
      <c r="S25" s="77"/>
      <c r="T25" s="211" t="s">
        <v>6539</v>
      </c>
      <c r="U25" s="214" t="s">
        <v>1027</v>
      </c>
      <c r="V25" s="77"/>
      <c r="W25" s="77"/>
      <c r="X25" s="77"/>
      <c r="Y25" s="77"/>
      <c r="Z25" s="216">
        <v>2.106909808E9</v>
      </c>
      <c r="AA25" s="77" t="s">
        <v>6540</v>
      </c>
      <c r="AB25" s="217">
        <v>2.63835222E8</v>
      </c>
      <c r="AC25" s="77" t="str">
        <f t="shared" si="2"/>
        <v>Корм для собак мелких пород сухой, ягненок Harly 2 кг</v>
      </c>
      <c r="AD25" s="218">
        <v>11.0</v>
      </c>
      <c r="AE25" s="216">
        <v>3.0</v>
      </c>
      <c r="AF25" s="218">
        <v>11.0</v>
      </c>
      <c r="AG25" s="216">
        <v>4.0</v>
      </c>
      <c r="AH25" s="77"/>
      <c r="AI25" s="216">
        <v>0.087</v>
      </c>
      <c r="AJ25" s="77"/>
      <c r="AK25" s="77"/>
      <c r="AL25" s="77"/>
      <c r="AM25" s="77"/>
      <c r="AN25" s="77"/>
      <c r="AO25" s="77"/>
      <c r="AP25" s="77"/>
      <c r="AQ25" s="77"/>
      <c r="AR25" s="77"/>
      <c r="AS25" s="77"/>
      <c r="AT25" s="77"/>
      <c r="AU25" s="77"/>
      <c r="AV25" s="77"/>
      <c r="AW25" s="77"/>
      <c r="AX25" s="77"/>
      <c r="AY25" s="77"/>
      <c r="AZ25" s="77"/>
      <c r="BA25" s="77"/>
      <c r="BB25" s="77"/>
      <c r="BC25" s="77"/>
      <c r="BD25" s="77"/>
      <c r="BE25" s="77"/>
    </row>
    <row r="26">
      <c r="A26" s="77" t="s">
        <v>357</v>
      </c>
      <c r="B26" s="77" t="s">
        <v>357</v>
      </c>
      <c r="C26" s="77" t="s">
        <v>363</v>
      </c>
      <c r="D26" s="211" t="s">
        <v>357</v>
      </c>
      <c r="E26" s="212" t="s">
        <v>357</v>
      </c>
      <c r="F26" s="212" t="s">
        <v>357</v>
      </c>
      <c r="G26" s="219" t="s">
        <v>357</v>
      </c>
      <c r="H26" s="188"/>
      <c r="I26" s="212" t="s">
        <v>357</v>
      </c>
      <c r="J26" s="213">
        <v>4.32821274E8</v>
      </c>
      <c r="K26" s="213">
        <v>2.214705163E9</v>
      </c>
      <c r="L26" s="220">
        <v>4.476305013E9</v>
      </c>
      <c r="M26" s="77"/>
      <c r="N26" s="213">
        <v>9.900011774E10</v>
      </c>
      <c r="O26" s="78" t="s">
        <v>116</v>
      </c>
      <c r="P26" s="211" t="s">
        <v>283</v>
      </c>
      <c r="Q26" s="214" t="s">
        <v>365</v>
      </c>
      <c r="R26" s="77" t="s">
        <v>360</v>
      </c>
      <c r="S26" s="77"/>
      <c r="T26" s="211" t="s">
        <v>6539</v>
      </c>
      <c r="U26" s="211" t="s">
        <v>362</v>
      </c>
      <c r="V26" s="77"/>
      <c r="W26" s="77"/>
      <c r="X26" s="77"/>
      <c r="Y26" s="77"/>
      <c r="Z26" s="216">
        <v>2.106909808E9</v>
      </c>
      <c r="AA26" s="77" t="s">
        <v>6540</v>
      </c>
      <c r="AB26" s="217">
        <v>2.3278502E8</v>
      </c>
      <c r="AC26" s="77" t="str">
        <f t="shared" si="2"/>
        <v>Пеленки для собак 60 на 40, пеленки одноразовые 30 штук</v>
      </c>
      <c r="AD26" s="218">
        <v>7.0</v>
      </c>
      <c r="AE26" s="216">
        <v>13.0</v>
      </c>
      <c r="AF26" s="218">
        <v>7.0</v>
      </c>
      <c r="AG26" s="216">
        <v>7.0</v>
      </c>
      <c r="AH26" s="77"/>
      <c r="AI26" s="216">
        <v>0.235</v>
      </c>
      <c r="AJ26" s="77"/>
      <c r="AK26" s="77"/>
      <c r="AL26" s="77"/>
      <c r="AM26" s="77"/>
      <c r="AN26" s="77"/>
      <c r="AO26" s="77"/>
      <c r="AP26" s="77"/>
      <c r="AQ26" s="77"/>
      <c r="AR26" s="77"/>
      <c r="AS26" s="77"/>
      <c r="AT26" s="77"/>
      <c r="AU26" s="77"/>
      <c r="AV26" s="77"/>
      <c r="AW26" s="77"/>
      <c r="AX26" s="77"/>
      <c r="AY26" s="77"/>
      <c r="AZ26" s="77"/>
      <c r="BA26" s="77"/>
      <c r="BB26" s="77"/>
      <c r="BC26" s="77"/>
      <c r="BD26" s="77"/>
      <c r="BE26" s="77"/>
    </row>
    <row r="27">
      <c r="A27" s="77" t="s">
        <v>834</v>
      </c>
      <c r="B27" s="77" t="s">
        <v>834</v>
      </c>
      <c r="C27" s="77" t="s">
        <v>837</v>
      </c>
      <c r="D27" s="211" t="s">
        <v>834</v>
      </c>
      <c r="E27" s="212" t="s">
        <v>834</v>
      </c>
      <c r="F27" s="212" t="s">
        <v>834</v>
      </c>
      <c r="G27" s="219" t="s">
        <v>834</v>
      </c>
      <c r="H27" s="188"/>
      <c r="I27" s="188"/>
      <c r="J27" s="213">
        <v>9.1969061E7</v>
      </c>
      <c r="K27" s="213">
        <v>6.50452213E8</v>
      </c>
      <c r="L27" s="220">
        <v>1.0180512067E11</v>
      </c>
      <c r="M27" s="77"/>
      <c r="N27" s="77"/>
      <c r="O27" s="78" t="s">
        <v>116</v>
      </c>
      <c r="P27" s="211" t="s">
        <v>283</v>
      </c>
      <c r="Q27" s="214" t="s">
        <v>839</v>
      </c>
      <c r="R27" s="77" t="s">
        <v>836</v>
      </c>
      <c r="S27" s="77"/>
      <c r="T27" s="211" t="s">
        <v>6539</v>
      </c>
      <c r="U27" s="215" t="s">
        <v>6542</v>
      </c>
      <c r="V27" s="77"/>
      <c r="W27" s="77"/>
      <c r="X27" s="77"/>
      <c r="Y27" s="77"/>
      <c r="Z27" s="216">
        <v>2.106909808E9</v>
      </c>
      <c r="AA27" s="77" t="s">
        <v>6540</v>
      </c>
      <c r="AB27" s="217">
        <v>1.63687757E8</v>
      </c>
      <c r="AC27" s="77" t="str">
        <f t="shared" si="2"/>
        <v>Витамины для собак и щенков для костей и зубов, 100 таблеток</v>
      </c>
      <c r="AD27" s="218">
        <v>9.0</v>
      </c>
      <c r="AE27" s="216">
        <v>5.0</v>
      </c>
      <c r="AF27" s="218">
        <v>9.0</v>
      </c>
      <c r="AG27" s="216">
        <v>5.0</v>
      </c>
      <c r="AH27" s="77"/>
      <c r="AI27" s="216">
        <v>0.049</v>
      </c>
      <c r="AJ27" s="77"/>
      <c r="AK27" s="77"/>
      <c r="AL27" s="77"/>
      <c r="AM27" s="77"/>
      <c r="AN27" s="77"/>
      <c r="AO27" s="77"/>
      <c r="AP27" s="77"/>
      <c r="AQ27" s="77"/>
      <c r="AR27" s="77"/>
      <c r="AS27" s="77"/>
      <c r="AT27" s="77"/>
      <c r="AU27" s="77"/>
      <c r="AV27" s="77"/>
      <c r="AW27" s="77"/>
      <c r="AX27" s="77"/>
      <c r="AY27" s="77"/>
      <c r="AZ27" s="77"/>
      <c r="BA27" s="77"/>
      <c r="BB27" s="77"/>
      <c r="BC27" s="77"/>
      <c r="BD27" s="77"/>
      <c r="BE27" s="77"/>
    </row>
    <row r="28">
      <c r="A28" s="77" t="s">
        <v>2246</v>
      </c>
      <c r="B28" s="77" t="s">
        <v>2246</v>
      </c>
      <c r="C28" s="77" t="s">
        <v>2248</v>
      </c>
      <c r="D28" s="211" t="s">
        <v>2246</v>
      </c>
      <c r="E28" s="212" t="s">
        <v>2246</v>
      </c>
      <c r="F28" s="212" t="s">
        <v>2246</v>
      </c>
      <c r="G28" s="188"/>
      <c r="H28" s="188"/>
      <c r="I28" s="188"/>
      <c r="J28" s="213">
        <v>1.49730224E8</v>
      </c>
      <c r="K28" s="213">
        <v>8.8044412E8</v>
      </c>
      <c r="L28" s="77"/>
      <c r="M28" s="77"/>
      <c r="N28" s="77"/>
      <c r="O28" s="78" t="s">
        <v>116</v>
      </c>
      <c r="P28" s="211" t="s">
        <v>283</v>
      </c>
      <c r="Q28" s="214" t="s">
        <v>2249</v>
      </c>
      <c r="R28" s="77" t="s">
        <v>2247</v>
      </c>
      <c r="S28" s="77"/>
      <c r="T28" s="211" t="s">
        <v>6539</v>
      </c>
      <c r="U28" s="211" t="s">
        <v>6542</v>
      </c>
      <c r="V28" s="77"/>
      <c r="W28" s="77"/>
      <c r="X28" s="77"/>
      <c r="Y28" s="77"/>
      <c r="Z28" s="216">
        <v>2.106909808E9</v>
      </c>
      <c r="AA28" s="77" t="s">
        <v>6540</v>
      </c>
      <c r="AB28" s="217">
        <v>2.32451654E8</v>
      </c>
      <c r="AC28" s="77" t="str">
        <f t="shared" si="2"/>
        <v>Ушные капли для чистки ушей собак и кошек Harly</v>
      </c>
      <c r="AD28" s="218">
        <v>14.0</v>
      </c>
      <c r="AE28" s="216">
        <v>7.0</v>
      </c>
      <c r="AF28" s="218">
        <v>14.0</v>
      </c>
      <c r="AG28" s="216">
        <v>21.0</v>
      </c>
      <c r="AH28" s="77"/>
      <c r="AI28" s="216">
        <v>0.1</v>
      </c>
      <c r="AJ28" s="77"/>
      <c r="AK28" s="77"/>
      <c r="AL28" s="77"/>
      <c r="AM28" s="77"/>
      <c r="AN28" s="77"/>
      <c r="AO28" s="77"/>
      <c r="AP28" s="77"/>
      <c r="AQ28" s="77"/>
      <c r="AR28" s="77"/>
      <c r="AS28" s="77"/>
      <c r="AT28" s="77"/>
      <c r="AU28" s="77"/>
      <c r="AV28" s="77"/>
      <c r="AW28" s="77"/>
      <c r="AX28" s="77"/>
      <c r="AY28" s="77"/>
      <c r="AZ28" s="77"/>
      <c r="BA28" s="77"/>
      <c r="BB28" s="77"/>
      <c r="BC28" s="77"/>
      <c r="BD28" s="77"/>
      <c r="BE28" s="77"/>
    </row>
    <row r="29">
      <c r="A29" s="77" t="s">
        <v>2191</v>
      </c>
      <c r="B29" s="77" t="s">
        <v>2191</v>
      </c>
      <c r="C29" s="77" t="s">
        <v>2193</v>
      </c>
      <c r="D29" s="211" t="s">
        <v>2191</v>
      </c>
      <c r="E29" s="212" t="s">
        <v>2191</v>
      </c>
      <c r="F29" s="212" t="s">
        <v>2191</v>
      </c>
      <c r="G29" s="188"/>
      <c r="H29" s="188"/>
      <c r="I29" s="188"/>
      <c r="J29" s="213">
        <v>1.59980608E8</v>
      </c>
      <c r="K29" s="213">
        <v>9.67716766E8</v>
      </c>
      <c r="L29" s="77"/>
      <c r="M29" s="77"/>
      <c r="N29" s="77"/>
      <c r="O29" s="78" t="s">
        <v>116</v>
      </c>
      <c r="P29" s="211" t="s">
        <v>283</v>
      </c>
      <c r="Q29" s="214" t="s">
        <v>2195</v>
      </c>
      <c r="R29" s="77" t="s">
        <v>2192</v>
      </c>
      <c r="S29" s="77"/>
      <c r="T29" s="211" t="s">
        <v>6539</v>
      </c>
      <c r="U29" s="211" t="s">
        <v>362</v>
      </c>
      <c r="V29" s="77"/>
      <c r="W29" s="77"/>
      <c r="X29" s="77"/>
      <c r="Y29" s="77"/>
      <c r="Z29" s="216">
        <v>2.106909808E9</v>
      </c>
      <c r="AA29" s="77" t="s">
        <v>6540</v>
      </c>
      <c r="AB29" s="217">
        <v>3.85728241E8</v>
      </c>
      <c r="AC29" s="77" t="str">
        <f t="shared" si="2"/>
        <v>Лосьон для глаз собак и кошек очищающий Harly 100 мл</v>
      </c>
      <c r="AD29" s="218">
        <v>5.0</v>
      </c>
      <c r="AE29" s="216">
        <v>11.0</v>
      </c>
      <c r="AF29" s="218">
        <v>5.0</v>
      </c>
      <c r="AG29" s="216">
        <v>5.0</v>
      </c>
      <c r="AH29" s="77"/>
      <c r="AI29" s="216">
        <v>0.12</v>
      </c>
      <c r="AJ29" s="77"/>
      <c r="AK29" s="77"/>
      <c r="AL29" s="77"/>
      <c r="AM29" s="77"/>
      <c r="AN29" s="77"/>
      <c r="AO29" s="77"/>
      <c r="AP29" s="77"/>
      <c r="AQ29" s="77"/>
      <c r="AR29" s="77"/>
      <c r="AS29" s="77"/>
      <c r="AT29" s="77"/>
      <c r="AU29" s="77"/>
      <c r="AV29" s="77"/>
      <c r="AW29" s="77"/>
      <c r="AX29" s="77"/>
      <c r="AY29" s="77"/>
      <c r="AZ29" s="77"/>
      <c r="BA29" s="77"/>
      <c r="BB29" s="77"/>
      <c r="BC29" s="77"/>
      <c r="BD29" s="77"/>
      <c r="BE29" s="77"/>
    </row>
    <row r="30">
      <c r="A30" s="77" t="s">
        <v>2293</v>
      </c>
      <c r="B30" s="77" t="s">
        <v>2293</v>
      </c>
      <c r="C30" s="77" t="s">
        <v>2295</v>
      </c>
      <c r="D30" s="211" t="s">
        <v>2293</v>
      </c>
      <c r="E30" s="212" t="s">
        <v>2293</v>
      </c>
      <c r="F30" s="212" t="s">
        <v>2293</v>
      </c>
      <c r="G30" s="219" t="s">
        <v>2293</v>
      </c>
      <c r="H30" s="188"/>
      <c r="I30" s="188"/>
      <c r="J30" s="213">
        <v>2.93061661E8</v>
      </c>
      <c r="K30" s="213">
        <v>1.773844375E9</v>
      </c>
      <c r="L30" s="220">
        <v>1.03665483133E11</v>
      </c>
      <c r="M30" s="77"/>
      <c r="N30" s="77"/>
      <c r="O30" s="78" t="s">
        <v>116</v>
      </c>
      <c r="P30" s="211" t="s">
        <v>283</v>
      </c>
      <c r="Q30" s="214" t="s">
        <v>2297</v>
      </c>
      <c r="R30" s="77" t="s">
        <v>2294</v>
      </c>
      <c r="S30" s="77"/>
      <c r="T30" s="211" t="s">
        <v>6539</v>
      </c>
      <c r="U30" s="211" t="s">
        <v>362</v>
      </c>
      <c r="V30" s="77"/>
      <c r="W30" s="77"/>
      <c r="X30" s="77"/>
      <c r="Y30" s="77"/>
      <c r="Z30" s="216">
        <v>2.106909808E9</v>
      </c>
      <c r="AA30" s="77" t="s">
        <v>6540</v>
      </c>
      <c r="AB30" s="217">
        <v>1.50262548E8</v>
      </c>
      <c r="AC30" s="77" t="str">
        <f t="shared" si="2"/>
        <v>Витамины для собак и щенков для костей суставов и связок 100 таблеток</v>
      </c>
      <c r="AD30" s="218">
        <v>11.0</v>
      </c>
      <c r="AE30" s="216">
        <v>6.0</v>
      </c>
      <c r="AF30" s="218">
        <v>11.0</v>
      </c>
      <c r="AG30" s="216">
        <v>6.0</v>
      </c>
      <c r="AH30" s="77"/>
      <c r="AI30" s="216">
        <v>0.168</v>
      </c>
      <c r="AJ30" s="77"/>
      <c r="AK30" s="77"/>
      <c r="AL30" s="77"/>
      <c r="AM30" s="77"/>
      <c r="AN30" s="77"/>
      <c r="AO30" s="77"/>
      <c r="AP30" s="77"/>
      <c r="AQ30" s="77"/>
      <c r="AR30" s="77"/>
      <c r="AS30" s="77"/>
      <c r="AT30" s="77"/>
      <c r="AU30" s="77"/>
      <c r="AV30" s="77"/>
      <c r="AW30" s="77"/>
      <c r="AX30" s="77"/>
      <c r="AY30" s="77"/>
      <c r="AZ30" s="77"/>
      <c r="BA30" s="77"/>
      <c r="BB30" s="77"/>
      <c r="BC30" s="77"/>
      <c r="BD30" s="77"/>
      <c r="BE30" s="77"/>
    </row>
    <row r="31">
      <c r="A31" s="77" t="s">
        <v>1899</v>
      </c>
      <c r="B31" s="77" t="s">
        <v>1899</v>
      </c>
      <c r="C31" s="77" t="s">
        <v>1901</v>
      </c>
      <c r="D31" s="211" t="s">
        <v>1899</v>
      </c>
      <c r="E31" s="212" t="s">
        <v>1899</v>
      </c>
      <c r="F31" s="212" t="s">
        <v>1899</v>
      </c>
      <c r="G31" s="188"/>
      <c r="H31" s="188"/>
      <c r="I31" s="188"/>
      <c r="J31" s="213">
        <v>2.32462E8</v>
      </c>
      <c r="K31" s="213">
        <v>1.581800376E9</v>
      </c>
      <c r="L31" s="77"/>
      <c r="M31" s="77"/>
      <c r="N31" s="77"/>
      <c r="O31" s="78" t="s">
        <v>116</v>
      </c>
      <c r="P31" s="211" t="s">
        <v>283</v>
      </c>
      <c r="Q31" s="214" t="s">
        <v>1903</v>
      </c>
      <c r="R31" s="77" t="s">
        <v>1900</v>
      </c>
      <c r="S31" s="77"/>
      <c r="T31" s="211" t="s">
        <v>6539</v>
      </c>
      <c r="U31" s="211" t="s">
        <v>362</v>
      </c>
      <c r="V31" s="77"/>
      <c r="W31" s="77"/>
      <c r="X31" s="77"/>
      <c r="Y31" s="77"/>
      <c r="Z31" s="216">
        <v>2.106909808E9</v>
      </c>
      <c r="AA31" s="77" t="s">
        <v>6540</v>
      </c>
      <c r="AB31" s="217">
        <v>4.45333054E8</v>
      </c>
      <c r="AC31" s="77" t="str">
        <f t="shared" si="2"/>
        <v>Нейтрализатор запахов животных, от кошачьей мочи, 500 мл</v>
      </c>
      <c r="AD31" s="218">
        <v>5.0</v>
      </c>
      <c r="AE31" s="216">
        <v>5.0</v>
      </c>
      <c r="AF31" s="218">
        <v>5.0</v>
      </c>
      <c r="AG31" s="216">
        <v>5.0</v>
      </c>
      <c r="AH31" s="77"/>
      <c r="AI31" s="216">
        <v>0.05</v>
      </c>
      <c r="AJ31" s="77"/>
      <c r="AK31" s="77"/>
      <c r="AL31" s="77"/>
      <c r="AM31" s="77"/>
      <c r="AN31" s="77"/>
      <c r="AO31" s="77"/>
      <c r="AP31" s="77"/>
      <c r="AQ31" s="77"/>
      <c r="AR31" s="77"/>
      <c r="AS31" s="77"/>
      <c r="AT31" s="77"/>
      <c r="AU31" s="77"/>
      <c r="AV31" s="77"/>
      <c r="AW31" s="77"/>
      <c r="AX31" s="77"/>
      <c r="AY31" s="77"/>
      <c r="AZ31" s="77"/>
      <c r="BA31" s="77"/>
      <c r="BB31" s="77"/>
      <c r="BC31" s="77"/>
      <c r="BD31" s="77"/>
      <c r="BE31" s="77"/>
    </row>
    <row r="32">
      <c r="A32" s="77" t="s">
        <v>2178</v>
      </c>
      <c r="B32" s="77" t="s">
        <v>2178</v>
      </c>
      <c r="C32" s="77" t="s">
        <v>2179</v>
      </c>
      <c r="D32" s="211" t="s">
        <v>2178</v>
      </c>
      <c r="E32" s="212" t="s">
        <v>2178</v>
      </c>
      <c r="F32" s="212" t="s">
        <v>2178</v>
      </c>
      <c r="G32" s="188"/>
      <c r="H32" s="188"/>
      <c r="I32" s="188"/>
      <c r="J32" s="213">
        <v>9.196887E7</v>
      </c>
      <c r="K32" s="213">
        <v>6.37790722E8</v>
      </c>
      <c r="L32" s="77"/>
      <c r="M32" s="77"/>
      <c r="N32" s="77"/>
      <c r="O32" s="78" t="s">
        <v>116</v>
      </c>
      <c r="P32" s="211" t="s">
        <v>283</v>
      </c>
      <c r="Q32" s="214" t="s">
        <v>1903</v>
      </c>
      <c r="R32" s="77" t="s">
        <v>1900</v>
      </c>
      <c r="S32" s="77"/>
      <c r="T32" s="211" t="s">
        <v>6539</v>
      </c>
      <c r="U32" s="211" t="s">
        <v>362</v>
      </c>
      <c r="V32" s="77"/>
      <c r="W32" s="77"/>
      <c r="X32" s="77"/>
      <c r="Y32" s="77"/>
      <c r="Z32" s="216">
        <v>2.106909808E9</v>
      </c>
      <c r="AA32" s="77" t="s">
        <v>6540</v>
      </c>
      <c r="AB32" s="217">
        <v>3.25216323E8</v>
      </c>
      <c r="AC32" s="77" t="str">
        <f t="shared" si="2"/>
        <v>Шампунь для собак гипоаллергенный с пантенолом Harly 500 мл</v>
      </c>
      <c r="AD32" s="218">
        <v>5.0</v>
      </c>
      <c r="AE32" s="216">
        <v>9.0</v>
      </c>
      <c r="AF32" s="218">
        <v>5.0</v>
      </c>
      <c r="AG32" s="216">
        <v>5.0</v>
      </c>
      <c r="AH32" s="77"/>
      <c r="AI32" s="216">
        <v>0.076</v>
      </c>
      <c r="AJ32" s="77"/>
      <c r="AK32" s="77"/>
      <c r="AL32" s="77"/>
      <c r="AM32" s="77"/>
      <c r="AN32" s="77"/>
      <c r="AO32" s="77"/>
      <c r="AP32" s="77"/>
      <c r="AQ32" s="77"/>
      <c r="AR32" s="77"/>
      <c r="AS32" s="77"/>
      <c r="AT32" s="77"/>
      <c r="AU32" s="77"/>
      <c r="AV32" s="77"/>
      <c r="AW32" s="77"/>
      <c r="AX32" s="77"/>
      <c r="AY32" s="77"/>
      <c r="AZ32" s="77"/>
      <c r="BA32" s="77"/>
      <c r="BB32" s="77"/>
      <c r="BC32" s="77"/>
      <c r="BD32" s="77"/>
      <c r="BE32" s="77"/>
    </row>
    <row r="33">
      <c r="A33" s="77" t="s">
        <v>1914</v>
      </c>
      <c r="B33" s="77" t="s">
        <v>1914</v>
      </c>
      <c r="C33" s="77" t="s">
        <v>1916</v>
      </c>
      <c r="D33" s="211" t="s">
        <v>1914</v>
      </c>
      <c r="E33" s="212" t="s">
        <v>1914</v>
      </c>
      <c r="F33" s="212" t="s">
        <v>1914</v>
      </c>
      <c r="G33" s="219" t="s">
        <v>1914</v>
      </c>
      <c r="H33" s="188"/>
      <c r="I33" s="188"/>
      <c r="J33" s="213">
        <v>2.94499466E8</v>
      </c>
      <c r="K33" s="213">
        <v>1.773345751E9</v>
      </c>
      <c r="L33" s="220">
        <v>1.0366549006E11</v>
      </c>
      <c r="M33" s="77"/>
      <c r="N33" s="77"/>
      <c r="O33" s="78" t="s">
        <v>116</v>
      </c>
      <c r="P33" s="211" t="s">
        <v>283</v>
      </c>
      <c r="Q33" s="214" t="s">
        <v>1918</v>
      </c>
      <c r="R33" s="77" t="s">
        <v>1915</v>
      </c>
      <c r="S33" s="77"/>
      <c r="T33" s="211" t="s">
        <v>6539</v>
      </c>
      <c r="U33" s="215" t="s">
        <v>662</v>
      </c>
      <c r="V33" s="77"/>
      <c r="W33" s="77"/>
      <c r="X33" s="77"/>
      <c r="Y33" s="77"/>
      <c r="Z33" s="216">
        <v>2.106909808E9</v>
      </c>
      <c r="AA33" s="77" t="s">
        <v>6540</v>
      </c>
      <c r="AB33" s="217">
        <v>1.77867999E8</v>
      </c>
      <c r="AC33" s="77" t="str">
        <f t="shared" si="2"/>
        <v>Аминокислоты Глютамин, Тирозин, L-триптофан, L-глутаминовая кислота, L-теанин Qeep 90 капсул</v>
      </c>
      <c r="AD33" s="218">
        <v>23.0</v>
      </c>
      <c r="AE33" s="216">
        <v>15.0</v>
      </c>
      <c r="AF33" s="218">
        <v>23.0</v>
      </c>
      <c r="AG33" s="216">
        <v>9.0</v>
      </c>
      <c r="AH33" s="77"/>
      <c r="AI33" s="216">
        <v>0.7</v>
      </c>
      <c r="AJ33" s="77"/>
      <c r="AK33" s="77"/>
      <c r="AL33" s="77"/>
      <c r="AM33" s="77"/>
      <c r="AN33" s="77"/>
      <c r="AO33" s="77"/>
      <c r="AP33" s="77"/>
      <c r="AQ33" s="77"/>
      <c r="AR33" s="77"/>
      <c r="AS33" s="77"/>
      <c r="AT33" s="77"/>
      <c r="AU33" s="77"/>
      <c r="AV33" s="77"/>
      <c r="AW33" s="77"/>
      <c r="AX33" s="77"/>
      <c r="AY33" s="77"/>
      <c r="AZ33" s="77"/>
      <c r="BA33" s="77"/>
      <c r="BB33" s="77"/>
      <c r="BC33" s="77"/>
      <c r="BD33" s="77"/>
      <c r="BE33" s="77"/>
    </row>
    <row r="34">
      <c r="A34" s="77" t="s">
        <v>1925</v>
      </c>
      <c r="B34" s="77" t="s">
        <v>1925</v>
      </c>
      <c r="C34" s="77" t="s">
        <v>1927</v>
      </c>
      <c r="D34" s="211" t="s">
        <v>1925</v>
      </c>
      <c r="E34" s="212" t="s">
        <v>1925</v>
      </c>
      <c r="F34" s="212" t="s">
        <v>1925</v>
      </c>
      <c r="G34" s="188"/>
      <c r="H34" s="188"/>
      <c r="I34" s="188"/>
      <c r="J34" s="213">
        <v>2.20091999E8</v>
      </c>
      <c r="K34" s="213">
        <v>1.342086207E9</v>
      </c>
      <c r="L34" s="77"/>
      <c r="M34" s="77"/>
      <c r="N34" s="77"/>
      <c r="O34" s="78" t="s">
        <v>116</v>
      </c>
      <c r="P34" s="211" t="s">
        <v>283</v>
      </c>
      <c r="Q34" s="214" t="s">
        <v>1929</v>
      </c>
      <c r="R34" s="77" t="s">
        <v>1926</v>
      </c>
      <c r="S34" s="77"/>
      <c r="T34" s="211" t="s">
        <v>6539</v>
      </c>
      <c r="U34" s="215" t="s">
        <v>1557</v>
      </c>
      <c r="V34" s="77"/>
      <c r="W34" s="77"/>
      <c r="X34" s="77"/>
      <c r="Y34" s="77"/>
      <c r="Z34" s="216">
        <v>2.106909808E9</v>
      </c>
      <c r="AA34" s="77" t="s">
        <v>6540</v>
      </c>
      <c r="AB34" s="217">
        <v>2.4016933E8</v>
      </c>
      <c r="AC34" s="77" t="str">
        <f t="shared" si="2"/>
        <v>Спрей от колтунов для длинной шерсти и легкого расчесывания</v>
      </c>
      <c r="AD34" s="218">
        <v>11.0</v>
      </c>
      <c r="AE34" s="216">
        <v>5.0</v>
      </c>
      <c r="AF34" s="218">
        <v>11.0</v>
      </c>
      <c r="AG34" s="216">
        <v>6.0</v>
      </c>
      <c r="AH34" s="77"/>
      <c r="AI34" s="216">
        <v>0.076</v>
      </c>
      <c r="AJ34" s="77"/>
      <c r="AK34" s="77"/>
      <c r="AL34" s="77"/>
      <c r="AM34" s="77"/>
      <c r="AN34" s="77"/>
      <c r="AO34" s="77"/>
      <c r="AP34" s="77"/>
      <c r="AQ34" s="77"/>
      <c r="AR34" s="77"/>
      <c r="AS34" s="77"/>
      <c r="AT34" s="77"/>
      <c r="AU34" s="77"/>
      <c r="AV34" s="77"/>
      <c r="AW34" s="77"/>
      <c r="AX34" s="77"/>
      <c r="AY34" s="77"/>
      <c r="AZ34" s="77"/>
      <c r="BA34" s="77"/>
      <c r="BB34" s="77"/>
      <c r="BC34" s="77"/>
      <c r="BD34" s="77"/>
      <c r="BE34" s="77"/>
    </row>
    <row r="35">
      <c r="A35" s="77" t="s">
        <v>2069</v>
      </c>
      <c r="B35" s="77" t="s">
        <v>2069</v>
      </c>
      <c r="C35" s="77" t="s">
        <v>2070</v>
      </c>
      <c r="D35" s="211" t="s">
        <v>2069</v>
      </c>
      <c r="E35" s="212" t="s">
        <v>2069</v>
      </c>
      <c r="F35" s="212" t="s">
        <v>2069</v>
      </c>
      <c r="G35" s="188"/>
      <c r="H35" s="188"/>
      <c r="I35" s="188"/>
      <c r="J35" s="213">
        <v>1.33694038E8</v>
      </c>
      <c r="K35" s="213">
        <v>7.86142411E8</v>
      </c>
      <c r="L35" s="77"/>
      <c r="M35" s="77"/>
      <c r="N35" s="77"/>
      <c r="O35" s="78" t="s">
        <v>116</v>
      </c>
      <c r="P35" s="211" t="s">
        <v>283</v>
      </c>
      <c r="Q35" s="214" t="s">
        <v>2072</v>
      </c>
      <c r="R35" s="77" t="s">
        <v>904</v>
      </c>
      <c r="S35" s="77"/>
      <c r="T35" s="211" t="s">
        <v>6539</v>
      </c>
      <c r="U35" s="211" t="s">
        <v>6541</v>
      </c>
      <c r="V35" s="77"/>
      <c r="W35" s="77"/>
      <c r="X35" s="77"/>
      <c r="Y35" s="77"/>
      <c r="Z35" s="216">
        <v>2.106909808E9</v>
      </c>
      <c r="AA35" s="77" t="s">
        <v>6540</v>
      </c>
      <c r="AB35" s="217">
        <v>3.92028939E8</v>
      </c>
      <c r="AC35" s="77" t="str">
        <f t="shared" si="2"/>
        <v>Точечный крем от прыщей. Корректор точечный против прыщей, крем от акне. Салициловая кислота, азелаиновая кислота qeep 20 мл</v>
      </c>
      <c r="AD35" s="218">
        <v>10.0</v>
      </c>
      <c r="AE35" s="216">
        <v>6.0</v>
      </c>
      <c r="AF35" s="218">
        <v>10.0</v>
      </c>
      <c r="AG35" s="216">
        <v>6.0</v>
      </c>
      <c r="AH35" s="77"/>
      <c r="AI35" s="216">
        <v>0.05</v>
      </c>
      <c r="AJ35" s="77"/>
      <c r="AK35" s="77"/>
      <c r="AL35" s="77"/>
      <c r="AM35" s="77"/>
      <c r="AN35" s="77"/>
      <c r="AO35" s="77"/>
      <c r="AP35" s="77"/>
      <c r="AQ35" s="77"/>
      <c r="AR35" s="77"/>
      <c r="AS35" s="77"/>
      <c r="AT35" s="77"/>
      <c r="AU35" s="77"/>
      <c r="AV35" s="77"/>
      <c r="AW35" s="77"/>
      <c r="AX35" s="77"/>
      <c r="AY35" s="77"/>
      <c r="AZ35" s="77"/>
      <c r="BA35" s="77"/>
      <c r="BB35" s="77"/>
      <c r="BC35" s="77"/>
      <c r="BD35" s="77"/>
      <c r="BE35" s="77"/>
    </row>
    <row r="36">
      <c r="A36" s="77" t="s">
        <v>903</v>
      </c>
      <c r="B36" s="77" t="s">
        <v>903</v>
      </c>
      <c r="C36" s="77" t="s">
        <v>905</v>
      </c>
      <c r="D36" s="211" t="s">
        <v>903</v>
      </c>
      <c r="E36" s="212" t="s">
        <v>903</v>
      </c>
      <c r="F36" s="212" t="s">
        <v>903</v>
      </c>
      <c r="G36" s="219" t="s">
        <v>903</v>
      </c>
      <c r="H36" s="188"/>
      <c r="I36" s="212" t="s">
        <v>903</v>
      </c>
      <c r="J36" s="213">
        <v>2.66214623E8</v>
      </c>
      <c r="K36" s="213">
        <v>1.713242647E9</v>
      </c>
      <c r="L36" s="220">
        <v>1.03555039362E11</v>
      </c>
      <c r="M36" s="77"/>
      <c r="N36" s="213">
        <v>9.9000121328E10</v>
      </c>
      <c r="O36" s="78" t="s">
        <v>116</v>
      </c>
      <c r="P36" s="211" t="s">
        <v>283</v>
      </c>
      <c r="Q36" s="214" t="s">
        <v>907</v>
      </c>
      <c r="R36" s="77" t="s">
        <v>904</v>
      </c>
      <c r="S36" s="77"/>
      <c r="T36" s="211" t="s">
        <v>6539</v>
      </c>
      <c r="U36" s="211" t="s">
        <v>6541</v>
      </c>
      <c r="V36" s="77"/>
      <c r="W36" s="77"/>
      <c r="X36" s="77"/>
      <c r="Y36" s="77"/>
      <c r="Z36" s="216">
        <v>2.106909808E9</v>
      </c>
      <c r="AA36" s="77" t="s">
        <v>6540</v>
      </c>
      <c r="AB36" s="217">
        <v>1.9312388E8</v>
      </c>
      <c r="AC36" s="77" t="str">
        <f t="shared" si="2"/>
        <v>Антипаразитарный комплекс Qeep 60 капсул</v>
      </c>
      <c r="AD36" s="218">
        <v>11.0</v>
      </c>
      <c r="AE36" s="216">
        <v>6.0</v>
      </c>
      <c r="AF36" s="218">
        <v>11.0</v>
      </c>
      <c r="AG36" s="216">
        <v>6.0</v>
      </c>
      <c r="AH36" s="77"/>
      <c r="AI36" s="216">
        <v>0.069</v>
      </c>
      <c r="AJ36" s="77"/>
      <c r="AK36" s="77"/>
      <c r="AL36" s="77"/>
      <c r="AM36" s="77"/>
      <c r="AN36" s="77"/>
      <c r="AO36" s="77"/>
      <c r="AP36" s="77"/>
      <c r="AQ36" s="77"/>
      <c r="AR36" s="77"/>
      <c r="AS36" s="77"/>
      <c r="AT36" s="77"/>
      <c r="AU36" s="77"/>
      <c r="AV36" s="77"/>
      <c r="AW36" s="77"/>
      <c r="AX36" s="77"/>
      <c r="AY36" s="77"/>
      <c r="AZ36" s="77"/>
      <c r="BA36" s="77"/>
      <c r="BB36" s="77"/>
      <c r="BC36" s="77"/>
      <c r="BD36" s="77"/>
      <c r="BE36" s="77"/>
    </row>
    <row r="37">
      <c r="A37" s="77" t="s">
        <v>2033</v>
      </c>
      <c r="B37" s="77" t="s">
        <v>2033</v>
      </c>
      <c r="C37" s="77" t="s">
        <v>2035</v>
      </c>
      <c r="D37" s="211" t="s">
        <v>2033</v>
      </c>
      <c r="E37" s="212" t="s">
        <v>2033</v>
      </c>
      <c r="F37" s="212" t="s">
        <v>2033</v>
      </c>
      <c r="G37" s="219" t="s">
        <v>2033</v>
      </c>
      <c r="H37" s="188"/>
      <c r="I37" s="188"/>
      <c r="J37" s="213">
        <v>1.57007801E8</v>
      </c>
      <c r="K37" s="213">
        <v>9.46976846E8</v>
      </c>
      <c r="L37" s="220">
        <v>1.0337396636E11</v>
      </c>
      <c r="M37" s="77"/>
      <c r="N37" s="77"/>
      <c r="O37" s="78" t="s">
        <v>116</v>
      </c>
      <c r="P37" s="211" t="s">
        <v>283</v>
      </c>
      <c r="Q37" s="214" t="s">
        <v>2037</v>
      </c>
      <c r="R37" s="77" t="s">
        <v>2034</v>
      </c>
      <c r="S37" s="77"/>
      <c r="T37" s="211" t="s">
        <v>6539</v>
      </c>
      <c r="U37" s="215" t="s">
        <v>662</v>
      </c>
      <c r="V37" s="77"/>
      <c r="W37" s="77"/>
      <c r="X37" s="77"/>
      <c r="Y37" s="77"/>
      <c r="Z37" s="216">
        <v>2.106909808E9</v>
      </c>
      <c r="AA37" s="77" t="s">
        <v>6540</v>
      </c>
      <c r="AB37" s="217">
        <v>1.58114551E8</v>
      </c>
      <c r="AC37" s="77" t="str">
        <f t="shared" si="2"/>
        <v>Аргинин 1000 мг, l аргинин, Qeep 90 капсул</v>
      </c>
      <c r="AD37" s="218">
        <v>10.0</v>
      </c>
      <c r="AE37" s="216">
        <v>5.0</v>
      </c>
      <c r="AF37" s="218">
        <v>10.0</v>
      </c>
      <c r="AG37" s="216">
        <v>5.0</v>
      </c>
      <c r="AH37" s="77"/>
      <c r="AI37" s="216">
        <v>0.04</v>
      </c>
      <c r="AJ37" s="77"/>
      <c r="AK37" s="77"/>
      <c r="AL37" s="77"/>
      <c r="AM37" s="77"/>
      <c r="AN37" s="77"/>
      <c r="AO37" s="77"/>
      <c r="AP37" s="77"/>
      <c r="AQ37" s="77"/>
      <c r="AR37" s="77"/>
      <c r="AS37" s="77"/>
      <c r="AT37" s="77"/>
      <c r="AU37" s="77"/>
      <c r="AV37" s="77"/>
      <c r="AW37" s="77"/>
      <c r="AX37" s="77"/>
      <c r="AY37" s="77"/>
      <c r="AZ37" s="77"/>
      <c r="BA37" s="77"/>
      <c r="BB37" s="77"/>
      <c r="BC37" s="77"/>
      <c r="BD37" s="77"/>
      <c r="BE37" s="77"/>
    </row>
    <row r="38">
      <c r="A38" s="77" t="s">
        <v>2508</v>
      </c>
      <c r="B38" s="77"/>
      <c r="C38" s="77" t="s">
        <v>2510</v>
      </c>
      <c r="D38" s="211" t="s">
        <v>2508</v>
      </c>
      <c r="E38" s="188"/>
      <c r="F38" s="212" t="s">
        <v>2508</v>
      </c>
      <c r="G38" s="188"/>
      <c r="H38" s="188"/>
      <c r="I38" s="188"/>
      <c r="J38" s="213" t="e">
        <v>#N/A</v>
      </c>
      <c r="K38" s="213">
        <v>1.044887692E9</v>
      </c>
      <c r="L38" s="77"/>
      <c r="M38" s="77"/>
      <c r="N38" s="77"/>
      <c r="O38" s="78" t="s">
        <v>116</v>
      </c>
      <c r="P38" s="211" t="s">
        <v>283</v>
      </c>
      <c r="Q38" s="214" t="s">
        <v>701</v>
      </c>
      <c r="R38" s="77" t="s">
        <v>2509</v>
      </c>
      <c r="S38" s="77"/>
      <c r="T38" s="211" t="s">
        <v>6539</v>
      </c>
      <c r="U38" s="211" t="s">
        <v>641</v>
      </c>
      <c r="V38" s="77"/>
      <c r="W38" s="77"/>
      <c r="X38" s="77"/>
      <c r="Y38" s="77"/>
      <c r="Z38" s="216">
        <v>2.106909808E9</v>
      </c>
      <c r="AA38" s="77" t="s">
        <v>6540</v>
      </c>
      <c r="AB38" s="217">
        <v>2.94499169E8</v>
      </c>
      <c r="AC38" s="77" t="str">
        <f t="shared" si="2"/>
        <v>#N/A</v>
      </c>
      <c r="AD38" s="218">
        <v>6.0</v>
      </c>
      <c r="AE38" s="216">
        <v>21.0</v>
      </c>
      <c r="AF38" s="218">
        <v>6.0</v>
      </c>
      <c r="AG38" s="216">
        <v>6.0</v>
      </c>
      <c r="AH38" s="77"/>
      <c r="AI38" s="216">
        <v>0.576</v>
      </c>
      <c r="AJ38" s="77"/>
      <c r="AK38" s="77"/>
      <c r="AL38" s="77"/>
      <c r="AM38" s="77"/>
      <c r="AN38" s="77"/>
      <c r="AO38" s="77"/>
      <c r="AP38" s="77"/>
      <c r="AQ38" s="77"/>
      <c r="AR38" s="77"/>
      <c r="AS38" s="77"/>
      <c r="AT38" s="77"/>
      <c r="AU38" s="77"/>
      <c r="AV38" s="77"/>
      <c r="AW38" s="77"/>
      <c r="AX38" s="77"/>
      <c r="AY38" s="77"/>
      <c r="AZ38" s="77"/>
      <c r="BA38" s="77"/>
      <c r="BB38" s="77"/>
      <c r="BC38" s="77"/>
      <c r="BD38" s="77"/>
      <c r="BE38" s="77"/>
    </row>
    <row r="39">
      <c r="A39" s="77" t="s">
        <v>2527</v>
      </c>
      <c r="B39" s="77" t="s">
        <v>2527</v>
      </c>
      <c r="C39" s="77" t="s">
        <v>2529</v>
      </c>
      <c r="D39" s="211" t="s">
        <v>2527</v>
      </c>
      <c r="E39" s="212" t="s">
        <v>2527</v>
      </c>
      <c r="F39" s="212" t="s">
        <v>2527</v>
      </c>
      <c r="G39" s="219" t="s">
        <v>2527</v>
      </c>
      <c r="H39" s="188"/>
      <c r="I39" s="188"/>
      <c r="J39" s="213">
        <v>1.59631114E8</v>
      </c>
      <c r="K39" s="213">
        <v>9.65075765E8</v>
      </c>
      <c r="L39" s="220">
        <v>1.03193458564E11</v>
      </c>
      <c r="M39" s="77"/>
      <c r="N39" s="77"/>
      <c r="O39" s="78" t="s">
        <v>116</v>
      </c>
      <c r="P39" s="211" t="s">
        <v>283</v>
      </c>
      <c r="Q39" s="214" t="s">
        <v>2531</v>
      </c>
      <c r="R39" s="77" t="s">
        <v>2528</v>
      </c>
      <c r="S39" s="77"/>
      <c r="T39" s="211" t="s">
        <v>6539</v>
      </c>
      <c r="U39" s="215" t="s">
        <v>662</v>
      </c>
      <c r="V39" s="77"/>
      <c r="W39" s="77"/>
      <c r="X39" s="77"/>
      <c r="Y39" s="77"/>
      <c r="Z39" s="216">
        <v>2.106909808E9</v>
      </c>
      <c r="AA39" s="77" t="s">
        <v>6540</v>
      </c>
      <c r="AB39" s="217">
        <v>1.98421782E8</v>
      </c>
      <c r="AC39" s="77" t="str">
        <f t="shared" si="2"/>
        <v>Берберин 500 мг Qeep 60 капсул</v>
      </c>
      <c r="AD39" s="218">
        <v>6.0</v>
      </c>
      <c r="AE39" s="216">
        <v>6.0</v>
      </c>
      <c r="AF39" s="218">
        <v>6.0</v>
      </c>
      <c r="AG39" s="216">
        <v>11.0</v>
      </c>
      <c r="AH39" s="77"/>
      <c r="AI39" s="216">
        <v>0.094</v>
      </c>
      <c r="AJ39" s="77"/>
      <c r="AK39" s="77"/>
      <c r="AL39" s="77"/>
      <c r="AM39" s="77"/>
      <c r="AN39" s="77"/>
      <c r="AO39" s="77"/>
      <c r="AP39" s="77"/>
      <c r="AQ39" s="77"/>
      <c r="AR39" s="77"/>
      <c r="AS39" s="77"/>
      <c r="AT39" s="77"/>
      <c r="AU39" s="77"/>
      <c r="AV39" s="77"/>
      <c r="AW39" s="77"/>
      <c r="AX39" s="77"/>
      <c r="AY39" s="77"/>
      <c r="AZ39" s="77"/>
      <c r="BA39" s="77"/>
      <c r="BB39" s="77"/>
      <c r="BC39" s="77"/>
      <c r="BD39" s="77"/>
      <c r="BE39" s="77"/>
    </row>
    <row r="40">
      <c r="A40" s="77" t="s">
        <v>2540</v>
      </c>
      <c r="B40" s="77" t="s">
        <v>2540</v>
      </c>
      <c r="C40" s="77" t="s">
        <v>2542</v>
      </c>
      <c r="D40" s="211" t="s">
        <v>2540</v>
      </c>
      <c r="E40" s="212" t="s">
        <v>2540</v>
      </c>
      <c r="F40" s="212" t="s">
        <v>2540</v>
      </c>
      <c r="G40" s="188"/>
      <c r="H40" s="188"/>
      <c r="I40" s="188"/>
      <c r="J40" s="213">
        <v>1.74420257E8</v>
      </c>
      <c r="K40" s="213">
        <v>1.15456231E9</v>
      </c>
      <c r="L40" s="77"/>
      <c r="M40" s="77"/>
      <c r="N40" s="77"/>
      <c r="O40" s="78" t="s">
        <v>116</v>
      </c>
      <c r="P40" s="211" t="s">
        <v>283</v>
      </c>
      <c r="Q40" s="214" t="s">
        <v>2531</v>
      </c>
      <c r="R40" s="77" t="s">
        <v>2541</v>
      </c>
      <c r="S40" s="77"/>
      <c r="T40" s="211" t="s">
        <v>6539</v>
      </c>
      <c r="U40" s="215" t="s">
        <v>662</v>
      </c>
      <c r="V40" s="77"/>
      <c r="W40" s="77"/>
      <c r="X40" s="77"/>
      <c r="Y40" s="77"/>
      <c r="Z40" s="216">
        <v>2.106909808E9</v>
      </c>
      <c r="AA40" s="77" t="s">
        <v>6540</v>
      </c>
      <c r="AB40" s="217">
        <v>1.69963867E8</v>
      </c>
      <c r="AC40" s="77" t="str">
        <f t="shared" si="2"/>
        <v>Бетаин 600 мг Qeep 60 капсул</v>
      </c>
      <c r="AD40" s="218">
        <v>6.0</v>
      </c>
      <c r="AE40" s="216">
        <v>6.0</v>
      </c>
      <c r="AF40" s="218">
        <v>6.0</v>
      </c>
      <c r="AG40" s="216">
        <v>11.0</v>
      </c>
      <c r="AH40" s="77"/>
      <c r="AI40" s="216">
        <v>0.094</v>
      </c>
      <c r="AJ40" s="77"/>
      <c r="AK40" s="77"/>
      <c r="AL40" s="77"/>
      <c r="AM40" s="77"/>
      <c r="AN40" s="77"/>
      <c r="AO40" s="77"/>
      <c r="AP40" s="77"/>
      <c r="AQ40" s="77"/>
      <c r="AR40" s="77"/>
      <c r="AS40" s="77"/>
      <c r="AT40" s="77"/>
      <c r="AU40" s="77"/>
      <c r="AV40" s="77"/>
      <c r="AW40" s="77"/>
      <c r="AX40" s="77"/>
      <c r="AY40" s="77"/>
      <c r="AZ40" s="77"/>
      <c r="BA40" s="77"/>
      <c r="BB40" s="77"/>
      <c r="BC40" s="77"/>
      <c r="BD40" s="77"/>
      <c r="BE40" s="77"/>
    </row>
    <row r="41">
      <c r="A41" s="77" t="s">
        <v>1794</v>
      </c>
      <c r="B41" s="77" t="s">
        <v>1794</v>
      </c>
      <c r="C41" s="77" t="s">
        <v>1796</v>
      </c>
      <c r="D41" s="211" t="s">
        <v>1794</v>
      </c>
      <c r="E41" s="212" t="s">
        <v>1794</v>
      </c>
      <c r="F41" s="212" t="s">
        <v>1794</v>
      </c>
      <c r="G41" s="219" t="s">
        <v>1794</v>
      </c>
      <c r="H41" s="188"/>
      <c r="I41" s="188"/>
      <c r="J41" s="213">
        <v>2.7036074E8</v>
      </c>
      <c r="K41" s="213">
        <v>1.726985085E9</v>
      </c>
      <c r="L41" s="220">
        <v>1.03572448025E11</v>
      </c>
      <c r="M41" s="77"/>
      <c r="N41" s="77"/>
      <c r="O41" s="78" t="s">
        <v>116</v>
      </c>
      <c r="P41" s="211" t="s">
        <v>283</v>
      </c>
      <c r="Q41" s="214" t="s">
        <v>1740</v>
      </c>
      <c r="R41" s="77" t="s">
        <v>1795</v>
      </c>
      <c r="S41" s="77"/>
      <c r="T41" s="211" t="s">
        <v>6539</v>
      </c>
      <c r="U41" s="215" t="s">
        <v>662</v>
      </c>
      <c r="V41" s="77"/>
      <c r="W41" s="77"/>
      <c r="X41" s="77"/>
      <c r="Y41" s="77"/>
      <c r="Z41" s="216">
        <v>2.106909808E9</v>
      </c>
      <c r="AA41" s="77" t="s">
        <v>6540</v>
      </c>
      <c r="AB41" s="217">
        <v>3.37468231E8</v>
      </c>
      <c r="AC41" s="77" t="str">
        <f t="shared" si="2"/>
        <v>Комплексная пищевая добавка "Биопурин", от подагры для суставов qeep 60 капсул</v>
      </c>
      <c r="AD41" s="218">
        <v>8.0</v>
      </c>
      <c r="AE41" s="216">
        <v>12.0</v>
      </c>
      <c r="AF41" s="218">
        <v>8.0</v>
      </c>
      <c r="AG41" s="216">
        <v>8.0</v>
      </c>
      <c r="AH41" s="77"/>
      <c r="AI41" s="216">
        <v>0.37</v>
      </c>
      <c r="AJ41" s="77"/>
      <c r="AK41" s="77"/>
      <c r="AL41" s="77"/>
      <c r="AM41" s="77"/>
      <c r="AN41" s="77"/>
      <c r="AO41" s="77"/>
      <c r="AP41" s="77"/>
      <c r="AQ41" s="77"/>
      <c r="AR41" s="77"/>
      <c r="AS41" s="77"/>
      <c r="AT41" s="77"/>
      <c r="AU41" s="77"/>
      <c r="AV41" s="77"/>
      <c r="AW41" s="77"/>
      <c r="AX41" s="77"/>
      <c r="AY41" s="77"/>
      <c r="AZ41" s="77"/>
      <c r="BA41" s="77"/>
      <c r="BB41" s="77"/>
      <c r="BC41" s="77"/>
      <c r="BD41" s="77"/>
      <c r="BE41" s="77"/>
    </row>
    <row r="42">
      <c r="A42" s="77" t="s">
        <v>1772</v>
      </c>
      <c r="B42" s="77" t="s">
        <v>1772</v>
      </c>
      <c r="C42" s="77" t="s">
        <v>1774</v>
      </c>
      <c r="D42" s="211" t="s">
        <v>1772</v>
      </c>
      <c r="E42" s="212" t="s">
        <v>1772</v>
      </c>
      <c r="F42" s="212" t="s">
        <v>1772</v>
      </c>
      <c r="G42" s="219" t="s">
        <v>1772</v>
      </c>
      <c r="H42" s="188"/>
      <c r="I42" s="188"/>
      <c r="J42" s="213">
        <v>2.70128828E8</v>
      </c>
      <c r="K42" s="213">
        <v>1.726985022E9</v>
      </c>
      <c r="L42" s="220">
        <v>1.03572466383E11</v>
      </c>
      <c r="M42" s="77"/>
      <c r="N42" s="77"/>
      <c r="O42" s="78" t="s">
        <v>116</v>
      </c>
      <c r="P42" s="211" t="s">
        <v>283</v>
      </c>
      <c r="Q42" s="214" t="s">
        <v>1740</v>
      </c>
      <c r="R42" s="77" t="s">
        <v>1773</v>
      </c>
      <c r="S42" s="77"/>
      <c r="T42" s="211" t="s">
        <v>6539</v>
      </c>
      <c r="U42" s="215" t="s">
        <v>662</v>
      </c>
      <c r="V42" s="77"/>
      <c r="W42" s="77"/>
      <c r="X42" s="77"/>
      <c r="Y42" s="77"/>
      <c r="Z42" s="216">
        <v>2.106909808E9</v>
      </c>
      <c r="AA42" s="77" t="s">
        <v>6540</v>
      </c>
      <c r="AB42" s="217">
        <v>3.11795896E8</v>
      </c>
      <c r="AC42" s="77" t="str">
        <f t="shared" si="2"/>
        <v>Биотин 10000 мкг Qeep 60 капсул</v>
      </c>
      <c r="AD42" s="218">
        <v>8.0</v>
      </c>
      <c r="AE42" s="216">
        <v>12.0</v>
      </c>
      <c r="AF42" s="218">
        <v>8.0</v>
      </c>
      <c r="AG42" s="216">
        <v>8.0</v>
      </c>
      <c r="AH42" s="77"/>
      <c r="AI42" s="216">
        <v>0.37</v>
      </c>
      <c r="AJ42" s="77"/>
      <c r="AK42" s="77"/>
      <c r="AL42" s="77"/>
      <c r="AM42" s="77"/>
      <c r="AN42" s="77"/>
      <c r="AO42" s="77"/>
      <c r="AP42" s="77"/>
      <c r="AQ42" s="77"/>
      <c r="AR42" s="77"/>
      <c r="AS42" s="77"/>
      <c r="AT42" s="77"/>
      <c r="AU42" s="77"/>
      <c r="AV42" s="77"/>
      <c r="AW42" s="77"/>
      <c r="AX42" s="77"/>
      <c r="AY42" s="77"/>
      <c r="AZ42" s="77"/>
      <c r="BA42" s="77"/>
      <c r="BB42" s="77"/>
      <c r="BC42" s="77"/>
      <c r="BD42" s="77"/>
      <c r="BE42" s="77"/>
    </row>
    <row r="43">
      <c r="A43" s="77" t="s">
        <v>1736</v>
      </c>
      <c r="B43" s="77" t="s">
        <v>1736</v>
      </c>
      <c r="C43" s="77" t="s">
        <v>1738</v>
      </c>
      <c r="D43" s="211" t="s">
        <v>1736</v>
      </c>
      <c r="E43" s="212" t="s">
        <v>1736</v>
      </c>
      <c r="F43" s="212" t="s">
        <v>1736</v>
      </c>
      <c r="G43" s="219" t="s">
        <v>1736</v>
      </c>
      <c r="H43" s="188"/>
      <c r="I43" s="188"/>
      <c r="J43" s="213">
        <v>2.70128827E8</v>
      </c>
      <c r="K43" s="213">
        <v>1.726985284E9</v>
      </c>
      <c r="L43" s="220">
        <v>1.03572448024E11</v>
      </c>
      <c r="M43" s="77"/>
      <c r="N43" s="77"/>
      <c r="O43" s="78" t="s">
        <v>116</v>
      </c>
      <c r="P43" s="211" t="s">
        <v>283</v>
      </c>
      <c r="Q43" s="214" t="s">
        <v>1740</v>
      </c>
      <c r="R43" s="77" t="s">
        <v>1737</v>
      </c>
      <c r="S43" s="77"/>
      <c r="T43" s="211" t="s">
        <v>6539</v>
      </c>
      <c r="U43" s="215" t="s">
        <v>662</v>
      </c>
      <c r="V43" s="77"/>
      <c r="W43" s="77"/>
      <c r="X43" s="77"/>
      <c r="Y43" s="77"/>
      <c r="Z43" s="216">
        <v>2.106909808E9</v>
      </c>
      <c r="AA43" s="77" t="s">
        <v>6540</v>
      </c>
      <c r="AB43" s="217">
        <v>3.26154767E8</v>
      </c>
      <c r="AC43" s="77" t="str">
        <f t="shared" si="2"/>
        <v>Кровавый кислотный пилинг для лица от прыщей AHA BHA, qeep 30 мл</v>
      </c>
      <c r="AD43" s="218">
        <v>8.0</v>
      </c>
      <c r="AE43" s="216">
        <v>12.0</v>
      </c>
      <c r="AF43" s="218">
        <v>8.0</v>
      </c>
      <c r="AG43" s="216">
        <v>8.0</v>
      </c>
      <c r="AH43" s="77"/>
      <c r="AI43" s="216">
        <v>0.37</v>
      </c>
      <c r="AJ43" s="77"/>
      <c r="AK43" s="77"/>
      <c r="AL43" s="77"/>
      <c r="AM43" s="77"/>
      <c r="AN43" s="77"/>
      <c r="AO43" s="77"/>
      <c r="AP43" s="77"/>
      <c r="AQ43" s="77"/>
      <c r="AR43" s="77"/>
      <c r="AS43" s="77"/>
      <c r="AT43" s="77"/>
      <c r="AU43" s="77"/>
      <c r="AV43" s="77"/>
      <c r="AW43" s="77"/>
      <c r="AX43" s="77"/>
      <c r="AY43" s="77"/>
      <c r="AZ43" s="77"/>
      <c r="BA43" s="77"/>
      <c r="BB43" s="77"/>
      <c r="BC43" s="77"/>
      <c r="BD43" s="77"/>
      <c r="BE43" s="77"/>
    </row>
    <row r="44">
      <c r="A44" s="77" t="s">
        <v>2109</v>
      </c>
      <c r="B44" s="77" t="s">
        <v>2109</v>
      </c>
      <c r="C44" s="77" t="s">
        <v>2111</v>
      </c>
      <c r="D44" s="211" t="s">
        <v>2109</v>
      </c>
      <c r="E44" s="212" t="s">
        <v>2109</v>
      </c>
      <c r="F44" s="212" t="s">
        <v>2109</v>
      </c>
      <c r="G44" s="219" t="s">
        <v>2109</v>
      </c>
      <c r="H44" s="188"/>
      <c r="I44" s="188"/>
      <c r="J44" s="213">
        <v>1.86777993E8</v>
      </c>
      <c r="K44" s="213">
        <v>1.271349661E9</v>
      </c>
      <c r="L44" s="220">
        <v>1.02626043688E11</v>
      </c>
      <c r="M44" s="77"/>
      <c r="N44" s="77"/>
      <c r="O44" s="78" t="s">
        <v>116</v>
      </c>
      <c r="P44" s="211" t="s">
        <v>283</v>
      </c>
      <c r="Q44" s="214" t="s">
        <v>2113</v>
      </c>
      <c r="R44" s="77" t="s">
        <v>2110</v>
      </c>
      <c r="S44" s="77"/>
      <c r="T44" s="211" t="s">
        <v>6539</v>
      </c>
      <c r="U44" s="215" t="s">
        <v>1027</v>
      </c>
      <c r="V44" s="77"/>
      <c r="W44" s="77"/>
      <c r="X44" s="77"/>
      <c r="Y44" s="77"/>
      <c r="Z44" s="216">
        <v>2.106909808E9</v>
      </c>
      <c r="AA44" s="77" t="s">
        <v>6540</v>
      </c>
      <c r="AB44" s="217">
        <v>4.17262785E8</v>
      </c>
      <c r="AC44" s="77" t="str">
        <f t="shared" si="2"/>
        <v>Пиколинат хрома БАД таблетки для похудения</v>
      </c>
      <c r="AD44" s="218">
        <v>3.0</v>
      </c>
      <c r="AE44" s="216">
        <v>8.0</v>
      </c>
      <c r="AF44" s="218">
        <v>3.0</v>
      </c>
      <c r="AG44" s="216">
        <v>7.0</v>
      </c>
      <c r="AH44" s="77"/>
      <c r="AI44" s="216">
        <v>0.056</v>
      </c>
      <c r="AJ44" s="77"/>
      <c r="AK44" s="77"/>
      <c r="AL44" s="77"/>
      <c r="AM44" s="77"/>
      <c r="AN44" s="77"/>
      <c r="AO44" s="77"/>
      <c r="AP44" s="77"/>
      <c r="AQ44" s="77"/>
      <c r="AR44" s="77"/>
      <c r="AS44" s="77"/>
      <c r="AT44" s="77"/>
      <c r="AU44" s="77"/>
      <c r="AV44" s="77"/>
      <c r="AW44" s="77"/>
      <c r="AX44" s="77"/>
      <c r="AY44" s="77"/>
      <c r="AZ44" s="77"/>
      <c r="BA44" s="77"/>
      <c r="BB44" s="77"/>
      <c r="BC44" s="77"/>
      <c r="BD44" s="77"/>
      <c r="BE44" s="77"/>
    </row>
    <row r="45">
      <c r="A45" s="77" t="s">
        <v>1956</v>
      </c>
      <c r="B45" s="77" t="s">
        <v>1956</v>
      </c>
      <c r="C45" s="77" t="s">
        <v>1958</v>
      </c>
      <c r="D45" s="211" t="s">
        <v>1956</v>
      </c>
      <c r="E45" s="212" t="s">
        <v>1956</v>
      </c>
      <c r="F45" s="212" t="s">
        <v>1956</v>
      </c>
      <c r="G45" s="219" t="s">
        <v>1956</v>
      </c>
      <c r="H45" s="188"/>
      <c r="I45" s="188"/>
      <c r="J45" s="213">
        <v>1.70000477E8</v>
      </c>
      <c r="K45" s="213">
        <v>1.099704127E9</v>
      </c>
      <c r="L45" s="220">
        <v>1.02619837298E11</v>
      </c>
      <c r="M45" s="77"/>
      <c r="N45" s="77"/>
      <c r="O45" s="78" t="s">
        <v>116</v>
      </c>
      <c r="P45" s="211" t="s">
        <v>283</v>
      </c>
      <c r="Q45" s="214" t="s">
        <v>1960</v>
      </c>
      <c r="R45" s="77" t="s">
        <v>1957</v>
      </c>
      <c r="S45" s="77"/>
      <c r="T45" s="211" t="s">
        <v>6539</v>
      </c>
      <c r="U45" s="214" t="s">
        <v>1027</v>
      </c>
      <c r="V45" s="77"/>
      <c r="W45" s="77"/>
      <c r="X45" s="77"/>
      <c r="Y45" s="77"/>
      <c r="Z45" s="216">
        <v>2.106909808E9</v>
      </c>
      <c r="AA45" s="77" t="s">
        <v>6540</v>
      </c>
      <c r="AB45" s="217">
        <v>2.29246778E8</v>
      </c>
      <c r="AC45" s="77" t="str">
        <f t="shared" si="2"/>
        <v>Креатин моногидрат 5000 мг Qeep 300 г</v>
      </c>
      <c r="AD45" s="218">
        <v>7.0</v>
      </c>
      <c r="AE45" s="216">
        <v>9.0</v>
      </c>
      <c r="AF45" s="218">
        <v>7.0</v>
      </c>
      <c r="AG45" s="216">
        <v>15.0</v>
      </c>
      <c r="AH45" s="77"/>
      <c r="AI45" s="216">
        <v>0.47</v>
      </c>
      <c r="AJ45" s="77"/>
      <c r="AK45" s="77"/>
      <c r="AL45" s="77"/>
      <c r="AM45" s="77"/>
      <c r="AN45" s="77"/>
      <c r="AO45" s="77"/>
      <c r="AP45" s="77"/>
      <c r="AQ45" s="77"/>
      <c r="AR45" s="77"/>
      <c r="AS45" s="77"/>
      <c r="AT45" s="77"/>
      <c r="AU45" s="77"/>
      <c r="AV45" s="77"/>
      <c r="AW45" s="77"/>
      <c r="AX45" s="77"/>
      <c r="AY45" s="77"/>
      <c r="AZ45" s="77"/>
      <c r="BA45" s="77"/>
      <c r="BB45" s="77"/>
      <c r="BC45" s="77"/>
      <c r="BD45" s="77"/>
      <c r="BE45" s="77"/>
    </row>
    <row r="46">
      <c r="A46" s="77" t="s">
        <v>2096</v>
      </c>
      <c r="B46" s="77" t="s">
        <v>2096</v>
      </c>
      <c r="C46" s="77" t="s">
        <v>2098</v>
      </c>
      <c r="D46" s="211" t="s">
        <v>2096</v>
      </c>
      <c r="E46" s="212" t="s">
        <v>2096</v>
      </c>
      <c r="F46" s="212" t="s">
        <v>2096</v>
      </c>
      <c r="G46" s="219" t="s">
        <v>2096</v>
      </c>
      <c r="H46" s="188"/>
      <c r="I46" s="188"/>
      <c r="J46" s="213">
        <v>1.76110742E8</v>
      </c>
      <c r="K46" s="213">
        <v>1.180963859E9</v>
      </c>
      <c r="L46" s="220">
        <v>1.03374785696E11</v>
      </c>
      <c r="M46" s="77"/>
      <c r="N46" s="77"/>
      <c r="O46" s="78" t="s">
        <v>116</v>
      </c>
      <c r="P46" s="211" t="s">
        <v>283</v>
      </c>
      <c r="Q46" s="214" t="s">
        <v>2100</v>
      </c>
      <c r="R46" s="77" t="s">
        <v>2097</v>
      </c>
      <c r="S46" s="77"/>
      <c r="T46" s="211" t="s">
        <v>6539</v>
      </c>
      <c r="U46" s="211" t="s">
        <v>6541</v>
      </c>
      <c r="V46" s="77"/>
      <c r="W46" s="77"/>
      <c r="X46" s="77"/>
      <c r="Y46" s="77"/>
      <c r="Z46" s="216">
        <v>2.106909808E9</v>
      </c>
      <c r="AA46" s="77" t="s">
        <v>6540</v>
      </c>
      <c r="AB46" s="217">
        <v>1.57382017E8</v>
      </c>
      <c r="AC46" s="77" t="str">
        <f t="shared" si="2"/>
        <v>Витамин Д3 Капли 500 ME Qeep 30 мл</v>
      </c>
      <c r="AD46" s="218">
        <v>5.0</v>
      </c>
      <c r="AE46" s="216">
        <v>8.0</v>
      </c>
      <c r="AF46" s="218">
        <v>5.0</v>
      </c>
      <c r="AG46" s="216">
        <v>5.0</v>
      </c>
      <c r="AH46" s="77"/>
      <c r="AI46" s="216">
        <v>0.08</v>
      </c>
      <c r="AJ46" s="77"/>
      <c r="AK46" s="77"/>
      <c r="AL46" s="77"/>
      <c r="AM46" s="77"/>
      <c r="AN46" s="77"/>
      <c r="AO46" s="77"/>
      <c r="AP46" s="77"/>
      <c r="AQ46" s="77"/>
      <c r="AR46" s="77"/>
      <c r="AS46" s="77"/>
      <c r="AT46" s="77"/>
      <c r="AU46" s="77"/>
      <c r="AV46" s="77"/>
      <c r="AW46" s="77"/>
      <c r="AX46" s="77"/>
      <c r="AY46" s="77"/>
      <c r="AZ46" s="77"/>
      <c r="BA46" s="77"/>
      <c r="BB46" s="77"/>
      <c r="BC46" s="77"/>
      <c r="BD46" s="77"/>
      <c r="BE46" s="77"/>
    </row>
    <row r="47">
      <c r="A47" s="77" t="s">
        <v>1284</v>
      </c>
      <c r="B47" s="77" t="s">
        <v>1284</v>
      </c>
      <c r="C47" s="77" t="s">
        <v>1286</v>
      </c>
      <c r="D47" s="211" t="s">
        <v>1284</v>
      </c>
      <c r="E47" s="212" t="s">
        <v>1284</v>
      </c>
      <c r="F47" s="212" t="s">
        <v>1284</v>
      </c>
      <c r="G47" s="219" t="s">
        <v>1284</v>
      </c>
      <c r="H47" s="188"/>
      <c r="I47" s="188"/>
      <c r="J47" s="213">
        <v>2.28329661E8</v>
      </c>
      <c r="K47" s="213">
        <v>1.563742059E9</v>
      </c>
      <c r="L47" s="220">
        <v>1.03397906851E11</v>
      </c>
      <c r="M47" s="77"/>
      <c r="N47" s="77"/>
      <c r="O47" s="78" t="s">
        <v>116</v>
      </c>
      <c r="P47" s="211" t="s">
        <v>283</v>
      </c>
      <c r="Q47" s="214" t="s">
        <v>1287</v>
      </c>
      <c r="R47" s="77" t="s">
        <v>1285</v>
      </c>
      <c r="S47" s="77"/>
      <c r="T47" s="211" t="s">
        <v>6539</v>
      </c>
      <c r="U47" s="211" t="s">
        <v>6542</v>
      </c>
      <c r="V47" s="77"/>
      <c r="W47" s="77"/>
      <c r="X47" s="77"/>
      <c r="Y47" s="77"/>
      <c r="Z47" s="216">
        <v>2.106909808E9</v>
      </c>
      <c r="AA47" s="77" t="s">
        <v>6540</v>
      </c>
      <c r="AB47" s="217">
        <v>2.09196024E8</v>
      </c>
      <c r="AC47" s="77" t="str">
        <f t="shared" si="2"/>
        <v>Витамин Д3 5000 ME К2 12,5 мкг Qeep 120 таблеток</v>
      </c>
      <c r="AD47" s="218">
        <v>15.0</v>
      </c>
      <c r="AE47" s="216">
        <v>12.0</v>
      </c>
      <c r="AF47" s="218">
        <v>15.0</v>
      </c>
      <c r="AG47" s="216">
        <v>4.0</v>
      </c>
      <c r="AH47" s="77"/>
      <c r="AI47" s="216">
        <v>0.542</v>
      </c>
      <c r="AJ47" s="77"/>
      <c r="AK47" s="77"/>
      <c r="AL47" s="77"/>
      <c r="AM47" s="77"/>
      <c r="AN47" s="77"/>
      <c r="AO47" s="77"/>
      <c r="AP47" s="77"/>
      <c r="AQ47" s="77"/>
      <c r="AR47" s="77"/>
      <c r="AS47" s="77"/>
      <c r="AT47" s="77"/>
      <c r="AU47" s="77"/>
      <c r="AV47" s="77"/>
      <c r="AW47" s="77"/>
      <c r="AX47" s="77"/>
      <c r="AY47" s="77"/>
      <c r="AZ47" s="77"/>
      <c r="BA47" s="77"/>
      <c r="BB47" s="77"/>
      <c r="BC47" s="77"/>
      <c r="BD47" s="77"/>
      <c r="BE47" s="77"/>
    </row>
    <row r="48">
      <c r="A48" s="77" t="s">
        <v>1307</v>
      </c>
      <c r="B48" s="77" t="s">
        <v>1307</v>
      </c>
      <c r="C48" s="77" t="s">
        <v>1309</v>
      </c>
      <c r="D48" s="211" t="s">
        <v>1307</v>
      </c>
      <c r="E48" s="212" t="s">
        <v>1307</v>
      </c>
      <c r="F48" s="212" t="s">
        <v>1307</v>
      </c>
      <c r="G48" s="219" t="s">
        <v>1307</v>
      </c>
      <c r="H48" s="188"/>
      <c r="I48" s="188"/>
      <c r="J48" s="213">
        <v>2.28329662E8</v>
      </c>
      <c r="K48" s="213">
        <v>1.56374215E9</v>
      </c>
      <c r="L48" s="220">
        <v>1.0339790685E11</v>
      </c>
      <c r="M48" s="77"/>
      <c r="N48" s="77"/>
      <c r="O48" s="78" t="s">
        <v>116</v>
      </c>
      <c r="P48" s="211" t="s">
        <v>283</v>
      </c>
      <c r="Q48" s="214" t="s">
        <v>1310</v>
      </c>
      <c r="R48" s="77" t="s">
        <v>1308</v>
      </c>
      <c r="S48" s="77"/>
      <c r="T48" s="211" t="s">
        <v>6539</v>
      </c>
      <c r="U48" s="211" t="s">
        <v>6542</v>
      </c>
      <c r="V48" s="77"/>
      <c r="W48" s="77"/>
      <c r="X48" s="77"/>
      <c r="Y48" s="77"/>
      <c r="Z48" s="216">
        <v>2.106909808E9</v>
      </c>
      <c r="AA48" s="77" t="s">
        <v>6540</v>
      </c>
      <c r="AB48" s="217">
        <v>2.71462078E8</v>
      </c>
      <c r="AC48" s="77" t="str">
        <f t="shared" si="2"/>
        <v>Тестостерон для мужчин, экдистерон для потенции и мышц спортивный, цинк, тестобустер, витамины для мужчин, бустер qeep 60 капсул</v>
      </c>
      <c r="AD48" s="218">
        <v>15.0</v>
      </c>
      <c r="AE48" s="216">
        <v>12.0</v>
      </c>
      <c r="AF48" s="218">
        <v>15.0</v>
      </c>
      <c r="AG48" s="216">
        <v>4.0</v>
      </c>
      <c r="AH48" s="77"/>
      <c r="AI48" s="216">
        <v>0.542</v>
      </c>
      <c r="AJ48" s="77"/>
      <c r="AK48" s="77"/>
      <c r="AL48" s="77"/>
      <c r="AM48" s="77"/>
      <c r="AN48" s="77"/>
      <c r="AO48" s="77"/>
      <c r="AP48" s="77"/>
      <c r="AQ48" s="77"/>
      <c r="AR48" s="77"/>
      <c r="AS48" s="77"/>
      <c r="AT48" s="77"/>
      <c r="AU48" s="77"/>
      <c r="AV48" s="77"/>
      <c r="AW48" s="77"/>
      <c r="AX48" s="77"/>
      <c r="AY48" s="77"/>
      <c r="AZ48" s="77"/>
      <c r="BA48" s="77"/>
      <c r="BB48" s="77"/>
      <c r="BC48" s="77"/>
      <c r="BD48" s="77"/>
      <c r="BE48" s="77"/>
    </row>
    <row r="49">
      <c r="A49" s="77" t="s">
        <v>1270</v>
      </c>
      <c r="B49" s="77" t="s">
        <v>1270</v>
      </c>
      <c r="C49" s="77" t="s">
        <v>1273</v>
      </c>
      <c r="D49" s="211" t="s">
        <v>1270</v>
      </c>
      <c r="E49" s="212" t="s">
        <v>1270</v>
      </c>
      <c r="F49" s="212" t="s">
        <v>1270</v>
      </c>
      <c r="G49" s="219" t="s">
        <v>1270</v>
      </c>
      <c r="H49" s="188"/>
      <c r="I49" s="188"/>
      <c r="J49" s="213">
        <v>2.28329542E8</v>
      </c>
      <c r="K49" s="213">
        <v>1.56374202E9</v>
      </c>
      <c r="L49" s="220">
        <v>1.03397906852E11</v>
      </c>
      <c r="M49" s="77"/>
      <c r="N49" s="77"/>
      <c r="O49" s="78" t="s">
        <v>116</v>
      </c>
      <c r="P49" s="211" t="s">
        <v>283</v>
      </c>
      <c r="Q49" s="214" t="s">
        <v>1275</v>
      </c>
      <c r="R49" s="77" t="s">
        <v>1271</v>
      </c>
      <c r="S49" s="77"/>
      <c r="T49" s="211" t="s">
        <v>6539</v>
      </c>
      <c r="U49" s="211" t="s">
        <v>6542</v>
      </c>
      <c r="V49" s="77"/>
      <c r="W49" s="77"/>
      <c r="X49" s="77"/>
      <c r="Y49" s="77"/>
      <c r="Z49" s="216">
        <v>2.106909808E9</v>
      </c>
      <c r="AA49" s="77" t="s">
        <v>6540</v>
      </c>
      <c r="AB49" s="217">
        <v>1.69962249E8</v>
      </c>
      <c r="AC49" s="77" t="str">
        <f t="shared" si="2"/>
        <v>Гинко билоба 360 мг Qeep 90 капсул</v>
      </c>
      <c r="AD49" s="218">
        <v>15.0</v>
      </c>
      <c r="AE49" s="216">
        <v>12.0</v>
      </c>
      <c r="AF49" s="218">
        <v>15.0</v>
      </c>
      <c r="AG49" s="216">
        <v>4.0</v>
      </c>
      <c r="AH49" s="77"/>
      <c r="AI49" s="216">
        <v>0.542</v>
      </c>
      <c r="AJ49" s="77"/>
      <c r="AK49" s="77"/>
      <c r="AL49" s="77"/>
      <c r="AM49" s="77"/>
      <c r="AN49" s="77"/>
      <c r="AO49" s="77"/>
      <c r="AP49" s="77"/>
      <c r="AQ49" s="77"/>
      <c r="AR49" s="77"/>
      <c r="AS49" s="77"/>
      <c r="AT49" s="77"/>
      <c r="AU49" s="77"/>
      <c r="AV49" s="77"/>
      <c r="AW49" s="77"/>
      <c r="AX49" s="77"/>
      <c r="AY49" s="77"/>
      <c r="AZ49" s="77"/>
      <c r="BA49" s="77"/>
      <c r="BB49" s="77"/>
      <c r="BC49" s="77"/>
      <c r="BD49" s="77"/>
      <c r="BE49" s="77"/>
    </row>
    <row r="50">
      <c r="A50" s="77" t="s">
        <v>2578</v>
      </c>
      <c r="B50" s="77" t="s">
        <v>2578</v>
      </c>
      <c r="C50" s="77" t="s">
        <v>2580</v>
      </c>
      <c r="D50" s="211" t="s">
        <v>2578</v>
      </c>
      <c r="E50" s="212" t="s">
        <v>2578</v>
      </c>
      <c r="F50" s="212" t="s">
        <v>2578</v>
      </c>
      <c r="G50" s="188"/>
      <c r="H50" s="188"/>
      <c r="I50" s="188"/>
      <c r="J50" s="213">
        <v>1.50847785E8</v>
      </c>
      <c r="K50" s="213">
        <v>8.89954527E8</v>
      </c>
      <c r="L50" s="77"/>
      <c r="M50" s="77"/>
      <c r="N50" s="77"/>
      <c r="O50" s="78" t="s">
        <v>116</v>
      </c>
      <c r="P50" s="211" t="s">
        <v>283</v>
      </c>
      <c r="Q50" s="214" t="s">
        <v>2582</v>
      </c>
      <c r="R50" s="77" t="s">
        <v>2579</v>
      </c>
      <c r="S50" s="77"/>
      <c r="T50" s="211" t="s">
        <v>6539</v>
      </c>
      <c r="U50" s="215" t="s">
        <v>1027</v>
      </c>
      <c r="V50" s="77"/>
      <c r="W50" s="77"/>
      <c r="X50" s="77"/>
      <c r="Y50" s="77"/>
      <c r="Z50" s="216">
        <v>2.106909808E9</v>
      </c>
      <c r="AA50" s="77" t="s">
        <v>6540</v>
      </c>
      <c r="AB50" s="217">
        <v>4.32841134E8</v>
      </c>
      <c r="AC50" s="77" t="str">
        <f t="shared" si="2"/>
        <v>Витамины для детей витамин с жевательные мармеладки qeep 60 штук</v>
      </c>
      <c r="AD50" s="218">
        <v>6.0</v>
      </c>
      <c r="AE50" s="216">
        <v>6.0</v>
      </c>
      <c r="AF50" s="218">
        <v>6.0</v>
      </c>
      <c r="AG50" s="216">
        <v>13.0</v>
      </c>
      <c r="AH50" s="77"/>
      <c r="AI50" s="216">
        <v>0.07</v>
      </c>
      <c r="AJ50" s="77"/>
      <c r="AK50" s="77"/>
      <c r="AL50" s="77"/>
      <c r="AM50" s="77"/>
      <c r="AN50" s="77"/>
      <c r="AO50" s="77"/>
      <c r="AP50" s="77"/>
      <c r="AQ50" s="77"/>
      <c r="AR50" s="77"/>
      <c r="AS50" s="77"/>
      <c r="AT50" s="77"/>
      <c r="AU50" s="77"/>
      <c r="AV50" s="77"/>
      <c r="AW50" s="77"/>
      <c r="AX50" s="77"/>
      <c r="AY50" s="77"/>
      <c r="AZ50" s="77"/>
      <c r="BA50" s="77"/>
      <c r="BB50" s="77"/>
      <c r="BC50" s="77"/>
      <c r="BD50" s="77"/>
      <c r="BE50" s="77"/>
    </row>
    <row r="51">
      <c r="A51" s="77" t="s">
        <v>1331</v>
      </c>
      <c r="B51" s="77" t="s">
        <v>1331</v>
      </c>
      <c r="C51" s="77" t="s">
        <v>1333</v>
      </c>
      <c r="D51" s="211" t="s">
        <v>1331</v>
      </c>
      <c r="E51" s="212" t="s">
        <v>1331</v>
      </c>
      <c r="F51" s="212" t="s">
        <v>1331</v>
      </c>
      <c r="G51" s="219" t="s">
        <v>1331</v>
      </c>
      <c r="H51" s="188"/>
      <c r="I51" s="188"/>
      <c r="J51" s="213">
        <v>1.31852033E8</v>
      </c>
      <c r="K51" s="213">
        <v>7.7232793E8</v>
      </c>
      <c r="L51" s="220">
        <v>1.01841345736E11</v>
      </c>
      <c r="M51" s="77"/>
      <c r="N51" s="77"/>
      <c r="O51" s="78" t="s">
        <v>116</v>
      </c>
      <c r="P51" s="211" t="s">
        <v>283</v>
      </c>
      <c r="Q51" s="214" t="s">
        <v>1335</v>
      </c>
      <c r="R51" s="77" t="s">
        <v>1332</v>
      </c>
      <c r="S51" s="77"/>
      <c r="T51" s="211" t="s">
        <v>6539</v>
      </c>
      <c r="U51" s="211" t="s">
        <v>6542</v>
      </c>
      <c r="V51" s="77"/>
      <c r="W51" s="77"/>
      <c r="X51" s="77"/>
      <c r="Y51" s="77"/>
      <c r="Z51" s="216">
        <v>3.504009E9</v>
      </c>
      <c r="AA51" s="77" t="s">
        <v>6540</v>
      </c>
      <c r="AB51" s="217">
        <v>4.32821274E8</v>
      </c>
      <c r="AC51" s="77" t="str">
        <f t="shared" si="2"/>
        <v>Витамины для детей витамин Д3 жевательные мармеладки qeep 60 штук</v>
      </c>
      <c r="AD51" s="218">
        <v>13.0</v>
      </c>
      <c r="AE51" s="216">
        <v>8.0</v>
      </c>
      <c r="AF51" s="218">
        <v>13.0</v>
      </c>
      <c r="AG51" s="216">
        <v>8.0</v>
      </c>
      <c r="AH51" s="77"/>
      <c r="AI51" s="216">
        <v>0.248</v>
      </c>
      <c r="AJ51" s="77"/>
      <c r="AK51" s="77"/>
      <c r="AL51" s="77"/>
      <c r="AM51" s="77"/>
      <c r="AN51" s="77"/>
      <c r="AO51" s="77"/>
      <c r="AP51" s="77"/>
      <c r="AQ51" s="77"/>
      <c r="AR51" s="77"/>
      <c r="AS51" s="77"/>
      <c r="AT51" s="77"/>
      <c r="AU51" s="77"/>
      <c r="AV51" s="77"/>
      <c r="AW51" s="77"/>
      <c r="AX51" s="77"/>
      <c r="AY51" s="77"/>
      <c r="AZ51" s="77"/>
      <c r="BA51" s="77"/>
      <c r="BB51" s="77"/>
      <c r="BC51" s="77"/>
      <c r="BD51" s="77"/>
      <c r="BE51" s="77"/>
    </row>
    <row r="52">
      <c r="A52" s="77" t="s">
        <v>1341</v>
      </c>
      <c r="B52" s="77" t="s">
        <v>1341</v>
      </c>
      <c r="C52" s="77" t="s">
        <v>1343</v>
      </c>
      <c r="D52" s="211" t="s">
        <v>1341</v>
      </c>
      <c r="E52" s="212" t="s">
        <v>1341</v>
      </c>
      <c r="F52" s="212" t="s">
        <v>1341</v>
      </c>
      <c r="G52" s="219" t="s">
        <v>1341</v>
      </c>
      <c r="H52" s="188"/>
      <c r="I52" s="188"/>
      <c r="J52" s="213">
        <v>1.31852032E8</v>
      </c>
      <c r="K52" s="213">
        <v>7.71659759E8</v>
      </c>
      <c r="L52" s="220">
        <v>1.01841345737E11</v>
      </c>
      <c r="M52" s="77"/>
      <c r="N52" s="77"/>
      <c r="O52" s="78" t="s">
        <v>116</v>
      </c>
      <c r="P52" s="211" t="s">
        <v>283</v>
      </c>
      <c r="Q52" s="214" t="s">
        <v>1345</v>
      </c>
      <c r="R52" s="77" t="s">
        <v>1342</v>
      </c>
      <c r="S52" s="77"/>
      <c r="T52" s="211" t="s">
        <v>6539</v>
      </c>
      <c r="U52" s="211" t="s">
        <v>6542</v>
      </c>
      <c r="V52" s="77"/>
      <c r="W52" s="77"/>
      <c r="X52" s="77"/>
      <c r="Y52" s="77"/>
      <c r="Z52" s="216">
        <v>3.504009E9</v>
      </c>
      <c r="AA52" s="77" t="s">
        <v>6540</v>
      </c>
      <c r="AB52" s="217">
        <v>1.31852033E8</v>
      </c>
      <c r="AC52" s="77" t="str">
        <f t="shared" si="2"/>
        <v>Коллаген пептидный порошок для суставов и связок со вкусом Лимона 5500 мг Qeep 30 порций</v>
      </c>
      <c r="AD52" s="218">
        <v>8.0</v>
      </c>
      <c r="AE52" s="216">
        <v>8.0</v>
      </c>
      <c r="AF52" s="218">
        <v>8.0</v>
      </c>
      <c r="AG52" s="216">
        <v>14.0</v>
      </c>
      <c r="AH52" s="77"/>
      <c r="AI52" s="216">
        <v>0.246</v>
      </c>
      <c r="AJ52" s="77"/>
      <c r="AK52" s="77"/>
      <c r="AL52" s="77"/>
      <c r="AM52" s="77"/>
      <c r="AN52" s="77"/>
      <c r="AO52" s="77"/>
      <c r="AP52" s="77"/>
      <c r="AQ52" s="77"/>
      <c r="AR52" s="77"/>
      <c r="AS52" s="77"/>
      <c r="AT52" s="77"/>
      <c r="AU52" s="77"/>
      <c r="AV52" s="77"/>
      <c r="AW52" s="77"/>
      <c r="AX52" s="77"/>
      <c r="AY52" s="77"/>
      <c r="AZ52" s="77"/>
      <c r="BA52" s="77"/>
      <c r="BB52" s="77"/>
      <c r="BC52" s="77"/>
      <c r="BD52" s="77"/>
      <c r="BE52" s="77"/>
    </row>
    <row r="53">
      <c r="A53" s="77" t="s">
        <v>1314</v>
      </c>
      <c r="B53" s="77" t="s">
        <v>1314</v>
      </c>
      <c r="C53" s="77" t="s">
        <v>1316</v>
      </c>
      <c r="D53" s="211" t="s">
        <v>1314</v>
      </c>
      <c r="E53" s="212" t="s">
        <v>1314</v>
      </c>
      <c r="F53" s="212" t="s">
        <v>1314</v>
      </c>
      <c r="G53" s="219" t="s">
        <v>1314</v>
      </c>
      <c r="H53" s="188"/>
      <c r="I53" s="188"/>
      <c r="J53" s="213">
        <v>1.31852035E8</v>
      </c>
      <c r="K53" s="213">
        <v>7.72327923E8</v>
      </c>
      <c r="L53" s="220">
        <v>1.01841345735E11</v>
      </c>
      <c r="M53" s="77"/>
      <c r="N53" s="77"/>
      <c r="O53" s="78" t="s">
        <v>116</v>
      </c>
      <c r="P53" s="211" t="s">
        <v>283</v>
      </c>
      <c r="Q53" s="214" t="s">
        <v>1318</v>
      </c>
      <c r="R53" s="77" t="s">
        <v>1315</v>
      </c>
      <c r="S53" s="77"/>
      <c r="T53" s="211" t="s">
        <v>6539</v>
      </c>
      <c r="U53" s="211" t="s">
        <v>6542</v>
      </c>
      <c r="V53" s="77"/>
      <c r="W53" s="77"/>
      <c r="X53" s="77"/>
      <c r="Y53" s="77"/>
      <c r="Z53" s="216">
        <v>3.504009E9</v>
      </c>
      <c r="AA53" s="77" t="s">
        <v>6540</v>
      </c>
      <c r="AB53" s="217">
        <v>1.31852032E8</v>
      </c>
      <c r="AC53" s="77" t="str">
        <f t="shared" si="2"/>
        <v>Коллаген пептидный порошок для суставов и связок со вкусом Манго 5500 мг Qeep 30 порций</v>
      </c>
      <c r="AD53" s="218">
        <v>13.0</v>
      </c>
      <c r="AE53" s="216">
        <v>8.0</v>
      </c>
      <c r="AF53" s="218">
        <v>13.0</v>
      </c>
      <c r="AG53" s="216">
        <v>8.0</v>
      </c>
      <c r="AH53" s="77"/>
      <c r="AI53" s="216">
        <v>0.245</v>
      </c>
      <c r="AJ53" s="77"/>
      <c r="AK53" s="77"/>
      <c r="AL53" s="77"/>
      <c r="AM53" s="77"/>
      <c r="AN53" s="77"/>
      <c r="AO53" s="77"/>
      <c r="AP53" s="77"/>
      <c r="AQ53" s="77"/>
      <c r="AR53" s="77"/>
      <c r="AS53" s="77"/>
      <c r="AT53" s="77"/>
      <c r="AU53" s="77"/>
      <c r="AV53" s="77"/>
      <c r="AW53" s="77"/>
      <c r="AX53" s="77"/>
      <c r="AY53" s="77"/>
      <c r="AZ53" s="77"/>
      <c r="BA53" s="77"/>
      <c r="BB53" s="77"/>
      <c r="BC53" s="77"/>
      <c r="BD53" s="77"/>
      <c r="BE53" s="77"/>
    </row>
    <row r="54">
      <c r="A54" s="77" t="s">
        <v>1292</v>
      </c>
      <c r="B54" s="77" t="s">
        <v>1292</v>
      </c>
      <c r="C54" s="77" t="s">
        <v>1294</v>
      </c>
      <c r="D54" s="211" t="s">
        <v>1292</v>
      </c>
      <c r="E54" s="212" t="s">
        <v>1292</v>
      </c>
      <c r="F54" s="212" t="s">
        <v>1292</v>
      </c>
      <c r="G54" s="212" t="s">
        <v>1292</v>
      </c>
      <c r="H54" s="188"/>
      <c r="I54" s="188"/>
      <c r="J54" s="213">
        <v>9.0476399E7</v>
      </c>
      <c r="K54" s="213">
        <v>6.16963626E8</v>
      </c>
      <c r="L54" s="220">
        <v>1.01824298337E11</v>
      </c>
      <c r="M54" s="77"/>
      <c r="N54" s="77"/>
      <c r="O54" s="78" t="s">
        <v>116</v>
      </c>
      <c r="P54" s="211" t="s">
        <v>283</v>
      </c>
      <c r="Q54" s="214" t="s">
        <v>1296</v>
      </c>
      <c r="R54" s="77" t="s">
        <v>1293</v>
      </c>
      <c r="S54" s="77"/>
      <c r="T54" s="211" t="s">
        <v>6539</v>
      </c>
      <c r="U54" s="211" t="s">
        <v>6542</v>
      </c>
      <c r="V54" s="77"/>
      <c r="W54" s="77"/>
      <c r="X54" s="77"/>
      <c r="Y54" s="77"/>
      <c r="Z54" s="216">
        <v>2.106909808E9</v>
      </c>
      <c r="AA54" s="77" t="s">
        <v>6540</v>
      </c>
      <c r="AB54" s="217">
        <v>2.68884161E8</v>
      </c>
      <c r="AC54" s="77" t="str">
        <f t="shared" si="2"/>
        <v>Спрей термозащита для волос 17 в 1 многофункциональный с кератином qeep 200 мл</v>
      </c>
      <c r="AD54" s="218">
        <v>10.0</v>
      </c>
      <c r="AE54" s="216">
        <v>5.0</v>
      </c>
      <c r="AF54" s="218">
        <v>10.0</v>
      </c>
      <c r="AG54" s="216">
        <v>5.0</v>
      </c>
      <c r="AH54" s="77"/>
      <c r="AI54" s="216">
        <v>0.059</v>
      </c>
      <c r="AJ54" s="77"/>
      <c r="AK54" s="77"/>
      <c r="AL54" s="77"/>
      <c r="AM54" s="77"/>
      <c r="AN54" s="77"/>
      <c r="AO54" s="77"/>
      <c r="AP54" s="77"/>
      <c r="AQ54" s="77"/>
      <c r="AR54" s="77"/>
      <c r="AS54" s="77"/>
      <c r="AT54" s="77"/>
      <c r="AU54" s="77"/>
      <c r="AV54" s="77"/>
      <c r="AW54" s="77"/>
      <c r="AX54" s="77"/>
      <c r="AY54" s="77"/>
      <c r="AZ54" s="77"/>
      <c r="BA54" s="77"/>
      <c r="BB54" s="77"/>
      <c r="BC54" s="77"/>
      <c r="BD54" s="77"/>
      <c r="BE54" s="77"/>
    </row>
    <row r="55">
      <c r="A55" s="77" t="s">
        <v>2570</v>
      </c>
      <c r="B55" s="77" t="s">
        <v>2570</v>
      </c>
      <c r="C55" s="77" t="s">
        <v>2572</v>
      </c>
      <c r="D55" s="211" t="s">
        <v>2570</v>
      </c>
      <c r="E55" s="212" t="s">
        <v>2570</v>
      </c>
      <c r="F55" s="212" t="s">
        <v>2570</v>
      </c>
      <c r="G55" s="188"/>
      <c r="H55" s="188"/>
      <c r="I55" s="188"/>
      <c r="J55" s="213">
        <v>1.48386282E8</v>
      </c>
      <c r="K55" s="213">
        <v>8.7180646E8</v>
      </c>
      <c r="L55" s="77"/>
      <c r="M55" s="77"/>
      <c r="N55" s="77"/>
      <c r="O55" s="78" t="s">
        <v>116</v>
      </c>
      <c r="P55" s="211" t="s">
        <v>283</v>
      </c>
      <c r="Q55" s="214" t="s">
        <v>2574</v>
      </c>
      <c r="R55" s="77" t="s">
        <v>2571</v>
      </c>
      <c r="S55" s="77"/>
      <c r="T55" s="211" t="s">
        <v>6539</v>
      </c>
      <c r="U55" s="215" t="s">
        <v>1027</v>
      </c>
      <c r="V55" s="77"/>
      <c r="W55" s="77"/>
      <c r="X55" s="77"/>
      <c r="Y55" s="77"/>
      <c r="Z55" s="216">
        <v>2.106909808E9</v>
      </c>
      <c r="AA55" s="77" t="s">
        <v>6540</v>
      </c>
      <c r="AB55" s="217">
        <v>2.66214623E8</v>
      </c>
      <c r="AC55" s="77" t="str">
        <f t="shared" si="2"/>
        <v>Железо хелат витамины qeep, 60 капсул</v>
      </c>
      <c r="AD55" s="218">
        <v>5.0</v>
      </c>
      <c r="AE55" s="216">
        <v>10.0</v>
      </c>
      <c r="AF55" s="218">
        <v>5.0</v>
      </c>
      <c r="AG55" s="216">
        <v>5.0</v>
      </c>
      <c r="AH55" s="77"/>
      <c r="AI55" s="216">
        <v>0.108</v>
      </c>
      <c r="AJ55" s="77"/>
      <c r="AK55" s="77"/>
      <c r="AL55" s="77"/>
      <c r="AM55" s="77"/>
      <c r="AN55" s="77"/>
      <c r="AO55" s="77"/>
      <c r="AP55" s="77"/>
      <c r="AQ55" s="77"/>
      <c r="AR55" s="77"/>
      <c r="AS55" s="77"/>
      <c r="AT55" s="77"/>
      <c r="AU55" s="77"/>
      <c r="AV55" s="77"/>
      <c r="AW55" s="77"/>
      <c r="AX55" s="77"/>
      <c r="AY55" s="77"/>
      <c r="AZ55" s="77"/>
      <c r="BA55" s="77"/>
      <c r="BB55" s="77"/>
      <c r="BC55" s="77"/>
      <c r="BD55" s="77"/>
      <c r="BE55" s="77"/>
    </row>
    <row r="56">
      <c r="A56" s="77" t="s">
        <v>2048</v>
      </c>
      <c r="B56" s="77" t="s">
        <v>2048</v>
      </c>
      <c r="C56" s="77" t="s">
        <v>2050</v>
      </c>
      <c r="D56" s="211" t="s">
        <v>2048</v>
      </c>
      <c r="E56" s="212" t="s">
        <v>2048</v>
      </c>
      <c r="F56" s="212" t="s">
        <v>2048</v>
      </c>
      <c r="G56" s="212" t="s">
        <v>2048</v>
      </c>
      <c r="H56" s="188"/>
      <c r="I56" s="188"/>
      <c r="J56" s="213" t="e">
        <v>#N/A</v>
      </c>
      <c r="K56" s="213">
        <v>1.773312643E9</v>
      </c>
      <c r="L56" s="220">
        <v>1.0366547817E11</v>
      </c>
      <c r="M56" s="77"/>
      <c r="N56" s="77"/>
      <c r="O56" s="78" t="s">
        <v>116</v>
      </c>
      <c r="P56" s="211" t="s">
        <v>283</v>
      </c>
      <c r="Q56" s="214" t="s">
        <v>2052</v>
      </c>
      <c r="R56" s="77" t="s">
        <v>2049</v>
      </c>
      <c r="S56" s="77"/>
      <c r="T56" s="211" t="s">
        <v>6539</v>
      </c>
      <c r="U56" s="211" t="s">
        <v>6541</v>
      </c>
      <c r="V56" s="77"/>
      <c r="W56" s="77"/>
      <c r="X56" s="77"/>
      <c r="Y56" s="77"/>
      <c r="Z56" s="216">
        <v>2.106909808E9</v>
      </c>
      <c r="AA56" s="77" t="s">
        <v>6540</v>
      </c>
      <c r="AB56" s="217">
        <v>2.70128827E8</v>
      </c>
      <c r="AC56" s="77" t="str">
        <f t="shared" si="2"/>
        <v>Изотоник порошок спортивный с витаминами qeep 300 г</v>
      </c>
      <c r="AD56" s="218">
        <v>19.0</v>
      </c>
      <c r="AE56" s="216">
        <v>11.0</v>
      </c>
      <c r="AF56" s="218">
        <v>19.0</v>
      </c>
      <c r="AG56" s="216">
        <v>13.0</v>
      </c>
      <c r="AH56" s="77"/>
      <c r="AI56" s="216">
        <v>0.25</v>
      </c>
      <c r="AJ56" s="77"/>
      <c r="AK56" s="77"/>
      <c r="AL56" s="77"/>
      <c r="AM56" s="77"/>
      <c r="AN56" s="77"/>
      <c r="AO56" s="77"/>
      <c r="AP56" s="77"/>
      <c r="AQ56" s="77"/>
      <c r="AR56" s="77"/>
      <c r="AS56" s="77"/>
      <c r="AT56" s="77"/>
      <c r="AU56" s="77"/>
      <c r="AV56" s="77"/>
      <c r="AW56" s="77"/>
      <c r="AX56" s="77"/>
      <c r="AY56" s="77"/>
      <c r="AZ56" s="77"/>
      <c r="BA56" s="77"/>
      <c r="BB56" s="77"/>
      <c r="BC56" s="77"/>
      <c r="BD56" s="77"/>
      <c r="BE56" s="77"/>
    </row>
    <row r="57">
      <c r="A57" s="77" t="s">
        <v>870</v>
      </c>
      <c r="B57" s="77" t="s">
        <v>870</v>
      </c>
      <c r="C57" s="77" t="s">
        <v>872</v>
      </c>
      <c r="D57" s="211" t="s">
        <v>870</v>
      </c>
      <c r="E57" s="212" t="s">
        <v>870</v>
      </c>
      <c r="F57" s="212" t="s">
        <v>870</v>
      </c>
      <c r="G57" s="212" t="s">
        <v>870</v>
      </c>
      <c r="H57" s="188"/>
      <c r="I57" s="188"/>
      <c r="J57" s="213">
        <v>9.0343752E7</v>
      </c>
      <c r="K57" s="213">
        <v>6.16948885E8</v>
      </c>
      <c r="L57" s="220">
        <v>1.0222488233E11</v>
      </c>
      <c r="M57" s="77"/>
      <c r="N57" s="77"/>
      <c r="O57" s="78" t="s">
        <v>116</v>
      </c>
      <c r="P57" s="211" t="s">
        <v>283</v>
      </c>
      <c r="Q57" s="214" t="s">
        <v>874</v>
      </c>
      <c r="R57" s="77" t="s">
        <v>871</v>
      </c>
      <c r="S57" s="77"/>
      <c r="T57" s="211" t="s">
        <v>6539</v>
      </c>
      <c r="U57" s="215" t="s">
        <v>6541</v>
      </c>
      <c r="V57" s="77"/>
      <c r="W57" s="77"/>
      <c r="X57" s="77"/>
      <c r="Y57" s="77"/>
      <c r="Z57" s="216">
        <v>2.106909808E9</v>
      </c>
      <c r="AA57" s="77" t="s">
        <v>6540</v>
      </c>
      <c r="AB57" s="217">
        <v>2.70128828E8</v>
      </c>
      <c r="AC57" s="77" t="str">
        <f t="shared" si="2"/>
        <v>Изотоник порошок спортивный с витаминами qeep 300 г</v>
      </c>
      <c r="AD57" s="218">
        <v>10.0</v>
      </c>
      <c r="AE57" s="216">
        <v>5.0</v>
      </c>
      <c r="AF57" s="218">
        <v>10.0</v>
      </c>
      <c r="AG57" s="216">
        <v>5.0</v>
      </c>
      <c r="AH57" s="77"/>
      <c r="AI57" s="216">
        <v>0.1</v>
      </c>
      <c r="AJ57" s="77"/>
      <c r="AK57" s="77"/>
      <c r="AL57" s="77"/>
      <c r="AM57" s="77"/>
      <c r="AN57" s="77"/>
      <c r="AO57" s="77"/>
      <c r="AP57" s="77"/>
      <c r="AQ57" s="77"/>
      <c r="AR57" s="77"/>
      <c r="AS57" s="77"/>
      <c r="AT57" s="77"/>
      <c r="AU57" s="77"/>
      <c r="AV57" s="77"/>
      <c r="AW57" s="77"/>
      <c r="AX57" s="77"/>
      <c r="AY57" s="77"/>
      <c r="AZ57" s="77"/>
      <c r="BA57" s="77"/>
      <c r="BB57" s="77"/>
      <c r="BC57" s="77"/>
      <c r="BD57" s="77"/>
      <c r="BE57" s="77"/>
    </row>
    <row r="58">
      <c r="A58" s="77" t="s">
        <v>2238</v>
      </c>
      <c r="B58" s="77" t="s">
        <v>2238</v>
      </c>
      <c r="C58" s="77" t="s">
        <v>2240</v>
      </c>
      <c r="D58" s="211" t="s">
        <v>2238</v>
      </c>
      <c r="E58" s="212" t="s">
        <v>2238</v>
      </c>
      <c r="F58" s="212" t="s">
        <v>2238</v>
      </c>
      <c r="G58" s="188"/>
      <c r="H58" s="188"/>
      <c r="I58" s="188"/>
      <c r="J58" s="213">
        <v>1.45755886E8</v>
      </c>
      <c r="K58" s="213">
        <v>8.72805901E8</v>
      </c>
      <c r="L58" s="77"/>
      <c r="M58" s="77"/>
      <c r="N58" s="77"/>
      <c r="O58" s="78" t="s">
        <v>116</v>
      </c>
      <c r="P58" s="211" t="s">
        <v>283</v>
      </c>
      <c r="Q58" s="214" t="s">
        <v>2242</v>
      </c>
      <c r="R58" s="77" t="s">
        <v>2239</v>
      </c>
      <c r="S58" s="77"/>
      <c r="T58" s="211" t="s">
        <v>6539</v>
      </c>
      <c r="U58" s="211" t="s">
        <v>6541</v>
      </c>
      <c r="V58" s="77"/>
      <c r="W58" s="77"/>
      <c r="X58" s="77"/>
      <c r="Y58" s="77"/>
      <c r="Z58" s="216">
        <v>2.106909808E9</v>
      </c>
      <c r="AA58" s="77" t="s">
        <v>6540</v>
      </c>
      <c r="AB58" s="217">
        <v>2.7036074E8</v>
      </c>
      <c r="AC58" s="77" t="str">
        <f t="shared" si="2"/>
        <v>Изотоник порошок спортивный с витаминами qeep 300 г</v>
      </c>
      <c r="AD58" s="218">
        <v>21.0</v>
      </c>
      <c r="AE58" s="216">
        <v>14.0</v>
      </c>
      <c r="AF58" s="218">
        <v>21.0</v>
      </c>
      <c r="AG58" s="216">
        <v>6.0</v>
      </c>
      <c r="AH58" s="77"/>
      <c r="AI58" s="216">
        <v>0.74</v>
      </c>
      <c r="AJ58" s="77"/>
      <c r="AK58" s="77"/>
      <c r="AL58" s="77"/>
      <c r="AM58" s="77"/>
      <c r="AN58" s="77"/>
      <c r="AO58" s="77"/>
      <c r="AP58" s="77"/>
      <c r="AQ58" s="77"/>
      <c r="AR58" s="77"/>
      <c r="AS58" s="77"/>
      <c r="AT58" s="77"/>
      <c r="AU58" s="77"/>
      <c r="AV58" s="77"/>
      <c r="AW58" s="77"/>
      <c r="AX58" s="77"/>
      <c r="AY58" s="77"/>
      <c r="AZ58" s="77"/>
      <c r="BA58" s="77"/>
      <c r="BB58" s="77"/>
      <c r="BC58" s="77"/>
      <c r="BD58" s="77"/>
      <c r="BE58" s="77"/>
    </row>
    <row r="59">
      <c r="A59" s="77" t="s">
        <v>852</v>
      </c>
      <c r="B59" s="77" t="s">
        <v>852</v>
      </c>
      <c r="C59" s="77" t="s">
        <v>856</v>
      </c>
      <c r="D59" s="211" t="s">
        <v>852</v>
      </c>
      <c r="E59" s="212" t="s">
        <v>852</v>
      </c>
      <c r="F59" s="212" t="s">
        <v>852</v>
      </c>
      <c r="G59" s="212" t="s">
        <v>852</v>
      </c>
      <c r="H59" s="188"/>
      <c r="I59" s="212" t="s">
        <v>852</v>
      </c>
      <c r="J59" s="213">
        <v>2.06027291E8</v>
      </c>
      <c r="K59" s="213">
        <v>1.40811628E9</v>
      </c>
      <c r="L59" s="220">
        <v>1.03398260189E11</v>
      </c>
      <c r="M59" s="77"/>
      <c r="N59" s="213">
        <v>9.9000118641E10</v>
      </c>
      <c r="O59" s="78" t="s">
        <v>116</v>
      </c>
      <c r="P59" s="211" t="s">
        <v>283</v>
      </c>
      <c r="Q59" s="214" t="s">
        <v>858</v>
      </c>
      <c r="R59" s="77" t="s">
        <v>855</v>
      </c>
      <c r="S59" s="77"/>
      <c r="T59" s="211" t="s">
        <v>6539</v>
      </c>
      <c r="U59" s="211" t="s">
        <v>6541</v>
      </c>
      <c r="V59" s="77"/>
      <c r="W59" s="77"/>
      <c r="X59" s="77"/>
      <c r="Y59" s="77"/>
      <c r="Z59" s="216">
        <v>2.106909808E9</v>
      </c>
      <c r="AA59" s="77" t="s">
        <v>6540</v>
      </c>
      <c r="AB59" s="217">
        <v>1.91073458E8</v>
      </c>
      <c r="AC59" s="77" t="str">
        <f t="shared" si="2"/>
        <v>Глюкозамин 214 мг Хондроитин 270 мг + Квертецин 14 мг + Витамин С 7 мг Qeep 90 капсул</v>
      </c>
      <c r="AD59" s="218">
        <v>6.0</v>
      </c>
      <c r="AE59" s="216">
        <v>5.0</v>
      </c>
      <c r="AF59" s="218">
        <v>6.0</v>
      </c>
      <c r="AG59" s="216">
        <v>10.0</v>
      </c>
      <c r="AH59" s="77"/>
      <c r="AI59" s="216">
        <v>0.08</v>
      </c>
      <c r="AJ59" s="77"/>
      <c r="AK59" s="77"/>
      <c r="AL59" s="77"/>
      <c r="AM59" s="77"/>
      <c r="AN59" s="77"/>
      <c r="AO59" s="77"/>
      <c r="AP59" s="77"/>
      <c r="AQ59" s="77"/>
      <c r="AR59" s="77"/>
      <c r="AS59" s="77"/>
      <c r="AT59" s="77"/>
      <c r="AU59" s="77"/>
      <c r="AV59" s="77"/>
      <c r="AW59" s="77"/>
      <c r="AX59" s="77"/>
      <c r="AY59" s="77"/>
      <c r="AZ59" s="77"/>
      <c r="BA59" s="77"/>
      <c r="BB59" s="77"/>
      <c r="BC59" s="77"/>
      <c r="BD59" s="77"/>
      <c r="BE59" s="77"/>
    </row>
    <row r="60">
      <c r="A60" s="77" t="s">
        <v>1203</v>
      </c>
      <c r="B60" s="77" t="s">
        <v>1203</v>
      </c>
      <c r="C60" s="77" t="s">
        <v>1205</v>
      </c>
      <c r="D60" s="211" t="s">
        <v>1203</v>
      </c>
      <c r="E60" s="212" t="s">
        <v>1203</v>
      </c>
      <c r="F60" s="212" t="s">
        <v>1203</v>
      </c>
      <c r="G60" s="212" t="s">
        <v>1203</v>
      </c>
      <c r="H60" s="188"/>
      <c r="I60" s="212" t="s">
        <v>1203</v>
      </c>
      <c r="J60" s="213">
        <v>9.1969213E7</v>
      </c>
      <c r="K60" s="213">
        <v>6.50726667E8</v>
      </c>
      <c r="L60" s="220">
        <v>1.02210720237E11</v>
      </c>
      <c r="M60" s="77"/>
      <c r="N60" s="213">
        <v>9.9000119614E10</v>
      </c>
      <c r="O60" s="78" t="s">
        <v>116</v>
      </c>
      <c r="P60" s="211" t="s">
        <v>283</v>
      </c>
      <c r="Q60" s="214" t="s">
        <v>1206</v>
      </c>
      <c r="R60" s="77" t="s">
        <v>1204</v>
      </c>
      <c r="S60" s="77"/>
      <c r="T60" s="211" t="s">
        <v>6539</v>
      </c>
      <c r="U60" s="214" t="s">
        <v>1027</v>
      </c>
      <c r="V60" s="77"/>
      <c r="W60" s="77"/>
      <c r="X60" s="77"/>
      <c r="Y60" s="77"/>
      <c r="Z60" s="216">
        <v>2.106909808E9</v>
      </c>
      <c r="AA60" s="77" t="s">
        <v>6540</v>
      </c>
      <c r="AB60" s="217">
        <v>9.196935E7</v>
      </c>
      <c r="AC60" s="77" t="str">
        <f t="shared" si="2"/>
        <v>Пробиотики для взрослых 570 мг Qeep 30 капсул</v>
      </c>
      <c r="AD60" s="218">
        <v>5.0</v>
      </c>
      <c r="AE60" s="216">
        <v>9.0</v>
      </c>
      <c r="AF60" s="218">
        <v>5.0</v>
      </c>
      <c r="AG60" s="216">
        <v>5.0</v>
      </c>
      <c r="AH60" s="77"/>
      <c r="AI60" s="216">
        <v>0.073</v>
      </c>
      <c r="AJ60" s="77"/>
      <c r="AK60" s="77"/>
      <c r="AL60" s="77"/>
      <c r="AM60" s="77"/>
      <c r="AN60" s="77"/>
      <c r="AO60" s="77"/>
      <c r="AP60" s="77"/>
      <c r="AQ60" s="77"/>
      <c r="AR60" s="77"/>
      <c r="AS60" s="77"/>
      <c r="AT60" s="77"/>
      <c r="AU60" s="77"/>
      <c r="AV60" s="77"/>
      <c r="AW60" s="77"/>
      <c r="AX60" s="77"/>
      <c r="AY60" s="77"/>
      <c r="AZ60" s="77"/>
      <c r="BA60" s="77"/>
      <c r="BB60" s="77"/>
      <c r="BC60" s="77"/>
      <c r="BD60" s="77"/>
      <c r="BE60" s="77"/>
    </row>
    <row r="61">
      <c r="A61" s="77" t="s">
        <v>1100</v>
      </c>
      <c r="B61" s="77" t="s">
        <v>1100</v>
      </c>
      <c r="C61" s="77" t="s">
        <v>1102</v>
      </c>
      <c r="D61" s="211" t="s">
        <v>1100</v>
      </c>
      <c r="E61" s="212" t="s">
        <v>1100</v>
      </c>
      <c r="F61" s="212" t="s">
        <v>1100</v>
      </c>
      <c r="G61" s="212" t="s">
        <v>1100</v>
      </c>
      <c r="H61" s="188"/>
      <c r="I61" s="212" t="s">
        <v>1100</v>
      </c>
      <c r="J61" s="213">
        <v>1.48382531E8</v>
      </c>
      <c r="K61" s="213">
        <v>8.81205774E8</v>
      </c>
      <c r="L61" s="220">
        <v>1.03262837666E11</v>
      </c>
      <c r="M61" s="77"/>
      <c r="N61" s="213">
        <v>9.9000122833E10</v>
      </c>
      <c r="O61" s="78" t="s">
        <v>116</v>
      </c>
      <c r="P61" s="211" t="s">
        <v>283</v>
      </c>
      <c r="Q61" s="214" t="s">
        <v>1104</v>
      </c>
      <c r="R61" s="77" t="s">
        <v>1101</v>
      </c>
      <c r="S61" s="77"/>
      <c r="T61" s="211" t="s">
        <v>6539</v>
      </c>
      <c r="U61" s="214" t="s">
        <v>1027</v>
      </c>
      <c r="V61" s="77"/>
      <c r="W61" s="77"/>
      <c r="X61" s="77"/>
      <c r="Y61" s="77"/>
      <c r="Z61" s="216">
        <v>2.106909808E9</v>
      </c>
      <c r="AA61" s="77" t="s">
        <v>6540</v>
      </c>
      <c r="AB61" s="217">
        <v>2.65543042E8</v>
      </c>
      <c r="AC61" s="77" t="str">
        <f t="shared" si="2"/>
        <v>Магний цитрат 635 мг с витамином В6 qeep, 120 капсул</v>
      </c>
      <c r="AD61" s="218">
        <v>4.0</v>
      </c>
      <c r="AE61" s="216">
        <v>7.0</v>
      </c>
      <c r="AF61" s="218">
        <v>4.0</v>
      </c>
      <c r="AG61" s="216">
        <v>6.0</v>
      </c>
      <c r="AH61" s="77"/>
      <c r="AI61" s="216">
        <v>0.1</v>
      </c>
      <c r="AJ61" s="77"/>
      <c r="AK61" s="77"/>
      <c r="AL61" s="77"/>
      <c r="AM61" s="77"/>
      <c r="AN61" s="77"/>
      <c r="AO61" s="77"/>
      <c r="AP61" s="77"/>
      <c r="AQ61" s="77"/>
      <c r="AR61" s="77"/>
      <c r="AS61" s="77"/>
      <c r="AT61" s="77"/>
      <c r="AU61" s="77"/>
      <c r="AV61" s="77"/>
      <c r="AW61" s="77"/>
      <c r="AX61" s="77"/>
      <c r="AY61" s="77"/>
      <c r="AZ61" s="77"/>
      <c r="BA61" s="77"/>
      <c r="BB61" s="77"/>
      <c r="BC61" s="77"/>
      <c r="BD61" s="77"/>
      <c r="BE61" s="77"/>
    </row>
    <row r="62">
      <c r="A62" s="77" t="s">
        <v>2392</v>
      </c>
      <c r="B62" s="77" t="s">
        <v>2392</v>
      </c>
      <c r="C62" s="77" t="s">
        <v>2394</v>
      </c>
      <c r="D62" s="211" t="s">
        <v>2392</v>
      </c>
      <c r="E62" s="212" t="s">
        <v>2392</v>
      </c>
      <c r="F62" s="212" t="s">
        <v>2392</v>
      </c>
      <c r="G62" s="188"/>
      <c r="H62" s="188"/>
      <c r="I62" s="188"/>
      <c r="J62" s="213">
        <v>1.57970824E8</v>
      </c>
      <c r="K62" s="213">
        <v>9.48290832E8</v>
      </c>
      <c r="L62" s="77"/>
      <c r="M62" s="77"/>
      <c r="N62" s="77"/>
      <c r="O62" s="78" t="s">
        <v>116</v>
      </c>
      <c r="P62" s="211" t="s">
        <v>283</v>
      </c>
      <c r="Q62" s="214" t="s">
        <v>2396</v>
      </c>
      <c r="R62" s="77" t="s">
        <v>2393</v>
      </c>
      <c r="S62" s="77"/>
      <c r="T62" s="211" t="s">
        <v>6539</v>
      </c>
      <c r="U62" s="215" t="s">
        <v>1557</v>
      </c>
      <c r="V62" s="77"/>
      <c r="W62" s="77"/>
      <c r="X62" s="77"/>
      <c r="Y62" s="77"/>
      <c r="Z62" s="216">
        <v>2.106909808E9</v>
      </c>
      <c r="AA62" s="77" t="s">
        <v>6540</v>
      </c>
      <c r="AB62" s="217">
        <v>2.94499466E8</v>
      </c>
      <c r="AC62" s="77" t="str">
        <f t="shared" si="2"/>
        <v>Витамины для мужчин комплекс для здоровья и мышечной массы qeep</v>
      </c>
      <c r="AD62" s="218">
        <v>7.0</v>
      </c>
      <c r="AE62" s="216">
        <v>12.0</v>
      </c>
      <c r="AF62" s="218">
        <v>7.0</v>
      </c>
      <c r="AG62" s="216">
        <v>7.0</v>
      </c>
      <c r="AH62" s="77"/>
      <c r="AI62" s="216">
        <v>0.01</v>
      </c>
      <c r="AJ62" s="77"/>
      <c r="AK62" s="77"/>
      <c r="AL62" s="77"/>
      <c r="AM62" s="77"/>
      <c r="AN62" s="77"/>
      <c r="AO62" s="77"/>
      <c r="AP62" s="77"/>
      <c r="AQ62" s="77"/>
      <c r="AR62" s="77"/>
      <c r="AS62" s="77"/>
      <c r="AT62" s="77"/>
      <c r="AU62" s="77"/>
      <c r="AV62" s="77"/>
      <c r="AW62" s="77"/>
      <c r="AX62" s="77"/>
      <c r="AY62" s="77"/>
      <c r="AZ62" s="77"/>
      <c r="BA62" s="77"/>
      <c r="BB62" s="77"/>
      <c r="BC62" s="77"/>
      <c r="BD62" s="77"/>
      <c r="BE62" s="77"/>
    </row>
    <row r="63">
      <c r="A63" s="77" t="s">
        <v>402</v>
      </c>
      <c r="B63" s="77" t="s">
        <v>402</v>
      </c>
      <c r="C63" s="77" t="s">
        <v>406</v>
      </c>
      <c r="D63" s="211" t="s">
        <v>402</v>
      </c>
      <c r="E63" s="212" t="s">
        <v>402</v>
      </c>
      <c r="F63" s="212" t="s">
        <v>402</v>
      </c>
      <c r="G63" s="212" t="s">
        <v>402</v>
      </c>
      <c r="H63" s="188"/>
      <c r="I63" s="212" t="s">
        <v>402</v>
      </c>
      <c r="J63" s="213">
        <v>2.93062934E8</v>
      </c>
      <c r="K63" s="213">
        <v>1.773856028E9</v>
      </c>
      <c r="L63" s="220">
        <v>1.03665495848E11</v>
      </c>
      <c r="M63" s="77"/>
      <c r="N63" s="213">
        <v>9.9000117794E10</v>
      </c>
      <c r="O63" s="78" t="s">
        <v>116</v>
      </c>
      <c r="P63" s="211" t="s">
        <v>283</v>
      </c>
      <c r="Q63" s="214" t="s">
        <v>408</v>
      </c>
      <c r="R63" s="77" t="s">
        <v>404</v>
      </c>
      <c r="S63" s="77"/>
      <c r="T63" s="211" t="s">
        <v>6539</v>
      </c>
      <c r="U63" s="211" t="s">
        <v>362</v>
      </c>
      <c r="V63" s="77"/>
      <c r="W63" s="77"/>
      <c r="X63" s="77"/>
      <c r="Y63" s="77"/>
      <c r="Z63" s="216">
        <v>2.106909808E9</v>
      </c>
      <c r="AA63" s="77" t="s">
        <v>6540</v>
      </c>
      <c r="AB63" s="217">
        <v>1.5973404E8</v>
      </c>
      <c r="AC63" s="77" t="str">
        <f t="shared" si="2"/>
        <v>Витамины для памяти и мозга Qeep 60 капсул</v>
      </c>
      <c r="AD63" s="218">
        <v>11.0</v>
      </c>
      <c r="AE63" s="216">
        <v>5.0</v>
      </c>
      <c r="AF63" s="218">
        <v>11.0</v>
      </c>
      <c r="AG63" s="216">
        <v>5.0</v>
      </c>
      <c r="AH63" s="77"/>
      <c r="AI63" s="216">
        <v>0.165</v>
      </c>
      <c r="AJ63" s="77"/>
      <c r="AK63" s="77"/>
      <c r="AL63" s="77"/>
      <c r="AM63" s="77"/>
      <c r="AN63" s="77"/>
      <c r="AO63" s="77"/>
      <c r="AP63" s="77"/>
      <c r="AQ63" s="77"/>
      <c r="AR63" s="77"/>
      <c r="AS63" s="77"/>
      <c r="AT63" s="77"/>
      <c r="AU63" s="77"/>
      <c r="AV63" s="77"/>
      <c r="AW63" s="77"/>
      <c r="AX63" s="77"/>
      <c r="AY63" s="77"/>
      <c r="AZ63" s="77"/>
      <c r="BA63" s="77"/>
      <c r="BB63" s="77"/>
      <c r="BC63" s="77"/>
      <c r="BD63" s="77"/>
      <c r="BE63" s="77"/>
    </row>
    <row r="64">
      <c r="A64" s="77" t="s">
        <v>2268</v>
      </c>
      <c r="B64" s="77" t="s">
        <v>2268</v>
      </c>
      <c r="C64" s="77" t="s">
        <v>2270</v>
      </c>
      <c r="D64" s="211" t="s">
        <v>2268</v>
      </c>
      <c r="E64" s="212" t="s">
        <v>2268</v>
      </c>
      <c r="F64" s="212" t="s">
        <v>2268</v>
      </c>
      <c r="G64" s="188"/>
      <c r="H64" s="188"/>
      <c r="I64" s="188"/>
      <c r="J64" s="213">
        <v>1.6886755E8</v>
      </c>
      <c r="K64" s="213">
        <v>1.082288574E9</v>
      </c>
      <c r="L64" s="77"/>
      <c r="M64" s="77"/>
      <c r="N64" s="77"/>
      <c r="O64" s="78" t="s">
        <v>116</v>
      </c>
      <c r="P64" s="211" t="s">
        <v>283</v>
      </c>
      <c r="Q64" s="214" t="s">
        <v>2272</v>
      </c>
      <c r="R64" s="77" t="s">
        <v>2269</v>
      </c>
      <c r="S64" s="77"/>
      <c r="T64" s="211" t="s">
        <v>6539</v>
      </c>
      <c r="U64" s="211" t="s">
        <v>362</v>
      </c>
      <c r="V64" s="77"/>
      <c r="W64" s="77"/>
      <c r="X64" s="77"/>
      <c r="Y64" s="77"/>
      <c r="Z64" s="216">
        <v>2.106909808E9</v>
      </c>
      <c r="AA64" s="77" t="s">
        <v>6540</v>
      </c>
      <c r="AB64" s="217">
        <v>2.55209721E8</v>
      </c>
      <c r="AC64" s="77" t="str">
        <f t="shared" si="2"/>
        <v>Ремувер гель qeep для удаления кутикулы 40 мл</v>
      </c>
      <c r="AD64" s="218">
        <v>9.0</v>
      </c>
      <c r="AE64" s="216">
        <v>5.0</v>
      </c>
      <c r="AF64" s="218">
        <v>9.0</v>
      </c>
      <c r="AG64" s="216">
        <v>5.0</v>
      </c>
      <c r="AH64" s="77"/>
      <c r="AI64" s="216">
        <v>0.073</v>
      </c>
      <c r="AJ64" s="77"/>
      <c r="AK64" s="77"/>
      <c r="AL64" s="77"/>
      <c r="AM64" s="77"/>
      <c r="AN64" s="77"/>
      <c r="AO64" s="77"/>
      <c r="AP64" s="77"/>
      <c r="AQ64" s="77"/>
      <c r="AR64" s="77"/>
      <c r="AS64" s="77"/>
      <c r="AT64" s="77"/>
      <c r="AU64" s="77"/>
      <c r="AV64" s="77"/>
      <c r="AW64" s="77"/>
      <c r="AX64" s="77"/>
      <c r="AY64" s="77"/>
      <c r="AZ64" s="77"/>
      <c r="BA64" s="77"/>
      <c r="BB64" s="77"/>
      <c r="BC64" s="77"/>
      <c r="BD64" s="77"/>
      <c r="BE64" s="77"/>
    </row>
    <row r="65">
      <c r="A65" s="77" t="s">
        <v>1555</v>
      </c>
      <c r="B65" s="77" t="s">
        <v>1555</v>
      </c>
      <c r="C65" s="77" t="s">
        <v>1558</v>
      </c>
      <c r="D65" s="211" t="s">
        <v>1555</v>
      </c>
      <c r="E65" s="212" t="s">
        <v>1555</v>
      </c>
      <c r="F65" s="212" t="s">
        <v>1555</v>
      </c>
      <c r="G65" s="212" t="s">
        <v>1555</v>
      </c>
      <c r="H65" s="188"/>
      <c r="I65" s="212" t="s">
        <v>1555</v>
      </c>
      <c r="J65" s="213">
        <v>2.65543042E8</v>
      </c>
      <c r="K65" s="213">
        <v>1.713149756E9</v>
      </c>
      <c r="L65" s="220">
        <v>1.03555039361E11</v>
      </c>
      <c r="M65" s="77"/>
      <c r="N65" s="213">
        <v>9.9000121326E10</v>
      </c>
      <c r="O65" s="78" t="s">
        <v>116</v>
      </c>
      <c r="P65" s="211" t="s">
        <v>283</v>
      </c>
      <c r="Q65" s="214" t="s">
        <v>1560</v>
      </c>
      <c r="R65" s="77" t="s">
        <v>1556</v>
      </c>
      <c r="S65" s="77"/>
      <c r="T65" s="211" t="s">
        <v>6539</v>
      </c>
      <c r="U65" s="215" t="s">
        <v>1557</v>
      </c>
      <c r="V65" s="77"/>
      <c r="W65" s="77"/>
      <c r="X65" s="77"/>
      <c r="Y65" s="77"/>
      <c r="Z65" s="216">
        <v>2.106909808E9</v>
      </c>
      <c r="AA65" s="77" t="s">
        <v>6540</v>
      </c>
      <c r="AB65" s="217">
        <v>2.40166228E8</v>
      </c>
      <c r="AC65" s="77" t="str">
        <f t="shared" si="2"/>
        <v>Витамины для иммунитета NAC, комплекс от ОРВИ qeep 90 капсул</v>
      </c>
      <c r="AD65" s="218">
        <v>11.0</v>
      </c>
      <c r="AE65" s="216">
        <v>5.0</v>
      </c>
      <c r="AF65" s="218">
        <v>11.0</v>
      </c>
      <c r="AG65" s="216">
        <v>5.0</v>
      </c>
      <c r="AH65" s="77"/>
      <c r="AI65" s="216">
        <v>0.13</v>
      </c>
      <c r="AJ65" s="77"/>
      <c r="AK65" s="77"/>
      <c r="AL65" s="77"/>
      <c r="AM65" s="77"/>
      <c r="AN65" s="77"/>
      <c r="AO65" s="77"/>
      <c r="AP65" s="77"/>
      <c r="AQ65" s="77"/>
      <c r="AR65" s="77"/>
      <c r="AS65" s="77"/>
      <c r="AT65" s="77"/>
      <c r="AU65" s="77"/>
      <c r="AV65" s="77"/>
      <c r="AW65" s="77"/>
      <c r="AX65" s="77"/>
      <c r="AY65" s="77"/>
      <c r="AZ65" s="77"/>
      <c r="BA65" s="77"/>
      <c r="BB65" s="77"/>
      <c r="BC65" s="77"/>
      <c r="BD65" s="77"/>
      <c r="BE65" s="77"/>
    </row>
    <row r="66">
      <c r="A66" s="77" t="s">
        <v>2264</v>
      </c>
      <c r="B66" s="77"/>
      <c r="C66" s="77" t="s">
        <v>2266</v>
      </c>
      <c r="D66" s="211" t="s">
        <v>2264</v>
      </c>
      <c r="E66" s="188"/>
      <c r="F66" s="212" t="s">
        <v>2264</v>
      </c>
      <c r="G66" s="188"/>
      <c r="H66" s="188"/>
      <c r="I66" s="188"/>
      <c r="J66" s="221">
        <v>1.4769936E8</v>
      </c>
      <c r="K66" s="213">
        <v>8.71816297E8</v>
      </c>
      <c r="L66" s="77"/>
      <c r="M66" s="77"/>
      <c r="N66" s="77"/>
      <c r="O66" s="78" t="s">
        <v>116</v>
      </c>
      <c r="P66" s="211" t="s">
        <v>283</v>
      </c>
      <c r="Q66" s="222" t="s">
        <v>6543</v>
      </c>
      <c r="R66" s="77" t="s">
        <v>2265</v>
      </c>
      <c r="S66" s="77"/>
      <c r="T66" s="211" t="s">
        <v>6539</v>
      </c>
      <c r="U66" s="211" t="s">
        <v>6541</v>
      </c>
      <c r="V66" s="77"/>
      <c r="W66" s="77"/>
      <c r="X66" s="77"/>
      <c r="Y66" s="77"/>
      <c r="Z66" s="216">
        <v>2.106909808E9</v>
      </c>
      <c r="AA66" s="77" t="s">
        <v>6540</v>
      </c>
      <c r="AB66" s="217">
        <v>1.61948275E8</v>
      </c>
      <c r="AC66" s="77" t="str">
        <f t="shared" si="2"/>
        <v>Омега 3 1620 мг EPA 792 мг DHA 528 мг Qeep 90 капсул</v>
      </c>
      <c r="AD66" s="218">
        <v>1.0</v>
      </c>
      <c r="AE66" s="216">
        <v>1.0</v>
      </c>
      <c r="AF66" s="218">
        <v>1.0</v>
      </c>
      <c r="AG66" s="216">
        <v>1.0</v>
      </c>
      <c r="AH66" s="77"/>
      <c r="AI66" s="216">
        <v>1.0</v>
      </c>
      <c r="AJ66" s="77"/>
      <c r="AK66" s="77"/>
      <c r="AL66" s="77"/>
      <c r="AM66" s="77"/>
      <c r="AN66" s="77"/>
      <c r="AO66" s="77"/>
      <c r="AP66" s="77"/>
      <c r="AQ66" s="77"/>
      <c r="AR66" s="77"/>
      <c r="AS66" s="77"/>
      <c r="AT66" s="77"/>
      <c r="AU66" s="77"/>
      <c r="AV66" s="77"/>
      <c r="AW66" s="77"/>
      <c r="AX66" s="77"/>
      <c r="AY66" s="77"/>
      <c r="AZ66" s="77"/>
      <c r="BA66" s="77"/>
      <c r="BB66" s="77"/>
      <c r="BC66" s="77"/>
      <c r="BD66" s="77"/>
      <c r="BE66" s="77"/>
    </row>
    <row r="67">
      <c r="A67" s="77" t="s">
        <v>2143</v>
      </c>
      <c r="B67" s="77" t="s">
        <v>2143</v>
      </c>
      <c r="C67" s="77" t="s">
        <v>2145</v>
      </c>
      <c r="D67" s="211" t="s">
        <v>2143</v>
      </c>
      <c r="E67" s="212" t="s">
        <v>2143</v>
      </c>
      <c r="F67" s="212" t="s">
        <v>2143</v>
      </c>
      <c r="G67" s="188"/>
      <c r="H67" s="188"/>
      <c r="I67" s="188"/>
      <c r="J67" s="213">
        <v>1.33851547E8</v>
      </c>
      <c r="K67" s="213">
        <v>7.82091641E8</v>
      </c>
      <c r="L67" s="77"/>
      <c r="M67" s="77"/>
      <c r="N67" s="77"/>
      <c r="O67" s="78" t="s">
        <v>116</v>
      </c>
      <c r="P67" s="211" t="s">
        <v>283</v>
      </c>
      <c r="Q67" s="214" t="s">
        <v>2147</v>
      </c>
      <c r="R67" s="77" t="s">
        <v>2144</v>
      </c>
      <c r="S67" s="77"/>
      <c r="T67" s="211" t="s">
        <v>6539</v>
      </c>
      <c r="U67" s="215" t="s">
        <v>1027</v>
      </c>
      <c r="V67" s="77"/>
      <c r="W67" s="77"/>
      <c r="X67" s="77"/>
      <c r="Y67" s="77"/>
      <c r="Z67" s="216">
        <v>2.106909808E9</v>
      </c>
      <c r="AA67" s="77" t="s">
        <v>6540</v>
      </c>
      <c r="AB67" s="217">
        <v>1.56995682E8</v>
      </c>
      <c r="AC67" s="77" t="str">
        <f t="shared" si="2"/>
        <v>Тестостерон для мужчин Qeep 60 капсул, экдистерон бад для потенции и мышц спортивный, цинк, тестобустер, витамины для мужчин, бустер</v>
      </c>
      <c r="AD67" s="218">
        <v>5.0</v>
      </c>
      <c r="AE67" s="216">
        <v>9.0</v>
      </c>
      <c r="AF67" s="218">
        <v>5.0</v>
      </c>
      <c r="AG67" s="216">
        <v>5.0</v>
      </c>
      <c r="AH67" s="77"/>
      <c r="AI67" s="216">
        <v>0.051</v>
      </c>
      <c r="AJ67" s="77"/>
      <c r="AK67" s="77"/>
      <c r="AL67" s="77"/>
      <c r="AM67" s="77"/>
      <c r="AN67" s="77"/>
      <c r="AO67" s="77"/>
      <c r="AP67" s="77"/>
      <c r="AQ67" s="77"/>
      <c r="AR67" s="77"/>
      <c r="AS67" s="77"/>
      <c r="AT67" s="77"/>
      <c r="AU67" s="77"/>
      <c r="AV67" s="77"/>
      <c r="AW67" s="77"/>
      <c r="AX67" s="77"/>
      <c r="AY67" s="77"/>
      <c r="AZ67" s="77"/>
      <c r="BA67" s="77"/>
      <c r="BB67" s="77"/>
      <c r="BC67" s="77"/>
      <c r="BD67" s="77"/>
      <c r="BE67" s="77"/>
    </row>
    <row r="68">
      <c r="A68" s="77" t="s">
        <v>2431</v>
      </c>
      <c r="B68" s="77" t="s">
        <v>2431</v>
      </c>
      <c r="C68" s="77" t="s">
        <v>2433</v>
      </c>
      <c r="D68" s="211" t="s">
        <v>2431</v>
      </c>
      <c r="E68" s="212" t="s">
        <v>2431</v>
      </c>
      <c r="F68" s="212" t="s">
        <v>2431</v>
      </c>
      <c r="G68" s="188"/>
      <c r="H68" s="188"/>
      <c r="I68" s="188"/>
      <c r="J68" s="213">
        <v>1.59661866E8</v>
      </c>
      <c r="K68" s="213">
        <v>9.66794115E8</v>
      </c>
      <c r="L68" s="77"/>
      <c r="M68" s="77"/>
      <c r="N68" s="77"/>
      <c r="O68" s="78" t="s">
        <v>116</v>
      </c>
      <c r="P68" s="211" t="s">
        <v>283</v>
      </c>
      <c r="Q68" s="214" t="s">
        <v>2435</v>
      </c>
      <c r="R68" s="77" t="s">
        <v>2432</v>
      </c>
      <c r="S68" s="77"/>
      <c r="T68" s="211" t="s">
        <v>6539</v>
      </c>
      <c r="U68" s="215" t="s">
        <v>1027</v>
      </c>
      <c r="V68" s="77"/>
      <c r="W68" s="77"/>
      <c r="X68" s="77"/>
      <c r="Y68" s="77"/>
      <c r="Z68" s="216">
        <v>2.106909808E9</v>
      </c>
      <c r="AA68" s="77" t="s">
        <v>6540</v>
      </c>
      <c r="AB68" s="217">
        <v>3.77788941E8</v>
      </c>
      <c r="AC68" s="77" t="str">
        <f t="shared" si="2"/>
        <v>Спрей для волос солевой для объема и укладки волос с фиксацией qeep 200 мл</v>
      </c>
      <c r="AD68" s="218">
        <v>2.0</v>
      </c>
      <c r="AE68" s="216">
        <v>10.0</v>
      </c>
      <c r="AF68" s="218">
        <v>2.0</v>
      </c>
      <c r="AG68" s="216">
        <v>5.0</v>
      </c>
      <c r="AH68" s="77"/>
      <c r="AI68" s="216">
        <v>0.007</v>
      </c>
      <c r="AJ68" s="77"/>
      <c r="AK68" s="77"/>
      <c r="AL68" s="77"/>
      <c r="AM68" s="77"/>
      <c r="AN68" s="77"/>
      <c r="AO68" s="77"/>
      <c r="AP68" s="77"/>
      <c r="AQ68" s="77"/>
      <c r="AR68" s="77"/>
      <c r="AS68" s="77"/>
      <c r="AT68" s="77"/>
      <c r="AU68" s="77"/>
      <c r="AV68" s="77"/>
      <c r="AW68" s="77"/>
      <c r="AX68" s="77"/>
      <c r="AY68" s="77"/>
      <c r="AZ68" s="77"/>
      <c r="BA68" s="77"/>
      <c r="BB68" s="77"/>
      <c r="BC68" s="77"/>
      <c r="BD68" s="77"/>
      <c r="BE68" s="77"/>
    </row>
    <row r="69">
      <c r="A69" s="77" t="s">
        <v>497</v>
      </c>
      <c r="B69" s="77" t="s">
        <v>497</v>
      </c>
      <c r="C69" s="77" t="s">
        <v>499</v>
      </c>
      <c r="D69" s="211" t="s">
        <v>497</v>
      </c>
      <c r="E69" s="212" t="s">
        <v>497</v>
      </c>
      <c r="F69" s="212" t="s">
        <v>497</v>
      </c>
      <c r="G69" s="212" t="s">
        <v>497</v>
      </c>
      <c r="H69" s="188"/>
      <c r="I69" s="212" t="s">
        <v>497</v>
      </c>
      <c r="J69" s="213">
        <v>1.42963712E8</v>
      </c>
      <c r="K69" s="213">
        <v>8.35603195E8</v>
      </c>
      <c r="L69" s="220">
        <v>1.01948470526E11</v>
      </c>
      <c r="M69" s="77"/>
      <c r="N69" s="213">
        <v>9.9000121336E10</v>
      </c>
      <c r="O69" s="78" t="s">
        <v>116</v>
      </c>
      <c r="P69" s="211" t="s">
        <v>283</v>
      </c>
      <c r="Q69" s="214" t="s">
        <v>501</v>
      </c>
      <c r="R69" s="77" t="s">
        <v>498</v>
      </c>
      <c r="S69" s="77"/>
      <c r="T69" s="211" t="s">
        <v>6539</v>
      </c>
      <c r="U69" s="211" t="s">
        <v>6541</v>
      </c>
      <c r="V69" s="77"/>
      <c r="W69" s="77"/>
      <c r="X69" s="77"/>
      <c r="Y69" s="77"/>
      <c r="Z69" s="216">
        <v>3.504009E9</v>
      </c>
      <c r="AA69" s="77" t="s">
        <v>6540</v>
      </c>
      <c r="AB69" s="217">
        <v>2.16488606E8</v>
      </c>
      <c r="AC69" s="77" t="str">
        <f t="shared" si="2"/>
        <v>Витамины для женщин Qeep 60 капсул</v>
      </c>
      <c r="AD69" s="218">
        <v>11.0</v>
      </c>
      <c r="AE69" s="216">
        <v>4.0</v>
      </c>
      <c r="AF69" s="218">
        <v>11.0</v>
      </c>
      <c r="AG69" s="216">
        <v>4.0</v>
      </c>
      <c r="AH69" s="77"/>
      <c r="AI69" s="216">
        <v>0.062</v>
      </c>
      <c r="AJ69" s="77"/>
      <c r="AK69" s="77"/>
      <c r="AL69" s="77"/>
      <c r="AM69" s="77"/>
      <c r="AN69" s="77"/>
      <c r="AO69" s="77"/>
      <c r="AP69" s="77"/>
      <c r="AQ69" s="77"/>
      <c r="AR69" s="77"/>
      <c r="AS69" s="77"/>
      <c r="AT69" s="77"/>
      <c r="AU69" s="77"/>
      <c r="AV69" s="77"/>
      <c r="AW69" s="77"/>
      <c r="AX69" s="77"/>
      <c r="AY69" s="77"/>
      <c r="AZ69" s="77"/>
      <c r="BA69" s="77"/>
      <c r="BB69" s="77"/>
      <c r="BC69" s="77"/>
      <c r="BD69" s="77"/>
      <c r="BE69" s="77"/>
    </row>
    <row r="70">
      <c r="A70" s="77" t="s">
        <v>2205</v>
      </c>
      <c r="B70" s="77" t="s">
        <v>2205</v>
      </c>
      <c r="C70" s="77" t="s">
        <v>2207</v>
      </c>
      <c r="D70" s="211" t="s">
        <v>2205</v>
      </c>
      <c r="E70" s="212" t="s">
        <v>2205</v>
      </c>
      <c r="F70" s="212" t="s">
        <v>2205</v>
      </c>
      <c r="G70" s="188"/>
      <c r="H70" s="188"/>
      <c r="I70" s="188"/>
      <c r="J70" s="213">
        <v>9.0382271E7</v>
      </c>
      <c r="K70" s="213">
        <v>6.17417253E8</v>
      </c>
      <c r="L70" s="77"/>
      <c r="M70" s="77"/>
      <c r="N70" s="77"/>
      <c r="O70" s="78" t="s">
        <v>116</v>
      </c>
      <c r="P70" s="211" t="s">
        <v>283</v>
      </c>
      <c r="Q70" s="214" t="s">
        <v>2209</v>
      </c>
      <c r="R70" s="77" t="s">
        <v>2206</v>
      </c>
      <c r="S70" s="77"/>
      <c r="T70" s="211" t="s">
        <v>6539</v>
      </c>
      <c r="U70" s="211" t="s">
        <v>6541</v>
      </c>
      <c r="V70" s="77"/>
      <c r="W70" s="77"/>
      <c r="X70" s="77"/>
      <c r="Y70" s="77"/>
      <c r="Z70" s="216">
        <v>2.106909808E9</v>
      </c>
      <c r="AA70" s="77" t="s">
        <v>6540</v>
      </c>
      <c r="AB70" s="217">
        <v>3.02436449E8</v>
      </c>
      <c r="AC70" s="77" t="str">
        <f t="shared" si="2"/>
        <v>PQQ Q10 Витамины для сердца и сосудов qeep 30 капсул</v>
      </c>
      <c r="AD70" s="218">
        <v>10.0</v>
      </c>
      <c r="AE70" s="216">
        <v>5.0</v>
      </c>
      <c r="AF70" s="218">
        <v>10.0</v>
      </c>
      <c r="AG70" s="216">
        <v>6.0</v>
      </c>
      <c r="AH70" s="77"/>
      <c r="AI70" s="216">
        <v>0.1</v>
      </c>
      <c r="AJ70" s="77"/>
      <c r="AK70" s="77"/>
      <c r="AL70" s="77"/>
      <c r="AM70" s="77"/>
      <c r="AN70" s="77"/>
      <c r="AO70" s="77"/>
      <c r="AP70" s="77"/>
      <c r="AQ70" s="77"/>
      <c r="AR70" s="77"/>
      <c r="AS70" s="77"/>
      <c r="AT70" s="77"/>
      <c r="AU70" s="77"/>
      <c r="AV70" s="77"/>
      <c r="AW70" s="77"/>
      <c r="AX70" s="77"/>
      <c r="AY70" s="77"/>
      <c r="AZ70" s="77"/>
      <c r="BA70" s="77"/>
      <c r="BB70" s="77"/>
      <c r="BC70" s="77"/>
      <c r="BD70" s="77"/>
      <c r="BE70" s="77"/>
    </row>
    <row r="71">
      <c r="A71" s="77" t="s">
        <v>2230</v>
      </c>
      <c r="B71" s="77" t="s">
        <v>2230</v>
      </c>
      <c r="C71" s="77" t="s">
        <v>2232</v>
      </c>
      <c r="D71" s="211" t="s">
        <v>2230</v>
      </c>
      <c r="E71" s="212" t="s">
        <v>2230</v>
      </c>
      <c r="F71" s="212" t="s">
        <v>2230</v>
      </c>
      <c r="G71" s="188"/>
      <c r="H71" s="188"/>
      <c r="I71" s="188"/>
      <c r="J71" s="213">
        <v>1.48386453E8</v>
      </c>
      <c r="K71" s="213">
        <v>8.71809764E8</v>
      </c>
      <c r="L71" s="77"/>
      <c r="M71" s="77"/>
      <c r="N71" s="77"/>
      <c r="O71" s="78" t="s">
        <v>116</v>
      </c>
      <c r="P71" s="211" t="s">
        <v>283</v>
      </c>
      <c r="Q71" s="214" t="s">
        <v>823</v>
      </c>
      <c r="R71" s="77" t="s">
        <v>2231</v>
      </c>
      <c r="S71" s="77"/>
      <c r="T71" s="211" t="s">
        <v>6539</v>
      </c>
      <c r="U71" s="211" t="s">
        <v>6541</v>
      </c>
      <c r="V71" s="77"/>
      <c r="W71" s="77"/>
      <c r="X71" s="77"/>
      <c r="Y71" s="77"/>
      <c r="Z71" s="216">
        <v>2.106909808E9</v>
      </c>
      <c r="AA71" s="77" t="s">
        <v>6540</v>
      </c>
      <c r="AB71" s="217">
        <v>1.86780052E8</v>
      </c>
      <c r="AC71" s="77" t="str">
        <f t="shared" si="2"/>
        <v>Ресвератрол 100 мг Qeep 60 капсул</v>
      </c>
      <c r="AD71" s="218">
        <v>21.0</v>
      </c>
      <c r="AE71" s="216">
        <v>14.0</v>
      </c>
      <c r="AF71" s="218">
        <v>21.0</v>
      </c>
      <c r="AG71" s="216">
        <v>6.0</v>
      </c>
      <c r="AH71" s="77"/>
      <c r="AI71" s="216">
        <v>0.136</v>
      </c>
      <c r="AJ71" s="77"/>
      <c r="AK71" s="77"/>
      <c r="AL71" s="77"/>
      <c r="AM71" s="77"/>
      <c r="AN71" s="77"/>
      <c r="AO71" s="77"/>
      <c r="AP71" s="77"/>
      <c r="AQ71" s="77"/>
      <c r="AR71" s="77"/>
      <c r="AS71" s="77"/>
      <c r="AT71" s="77"/>
      <c r="AU71" s="77"/>
      <c r="AV71" s="77"/>
      <c r="AW71" s="77"/>
      <c r="AX71" s="77"/>
      <c r="AY71" s="77"/>
      <c r="AZ71" s="77"/>
      <c r="BA71" s="77"/>
      <c r="BB71" s="77"/>
      <c r="BC71" s="77"/>
      <c r="BD71" s="77"/>
      <c r="BE71" s="77"/>
    </row>
    <row r="72">
      <c r="A72" s="77" t="s">
        <v>2217</v>
      </c>
      <c r="B72" s="77" t="s">
        <v>2217</v>
      </c>
      <c r="C72" s="77" t="s">
        <v>2219</v>
      </c>
      <c r="D72" s="211" t="s">
        <v>2217</v>
      </c>
      <c r="E72" s="212" t="s">
        <v>2217</v>
      </c>
      <c r="F72" s="212" t="s">
        <v>2217</v>
      </c>
      <c r="G72" s="188"/>
      <c r="H72" s="188"/>
      <c r="I72" s="188"/>
      <c r="J72" s="213">
        <v>9.0471365E7</v>
      </c>
      <c r="K72" s="213">
        <v>6.18268309E8</v>
      </c>
      <c r="L72" s="77"/>
      <c r="M72" s="77"/>
      <c r="N72" s="77"/>
      <c r="O72" s="78" t="s">
        <v>116</v>
      </c>
      <c r="P72" s="211" t="s">
        <v>283</v>
      </c>
      <c r="Q72" s="214" t="s">
        <v>2221</v>
      </c>
      <c r="R72" s="77" t="s">
        <v>2218</v>
      </c>
      <c r="S72" s="77"/>
      <c r="T72" s="211" t="s">
        <v>6539</v>
      </c>
      <c r="U72" s="211" t="s">
        <v>6541</v>
      </c>
      <c r="V72" s="77"/>
      <c r="W72" s="77"/>
      <c r="X72" s="77"/>
      <c r="Y72" s="77"/>
      <c r="Z72" s="216">
        <v>2.106909808E9</v>
      </c>
      <c r="AA72" s="77" t="s">
        <v>6540</v>
      </c>
      <c r="AB72" s="217">
        <v>2.06027291E8</v>
      </c>
      <c r="AC72" s="77" t="str">
        <f t="shared" si="2"/>
        <v>Кремний 35 мг Qeep 90 капсул</v>
      </c>
      <c r="AD72" s="218">
        <v>5.0</v>
      </c>
      <c r="AE72" s="216">
        <v>9.0</v>
      </c>
      <c r="AF72" s="218">
        <v>5.0</v>
      </c>
      <c r="AG72" s="216">
        <v>5.0</v>
      </c>
      <c r="AH72" s="77"/>
      <c r="AI72" s="216">
        <v>0.129</v>
      </c>
      <c r="AJ72" s="77"/>
      <c r="AK72" s="77"/>
      <c r="AL72" s="77"/>
      <c r="AM72" s="77"/>
      <c r="AN72" s="77"/>
      <c r="AO72" s="77"/>
      <c r="AP72" s="77"/>
      <c r="AQ72" s="77"/>
      <c r="AR72" s="77"/>
      <c r="AS72" s="77"/>
      <c r="AT72" s="77"/>
      <c r="AU72" s="77"/>
      <c r="AV72" s="77"/>
      <c r="AW72" s="77"/>
      <c r="AX72" s="77"/>
      <c r="AY72" s="77"/>
      <c r="AZ72" s="77"/>
      <c r="BA72" s="77"/>
      <c r="BB72" s="77"/>
      <c r="BC72" s="77"/>
      <c r="BD72" s="77"/>
      <c r="BE72" s="77"/>
    </row>
    <row r="73">
      <c r="A73" s="77" t="s">
        <v>1063</v>
      </c>
      <c r="B73" s="77" t="s">
        <v>1063</v>
      </c>
      <c r="C73" s="77" t="s">
        <v>1066</v>
      </c>
      <c r="D73" s="211" t="s">
        <v>1063</v>
      </c>
      <c r="E73" s="212" t="s">
        <v>1063</v>
      </c>
      <c r="F73" s="212" t="s">
        <v>1063</v>
      </c>
      <c r="G73" s="212" t="s">
        <v>1063</v>
      </c>
      <c r="H73" s="188"/>
      <c r="I73" s="188"/>
      <c r="J73" s="213">
        <v>2.28331343E8</v>
      </c>
      <c r="K73" s="213">
        <v>1.566735886E9</v>
      </c>
      <c r="L73" s="220">
        <v>1.03398260192E11</v>
      </c>
      <c r="M73" s="77"/>
      <c r="N73" s="77"/>
      <c r="O73" s="78" t="s">
        <v>116</v>
      </c>
      <c r="P73" s="211" t="s">
        <v>283</v>
      </c>
      <c r="Q73" s="214" t="s">
        <v>1068</v>
      </c>
      <c r="R73" s="77" t="s">
        <v>1065</v>
      </c>
      <c r="S73" s="77"/>
      <c r="T73" s="211" t="s">
        <v>6539</v>
      </c>
      <c r="U73" s="214" t="s">
        <v>1027</v>
      </c>
      <c r="V73" s="77"/>
      <c r="W73" s="77"/>
      <c r="X73" s="77"/>
      <c r="Y73" s="77"/>
      <c r="Z73" s="216">
        <v>2.106909808E9</v>
      </c>
      <c r="AA73" s="77" t="s">
        <v>6540</v>
      </c>
      <c r="AB73" s="217">
        <v>1.76110909E8</v>
      </c>
      <c r="AC73" s="77" t="str">
        <f t="shared" si="2"/>
        <v>Витамин С 500 мг Qeep 90 капсул</v>
      </c>
      <c r="AD73" s="218">
        <v>11.0</v>
      </c>
      <c r="AE73" s="216">
        <v>6.0</v>
      </c>
      <c r="AF73" s="218">
        <v>11.0</v>
      </c>
      <c r="AG73" s="216">
        <v>6.0</v>
      </c>
      <c r="AH73" s="77"/>
      <c r="AI73" s="216">
        <v>0.149</v>
      </c>
      <c r="AJ73" s="77"/>
      <c r="AK73" s="77"/>
      <c r="AL73" s="77"/>
      <c r="AM73" s="77"/>
      <c r="AN73" s="77"/>
      <c r="AO73" s="77"/>
      <c r="AP73" s="77"/>
      <c r="AQ73" s="77"/>
      <c r="AR73" s="77"/>
      <c r="AS73" s="77"/>
      <c r="AT73" s="77"/>
      <c r="AU73" s="77"/>
      <c r="AV73" s="77"/>
      <c r="AW73" s="77"/>
      <c r="AX73" s="77"/>
      <c r="AY73" s="77"/>
      <c r="AZ73" s="77"/>
      <c r="BA73" s="77"/>
      <c r="BB73" s="77"/>
      <c r="BC73" s="77"/>
      <c r="BD73" s="77"/>
      <c r="BE73" s="77"/>
    </row>
    <row r="74">
      <c r="A74" s="77" t="s">
        <v>2512</v>
      </c>
      <c r="B74" s="77" t="s">
        <v>2512</v>
      </c>
      <c r="C74" s="77" t="s">
        <v>2514</v>
      </c>
      <c r="D74" s="211" t="s">
        <v>2512</v>
      </c>
      <c r="E74" s="212" t="s">
        <v>2512</v>
      </c>
      <c r="F74" s="212" t="s">
        <v>2512</v>
      </c>
      <c r="G74" s="188"/>
      <c r="H74" s="188"/>
      <c r="I74" s="188"/>
      <c r="J74" s="213">
        <v>9.1969281E7</v>
      </c>
      <c r="K74" s="213">
        <v>6.5063206E8</v>
      </c>
      <c r="L74" s="77"/>
      <c r="M74" s="77"/>
      <c r="N74" s="77"/>
      <c r="O74" s="78" t="s">
        <v>116</v>
      </c>
      <c r="P74" s="211" t="s">
        <v>283</v>
      </c>
      <c r="Q74" s="214" t="s">
        <v>2515</v>
      </c>
      <c r="R74" s="77" t="s">
        <v>2513</v>
      </c>
      <c r="S74" s="77"/>
      <c r="T74" s="211" t="s">
        <v>6539</v>
      </c>
      <c r="U74" s="215" t="s">
        <v>1027</v>
      </c>
      <c r="V74" s="77"/>
      <c r="W74" s="77"/>
      <c r="X74" s="77"/>
      <c r="Y74" s="77"/>
      <c r="Z74" s="216">
        <v>2.106909808E9</v>
      </c>
      <c r="AA74" s="77" t="s">
        <v>6540</v>
      </c>
      <c r="AB74" s="217">
        <v>3.02419362E8</v>
      </c>
      <c r="AC74" s="77" t="str">
        <f t="shared" si="2"/>
        <v>Гель для душа парфюмированный Tobacco Cherry qeep 450 мл</v>
      </c>
      <c r="AD74" s="218">
        <v>10.0</v>
      </c>
      <c r="AE74" s="216">
        <v>5.0</v>
      </c>
      <c r="AF74" s="218">
        <v>10.0</v>
      </c>
      <c r="AG74" s="216">
        <v>5.0</v>
      </c>
      <c r="AH74" s="77"/>
      <c r="AI74" s="216">
        <v>0.072</v>
      </c>
      <c r="AJ74" s="77"/>
      <c r="AK74" s="77"/>
      <c r="AL74" s="77"/>
      <c r="AM74" s="77"/>
      <c r="AN74" s="77"/>
      <c r="AO74" s="77"/>
      <c r="AP74" s="77"/>
      <c r="AQ74" s="77"/>
      <c r="AR74" s="77"/>
      <c r="AS74" s="77"/>
      <c r="AT74" s="77"/>
      <c r="AU74" s="77"/>
      <c r="AV74" s="77"/>
      <c r="AW74" s="77"/>
      <c r="AX74" s="77"/>
      <c r="AY74" s="77"/>
      <c r="AZ74" s="77"/>
      <c r="BA74" s="77"/>
      <c r="BB74" s="77"/>
      <c r="BC74" s="77"/>
      <c r="BD74" s="77"/>
      <c r="BE74" s="77"/>
    </row>
    <row r="75">
      <c r="A75" s="77" t="s">
        <v>2519</v>
      </c>
      <c r="B75" s="77" t="s">
        <v>2519</v>
      </c>
      <c r="C75" s="77" t="s">
        <v>2521</v>
      </c>
      <c r="D75" s="211" t="s">
        <v>2519</v>
      </c>
      <c r="E75" s="212" t="s">
        <v>2519</v>
      </c>
      <c r="F75" s="212" t="s">
        <v>2519</v>
      </c>
      <c r="G75" s="188"/>
      <c r="H75" s="188"/>
      <c r="I75" s="188"/>
      <c r="J75" s="213">
        <v>1.45755982E8</v>
      </c>
      <c r="K75" s="213">
        <v>8.71788218E8</v>
      </c>
      <c r="L75" s="77"/>
      <c r="M75" s="77"/>
      <c r="N75" s="77"/>
      <c r="O75" s="78" t="s">
        <v>116</v>
      </c>
      <c r="P75" s="211" t="s">
        <v>283</v>
      </c>
      <c r="Q75" s="214" t="s">
        <v>2523</v>
      </c>
      <c r="R75" s="77" t="s">
        <v>2520</v>
      </c>
      <c r="S75" s="77"/>
      <c r="T75" s="211" t="s">
        <v>6539</v>
      </c>
      <c r="U75" s="215" t="s">
        <v>1027</v>
      </c>
      <c r="V75" s="77"/>
      <c r="W75" s="77"/>
      <c r="X75" s="77"/>
      <c r="Y75" s="77"/>
      <c r="Z75" s="216">
        <v>2.106909808E9</v>
      </c>
      <c r="AA75" s="77" t="s">
        <v>6540</v>
      </c>
      <c r="AB75" s="217">
        <v>4.1873348E8</v>
      </c>
      <c r="AC75" s="77" t="str">
        <f t="shared" si="2"/>
        <v>Тоник для лица от прыщей и черных точек очищающий, qeep 200 мл</v>
      </c>
      <c r="AD75" s="218">
        <v>14.0</v>
      </c>
      <c r="AE75" s="216">
        <v>6.0</v>
      </c>
      <c r="AF75" s="218">
        <v>14.0</v>
      </c>
      <c r="AG75" s="216">
        <v>21.0</v>
      </c>
      <c r="AH75" s="77"/>
      <c r="AI75" s="216">
        <v>0.1</v>
      </c>
      <c r="AJ75" s="77"/>
      <c r="AK75" s="77"/>
      <c r="AL75" s="77"/>
      <c r="AM75" s="77"/>
      <c r="AN75" s="77"/>
      <c r="AO75" s="77"/>
      <c r="AP75" s="77"/>
      <c r="AQ75" s="77"/>
      <c r="AR75" s="77"/>
      <c r="AS75" s="77"/>
      <c r="AT75" s="77"/>
      <c r="AU75" s="77"/>
      <c r="AV75" s="77"/>
      <c r="AW75" s="77"/>
      <c r="AX75" s="77"/>
      <c r="AY75" s="77"/>
      <c r="AZ75" s="77"/>
      <c r="BA75" s="77"/>
      <c r="BB75" s="77"/>
      <c r="BC75" s="77"/>
      <c r="BD75" s="77"/>
      <c r="BE75" s="77"/>
    </row>
    <row r="76">
      <c r="A76" s="77" t="s">
        <v>1025</v>
      </c>
      <c r="B76" s="77" t="s">
        <v>1025</v>
      </c>
      <c r="C76" s="77" t="s">
        <v>1028</v>
      </c>
      <c r="D76" s="211" t="s">
        <v>1025</v>
      </c>
      <c r="E76" s="212" t="s">
        <v>1025</v>
      </c>
      <c r="F76" s="212" t="s">
        <v>1025</v>
      </c>
      <c r="G76" s="212" t="s">
        <v>1025</v>
      </c>
      <c r="H76" s="188"/>
      <c r="I76" s="212" t="s">
        <v>1025</v>
      </c>
      <c r="J76" s="213">
        <v>1.61948275E8</v>
      </c>
      <c r="K76" s="213">
        <v>9.89542196E8</v>
      </c>
      <c r="L76" s="220">
        <v>1.03262837664E11</v>
      </c>
      <c r="M76" s="77"/>
      <c r="N76" s="213">
        <v>9.9000118638E10</v>
      </c>
      <c r="O76" s="78" t="s">
        <v>116</v>
      </c>
      <c r="P76" s="211" t="s">
        <v>283</v>
      </c>
      <c r="Q76" s="214" t="s">
        <v>1030</v>
      </c>
      <c r="R76" s="77" t="s">
        <v>1026</v>
      </c>
      <c r="S76" s="77"/>
      <c r="T76" s="211" t="s">
        <v>6539</v>
      </c>
      <c r="U76" s="214" t="s">
        <v>1027</v>
      </c>
      <c r="V76" s="77"/>
      <c r="W76" s="77"/>
      <c r="X76" s="77"/>
      <c r="Y76" s="77"/>
      <c r="Z76" s="216">
        <v>2.106909808E9</v>
      </c>
      <c r="AA76" s="77" t="s">
        <v>6540</v>
      </c>
      <c r="AB76" s="217">
        <v>1.88611559E8</v>
      </c>
      <c r="AC76" s="77" t="str">
        <f t="shared" si="2"/>
        <v>Пробиотики + Железо 8 мг + витамин Е 5,3 мг + витамин B9 0,2 мг Qeep 60 капсул</v>
      </c>
      <c r="AD76" s="218">
        <v>6.0</v>
      </c>
      <c r="AE76" s="216">
        <v>11.0</v>
      </c>
      <c r="AF76" s="218">
        <v>6.0</v>
      </c>
      <c r="AG76" s="216">
        <v>6.0</v>
      </c>
      <c r="AH76" s="77"/>
      <c r="AI76" s="216">
        <v>0.176</v>
      </c>
      <c r="AJ76" s="77"/>
      <c r="AK76" s="77"/>
      <c r="AL76" s="77"/>
      <c r="AM76" s="77"/>
      <c r="AN76" s="77"/>
      <c r="AO76" s="77"/>
      <c r="AP76" s="77"/>
      <c r="AQ76" s="77"/>
      <c r="AR76" s="77"/>
      <c r="AS76" s="77"/>
      <c r="AT76" s="77"/>
      <c r="AU76" s="77"/>
      <c r="AV76" s="77"/>
      <c r="AW76" s="77"/>
      <c r="AX76" s="77"/>
      <c r="AY76" s="77"/>
      <c r="AZ76" s="77"/>
      <c r="BA76" s="77"/>
      <c r="BB76" s="77"/>
      <c r="BC76" s="77"/>
      <c r="BD76" s="77"/>
      <c r="BE76" s="77"/>
    </row>
    <row r="77">
      <c r="A77" s="77" t="s">
        <v>1155</v>
      </c>
      <c r="B77" s="77" t="s">
        <v>1155</v>
      </c>
      <c r="C77" s="77" t="s">
        <v>1157</v>
      </c>
      <c r="D77" s="211" t="s">
        <v>1155</v>
      </c>
      <c r="E77" s="212" t="s">
        <v>1155</v>
      </c>
      <c r="F77" s="212" t="s">
        <v>1155</v>
      </c>
      <c r="G77" s="212" t="s">
        <v>1155</v>
      </c>
      <c r="H77" s="188"/>
      <c r="I77" s="188"/>
      <c r="J77" s="213">
        <v>1.6525279E8</v>
      </c>
      <c r="K77" s="213">
        <v>1.0326954E9</v>
      </c>
      <c r="L77" s="220">
        <v>1.02180885729E11</v>
      </c>
      <c r="M77" s="77"/>
      <c r="N77" s="77"/>
      <c r="O77" s="78" t="s">
        <v>116</v>
      </c>
      <c r="P77" s="211" t="s">
        <v>283</v>
      </c>
      <c r="Q77" s="214" t="s">
        <v>1159</v>
      </c>
      <c r="R77" s="77" t="s">
        <v>1156</v>
      </c>
      <c r="S77" s="77"/>
      <c r="T77" s="211" t="s">
        <v>6539</v>
      </c>
      <c r="U77" s="214" t="s">
        <v>1027</v>
      </c>
      <c r="V77" s="77"/>
      <c r="W77" s="77"/>
      <c r="X77" s="77"/>
      <c r="Y77" s="77"/>
      <c r="Z77" s="216">
        <v>2.106909808E9</v>
      </c>
      <c r="AA77" s="77" t="s">
        <v>6540</v>
      </c>
      <c r="AB77" s="217">
        <v>1.23030751E8</v>
      </c>
      <c r="AC77" s="77" t="str">
        <f t="shared" si="2"/>
        <v>Пиколинат хрома 280 мг Qeep 60 капсул</v>
      </c>
      <c r="AD77" s="218">
        <v>6.0</v>
      </c>
      <c r="AE77" s="216">
        <v>11.0</v>
      </c>
      <c r="AF77" s="218">
        <v>6.0</v>
      </c>
      <c r="AG77" s="216">
        <v>6.0</v>
      </c>
      <c r="AH77" s="77"/>
      <c r="AI77" s="216">
        <v>0.2</v>
      </c>
      <c r="AJ77" s="77"/>
      <c r="AK77" s="77"/>
      <c r="AL77" s="77"/>
      <c r="AM77" s="77"/>
      <c r="AN77" s="77"/>
      <c r="AO77" s="77"/>
      <c r="AP77" s="77"/>
      <c r="AQ77" s="77"/>
      <c r="AR77" s="77"/>
      <c r="AS77" s="77"/>
      <c r="AT77" s="77"/>
      <c r="AU77" s="77"/>
      <c r="AV77" s="77"/>
      <c r="AW77" s="77"/>
      <c r="AX77" s="77"/>
      <c r="AY77" s="77"/>
      <c r="AZ77" s="77"/>
      <c r="BA77" s="77"/>
      <c r="BB77" s="77"/>
      <c r="BC77" s="77"/>
      <c r="BD77" s="77"/>
      <c r="BE77" s="77"/>
    </row>
    <row r="78">
      <c r="A78" s="77" t="s">
        <v>385</v>
      </c>
      <c r="B78" s="77" t="s">
        <v>385</v>
      </c>
      <c r="C78" s="77" t="s">
        <v>387</v>
      </c>
      <c r="D78" s="211" t="s">
        <v>385</v>
      </c>
      <c r="E78" s="212" t="s">
        <v>385</v>
      </c>
      <c r="F78" s="212" t="s">
        <v>385</v>
      </c>
      <c r="G78" s="188"/>
      <c r="H78" s="188"/>
      <c r="I78" s="188"/>
      <c r="J78" s="213">
        <v>1.38757897E8</v>
      </c>
      <c r="K78" s="213">
        <v>8.09466646E8</v>
      </c>
      <c r="L78" s="220">
        <v>1.022071921E11</v>
      </c>
      <c r="M78" s="77"/>
      <c r="N78" s="77"/>
      <c r="O78" s="78" t="s">
        <v>116</v>
      </c>
      <c r="P78" s="211" t="s">
        <v>283</v>
      </c>
      <c r="Q78" s="214" t="s">
        <v>389</v>
      </c>
      <c r="R78" s="77" t="s">
        <v>386</v>
      </c>
      <c r="S78" s="77"/>
      <c r="T78" s="211" t="s">
        <v>6539</v>
      </c>
      <c r="U78" s="211" t="s">
        <v>362</v>
      </c>
      <c r="V78" s="77"/>
      <c r="W78" s="77"/>
      <c r="X78" s="77"/>
      <c r="Y78" s="77"/>
      <c r="Z78" s="216">
        <v>3.504009E9</v>
      </c>
      <c r="AA78" s="77" t="s">
        <v>6540</v>
      </c>
      <c r="AB78" s="217">
        <v>9.1969213E7</v>
      </c>
      <c r="AC78" s="77" t="str">
        <f t="shared" si="2"/>
        <v>Куркумин 130 мг Qeep 60 капсул</v>
      </c>
      <c r="AD78" s="218">
        <v>10.0</v>
      </c>
      <c r="AE78" s="216">
        <v>6.0</v>
      </c>
      <c r="AF78" s="218">
        <v>10.0</v>
      </c>
      <c r="AG78" s="216">
        <v>6.0</v>
      </c>
      <c r="AH78" s="77"/>
      <c r="AI78" s="216">
        <v>0.09</v>
      </c>
      <c r="AJ78" s="77"/>
      <c r="AK78" s="77"/>
      <c r="AL78" s="77"/>
      <c r="AM78" s="77"/>
      <c r="AN78" s="77"/>
      <c r="AO78" s="77"/>
      <c r="AP78" s="77"/>
      <c r="AQ78" s="77"/>
      <c r="AR78" s="77"/>
      <c r="AS78" s="77"/>
      <c r="AT78" s="77"/>
      <c r="AU78" s="77"/>
      <c r="AV78" s="77"/>
      <c r="AW78" s="77"/>
      <c r="AX78" s="77"/>
      <c r="AY78" s="77"/>
      <c r="AZ78" s="77"/>
      <c r="BA78" s="77"/>
      <c r="BB78" s="77"/>
      <c r="BC78" s="77"/>
      <c r="BD78" s="77"/>
      <c r="BE78" s="77"/>
    </row>
    <row r="79">
      <c r="A79" s="77" t="s">
        <v>884</v>
      </c>
      <c r="B79" s="77" t="s">
        <v>884</v>
      </c>
      <c r="C79" s="77" t="s">
        <v>886</v>
      </c>
      <c r="D79" s="211" t="s">
        <v>884</v>
      </c>
      <c r="E79" s="212" t="s">
        <v>884</v>
      </c>
      <c r="F79" s="212" t="s">
        <v>884</v>
      </c>
      <c r="G79" s="212" t="s">
        <v>884</v>
      </c>
      <c r="H79" s="188"/>
      <c r="I79" s="212" t="s">
        <v>884</v>
      </c>
      <c r="J79" s="213">
        <v>4.17262785E8</v>
      </c>
      <c r="K79" s="213">
        <v>2.168454928E9</v>
      </c>
      <c r="L79" s="220">
        <v>4.476682176E9</v>
      </c>
      <c r="M79" s="77"/>
      <c r="N79" s="213">
        <v>9.9000117796E10</v>
      </c>
      <c r="O79" s="78" t="s">
        <v>116</v>
      </c>
      <c r="P79" s="211" t="s">
        <v>283</v>
      </c>
      <c r="Q79" s="214" t="s">
        <v>887</v>
      </c>
      <c r="R79" s="77" t="s">
        <v>885</v>
      </c>
      <c r="S79" s="77"/>
      <c r="T79" s="211" t="s">
        <v>6539</v>
      </c>
      <c r="U79" s="211" t="s">
        <v>6541</v>
      </c>
      <c r="V79" s="77"/>
      <c r="W79" s="77"/>
      <c r="X79" s="77"/>
      <c r="Y79" s="77"/>
      <c r="Z79" s="216">
        <v>2.106909808E9</v>
      </c>
      <c r="AA79" s="77" t="s">
        <v>6540</v>
      </c>
      <c r="AB79" s="217">
        <v>1.48382531E8</v>
      </c>
      <c r="AC79" s="77" t="str">
        <f t="shared" si="2"/>
        <v>Куркумин 500 мг Qeep 60 капсул</v>
      </c>
      <c r="AD79" s="218">
        <v>6.0</v>
      </c>
      <c r="AE79" s="216">
        <v>10.0</v>
      </c>
      <c r="AF79" s="218">
        <v>6.0</v>
      </c>
      <c r="AG79" s="216">
        <v>6.0</v>
      </c>
      <c r="AH79" s="77"/>
      <c r="AI79" s="216">
        <v>0.035</v>
      </c>
      <c r="AJ79" s="77"/>
      <c r="AK79" s="77"/>
      <c r="AL79" s="77"/>
      <c r="AM79" s="77"/>
      <c r="AN79" s="77"/>
      <c r="AO79" s="77"/>
      <c r="AP79" s="77"/>
      <c r="AQ79" s="77"/>
      <c r="AR79" s="77"/>
      <c r="AS79" s="77"/>
      <c r="AT79" s="77"/>
      <c r="AU79" s="77"/>
      <c r="AV79" s="77"/>
      <c r="AW79" s="77"/>
      <c r="AX79" s="77"/>
      <c r="AY79" s="77"/>
      <c r="AZ79" s="77"/>
      <c r="BA79" s="77"/>
      <c r="BB79" s="77"/>
      <c r="BC79" s="77"/>
      <c r="BD79" s="77"/>
      <c r="BE79" s="77"/>
    </row>
    <row r="80">
      <c r="A80" s="77" t="s">
        <v>2281</v>
      </c>
      <c r="B80" s="77" t="s">
        <v>2281</v>
      </c>
      <c r="C80" s="77" t="s">
        <v>2282</v>
      </c>
      <c r="D80" s="211" t="s">
        <v>2281</v>
      </c>
      <c r="E80" s="212" t="s">
        <v>2281</v>
      </c>
      <c r="F80" s="212" t="s">
        <v>2281</v>
      </c>
      <c r="G80" s="188"/>
      <c r="H80" s="188"/>
      <c r="I80" s="188"/>
      <c r="J80" s="213">
        <v>1.23030751E8</v>
      </c>
      <c r="K80" s="213">
        <v>7.51282312E8</v>
      </c>
      <c r="L80" s="220">
        <v>1.01833879675E11</v>
      </c>
      <c r="M80" s="77"/>
      <c r="N80" s="77"/>
      <c r="O80" s="78" t="s">
        <v>116</v>
      </c>
      <c r="P80" s="211" t="s">
        <v>283</v>
      </c>
      <c r="Q80" s="214" t="s">
        <v>2283</v>
      </c>
      <c r="R80" s="77" t="s">
        <v>885</v>
      </c>
      <c r="S80" s="77"/>
      <c r="T80" s="211" t="s">
        <v>6539</v>
      </c>
      <c r="U80" s="215" t="s">
        <v>1027</v>
      </c>
      <c r="V80" s="77"/>
      <c r="W80" s="77"/>
      <c r="X80" s="77"/>
      <c r="Y80" s="77"/>
      <c r="Z80" s="216">
        <v>2.106909808E9</v>
      </c>
      <c r="AA80" s="77" t="s">
        <v>6540</v>
      </c>
      <c r="AB80" s="217">
        <v>1.42963712E8</v>
      </c>
      <c r="AC80" s="77" t="str">
        <f t="shared" si="2"/>
        <v>Мио Инозитол 820 мг Qeep 60 капсул</v>
      </c>
      <c r="AD80" s="218">
        <v>10.0</v>
      </c>
      <c r="AE80" s="216">
        <v>4.0</v>
      </c>
      <c r="AF80" s="218">
        <v>10.0</v>
      </c>
      <c r="AG80" s="216">
        <v>4.0</v>
      </c>
      <c r="AH80" s="77"/>
      <c r="AI80" s="216">
        <v>0.045</v>
      </c>
      <c r="AJ80" s="77"/>
      <c r="AK80" s="77"/>
      <c r="AL80" s="77"/>
      <c r="AM80" s="77"/>
      <c r="AN80" s="77"/>
      <c r="AO80" s="77"/>
      <c r="AP80" s="77"/>
      <c r="AQ80" s="77"/>
      <c r="AR80" s="77"/>
      <c r="AS80" s="77"/>
      <c r="AT80" s="77"/>
      <c r="AU80" s="77"/>
      <c r="AV80" s="77"/>
      <c r="AW80" s="77"/>
      <c r="AX80" s="77"/>
      <c r="AY80" s="77"/>
      <c r="AZ80" s="77"/>
      <c r="BA80" s="77"/>
      <c r="BB80" s="77"/>
      <c r="BC80" s="77"/>
      <c r="BD80" s="77"/>
      <c r="BE80" s="77"/>
    </row>
    <row r="81">
      <c r="A81" s="77" t="s">
        <v>2135</v>
      </c>
      <c r="B81" s="77" t="s">
        <v>2135</v>
      </c>
      <c r="C81" s="77" t="s">
        <v>2137</v>
      </c>
      <c r="D81" s="211" t="s">
        <v>2135</v>
      </c>
      <c r="E81" s="212" t="s">
        <v>2135</v>
      </c>
      <c r="F81" s="212" t="s">
        <v>2135</v>
      </c>
      <c r="G81" s="188"/>
      <c r="H81" s="188"/>
      <c r="I81" s="188"/>
      <c r="J81" s="213">
        <v>1.61355809E8</v>
      </c>
      <c r="K81" s="213">
        <v>9.83821094E8</v>
      </c>
      <c r="L81" s="77"/>
      <c r="M81" s="77"/>
      <c r="N81" s="77"/>
      <c r="O81" s="78" t="s">
        <v>116</v>
      </c>
      <c r="P81" s="211" t="s">
        <v>283</v>
      </c>
      <c r="Q81" s="214" t="s">
        <v>2138</v>
      </c>
      <c r="R81" s="77" t="s">
        <v>2136</v>
      </c>
      <c r="S81" s="77"/>
      <c r="T81" s="211" t="s">
        <v>6539</v>
      </c>
      <c r="U81" s="215" t="s">
        <v>1027</v>
      </c>
      <c r="V81" s="77"/>
      <c r="W81" s="77"/>
      <c r="X81" s="77"/>
      <c r="Y81" s="77"/>
      <c r="Z81" s="216">
        <v>2.106909808E9</v>
      </c>
      <c r="AA81" s="77" t="s">
        <v>6540</v>
      </c>
      <c r="AB81" s="217">
        <v>4.49423638E8</v>
      </c>
      <c r="AC81" s="77" t="str">
        <f t="shared" si="2"/>
        <v>Спрей для волос, для роста и от выпадения волос qeep 100 мл</v>
      </c>
      <c r="AD81" s="218">
        <v>10.0</v>
      </c>
      <c r="AE81" s="216">
        <v>4.0</v>
      </c>
      <c r="AF81" s="218">
        <v>10.0</v>
      </c>
      <c r="AG81" s="216">
        <v>4.0</v>
      </c>
      <c r="AH81" s="77"/>
      <c r="AI81" s="216">
        <v>0.084</v>
      </c>
      <c r="AJ81" s="77"/>
      <c r="AK81" s="77"/>
      <c r="AL81" s="77"/>
      <c r="AM81" s="77"/>
      <c r="AN81" s="77"/>
      <c r="AO81" s="77"/>
      <c r="AP81" s="77"/>
      <c r="AQ81" s="77"/>
      <c r="AR81" s="77"/>
      <c r="AS81" s="77"/>
      <c r="AT81" s="77"/>
      <c r="AU81" s="77"/>
      <c r="AV81" s="77"/>
      <c r="AW81" s="77"/>
      <c r="AX81" s="77"/>
      <c r="AY81" s="77"/>
      <c r="AZ81" s="77"/>
      <c r="BA81" s="77"/>
      <c r="BB81" s="77"/>
      <c r="BC81" s="77"/>
      <c r="BD81" s="77"/>
      <c r="BE81" s="77"/>
    </row>
    <row r="82">
      <c r="A82" s="77" t="s">
        <v>922</v>
      </c>
      <c r="B82" s="77" t="s">
        <v>922</v>
      </c>
      <c r="C82" s="77" t="s">
        <v>925</v>
      </c>
      <c r="D82" s="211" t="s">
        <v>922</v>
      </c>
      <c r="E82" s="212" t="s">
        <v>922</v>
      </c>
      <c r="F82" s="212" t="s">
        <v>922</v>
      </c>
      <c r="G82" s="212" t="s">
        <v>922</v>
      </c>
      <c r="H82" s="188"/>
      <c r="I82" s="188"/>
      <c r="J82" s="213">
        <v>2.71680783E8</v>
      </c>
      <c r="K82" s="213">
        <v>1.738941767E9</v>
      </c>
      <c r="L82" s="220">
        <v>1.0358926176E11</v>
      </c>
      <c r="M82" s="77"/>
      <c r="N82" s="77"/>
      <c r="O82" s="78" t="s">
        <v>116</v>
      </c>
      <c r="P82" s="211" t="s">
        <v>283</v>
      </c>
      <c r="Q82" s="214" t="s">
        <v>927</v>
      </c>
      <c r="R82" s="77" t="s">
        <v>924</v>
      </c>
      <c r="S82" s="77"/>
      <c r="T82" s="211" t="s">
        <v>6539</v>
      </c>
      <c r="U82" s="211" t="s">
        <v>6541</v>
      </c>
      <c r="V82" s="77"/>
      <c r="W82" s="77"/>
      <c r="X82" s="77"/>
      <c r="Y82" s="77"/>
      <c r="Z82" s="216">
        <v>2.106909808E9</v>
      </c>
      <c r="AA82" s="77" t="s">
        <v>6540</v>
      </c>
      <c r="AB82" s="217">
        <v>4.94708852E8</v>
      </c>
      <c r="AC82" s="77" t="str">
        <f t="shared" si="2"/>
        <v>Зубная паста для собак и кошек</v>
      </c>
      <c r="AD82" s="218">
        <v>4.0</v>
      </c>
      <c r="AE82" s="216">
        <v>8.0</v>
      </c>
      <c r="AF82" s="218">
        <v>4.0</v>
      </c>
      <c r="AG82" s="216">
        <v>4.0</v>
      </c>
      <c r="AH82" s="77"/>
      <c r="AI82" s="216">
        <v>0.045</v>
      </c>
      <c r="AJ82" s="77"/>
      <c r="AK82" s="77"/>
      <c r="AL82" s="77"/>
      <c r="AM82" s="77"/>
      <c r="AN82" s="77"/>
      <c r="AO82" s="77"/>
      <c r="AP82" s="77"/>
      <c r="AQ82" s="77"/>
      <c r="AR82" s="77"/>
      <c r="AS82" s="77"/>
      <c r="AT82" s="77"/>
      <c r="AU82" s="77"/>
      <c r="AV82" s="77"/>
      <c r="AW82" s="77"/>
      <c r="AX82" s="77"/>
      <c r="AY82" s="77"/>
      <c r="AZ82" s="77"/>
      <c r="BA82" s="77"/>
      <c r="BB82" s="77"/>
      <c r="BC82" s="77"/>
      <c r="BD82" s="77"/>
      <c r="BE82" s="77"/>
    </row>
    <row r="83">
      <c r="A83" s="77" t="s">
        <v>2315</v>
      </c>
      <c r="B83" s="77" t="s">
        <v>2315</v>
      </c>
      <c r="C83" s="77" t="s">
        <v>2317</v>
      </c>
      <c r="D83" s="211" t="s">
        <v>2315</v>
      </c>
      <c r="E83" s="212" t="s">
        <v>2315</v>
      </c>
      <c r="F83" s="212" t="s">
        <v>2315</v>
      </c>
      <c r="G83" s="188"/>
      <c r="H83" s="188"/>
      <c r="I83" s="188"/>
      <c r="J83" s="213">
        <v>1.48334501E8</v>
      </c>
      <c r="K83" s="213">
        <v>8.81228424E8</v>
      </c>
      <c r="L83" s="77"/>
      <c r="M83" s="77"/>
      <c r="N83" s="77"/>
      <c r="O83" s="78" t="s">
        <v>116</v>
      </c>
      <c r="P83" s="211" t="s">
        <v>283</v>
      </c>
      <c r="Q83" s="214" t="s">
        <v>2319</v>
      </c>
      <c r="R83" s="77" t="s">
        <v>2316</v>
      </c>
      <c r="S83" s="77"/>
      <c r="T83" s="211" t="s">
        <v>6539</v>
      </c>
      <c r="U83" s="211" t="s">
        <v>641</v>
      </c>
      <c r="V83" s="77"/>
      <c r="W83" s="77"/>
      <c r="X83" s="77"/>
      <c r="Y83" s="77"/>
      <c r="Z83" s="216">
        <v>2.106909808E9</v>
      </c>
      <c r="AA83" s="77" t="s">
        <v>6540</v>
      </c>
      <c r="AB83" s="217">
        <v>6.92599189E8</v>
      </c>
      <c r="AC83" s="77" t="str">
        <f t="shared" si="2"/>
        <v>#N/A</v>
      </c>
      <c r="AD83" s="218">
        <v>14.0</v>
      </c>
      <c r="AE83" s="216">
        <v>21.0</v>
      </c>
      <c r="AF83" s="218">
        <v>14.0</v>
      </c>
      <c r="AG83" s="216">
        <v>7.0</v>
      </c>
      <c r="AH83" s="77"/>
      <c r="AI83" s="216">
        <v>0.092</v>
      </c>
      <c r="AJ83" s="77"/>
      <c r="AK83" s="77"/>
      <c r="AL83" s="77"/>
      <c r="AM83" s="77"/>
      <c r="AN83" s="77"/>
      <c r="AO83" s="77"/>
      <c r="AP83" s="77"/>
      <c r="AQ83" s="77"/>
      <c r="AR83" s="77"/>
      <c r="AS83" s="77"/>
      <c r="AT83" s="77"/>
      <c r="AU83" s="77"/>
      <c r="AV83" s="77"/>
      <c r="AW83" s="77"/>
      <c r="AX83" s="77"/>
      <c r="AY83" s="77"/>
      <c r="AZ83" s="77"/>
      <c r="BA83" s="77"/>
      <c r="BB83" s="77"/>
      <c r="BC83" s="77"/>
      <c r="BD83" s="77"/>
      <c r="BE83" s="77"/>
    </row>
    <row r="84">
      <c r="A84" s="77" t="s">
        <v>2327</v>
      </c>
      <c r="B84" s="77" t="s">
        <v>2327</v>
      </c>
      <c r="C84" s="77" t="s">
        <v>2329</v>
      </c>
      <c r="D84" s="211" t="s">
        <v>2327</v>
      </c>
      <c r="E84" s="212" t="s">
        <v>2327</v>
      </c>
      <c r="F84" s="212" t="s">
        <v>2327</v>
      </c>
      <c r="G84" s="188"/>
      <c r="H84" s="188"/>
      <c r="I84" s="188"/>
      <c r="J84" s="213">
        <v>1.48312764E8</v>
      </c>
      <c r="K84" s="213">
        <v>8.8122843E8</v>
      </c>
      <c r="L84" s="77"/>
      <c r="M84" s="77"/>
      <c r="N84" s="77"/>
      <c r="O84" s="78" t="s">
        <v>116</v>
      </c>
      <c r="P84" s="211" t="s">
        <v>283</v>
      </c>
      <c r="Q84" s="214" t="s">
        <v>2330</v>
      </c>
      <c r="R84" s="77" t="s">
        <v>2328</v>
      </c>
      <c r="S84" s="77"/>
      <c r="T84" s="211" t="s">
        <v>6539</v>
      </c>
      <c r="U84" s="211" t="s">
        <v>641</v>
      </c>
      <c r="V84" s="77"/>
      <c r="W84" s="77"/>
      <c r="X84" s="77"/>
      <c r="Y84" s="77"/>
      <c r="Z84" s="216">
        <v>2.106909808E9</v>
      </c>
      <c r="AA84" s="77" t="s">
        <v>6540</v>
      </c>
      <c r="AB84" s="217">
        <v>6.87712933E8</v>
      </c>
      <c r="AC84" s="77" t="str">
        <f t="shared" si="2"/>
        <v>#N/A</v>
      </c>
      <c r="AD84" s="218">
        <v>9.0</v>
      </c>
      <c r="AE84" s="216">
        <v>5.0</v>
      </c>
      <c r="AF84" s="218">
        <v>9.0</v>
      </c>
      <c r="AG84" s="216">
        <v>5.0</v>
      </c>
      <c r="AH84" s="77"/>
      <c r="AI84" s="216">
        <v>0.046</v>
      </c>
      <c r="AJ84" s="77"/>
      <c r="AK84" s="77"/>
      <c r="AL84" s="77"/>
      <c r="AM84" s="77"/>
      <c r="AN84" s="77"/>
      <c r="AO84" s="77"/>
      <c r="AP84" s="77"/>
      <c r="AQ84" s="77"/>
      <c r="AR84" s="77"/>
      <c r="AS84" s="77"/>
      <c r="AT84" s="77"/>
      <c r="AU84" s="77"/>
      <c r="AV84" s="77"/>
      <c r="AW84" s="77"/>
      <c r="AX84" s="77"/>
      <c r="AY84" s="77"/>
      <c r="AZ84" s="77"/>
      <c r="BA84" s="77"/>
      <c r="BB84" s="77"/>
      <c r="BC84" s="77"/>
      <c r="BD84" s="77"/>
      <c r="BE84" s="77"/>
    </row>
    <row r="85">
      <c r="A85" s="77" t="s">
        <v>2336</v>
      </c>
      <c r="B85" s="77" t="s">
        <v>2336</v>
      </c>
      <c r="C85" s="77" t="s">
        <v>2338</v>
      </c>
      <c r="D85" s="211" t="s">
        <v>2336</v>
      </c>
      <c r="E85" s="212" t="s">
        <v>2336</v>
      </c>
      <c r="F85" s="212" t="s">
        <v>2336</v>
      </c>
      <c r="G85" s="212" t="s">
        <v>2336</v>
      </c>
      <c r="H85" s="188"/>
      <c r="I85" s="188"/>
      <c r="J85" s="213">
        <v>1.59632001E8</v>
      </c>
      <c r="K85" s="213">
        <v>9.65078619E8</v>
      </c>
      <c r="L85" s="220">
        <v>1.02025795745E11</v>
      </c>
      <c r="M85" s="77"/>
      <c r="N85" s="77"/>
      <c r="O85" s="78" t="s">
        <v>116</v>
      </c>
      <c r="P85" s="211" t="s">
        <v>283</v>
      </c>
      <c r="Q85" s="214" t="s">
        <v>2340</v>
      </c>
      <c r="R85" s="77" t="s">
        <v>2337</v>
      </c>
      <c r="S85" s="77"/>
      <c r="T85" s="211" t="s">
        <v>6539</v>
      </c>
      <c r="U85" s="211" t="s">
        <v>641</v>
      </c>
      <c r="V85" s="77"/>
      <c r="W85" s="77"/>
      <c r="X85" s="77"/>
      <c r="Y85" s="77"/>
      <c r="Z85" s="216">
        <v>2.106909808E9</v>
      </c>
      <c r="AA85" s="77" t="s">
        <v>6540</v>
      </c>
      <c r="AB85" s="217">
        <v>5.49611709E8</v>
      </c>
      <c r="AC85" s="77" t="str">
        <f t="shared" si="2"/>
        <v>#N/A</v>
      </c>
      <c r="AD85" s="218">
        <v>2.0</v>
      </c>
      <c r="AE85" s="216">
        <v>10.0</v>
      </c>
      <c r="AF85" s="218">
        <v>2.0</v>
      </c>
      <c r="AG85" s="216">
        <v>5.0</v>
      </c>
      <c r="AH85" s="77"/>
      <c r="AI85" s="216">
        <v>0.01</v>
      </c>
      <c r="AJ85" s="77"/>
      <c r="AK85" s="77"/>
      <c r="AL85" s="77"/>
      <c r="AM85" s="77"/>
      <c r="AN85" s="77"/>
      <c r="AO85" s="77"/>
      <c r="AP85" s="77"/>
      <c r="AQ85" s="77"/>
      <c r="AR85" s="77"/>
      <c r="AS85" s="77"/>
      <c r="AT85" s="77"/>
      <c r="AU85" s="77"/>
      <c r="AV85" s="77"/>
      <c r="AW85" s="77"/>
      <c r="AX85" s="77"/>
      <c r="AY85" s="77"/>
      <c r="AZ85" s="77"/>
      <c r="BA85" s="77"/>
      <c r="BB85" s="77"/>
      <c r="BC85" s="77"/>
      <c r="BD85" s="77"/>
      <c r="BE85" s="77"/>
    </row>
    <row r="86">
      <c r="A86" s="77" t="s">
        <v>2363</v>
      </c>
      <c r="B86" s="77" t="s">
        <v>2363</v>
      </c>
      <c r="C86" s="77" t="s">
        <v>2365</v>
      </c>
      <c r="D86" s="211" t="s">
        <v>2363</v>
      </c>
      <c r="E86" s="212" t="s">
        <v>2363</v>
      </c>
      <c r="F86" s="212" t="s">
        <v>2363</v>
      </c>
      <c r="G86" s="188"/>
      <c r="H86" s="188"/>
      <c r="I86" s="188"/>
      <c r="J86" s="213">
        <v>1.88611559E8</v>
      </c>
      <c r="K86" s="213">
        <v>1.286883075E9</v>
      </c>
      <c r="L86" s="220">
        <v>1.02619937766E11</v>
      </c>
      <c r="M86" s="77"/>
      <c r="N86" s="77"/>
      <c r="O86" s="78" t="s">
        <v>116</v>
      </c>
      <c r="P86" s="211" t="s">
        <v>283</v>
      </c>
      <c r="Q86" s="214" t="s">
        <v>2367</v>
      </c>
      <c r="R86" s="77" t="s">
        <v>2364</v>
      </c>
      <c r="S86" s="77"/>
      <c r="T86" s="211" t="s">
        <v>6539</v>
      </c>
      <c r="U86" s="211" t="s">
        <v>641</v>
      </c>
      <c r="V86" s="77"/>
      <c r="W86" s="77"/>
      <c r="X86" s="77"/>
      <c r="Y86" s="77"/>
      <c r="Z86" s="216">
        <v>2.106909808E9</v>
      </c>
      <c r="AA86" s="77" t="s">
        <v>6540</v>
      </c>
      <c r="AB86" s="217">
        <v>6.81199239E8</v>
      </c>
      <c r="AC86" s="77" t="str">
        <f t="shared" si="2"/>
        <v>#N/A</v>
      </c>
      <c r="AD86" s="218">
        <v>2.0</v>
      </c>
      <c r="AE86" s="216">
        <v>9.0</v>
      </c>
      <c r="AF86" s="218">
        <v>2.0</v>
      </c>
      <c r="AG86" s="216">
        <v>6.0</v>
      </c>
      <c r="AH86" s="77"/>
      <c r="AI86" s="216">
        <v>0.04</v>
      </c>
      <c r="AJ86" s="77"/>
      <c r="AK86" s="77"/>
      <c r="AL86" s="77"/>
      <c r="AM86" s="77"/>
      <c r="AN86" s="77"/>
      <c r="AO86" s="77"/>
      <c r="AP86" s="77"/>
      <c r="AQ86" s="77"/>
      <c r="AR86" s="77"/>
      <c r="AS86" s="77"/>
      <c r="AT86" s="77"/>
      <c r="AU86" s="77"/>
      <c r="AV86" s="77"/>
      <c r="AW86" s="77"/>
      <c r="AX86" s="77"/>
      <c r="AY86" s="77"/>
      <c r="AZ86" s="77"/>
      <c r="BA86" s="77"/>
      <c r="BB86" s="77"/>
      <c r="BC86" s="77"/>
      <c r="BD86" s="77"/>
      <c r="BE86" s="77"/>
    </row>
    <row r="87">
      <c r="A87" s="77" t="s">
        <v>934</v>
      </c>
      <c r="B87" s="77" t="s">
        <v>934</v>
      </c>
      <c r="C87" s="77" t="s">
        <v>936</v>
      </c>
      <c r="D87" s="211" t="s">
        <v>934</v>
      </c>
      <c r="E87" s="212" t="s">
        <v>934</v>
      </c>
      <c r="F87" s="212" t="s">
        <v>934</v>
      </c>
      <c r="G87" s="212" t="s">
        <v>934</v>
      </c>
      <c r="H87" s="188"/>
      <c r="I87" s="212" t="s">
        <v>934</v>
      </c>
      <c r="J87" s="213">
        <v>9.196935E7</v>
      </c>
      <c r="K87" s="213">
        <v>6.50348972E8</v>
      </c>
      <c r="L87" s="220">
        <v>1.0354353597E11</v>
      </c>
      <c r="M87" s="77"/>
      <c r="N87" s="213">
        <v>9.9000122455E10</v>
      </c>
      <c r="O87" s="78" t="s">
        <v>116</v>
      </c>
      <c r="P87" s="211" t="s">
        <v>283</v>
      </c>
      <c r="Q87" s="214" t="s">
        <v>6544</v>
      </c>
      <c r="R87" s="77" t="s">
        <v>935</v>
      </c>
      <c r="S87" s="77"/>
      <c r="T87" s="211" t="s">
        <v>6539</v>
      </c>
      <c r="U87" s="211" t="s">
        <v>641</v>
      </c>
      <c r="V87" s="77"/>
      <c r="W87" s="77"/>
      <c r="X87" s="77"/>
      <c r="Y87" s="77"/>
      <c r="Z87" s="216">
        <v>2.106909808E9</v>
      </c>
      <c r="AA87" s="77" t="s">
        <v>6540</v>
      </c>
      <c r="AB87" s="217">
        <v>5.49551191E8</v>
      </c>
      <c r="AC87" s="77" t="str">
        <f t="shared" si="2"/>
        <v>#N/A</v>
      </c>
      <c r="AD87" s="218">
        <v>2.0</v>
      </c>
      <c r="AE87" s="216">
        <v>10.0</v>
      </c>
      <c r="AF87" s="218">
        <v>2.0</v>
      </c>
      <c r="AG87" s="216">
        <v>5.0</v>
      </c>
      <c r="AH87" s="77"/>
      <c r="AI87" s="216">
        <v>0.05</v>
      </c>
      <c r="AJ87" s="77"/>
      <c r="AK87" s="77"/>
      <c r="AL87" s="77"/>
      <c r="AM87" s="77"/>
      <c r="AN87" s="77"/>
      <c r="AO87" s="77"/>
      <c r="AP87" s="77"/>
      <c r="AQ87" s="77"/>
      <c r="AR87" s="77"/>
      <c r="AS87" s="77"/>
      <c r="AT87" s="77"/>
      <c r="AU87" s="77"/>
      <c r="AV87" s="77"/>
      <c r="AW87" s="77"/>
      <c r="AX87" s="77"/>
      <c r="AY87" s="77"/>
      <c r="AZ87" s="77"/>
      <c r="BA87" s="77"/>
      <c r="BB87" s="77"/>
      <c r="BC87" s="77"/>
      <c r="BD87" s="77"/>
      <c r="BE87" s="77"/>
    </row>
    <row r="88">
      <c r="A88" s="77" t="s">
        <v>2307</v>
      </c>
      <c r="B88" s="77" t="s">
        <v>2307</v>
      </c>
      <c r="C88" s="77" t="s">
        <v>2309</v>
      </c>
      <c r="D88" s="211" t="s">
        <v>2307</v>
      </c>
      <c r="E88" s="212" t="s">
        <v>2307</v>
      </c>
      <c r="F88" s="212" t="s">
        <v>2307</v>
      </c>
      <c r="G88" s="188"/>
      <c r="H88" s="188"/>
      <c r="I88" s="188"/>
      <c r="J88" s="213">
        <v>1.38313003E8</v>
      </c>
      <c r="K88" s="213">
        <v>8.14830745E8</v>
      </c>
      <c r="L88" s="77"/>
      <c r="M88" s="77"/>
      <c r="N88" s="77"/>
      <c r="O88" s="78" t="s">
        <v>116</v>
      </c>
      <c r="P88" s="211" t="s">
        <v>283</v>
      </c>
      <c r="Q88" s="214" t="s">
        <v>2311</v>
      </c>
      <c r="R88" s="77" t="s">
        <v>2308</v>
      </c>
      <c r="S88" s="77"/>
      <c r="T88" s="211" t="s">
        <v>6539</v>
      </c>
      <c r="U88" s="211" t="s">
        <v>641</v>
      </c>
      <c r="V88" s="77"/>
      <c r="W88" s="77"/>
      <c r="X88" s="77"/>
      <c r="Y88" s="77"/>
      <c r="Z88" s="216">
        <v>2.106909808E9</v>
      </c>
      <c r="AA88" s="77" t="s">
        <v>6540</v>
      </c>
      <c r="AB88" s="217">
        <v>6.17717249E8</v>
      </c>
      <c r="AC88" s="77" t="str">
        <f t="shared" si="2"/>
        <v>#N/A</v>
      </c>
      <c r="AD88" s="218">
        <v>14.0</v>
      </c>
      <c r="AE88" s="216">
        <v>21.0</v>
      </c>
      <c r="AF88" s="218">
        <v>14.0</v>
      </c>
      <c r="AG88" s="216">
        <v>7.0</v>
      </c>
      <c r="AH88" s="77"/>
      <c r="AI88" s="216">
        <v>0.075</v>
      </c>
      <c r="AJ88" s="77"/>
      <c r="AK88" s="77"/>
      <c r="AL88" s="77"/>
      <c r="AM88" s="77"/>
      <c r="AN88" s="77"/>
      <c r="AO88" s="77"/>
      <c r="AP88" s="77"/>
      <c r="AQ88" s="77"/>
      <c r="AR88" s="77"/>
      <c r="AS88" s="77"/>
      <c r="AT88" s="77"/>
      <c r="AU88" s="77"/>
      <c r="AV88" s="77"/>
      <c r="AW88" s="77"/>
      <c r="AX88" s="77"/>
      <c r="AY88" s="77"/>
      <c r="AZ88" s="77"/>
      <c r="BA88" s="77"/>
      <c r="BB88" s="77"/>
      <c r="BC88" s="77"/>
      <c r="BD88" s="77"/>
      <c r="BE88" s="77"/>
    </row>
    <row r="89">
      <c r="A89" s="77" t="s">
        <v>2351</v>
      </c>
      <c r="B89" s="77" t="s">
        <v>2351</v>
      </c>
      <c r="C89" s="77" t="s">
        <v>2353</v>
      </c>
      <c r="D89" s="211" t="s">
        <v>2351</v>
      </c>
      <c r="E89" s="212" t="s">
        <v>2351</v>
      </c>
      <c r="F89" s="212" t="s">
        <v>2351</v>
      </c>
      <c r="G89" s="188"/>
      <c r="H89" s="188"/>
      <c r="I89" s="188"/>
      <c r="J89" s="213">
        <v>1.67680176E8</v>
      </c>
      <c r="K89" s="213">
        <v>1.099704591E9</v>
      </c>
      <c r="L89" s="77"/>
      <c r="M89" s="77"/>
      <c r="N89" s="77"/>
      <c r="O89" s="78" t="s">
        <v>116</v>
      </c>
      <c r="P89" s="211" t="s">
        <v>283</v>
      </c>
      <c r="Q89" s="214" t="s">
        <v>2319</v>
      </c>
      <c r="R89" s="77" t="s">
        <v>2352</v>
      </c>
      <c r="S89" s="77"/>
      <c r="T89" s="211" t="s">
        <v>6539</v>
      </c>
      <c r="U89" s="211" t="s">
        <v>641</v>
      </c>
      <c r="V89" s="77"/>
      <c r="W89" s="77"/>
      <c r="X89" s="77"/>
      <c r="Y89" s="77"/>
      <c r="Z89" s="216">
        <v>2.106909808E9</v>
      </c>
      <c r="AA89" s="77" t="s">
        <v>6540</v>
      </c>
      <c r="AB89" s="217">
        <v>5.5922502E8</v>
      </c>
      <c r="AC89" s="77" t="str">
        <f t="shared" si="2"/>
        <v>#N/A</v>
      </c>
      <c r="AD89" s="218">
        <v>14.0</v>
      </c>
      <c r="AE89" s="216">
        <v>21.0</v>
      </c>
      <c r="AF89" s="218">
        <v>14.0</v>
      </c>
      <c r="AG89" s="216">
        <v>7.0</v>
      </c>
      <c r="AH89" s="77"/>
      <c r="AI89" s="216">
        <v>0.075</v>
      </c>
      <c r="AJ89" s="77"/>
      <c r="AK89" s="77"/>
      <c r="AL89" s="77"/>
      <c r="AM89" s="77"/>
      <c r="AN89" s="77"/>
      <c r="AO89" s="77"/>
      <c r="AP89" s="77"/>
      <c r="AQ89" s="77"/>
      <c r="AR89" s="77"/>
      <c r="AS89" s="77"/>
      <c r="AT89" s="77"/>
      <c r="AU89" s="77"/>
      <c r="AV89" s="77"/>
      <c r="AW89" s="77"/>
      <c r="AX89" s="77"/>
      <c r="AY89" s="77"/>
      <c r="AZ89" s="77"/>
      <c r="BA89" s="77"/>
      <c r="BB89" s="77"/>
      <c r="BC89" s="77"/>
      <c r="BD89" s="77"/>
      <c r="BE89" s="77"/>
    </row>
    <row r="90">
      <c r="A90" s="77" t="s">
        <v>991</v>
      </c>
      <c r="B90" s="77" t="s">
        <v>991</v>
      </c>
      <c r="C90" s="77" t="s">
        <v>994</v>
      </c>
      <c r="D90" s="211" t="s">
        <v>991</v>
      </c>
      <c r="E90" s="212" t="s">
        <v>991</v>
      </c>
      <c r="F90" s="212" t="s">
        <v>991</v>
      </c>
      <c r="G90" s="212" t="s">
        <v>991</v>
      </c>
      <c r="H90" s="188"/>
      <c r="I90" s="188"/>
      <c r="J90" s="213">
        <v>1.61526543E8</v>
      </c>
      <c r="K90" s="213">
        <v>9.85677823E8</v>
      </c>
      <c r="L90" s="220">
        <v>1.02030579439E11</v>
      </c>
      <c r="M90" s="77"/>
      <c r="N90" s="77"/>
      <c r="O90" s="78" t="s">
        <v>116</v>
      </c>
      <c r="P90" s="211" t="s">
        <v>283</v>
      </c>
      <c r="Q90" s="214" t="s">
        <v>996</v>
      </c>
      <c r="R90" s="77" t="s">
        <v>993</v>
      </c>
      <c r="S90" s="77"/>
      <c r="T90" s="211" t="s">
        <v>6539</v>
      </c>
      <c r="U90" s="211" t="s">
        <v>641</v>
      </c>
      <c r="V90" s="77"/>
      <c r="W90" s="77"/>
      <c r="X90" s="77"/>
      <c r="Y90" s="77"/>
      <c r="Z90" s="216">
        <v>2.106909808E9</v>
      </c>
      <c r="AA90" s="77" t="s">
        <v>6540</v>
      </c>
      <c r="AB90" s="217">
        <v>5.67074424E8</v>
      </c>
      <c r="AC90" s="77" t="str">
        <f t="shared" si="2"/>
        <v>#N/A</v>
      </c>
      <c r="AD90" s="218">
        <v>10.0</v>
      </c>
      <c r="AE90" s="216">
        <v>5.0</v>
      </c>
      <c r="AF90" s="218">
        <v>10.0</v>
      </c>
      <c r="AG90" s="216">
        <v>5.0</v>
      </c>
      <c r="AH90" s="77"/>
      <c r="AI90" s="216">
        <v>0.063</v>
      </c>
      <c r="AJ90" s="77"/>
      <c r="AK90" s="77"/>
      <c r="AL90" s="77"/>
      <c r="AM90" s="77"/>
      <c r="AN90" s="77"/>
      <c r="AO90" s="77"/>
      <c r="AP90" s="77"/>
      <c r="AQ90" s="77"/>
      <c r="AR90" s="77"/>
      <c r="AS90" s="77"/>
      <c r="AT90" s="77"/>
      <c r="AU90" s="77"/>
      <c r="AV90" s="77"/>
      <c r="AW90" s="77"/>
      <c r="AX90" s="77"/>
      <c r="AY90" s="77"/>
      <c r="AZ90" s="77"/>
      <c r="BA90" s="77"/>
      <c r="BB90" s="77"/>
      <c r="BC90" s="77"/>
      <c r="BD90" s="77"/>
      <c r="BE90" s="77"/>
    </row>
    <row r="91">
      <c r="A91" s="77" t="s">
        <v>1973</v>
      </c>
      <c r="B91" s="77" t="s">
        <v>1973</v>
      </c>
      <c r="C91" s="77" t="s">
        <v>1975</v>
      </c>
      <c r="D91" s="211" t="s">
        <v>1973</v>
      </c>
      <c r="E91" s="212" t="s">
        <v>1973</v>
      </c>
      <c r="F91" s="212" t="s">
        <v>1973</v>
      </c>
      <c r="G91" s="212" t="s">
        <v>1973</v>
      </c>
      <c r="H91" s="188"/>
      <c r="I91" s="188"/>
      <c r="J91" s="213">
        <v>1.86780052E8</v>
      </c>
      <c r="K91" s="213">
        <v>1.271329609E9</v>
      </c>
      <c r="L91" s="220">
        <v>1.02626043689E11</v>
      </c>
      <c r="M91" s="77"/>
      <c r="N91" s="77"/>
      <c r="O91" s="78" t="s">
        <v>116</v>
      </c>
      <c r="P91" s="211" t="s">
        <v>283</v>
      </c>
      <c r="Q91" s="214" t="s">
        <v>1977</v>
      </c>
      <c r="R91" s="77" t="s">
        <v>1974</v>
      </c>
      <c r="S91" s="77"/>
      <c r="T91" s="211" t="s">
        <v>6539</v>
      </c>
      <c r="U91" s="215" t="s">
        <v>1027</v>
      </c>
      <c r="V91" s="77"/>
      <c r="W91" s="77"/>
      <c r="X91" s="77"/>
      <c r="Y91" s="77"/>
      <c r="Z91" s="216">
        <v>2.106909808E9</v>
      </c>
      <c r="AA91" s="77" t="s">
        <v>6540</v>
      </c>
      <c r="AB91" s="217">
        <v>5.88937927E8</v>
      </c>
      <c r="AC91" s="77" t="str">
        <f t="shared" si="2"/>
        <v>#N/A</v>
      </c>
      <c r="AD91" s="218">
        <v>5.0</v>
      </c>
      <c r="AE91" s="216">
        <v>9.0</v>
      </c>
      <c r="AF91" s="218">
        <v>5.0</v>
      </c>
      <c r="AG91" s="216">
        <v>5.0</v>
      </c>
      <c r="AH91" s="77"/>
      <c r="AI91" s="216">
        <v>0.05</v>
      </c>
      <c r="AJ91" s="77"/>
      <c r="AK91" s="77"/>
      <c r="AL91" s="77"/>
      <c r="AM91" s="77"/>
      <c r="AN91" s="77"/>
      <c r="AO91" s="77"/>
      <c r="AP91" s="77"/>
      <c r="AQ91" s="77"/>
      <c r="AR91" s="77"/>
      <c r="AS91" s="77"/>
      <c r="AT91" s="77"/>
      <c r="AU91" s="77"/>
      <c r="AV91" s="77"/>
      <c r="AW91" s="77"/>
      <c r="AX91" s="77"/>
      <c r="AY91" s="77"/>
      <c r="AZ91" s="77"/>
      <c r="BA91" s="77"/>
      <c r="BB91" s="77"/>
      <c r="BC91" s="77"/>
      <c r="BD91" s="77"/>
      <c r="BE91" s="77"/>
    </row>
    <row r="92">
      <c r="A92" s="77" t="s">
        <v>2083</v>
      </c>
      <c r="B92" s="77" t="s">
        <v>2083</v>
      </c>
      <c r="C92" s="77" t="s">
        <v>2085</v>
      </c>
      <c r="D92" s="211" t="s">
        <v>2083</v>
      </c>
      <c r="E92" s="212" t="s">
        <v>2083</v>
      </c>
      <c r="F92" s="212" t="s">
        <v>2083</v>
      </c>
      <c r="G92" s="212" t="s">
        <v>2083</v>
      </c>
      <c r="H92" s="188"/>
      <c r="I92" s="188"/>
      <c r="J92" s="213">
        <v>1.38754901E8</v>
      </c>
      <c r="K92" s="213">
        <v>8.09190803E8</v>
      </c>
      <c r="L92" s="220">
        <v>1.02179035168E11</v>
      </c>
      <c r="M92" s="77"/>
      <c r="N92" s="77"/>
      <c r="O92" s="78" t="s">
        <v>116</v>
      </c>
      <c r="P92" s="211" t="s">
        <v>283</v>
      </c>
      <c r="Q92" s="214" t="s">
        <v>2087</v>
      </c>
      <c r="R92" s="77" t="s">
        <v>2084</v>
      </c>
      <c r="S92" s="77"/>
      <c r="T92" s="211" t="s">
        <v>6539</v>
      </c>
      <c r="U92" s="211" t="s">
        <v>6542</v>
      </c>
      <c r="V92" s="77"/>
      <c r="W92" s="77"/>
      <c r="X92" s="77"/>
      <c r="Y92" s="77"/>
      <c r="Z92" s="216">
        <v>3.504009E9</v>
      </c>
      <c r="AA92" s="77" t="s">
        <v>6540</v>
      </c>
      <c r="AB92" s="217">
        <v>5.59173569E8</v>
      </c>
      <c r="AC92" s="77" t="str">
        <f t="shared" si="2"/>
        <v>#N/A</v>
      </c>
      <c r="AD92" s="218">
        <v>10.0</v>
      </c>
      <c r="AE92" s="216">
        <v>5.0</v>
      </c>
      <c r="AF92" s="218">
        <v>10.0</v>
      </c>
      <c r="AG92" s="216">
        <v>5.0</v>
      </c>
      <c r="AH92" s="77"/>
      <c r="AI92" s="216">
        <v>0.044</v>
      </c>
      <c r="AJ92" s="77"/>
      <c r="AK92" s="77"/>
      <c r="AL92" s="77"/>
      <c r="AM92" s="77"/>
      <c r="AN92" s="77"/>
      <c r="AO92" s="77"/>
      <c r="AP92" s="77"/>
      <c r="AQ92" s="77"/>
      <c r="AR92" s="77"/>
      <c r="AS92" s="77"/>
      <c r="AT92" s="77"/>
      <c r="AU92" s="77"/>
      <c r="AV92" s="77"/>
      <c r="AW92" s="77"/>
      <c r="AX92" s="77"/>
      <c r="AY92" s="77"/>
      <c r="AZ92" s="77"/>
      <c r="BA92" s="77"/>
      <c r="BB92" s="77"/>
      <c r="BC92" s="77"/>
      <c r="BD92" s="77"/>
      <c r="BE92" s="77"/>
    </row>
    <row r="93">
      <c r="A93" s="77" t="s">
        <v>2502</v>
      </c>
      <c r="B93" s="77" t="s">
        <v>2502</v>
      </c>
      <c r="C93" s="77" t="s">
        <v>2504</v>
      </c>
      <c r="D93" s="211" t="s">
        <v>2502</v>
      </c>
      <c r="E93" s="223" t="s">
        <v>2502</v>
      </c>
      <c r="F93" s="212" t="s">
        <v>2502</v>
      </c>
      <c r="G93" s="188"/>
      <c r="H93" s="188"/>
      <c r="I93" s="188"/>
      <c r="J93" s="221">
        <v>1.55928221E8</v>
      </c>
      <c r="K93" s="213">
        <v>1.005528678E9</v>
      </c>
      <c r="L93" s="77"/>
      <c r="M93" s="77"/>
      <c r="N93" s="77"/>
      <c r="O93" s="78" t="s">
        <v>116</v>
      </c>
      <c r="P93" s="211" t="s">
        <v>283</v>
      </c>
      <c r="Q93" s="222" t="s">
        <v>6545</v>
      </c>
      <c r="R93" s="77" t="s">
        <v>2503</v>
      </c>
      <c r="S93" s="77"/>
      <c r="T93" s="211" t="s">
        <v>6539</v>
      </c>
      <c r="U93" s="211" t="s">
        <v>641</v>
      </c>
      <c r="V93" s="77"/>
      <c r="W93" s="77"/>
      <c r="X93" s="77"/>
      <c r="Y93" s="77"/>
      <c r="Z93" s="216">
        <v>2.106909808E9</v>
      </c>
      <c r="AA93" s="77" t="s">
        <v>6540</v>
      </c>
      <c r="AB93" s="217">
        <v>5.6866731E8</v>
      </c>
      <c r="AC93" s="77" t="str">
        <f t="shared" si="2"/>
        <v>#N/A</v>
      </c>
      <c r="AD93" s="218">
        <v>14.0</v>
      </c>
      <c r="AE93" s="216">
        <v>21.0</v>
      </c>
      <c r="AF93" s="218">
        <v>14.0</v>
      </c>
      <c r="AG93" s="216">
        <v>7.0</v>
      </c>
      <c r="AH93" s="77"/>
      <c r="AI93" s="216">
        <v>0.075</v>
      </c>
      <c r="AJ93" s="77"/>
      <c r="AK93" s="77"/>
      <c r="AL93" s="77"/>
      <c r="AM93" s="77"/>
      <c r="AN93" s="77"/>
      <c r="AO93" s="77"/>
      <c r="AP93" s="77"/>
      <c r="AQ93" s="77"/>
      <c r="AR93" s="77"/>
      <c r="AS93" s="77"/>
      <c r="AT93" s="77"/>
      <c r="AU93" s="77"/>
      <c r="AV93" s="77"/>
      <c r="AW93" s="77"/>
      <c r="AX93" s="77"/>
      <c r="AY93" s="77"/>
      <c r="AZ93" s="77"/>
      <c r="BA93" s="77"/>
      <c r="BB93" s="77"/>
      <c r="BC93" s="77"/>
      <c r="BD93" s="77"/>
      <c r="BE93" s="77"/>
    </row>
    <row r="94">
      <c r="A94" s="77" t="s">
        <v>2478</v>
      </c>
      <c r="B94" s="77" t="s">
        <v>2478</v>
      </c>
      <c r="C94" s="77" t="s">
        <v>2480</v>
      </c>
      <c r="D94" s="211" t="s">
        <v>2478</v>
      </c>
      <c r="E94" s="212" t="s">
        <v>2478</v>
      </c>
      <c r="F94" s="212" t="s">
        <v>2478</v>
      </c>
      <c r="G94" s="188"/>
      <c r="H94" s="188"/>
      <c r="I94" s="188"/>
      <c r="J94" s="213">
        <v>1.67680829E8</v>
      </c>
      <c r="K94" s="213">
        <v>1.09972736E9</v>
      </c>
      <c r="L94" s="77"/>
      <c r="M94" s="77"/>
      <c r="N94" s="77"/>
      <c r="O94" s="78" t="s">
        <v>116</v>
      </c>
      <c r="P94" s="211" t="s">
        <v>283</v>
      </c>
      <c r="Q94" s="214" t="s">
        <v>2482</v>
      </c>
      <c r="R94" s="77" t="s">
        <v>2479</v>
      </c>
      <c r="S94" s="77"/>
      <c r="T94" s="211" t="s">
        <v>6539</v>
      </c>
      <c r="U94" s="211" t="s">
        <v>641</v>
      </c>
      <c r="V94" s="77"/>
      <c r="W94" s="77"/>
      <c r="X94" s="77"/>
      <c r="Y94" s="77"/>
      <c r="Z94" s="216">
        <v>2.106909808E9</v>
      </c>
      <c r="AA94" s="77" t="s">
        <v>6540</v>
      </c>
      <c r="AB94" s="217">
        <v>1.65592674E8</v>
      </c>
      <c r="AC94" s="77" t="str">
        <f t="shared" si="2"/>
        <v>#N/A</v>
      </c>
      <c r="AD94" s="218">
        <v>14.0</v>
      </c>
      <c r="AE94" s="216">
        <v>21.0</v>
      </c>
      <c r="AF94" s="218">
        <v>14.0</v>
      </c>
      <c r="AG94" s="216">
        <v>7.0</v>
      </c>
      <c r="AH94" s="77"/>
      <c r="AI94" s="216">
        <v>0.075</v>
      </c>
      <c r="AJ94" s="77"/>
      <c r="AK94" s="77"/>
      <c r="AL94" s="77"/>
      <c r="AM94" s="77"/>
      <c r="AN94" s="77"/>
      <c r="AO94" s="77"/>
      <c r="AP94" s="77"/>
      <c r="AQ94" s="77"/>
      <c r="AR94" s="77"/>
      <c r="AS94" s="77"/>
      <c r="AT94" s="77"/>
      <c r="AU94" s="77"/>
      <c r="AV94" s="77"/>
      <c r="AW94" s="77"/>
      <c r="AX94" s="77"/>
      <c r="AY94" s="77"/>
      <c r="AZ94" s="77"/>
      <c r="BA94" s="77"/>
      <c r="BB94" s="77"/>
      <c r="BC94" s="77"/>
      <c r="BD94" s="77"/>
      <c r="BE94" s="77"/>
    </row>
    <row r="95">
      <c r="A95" s="77" t="s">
        <v>2486</v>
      </c>
      <c r="B95" s="77" t="s">
        <v>2486</v>
      </c>
      <c r="C95" s="77" t="s">
        <v>2488</v>
      </c>
      <c r="D95" s="211" t="s">
        <v>2486</v>
      </c>
      <c r="E95" s="212" t="s">
        <v>2486</v>
      </c>
      <c r="F95" s="212" t="s">
        <v>2486</v>
      </c>
      <c r="G95" s="188"/>
      <c r="H95" s="188"/>
      <c r="I95" s="188"/>
      <c r="J95" s="213">
        <v>1.67680831E8</v>
      </c>
      <c r="K95" s="213">
        <v>1.099740649E9</v>
      </c>
      <c r="L95" s="77"/>
      <c r="M95" s="77"/>
      <c r="N95" s="77"/>
      <c r="O95" s="78" t="s">
        <v>116</v>
      </c>
      <c r="P95" s="211" t="s">
        <v>283</v>
      </c>
      <c r="Q95" s="214" t="s">
        <v>2490</v>
      </c>
      <c r="R95" s="77" t="s">
        <v>2487</v>
      </c>
      <c r="S95" s="77"/>
      <c r="T95" s="211" t="s">
        <v>6539</v>
      </c>
      <c r="U95" s="211" t="s">
        <v>641</v>
      </c>
      <c r="V95" s="77"/>
      <c r="W95" s="77"/>
      <c r="X95" s="77"/>
      <c r="Y95" s="77"/>
      <c r="Z95" s="216">
        <v>2.106909808E9</v>
      </c>
      <c r="AA95" s="77" t="s">
        <v>6540</v>
      </c>
      <c r="AB95" s="217">
        <v>7.16103412E8</v>
      </c>
      <c r="AC95" s="77" t="str">
        <f t="shared" si="2"/>
        <v>#N/A</v>
      </c>
      <c r="AD95" s="218">
        <v>14.0</v>
      </c>
      <c r="AE95" s="216">
        <v>21.0</v>
      </c>
      <c r="AF95" s="218">
        <v>14.0</v>
      </c>
      <c r="AG95" s="216">
        <v>7.0</v>
      </c>
      <c r="AH95" s="77"/>
      <c r="AI95" s="216">
        <v>0.075</v>
      </c>
      <c r="AJ95" s="77"/>
      <c r="AK95" s="77"/>
      <c r="AL95" s="77"/>
      <c r="AM95" s="77"/>
      <c r="AN95" s="77"/>
      <c r="AO95" s="77"/>
      <c r="AP95" s="77"/>
      <c r="AQ95" s="77"/>
      <c r="AR95" s="77"/>
      <c r="AS95" s="77"/>
      <c r="AT95" s="77"/>
      <c r="AU95" s="77"/>
      <c r="AV95" s="77"/>
      <c r="AW95" s="77"/>
      <c r="AX95" s="77"/>
      <c r="AY95" s="77"/>
      <c r="AZ95" s="77"/>
      <c r="BA95" s="77"/>
      <c r="BB95" s="77"/>
      <c r="BC95" s="77"/>
      <c r="BD95" s="77"/>
      <c r="BE95" s="77"/>
    </row>
    <row r="96">
      <c r="A96" s="77" t="s">
        <v>2494</v>
      </c>
      <c r="B96" s="77" t="s">
        <v>2494</v>
      </c>
      <c r="C96" s="77" t="s">
        <v>2496</v>
      </c>
      <c r="D96" s="211" t="s">
        <v>2494</v>
      </c>
      <c r="E96" s="212" t="s">
        <v>2494</v>
      </c>
      <c r="F96" s="212" t="s">
        <v>2494</v>
      </c>
      <c r="G96" s="188"/>
      <c r="H96" s="188"/>
      <c r="I96" s="188"/>
      <c r="J96" s="213">
        <v>1.67680833E8</v>
      </c>
      <c r="K96" s="213">
        <v>1.099757439E9</v>
      </c>
      <c r="L96" s="77"/>
      <c r="M96" s="77"/>
      <c r="N96" s="77"/>
      <c r="O96" s="78" t="s">
        <v>116</v>
      </c>
      <c r="P96" s="211" t="s">
        <v>283</v>
      </c>
      <c r="Q96" s="214" t="s">
        <v>2498</v>
      </c>
      <c r="R96" s="77" t="s">
        <v>2495</v>
      </c>
      <c r="S96" s="77"/>
      <c r="T96" s="211" t="s">
        <v>6539</v>
      </c>
      <c r="U96" s="211" t="s">
        <v>641</v>
      </c>
      <c r="V96" s="77"/>
      <c r="W96" s="77"/>
      <c r="X96" s="77"/>
      <c r="Y96" s="77"/>
      <c r="Z96" s="216">
        <v>2.106909808E9</v>
      </c>
      <c r="AA96" s="77" t="s">
        <v>6540</v>
      </c>
      <c r="AB96" s="224" t="s">
        <v>5337</v>
      </c>
      <c r="AC96" s="77" t="str">
        <f t="shared" ref="AC96:AC159" si="3">VLOOKUP(AB96,E:Q,13,0)</f>
        <v>Средство для сердца и сосудов от давления, чистка сосудов, Микардин Плюс, Алтея, 60 капсул</v>
      </c>
      <c r="AD96" s="218">
        <v>14.0</v>
      </c>
      <c r="AE96" s="216">
        <v>21.0</v>
      </c>
      <c r="AF96" s="218">
        <v>14.0</v>
      </c>
      <c r="AG96" s="216">
        <v>7.0</v>
      </c>
      <c r="AH96" s="77"/>
      <c r="AI96" s="216">
        <v>0.075</v>
      </c>
      <c r="AJ96" s="77"/>
      <c r="AK96" s="77"/>
      <c r="AL96" s="77"/>
      <c r="AM96" s="77"/>
      <c r="AN96" s="77"/>
      <c r="AO96" s="77"/>
      <c r="AP96" s="77"/>
      <c r="AQ96" s="77"/>
      <c r="AR96" s="77"/>
      <c r="AS96" s="77"/>
      <c r="AT96" s="77"/>
      <c r="AU96" s="77"/>
      <c r="AV96" s="77"/>
      <c r="AW96" s="77"/>
      <c r="AX96" s="77"/>
      <c r="AY96" s="77"/>
      <c r="AZ96" s="77"/>
      <c r="BA96" s="77"/>
      <c r="BB96" s="77"/>
      <c r="BC96" s="77"/>
      <c r="BD96" s="77"/>
      <c r="BE96" s="77"/>
    </row>
    <row r="97">
      <c r="A97" s="77" t="s">
        <v>2444</v>
      </c>
      <c r="B97" s="77" t="s">
        <v>2444</v>
      </c>
      <c r="C97" s="77" t="s">
        <v>2446</v>
      </c>
      <c r="D97" s="211" t="s">
        <v>2444</v>
      </c>
      <c r="E97" s="212" t="s">
        <v>2444</v>
      </c>
      <c r="F97" s="212" t="s">
        <v>2444</v>
      </c>
      <c r="G97" s="212" t="s">
        <v>2444</v>
      </c>
      <c r="H97" s="188"/>
      <c r="I97" s="188"/>
      <c r="J97" s="213">
        <v>9.038069E7</v>
      </c>
      <c r="K97" s="213">
        <v>6.17343284E8</v>
      </c>
      <c r="L97" s="220">
        <v>1.01797607977E11</v>
      </c>
      <c r="M97" s="77"/>
      <c r="N97" s="77"/>
      <c r="O97" s="78" t="s">
        <v>116</v>
      </c>
      <c r="P97" s="211" t="s">
        <v>283</v>
      </c>
      <c r="Q97" s="214" t="s">
        <v>2448</v>
      </c>
      <c r="R97" s="77" t="s">
        <v>2445</v>
      </c>
      <c r="S97" s="77"/>
      <c r="T97" s="211" t="s">
        <v>6539</v>
      </c>
      <c r="U97" s="211" t="s">
        <v>641</v>
      </c>
      <c r="V97" s="77"/>
      <c r="W97" s="77"/>
      <c r="X97" s="77"/>
      <c r="Y97" s="77"/>
      <c r="Z97" s="216">
        <v>2.106909808E9</v>
      </c>
      <c r="AA97" s="77" t="s">
        <v>6540</v>
      </c>
      <c r="AB97" s="217" t="s">
        <v>3658</v>
      </c>
      <c r="AC97" s="77" t="str">
        <f t="shared" si="3"/>
        <v>Индол 3 карбинол брокколи витамины с зеленым чаем Алтея, Индолакт, 60 капсул</v>
      </c>
      <c r="AD97" s="218">
        <v>10.0</v>
      </c>
      <c r="AE97" s="216">
        <v>5.0</v>
      </c>
      <c r="AF97" s="218">
        <v>10.0</v>
      </c>
      <c r="AG97" s="216">
        <v>5.0</v>
      </c>
      <c r="AH97" s="77"/>
      <c r="AI97" s="216">
        <v>0.129</v>
      </c>
      <c r="AJ97" s="77"/>
      <c r="AK97" s="77"/>
      <c r="AL97" s="77"/>
      <c r="AM97" s="77"/>
      <c r="AN97" s="77"/>
      <c r="AO97" s="77"/>
      <c r="AP97" s="77"/>
      <c r="AQ97" s="77"/>
      <c r="AR97" s="77"/>
      <c r="AS97" s="77"/>
      <c r="AT97" s="77"/>
      <c r="AU97" s="77"/>
      <c r="AV97" s="77"/>
      <c r="AW97" s="77"/>
      <c r="AX97" s="77"/>
      <c r="AY97" s="77"/>
      <c r="AZ97" s="77"/>
      <c r="BA97" s="77"/>
      <c r="BB97" s="77"/>
      <c r="BC97" s="77"/>
      <c r="BD97" s="77"/>
      <c r="BE97" s="77"/>
    </row>
    <row r="98">
      <c r="A98" s="77" t="s">
        <v>2459</v>
      </c>
      <c r="B98" s="77" t="s">
        <v>2459</v>
      </c>
      <c r="C98" s="77" t="s">
        <v>2461</v>
      </c>
      <c r="D98" s="211" t="s">
        <v>2459</v>
      </c>
      <c r="E98" s="212" t="s">
        <v>2459</v>
      </c>
      <c r="F98" s="212" t="s">
        <v>2459</v>
      </c>
      <c r="G98" s="188"/>
      <c r="H98" s="188"/>
      <c r="I98" s="188"/>
      <c r="J98" s="213">
        <v>1.48387857E8</v>
      </c>
      <c r="K98" s="213">
        <v>8.71802851E8</v>
      </c>
      <c r="L98" s="77"/>
      <c r="M98" s="77"/>
      <c r="N98" s="77"/>
      <c r="O98" s="78" t="s">
        <v>116</v>
      </c>
      <c r="P98" s="211" t="s">
        <v>283</v>
      </c>
      <c r="Q98" s="214" t="s">
        <v>2463</v>
      </c>
      <c r="R98" s="77" t="s">
        <v>2460</v>
      </c>
      <c r="S98" s="77"/>
      <c r="T98" s="211" t="s">
        <v>6539</v>
      </c>
      <c r="U98" s="211" t="s">
        <v>641</v>
      </c>
      <c r="V98" s="77"/>
      <c r="W98" s="77"/>
      <c r="X98" s="77"/>
      <c r="Y98" s="77"/>
      <c r="Z98" s="216">
        <v>2.106909803E9</v>
      </c>
      <c r="AA98" s="77" t="s">
        <v>6540</v>
      </c>
      <c r="AB98" s="217" t="s">
        <v>4279</v>
      </c>
      <c r="AC98" s="77" t="str">
        <f t="shared" si="3"/>
        <v>Мицеллярная пенка для умывания лица, для снятия макияжа, средство для снятия макияжа, Алтея, 160</v>
      </c>
      <c r="AD98" s="218">
        <v>14.0</v>
      </c>
      <c r="AE98" s="216">
        <v>21.0</v>
      </c>
      <c r="AF98" s="218">
        <v>14.0</v>
      </c>
      <c r="AG98" s="216">
        <v>7.0</v>
      </c>
      <c r="AH98" s="77"/>
      <c r="AI98" s="216">
        <v>0.075</v>
      </c>
      <c r="AJ98" s="77"/>
      <c r="AK98" s="77"/>
      <c r="AL98" s="77"/>
      <c r="AM98" s="77"/>
      <c r="AN98" s="77"/>
      <c r="AO98" s="77"/>
      <c r="AP98" s="77"/>
      <c r="AQ98" s="77"/>
      <c r="AR98" s="77"/>
      <c r="AS98" s="77"/>
      <c r="AT98" s="77"/>
      <c r="AU98" s="77"/>
      <c r="AV98" s="77"/>
      <c r="AW98" s="77"/>
      <c r="AX98" s="77"/>
      <c r="AY98" s="77"/>
      <c r="AZ98" s="77"/>
      <c r="BA98" s="77"/>
      <c r="BB98" s="77"/>
      <c r="BC98" s="77"/>
      <c r="BD98" s="77"/>
      <c r="BE98" s="77"/>
    </row>
    <row r="99">
      <c r="A99" s="77" t="s">
        <v>2467</v>
      </c>
      <c r="B99" s="77" t="s">
        <v>2467</v>
      </c>
      <c r="C99" s="77" t="s">
        <v>2469</v>
      </c>
      <c r="D99" s="211" t="s">
        <v>2467</v>
      </c>
      <c r="E99" s="212" t="s">
        <v>2467</v>
      </c>
      <c r="F99" s="212" t="s">
        <v>2467</v>
      </c>
      <c r="G99" s="188"/>
      <c r="H99" s="188"/>
      <c r="I99" s="188"/>
      <c r="J99" s="213">
        <v>1.65259041E8</v>
      </c>
      <c r="K99" s="213">
        <v>1.032702789E9</v>
      </c>
      <c r="L99" s="77"/>
      <c r="M99" s="77"/>
      <c r="N99" s="77"/>
      <c r="O99" s="78" t="s">
        <v>116</v>
      </c>
      <c r="P99" s="211" t="s">
        <v>283</v>
      </c>
      <c r="Q99" s="214" t="s">
        <v>2470</v>
      </c>
      <c r="R99" s="77" t="s">
        <v>2468</v>
      </c>
      <c r="S99" s="77"/>
      <c r="T99" s="211" t="s">
        <v>6539</v>
      </c>
      <c r="U99" s="211" t="s">
        <v>641</v>
      </c>
      <c r="V99" s="77"/>
      <c r="W99" s="77"/>
      <c r="X99" s="77"/>
      <c r="Y99" s="77"/>
      <c r="Z99" s="216">
        <v>2.106909808E9</v>
      </c>
      <c r="AA99" s="77" t="s">
        <v>6540</v>
      </c>
      <c r="AB99" s="217" t="s">
        <v>3738</v>
      </c>
      <c r="AC99" s="77" t="str">
        <f t="shared" si="3"/>
        <v>Масло для волос несмываемое профессиональное Tom Ford Lost Cherry, Алтея, 110 мл</v>
      </c>
      <c r="AD99" s="218">
        <v>11.0</v>
      </c>
      <c r="AE99" s="216">
        <v>6.0</v>
      </c>
      <c r="AF99" s="218">
        <v>11.0</v>
      </c>
      <c r="AG99" s="216">
        <v>6.0</v>
      </c>
      <c r="AH99" s="77"/>
      <c r="AI99" s="216">
        <v>0.098</v>
      </c>
      <c r="AJ99" s="77"/>
      <c r="AK99" s="77"/>
      <c r="AL99" s="77"/>
      <c r="AM99" s="77"/>
      <c r="AN99" s="77"/>
      <c r="AO99" s="77"/>
      <c r="AP99" s="77"/>
      <c r="AQ99" s="77"/>
      <c r="AR99" s="77"/>
      <c r="AS99" s="77"/>
      <c r="AT99" s="77"/>
      <c r="AU99" s="77"/>
      <c r="AV99" s="77"/>
      <c r="AW99" s="77"/>
      <c r="AX99" s="77"/>
      <c r="AY99" s="77"/>
      <c r="AZ99" s="77"/>
      <c r="BA99" s="77"/>
      <c r="BB99" s="77"/>
      <c r="BC99" s="77"/>
      <c r="BD99" s="77"/>
      <c r="BE99" s="77"/>
    </row>
    <row r="100">
      <c r="A100" s="77" t="s">
        <v>2644</v>
      </c>
      <c r="B100" s="77" t="s">
        <v>2644</v>
      </c>
      <c r="C100" s="77" t="s">
        <v>2646</v>
      </c>
      <c r="D100" s="211" t="s">
        <v>2644</v>
      </c>
      <c r="E100" s="212" t="s">
        <v>2644</v>
      </c>
      <c r="F100" s="212" t="s">
        <v>2644</v>
      </c>
      <c r="G100" s="188"/>
      <c r="H100" s="188"/>
      <c r="I100" s="188"/>
      <c r="J100" s="213">
        <v>1.5998048E8</v>
      </c>
      <c r="K100" s="213">
        <v>9.67670448E8</v>
      </c>
      <c r="L100" s="77"/>
      <c r="M100" s="77"/>
      <c r="N100" s="77"/>
      <c r="O100" s="78" t="s">
        <v>116</v>
      </c>
      <c r="P100" s="211" t="s">
        <v>283</v>
      </c>
      <c r="Q100" s="214" t="s">
        <v>2648</v>
      </c>
      <c r="R100" s="77" t="s">
        <v>2645</v>
      </c>
      <c r="S100" s="77"/>
      <c r="T100" s="211" t="s">
        <v>6539</v>
      </c>
      <c r="U100" s="215" t="s">
        <v>662</v>
      </c>
      <c r="V100" s="77"/>
      <c r="W100" s="77"/>
      <c r="X100" s="77"/>
      <c r="Y100" s="77"/>
      <c r="Z100" s="216">
        <v>2.106909808E9</v>
      </c>
      <c r="AA100" s="77" t="s">
        <v>6540</v>
      </c>
      <c r="AB100" s="217" t="s">
        <v>3466</v>
      </c>
      <c r="AC100" s="77" t="str">
        <f t="shared" si="3"/>
        <v>Воск для укладки волос Алтея 50 мл</v>
      </c>
      <c r="AD100" s="218">
        <v>5.0</v>
      </c>
      <c r="AE100" s="216">
        <v>12.0</v>
      </c>
      <c r="AF100" s="218">
        <v>5.0</v>
      </c>
      <c r="AG100" s="216">
        <v>6.0</v>
      </c>
      <c r="AH100" s="77"/>
      <c r="AI100" s="216">
        <v>0.1</v>
      </c>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row>
    <row r="101">
      <c r="A101" s="77" t="s">
        <v>1667</v>
      </c>
      <c r="B101" s="77" t="s">
        <v>1667</v>
      </c>
      <c r="C101" s="77" t="s">
        <v>1669</v>
      </c>
      <c r="D101" s="211" t="s">
        <v>1667</v>
      </c>
      <c r="E101" s="212" t="s">
        <v>1667</v>
      </c>
      <c r="F101" s="212" t="s">
        <v>1667</v>
      </c>
      <c r="G101" s="212" t="s">
        <v>1667</v>
      </c>
      <c r="H101" s="188"/>
      <c r="I101" s="188"/>
      <c r="J101" s="213">
        <v>1.56995682E8</v>
      </c>
      <c r="K101" s="213">
        <v>9.46980875E8</v>
      </c>
      <c r="L101" s="220">
        <v>1.02019811145E11</v>
      </c>
      <c r="M101" s="77"/>
      <c r="N101" s="77"/>
      <c r="O101" s="78" t="s">
        <v>116</v>
      </c>
      <c r="P101" s="211" t="s">
        <v>283</v>
      </c>
      <c r="Q101" s="214" t="s">
        <v>1671</v>
      </c>
      <c r="R101" s="77" t="s">
        <v>1668</v>
      </c>
      <c r="S101" s="77"/>
      <c r="T101" s="211" t="s">
        <v>6539</v>
      </c>
      <c r="U101" s="215" t="s">
        <v>662</v>
      </c>
      <c r="V101" s="77"/>
      <c r="W101" s="77"/>
      <c r="X101" s="77"/>
      <c r="Y101" s="77"/>
      <c r="Z101" s="216">
        <v>2.106909808E9</v>
      </c>
      <c r="AA101" s="77" t="s">
        <v>6540</v>
      </c>
      <c r="AB101" s="217" t="s">
        <v>3859</v>
      </c>
      <c r="AC101" s="77" t="str">
        <f t="shared" si="3"/>
        <v>Фитоэстрогены для женщин, от приливов при климаксе, при менопаузе, Алтея, Мено Флавон, 60 капсул</v>
      </c>
      <c r="AD101" s="218">
        <v>12.0</v>
      </c>
      <c r="AE101" s="216">
        <v>6.0</v>
      </c>
      <c r="AF101" s="218">
        <v>12.0</v>
      </c>
      <c r="AG101" s="216">
        <v>6.0</v>
      </c>
      <c r="AH101" s="77"/>
      <c r="AI101" s="216">
        <v>0.087</v>
      </c>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row>
    <row r="102">
      <c r="A102" s="77" t="s">
        <v>2406</v>
      </c>
      <c r="B102" s="77" t="s">
        <v>2406</v>
      </c>
      <c r="C102" s="77" t="s">
        <v>2408</v>
      </c>
      <c r="D102" s="211" t="s">
        <v>2406</v>
      </c>
      <c r="E102" s="212" t="s">
        <v>2406</v>
      </c>
      <c r="F102" s="212" t="s">
        <v>2406</v>
      </c>
      <c r="G102" s="188"/>
      <c r="H102" s="188"/>
      <c r="I102" s="188"/>
      <c r="J102" s="213">
        <v>1.58306407E8</v>
      </c>
      <c r="K102" s="213">
        <v>9.50391195E8</v>
      </c>
      <c r="L102" s="77"/>
      <c r="M102" s="77"/>
      <c r="N102" s="77"/>
      <c r="O102" s="78" t="s">
        <v>116</v>
      </c>
      <c r="P102" s="211" t="s">
        <v>283</v>
      </c>
      <c r="Q102" s="214" t="s">
        <v>2410</v>
      </c>
      <c r="R102" s="77" t="s">
        <v>2407</v>
      </c>
      <c r="S102" s="77"/>
      <c r="T102" s="211" t="s">
        <v>6539</v>
      </c>
      <c r="U102" s="215" t="s">
        <v>1027</v>
      </c>
      <c r="V102" s="77"/>
      <c r="W102" s="77"/>
      <c r="X102" s="77"/>
      <c r="Y102" s="77"/>
      <c r="Z102" s="216">
        <v>2.106909808E9</v>
      </c>
      <c r="AA102" s="77" t="s">
        <v>6540</v>
      </c>
      <c r="AB102" s="217" t="s">
        <v>4642</v>
      </c>
      <c r="AC102" s="77" t="str">
        <f t="shared" si="3"/>
        <v>Возбудитель для мужчин, БАД Т-34 возбуждающие для потенции, эрекции, 60 капсул</v>
      </c>
      <c r="AD102" s="218">
        <v>9.0</v>
      </c>
      <c r="AE102" s="216">
        <v>5.0</v>
      </c>
      <c r="AF102" s="218">
        <v>9.0</v>
      </c>
      <c r="AG102" s="216">
        <v>5.0</v>
      </c>
      <c r="AH102" s="77"/>
      <c r="AI102" s="216">
        <v>0.01</v>
      </c>
      <c r="AJ102" s="77"/>
      <c r="AK102" s="77"/>
      <c r="AL102" s="77"/>
      <c r="AM102" s="77"/>
      <c r="AN102" s="77"/>
      <c r="AO102" s="77"/>
      <c r="AP102" s="77"/>
      <c r="AQ102" s="77"/>
      <c r="AR102" s="77"/>
      <c r="AS102" s="77"/>
      <c r="AT102" s="77"/>
      <c r="AU102" s="77"/>
      <c r="AV102" s="77"/>
      <c r="AW102" s="77"/>
      <c r="AX102" s="77"/>
      <c r="AY102" s="77"/>
      <c r="AZ102" s="77"/>
      <c r="BA102" s="77"/>
      <c r="BB102" s="77"/>
      <c r="BC102" s="77"/>
      <c r="BD102" s="77"/>
      <c r="BE102" s="77"/>
    </row>
    <row r="103">
      <c r="A103" s="77" t="s">
        <v>2003</v>
      </c>
      <c r="B103" s="77" t="s">
        <v>2003</v>
      </c>
      <c r="C103" s="77" t="s">
        <v>2005</v>
      </c>
      <c r="D103" s="211" t="s">
        <v>2003</v>
      </c>
      <c r="E103" s="212" t="s">
        <v>2003</v>
      </c>
      <c r="F103" s="212" t="s">
        <v>2003</v>
      </c>
      <c r="G103" s="188"/>
      <c r="H103" s="188"/>
      <c r="I103" s="188"/>
      <c r="J103" s="213">
        <v>1.67273376E8</v>
      </c>
      <c r="K103" s="213">
        <v>1.068139791E9</v>
      </c>
      <c r="L103" s="77"/>
      <c r="M103" s="77"/>
      <c r="N103" s="77"/>
      <c r="O103" s="78" t="s">
        <v>116</v>
      </c>
      <c r="P103" s="211" t="s">
        <v>283</v>
      </c>
      <c r="Q103" s="214" t="s">
        <v>2007</v>
      </c>
      <c r="R103" s="77" t="s">
        <v>2004</v>
      </c>
      <c r="S103" s="77"/>
      <c r="T103" s="211" t="s">
        <v>6539</v>
      </c>
      <c r="U103" s="211" t="s">
        <v>6541</v>
      </c>
      <c r="V103" s="77"/>
      <c r="W103" s="77"/>
      <c r="X103" s="77"/>
      <c r="Y103" s="77"/>
      <c r="Z103" s="216">
        <v>2.106909808E9</v>
      </c>
      <c r="AA103" s="77" t="s">
        <v>6540</v>
      </c>
      <c r="AB103" s="217" t="s">
        <v>3575</v>
      </c>
      <c r="AC103" s="77" t="str">
        <f t="shared" si="3"/>
        <v>Kрем для волос разглаживающий праймер кондиционер реконструктор флюид для непослушных или кудрявых волос для кончиков Султан 300мл Алтея La Sultane</v>
      </c>
      <c r="AD103" s="218">
        <v>7.0</v>
      </c>
      <c r="AE103" s="216">
        <v>10.0</v>
      </c>
      <c r="AF103" s="218">
        <v>7.0</v>
      </c>
      <c r="AG103" s="216">
        <v>7.0</v>
      </c>
      <c r="AH103" s="77"/>
      <c r="AI103" s="216">
        <v>0.08</v>
      </c>
      <c r="AJ103" s="77"/>
      <c r="AK103" s="77"/>
      <c r="AL103" s="77"/>
      <c r="AM103" s="77"/>
      <c r="AN103" s="77"/>
      <c r="AO103" s="77"/>
      <c r="AP103" s="77"/>
      <c r="AQ103" s="77"/>
      <c r="AR103" s="77"/>
      <c r="AS103" s="77"/>
      <c r="AT103" s="77"/>
      <c r="AU103" s="77"/>
      <c r="AV103" s="77"/>
      <c r="AW103" s="77"/>
      <c r="AX103" s="77"/>
      <c r="AY103" s="77"/>
      <c r="AZ103" s="77"/>
      <c r="BA103" s="77"/>
      <c r="BB103" s="77"/>
      <c r="BC103" s="77"/>
      <c r="BD103" s="77"/>
      <c r="BE103" s="77"/>
    </row>
    <row r="104">
      <c r="A104" s="77" t="s">
        <v>1988</v>
      </c>
      <c r="B104" s="77" t="s">
        <v>1988</v>
      </c>
      <c r="C104" s="77" t="s">
        <v>1990</v>
      </c>
      <c r="D104" s="211" t="s">
        <v>1988</v>
      </c>
      <c r="E104" s="223" t="s">
        <v>1988</v>
      </c>
      <c r="F104" s="212" t="s">
        <v>1988</v>
      </c>
      <c r="G104" s="188"/>
      <c r="H104" s="188"/>
      <c r="I104" s="188"/>
      <c r="J104" s="221">
        <v>1.33689253E8</v>
      </c>
      <c r="K104" s="213">
        <v>7.80682309E8</v>
      </c>
      <c r="L104" s="77"/>
      <c r="M104" s="77"/>
      <c r="N104" s="77"/>
      <c r="O104" s="78" t="s">
        <v>116</v>
      </c>
      <c r="P104" s="211" t="s">
        <v>283</v>
      </c>
      <c r="Q104" s="222" t="s">
        <v>6546</v>
      </c>
      <c r="R104" s="77" t="s">
        <v>1989</v>
      </c>
      <c r="S104" s="77"/>
      <c r="T104" s="211" t="s">
        <v>6539</v>
      </c>
      <c r="U104" s="215" t="s">
        <v>1027</v>
      </c>
      <c r="V104" s="77"/>
      <c r="W104" s="77"/>
      <c r="X104" s="77"/>
      <c r="Y104" s="77"/>
      <c r="Z104" s="216">
        <v>2.106909808E9</v>
      </c>
      <c r="AA104" s="77" t="s">
        <v>6540</v>
      </c>
      <c r="AB104" s="217" t="s">
        <v>5225</v>
      </c>
      <c r="AC104" s="77" t="str">
        <f t="shared" si="3"/>
        <v>Крем для лица антивозрастной, Крем филлер вокруг глаз, с коллагеном с ниацинамидом, Алтея, 15 мл</v>
      </c>
      <c r="AD104" s="218">
        <v>7.0</v>
      </c>
      <c r="AE104" s="216">
        <v>8.0</v>
      </c>
      <c r="AF104" s="218">
        <v>7.0</v>
      </c>
      <c r="AG104" s="216">
        <v>7.0</v>
      </c>
      <c r="AH104" s="77"/>
      <c r="AI104" s="216">
        <v>0.105</v>
      </c>
      <c r="AJ104" s="77"/>
      <c r="AK104" s="77"/>
      <c r="AL104" s="77"/>
      <c r="AM104" s="77"/>
      <c r="AN104" s="77"/>
      <c r="AO104" s="77"/>
      <c r="AP104" s="77"/>
      <c r="AQ104" s="77"/>
      <c r="AR104" s="77"/>
      <c r="AS104" s="77"/>
      <c r="AT104" s="77"/>
      <c r="AU104" s="77"/>
      <c r="AV104" s="77"/>
      <c r="AW104" s="77"/>
      <c r="AX104" s="77"/>
      <c r="AY104" s="77"/>
      <c r="AZ104" s="77"/>
      <c r="BA104" s="77"/>
      <c r="BB104" s="77"/>
      <c r="BC104" s="77"/>
      <c r="BD104" s="77"/>
      <c r="BE104" s="77"/>
    </row>
    <row r="105">
      <c r="A105" s="77" t="s">
        <v>2123</v>
      </c>
      <c r="B105" s="77" t="s">
        <v>2123</v>
      </c>
      <c r="C105" s="77" t="s">
        <v>2125</v>
      </c>
      <c r="D105" s="211" t="s">
        <v>2123</v>
      </c>
      <c r="E105" s="212" t="s">
        <v>2123</v>
      </c>
      <c r="F105" s="212" t="s">
        <v>2123</v>
      </c>
      <c r="G105" s="212" t="s">
        <v>2123</v>
      </c>
      <c r="H105" s="188"/>
      <c r="I105" s="188"/>
      <c r="J105" s="213">
        <v>2.2917784E8</v>
      </c>
      <c r="K105" s="213">
        <v>1.56674041E9</v>
      </c>
      <c r="L105" s="220">
        <v>1.03398260185E11</v>
      </c>
      <c r="M105" s="77"/>
      <c r="N105" s="77"/>
      <c r="O105" s="78" t="s">
        <v>116</v>
      </c>
      <c r="P105" s="211" t="s">
        <v>283</v>
      </c>
      <c r="Q105" s="214" t="s">
        <v>2126</v>
      </c>
      <c r="R105" s="77" t="s">
        <v>2124</v>
      </c>
      <c r="S105" s="77"/>
      <c r="T105" s="211" t="s">
        <v>6539</v>
      </c>
      <c r="U105" s="215" t="s">
        <v>1027</v>
      </c>
      <c r="V105" s="77"/>
      <c r="W105" s="77"/>
      <c r="X105" s="77"/>
      <c r="Y105" s="77"/>
      <c r="Z105" s="216">
        <v>2.106909808E9</v>
      </c>
      <c r="AA105" s="77" t="s">
        <v>6540</v>
      </c>
      <c r="AB105" s="217" t="s">
        <v>4364</v>
      </c>
      <c r="AC105" s="77" t="str">
        <f t="shared" si="3"/>
        <v>Крем с мочевиной 10% увлажняющий для рук и тела, от трещин на пятках и сухости, 100 мл, Алтея</v>
      </c>
      <c r="AD105" s="218">
        <v>6.0</v>
      </c>
      <c r="AE105" s="216">
        <v>9.0</v>
      </c>
      <c r="AF105" s="218">
        <v>6.0</v>
      </c>
      <c r="AG105" s="216">
        <v>6.0</v>
      </c>
      <c r="AH105" s="77"/>
      <c r="AI105" s="216">
        <v>0.036</v>
      </c>
      <c r="AJ105" s="77"/>
      <c r="AK105" s="77"/>
      <c r="AL105" s="77"/>
      <c r="AM105" s="77"/>
      <c r="AN105" s="77"/>
      <c r="AO105" s="77"/>
      <c r="AP105" s="77"/>
      <c r="AQ105" s="77"/>
      <c r="AR105" s="77"/>
      <c r="AS105" s="77"/>
      <c r="AT105" s="77"/>
      <c r="AU105" s="77"/>
      <c r="AV105" s="77"/>
      <c r="AW105" s="77"/>
      <c r="AX105" s="77"/>
      <c r="AY105" s="77"/>
      <c r="AZ105" s="77"/>
      <c r="BA105" s="77"/>
      <c r="BB105" s="77"/>
      <c r="BC105" s="77"/>
      <c r="BD105" s="77"/>
      <c r="BE105" s="77"/>
    </row>
    <row r="106">
      <c r="A106" s="77" t="s">
        <v>1139</v>
      </c>
      <c r="B106" s="77" t="s">
        <v>1139</v>
      </c>
      <c r="C106" s="77" t="s">
        <v>1142</v>
      </c>
      <c r="D106" s="211" t="s">
        <v>1139</v>
      </c>
      <c r="E106" s="212" t="s">
        <v>1139</v>
      </c>
      <c r="F106" s="212" t="s">
        <v>1139</v>
      </c>
      <c r="G106" s="212" t="s">
        <v>1139</v>
      </c>
      <c r="H106" s="188"/>
      <c r="I106" s="188"/>
      <c r="J106" s="213">
        <v>1.38758948E8</v>
      </c>
      <c r="K106" s="213">
        <v>8.1482422E8</v>
      </c>
      <c r="L106" s="220">
        <v>1.01948497015E11</v>
      </c>
      <c r="M106" s="77"/>
      <c r="N106" s="77"/>
      <c r="O106" s="78" t="s">
        <v>116</v>
      </c>
      <c r="P106" s="211" t="s">
        <v>283</v>
      </c>
      <c r="Q106" s="214" t="s">
        <v>1144</v>
      </c>
      <c r="R106" s="77" t="s">
        <v>1141</v>
      </c>
      <c r="S106" s="77"/>
      <c r="T106" s="211" t="s">
        <v>6539</v>
      </c>
      <c r="U106" s="214" t="s">
        <v>1027</v>
      </c>
      <c r="V106" s="77"/>
      <c r="W106" s="77"/>
      <c r="X106" s="77"/>
      <c r="Y106" s="77"/>
      <c r="Z106" s="216">
        <v>3.504009E9</v>
      </c>
      <c r="AA106" s="77" t="s">
        <v>6540</v>
      </c>
      <c r="AB106" s="217" t="s">
        <v>3066</v>
      </c>
      <c r="AC106" s="77" t="str">
        <f t="shared" si="3"/>
        <v>Антицеллюитный крем гель для тела от целлюлита Алтея 250 мл</v>
      </c>
      <c r="AD106" s="218">
        <v>9.0</v>
      </c>
      <c r="AE106" s="216">
        <v>6.0</v>
      </c>
      <c r="AF106" s="218">
        <v>9.0</v>
      </c>
      <c r="AG106" s="216">
        <v>6.0</v>
      </c>
      <c r="AH106" s="77"/>
      <c r="AI106" s="216">
        <v>0.05</v>
      </c>
      <c r="AJ106" s="77"/>
      <c r="AK106" s="77"/>
      <c r="AL106" s="77"/>
      <c r="AM106" s="77"/>
      <c r="AN106" s="77"/>
      <c r="AO106" s="77"/>
      <c r="AP106" s="77"/>
      <c r="AQ106" s="77"/>
      <c r="AR106" s="77"/>
      <c r="AS106" s="77"/>
      <c r="AT106" s="77"/>
      <c r="AU106" s="77"/>
      <c r="AV106" s="77"/>
      <c r="AW106" s="77"/>
      <c r="AX106" s="77"/>
      <c r="AY106" s="77"/>
      <c r="AZ106" s="77"/>
      <c r="BA106" s="77"/>
      <c r="BB106" s="77"/>
      <c r="BC106" s="77"/>
      <c r="BD106" s="77"/>
      <c r="BE106" s="77"/>
    </row>
    <row r="107">
      <c r="A107" s="77" t="s">
        <v>2621</v>
      </c>
      <c r="B107" s="77" t="s">
        <v>2621</v>
      </c>
      <c r="C107" s="77" t="s">
        <v>2623</v>
      </c>
      <c r="D107" s="211" t="s">
        <v>2621</v>
      </c>
      <c r="E107" s="212" t="s">
        <v>2621</v>
      </c>
      <c r="F107" s="212" t="s">
        <v>2621</v>
      </c>
      <c r="G107" s="188"/>
      <c r="H107" s="188"/>
      <c r="I107" s="188"/>
      <c r="J107" s="213">
        <v>1.67679765E8</v>
      </c>
      <c r="K107" s="213">
        <v>1.099581672E9</v>
      </c>
      <c r="L107" s="77"/>
      <c r="M107" s="77"/>
      <c r="N107" s="77"/>
      <c r="O107" s="78" t="s">
        <v>116</v>
      </c>
      <c r="P107" s="211" t="s">
        <v>283</v>
      </c>
      <c r="Q107" s="214" t="s">
        <v>2625</v>
      </c>
      <c r="R107" s="77" t="s">
        <v>2622</v>
      </c>
      <c r="S107" s="77"/>
      <c r="T107" s="211" t="s">
        <v>6539</v>
      </c>
      <c r="U107" s="215" t="s">
        <v>662</v>
      </c>
      <c r="V107" s="77"/>
      <c r="W107" s="77"/>
      <c r="X107" s="77"/>
      <c r="Y107" s="77"/>
      <c r="Z107" s="216">
        <v>2.106909808E9</v>
      </c>
      <c r="AA107" s="77" t="s">
        <v>6540</v>
      </c>
      <c r="AB107" s="217" t="s">
        <v>5545</v>
      </c>
      <c r="AC107" s="77" t="str">
        <f t="shared" si="3"/>
        <v>Таблетки от давления при гипертонии для сердца, чистка сосудов, Алтея, Кардицин, 60 капсул</v>
      </c>
      <c r="AD107" s="218">
        <v>12.0</v>
      </c>
      <c r="AE107" s="216">
        <v>6.0</v>
      </c>
      <c r="AF107" s="218">
        <v>12.0</v>
      </c>
      <c r="AG107" s="216">
        <v>6.0</v>
      </c>
      <c r="AH107" s="77"/>
      <c r="AI107" s="216">
        <v>0.11</v>
      </c>
      <c r="AJ107" s="77"/>
      <c r="AK107" s="77"/>
      <c r="AL107" s="77"/>
      <c r="AM107" s="77"/>
      <c r="AN107" s="77"/>
      <c r="AO107" s="77"/>
      <c r="AP107" s="77"/>
      <c r="AQ107" s="77"/>
      <c r="AR107" s="77"/>
      <c r="AS107" s="77"/>
      <c r="AT107" s="77"/>
      <c r="AU107" s="77"/>
      <c r="AV107" s="77"/>
      <c r="AW107" s="77"/>
      <c r="AX107" s="77"/>
      <c r="AY107" s="77"/>
      <c r="AZ107" s="77"/>
      <c r="BA107" s="77"/>
      <c r="BB107" s="77"/>
      <c r="BC107" s="77"/>
      <c r="BD107" s="77"/>
      <c r="BE107" s="77"/>
    </row>
    <row r="108">
      <c r="A108" s="77" t="s">
        <v>2607</v>
      </c>
      <c r="B108" s="77" t="s">
        <v>2607</v>
      </c>
      <c r="C108" s="77" t="s">
        <v>2609</v>
      </c>
      <c r="D108" s="211" t="s">
        <v>2607</v>
      </c>
      <c r="E108" s="212" t="s">
        <v>2607</v>
      </c>
      <c r="F108" s="212" t="s">
        <v>2607</v>
      </c>
      <c r="G108" s="188"/>
      <c r="H108" s="188"/>
      <c r="I108" s="188"/>
      <c r="J108" s="213">
        <v>1.40944929E8</v>
      </c>
      <c r="K108" s="213">
        <v>8.25733116E8</v>
      </c>
      <c r="L108" s="77"/>
      <c r="M108" s="77"/>
      <c r="N108" s="77"/>
      <c r="O108" s="78" t="s">
        <v>116</v>
      </c>
      <c r="P108" s="211" t="s">
        <v>283</v>
      </c>
      <c r="Q108" s="214" t="s">
        <v>2611</v>
      </c>
      <c r="R108" s="77" t="s">
        <v>2608</v>
      </c>
      <c r="S108" s="77"/>
      <c r="T108" s="211" t="s">
        <v>6539</v>
      </c>
      <c r="U108" s="215" t="s">
        <v>662</v>
      </c>
      <c r="V108" s="77"/>
      <c r="W108" s="77"/>
      <c r="X108" s="77"/>
      <c r="Y108" s="77"/>
      <c r="Z108" s="216">
        <v>3.504009E9</v>
      </c>
      <c r="AA108" s="77" t="s">
        <v>6540</v>
      </c>
      <c r="AB108" s="217" t="s">
        <v>2919</v>
      </c>
      <c r="AC108" s="77" t="str">
        <f t="shared" si="3"/>
        <v>Спрей для волос для роста и от выпадения волос никотиновая кислота перец размарин Алтея 100 мл</v>
      </c>
      <c r="AD108" s="218">
        <v>12.0</v>
      </c>
      <c r="AE108" s="216">
        <v>6.0</v>
      </c>
      <c r="AF108" s="218">
        <v>12.0</v>
      </c>
      <c r="AG108" s="216">
        <v>6.0</v>
      </c>
      <c r="AH108" s="77"/>
      <c r="AI108" s="216">
        <v>0.1</v>
      </c>
      <c r="AJ108" s="77"/>
      <c r="AK108" s="77"/>
      <c r="AL108" s="77"/>
      <c r="AM108" s="77"/>
      <c r="AN108" s="77"/>
      <c r="AO108" s="77"/>
      <c r="AP108" s="77"/>
      <c r="AQ108" s="77"/>
      <c r="AR108" s="77"/>
      <c r="AS108" s="77"/>
      <c r="AT108" s="77"/>
      <c r="AU108" s="77"/>
      <c r="AV108" s="77"/>
      <c r="AW108" s="77"/>
      <c r="AX108" s="77"/>
      <c r="AY108" s="77"/>
      <c r="AZ108" s="77"/>
      <c r="BA108" s="77"/>
      <c r="BB108" s="77"/>
      <c r="BC108" s="77"/>
      <c r="BD108" s="77"/>
      <c r="BE108" s="77"/>
    </row>
    <row r="109">
      <c r="A109" s="77" t="s">
        <v>2554</v>
      </c>
      <c r="B109" s="77" t="s">
        <v>2554</v>
      </c>
      <c r="C109" s="77" t="s">
        <v>2556</v>
      </c>
      <c r="D109" s="211" t="s">
        <v>2554</v>
      </c>
      <c r="E109" s="212" t="s">
        <v>2554</v>
      </c>
      <c r="F109" s="212" t="s">
        <v>2554</v>
      </c>
      <c r="G109" s="188"/>
      <c r="H109" s="188"/>
      <c r="I109" s="188"/>
      <c r="J109" s="213">
        <v>1.4094636E8</v>
      </c>
      <c r="K109" s="213">
        <v>8.26800291E8</v>
      </c>
      <c r="L109" s="77"/>
      <c r="M109" s="77"/>
      <c r="N109" s="77"/>
      <c r="O109" s="78" t="s">
        <v>116</v>
      </c>
      <c r="P109" s="211" t="s">
        <v>283</v>
      </c>
      <c r="Q109" s="214" t="s">
        <v>2558</v>
      </c>
      <c r="R109" s="77" t="s">
        <v>2555</v>
      </c>
      <c r="S109" s="77"/>
      <c r="T109" s="211" t="s">
        <v>6539</v>
      </c>
      <c r="U109" s="215" t="s">
        <v>662</v>
      </c>
      <c r="V109" s="77"/>
      <c r="W109" s="77"/>
      <c r="X109" s="77"/>
      <c r="Y109" s="77"/>
      <c r="Z109" s="216">
        <v>3.504009E9</v>
      </c>
      <c r="AA109" s="77" t="s">
        <v>6540</v>
      </c>
      <c r="AB109" s="217" t="s">
        <v>4691</v>
      </c>
      <c r="AC109" s="77" t="str">
        <f t="shared" si="3"/>
        <v>Ремувер для удаления кутикулы, Алтея, 40 мл х 2</v>
      </c>
      <c r="AD109" s="218">
        <v>12.0</v>
      </c>
      <c r="AE109" s="216">
        <v>6.0</v>
      </c>
      <c r="AF109" s="218">
        <v>12.0</v>
      </c>
      <c r="AG109" s="216">
        <v>6.0</v>
      </c>
      <c r="AH109" s="77"/>
      <c r="AI109" s="216">
        <v>0.11</v>
      </c>
      <c r="AJ109" s="77"/>
      <c r="AK109" s="77"/>
      <c r="AL109" s="77"/>
      <c r="AM109" s="77"/>
      <c r="AN109" s="77"/>
      <c r="AO109" s="77"/>
      <c r="AP109" s="77"/>
      <c r="AQ109" s="77"/>
      <c r="AR109" s="77"/>
      <c r="AS109" s="77"/>
      <c r="AT109" s="77"/>
      <c r="AU109" s="77"/>
      <c r="AV109" s="77"/>
      <c r="AW109" s="77"/>
      <c r="AX109" s="77"/>
      <c r="AY109" s="77"/>
      <c r="AZ109" s="77"/>
      <c r="BA109" s="77"/>
      <c r="BB109" s="77"/>
      <c r="BC109" s="77"/>
      <c r="BD109" s="77"/>
      <c r="BE109" s="77"/>
    </row>
    <row r="110">
      <c r="A110" s="77" t="s">
        <v>1703</v>
      </c>
      <c r="B110" s="77" t="s">
        <v>1703</v>
      </c>
      <c r="C110" s="77" t="s">
        <v>1705</v>
      </c>
      <c r="D110" s="211" t="s">
        <v>1703</v>
      </c>
      <c r="E110" s="212" t="s">
        <v>1703</v>
      </c>
      <c r="F110" s="212" t="s">
        <v>1703</v>
      </c>
      <c r="G110" s="212" t="s">
        <v>1703</v>
      </c>
      <c r="H110" s="188"/>
      <c r="I110" s="188"/>
      <c r="J110" s="213">
        <v>1.65241082E8</v>
      </c>
      <c r="K110" s="213">
        <v>1.032691496E9</v>
      </c>
      <c r="L110" s="220">
        <v>1.02054388448E11</v>
      </c>
      <c r="M110" s="77"/>
      <c r="N110" s="77"/>
      <c r="O110" s="78" t="s">
        <v>116</v>
      </c>
      <c r="P110" s="211" t="s">
        <v>283</v>
      </c>
      <c r="Q110" s="214" t="s">
        <v>665</v>
      </c>
      <c r="R110" s="77" t="s">
        <v>1704</v>
      </c>
      <c r="S110" s="77"/>
      <c r="T110" s="211" t="s">
        <v>6539</v>
      </c>
      <c r="U110" s="215" t="s">
        <v>662</v>
      </c>
      <c r="V110" s="77"/>
      <c r="W110" s="77"/>
      <c r="X110" s="77"/>
      <c r="Y110" s="77"/>
      <c r="Z110" s="216">
        <v>2.106909808E9</v>
      </c>
      <c r="AA110" s="77" t="s">
        <v>6540</v>
      </c>
      <c r="AB110" s="217" t="s">
        <v>4501</v>
      </c>
      <c r="AC110" s="77" t="str">
        <f t="shared" si="3"/>
        <v>Спрей для волос 17 в 1 восстанавливающий с кератином, Алтея, 200 мл</v>
      </c>
      <c r="AD110" s="218">
        <v>11.0</v>
      </c>
      <c r="AE110" s="216">
        <v>5.0</v>
      </c>
      <c r="AF110" s="218">
        <v>11.0</v>
      </c>
      <c r="AG110" s="216">
        <v>6.0</v>
      </c>
      <c r="AH110" s="77"/>
      <c r="AI110" s="216">
        <v>0.145</v>
      </c>
      <c r="AJ110" s="77"/>
      <c r="AK110" s="77"/>
      <c r="AL110" s="77"/>
      <c r="AM110" s="77"/>
      <c r="AN110" s="77"/>
      <c r="AO110" s="77"/>
      <c r="AP110" s="77"/>
      <c r="AQ110" s="77"/>
      <c r="AR110" s="77"/>
      <c r="AS110" s="77"/>
      <c r="AT110" s="77"/>
      <c r="AU110" s="77"/>
      <c r="AV110" s="77"/>
      <c r="AW110" s="77"/>
      <c r="AX110" s="77"/>
      <c r="AY110" s="77"/>
      <c r="AZ110" s="77"/>
      <c r="BA110" s="77"/>
      <c r="BB110" s="77"/>
      <c r="BC110" s="77"/>
      <c r="BD110" s="77"/>
      <c r="BE110" s="77"/>
    </row>
    <row r="111">
      <c r="A111" s="77" t="s">
        <v>788</v>
      </c>
      <c r="B111" s="77" t="s">
        <v>788</v>
      </c>
      <c r="C111" s="77" t="s">
        <v>790</v>
      </c>
      <c r="D111" s="211" t="s">
        <v>788</v>
      </c>
      <c r="E111" s="212" t="s">
        <v>788</v>
      </c>
      <c r="F111" s="212" t="s">
        <v>788</v>
      </c>
      <c r="G111" s="212" t="s">
        <v>788</v>
      </c>
      <c r="H111" s="188"/>
      <c r="I111" s="188"/>
      <c r="J111" s="213">
        <v>3.37468231E8</v>
      </c>
      <c r="K111" s="213">
        <v>1.884226546E9</v>
      </c>
      <c r="L111" s="220">
        <v>1.03812558261E11</v>
      </c>
      <c r="M111" s="77"/>
      <c r="N111" s="77"/>
      <c r="O111" s="78" t="s">
        <v>116</v>
      </c>
      <c r="P111" s="211" t="s">
        <v>283</v>
      </c>
      <c r="Q111" s="214" t="s">
        <v>792</v>
      </c>
      <c r="R111" s="77" t="s">
        <v>789</v>
      </c>
      <c r="S111" s="77"/>
      <c r="T111" s="211" t="s">
        <v>6539</v>
      </c>
      <c r="U111" s="211" t="s">
        <v>6541</v>
      </c>
      <c r="V111" s="77"/>
      <c r="W111" s="77"/>
      <c r="X111" s="77"/>
      <c r="Y111" s="77"/>
      <c r="Z111" s="216">
        <v>2.106909808E9</v>
      </c>
      <c r="AA111" s="77" t="s">
        <v>6540</v>
      </c>
      <c r="AB111" s="217" t="s">
        <v>4610</v>
      </c>
      <c r="AC111" s="77" t="str">
        <f t="shared" si="3"/>
        <v>Ремувер для удаления кутикулы, Алтея, 40 мл</v>
      </c>
      <c r="AD111" s="218">
        <v>5.0</v>
      </c>
      <c r="AE111" s="216">
        <v>9.0</v>
      </c>
      <c r="AF111" s="218">
        <v>5.0</v>
      </c>
      <c r="AG111" s="216">
        <v>5.0</v>
      </c>
      <c r="AH111" s="77"/>
      <c r="AI111" s="216">
        <v>0.047</v>
      </c>
      <c r="AJ111" s="77"/>
      <c r="AK111" s="77"/>
      <c r="AL111" s="77"/>
      <c r="AM111" s="77"/>
      <c r="AN111" s="77"/>
      <c r="AO111" s="77"/>
      <c r="AP111" s="77"/>
      <c r="AQ111" s="77"/>
      <c r="AR111" s="77"/>
      <c r="AS111" s="77"/>
      <c r="AT111" s="77"/>
      <c r="AU111" s="77"/>
      <c r="AV111" s="77"/>
      <c r="AW111" s="77"/>
      <c r="AX111" s="77"/>
      <c r="AY111" s="77"/>
      <c r="AZ111" s="77"/>
      <c r="BA111" s="77"/>
      <c r="BB111" s="77"/>
      <c r="BC111" s="77"/>
      <c r="BD111" s="77"/>
      <c r="BE111" s="77"/>
    </row>
    <row r="112">
      <c r="A112" s="77" t="s">
        <v>750</v>
      </c>
      <c r="B112" s="77" t="s">
        <v>750</v>
      </c>
      <c r="C112" s="77" t="s">
        <v>753</v>
      </c>
      <c r="D112" s="211" t="s">
        <v>750</v>
      </c>
      <c r="E112" s="212" t="s">
        <v>750</v>
      </c>
      <c r="F112" s="212" t="s">
        <v>750</v>
      </c>
      <c r="G112" s="212" t="s">
        <v>750</v>
      </c>
      <c r="H112" s="188"/>
      <c r="I112" s="212" t="s">
        <v>750</v>
      </c>
      <c r="J112" s="213">
        <v>3.11795896E8</v>
      </c>
      <c r="K112" s="213">
        <v>1.77339413E9</v>
      </c>
      <c r="L112" s="220">
        <v>1.03665479999E11</v>
      </c>
      <c r="M112" s="77"/>
      <c r="N112" s="213">
        <v>9.9000117795E10</v>
      </c>
      <c r="O112" s="78" t="s">
        <v>116</v>
      </c>
      <c r="P112" s="211" t="s">
        <v>283</v>
      </c>
      <c r="Q112" s="214" t="s">
        <v>755</v>
      </c>
      <c r="R112" s="77" t="s">
        <v>752</v>
      </c>
      <c r="S112" s="77"/>
      <c r="T112" s="211" t="s">
        <v>6539</v>
      </c>
      <c r="U112" s="211" t="s">
        <v>6541</v>
      </c>
      <c r="V112" s="77"/>
      <c r="W112" s="77"/>
      <c r="X112" s="77"/>
      <c r="Y112" s="77"/>
      <c r="Z112" s="216">
        <v>2.106909808E9</v>
      </c>
      <c r="AA112" s="77" t="s">
        <v>6540</v>
      </c>
      <c r="AB112" s="217" t="s">
        <v>4224</v>
      </c>
      <c r="AC112" s="77" t="str">
        <f t="shared" si="3"/>
        <v>Точечный крем от прыщей. Корректор точечный против прыщей, крем от акне. Салициловая кислота, азелаиновая кислота Алтея 20 мл</v>
      </c>
      <c r="AD112" s="218">
        <v>12.0</v>
      </c>
      <c r="AE112" s="216">
        <v>6.0</v>
      </c>
      <c r="AF112" s="218">
        <v>12.0</v>
      </c>
      <c r="AG112" s="216">
        <v>6.0</v>
      </c>
      <c r="AH112" s="77"/>
      <c r="AI112" s="216">
        <v>0.074</v>
      </c>
      <c r="AJ112" s="77"/>
      <c r="AK112" s="77"/>
      <c r="AL112" s="77"/>
      <c r="AM112" s="77"/>
      <c r="AN112" s="77"/>
      <c r="AO112" s="77"/>
      <c r="AP112" s="77"/>
      <c r="AQ112" s="77"/>
      <c r="AR112" s="77"/>
      <c r="AS112" s="77"/>
      <c r="AT112" s="77"/>
      <c r="AU112" s="77"/>
      <c r="AV112" s="77"/>
      <c r="AW112" s="77"/>
      <c r="AX112" s="77"/>
      <c r="AY112" s="77"/>
      <c r="AZ112" s="77"/>
      <c r="BA112" s="77"/>
      <c r="BB112" s="77"/>
      <c r="BC112" s="77"/>
      <c r="BD112" s="77"/>
      <c r="BE112" s="77"/>
    </row>
    <row r="113">
      <c r="A113" s="77" t="s">
        <v>2378</v>
      </c>
      <c r="B113" s="77" t="s">
        <v>2378</v>
      </c>
      <c r="C113" s="77" t="s">
        <v>2380</v>
      </c>
      <c r="D113" s="211" t="s">
        <v>2378</v>
      </c>
      <c r="E113" s="212" t="s">
        <v>2378</v>
      </c>
      <c r="F113" s="212" t="s">
        <v>2378</v>
      </c>
      <c r="G113" s="188"/>
      <c r="H113" s="188"/>
      <c r="I113" s="188"/>
      <c r="J113" s="213">
        <v>1.59980276E8</v>
      </c>
      <c r="K113" s="213">
        <v>9.67642951E8</v>
      </c>
      <c r="L113" s="77"/>
      <c r="M113" s="77"/>
      <c r="N113" s="77"/>
      <c r="O113" s="78" t="s">
        <v>116</v>
      </c>
      <c r="P113" s="211" t="s">
        <v>283</v>
      </c>
      <c r="Q113" s="214" t="s">
        <v>2382</v>
      </c>
      <c r="R113" s="77" t="s">
        <v>2379</v>
      </c>
      <c r="S113" s="77"/>
      <c r="T113" s="211" t="s">
        <v>6539</v>
      </c>
      <c r="U113" s="211" t="s">
        <v>6541</v>
      </c>
      <c r="V113" s="77"/>
      <c r="W113" s="77"/>
      <c r="X113" s="77"/>
      <c r="Y113" s="77"/>
      <c r="Z113" s="216">
        <v>2.106909808E9</v>
      </c>
      <c r="AA113" s="77" t="s">
        <v>6540</v>
      </c>
      <c r="AB113" s="217" t="s">
        <v>3243</v>
      </c>
      <c r="AC113" s="77" t="str">
        <f t="shared" si="3"/>
        <v>Пенка для укладки кудрявых волос Алтея 150 мл</v>
      </c>
      <c r="AD113" s="218">
        <v>2.0</v>
      </c>
      <c r="AE113" s="216">
        <v>10.0</v>
      </c>
      <c r="AF113" s="218">
        <v>2.0</v>
      </c>
      <c r="AG113" s="216">
        <v>3.0</v>
      </c>
      <c r="AH113" s="77"/>
      <c r="AI113" s="216">
        <v>0.01</v>
      </c>
      <c r="AJ113" s="77"/>
      <c r="AK113" s="77"/>
      <c r="AL113" s="77"/>
      <c r="AM113" s="77"/>
      <c r="AN113" s="77"/>
      <c r="AO113" s="77"/>
      <c r="AP113" s="77"/>
      <c r="AQ113" s="77"/>
      <c r="AR113" s="77"/>
      <c r="AS113" s="77"/>
      <c r="AT113" s="77"/>
      <c r="AU113" s="77"/>
      <c r="AV113" s="77"/>
      <c r="AW113" s="77"/>
      <c r="AX113" s="77"/>
      <c r="AY113" s="77"/>
      <c r="AZ113" s="77"/>
      <c r="BA113" s="77"/>
      <c r="BB113" s="77"/>
      <c r="BC113" s="77"/>
      <c r="BD113" s="77"/>
      <c r="BE113" s="77"/>
    </row>
    <row r="114">
      <c r="A114" s="77" t="s">
        <v>1754</v>
      </c>
      <c r="B114" s="77" t="s">
        <v>1754</v>
      </c>
      <c r="C114" s="77" t="s">
        <v>1756</v>
      </c>
      <c r="D114" s="211" t="s">
        <v>1754</v>
      </c>
      <c r="E114" s="212" t="s">
        <v>1754</v>
      </c>
      <c r="F114" s="212" t="s">
        <v>1754</v>
      </c>
      <c r="G114" s="212" t="s">
        <v>1754</v>
      </c>
      <c r="H114" s="188"/>
      <c r="I114" s="188"/>
      <c r="J114" s="213">
        <v>2.29246778E8</v>
      </c>
      <c r="K114" s="213">
        <v>1.566871461E9</v>
      </c>
      <c r="L114" s="220">
        <v>1.03397810974E11</v>
      </c>
      <c r="M114" s="77"/>
      <c r="N114" s="77"/>
      <c r="O114" s="78" t="s">
        <v>116</v>
      </c>
      <c r="P114" s="211" t="s">
        <v>283</v>
      </c>
      <c r="Q114" s="214" t="s">
        <v>1758</v>
      </c>
      <c r="R114" s="77" t="s">
        <v>1755</v>
      </c>
      <c r="S114" s="77"/>
      <c r="T114" s="211" t="s">
        <v>6539</v>
      </c>
      <c r="U114" s="215" t="s">
        <v>662</v>
      </c>
      <c r="V114" s="77"/>
      <c r="W114" s="77"/>
      <c r="X114" s="77"/>
      <c r="Y114" s="77"/>
      <c r="Z114" s="216">
        <v>2.106909808E9</v>
      </c>
      <c r="AA114" s="77" t="s">
        <v>6540</v>
      </c>
      <c r="AB114" s="217" t="s">
        <v>3156</v>
      </c>
      <c r="AC114" s="77" t="str">
        <f t="shared" si="3"/>
        <v>Масло для роста бороды, средство для роста, уход за бородой, смягчающее, Алтея, 50 мл</v>
      </c>
      <c r="AD114" s="218">
        <v>9.0</v>
      </c>
      <c r="AE114" s="216">
        <v>11.0</v>
      </c>
      <c r="AF114" s="218">
        <v>9.0</v>
      </c>
      <c r="AG114" s="216">
        <v>9.0</v>
      </c>
      <c r="AH114" s="77"/>
      <c r="AI114" s="216">
        <v>0.368</v>
      </c>
      <c r="AJ114" s="77"/>
      <c r="AK114" s="77"/>
      <c r="AL114" s="77"/>
      <c r="AM114" s="77"/>
      <c r="AN114" s="77"/>
      <c r="AO114" s="77"/>
      <c r="AP114" s="77"/>
      <c r="AQ114" s="77"/>
      <c r="AR114" s="77"/>
      <c r="AS114" s="77"/>
      <c r="AT114" s="77"/>
      <c r="AU114" s="77"/>
      <c r="AV114" s="77"/>
      <c r="AW114" s="77"/>
      <c r="AX114" s="77"/>
      <c r="AY114" s="77"/>
      <c r="AZ114" s="77"/>
      <c r="BA114" s="77"/>
      <c r="BB114" s="77"/>
      <c r="BC114" s="77"/>
      <c r="BD114" s="77"/>
      <c r="BE114" s="77"/>
    </row>
    <row r="115">
      <c r="A115" s="77" t="s">
        <v>1683</v>
      </c>
      <c r="B115" s="77" t="s">
        <v>1683</v>
      </c>
      <c r="C115" s="77" t="s">
        <v>1685</v>
      </c>
      <c r="D115" s="211" t="s">
        <v>1683</v>
      </c>
      <c r="E115" s="212" t="s">
        <v>1683</v>
      </c>
      <c r="F115" s="212" t="s">
        <v>1683</v>
      </c>
      <c r="G115" s="212" t="s">
        <v>1683</v>
      </c>
      <c r="H115" s="188"/>
      <c r="I115" s="212" t="s">
        <v>1683</v>
      </c>
      <c r="J115" s="213">
        <v>2.71462078E8</v>
      </c>
      <c r="K115" s="213">
        <v>1.731455142E9</v>
      </c>
      <c r="L115" s="220">
        <v>1.0358214911E11</v>
      </c>
      <c r="M115" s="77"/>
      <c r="N115" s="213">
        <v>9.9000118346E10</v>
      </c>
      <c r="O115" s="78" t="s">
        <v>116</v>
      </c>
      <c r="P115" s="211" t="s">
        <v>283</v>
      </c>
      <c r="Q115" s="214" t="s">
        <v>1687</v>
      </c>
      <c r="R115" s="77" t="s">
        <v>1684</v>
      </c>
      <c r="S115" s="77"/>
      <c r="T115" s="211" t="s">
        <v>6539</v>
      </c>
      <c r="U115" s="215" t="s">
        <v>662</v>
      </c>
      <c r="V115" s="77"/>
      <c r="W115" s="77"/>
      <c r="X115" s="77"/>
      <c r="Y115" s="77"/>
      <c r="Z115" s="216">
        <v>2.106909808E9</v>
      </c>
      <c r="AA115" s="77" t="s">
        <v>6540</v>
      </c>
      <c r="AB115" s="217" t="s">
        <v>4364</v>
      </c>
      <c r="AC115" s="77" t="str">
        <f t="shared" si="3"/>
        <v>Крем с мочевиной 10% увлажняющий для рук и тела, от трещин на пятках и сухости, 100 мл, Алтея</v>
      </c>
      <c r="AD115" s="218">
        <v>8.0</v>
      </c>
      <c r="AE115" s="216">
        <v>4.0</v>
      </c>
      <c r="AF115" s="218">
        <v>8.0</v>
      </c>
      <c r="AG115" s="216">
        <v>5.0</v>
      </c>
      <c r="AH115" s="77"/>
      <c r="AI115" s="216">
        <v>0.048</v>
      </c>
      <c r="AJ115" s="77"/>
      <c r="AK115" s="77"/>
      <c r="AL115" s="77"/>
      <c r="AM115" s="77"/>
      <c r="AN115" s="77"/>
      <c r="AO115" s="77"/>
      <c r="AP115" s="77"/>
      <c r="AQ115" s="77"/>
      <c r="AR115" s="77"/>
      <c r="AS115" s="77"/>
      <c r="AT115" s="77"/>
      <c r="AU115" s="77"/>
      <c r="AV115" s="77"/>
      <c r="AW115" s="77"/>
      <c r="AX115" s="77"/>
      <c r="AY115" s="77"/>
      <c r="AZ115" s="77"/>
      <c r="BA115" s="77"/>
      <c r="BB115" s="77"/>
      <c r="BC115" s="77"/>
      <c r="BD115" s="77"/>
      <c r="BE115" s="77"/>
    </row>
    <row r="116">
      <c r="A116" s="77" t="s">
        <v>1045</v>
      </c>
      <c r="B116" s="77" t="s">
        <v>1045</v>
      </c>
      <c r="C116" s="77" t="s">
        <v>1048</v>
      </c>
      <c r="D116" s="211" t="s">
        <v>1045</v>
      </c>
      <c r="E116" s="212" t="s">
        <v>1045</v>
      </c>
      <c r="F116" s="212" t="s">
        <v>1045</v>
      </c>
      <c r="G116" s="212" t="s">
        <v>1045</v>
      </c>
      <c r="H116" s="188"/>
      <c r="I116" s="212" t="s">
        <v>1045</v>
      </c>
      <c r="J116" s="213">
        <v>2.40166228E8</v>
      </c>
      <c r="K116" s="213">
        <v>1.613724697E9</v>
      </c>
      <c r="L116" s="220">
        <v>1.03396767624E11</v>
      </c>
      <c r="M116" s="77"/>
      <c r="N116" s="213">
        <v>9.9000118345E10</v>
      </c>
      <c r="O116" s="78" t="s">
        <v>116</v>
      </c>
      <c r="P116" s="211" t="s">
        <v>283</v>
      </c>
      <c r="Q116" s="214" t="s">
        <v>1050</v>
      </c>
      <c r="R116" s="77" t="s">
        <v>1047</v>
      </c>
      <c r="S116" s="77"/>
      <c r="T116" s="211" t="s">
        <v>6539</v>
      </c>
      <c r="U116" s="215" t="s">
        <v>1027</v>
      </c>
      <c r="V116" s="77"/>
      <c r="W116" s="77"/>
      <c r="X116" s="77"/>
      <c r="Y116" s="77"/>
      <c r="Z116" s="216">
        <v>2.106909808E9</v>
      </c>
      <c r="AA116" s="77" t="s">
        <v>6540</v>
      </c>
      <c r="AB116" s="217" t="s">
        <v>4187</v>
      </c>
      <c r="AC116" s="77" t="str">
        <f t="shared" si="3"/>
        <v>Гель для душа мужской парфюмированный Алтея 1000 мл</v>
      </c>
      <c r="AD116" s="218">
        <v>6.0</v>
      </c>
      <c r="AE116" s="216">
        <v>12.0</v>
      </c>
      <c r="AF116" s="218">
        <v>6.0</v>
      </c>
      <c r="AG116" s="216">
        <v>6.0</v>
      </c>
      <c r="AH116" s="77"/>
      <c r="AI116" s="216">
        <v>0.122</v>
      </c>
      <c r="AJ116" s="77"/>
      <c r="AK116" s="77"/>
      <c r="AL116" s="77"/>
      <c r="AM116" s="77"/>
      <c r="AN116" s="77"/>
      <c r="AO116" s="77"/>
      <c r="AP116" s="77"/>
      <c r="AQ116" s="77"/>
      <c r="AR116" s="77"/>
      <c r="AS116" s="77"/>
      <c r="AT116" s="77"/>
      <c r="AU116" s="77"/>
      <c r="AV116" s="77"/>
      <c r="AW116" s="77"/>
      <c r="AX116" s="77"/>
      <c r="AY116" s="77"/>
      <c r="AZ116" s="77"/>
      <c r="BA116" s="77"/>
      <c r="BB116" s="77"/>
      <c r="BC116" s="77"/>
      <c r="BD116" s="77"/>
      <c r="BE116" s="77"/>
    </row>
    <row r="117">
      <c r="A117" s="77" t="s">
        <v>768</v>
      </c>
      <c r="B117" s="77" t="s">
        <v>768</v>
      </c>
      <c r="C117" s="77" t="s">
        <v>770</v>
      </c>
      <c r="D117" s="211" t="s">
        <v>768</v>
      </c>
      <c r="E117" s="212" t="s">
        <v>768</v>
      </c>
      <c r="F117" s="212" t="s">
        <v>768</v>
      </c>
      <c r="G117" s="212" t="s">
        <v>768</v>
      </c>
      <c r="H117" s="188"/>
      <c r="I117" s="212" t="s">
        <v>768</v>
      </c>
      <c r="J117" s="213">
        <v>3.02436449E8</v>
      </c>
      <c r="K117" s="213">
        <v>1.785810392E9</v>
      </c>
      <c r="L117" s="220">
        <v>1.03689767957E11</v>
      </c>
      <c r="M117" s="77"/>
      <c r="N117" s="213">
        <v>9.9000117793E10</v>
      </c>
      <c r="O117" s="78" t="s">
        <v>116</v>
      </c>
      <c r="P117" s="211" t="s">
        <v>283</v>
      </c>
      <c r="Q117" s="214" t="s">
        <v>772</v>
      </c>
      <c r="R117" s="77" t="s">
        <v>769</v>
      </c>
      <c r="S117" s="77"/>
      <c r="T117" s="211" t="s">
        <v>6539</v>
      </c>
      <c r="U117" s="215" t="s">
        <v>6541</v>
      </c>
      <c r="V117" s="77"/>
      <c r="W117" s="77"/>
      <c r="X117" s="77"/>
      <c r="Y117" s="77"/>
      <c r="Z117" s="216">
        <v>2.914698E9</v>
      </c>
      <c r="AA117" s="77" t="s">
        <v>6540</v>
      </c>
      <c r="AB117" s="217" t="s">
        <v>3628</v>
      </c>
      <c r="AC117" s="77" t="str">
        <f t="shared" si="3"/>
        <v>Энзимная пудра для умывания тела и лица, от прыщей, Алтея, 80г</v>
      </c>
      <c r="AD117" s="218">
        <v>9.0</v>
      </c>
      <c r="AE117" s="216">
        <v>4.0</v>
      </c>
      <c r="AF117" s="218">
        <v>9.0</v>
      </c>
      <c r="AG117" s="216">
        <v>4.0</v>
      </c>
      <c r="AH117" s="77"/>
      <c r="AI117" s="216">
        <v>0.043</v>
      </c>
      <c r="AJ117" s="77"/>
      <c r="AK117" s="77"/>
      <c r="AL117" s="77"/>
      <c r="AM117" s="77"/>
      <c r="AN117" s="77"/>
      <c r="AO117" s="77"/>
      <c r="AP117" s="77"/>
      <c r="AQ117" s="77"/>
      <c r="AR117" s="77"/>
      <c r="AS117" s="77"/>
      <c r="AT117" s="77"/>
      <c r="AU117" s="77"/>
      <c r="AV117" s="77"/>
      <c r="AW117" s="77"/>
      <c r="AX117" s="77"/>
      <c r="AY117" s="77"/>
      <c r="AZ117" s="77"/>
      <c r="BA117" s="77"/>
      <c r="BB117" s="77"/>
      <c r="BC117" s="77"/>
      <c r="BD117" s="77"/>
      <c r="BE117" s="77"/>
    </row>
    <row r="118">
      <c r="A118" s="77" t="s">
        <v>1819</v>
      </c>
      <c r="B118" s="77" t="s">
        <v>1819</v>
      </c>
      <c r="C118" s="77" t="s">
        <v>1822</v>
      </c>
      <c r="D118" s="211" t="s">
        <v>1819</v>
      </c>
      <c r="E118" s="212" t="s">
        <v>1819</v>
      </c>
      <c r="F118" s="212" t="s">
        <v>1819</v>
      </c>
      <c r="G118" s="212" t="s">
        <v>1819</v>
      </c>
      <c r="H118" s="225" t="s">
        <v>1819</v>
      </c>
      <c r="I118" s="212" t="s">
        <v>1819</v>
      </c>
      <c r="J118" s="213">
        <v>3.02419362E8</v>
      </c>
      <c r="K118" s="213">
        <v>1.785782001E9</v>
      </c>
      <c r="L118" s="220">
        <v>1.0368989109E11</v>
      </c>
      <c r="M118" s="211" t="s">
        <v>1823</v>
      </c>
      <c r="N118" s="213">
        <v>9.9000116835E10</v>
      </c>
      <c r="O118" s="78" t="s">
        <v>116</v>
      </c>
      <c r="P118" s="211" t="s">
        <v>283</v>
      </c>
      <c r="Q118" s="214" t="s">
        <v>1825</v>
      </c>
      <c r="R118" s="77" t="s">
        <v>1820</v>
      </c>
      <c r="S118" s="77"/>
      <c r="T118" s="211" t="s">
        <v>286</v>
      </c>
      <c r="U118" s="211" t="s">
        <v>1821</v>
      </c>
      <c r="V118" s="77"/>
      <c r="W118" s="77"/>
      <c r="X118" s="77"/>
      <c r="Y118" s="77"/>
      <c r="Z118" s="216">
        <v>3305.0</v>
      </c>
      <c r="AA118" s="77" t="s">
        <v>6547</v>
      </c>
      <c r="AB118" s="217" t="s">
        <v>4480</v>
      </c>
      <c r="AC118" s="77" t="str">
        <f t="shared" si="3"/>
        <v>Сыворотка для роста ресниц и бровей, гель для роста, Алтея, 6 мл</v>
      </c>
      <c r="AD118" s="218">
        <v>6.0</v>
      </c>
      <c r="AE118" s="216">
        <v>22.0</v>
      </c>
      <c r="AF118" s="218">
        <v>6.0</v>
      </c>
      <c r="AG118" s="216">
        <v>6.0</v>
      </c>
      <c r="AH118" s="77"/>
      <c r="AI118" s="216">
        <v>0.475</v>
      </c>
      <c r="AJ118" s="77"/>
      <c r="AK118" s="77"/>
      <c r="AL118" s="77"/>
      <c r="AM118" s="77"/>
      <c r="AN118" s="77"/>
      <c r="AO118" s="77"/>
      <c r="AP118" s="77"/>
      <c r="AQ118" s="77"/>
      <c r="AR118" s="77"/>
      <c r="AS118" s="77"/>
      <c r="AT118" s="77"/>
      <c r="AU118" s="77"/>
      <c r="AV118" s="77"/>
      <c r="AW118" s="77"/>
      <c r="AX118" s="77"/>
      <c r="AY118" s="77"/>
      <c r="AZ118" s="77"/>
      <c r="BA118" s="77"/>
      <c r="BB118" s="77"/>
      <c r="BC118" s="77"/>
      <c r="BD118" s="77"/>
      <c r="BE118" s="77"/>
    </row>
    <row r="119">
      <c r="A119" s="77" t="s">
        <v>1411</v>
      </c>
      <c r="B119" s="77" t="s">
        <v>1411</v>
      </c>
      <c r="C119" s="77" t="s">
        <v>1413</v>
      </c>
      <c r="D119" s="211" t="s">
        <v>1411</v>
      </c>
      <c r="E119" s="212" t="s">
        <v>1411</v>
      </c>
      <c r="F119" s="212" t="s">
        <v>1411</v>
      </c>
      <c r="G119" s="212" t="s">
        <v>1411</v>
      </c>
      <c r="H119" s="225" t="s">
        <v>1411</v>
      </c>
      <c r="I119" s="212" t="s">
        <v>1411</v>
      </c>
      <c r="J119" s="213">
        <v>3.26154767E8</v>
      </c>
      <c r="K119" s="213">
        <v>1.856657517E9</v>
      </c>
      <c r="L119" s="220">
        <v>1.03812560928E11</v>
      </c>
      <c r="M119" s="211" t="s">
        <v>1414</v>
      </c>
      <c r="N119" s="213">
        <v>9.9000115785E10</v>
      </c>
      <c r="O119" s="78" t="s">
        <v>116</v>
      </c>
      <c r="P119" s="211" t="s">
        <v>283</v>
      </c>
      <c r="Q119" s="214" t="s">
        <v>1417</v>
      </c>
      <c r="R119" s="77" t="s">
        <v>1412</v>
      </c>
      <c r="S119" s="77"/>
      <c r="T119" s="211" t="s">
        <v>286</v>
      </c>
      <c r="U119" s="211" t="s">
        <v>565</v>
      </c>
      <c r="V119" s="77"/>
      <c r="W119" s="77"/>
      <c r="X119" s="77"/>
      <c r="Y119" s="77"/>
      <c r="Z119" s="216">
        <v>3.30499E9</v>
      </c>
      <c r="AA119" s="77" t="s">
        <v>6548</v>
      </c>
      <c r="AB119" s="217" t="s">
        <v>2982</v>
      </c>
      <c r="AC119" s="77" t="str">
        <f t="shared" si="3"/>
        <v>Теломераза NMN ТА-65 Алтея 60 капсул</v>
      </c>
      <c r="AD119" s="218">
        <v>4.0</v>
      </c>
      <c r="AE119" s="216">
        <v>12.0</v>
      </c>
      <c r="AF119" s="218">
        <v>4.0</v>
      </c>
      <c r="AG119" s="216">
        <v>4.0</v>
      </c>
      <c r="AH119" s="77"/>
      <c r="AI119" s="216">
        <v>0.092</v>
      </c>
      <c r="AJ119" s="77"/>
      <c r="AK119" s="77"/>
      <c r="AL119" s="77"/>
      <c r="AM119" s="77"/>
      <c r="AN119" s="77"/>
      <c r="AO119" s="77"/>
      <c r="AP119" s="77"/>
      <c r="AQ119" s="77"/>
      <c r="AR119" s="77"/>
      <c r="AS119" s="77"/>
      <c r="AT119" s="77"/>
      <c r="AU119" s="77"/>
      <c r="AV119" s="77"/>
      <c r="AW119" s="77"/>
      <c r="AX119" s="77"/>
      <c r="AY119" s="77"/>
      <c r="AZ119" s="77"/>
      <c r="BA119" s="77"/>
      <c r="BB119" s="77"/>
      <c r="BC119" s="77"/>
      <c r="BD119" s="77"/>
      <c r="BE119" s="77"/>
    </row>
    <row r="120">
      <c r="A120" s="77" t="s">
        <v>1474</v>
      </c>
      <c r="B120" s="77" t="s">
        <v>1474</v>
      </c>
      <c r="C120" s="77" t="s">
        <v>1476</v>
      </c>
      <c r="D120" s="211" t="s">
        <v>1474</v>
      </c>
      <c r="E120" s="212" t="s">
        <v>1474</v>
      </c>
      <c r="F120" s="212" t="s">
        <v>1474</v>
      </c>
      <c r="G120" s="212" t="s">
        <v>1474</v>
      </c>
      <c r="H120" s="225" t="s">
        <v>1474</v>
      </c>
      <c r="I120" s="212" t="s">
        <v>1474</v>
      </c>
      <c r="J120" s="213">
        <v>4.84619244E8</v>
      </c>
      <c r="K120" s="213">
        <v>2.583231387E9</v>
      </c>
      <c r="L120" s="220">
        <v>4.569564653E9</v>
      </c>
      <c r="M120" s="211" t="s">
        <v>1477</v>
      </c>
      <c r="N120" s="213">
        <v>9.9000115782E10</v>
      </c>
      <c r="O120" s="78" t="s">
        <v>116</v>
      </c>
      <c r="P120" s="211" t="s">
        <v>283</v>
      </c>
      <c r="Q120" s="214" t="s">
        <v>1480</v>
      </c>
      <c r="R120" s="77" t="s">
        <v>1475</v>
      </c>
      <c r="S120" s="77"/>
      <c r="T120" s="211" t="s">
        <v>286</v>
      </c>
      <c r="U120" s="211" t="s">
        <v>565</v>
      </c>
      <c r="V120" s="77"/>
      <c r="W120" s="77"/>
      <c r="X120" s="77"/>
      <c r="Y120" s="77"/>
      <c r="Z120" s="216">
        <v>3.305900009E9</v>
      </c>
      <c r="AA120" s="77" t="s">
        <v>6549</v>
      </c>
      <c r="AB120" s="217" t="s">
        <v>5170</v>
      </c>
      <c r="AC120" s="77" t="str">
        <f t="shared" si="3"/>
        <v>Гель для душа женский парфюмированный Tobacco Vanille, Алтея, 450 мл</v>
      </c>
      <c r="AD120" s="218">
        <v>5.0</v>
      </c>
      <c r="AE120" s="216">
        <v>18.0</v>
      </c>
      <c r="AF120" s="218">
        <v>5.0</v>
      </c>
      <c r="AG120" s="216">
        <v>5.0</v>
      </c>
      <c r="AH120" s="77"/>
      <c r="AI120" s="216">
        <v>0.204</v>
      </c>
      <c r="AJ120" s="77"/>
      <c r="AK120" s="77"/>
      <c r="AL120" s="77"/>
      <c r="AM120" s="77"/>
      <c r="AN120" s="77"/>
      <c r="AO120" s="77"/>
      <c r="AP120" s="77"/>
      <c r="AQ120" s="77"/>
      <c r="AR120" s="77"/>
      <c r="AS120" s="77"/>
      <c r="AT120" s="77"/>
      <c r="AU120" s="77"/>
      <c r="AV120" s="77"/>
      <c r="AW120" s="77"/>
      <c r="AX120" s="77"/>
      <c r="AY120" s="77"/>
      <c r="AZ120" s="77"/>
      <c r="BA120" s="77"/>
      <c r="BB120" s="77"/>
      <c r="BC120" s="77"/>
      <c r="BD120" s="77"/>
      <c r="BE120" s="77"/>
    </row>
    <row r="121">
      <c r="A121" s="77" t="s">
        <v>1628</v>
      </c>
      <c r="B121" s="77" t="s">
        <v>1628</v>
      </c>
      <c r="C121" s="77" t="s">
        <v>1631</v>
      </c>
      <c r="D121" s="211" t="s">
        <v>1628</v>
      </c>
      <c r="E121" s="212" t="s">
        <v>1628</v>
      </c>
      <c r="F121" s="212" t="s">
        <v>1628</v>
      </c>
      <c r="G121" s="212" t="s">
        <v>1628</v>
      </c>
      <c r="H121" s="225" t="s">
        <v>1628</v>
      </c>
      <c r="I121" s="212" t="s">
        <v>1628</v>
      </c>
      <c r="J121" s="213">
        <v>2.55209721E8</v>
      </c>
      <c r="K121" s="213">
        <v>1.666962684E9</v>
      </c>
      <c r="L121" s="220">
        <v>1.03477930205E11</v>
      </c>
      <c r="M121" s="211" t="s">
        <v>1632</v>
      </c>
      <c r="N121" s="213">
        <v>9.9000115953E10</v>
      </c>
      <c r="O121" s="78" t="s">
        <v>116</v>
      </c>
      <c r="P121" s="211" t="s">
        <v>283</v>
      </c>
      <c r="Q121" s="214" t="s">
        <v>1634</v>
      </c>
      <c r="R121" s="77" t="s">
        <v>1629</v>
      </c>
      <c r="S121" s="77"/>
      <c r="T121" s="211" t="s">
        <v>286</v>
      </c>
      <c r="U121" s="211" t="s">
        <v>1630</v>
      </c>
      <c r="V121" s="77"/>
      <c r="W121" s="77"/>
      <c r="X121" s="77"/>
      <c r="Y121" s="77"/>
      <c r="Z121" s="216">
        <v>3.3043E9</v>
      </c>
      <c r="AA121" s="77" t="s">
        <v>6550</v>
      </c>
      <c r="AB121" s="217" t="s">
        <v>3506</v>
      </c>
      <c r="AC121" s="77" t="str">
        <f t="shared" si="3"/>
        <v>Гель для интимной гигиены с молочной кислотой, Алтея, Интимвита, 300 мл</v>
      </c>
      <c r="AD121" s="218">
        <v>9.0</v>
      </c>
      <c r="AE121" s="216">
        <v>15.0</v>
      </c>
      <c r="AF121" s="218">
        <v>9.0</v>
      </c>
      <c r="AG121" s="216">
        <v>6.0</v>
      </c>
      <c r="AH121" s="77"/>
      <c r="AI121" s="216">
        <v>0.082</v>
      </c>
      <c r="AJ121" s="77"/>
      <c r="AK121" s="77"/>
      <c r="AL121" s="77"/>
      <c r="AM121" s="77"/>
      <c r="AN121" s="77"/>
      <c r="AO121" s="77"/>
      <c r="AP121" s="77"/>
      <c r="AQ121" s="77"/>
      <c r="AR121" s="77"/>
      <c r="AS121" s="77"/>
      <c r="AT121" s="77"/>
      <c r="AU121" s="77"/>
      <c r="AV121" s="77"/>
      <c r="AW121" s="77"/>
      <c r="AX121" s="77"/>
      <c r="AY121" s="77"/>
      <c r="AZ121" s="77"/>
      <c r="BA121" s="77"/>
      <c r="BB121" s="77"/>
      <c r="BC121" s="77"/>
      <c r="BD121" s="77"/>
      <c r="BE121" s="77"/>
    </row>
    <row r="122">
      <c r="A122" s="77" t="s">
        <v>1655</v>
      </c>
      <c r="B122" s="77" t="s">
        <v>1655</v>
      </c>
      <c r="C122" s="77" t="s">
        <v>1658</v>
      </c>
      <c r="D122" s="211" t="s">
        <v>1655</v>
      </c>
      <c r="E122" s="212" t="s">
        <v>1655</v>
      </c>
      <c r="F122" s="212" t="s">
        <v>1655</v>
      </c>
      <c r="G122" s="212" t="s">
        <v>1655</v>
      </c>
      <c r="H122" s="188"/>
      <c r="I122" s="188"/>
      <c r="J122" s="213">
        <v>4.00501943E8</v>
      </c>
      <c r="K122" s="213">
        <v>2.071319159E9</v>
      </c>
      <c r="L122" s="220">
        <v>4.623332199E9</v>
      </c>
      <c r="M122" s="77"/>
      <c r="N122" s="77"/>
      <c r="O122" s="78" t="s">
        <v>116</v>
      </c>
      <c r="P122" s="211" t="s">
        <v>283</v>
      </c>
      <c r="Q122" s="214" t="s">
        <v>1660</v>
      </c>
      <c r="R122" s="77" t="s">
        <v>1657</v>
      </c>
      <c r="S122" s="77"/>
      <c r="T122" s="211" t="s">
        <v>286</v>
      </c>
      <c r="U122" s="211" t="s">
        <v>1630</v>
      </c>
      <c r="V122" s="77"/>
      <c r="W122" s="77"/>
      <c r="X122" s="77"/>
      <c r="Y122" s="77"/>
      <c r="Z122" s="216">
        <v>3.3043E9</v>
      </c>
      <c r="AA122" s="77" t="s">
        <v>6550</v>
      </c>
      <c r="AB122" s="217" t="s">
        <v>4139</v>
      </c>
      <c r="AC122" s="77" t="str">
        <f t="shared" si="3"/>
        <v>Гель для бровей с коллагеном и эластином, фиксация на 24 часа, Алтея, 5 мл</v>
      </c>
      <c r="AD122" s="218">
        <v>9.0</v>
      </c>
      <c r="AE122" s="216">
        <v>15.0</v>
      </c>
      <c r="AF122" s="218">
        <v>9.0</v>
      </c>
      <c r="AG122" s="216">
        <v>6.0</v>
      </c>
      <c r="AH122" s="77"/>
      <c r="AI122" s="216">
        <v>0.082</v>
      </c>
      <c r="AJ122" s="77"/>
      <c r="AK122" s="77"/>
      <c r="AL122" s="77"/>
      <c r="AM122" s="77"/>
      <c r="AN122" s="77"/>
      <c r="AO122" s="77"/>
      <c r="AP122" s="77"/>
      <c r="AQ122" s="77"/>
      <c r="AR122" s="77"/>
      <c r="AS122" s="77"/>
      <c r="AT122" s="77"/>
      <c r="AU122" s="77"/>
      <c r="AV122" s="77"/>
      <c r="AW122" s="77"/>
      <c r="AX122" s="77"/>
      <c r="AY122" s="77"/>
      <c r="AZ122" s="77"/>
      <c r="BA122" s="77"/>
      <c r="BB122" s="77"/>
      <c r="BC122" s="77"/>
      <c r="BD122" s="77"/>
      <c r="BE122" s="77"/>
    </row>
    <row r="123">
      <c r="A123" s="77" t="s">
        <v>311</v>
      </c>
      <c r="B123" s="77" t="s">
        <v>311</v>
      </c>
      <c r="C123" s="77" t="s">
        <v>313</v>
      </c>
      <c r="D123" s="211" t="s">
        <v>311</v>
      </c>
      <c r="E123" s="212" t="s">
        <v>311</v>
      </c>
      <c r="F123" s="212" t="s">
        <v>311</v>
      </c>
      <c r="G123" s="212" t="s">
        <v>311</v>
      </c>
      <c r="H123" s="225" t="s">
        <v>311</v>
      </c>
      <c r="I123" s="212" t="s">
        <v>311</v>
      </c>
      <c r="J123" s="213">
        <v>4.49423638E8</v>
      </c>
      <c r="K123" s="213">
        <v>2.354324278E9</v>
      </c>
      <c r="L123" s="220">
        <v>4.480600215E9</v>
      </c>
      <c r="M123" s="211" t="s">
        <v>314</v>
      </c>
      <c r="N123" s="213">
        <v>9.9000115954E10</v>
      </c>
      <c r="O123" s="78" t="s">
        <v>116</v>
      </c>
      <c r="P123" s="211" t="s">
        <v>283</v>
      </c>
      <c r="Q123" s="214" t="s">
        <v>316</v>
      </c>
      <c r="R123" s="77" t="s">
        <v>312</v>
      </c>
      <c r="S123" s="77"/>
      <c r="T123" s="211" t="s">
        <v>286</v>
      </c>
      <c r="U123" s="211" t="s">
        <v>287</v>
      </c>
      <c r="V123" s="77"/>
      <c r="W123" s="77"/>
      <c r="X123" s="77"/>
      <c r="Y123" s="77"/>
      <c r="Z123" s="216">
        <v>3.305900009E9</v>
      </c>
      <c r="AA123" s="77" t="s">
        <v>6551</v>
      </c>
      <c r="AB123" s="217" t="s">
        <v>4673</v>
      </c>
      <c r="AC123" s="77" t="str">
        <f t="shared" si="3"/>
        <v>Жиросжигатель, детокс, Алтея, Алтея, Фрутакса, 200 грамм</v>
      </c>
      <c r="AD123" s="218">
        <v>9.0</v>
      </c>
      <c r="AE123" s="216">
        <v>13.0</v>
      </c>
      <c r="AF123" s="218">
        <v>9.0</v>
      </c>
      <c r="AG123" s="216">
        <v>4.0</v>
      </c>
      <c r="AH123" s="77"/>
      <c r="AI123" s="216">
        <v>0.15</v>
      </c>
      <c r="AJ123" s="77"/>
      <c r="AK123" s="77"/>
      <c r="AL123" s="77"/>
      <c r="AM123" s="77"/>
      <c r="AN123" s="77"/>
      <c r="AO123" s="77"/>
      <c r="AP123" s="77"/>
      <c r="AQ123" s="77"/>
      <c r="AR123" s="77"/>
      <c r="AS123" s="77"/>
      <c r="AT123" s="77"/>
      <c r="AU123" s="77"/>
      <c r="AV123" s="77"/>
      <c r="AW123" s="77"/>
      <c r="AX123" s="77"/>
      <c r="AY123" s="77"/>
      <c r="AZ123" s="77"/>
      <c r="BA123" s="77"/>
      <c r="BB123" s="77"/>
      <c r="BC123" s="77"/>
      <c r="BD123" s="77"/>
      <c r="BE123" s="77"/>
    </row>
    <row r="124">
      <c r="A124" s="77" t="s">
        <v>282</v>
      </c>
      <c r="B124" s="77" t="s">
        <v>282</v>
      </c>
      <c r="C124" s="77" t="s">
        <v>288</v>
      </c>
      <c r="D124" s="211" t="s">
        <v>282</v>
      </c>
      <c r="E124" s="212" t="s">
        <v>282</v>
      </c>
      <c r="F124" s="212" t="s">
        <v>282</v>
      </c>
      <c r="G124" s="212" t="s">
        <v>282</v>
      </c>
      <c r="H124" s="223" t="s">
        <v>282</v>
      </c>
      <c r="I124" s="212" t="s">
        <v>282</v>
      </c>
      <c r="J124" s="213">
        <v>3.77788941E8</v>
      </c>
      <c r="K124" s="213">
        <v>2.018960887E9</v>
      </c>
      <c r="L124" s="220">
        <v>4.315768672E9</v>
      </c>
      <c r="M124" s="77"/>
      <c r="N124" s="213">
        <v>9.9000115784E10</v>
      </c>
      <c r="O124" s="78" t="s">
        <v>116</v>
      </c>
      <c r="P124" s="211" t="s">
        <v>283</v>
      </c>
      <c r="Q124" s="214" t="s">
        <v>291</v>
      </c>
      <c r="R124" s="77" t="s">
        <v>285</v>
      </c>
      <c r="S124" s="77"/>
      <c r="T124" s="211" t="s">
        <v>286</v>
      </c>
      <c r="U124" s="211" t="s">
        <v>287</v>
      </c>
      <c r="V124" s="77"/>
      <c r="W124" s="77"/>
      <c r="X124" s="77"/>
      <c r="Y124" s="77"/>
      <c r="Z124" s="216">
        <v>3.305900009E9</v>
      </c>
      <c r="AA124" s="77" t="s">
        <v>6549</v>
      </c>
      <c r="AB124" s="217" t="s">
        <v>3224</v>
      </c>
      <c r="AC124" s="77" t="str">
        <f t="shared" si="3"/>
        <v>Крем для кудрявых и вьющихся волос Алтея 300 мл</v>
      </c>
      <c r="AD124" s="218">
        <v>5.0</v>
      </c>
      <c r="AE124" s="216">
        <v>16.0</v>
      </c>
      <c r="AF124" s="218">
        <v>5.0</v>
      </c>
      <c r="AG124" s="216">
        <v>5.0</v>
      </c>
      <c r="AH124" s="77"/>
      <c r="AI124" s="216">
        <v>0.228</v>
      </c>
      <c r="AJ124" s="77"/>
      <c r="AK124" s="77"/>
      <c r="AL124" s="77"/>
      <c r="AM124" s="77"/>
      <c r="AN124" s="77"/>
      <c r="AO124" s="77"/>
      <c r="AP124" s="77"/>
      <c r="AQ124" s="77"/>
      <c r="AR124" s="77"/>
      <c r="AS124" s="77"/>
      <c r="AT124" s="77"/>
      <c r="AU124" s="77"/>
      <c r="AV124" s="77"/>
      <c r="AW124" s="77"/>
      <c r="AX124" s="77"/>
      <c r="AY124" s="77"/>
      <c r="AZ124" s="77"/>
      <c r="BA124" s="77"/>
      <c r="BB124" s="77"/>
      <c r="BC124" s="77"/>
      <c r="BD124" s="77"/>
      <c r="BE124" s="77"/>
    </row>
    <row r="125">
      <c r="A125" s="77" t="s">
        <v>338</v>
      </c>
      <c r="B125" s="77" t="s">
        <v>338</v>
      </c>
      <c r="C125" s="77" t="s">
        <v>341</v>
      </c>
      <c r="D125" s="211" t="s">
        <v>338</v>
      </c>
      <c r="E125" s="212" t="s">
        <v>338</v>
      </c>
      <c r="F125" s="212" t="s">
        <v>338</v>
      </c>
      <c r="G125" s="212" t="s">
        <v>338</v>
      </c>
      <c r="H125" s="225" t="s">
        <v>338</v>
      </c>
      <c r="I125" s="212" t="s">
        <v>338</v>
      </c>
      <c r="J125" s="213">
        <v>2.68884161E8</v>
      </c>
      <c r="K125" s="213">
        <v>1.729383128E9</v>
      </c>
      <c r="L125" s="220">
        <v>1.03578859652E11</v>
      </c>
      <c r="M125" s="211" t="s">
        <v>342</v>
      </c>
      <c r="N125" s="213">
        <v>9.9000115787E10</v>
      </c>
      <c r="O125" s="78" t="s">
        <v>116</v>
      </c>
      <c r="P125" s="211" t="s">
        <v>283</v>
      </c>
      <c r="Q125" s="214" t="s">
        <v>344</v>
      </c>
      <c r="R125" s="77" t="s">
        <v>340</v>
      </c>
      <c r="S125" s="77"/>
      <c r="T125" s="211" t="s">
        <v>286</v>
      </c>
      <c r="U125" s="211" t="s">
        <v>287</v>
      </c>
      <c r="V125" s="77"/>
      <c r="W125" s="77"/>
      <c r="X125" s="77"/>
      <c r="Y125" s="77"/>
      <c r="Z125" s="216">
        <v>3.305900009E9</v>
      </c>
      <c r="AA125" s="77" t="s">
        <v>6549</v>
      </c>
      <c r="AB125" s="217" t="s">
        <v>4206</v>
      </c>
      <c r="AC125" s="77" t="str">
        <f t="shared" si="3"/>
        <v>Сыворотка с витамином с, увлажняющая с гиалуроновой кислотой, Алтея, 30 мл</v>
      </c>
      <c r="AD125" s="218">
        <v>4.0</v>
      </c>
      <c r="AE125" s="216">
        <v>18.0</v>
      </c>
      <c r="AF125" s="218">
        <v>4.0</v>
      </c>
      <c r="AG125" s="216">
        <v>4.0</v>
      </c>
      <c r="AH125" s="77"/>
      <c r="AI125" s="216">
        <v>0.23</v>
      </c>
      <c r="AJ125" s="77"/>
      <c r="AK125" s="77"/>
      <c r="AL125" s="77"/>
      <c r="AM125" s="77"/>
      <c r="AN125" s="77"/>
      <c r="AO125" s="77"/>
      <c r="AP125" s="77"/>
      <c r="AQ125" s="77"/>
      <c r="AR125" s="77"/>
      <c r="AS125" s="77"/>
      <c r="AT125" s="77"/>
      <c r="AU125" s="77"/>
      <c r="AV125" s="77"/>
      <c r="AW125" s="77"/>
      <c r="AX125" s="77"/>
      <c r="AY125" s="77"/>
      <c r="AZ125" s="77"/>
      <c r="BA125" s="77"/>
      <c r="BB125" s="77"/>
      <c r="BC125" s="77"/>
      <c r="BD125" s="77"/>
      <c r="BE125" s="77"/>
    </row>
    <row r="126">
      <c r="A126" s="77" t="s">
        <v>1936</v>
      </c>
      <c r="B126" s="77" t="s">
        <v>1936</v>
      </c>
      <c r="C126" s="77" t="s">
        <v>1938</v>
      </c>
      <c r="D126" s="211" t="s">
        <v>1936</v>
      </c>
      <c r="E126" s="212" t="s">
        <v>1936</v>
      </c>
      <c r="F126" s="212" t="s">
        <v>1936</v>
      </c>
      <c r="G126" s="188"/>
      <c r="H126" s="188"/>
      <c r="I126" s="188"/>
      <c r="J126" s="213">
        <v>1.28833711E8</v>
      </c>
      <c r="K126" s="213">
        <v>7.67090126E8</v>
      </c>
      <c r="L126" s="77"/>
      <c r="M126" s="77"/>
      <c r="N126" s="77"/>
      <c r="O126" s="78" t="s">
        <v>116</v>
      </c>
      <c r="P126" s="211" t="s">
        <v>283</v>
      </c>
      <c r="Q126" s="214" t="s">
        <v>1940</v>
      </c>
      <c r="R126" s="77" t="s">
        <v>1937</v>
      </c>
      <c r="S126" s="77"/>
      <c r="T126" s="211" t="s">
        <v>286</v>
      </c>
      <c r="U126" s="211" t="s">
        <v>565</v>
      </c>
      <c r="V126" s="77"/>
      <c r="W126" s="77"/>
      <c r="X126" s="77"/>
      <c r="Y126" s="77"/>
      <c r="Z126" s="216">
        <v>3.30499E9</v>
      </c>
      <c r="AA126" s="77" t="s">
        <v>6552</v>
      </c>
      <c r="AB126" s="217" t="s">
        <v>3021</v>
      </c>
      <c r="AC126" s="77" t="str">
        <f t="shared" si="3"/>
        <v>Маска для лица очищающая и увлажняющая , для сужения пор Алтея 100 мл</v>
      </c>
      <c r="AD126" s="218">
        <v>10.0</v>
      </c>
      <c r="AE126" s="216">
        <v>3.0</v>
      </c>
      <c r="AF126" s="218">
        <v>10.0</v>
      </c>
      <c r="AG126" s="216">
        <v>4.0</v>
      </c>
      <c r="AH126" s="77"/>
      <c r="AI126" s="216">
        <v>0.085</v>
      </c>
      <c r="AJ126" s="77"/>
      <c r="AK126" s="77"/>
      <c r="AL126" s="77"/>
      <c r="AM126" s="77"/>
      <c r="AN126" s="77"/>
      <c r="AO126" s="77"/>
      <c r="AP126" s="77"/>
      <c r="AQ126" s="77"/>
      <c r="AR126" s="77"/>
      <c r="AS126" s="77"/>
      <c r="AT126" s="77"/>
      <c r="AU126" s="77"/>
      <c r="AV126" s="77"/>
      <c r="AW126" s="77"/>
      <c r="AX126" s="77"/>
      <c r="AY126" s="77"/>
      <c r="AZ126" s="77"/>
      <c r="BA126" s="77"/>
      <c r="BB126" s="77"/>
      <c r="BC126" s="77"/>
      <c r="BD126" s="77"/>
      <c r="BE126" s="77"/>
    </row>
    <row r="127">
      <c r="A127" s="77" t="s">
        <v>1435</v>
      </c>
      <c r="B127" s="77" t="s">
        <v>1435</v>
      </c>
      <c r="C127" s="77" t="s">
        <v>1437</v>
      </c>
      <c r="D127" s="211" t="s">
        <v>1435</v>
      </c>
      <c r="E127" s="212" t="s">
        <v>1435</v>
      </c>
      <c r="F127" s="212" t="s">
        <v>1435</v>
      </c>
      <c r="G127" s="212" t="s">
        <v>1435</v>
      </c>
      <c r="H127" s="225" t="s">
        <v>1435</v>
      </c>
      <c r="I127" s="212" t="s">
        <v>1435</v>
      </c>
      <c r="J127" s="213">
        <v>4.1873348E8</v>
      </c>
      <c r="K127" s="213">
        <v>2.142858345E9</v>
      </c>
      <c r="L127" s="220">
        <v>4.476364348E9</v>
      </c>
      <c r="M127" s="211" t="s">
        <v>1438</v>
      </c>
      <c r="N127" s="213">
        <v>9.9000115951E10</v>
      </c>
      <c r="O127" s="78" t="s">
        <v>116</v>
      </c>
      <c r="P127" s="211" t="s">
        <v>283</v>
      </c>
      <c r="Q127" s="214" t="s">
        <v>1440</v>
      </c>
      <c r="R127" s="77" t="s">
        <v>1436</v>
      </c>
      <c r="S127" s="77"/>
      <c r="T127" s="211" t="s">
        <v>286</v>
      </c>
      <c r="U127" s="211" t="s">
        <v>565</v>
      </c>
      <c r="V127" s="77"/>
      <c r="W127" s="77"/>
      <c r="X127" s="77"/>
      <c r="Y127" s="77"/>
      <c r="Z127" s="216">
        <v>3.30499E9</v>
      </c>
      <c r="AA127" s="77" t="s">
        <v>6553</v>
      </c>
      <c r="AB127" s="217" t="s">
        <v>3675</v>
      </c>
      <c r="AC127" s="77" t="str">
        <f t="shared" si="3"/>
        <v>Шампунь от перхоти лечебный с климбазолом Алтея, 250мл</v>
      </c>
      <c r="AD127" s="218">
        <v>12.0</v>
      </c>
      <c r="AE127" s="216">
        <v>18.0</v>
      </c>
      <c r="AF127" s="218">
        <v>12.0</v>
      </c>
      <c r="AG127" s="216">
        <v>6.0</v>
      </c>
      <c r="AH127" s="77"/>
      <c r="AI127" s="216">
        <v>0.293</v>
      </c>
      <c r="AJ127" s="77"/>
      <c r="AK127" s="77"/>
      <c r="AL127" s="77"/>
      <c r="AM127" s="77"/>
      <c r="AN127" s="77"/>
      <c r="AO127" s="77"/>
      <c r="AP127" s="77"/>
      <c r="AQ127" s="77"/>
      <c r="AR127" s="77"/>
      <c r="AS127" s="77"/>
      <c r="AT127" s="77"/>
      <c r="AU127" s="77"/>
      <c r="AV127" s="77"/>
      <c r="AW127" s="77"/>
      <c r="AX127" s="77"/>
      <c r="AY127" s="77"/>
      <c r="AZ127" s="77"/>
      <c r="BA127" s="77"/>
      <c r="BB127" s="77"/>
      <c r="BC127" s="77"/>
      <c r="BD127" s="77"/>
      <c r="BE127" s="77"/>
    </row>
    <row r="128">
      <c r="A128" s="77" t="s">
        <v>1455</v>
      </c>
      <c r="B128" s="77" t="s">
        <v>1455</v>
      </c>
      <c r="C128" s="77" t="s">
        <v>1457</v>
      </c>
      <c r="D128" s="211" t="s">
        <v>1455</v>
      </c>
      <c r="E128" s="212" t="s">
        <v>1455</v>
      </c>
      <c r="F128" s="212" t="s">
        <v>1455</v>
      </c>
      <c r="G128" s="212" t="s">
        <v>1455</v>
      </c>
      <c r="H128" s="225" t="s">
        <v>1455</v>
      </c>
      <c r="I128" s="188"/>
      <c r="J128" s="213">
        <v>3.92028939E8</v>
      </c>
      <c r="K128" s="213">
        <v>2.039052035E9</v>
      </c>
      <c r="L128" s="220">
        <v>4.335655895E9</v>
      </c>
      <c r="M128" s="211" t="s">
        <v>1458</v>
      </c>
      <c r="N128" s="77"/>
      <c r="O128" s="78" t="s">
        <v>116</v>
      </c>
      <c r="P128" s="211" t="s">
        <v>283</v>
      </c>
      <c r="Q128" s="214" t="s">
        <v>1460</v>
      </c>
      <c r="R128" s="77" t="s">
        <v>1456</v>
      </c>
      <c r="S128" s="77"/>
      <c r="T128" s="211" t="s">
        <v>286</v>
      </c>
      <c r="U128" s="211" t="s">
        <v>565</v>
      </c>
      <c r="V128" s="77"/>
      <c r="W128" s="77"/>
      <c r="X128" s="77"/>
      <c r="Y128" s="77"/>
      <c r="Z128" s="216">
        <v>3.30499E9</v>
      </c>
      <c r="AA128" s="77" t="s">
        <v>6552</v>
      </c>
      <c r="AB128" s="217" t="s">
        <v>3645</v>
      </c>
      <c r="AC128" s="77" t="str">
        <f t="shared" si="3"/>
        <v>#N/A</v>
      </c>
      <c r="AD128" s="218">
        <v>3.0</v>
      </c>
      <c r="AE128" s="216">
        <v>14.0</v>
      </c>
      <c r="AF128" s="218">
        <v>3.0</v>
      </c>
      <c r="AG128" s="216">
        <v>3.0</v>
      </c>
      <c r="AH128" s="77"/>
      <c r="AI128" s="216">
        <v>0.031</v>
      </c>
      <c r="AJ128" s="77"/>
      <c r="AK128" s="77"/>
      <c r="AL128" s="77"/>
      <c r="AM128" s="77"/>
      <c r="AN128" s="77"/>
      <c r="AO128" s="77"/>
      <c r="AP128" s="77"/>
      <c r="AQ128" s="77"/>
      <c r="AR128" s="77"/>
      <c r="AS128" s="77"/>
      <c r="AT128" s="77"/>
      <c r="AU128" s="77"/>
      <c r="AV128" s="77"/>
      <c r="AW128" s="77"/>
      <c r="AX128" s="77"/>
      <c r="AY128" s="77"/>
      <c r="AZ128" s="77"/>
      <c r="BA128" s="77"/>
      <c r="BB128" s="77"/>
      <c r="BC128" s="77"/>
      <c r="BD128" s="77"/>
      <c r="BE128" s="77"/>
    </row>
    <row r="129">
      <c r="A129" s="77" t="s">
        <v>1502</v>
      </c>
      <c r="B129" s="77"/>
      <c r="C129" s="77" t="s">
        <v>1503</v>
      </c>
      <c r="D129" s="211" t="s">
        <v>1502</v>
      </c>
      <c r="E129" s="188"/>
      <c r="F129" s="212" t="s">
        <v>1502</v>
      </c>
      <c r="G129" s="188"/>
      <c r="H129" s="223" t="s">
        <v>1502</v>
      </c>
      <c r="I129" s="212" t="s">
        <v>1502</v>
      </c>
      <c r="J129" s="213" t="e">
        <v>#N/A</v>
      </c>
      <c r="K129" s="213">
        <v>2.589302298E9</v>
      </c>
      <c r="L129" s="77"/>
      <c r="M129" s="77"/>
      <c r="N129" s="213">
        <v>9.9000115781E10</v>
      </c>
      <c r="O129" s="78" t="s">
        <v>116</v>
      </c>
      <c r="P129" s="211" t="s">
        <v>283</v>
      </c>
      <c r="Q129" s="214" t="s">
        <v>1460</v>
      </c>
      <c r="R129" s="77" t="s">
        <v>1456</v>
      </c>
      <c r="S129" s="77"/>
      <c r="T129" s="211" t="s">
        <v>286</v>
      </c>
      <c r="U129" s="211" t="s">
        <v>565</v>
      </c>
      <c r="V129" s="77"/>
      <c r="W129" s="77"/>
      <c r="X129" s="77"/>
      <c r="Y129" s="77"/>
      <c r="Z129" s="216">
        <v>3.30499E9</v>
      </c>
      <c r="AA129" s="77" t="s">
        <v>6552</v>
      </c>
      <c r="AB129" s="217" t="s">
        <v>3262</v>
      </c>
      <c r="AC129" s="77" t="str">
        <f t="shared" si="3"/>
        <v>Витамины для диабетиков, для профилактики от сахарного диабета, Алтея, Инсулайт, 60 капсул</v>
      </c>
      <c r="AD129" s="218">
        <v>3.0</v>
      </c>
      <c r="AE129" s="216">
        <v>14.0</v>
      </c>
      <c r="AF129" s="218">
        <v>3.0</v>
      </c>
      <c r="AG129" s="216">
        <v>3.0</v>
      </c>
      <c r="AH129" s="77"/>
      <c r="AI129" s="216">
        <v>0.031</v>
      </c>
      <c r="AJ129" s="77"/>
      <c r="AK129" s="77"/>
      <c r="AL129" s="77"/>
      <c r="AM129" s="77"/>
      <c r="AN129" s="77"/>
      <c r="AO129" s="77"/>
      <c r="AP129" s="77"/>
      <c r="AQ129" s="77"/>
      <c r="AR129" s="77"/>
      <c r="AS129" s="77"/>
      <c r="AT129" s="77"/>
      <c r="AU129" s="77"/>
      <c r="AV129" s="77"/>
      <c r="AW129" s="77"/>
      <c r="AX129" s="77"/>
      <c r="AY129" s="77"/>
      <c r="AZ129" s="77"/>
      <c r="BA129" s="77"/>
      <c r="BB129" s="77"/>
      <c r="BC129" s="77"/>
      <c r="BD129" s="77"/>
      <c r="BE129" s="77"/>
    </row>
    <row r="130">
      <c r="A130" s="77" t="s">
        <v>1514</v>
      </c>
      <c r="B130" s="77" t="s">
        <v>1514</v>
      </c>
      <c r="C130" s="77" t="s">
        <v>1516</v>
      </c>
      <c r="D130" s="211" t="s">
        <v>1514</v>
      </c>
      <c r="E130" s="212" t="s">
        <v>1514</v>
      </c>
      <c r="F130" s="212" t="s">
        <v>1514</v>
      </c>
      <c r="G130" s="212" t="s">
        <v>1514</v>
      </c>
      <c r="H130" s="188"/>
      <c r="I130" s="188"/>
      <c r="J130" s="213">
        <v>3.81335309E8</v>
      </c>
      <c r="K130" s="213">
        <v>2.019073769E9</v>
      </c>
      <c r="L130" s="220">
        <v>4.334505684E9</v>
      </c>
      <c r="M130" s="77"/>
      <c r="N130" s="77"/>
      <c r="O130" s="78" t="s">
        <v>116</v>
      </c>
      <c r="P130" s="226" t="s">
        <v>118</v>
      </c>
      <c r="Q130" s="214" t="s">
        <v>1517</v>
      </c>
      <c r="R130" s="77" t="s">
        <v>1515</v>
      </c>
      <c r="S130" s="77"/>
      <c r="T130" s="211" t="s">
        <v>5712</v>
      </c>
      <c r="U130" s="211" t="s">
        <v>6554</v>
      </c>
      <c r="V130" s="77"/>
      <c r="W130" s="77"/>
      <c r="X130" s="77"/>
      <c r="Y130" s="77"/>
      <c r="Z130" s="216">
        <v>1.504209E9</v>
      </c>
      <c r="AA130" s="77" t="s">
        <v>6555</v>
      </c>
      <c r="AB130" s="217" t="s">
        <v>3820</v>
      </c>
      <c r="AC130" s="77" t="str">
        <f t="shared" si="3"/>
        <v>Гель для бровей с эффектом ламинирования, Алтея, 6 мл</v>
      </c>
      <c r="AD130" s="218">
        <v>5.0</v>
      </c>
      <c r="AE130" s="216">
        <v>17.0</v>
      </c>
      <c r="AF130" s="218">
        <v>5.0</v>
      </c>
      <c r="AG130" s="216">
        <v>5.0</v>
      </c>
      <c r="AH130" s="77"/>
      <c r="AI130" s="216">
        <v>0.163</v>
      </c>
      <c r="AJ130" s="77"/>
      <c r="AK130" s="77"/>
      <c r="AL130" s="77"/>
      <c r="AM130" s="77"/>
      <c r="AN130" s="77"/>
      <c r="AO130" s="77"/>
      <c r="AP130" s="77"/>
      <c r="AQ130" s="77"/>
      <c r="AR130" s="77"/>
      <c r="AS130" s="77"/>
      <c r="AT130" s="77"/>
      <c r="AU130" s="77"/>
      <c r="AV130" s="77"/>
      <c r="AW130" s="77"/>
      <c r="AX130" s="77"/>
      <c r="AY130" s="77"/>
      <c r="AZ130" s="77"/>
      <c r="BA130" s="77"/>
      <c r="BB130" s="77"/>
      <c r="BC130" s="77"/>
      <c r="BD130" s="77"/>
      <c r="BE130" s="77"/>
    </row>
    <row r="131">
      <c r="A131" s="77" t="s">
        <v>1606</v>
      </c>
      <c r="B131" s="77" t="s">
        <v>1606</v>
      </c>
      <c r="C131" s="77" t="s">
        <v>1609</v>
      </c>
      <c r="D131" s="211" t="s">
        <v>1606</v>
      </c>
      <c r="E131" s="212" t="s">
        <v>1606</v>
      </c>
      <c r="F131" s="212" t="s">
        <v>1606</v>
      </c>
      <c r="G131" s="212" t="s">
        <v>1606</v>
      </c>
      <c r="H131" s="188"/>
      <c r="I131" s="188"/>
      <c r="J131" s="213">
        <v>2.3278502E8</v>
      </c>
      <c r="K131" s="213">
        <v>1.581834792E9</v>
      </c>
      <c r="L131" s="220">
        <v>1.0339670813E11</v>
      </c>
      <c r="M131" s="77"/>
      <c r="N131" s="77"/>
      <c r="O131" s="78" t="s">
        <v>116</v>
      </c>
      <c r="P131" s="226" t="s">
        <v>118</v>
      </c>
      <c r="Q131" s="214" t="s">
        <v>1611</v>
      </c>
      <c r="R131" s="77" t="s">
        <v>1607</v>
      </c>
      <c r="S131" s="77"/>
      <c r="T131" s="211" t="s">
        <v>6556</v>
      </c>
      <c r="U131" s="211" t="s">
        <v>1608</v>
      </c>
      <c r="V131" s="77"/>
      <c r="W131" s="77"/>
      <c r="X131" s="77"/>
      <c r="Y131" s="77"/>
      <c r="Z131" s="216">
        <v>9.6190021E9</v>
      </c>
      <c r="AA131" s="77" t="s">
        <v>6557</v>
      </c>
      <c r="AB131" s="217" t="s">
        <v>2810</v>
      </c>
      <c r="AC131" s="77" t="str">
        <f t="shared" si="3"/>
        <v>Шампунь лечебный для роста волос, против выпадения, с красным перцем профессиональный, Алтея, 250 мл</v>
      </c>
      <c r="AD131" s="218">
        <v>27.0</v>
      </c>
      <c r="AE131" s="216">
        <v>12.0</v>
      </c>
      <c r="AF131" s="218">
        <v>27.0</v>
      </c>
      <c r="AG131" s="216">
        <v>24.0</v>
      </c>
      <c r="AH131" s="77"/>
      <c r="AI131" s="216">
        <v>0.698</v>
      </c>
      <c r="AJ131" s="77"/>
      <c r="AK131" s="77"/>
      <c r="AL131" s="77"/>
      <c r="AM131" s="77"/>
      <c r="AN131" s="77"/>
      <c r="AO131" s="77"/>
      <c r="AP131" s="77"/>
      <c r="AQ131" s="77"/>
      <c r="AR131" s="77"/>
      <c r="AS131" s="77"/>
      <c r="AT131" s="77"/>
      <c r="AU131" s="77"/>
      <c r="AV131" s="77"/>
      <c r="AW131" s="77"/>
      <c r="AX131" s="77"/>
      <c r="AY131" s="77"/>
      <c r="AZ131" s="77"/>
      <c r="BA131" s="77"/>
      <c r="BB131" s="77"/>
      <c r="BC131" s="77"/>
      <c r="BD131" s="77"/>
      <c r="BE131" s="77"/>
    </row>
    <row r="132">
      <c r="A132" s="77" t="s">
        <v>1235</v>
      </c>
      <c r="B132" s="77" t="s">
        <v>1235</v>
      </c>
      <c r="C132" s="77" t="s">
        <v>1238</v>
      </c>
      <c r="D132" s="211" t="s">
        <v>1235</v>
      </c>
      <c r="E132" s="212" t="s">
        <v>1235</v>
      </c>
      <c r="F132" s="212" t="s">
        <v>1235</v>
      </c>
      <c r="G132" s="212" t="s">
        <v>1235</v>
      </c>
      <c r="H132" s="188"/>
      <c r="I132" s="188"/>
      <c r="J132" s="213">
        <v>2.32451654E8</v>
      </c>
      <c r="K132" s="213">
        <v>1.580754644E9</v>
      </c>
      <c r="L132" s="220">
        <v>1.0339700266E11</v>
      </c>
      <c r="M132" s="77"/>
      <c r="N132" s="77"/>
      <c r="O132" s="78" t="s">
        <v>116</v>
      </c>
      <c r="P132" s="226" t="s">
        <v>118</v>
      </c>
      <c r="Q132" s="214" t="s">
        <v>1240</v>
      </c>
      <c r="R132" s="77" t="s">
        <v>1236</v>
      </c>
      <c r="S132" s="77"/>
      <c r="T132" s="211" t="s">
        <v>6556</v>
      </c>
      <c r="U132" s="211" t="s">
        <v>1237</v>
      </c>
      <c r="V132" s="77"/>
      <c r="W132" s="77"/>
      <c r="X132" s="77"/>
      <c r="Y132" s="77"/>
      <c r="Z132" s="216">
        <v>3.004900002E9</v>
      </c>
      <c r="AA132" s="77" t="s">
        <v>6558</v>
      </c>
      <c r="AB132" s="217" t="s">
        <v>3276</v>
      </c>
      <c r="AC132" s="77" t="str">
        <f t="shared" si="3"/>
        <v>Кровавый кислотный пилинг для лица от прыщей от акне AHA BHA салициловая кислота, Алтея 30 мл</v>
      </c>
      <c r="AD132" s="218">
        <v>8.0</v>
      </c>
      <c r="AE132" s="216">
        <v>4.0</v>
      </c>
      <c r="AF132" s="218">
        <v>8.0</v>
      </c>
      <c r="AG132" s="216">
        <v>4.0</v>
      </c>
      <c r="AH132" s="77"/>
      <c r="AI132" s="216">
        <v>0.026</v>
      </c>
      <c r="AJ132" s="77"/>
      <c r="AK132" s="77"/>
      <c r="AL132" s="77"/>
      <c r="AM132" s="77"/>
      <c r="AN132" s="77"/>
      <c r="AO132" s="77"/>
      <c r="AP132" s="77"/>
      <c r="AQ132" s="77"/>
      <c r="AR132" s="77"/>
      <c r="AS132" s="77"/>
      <c r="AT132" s="77"/>
      <c r="AU132" s="77"/>
      <c r="AV132" s="77"/>
      <c r="AW132" s="77"/>
      <c r="AX132" s="77"/>
      <c r="AY132" s="77"/>
      <c r="AZ132" s="77"/>
      <c r="BA132" s="77"/>
      <c r="BB132" s="77"/>
      <c r="BC132" s="77"/>
      <c r="BD132" s="77"/>
      <c r="BE132" s="77"/>
    </row>
    <row r="133">
      <c r="A133" s="77" t="s">
        <v>1527</v>
      </c>
      <c r="B133" s="77" t="s">
        <v>1527</v>
      </c>
      <c r="C133" s="77" t="s">
        <v>1531</v>
      </c>
      <c r="D133" s="211" t="s">
        <v>1527</v>
      </c>
      <c r="E133" s="212" t="s">
        <v>1527</v>
      </c>
      <c r="F133" s="212" t="s">
        <v>1527</v>
      </c>
      <c r="G133" s="212" t="s">
        <v>1527</v>
      </c>
      <c r="H133" s="188"/>
      <c r="I133" s="188"/>
      <c r="J133" s="213">
        <v>4.45333054E8</v>
      </c>
      <c r="K133" s="213">
        <v>2.344269342E9</v>
      </c>
      <c r="L133" s="220">
        <v>4.476321741E9</v>
      </c>
      <c r="M133" s="77"/>
      <c r="N133" s="77"/>
      <c r="O133" s="78" t="s">
        <v>116</v>
      </c>
      <c r="P133" s="226" t="s">
        <v>118</v>
      </c>
      <c r="Q133" s="214" t="s">
        <v>1532</v>
      </c>
      <c r="R133" s="77" t="s">
        <v>1528</v>
      </c>
      <c r="S133" s="77"/>
      <c r="T133" s="211" t="s">
        <v>6556</v>
      </c>
      <c r="U133" s="211" t="s">
        <v>1530</v>
      </c>
      <c r="V133" s="77"/>
      <c r="W133" s="77"/>
      <c r="X133" s="77"/>
      <c r="Y133" s="77"/>
      <c r="Z133" s="216">
        <v>3.307900008E9</v>
      </c>
      <c r="AA133" s="77" t="s">
        <v>6559</v>
      </c>
      <c r="AB133" s="217" t="s">
        <v>4522</v>
      </c>
      <c r="AC133" s="77" t="str">
        <f t="shared" si="3"/>
        <v>Тестостерон для мужчин, экдистерон для потенции и мышц спортивный, цинк, тестобустер, витамины для мужчин, бустер Алтея 60 капсул</v>
      </c>
      <c r="AD133" s="218">
        <v>25.0</v>
      </c>
      <c r="AE133" s="216">
        <v>6.0</v>
      </c>
      <c r="AF133" s="218">
        <v>25.0</v>
      </c>
      <c r="AG133" s="216">
        <v>14.0</v>
      </c>
      <c r="AH133" s="77"/>
      <c r="AI133" s="216">
        <v>0.557</v>
      </c>
      <c r="AJ133" s="77"/>
      <c r="AK133" s="77"/>
      <c r="AL133" s="77"/>
      <c r="AM133" s="77"/>
      <c r="AN133" s="77"/>
      <c r="AO133" s="77"/>
      <c r="AP133" s="77"/>
      <c r="AQ133" s="77"/>
      <c r="AR133" s="77"/>
      <c r="AS133" s="77"/>
      <c r="AT133" s="77"/>
      <c r="AU133" s="77"/>
      <c r="AV133" s="77"/>
      <c r="AW133" s="77"/>
      <c r="AX133" s="77"/>
      <c r="AY133" s="77"/>
      <c r="AZ133" s="77"/>
      <c r="BA133" s="77"/>
      <c r="BB133" s="77"/>
      <c r="BC133" s="77"/>
      <c r="BD133" s="77"/>
      <c r="BE133" s="77"/>
    </row>
    <row r="134">
      <c r="A134" s="77" t="s">
        <v>1007</v>
      </c>
      <c r="B134" s="77" t="s">
        <v>1007</v>
      </c>
      <c r="C134" s="77" t="s">
        <v>1010</v>
      </c>
      <c r="D134" s="211" t="s">
        <v>1007</v>
      </c>
      <c r="E134" s="212" t="s">
        <v>1007</v>
      </c>
      <c r="F134" s="212" t="s">
        <v>1007</v>
      </c>
      <c r="G134" s="212" t="s">
        <v>1007</v>
      </c>
      <c r="H134" s="188"/>
      <c r="I134" s="188"/>
      <c r="J134" s="213">
        <v>4.94708852E8</v>
      </c>
      <c r="K134" s="213">
        <v>2.686479094E9</v>
      </c>
      <c r="L134" s="220">
        <v>4.602254449E9</v>
      </c>
      <c r="M134" s="77"/>
      <c r="N134" s="77"/>
      <c r="O134" s="78" t="s">
        <v>116</v>
      </c>
      <c r="P134" s="226" t="s">
        <v>118</v>
      </c>
      <c r="Q134" s="214" t="s">
        <v>1011</v>
      </c>
      <c r="R134" s="77" t="s">
        <v>1008</v>
      </c>
      <c r="S134" s="77"/>
      <c r="T134" s="211" t="s">
        <v>6556</v>
      </c>
      <c r="U134" s="211" t="s">
        <v>1009</v>
      </c>
      <c r="V134" s="77"/>
      <c r="W134" s="77"/>
      <c r="X134" s="77"/>
      <c r="Y134" s="77"/>
      <c r="Z134" s="216">
        <v>3.3061E9</v>
      </c>
      <c r="AA134" s="77" t="s">
        <v>6560</v>
      </c>
      <c r="AB134" s="217" t="s">
        <v>4703</v>
      </c>
      <c r="AC134" s="77" t="str">
        <f t="shared" si="3"/>
        <v>Гликирон БАД для профилактики диабета контроль аппетита</v>
      </c>
      <c r="AD134" s="218">
        <v>4.0</v>
      </c>
      <c r="AE134" s="216">
        <v>41.0</v>
      </c>
      <c r="AF134" s="218">
        <v>4.0</v>
      </c>
      <c r="AG134" s="216">
        <v>4.0</v>
      </c>
      <c r="AH134" s="77"/>
      <c r="AI134" s="216">
        <v>0.061</v>
      </c>
      <c r="AJ134" s="77"/>
      <c r="AK134" s="77"/>
      <c r="AL134" s="77"/>
      <c r="AM134" s="77"/>
      <c r="AN134" s="77"/>
      <c r="AO134" s="77"/>
      <c r="AP134" s="77"/>
      <c r="AQ134" s="77"/>
      <c r="AR134" s="77"/>
      <c r="AS134" s="77"/>
      <c r="AT134" s="77"/>
      <c r="AU134" s="77"/>
      <c r="AV134" s="77"/>
      <c r="AW134" s="77"/>
      <c r="AX134" s="77"/>
      <c r="AY134" s="77"/>
      <c r="AZ134" s="77"/>
      <c r="BA134" s="77"/>
      <c r="BB134" s="77"/>
      <c r="BC134" s="77"/>
      <c r="BD134" s="77"/>
      <c r="BE134" s="77"/>
    </row>
    <row r="135">
      <c r="A135" s="77" t="s">
        <v>441</v>
      </c>
      <c r="B135" s="77" t="s">
        <v>441</v>
      </c>
      <c r="C135" s="77" t="s">
        <v>445</v>
      </c>
      <c r="D135" s="211" t="s">
        <v>441</v>
      </c>
      <c r="E135" s="212" t="s">
        <v>441</v>
      </c>
      <c r="F135" s="212" t="s">
        <v>441</v>
      </c>
      <c r="G135" s="212" t="s">
        <v>441</v>
      </c>
      <c r="H135" s="188"/>
      <c r="I135" s="188"/>
      <c r="J135" s="213">
        <v>3.0787453E8</v>
      </c>
      <c r="K135" s="213">
        <v>1.828993605E9</v>
      </c>
      <c r="L135" s="220">
        <v>1.03724222997E11</v>
      </c>
      <c r="M135" s="77"/>
      <c r="N135" s="77"/>
      <c r="O135" s="78" t="s">
        <v>116</v>
      </c>
      <c r="P135" s="226" t="s">
        <v>118</v>
      </c>
      <c r="Q135" s="214" t="s">
        <v>447</v>
      </c>
      <c r="R135" s="77" t="s">
        <v>442</v>
      </c>
      <c r="S135" s="77"/>
      <c r="T135" s="211" t="s">
        <v>443</v>
      </c>
      <c r="U135" s="211" t="s">
        <v>444</v>
      </c>
      <c r="V135" s="77"/>
      <c r="W135" s="77"/>
      <c r="X135" s="77"/>
      <c r="Y135" s="77"/>
      <c r="Z135" s="216">
        <v>3.307900008E9</v>
      </c>
      <c r="AA135" s="77" t="s">
        <v>6558</v>
      </c>
      <c r="AB135" s="217" t="s">
        <v>4094</v>
      </c>
      <c r="AC135" s="77" t="str">
        <f t="shared" si="3"/>
        <v>Крем для лица увлажняющий питательный с ниацинамидом Алтея 50 мл</v>
      </c>
      <c r="AD135" s="218">
        <v>16.0</v>
      </c>
      <c r="AE135" s="216">
        <v>7.0</v>
      </c>
      <c r="AF135" s="218">
        <v>16.0</v>
      </c>
      <c r="AG135" s="216">
        <v>7.0</v>
      </c>
      <c r="AH135" s="77"/>
      <c r="AI135" s="216">
        <v>0.551</v>
      </c>
      <c r="AJ135" s="77"/>
      <c r="AK135" s="77"/>
      <c r="AL135" s="77"/>
      <c r="AM135" s="77"/>
      <c r="AN135" s="77"/>
      <c r="AO135" s="77"/>
      <c r="AP135" s="77"/>
      <c r="AQ135" s="77"/>
      <c r="AR135" s="77"/>
      <c r="AS135" s="77"/>
      <c r="AT135" s="77"/>
      <c r="AU135" s="77"/>
      <c r="AV135" s="77"/>
      <c r="AW135" s="77"/>
      <c r="AX135" s="77"/>
      <c r="AY135" s="77"/>
      <c r="AZ135" s="77"/>
      <c r="BA135" s="77"/>
      <c r="BB135" s="77"/>
      <c r="BC135" s="77"/>
      <c r="BD135" s="77"/>
      <c r="BE135" s="77"/>
    </row>
    <row r="136">
      <c r="A136" s="77" t="s">
        <v>196</v>
      </c>
      <c r="B136" s="77" t="s">
        <v>196</v>
      </c>
      <c r="C136" s="77" t="s">
        <v>199</v>
      </c>
      <c r="D136" s="211" t="s">
        <v>196</v>
      </c>
      <c r="E136" s="212" t="s">
        <v>196</v>
      </c>
      <c r="F136" s="212" t="s">
        <v>196</v>
      </c>
      <c r="G136" s="212" t="s">
        <v>196</v>
      </c>
      <c r="H136" s="188"/>
      <c r="I136" s="188"/>
      <c r="J136" s="213">
        <v>1.50253274E8</v>
      </c>
      <c r="K136" s="213">
        <v>8.84560852E8</v>
      </c>
      <c r="L136" s="220">
        <v>1.03614081637E11</v>
      </c>
      <c r="M136" s="77"/>
      <c r="N136" s="77"/>
      <c r="O136" s="78" t="s">
        <v>116</v>
      </c>
      <c r="P136" s="226" t="s">
        <v>118</v>
      </c>
      <c r="Q136" s="214" t="s">
        <v>201</v>
      </c>
      <c r="R136" s="77" t="s">
        <v>197</v>
      </c>
      <c r="S136" s="77"/>
      <c r="T136" s="211" t="s">
        <v>5712</v>
      </c>
      <c r="U136" s="211" t="s">
        <v>198</v>
      </c>
      <c r="V136" s="77"/>
      <c r="W136" s="77"/>
      <c r="X136" s="77"/>
      <c r="Y136" s="77"/>
      <c r="Z136" s="216">
        <v>2.3099031E9</v>
      </c>
      <c r="AA136" s="77" t="s">
        <v>6561</v>
      </c>
      <c r="AB136" s="217" t="s">
        <v>2781</v>
      </c>
      <c r="AC136" s="77" t="str">
        <f t="shared" si="3"/>
        <v>Ремувер для снятия ресниц, Алтея, 18г</v>
      </c>
      <c r="AD136" s="218">
        <v>4.0</v>
      </c>
      <c r="AE136" s="216">
        <v>8.0</v>
      </c>
      <c r="AF136" s="218">
        <v>4.0</v>
      </c>
      <c r="AG136" s="216">
        <v>4.0</v>
      </c>
      <c r="AH136" s="77"/>
      <c r="AI136" s="216">
        <v>0.06</v>
      </c>
      <c r="AJ136" s="77"/>
      <c r="AK136" s="77"/>
      <c r="AL136" s="77"/>
      <c r="AM136" s="77"/>
      <c r="AN136" s="77"/>
      <c r="AO136" s="77"/>
      <c r="AP136" s="77"/>
      <c r="AQ136" s="77"/>
      <c r="AR136" s="77"/>
      <c r="AS136" s="77"/>
      <c r="AT136" s="77"/>
      <c r="AU136" s="77"/>
      <c r="AV136" s="77"/>
      <c r="AW136" s="77"/>
      <c r="AX136" s="77"/>
      <c r="AY136" s="77"/>
      <c r="AZ136" s="77"/>
      <c r="BA136" s="77"/>
      <c r="BB136" s="77"/>
      <c r="BC136" s="77"/>
      <c r="BD136" s="77"/>
      <c r="BE136" s="77"/>
    </row>
    <row r="137">
      <c r="A137" s="77" t="s">
        <v>212</v>
      </c>
      <c r="B137" s="77" t="s">
        <v>212</v>
      </c>
      <c r="C137" s="77" t="s">
        <v>214</v>
      </c>
      <c r="D137" s="211" t="s">
        <v>212</v>
      </c>
      <c r="E137" s="212" t="s">
        <v>212</v>
      </c>
      <c r="F137" s="212" t="s">
        <v>212</v>
      </c>
      <c r="G137" s="212" t="s">
        <v>212</v>
      </c>
      <c r="H137" s="188"/>
      <c r="I137" s="188"/>
      <c r="J137" s="213">
        <v>2.32468472E8</v>
      </c>
      <c r="K137" s="213">
        <v>1.581829359E9</v>
      </c>
      <c r="L137" s="220">
        <v>1.03542523691E11</v>
      </c>
      <c r="M137" s="77"/>
      <c r="N137" s="77"/>
      <c r="O137" s="78" t="s">
        <v>116</v>
      </c>
      <c r="P137" s="226" t="s">
        <v>118</v>
      </c>
      <c r="Q137" s="214" t="s">
        <v>216</v>
      </c>
      <c r="R137" s="77" t="s">
        <v>213</v>
      </c>
      <c r="S137" s="77"/>
      <c r="T137" s="211" t="s">
        <v>5712</v>
      </c>
      <c r="U137" s="211" t="s">
        <v>198</v>
      </c>
      <c r="V137" s="77"/>
      <c r="W137" s="77"/>
      <c r="X137" s="77"/>
      <c r="Y137" s="77"/>
      <c r="Z137" s="216">
        <v>2.3099031E9</v>
      </c>
      <c r="AA137" s="77" t="s">
        <v>6561</v>
      </c>
      <c r="AB137" s="217" t="s">
        <v>3347</v>
      </c>
      <c r="AC137" s="77" t="str">
        <f t="shared" si="3"/>
        <v>Крем/масло от растяжек для беременных и подростков с эластином, Алтея, 200 мл</v>
      </c>
      <c r="AD137" s="218">
        <v>4.0</v>
      </c>
      <c r="AE137" s="216">
        <v>8.0</v>
      </c>
      <c r="AF137" s="218">
        <v>4.0</v>
      </c>
      <c r="AG137" s="216">
        <v>4.0</v>
      </c>
      <c r="AH137" s="77"/>
      <c r="AI137" s="216">
        <v>0.06</v>
      </c>
      <c r="AJ137" s="77"/>
      <c r="AK137" s="77"/>
      <c r="AL137" s="77"/>
      <c r="AM137" s="77"/>
      <c r="AN137" s="77"/>
      <c r="AO137" s="77"/>
      <c r="AP137" s="77"/>
      <c r="AQ137" s="77"/>
      <c r="AR137" s="77"/>
      <c r="AS137" s="77"/>
      <c r="AT137" s="77"/>
      <c r="AU137" s="77"/>
      <c r="AV137" s="77"/>
      <c r="AW137" s="77"/>
      <c r="AX137" s="77"/>
      <c r="AY137" s="77"/>
      <c r="AZ137" s="77"/>
      <c r="BA137" s="77"/>
      <c r="BB137" s="77"/>
      <c r="BC137" s="77"/>
      <c r="BD137" s="77"/>
      <c r="BE137" s="77"/>
    </row>
    <row r="138">
      <c r="A138" s="77" t="s">
        <v>227</v>
      </c>
      <c r="B138" s="77" t="s">
        <v>227</v>
      </c>
      <c r="C138" s="77" t="s">
        <v>229</v>
      </c>
      <c r="D138" s="211" t="s">
        <v>227</v>
      </c>
      <c r="E138" s="212" t="s">
        <v>227</v>
      </c>
      <c r="F138" s="212" t="s">
        <v>227</v>
      </c>
      <c r="G138" s="212" t="s">
        <v>227</v>
      </c>
      <c r="H138" s="188"/>
      <c r="I138" s="188"/>
      <c r="J138" s="213">
        <v>1.50262548E8</v>
      </c>
      <c r="K138" s="213">
        <v>8.84578393E8</v>
      </c>
      <c r="L138" s="220">
        <v>1.03542518194E11</v>
      </c>
      <c r="M138" s="77"/>
      <c r="N138" s="77"/>
      <c r="O138" s="78" t="s">
        <v>116</v>
      </c>
      <c r="P138" s="226" t="s">
        <v>118</v>
      </c>
      <c r="Q138" s="214" t="s">
        <v>231</v>
      </c>
      <c r="R138" s="77" t="s">
        <v>228</v>
      </c>
      <c r="S138" s="77"/>
      <c r="T138" s="211" t="s">
        <v>5712</v>
      </c>
      <c r="U138" s="211" t="s">
        <v>198</v>
      </c>
      <c r="V138" s="77"/>
      <c r="W138" s="77"/>
      <c r="X138" s="77"/>
      <c r="Y138" s="77"/>
      <c r="Z138" s="216">
        <v>2.3099031E9</v>
      </c>
      <c r="AA138" s="77" t="s">
        <v>6561</v>
      </c>
      <c r="AB138" s="217" t="s">
        <v>2836</v>
      </c>
      <c r="AC138" s="77" t="str">
        <f t="shared" si="3"/>
        <v>Сыворотка с ниацинамидом для лица антивозрастная, от пигментных пятен для лица, пигментации, Алтея, 30 мл</v>
      </c>
      <c r="AD138" s="218">
        <v>8.0</v>
      </c>
      <c r="AE138" s="216">
        <v>4.0</v>
      </c>
      <c r="AF138" s="218">
        <v>8.0</v>
      </c>
      <c r="AG138" s="216">
        <v>5.0</v>
      </c>
      <c r="AH138" s="77"/>
      <c r="AI138" s="216">
        <v>0.063</v>
      </c>
      <c r="AJ138" s="77"/>
      <c r="AK138" s="77"/>
      <c r="AL138" s="77"/>
      <c r="AM138" s="77"/>
      <c r="AN138" s="77"/>
      <c r="AO138" s="77"/>
      <c r="AP138" s="77"/>
      <c r="AQ138" s="77"/>
      <c r="AR138" s="77"/>
      <c r="AS138" s="77"/>
      <c r="AT138" s="77"/>
      <c r="AU138" s="77"/>
      <c r="AV138" s="77"/>
      <c r="AW138" s="77"/>
      <c r="AX138" s="77"/>
      <c r="AY138" s="77"/>
      <c r="AZ138" s="77"/>
      <c r="BA138" s="77"/>
      <c r="BB138" s="77"/>
      <c r="BC138" s="77"/>
      <c r="BD138" s="77"/>
      <c r="BE138" s="77"/>
    </row>
    <row r="139">
      <c r="A139" s="77" t="s">
        <v>1884</v>
      </c>
      <c r="B139" s="77" t="s">
        <v>1884</v>
      </c>
      <c r="C139" s="77" t="s">
        <v>1887</v>
      </c>
      <c r="D139" s="211" t="s">
        <v>1884</v>
      </c>
      <c r="E139" s="212" t="s">
        <v>1884</v>
      </c>
      <c r="F139" s="212" t="s">
        <v>1884</v>
      </c>
      <c r="G139" s="212" t="s">
        <v>1884</v>
      </c>
      <c r="H139" s="188"/>
      <c r="I139" s="188"/>
      <c r="J139" s="213">
        <v>2.55212157E8</v>
      </c>
      <c r="K139" s="213">
        <v>1.703618254E9</v>
      </c>
      <c r="L139" s="220">
        <v>1.03536273553E11</v>
      </c>
      <c r="M139" s="77"/>
      <c r="N139" s="77"/>
      <c r="O139" s="78" t="s">
        <v>116</v>
      </c>
      <c r="P139" s="226" t="s">
        <v>118</v>
      </c>
      <c r="Q139" s="214" t="s">
        <v>1889</v>
      </c>
      <c r="R139" s="77" t="s">
        <v>1885</v>
      </c>
      <c r="S139" s="77"/>
      <c r="T139" s="211" t="s">
        <v>443</v>
      </c>
      <c r="U139" s="211" t="s">
        <v>1886</v>
      </c>
      <c r="V139" s="77"/>
      <c r="W139" s="77"/>
      <c r="X139" s="77"/>
      <c r="Y139" s="77"/>
      <c r="Z139" s="216">
        <v>3.307900008E9</v>
      </c>
      <c r="AA139" s="77" t="s">
        <v>6558</v>
      </c>
      <c r="AB139" s="217" t="s">
        <v>3395</v>
      </c>
      <c r="AC139" s="77" t="str">
        <f t="shared" si="3"/>
        <v>Тоник для лица очищающий, увлажняющий тонер, лосьон от пигментации, от прыщей и акне, черных точек для подростков с гликолевой салициловой кислотой, центеллой, ниацинамидом, Алтея 200 мл</v>
      </c>
      <c r="AD139" s="218">
        <v>8.0</v>
      </c>
      <c r="AE139" s="216">
        <v>16.0</v>
      </c>
      <c r="AF139" s="218">
        <v>8.0</v>
      </c>
      <c r="AG139" s="216">
        <v>8.0</v>
      </c>
      <c r="AH139" s="77"/>
      <c r="AI139" s="216">
        <v>0.55</v>
      </c>
      <c r="AJ139" s="77"/>
      <c r="AK139" s="77"/>
      <c r="AL139" s="77"/>
      <c r="AM139" s="77"/>
      <c r="AN139" s="77"/>
      <c r="AO139" s="77"/>
      <c r="AP139" s="77"/>
      <c r="AQ139" s="77"/>
      <c r="AR139" s="77"/>
      <c r="AS139" s="77"/>
      <c r="AT139" s="77"/>
      <c r="AU139" s="77"/>
      <c r="AV139" s="77"/>
      <c r="AW139" s="77"/>
      <c r="AX139" s="77"/>
      <c r="AY139" s="77"/>
      <c r="AZ139" s="77"/>
      <c r="BA139" s="77"/>
      <c r="BB139" s="77"/>
      <c r="BC139" s="77"/>
      <c r="BD139" s="77"/>
      <c r="BE139" s="77"/>
    </row>
    <row r="140">
      <c r="A140" s="77" t="s">
        <v>460</v>
      </c>
      <c r="B140" s="77" t="s">
        <v>460</v>
      </c>
      <c r="C140" s="77" t="s">
        <v>462</v>
      </c>
      <c r="D140" s="211" t="s">
        <v>460</v>
      </c>
      <c r="E140" s="212" t="s">
        <v>460</v>
      </c>
      <c r="F140" s="212" t="s">
        <v>460</v>
      </c>
      <c r="G140" s="188"/>
      <c r="H140" s="188"/>
      <c r="I140" s="188"/>
      <c r="J140" s="213">
        <v>2.76247301E8</v>
      </c>
      <c r="K140" s="213">
        <v>1.745032627E9</v>
      </c>
      <c r="L140" s="220">
        <v>1.0360209728E11</v>
      </c>
      <c r="M140" s="77"/>
      <c r="N140" s="77"/>
      <c r="O140" s="78" t="s">
        <v>116</v>
      </c>
      <c r="P140" s="226" t="s">
        <v>118</v>
      </c>
      <c r="Q140" s="214" t="s">
        <v>464</v>
      </c>
      <c r="R140" s="77" t="s">
        <v>461</v>
      </c>
      <c r="S140" s="77"/>
      <c r="T140" s="211" t="s">
        <v>6556</v>
      </c>
      <c r="U140" s="211" t="s">
        <v>444</v>
      </c>
      <c r="V140" s="77"/>
      <c r="W140" s="77"/>
      <c r="X140" s="77"/>
      <c r="Y140" s="77"/>
      <c r="Z140" s="216">
        <v>3.307900008E9</v>
      </c>
      <c r="AA140" s="77" t="s">
        <v>6558</v>
      </c>
      <c r="AB140" s="217" t="s">
        <v>3913</v>
      </c>
      <c r="AC140" s="77" t="str">
        <f t="shared" si="3"/>
        <v>Тестостерон для мужчин I am alpha Алтея 60 капсул, экдистерон для потенции и мышц спортивный, цинк, тестобустер, витамины для мужчин, бустер</v>
      </c>
      <c r="AD140" s="218">
        <v>3.0</v>
      </c>
      <c r="AE140" s="216">
        <v>7.0</v>
      </c>
      <c r="AF140" s="218">
        <v>3.0</v>
      </c>
      <c r="AG140" s="216">
        <v>3.0</v>
      </c>
      <c r="AH140" s="77"/>
      <c r="AI140" s="216">
        <v>0.071</v>
      </c>
      <c r="AJ140" s="77"/>
      <c r="AK140" s="77"/>
      <c r="AL140" s="77"/>
      <c r="AM140" s="77"/>
      <c r="AN140" s="77"/>
      <c r="AO140" s="77"/>
      <c r="AP140" s="77"/>
      <c r="AQ140" s="77"/>
      <c r="AR140" s="77"/>
      <c r="AS140" s="77"/>
      <c r="AT140" s="77"/>
      <c r="AU140" s="77"/>
      <c r="AV140" s="77"/>
      <c r="AW140" s="77"/>
      <c r="AX140" s="77"/>
      <c r="AY140" s="77"/>
      <c r="AZ140" s="77"/>
      <c r="BA140" s="77"/>
      <c r="BB140" s="77"/>
      <c r="BC140" s="77"/>
      <c r="BD140" s="77"/>
      <c r="BE140" s="77"/>
    </row>
    <row r="141">
      <c r="A141" s="77" t="s">
        <v>252</v>
      </c>
      <c r="B141" s="77" t="s">
        <v>252</v>
      </c>
      <c r="C141" s="77" t="s">
        <v>254</v>
      </c>
      <c r="D141" s="211" t="s">
        <v>252</v>
      </c>
      <c r="E141" s="212" t="s">
        <v>252</v>
      </c>
      <c r="F141" s="212" t="s">
        <v>252</v>
      </c>
      <c r="G141" s="212" t="s">
        <v>252</v>
      </c>
      <c r="H141" s="188"/>
      <c r="I141" s="188"/>
      <c r="J141" s="213">
        <v>1.63687757E8</v>
      </c>
      <c r="K141" s="213">
        <v>1.018530861E9</v>
      </c>
      <c r="L141" s="220">
        <v>1.03614081636E11</v>
      </c>
      <c r="M141" s="77"/>
      <c r="N141" s="77"/>
      <c r="O141" s="78" t="s">
        <v>116</v>
      </c>
      <c r="P141" s="226" t="s">
        <v>118</v>
      </c>
      <c r="Q141" s="214" t="s">
        <v>256</v>
      </c>
      <c r="R141" s="77" t="s">
        <v>253</v>
      </c>
      <c r="S141" s="77"/>
      <c r="T141" s="211" t="s">
        <v>5712</v>
      </c>
      <c r="U141" s="211" t="s">
        <v>198</v>
      </c>
      <c r="V141" s="77"/>
      <c r="W141" s="77"/>
      <c r="X141" s="77"/>
      <c r="Y141" s="77"/>
      <c r="Z141" s="216">
        <v>2.3099031E9</v>
      </c>
      <c r="AA141" s="77" t="s">
        <v>6561</v>
      </c>
      <c r="AB141" s="217" t="s">
        <v>3301</v>
      </c>
      <c r="AC141" s="77" t="str">
        <f t="shared" si="3"/>
        <v>Скраб пилинг для кожи головы, Алтея, 200 мл</v>
      </c>
      <c r="AD141" s="218">
        <v>4.0</v>
      </c>
      <c r="AE141" s="216">
        <v>8.0</v>
      </c>
      <c r="AF141" s="218">
        <v>4.0</v>
      </c>
      <c r="AG141" s="216">
        <v>4.0</v>
      </c>
      <c r="AH141" s="77"/>
      <c r="AI141" s="216">
        <v>0.06</v>
      </c>
      <c r="AJ141" s="77"/>
      <c r="AK141" s="77"/>
      <c r="AL141" s="77"/>
      <c r="AM141" s="77"/>
      <c r="AN141" s="77"/>
      <c r="AO141" s="77"/>
      <c r="AP141" s="77"/>
      <c r="AQ141" s="77"/>
      <c r="AR141" s="77"/>
      <c r="AS141" s="77"/>
      <c r="AT141" s="77"/>
      <c r="AU141" s="77"/>
      <c r="AV141" s="77"/>
      <c r="AW141" s="77"/>
      <c r="AX141" s="77"/>
      <c r="AY141" s="77"/>
      <c r="AZ141" s="77"/>
      <c r="BA141" s="77"/>
      <c r="BB141" s="77"/>
      <c r="BC141" s="77"/>
      <c r="BD141" s="77"/>
      <c r="BE141" s="77"/>
    </row>
    <row r="142">
      <c r="A142" s="77" t="s">
        <v>1253</v>
      </c>
      <c r="B142" s="77" t="s">
        <v>1253</v>
      </c>
      <c r="C142" s="77" t="s">
        <v>1255</v>
      </c>
      <c r="D142" s="211" t="s">
        <v>1253</v>
      </c>
      <c r="E142" s="212" t="s">
        <v>1253</v>
      </c>
      <c r="F142" s="212" t="s">
        <v>1253</v>
      </c>
      <c r="G142" s="212" t="s">
        <v>1253</v>
      </c>
      <c r="H142" s="188"/>
      <c r="I142" s="188"/>
      <c r="J142" s="213">
        <v>3.85728241E8</v>
      </c>
      <c r="K142" s="213">
        <v>2.022703709E9</v>
      </c>
      <c r="L142" s="220">
        <v>4.335656072E9</v>
      </c>
      <c r="M142" s="77"/>
      <c r="N142" s="77"/>
      <c r="O142" s="78" t="s">
        <v>116</v>
      </c>
      <c r="P142" s="226" t="s">
        <v>118</v>
      </c>
      <c r="Q142" s="214" t="s">
        <v>1257</v>
      </c>
      <c r="R142" s="77" t="s">
        <v>1254</v>
      </c>
      <c r="S142" s="77"/>
      <c r="T142" s="211" t="s">
        <v>443</v>
      </c>
      <c r="U142" s="211" t="s">
        <v>1237</v>
      </c>
      <c r="V142" s="77"/>
      <c r="W142" s="77"/>
      <c r="X142" s="77"/>
      <c r="Y142" s="77"/>
      <c r="Z142" s="216">
        <v>3.307900008E9</v>
      </c>
      <c r="AA142" s="77" t="s">
        <v>6558</v>
      </c>
      <c r="AB142" s="217" t="s">
        <v>3413</v>
      </c>
      <c r="AC142" s="77" t="str">
        <f t="shared" si="3"/>
        <v>Восстанавливающая маска для волос с кератином увлажняющая, Алтея, 250 мл</v>
      </c>
      <c r="AD142" s="218">
        <v>4.0</v>
      </c>
      <c r="AE142" s="216">
        <v>16.0</v>
      </c>
      <c r="AF142" s="218">
        <v>4.0</v>
      </c>
      <c r="AG142" s="216">
        <v>4.0</v>
      </c>
      <c r="AH142" s="77"/>
      <c r="AI142" s="216">
        <v>0.126</v>
      </c>
      <c r="AJ142" s="77"/>
      <c r="AK142" s="77"/>
      <c r="AL142" s="77"/>
      <c r="AM142" s="77"/>
      <c r="AN142" s="77"/>
      <c r="AO142" s="77"/>
      <c r="AP142" s="77"/>
      <c r="AQ142" s="77"/>
      <c r="AR142" s="77"/>
      <c r="AS142" s="77"/>
      <c r="AT142" s="77"/>
      <c r="AU142" s="77"/>
      <c r="AV142" s="77"/>
      <c r="AW142" s="77"/>
      <c r="AX142" s="77"/>
      <c r="AY142" s="77"/>
      <c r="AZ142" s="77"/>
      <c r="BA142" s="77"/>
      <c r="BB142" s="77"/>
      <c r="BC142" s="77"/>
      <c r="BD142" s="77"/>
      <c r="BE142" s="77"/>
    </row>
    <row r="143">
      <c r="A143" s="77" t="s">
        <v>117</v>
      </c>
      <c r="B143" s="77" t="s">
        <v>117</v>
      </c>
      <c r="C143" s="77" t="s">
        <v>123</v>
      </c>
      <c r="D143" s="211" t="s">
        <v>117</v>
      </c>
      <c r="E143" s="212" t="s">
        <v>117</v>
      </c>
      <c r="F143" s="212" t="s">
        <v>117</v>
      </c>
      <c r="G143" s="188"/>
      <c r="H143" s="188"/>
      <c r="I143" s="188"/>
      <c r="J143" s="213">
        <v>4.73683865E8</v>
      </c>
      <c r="K143" s="213">
        <v>2.517120405E9</v>
      </c>
      <c r="L143" s="77"/>
      <c r="M143" s="77"/>
      <c r="N143" s="77"/>
      <c r="O143" s="78" t="s">
        <v>116</v>
      </c>
      <c r="P143" s="226" t="s">
        <v>118</v>
      </c>
      <c r="Q143" s="214" t="s">
        <v>125</v>
      </c>
      <c r="R143" s="77" t="s">
        <v>120</v>
      </c>
      <c r="S143" s="77"/>
      <c r="T143" s="211" t="s">
        <v>5712</v>
      </c>
      <c r="U143" s="211" t="s">
        <v>122</v>
      </c>
      <c r="V143" s="77"/>
      <c r="W143" s="77"/>
      <c r="X143" s="77"/>
      <c r="Y143" s="77"/>
      <c r="Z143" s="216">
        <v>3.3061E9</v>
      </c>
      <c r="AA143" s="77" t="s">
        <v>6562</v>
      </c>
      <c r="AB143" s="217" t="s">
        <v>3533</v>
      </c>
      <c r="AC143" s="77" t="str">
        <f t="shared" si="3"/>
        <v>Крем для век и кожи вокруг глаз Жидкие патчи для глаз Алтея 30 мл</v>
      </c>
      <c r="AD143" s="218">
        <v>5.0</v>
      </c>
      <c r="AE143" s="216">
        <v>15.0</v>
      </c>
      <c r="AF143" s="218">
        <v>5.0</v>
      </c>
      <c r="AG143" s="216">
        <v>5.0</v>
      </c>
      <c r="AH143" s="77"/>
      <c r="AI143" s="216">
        <v>0.092</v>
      </c>
      <c r="AJ143" s="77"/>
      <c r="AK143" s="77"/>
      <c r="AL143" s="77"/>
      <c r="AM143" s="77"/>
      <c r="AN143" s="77"/>
      <c r="AO143" s="77"/>
      <c r="AP143" s="77"/>
      <c r="AQ143" s="77"/>
      <c r="AR143" s="77"/>
      <c r="AS143" s="77"/>
      <c r="AT143" s="77"/>
      <c r="AU143" s="77"/>
      <c r="AV143" s="77"/>
      <c r="AW143" s="77"/>
      <c r="AX143" s="77"/>
      <c r="AY143" s="77"/>
      <c r="AZ143" s="77"/>
      <c r="BA143" s="77"/>
      <c r="BB143" s="77"/>
      <c r="BC143" s="77"/>
      <c r="BD143" s="77"/>
      <c r="BE143" s="77"/>
    </row>
    <row r="144">
      <c r="A144" s="77" t="s">
        <v>1384</v>
      </c>
      <c r="B144" s="77" t="s">
        <v>1384</v>
      </c>
      <c r="C144" s="77" t="s">
        <v>1387</v>
      </c>
      <c r="D144" s="211" t="s">
        <v>1384</v>
      </c>
      <c r="E144" s="212" t="s">
        <v>1384</v>
      </c>
      <c r="F144" s="212" t="s">
        <v>1384</v>
      </c>
      <c r="G144" s="212" t="s">
        <v>1384</v>
      </c>
      <c r="H144" s="188"/>
      <c r="I144" s="188"/>
      <c r="J144" s="213">
        <v>2.63835222E8</v>
      </c>
      <c r="K144" s="213">
        <v>1.703901908E9</v>
      </c>
      <c r="L144" s="220">
        <v>1.03536211764E11</v>
      </c>
      <c r="M144" s="77"/>
      <c r="N144" s="77"/>
      <c r="O144" s="78" t="s">
        <v>116</v>
      </c>
      <c r="P144" s="226" t="s">
        <v>118</v>
      </c>
      <c r="Q144" s="214" t="s">
        <v>1389</v>
      </c>
      <c r="R144" s="77" t="s">
        <v>1385</v>
      </c>
      <c r="S144" s="77"/>
      <c r="T144" s="211" t="s">
        <v>6563</v>
      </c>
      <c r="U144" s="211" t="s">
        <v>1386</v>
      </c>
      <c r="V144" s="77"/>
      <c r="W144" s="77"/>
      <c r="X144" s="77"/>
      <c r="Y144" s="77"/>
      <c r="Z144" s="216">
        <v>2.309109E9</v>
      </c>
      <c r="AA144" s="77" t="s">
        <v>6561</v>
      </c>
      <c r="AB144" s="217" t="s">
        <v>3369</v>
      </c>
      <c r="AC144" s="77" t="str">
        <f t="shared" si="3"/>
        <v>Маска для роста волос с перцем, средство для роста волос, для укрепления, Алтея 500мл</v>
      </c>
      <c r="AD144" s="218">
        <v>37.0</v>
      </c>
      <c r="AE144" s="216">
        <v>6.0</v>
      </c>
      <c r="AF144" s="218">
        <v>37.0</v>
      </c>
      <c r="AG144" s="216">
        <v>23.0</v>
      </c>
      <c r="AH144" s="77"/>
      <c r="AI144" s="216">
        <v>2.0</v>
      </c>
      <c r="AJ144" s="77"/>
      <c r="AK144" s="77"/>
      <c r="AL144" s="77"/>
      <c r="AM144" s="77"/>
      <c r="AN144" s="77"/>
      <c r="AO144" s="77"/>
      <c r="AP144" s="77"/>
      <c r="AQ144" s="77"/>
      <c r="AR144" s="77"/>
      <c r="AS144" s="77"/>
      <c r="AT144" s="77"/>
      <c r="AU144" s="77"/>
      <c r="AV144" s="77"/>
      <c r="AW144" s="77"/>
      <c r="AX144" s="77"/>
      <c r="AY144" s="77"/>
      <c r="AZ144" s="77"/>
      <c r="BA144" s="77"/>
      <c r="BB144" s="77"/>
      <c r="BC144" s="77"/>
      <c r="BD144" s="77"/>
      <c r="BE144" s="77"/>
    </row>
    <row r="145">
      <c r="A145" s="77" t="s">
        <v>1400</v>
      </c>
      <c r="B145" s="77" t="s">
        <v>1400</v>
      </c>
      <c r="C145" s="77" t="s">
        <v>1402</v>
      </c>
      <c r="D145" s="211" t="s">
        <v>1400</v>
      </c>
      <c r="E145" s="212" t="s">
        <v>1400</v>
      </c>
      <c r="F145" s="212" t="s">
        <v>1400</v>
      </c>
      <c r="G145" s="212" t="s">
        <v>1400</v>
      </c>
      <c r="H145" s="188"/>
      <c r="I145" s="188"/>
      <c r="J145" s="213">
        <v>2.63831566E8</v>
      </c>
      <c r="K145" s="213">
        <v>1.710553197E9</v>
      </c>
      <c r="L145" s="220">
        <v>1.03553212446E11</v>
      </c>
      <c r="M145" s="77"/>
      <c r="N145" s="77"/>
      <c r="O145" s="78" t="s">
        <v>116</v>
      </c>
      <c r="P145" s="226" t="s">
        <v>118</v>
      </c>
      <c r="Q145" s="214" t="s">
        <v>1404</v>
      </c>
      <c r="R145" s="77" t="s">
        <v>1401</v>
      </c>
      <c r="S145" s="77"/>
      <c r="T145" s="211" t="s">
        <v>6563</v>
      </c>
      <c r="U145" s="211" t="s">
        <v>1386</v>
      </c>
      <c r="V145" s="77"/>
      <c r="W145" s="77"/>
      <c r="X145" s="77"/>
      <c r="Y145" s="77"/>
      <c r="Z145" s="216">
        <v>2.309109E9</v>
      </c>
      <c r="AA145" s="77" t="s">
        <v>6561</v>
      </c>
      <c r="AB145" s="217" t="s">
        <v>3000</v>
      </c>
      <c r="AC145" s="77" t="str">
        <f t="shared" si="3"/>
        <v>Крем для лица с ретинолом 0.5, антивозрастной, против морщин, сыворотка от морщин и пигментных пятен, Алтея, Ретидерм, 50 мл</v>
      </c>
      <c r="AD145" s="218">
        <v>37.0</v>
      </c>
      <c r="AE145" s="216">
        <v>6.0</v>
      </c>
      <c r="AF145" s="218">
        <v>37.0</v>
      </c>
      <c r="AG145" s="216">
        <v>23.0</v>
      </c>
      <c r="AH145" s="77"/>
      <c r="AI145" s="216">
        <v>2.0</v>
      </c>
      <c r="AJ145" s="77"/>
      <c r="AK145" s="77"/>
      <c r="AL145" s="77"/>
      <c r="AM145" s="77"/>
      <c r="AN145" s="77"/>
      <c r="AO145" s="77"/>
      <c r="AP145" s="77"/>
      <c r="AQ145" s="77"/>
      <c r="AR145" s="77"/>
      <c r="AS145" s="77"/>
      <c r="AT145" s="77"/>
      <c r="AU145" s="77"/>
      <c r="AV145" s="77"/>
      <c r="AW145" s="77"/>
      <c r="AX145" s="77"/>
      <c r="AY145" s="77"/>
      <c r="AZ145" s="77"/>
      <c r="BA145" s="77"/>
      <c r="BB145" s="77"/>
      <c r="BC145" s="77"/>
      <c r="BD145" s="77"/>
      <c r="BE145" s="77"/>
    </row>
    <row r="146">
      <c r="A146" s="77" t="s">
        <v>1843</v>
      </c>
      <c r="B146" s="77" t="s">
        <v>1843</v>
      </c>
      <c r="C146" s="77" t="s">
        <v>1847</v>
      </c>
      <c r="D146" s="211" t="s">
        <v>1843</v>
      </c>
      <c r="E146" s="212" t="s">
        <v>1843</v>
      </c>
      <c r="F146" s="212" t="s">
        <v>1843</v>
      </c>
      <c r="G146" s="212" t="s">
        <v>1843</v>
      </c>
      <c r="H146" s="188"/>
      <c r="I146" s="188"/>
      <c r="J146" s="213">
        <v>3.25209184E8</v>
      </c>
      <c r="K146" s="213">
        <v>1.873376596E9</v>
      </c>
      <c r="L146" s="220">
        <v>1.03812561953E11</v>
      </c>
      <c r="M146" s="77"/>
      <c r="N146" s="77"/>
      <c r="O146" s="78" t="s">
        <v>116</v>
      </c>
      <c r="P146" s="226" t="s">
        <v>118</v>
      </c>
      <c r="Q146" s="214" t="s">
        <v>1849</v>
      </c>
      <c r="R146" s="77" t="s">
        <v>1845</v>
      </c>
      <c r="S146" s="77"/>
      <c r="T146" s="211" t="s">
        <v>443</v>
      </c>
      <c r="U146" s="211" t="s">
        <v>1846</v>
      </c>
      <c r="V146" s="77"/>
      <c r="W146" s="77"/>
      <c r="X146" s="77"/>
      <c r="Y146" s="77"/>
      <c r="Z146" s="216">
        <v>3.307900008E9</v>
      </c>
      <c r="AA146" s="77" t="s">
        <v>6558</v>
      </c>
      <c r="AB146" s="217" t="s">
        <v>4070</v>
      </c>
      <c r="AC146" s="77" t="str">
        <f t="shared" si="3"/>
        <v>Спрей для волос солевой для объема и укладки волос с фиксацией Алтея 200 мл</v>
      </c>
      <c r="AD146" s="218">
        <v>5.0</v>
      </c>
      <c r="AE146" s="216">
        <v>16.0</v>
      </c>
      <c r="AF146" s="218">
        <v>5.0</v>
      </c>
      <c r="AG146" s="216">
        <v>5.0</v>
      </c>
      <c r="AH146" s="77"/>
      <c r="AI146" s="216">
        <v>0.281</v>
      </c>
      <c r="AJ146" s="77"/>
      <c r="AK146" s="77"/>
      <c r="AL146" s="77"/>
      <c r="AM146" s="77"/>
      <c r="AN146" s="77"/>
      <c r="AO146" s="77"/>
      <c r="AP146" s="77"/>
      <c r="AQ146" s="77"/>
      <c r="AR146" s="77"/>
      <c r="AS146" s="77"/>
      <c r="AT146" s="77"/>
      <c r="AU146" s="77"/>
      <c r="AV146" s="77"/>
      <c r="AW146" s="77"/>
      <c r="AX146" s="77"/>
      <c r="AY146" s="77"/>
      <c r="AZ146" s="77"/>
      <c r="BA146" s="77"/>
      <c r="BB146" s="77"/>
      <c r="BC146" s="77"/>
      <c r="BD146" s="77"/>
      <c r="BE146" s="77"/>
    </row>
    <row r="147">
      <c r="A147" s="77" t="s">
        <v>147</v>
      </c>
      <c r="B147" s="77" t="s">
        <v>147</v>
      </c>
      <c r="C147" s="77" t="s">
        <v>149</v>
      </c>
      <c r="D147" s="211" t="s">
        <v>147</v>
      </c>
      <c r="E147" s="212" t="s">
        <v>147</v>
      </c>
      <c r="F147" s="212" t="s">
        <v>147</v>
      </c>
      <c r="G147" s="212" t="s">
        <v>147</v>
      </c>
      <c r="H147" s="188"/>
      <c r="I147" s="188"/>
      <c r="J147" s="213">
        <v>1.6368338E8</v>
      </c>
      <c r="K147" s="213">
        <v>1.010948247E9</v>
      </c>
      <c r="L147" s="220">
        <v>1.03542519891E11</v>
      </c>
      <c r="M147" s="77"/>
      <c r="N147" s="77"/>
      <c r="O147" s="78" t="s">
        <v>116</v>
      </c>
      <c r="P147" s="226" t="s">
        <v>118</v>
      </c>
      <c r="Q147" s="214" t="s">
        <v>151</v>
      </c>
      <c r="R147" s="77" t="s">
        <v>148</v>
      </c>
      <c r="S147" s="77"/>
      <c r="T147" s="211" t="s">
        <v>5712</v>
      </c>
      <c r="U147" s="211" t="s">
        <v>122</v>
      </c>
      <c r="V147" s="77"/>
      <c r="W147" s="77"/>
      <c r="X147" s="77"/>
      <c r="Y147" s="77"/>
      <c r="Z147" s="216">
        <v>2.3099031E9</v>
      </c>
      <c r="AA147" s="77" t="s">
        <v>6564</v>
      </c>
      <c r="AB147" s="217" t="s">
        <v>3972</v>
      </c>
      <c r="AC147" s="77" t="str">
        <f t="shared" si="3"/>
        <v>Ламеллярный крем для рук с мочевиной, увлажняющий и питательный с маслом кокоса, Алтея, 75 мл</v>
      </c>
      <c r="AD147" s="218">
        <v>4.0</v>
      </c>
      <c r="AE147" s="216">
        <v>8.0</v>
      </c>
      <c r="AF147" s="218">
        <v>4.0</v>
      </c>
      <c r="AG147" s="216">
        <v>4.0</v>
      </c>
      <c r="AH147" s="77"/>
      <c r="AI147" s="216">
        <v>0.06</v>
      </c>
      <c r="AJ147" s="77"/>
      <c r="AK147" s="77"/>
      <c r="AL147" s="77"/>
      <c r="AM147" s="77"/>
      <c r="AN147" s="77"/>
      <c r="AO147" s="77"/>
      <c r="AP147" s="77"/>
      <c r="AQ147" s="77"/>
      <c r="AR147" s="77"/>
      <c r="AS147" s="77"/>
      <c r="AT147" s="77"/>
      <c r="AU147" s="77"/>
      <c r="AV147" s="77"/>
      <c r="AW147" s="77"/>
      <c r="AX147" s="77"/>
      <c r="AY147" s="77"/>
      <c r="AZ147" s="77"/>
      <c r="BA147" s="77"/>
      <c r="BB147" s="77"/>
      <c r="BC147" s="77"/>
      <c r="BD147" s="77"/>
      <c r="BE147" s="77"/>
    </row>
    <row r="148">
      <c r="A148" s="77" t="s">
        <v>1351</v>
      </c>
      <c r="B148" s="77" t="s">
        <v>1351</v>
      </c>
      <c r="C148" s="77" t="s">
        <v>1355</v>
      </c>
      <c r="D148" s="211" t="s">
        <v>1351</v>
      </c>
      <c r="E148" s="212" t="s">
        <v>1351</v>
      </c>
      <c r="F148" s="212" t="s">
        <v>1351</v>
      </c>
      <c r="G148" s="212" t="s">
        <v>1351</v>
      </c>
      <c r="H148" s="188"/>
      <c r="I148" s="188"/>
      <c r="J148" s="213">
        <v>2.33855851E8</v>
      </c>
      <c r="K148" s="213">
        <v>1.59664608E9</v>
      </c>
      <c r="L148" s="220">
        <v>1.03396954722E11</v>
      </c>
      <c r="M148" s="77"/>
      <c r="N148" s="77"/>
      <c r="O148" s="78" t="s">
        <v>116</v>
      </c>
      <c r="P148" s="226" t="s">
        <v>118</v>
      </c>
      <c r="Q148" s="214" t="s">
        <v>1357</v>
      </c>
      <c r="R148" s="77" t="s">
        <v>1353</v>
      </c>
      <c r="S148" s="77"/>
      <c r="T148" s="211" t="s">
        <v>6563</v>
      </c>
      <c r="U148" s="211" t="s">
        <v>1354</v>
      </c>
      <c r="V148" s="77"/>
      <c r="W148" s="77"/>
      <c r="X148" s="77"/>
      <c r="Y148" s="77"/>
      <c r="Z148" s="216">
        <v>2.309109E9</v>
      </c>
      <c r="AA148" s="77" t="s">
        <v>6564</v>
      </c>
      <c r="AB148" s="217" t="s">
        <v>3201</v>
      </c>
      <c r="AC148" s="77" t="str">
        <f t="shared" si="3"/>
        <v>Сыворотка для роста ресниц и бровей, гель для роста, Алтея, 6 мл</v>
      </c>
      <c r="AD148" s="218">
        <v>37.0</v>
      </c>
      <c r="AE148" s="216">
        <v>6.0</v>
      </c>
      <c r="AF148" s="218">
        <v>37.0</v>
      </c>
      <c r="AG148" s="216">
        <v>23.0</v>
      </c>
      <c r="AH148" s="77"/>
      <c r="AI148" s="216">
        <v>2.0</v>
      </c>
      <c r="AJ148" s="77"/>
      <c r="AK148" s="77"/>
      <c r="AL148" s="77"/>
      <c r="AM148" s="77"/>
      <c r="AN148" s="77"/>
      <c r="AO148" s="77"/>
      <c r="AP148" s="77"/>
      <c r="AQ148" s="77"/>
      <c r="AR148" s="77"/>
      <c r="AS148" s="77"/>
      <c r="AT148" s="77"/>
      <c r="AU148" s="77"/>
      <c r="AV148" s="77"/>
      <c r="AW148" s="77"/>
      <c r="AX148" s="77"/>
      <c r="AY148" s="77"/>
      <c r="AZ148" s="77"/>
      <c r="BA148" s="77"/>
      <c r="BB148" s="77"/>
      <c r="BC148" s="77"/>
      <c r="BD148" s="77"/>
      <c r="BE148" s="77"/>
    </row>
    <row r="149">
      <c r="A149" s="77" t="s">
        <v>1801</v>
      </c>
      <c r="B149" s="77" t="s">
        <v>1801</v>
      </c>
      <c r="C149" s="77" t="s">
        <v>1804</v>
      </c>
      <c r="D149" s="211" t="s">
        <v>1801</v>
      </c>
      <c r="E149" s="212" t="s">
        <v>1801</v>
      </c>
      <c r="F149" s="212" t="s">
        <v>1801</v>
      </c>
      <c r="G149" s="212" t="s">
        <v>1801</v>
      </c>
      <c r="H149" s="188"/>
      <c r="I149" s="188"/>
      <c r="J149" s="213">
        <v>2.4016933E8</v>
      </c>
      <c r="K149" s="213">
        <v>1.613729326E9</v>
      </c>
      <c r="L149" s="220">
        <v>1.03397005171E11</v>
      </c>
      <c r="M149" s="77"/>
      <c r="N149" s="77"/>
      <c r="O149" s="78" t="s">
        <v>116</v>
      </c>
      <c r="P149" s="226" t="s">
        <v>118</v>
      </c>
      <c r="Q149" s="214" t="s">
        <v>1805</v>
      </c>
      <c r="R149" s="77" t="s">
        <v>1802</v>
      </c>
      <c r="S149" s="77"/>
      <c r="T149" s="211" t="s">
        <v>6556</v>
      </c>
      <c r="U149" s="211" t="s">
        <v>1803</v>
      </c>
      <c r="V149" s="77"/>
      <c r="W149" s="77"/>
      <c r="X149" s="77"/>
      <c r="Y149" s="77"/>
      <c r="Z149" s="216">
        <v>3.307900008E9</v>
      </c>
      <c r="AA149" s="77" t="s">
        <v>6558</v>
      </c>
      <c r="AB149" s="217" t="s">
        <v>4897</v>
      </c>
      <c r="AC149" s="77" t="str">
        <f t="shared" si="3"/>
        <v>Гель для бритья мужской охлаждающий с ментолом Алтея 300 мл</v>
      </c>
      <c r="AD149" s="218">
        <v>5.0</v>
      </c>
      <c r="AE149" s="216">
        <v>22.0</v>
      </c>
      <c r="AF149" s="218">
        <v>5.0</v>
      </c>
      <c r="AG149" s="216">
        <v>5.0</v>
      </c>
      <c r="AH149" s="77"/>
      <c r="AI149" s="216">
        <v>0.28</v>
      </c>
      <c r="AJ149" s="77"/>
      <c r="AK149" s="77"/>
      <c r="AL149" s="77"/>
      <c r="AM149" s="77"/>
      <c r="AN149" s="77"/>
      <c r="AO149" s="77"/>
      <c r="AP149" s="77"/>
      <c r="AQ149" s="77"/>
      <c r="AR149" s="77"/>
      <c r="AS149" s="77"/>
      <c r="AT149" s="77"/>
      <c r="AU149" s="77"/>
      <c r="AV149" s="77"/>
      <c r="AW149" s="77"/>
      <c r="AX149" s="77"/>
      <c r="AY149" s="77"/>
      <c r="AZ149" s="77"/>
      <c r="BA149" s="77"/>
      <c r="BB149" s="77"/>
      <c r="BC149" s="77"/>
      <c r="BD149" s="77"/>
      <c r="BE149" s="77"/>
    </row>
    <row r="150">
      <c r="A150" s="77" t="s">
        <v>1373</v>
      </c>
      <c r="B150" s="77" t="s">
        <v>1373</v>
      </c>
      <c r="C150" s="77" t="s">
        <v>1375</v>
      </c>
      <c r="D150" s="211" t="s">
        <v>1373</v>
      </c>
      <c r="E150" s="212" t="s">
        <v>1373</v>
      </c>
      <c r="F150" s="212" t="s">
        <v>1373</v>
      </c>
      <c r="G150" s="212" t="s">
        <v>1373</v>
      </c>
      <c r="H150" s="188"/>
      <c r="I150" s="188"/>
      <c r="J150" s="213">
        <v>2.33815804E8</v>
      </c>
      <c r="K150" s="213">
        <v>1.591515871E9</v>
      </c>
      <c r="L150" s="220">
        <v>1.03396954723E11</v>
      </c>
      <c r="M150" s="77"/>
      <c r="N150" s="77"/>
      <c r="O150" s="78" t="s">
        <v>116</v>
      </c>
      <c r="P150" s="226" t="s">
        <v>118</v>
      </c>
      <c r="Q150" s="214" t="s">
        <v>1377</v>
      </c>
      <c r="R150" s="77" t="s">
        <v>1374</v>
      </c>
      <c r="S150" s="77"/>
      <c r="T150" s="211" t="s">
        <v>6563</v>
      </c>
      <c r="U150" s="211" t="s">
        <v>1354</v>
      </c>
      <c r="V150" s="77"/>
      <c r="W150" s="77"/>
      <c r="X150" s="77"/>
      <c r="Y150" s="77"/>
      <c r="Z150" s="216">
        <v>2.309109E9</v>
      </c>
      <c r="AA150" s="77" t="s">
        <v>6564</v>
      </c>
      <c r="AB150" s="217" t="s">
        <v>3092</v>
      </c>
      <c r="AC150" s="77" t="str">
        <f t="shared" si="3"/>
        <v>Крем от прыщей точечный/против прыщей, от акне комедонов угрей черных точек, средство для подростков, для проблемной кожи, гель от прыщей на лице cалициловая, азелаиновая кислота. Алтея 20 мл</v>
      </c>
      <c r="AD150" s="218">
        <v>37.0</v>
      </c>
      <c r="AE150" s="216">
        <v>6.0</v>
      </c>
      <c r="AF150" s="218">
        <v>37.0</v>
      </c>
      <c r="AG150" s="216">
        <v>23.0</v>
      </c>
      <c r="AH150" s="77"/>
      <c r="AI150" s="216">
        <v>2.0</v>
      </c>
      <c r="AJ150" s="77"/>
      <c r="AK150" s="77"/>
      <c r="AL150" s="77"/>
      <c r="AM150" s="77"/>
      <c r="AN150" s="77"/>
      <c r="AO150" s="77"/>
      <c r="AP150" s="77"/>
      <c r="AQ150" s="77"/>
      <c r="AR150" s="77"/>
      <c r="AS150" s="77"/>
      <c r="AT150" s="77"/>
      <c r="AU150" s="77"/>
      <c r="AV150" s="77"/>
      <c r="AW150" s="77"/>
      <c r="AX150" s="77"/>
      <c r="AY150" s="77"/>
      <c r="AZ150" s="77"/>
      <c r="BA150" s="77"/>
      <c r="BB150" s="77"/>
      <c r="BC150" s="77"/>
      <c r="BD150" s="77"/>
      <c r="BE150" s="77"/>
    </row>
    <row r="151">
      <c r="A151" s="77" t="s">
        <v>170</v>
      </c>
      <c r="B151" s="77" t="s">
        <v>170</v>
      </c>
      <c r="C151" s="77" t="s">
        <v>173</v>
      </c>
      <c r="D151" s="211" t="s">
        <v>170</v>
      </c>
      <c r="E151" s="212" t="s">
        <v>170</v>
      </c>
      <c r="F151" s="212" t="s">
        <v>170</v>
      </c>
      <c r="G151" s="212" t="s">
        <v>170</v>
      </c>
      <c r="H151" s="188"/>
      <c r="I151" s="188"/>
      <c r="J151" s="213">
        <v>1.63688556E8</v>
      </c>
      <c r="K151" s="213">
        <v>1.018532111E9</v>
      </c>
      <c r="L151" s="220">
        <v>1.03614081635E11</v>
      </c>
      <c r="M151" s="77"/>
      <c r="N151" s="77"/>
      <c r="O151" s="78" t="s">
        <v>116</v>
      </c>
      <c r="P151" s="226" t="s">
        <v>118</v>
      </c>
      <c r="Q151" s="214" t="s">
        <v>175</v>
      </c>
      <c r="R151" s="77" t="s">
        <v>172</v>
      </c>
      <c r="S151" s="77"/>
      <c r="T151" s="211" t="s">
        <v>5712</v>
      </c>
      <c r="U151" s="211" t="s">
        <v>122</v>
      </c>
      <c r="V151" s="77"/>
      <c r="W151" s="77"/>
      <c r="X151" s="77"/>
      <c r="Y151" s="77"/>
      <c r="Z151" s="216">
        <v>2.3099031E9</v>
      </c>
      <c r="AA151" s="77" t="s">
        <v>6564</v>
      </c>
      <c r="AB151" s="217" t="s">
        <v>2740</v>
      </c>
      <c r="AC151" s="77" t="str">
        <f t="shared" si="3"/>
        <v>Крем для лица с липосомальным ретинолом 1% Ретинайт</v>
      </c>
      <c r="AD151" s="218">
        <v>4.0</v>
      </c>
      <c r="AE151" s="216">
        <v>8.0</v>
      </c>
      <c r="AF151" s="218">
        <v>4.0</v>
      </c>
      <c r="AG151" s="216">
        <v>4.0</v>
      </c>
      <c r="AH151" s="77"/>
      <c r="AI151" s="216">
        <v>0.06</v>
      </c>
      <c r="AJ151" s="77"/>
      <c r="AK151" s="77"/>
      <c r="AL151" s="77"/>
      <c r="AM151" s="77"/>
      <c r="AN151" s="77"/>
      <c r="AO151" s="77"/>
      <c r="AP151" s="77"/>
      <c r="AQ151" s="77"/>
      <c r="AR151" s="77"/>
      <c r="AS151" s="77"/>
      <c r="AT151" s="77"/>
      <c r="AU151" s="77"/>
      <c r="AV151" s="77"/>
      <c r="AW151" s="77"/>
      <c r="AX151" s="77"/>
      <c r="AY151" s="77"/>
      <c r="AZ151" s="77"/>
      <c r="BA151" s="77"/>
      <c r="BB151" s="77"/>
      <c r="BC151" s="77"/>
      <c r="BD151" s="77"/>
      <c r="BE151" s="77"/>
    </row>
    <row r="152">
      <c r="A152" s="77" t="s">
        <v>1861</v>
      </c>
      <c r="B152" s="77" t="s">
        <v>1861</v>
      </c>
      <c r="C152" s="77" t="s">
        <v>1863</v>
      </c>
      <c r="D152" s="211" t="s">
        <v>1861</v>
      </c>
      <c r="E152" s="212" t="s">
        <v>1861</v>
      </c>
      <c r="F152" s="212" t="s">
        <v>1861</v>
      </c>
      <c r="G152" s="212" t="s">
        <v>1861</v>
      </c>
      <c r="H152" s="188"/>
      <c r="I152" s="188"/>
      <c r="J152" s="213">
        <v>2.19926965E8</v>
      </c>
      <c r="K152" s="213">
        <v>1.503121227E9</v>
      </c>
      <c r="L152" s="220">
        <v>1.03397002661E11</v>
      </c>
      <c r="M152" s="77"/>
      <c r="N152" s="77"/>
      <c r="O152" s="78" t="s">
        <v>116</v>
      </c>
      <c r="P152" s="226" t="s">
        <v>118</v>
      </c>
      <c r="Q152" s="214" t="s">
        <v>629</v>
      </c>
      <c r="R152" s="77" t="s">
        <v>1862</v>
      </c>
      <c r="S152" s="77"/>
      <c r="T152" s="211" t="s">
        <v>443</v>
      </c>
      <c r="U152" s="211" t="s">
        <v>1846</v>
      </c>
      <c r="V152" s="77"/>
      <c r="W152" s="77"/>
      <c r="X152" s="77"/>
      <c r="Y152" s="77"/>
      <c r="Z152" s="216">
        <v>3.307900008E9</v>
      </c>
      <c r="AA152" s="77" t="s">
        <v>6558</v>
      </c>
      <c r="AB152" s="217" t="s">
        <v>3045</v>
      </c>
      <c r="AC152" s="77" t="str">
        <f t="shared" si="3"/>
        <v>Сыворотка с ретинолом 1% для лица от морщин антивозрастная Алтея 30 мл</v>
      </c>
      <c r="AD152" s="218">
        <v>18.0</v>
      </c>
      <c r="AE152" s="216">
        <v>6.0</v>
      </c>
      <c r="AF152" s="218">
        <v>18.0</v>
      </c>
      <c r="AG152" s="216">
        <v>6.0</v>
      </c>
      <c r="AH152" s="77"/>
      <c r="AI152" s="216">
        <v>0.55</v>
      </c>
      <c r="AJ152" s="77"/>
      <c r="AK152" s="77"/>
      <c r="AL152" s="77"/>
      <c r="AM152" s="77"/>
      <c r="AN152" s="77"/>
      <c r="AO152" s="77"/>
      <c r="AP152" s="77"/>
      <c r="AQ152" s="77"/>
      <c r="AR152" s="77"/>
      <c r="AS152" s="77"/>
      <c r="AT152" s="77"/>
      <c r="AU152" s="77"/>
      <c r="AV152" s="77"/>
      <c r="AW152" s="77"/>
      <c r="AX152" s="77"/>
      <c r="AY152" s="77"/>
      <c r="AZ152" s="77"/>
      <c r="BA152" s="77"/>
      <c r="BB152" s="77"/>
      <c r="BC152" s="77"/>
      <c r="BD152" s="77"/>
      <c r="BE152" s="77"/>
    </row>
    <row r="153">
      <c r="A153" s="77" t="s">
        <v>1871</v>
      </c>
      <c r="B153" s="77" t="s">
        <v>1871</v>
      </c>
      <c r="C153" s="77" t="s">
        <v>1874</v>
      </c>
      <c r="D153" s="211" t="s">
        <v>1871</v>
      </c>
      <c r="E153" s="212" t="s">
        <v>1871</v>
      </c>
      <c r="F153" s="212" t="s">
        <v>1871</v>
      </c>
      <c r="G153" s="212" t="s">
        <v>1871</v>
      </c>
      <c r="H153" s="188"/>
      <c r="I153" s="188"/>
      <c r="J153" s="213">
        <v>3.25216323E8</v>
      </c>
      <c r="K153" s="213">
        <v>1.873383663E9</v>
      </c>
      <c r="L153" s="220">
        <v>1.03812550678E11</v>
      </c>
      <c r="M153" s="77"/>
      <c r="N153" s="77"/>
      <c r="O153" s="78" t="s">
        <v>116</v>
      </c>
      <c r="P153" s="226" t="s">
        <v>118</v>
      </c>
      <c r="Q153" s="214" t="s">
        <v>1876</v>
      </c>
      <c r="R153" s="77" t="s">
        <v>1872</v>
      </c>
      <c r="S153" s="77"/>
      <c r="T153" s="211" t="s">
        <v>443</v>
      </c>
      <c r="U153" s="211" t="s">
        <v>1873</v>
      </c>
      <c r="V153" s="77"/>
      <c r="W153" s="77"/>
      <c r="X153" s="77"/>
      <c r="Y153" s="77"/>
      <c r="Z153" s="216">
        <v>3.307900008E9</v>
      </c>
      <c r="AA153" s="77" t="s">
        <v>6558</v>
      </c>
      <c r="AB153" s="217" t="s">
        <v>2954</v>
      </c>
      <c r="AC153" s="77" t="str">
        <f t="shared" si="3"/>
        <v>Крем для лица с липосомальным ретинолом 0,25% Ретинайт</v>
      </c>
      <c r="AD153" s="218">
        <v>7.0</v>
      </c>
      <c r="AE153" s="216">
        <v>16.0</v>
      </c>
      <c r="AF153" s="218">
        <v>7.0</v>
      </c>
      <c r="AG153" s="216">
        <v>7.0</v>
      </c>
      <c r="AH153" s="77"/>
      <c r="AI153" s="216">
        <v>0.55</v>
      </c>
      <c r="AJ153" s="77"/>
      <c r="AK153" s="77"/>
      <c r="AL153" s="77"/>
      <c r="AM153" s="77"/>
      <c r="AN153" s="77"/>
      <c r="AO153" s="77"/>
      <c r="AP153" s="77"/>
      <c r="AQ153" s="77"/>
      <c r="AR153" s="77"/>
      <c r="AS153" s="77"/>
      <c r="AT153" s="77"/>
      <c r="AU153" s="77"/>
      <c r="AV153" s="77"/>
      <c r="AW153" s="77"/>
      <c r="AX153" s="77"/>
      <c r="AY153" s="77"/>
      <c r="AZ153" s="77"/>
      <c r="BA153" s="77"/>
      <c r="BB153" s="77"/>
      <c r="BC153" s="77"/>
      <c r="BD153" s="77"/>
      <c r="BE153" s="77"/>
    </row>
    <row r="154">
      <c r="A154" s="77" t="s">
        <v>264</v>
      </c>
      <c r="B154" s="77" t="s">
        <v>264</v>
      </c>
      <c r="C154" s="77" t="s">
        <v>267</v>
      </c>
      <c r="D154" s="211" t="s">
        <v>264</v>
      </c>
      <c r="E154" s="212" t="s">
        <v>264</v>
      </c>
      <c r="F154" s="212" t="s">
        <v>264</v>
      </c>
      <c r="G154" s="212" t="s">
        <v>264</v>
      </c>
      <c r="H154" s="188"/>
      <c r="I154" s="188"/>
      <c r="J154" s="213">
        <v>2.32465954E8</v>
      </c>
      <c r="K154" s="213">
        <v>1.581825452E9</v>
      </c>
      <c r="L154" s="220">
        <v>1.03542563878E11</v>
      </c>
      <c r="M154" s="77"/>
      <c r="N154" s="77"/>
      <c r="O154" s="78" t="s">
        <v>116</v>
      </c>
      <c r="P154" s="226" t="s">
        <v>118</v>
      </c>
      <c r="Q154" s="214" t="s">
        <v>269</v>
      </c>
      <c r="R154" s="77" t="s">
        <v>265</v>
      </c>
      <c r="S154" s="77"/>
      <c r="T154" s="211" t="s">
        <v>5712</v>
      </c>
      <c r="U154" s="211" t="s">
        <v>266</v>
      </c>
      <c r="V154" s="77"/>
      <c r="W154" s="77"/>
      <c r="X154" s="77"/>
      <c r="Y154" s="77"/>
      <c r="Z154" s="216">
        <v>2.3099031E9</v>
      </c>
      <c r="AA154" s="77" t="s">
        <v>6565</v>
      </c>
      <c r="AB154" s="217" t="s">
        <v>5242</v>
      </c>
      <c r="AC154" s="77" t="str">
        <f t="shared" si="3"/>
        <v>Воск стик для укладки и фиксации волос</v>
      </c>
      <c r="AD154" s="218">
        <v>5.0</v>
      </c>
      <c r="AE154" s="216">
        <v>8.0</v>
      </c>
      <c r="AF154" s="218">
        <v>5.0</v>
      </c>
      <c r="AG154" s="216">
        <v>5.0</v>
      </c>
      <c r="AH154" s="77"/>
      <c r="AI154" s="216">
        <v>0.018</v>
      </c>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row>
    <row r="155">
      <c r="A155" s="77" t="s">
        <v>1547</v>
      </c>
      <c r="B155" s="77" t="s">
        <v>1547</v>
      </c>
      <c r="C155" s="77" t="s">
        <v>1549</v>
      </c>
      <c r="D155" s="211" t="s">
        <v>1547</v>
      </c>
      <c r="E155" s="212" t="s">
        <v>1547</v>
      </c>
      <c r="F155" s="212" t="s">
        <v>1547</v>
      </c>
      <c r="G155" s="188"/>
      <c r="H155" s="188"/>
      <c r="I155" s="188"/>
      <c r="J155" s="213">
        <v>2.40173672E8</v>
      </c>
      <c r="K155" s="213">
        <v>1.613731894E9</v>
      </c>
      <c r="L155" s="77"/>
      <c r="M155" s="77"/>
      <c r="N155" s="77"/>
      <c r="O155" s="78" t="s">
        <v>116</v>
      </c>
      <c r="P155" s="226" t="s">
        <v>118</v>
      </c>
      <c r="Q155" s="214" t="s">
        <v>1532</v>
      </c>
      <c r="R155" s="77" t="s">
        <v>1548</v>
      </c>
      <c r="S155" s="77"/>
      <c r="T155" s="211" t="s">
        <v>6556</v>
      </c>
      <c r="U155" s="211" t="s">
        <v>1530</v>
      </c>
      <c r="V155" s="77"/>
      <c r="W155" s="77"/>
      <c r="X155" s="77"/>
      <c r="Y155" s="77"/>
      <c r="Z155" s="216">
        <v>3.307900008E9</v>
      </c>
      <c r="AA155" s="77" t="s">
        <v>6559</v>
      </c>
      <c r="AB155" s="217" t="s">
        <v>4736</v>
      </c>
      <c r="AC155" s="77" t="str">
        <f t="shared" si="3"/>
        <v>Солнцезащитный крем для лица spf 50, Алтея, 50 мл</v>
      </c>
      <c r="AD155" s="218">
        <v>25.0</v>
      </c>
      <c r="AE155" s="216">
        <v>6.0</v>
      </c>
      <c r="AF155" s="218">
        <v>25.0</v>
      </c>
      <c r="AG155" s="216">
        <v>14.0</v>
      </c>
      <c r="AH155" s="77"/>
      <c r="AI155" s="216">
        <v>0.56</v>
      </c>
      <c r="AJ155" s="77"/>
      <c r="AK155" s="77"/>
      <c r="AL155" s="77"/>
      <c r="AM155" s="77"/>
      <c r="AN155" s="77"/>
      <c r="AO155" s="77"/>
      <c r="AP155" s="77"/>
      <c r="AQ155" s="77"/>
      <c r="AR155" s="77"/>
      <c r="AS155" s="77"/>
      <c r="AT155" s="77"/>
      <c r="AU155" s="77"/>
      <c r="AV155" s="77"/>
      <c r="AW155" s="77"/>
      <c r="AX155" s="77"/>
      <c r="AY155" s="77"/>
      <c r="AZ155" s="77"/>
      <c r="BA155" s="77"/>
      <c r="BB155" s="77"/>
      <c r="BC155" s="77"/>
      <c r="BD155" s="77"/>
      <c r="BE155" s="77"/>
    </row>
    <row r="156">
      <c r="A156" s="77" t="s">
        <v>186</v>
      </c>
      <c r="B156" s="77" t="s">
        <v>186</v>
      </c>
      <c r="C156" s="77" t="s">
        <v>189</v>
      </c>
      <c r="D156" s="211" t="s">
        <v>186</v>
      </c>
      <c r="E156" s="212" t="s">
        <v>186</v>
      </c>
      <c r="F156" s="212" t="s">
        <v>186</v>
      </c>
      <c r="G156" s="212" t="s">
        <v>186</v>
      </c>
      <c r="H156" s="188"/>
      <c r="I156" s="188"/>
      <c r="J156" s="213">
        <v>2.65523439E8</v>
      </c>
      <c r="K156" s="213">
        <v>1.711363073E9</v>
      </c>
      <c r="L156" s="220">
        <v>1.03614089888E11</v>
      </c>
      <c r="M156" s="77"/>
      <c r="N156" s="77"/>
      <c r="O156" s="78" t="s">
        <v>116</v>
      </c>
      <c r="P156" s="226" t="s">
        <v>118</v>
      </c>
      <c r="Q156" s="214" t="s">
        <v>125</v>
      </c>
      <c r="R156" s="77" t="s">
        <v>120</v>
      </c>
      <c r="S156" s="77"/>
      <c r="T156" s="211" t="s">
        <v>5712</v>
      </c>
      <c r="U156" s="211" t="s">
        <v>122</v>
      </c>
      <c r="V156" s="77"/>
      <c r="W156" s="77"/>
      <c r="X156" s="77"/>
      <c r="Y156" s="77"/>
      <c r="Z156" s="216">
        <v>2.309909609E9</v>
      </c>
      <c r="AA156" s="77" t="s">
        <v>6562</v>
      </c>
      <c r="AB156" s="217" t="s">
        <v>5198</v>
      </c>
      <c r="AC156" s="77" t="str">
        <f t="shared" si="3"/>
        <v>Крем для лица Ретинайт с церамидами, Алтея, 50 мл</v>
      </c>
      <c r="AD156" s="218">
        <v>5.0</v>
      </c>
      <c r="AE156" s="216">
        <v>15.0</v>
      </c>
      <c r="AF156" s="218">
        <v>5.0</v>
      </c>
      <c r="AG156" s="216">
        <v>5.0</v>
      </c>
      <c r="AH156" s="77"/>
      <c r="AI156" s="216">
        <v>0.092</v>
      </c>
      <c r="AJ156" s="77"/>
      <c r="AK156" s="77"/>
      <c r="AL156" s="77"/>
      <c r="AM156" s="77"/>
      <c r="AN156" s="77"/>
      <c r="AO156" s="77"/>
      <c r="AP156" s="77"/>
      <c r="AQ156" s="77"/>
      <c r="AR156" s="77"/>
      <c r="AS156" s="77"/>
      <c r="AT156" s="77"/>
      <c r="AU156" s="77"/>
      <c r="AV156" s="77"/>
      <c r="AW156" s="77"/>
      <c r="AX156" s="77"/>
      <c r="AY156" s="77"/>
      <c r="AZ156" s="77"/>
      <c r="BA156" s="77"/>
      <c r="BB156" s="77"/>
      <c r="BC156" s="77"/>
      <c r="BD156" s="77"/>
      <c r="BE156" s="77"/>
    </row>
    <row r="157">
      <c r="A157" s="77" t="s">
        <v>4863</v>
      </c>
      <c r="B157" s="77" t="s">
        <v>4863</v>
      </c>
      <c r="C157" s="77" t="s">
        <v>4865</v>
      </c>
      <c r="D157" s="211" t="s">
        <v>4863</v>
      </c>
      <c r="E157" s="212" t="s">
        <v>4863</v>
      </c>
      <c r="F157" s="212" t="s">
        <v>4863</v>
      </c>
      <c r="G157" s="212" t="s">
        <v>4863</v>
      </c>
      <c r="H157" s="188"/>
      <c r="I157" s="188"/>
      <c r="J157" s="213">
        <v>2.90202723E8</v>
      </c>
      <c r="K157" s="213">
        <v>2.90202723E8</v>
      </c>
      <c r="L157" s="220">
        <v>1.03340893703E11</v>
      </c>
      <c r="M157" s="77"/>
      <c r="N157" s="77"/>
      <c r="O157" s="78" t="s">
        <v>2659</v>
      </c>
      <c r="P157" s="211" t="s">
        <v>2661</v>
      </c>
      <c r="Q157" s="214" t="s">
        <v>4867</v>
      </c>
      <c r="R157" s="77" t="s">
        <v>4864</v>
      </c>
      <c r="S157" s="77"/>
      <c r="T157" s="211" t="s">
        <v>6539</v>
      </c>
      <c r="U157" s="211" t="s">
        <v>3888</v>
      </c>
      <c r="V157" s="77"/>
      <c r="W157" s="77"/>
      <c r="X157" s="77"/>
      <c r="Y157" s="77"/>
      <c r="Z157" s="216">
        <v>2.103909009E9</v>
      </c>
      <c r="AA157" s="77" t="s">
        <v>6566</v>
      </c>
      <c r="AB157" s="217" t="s">
        <v>4339</v>
      </c>
      <c r="AC157" s="77" t="str">
        <f t="shared" si="3"/>
        <v>Энзимная пудра для умывания тела и лица, от прыщей, Алтея, 80г</v>
      </c>
      <c r="AD157" s="218">
        <v>5.0</v>
      </c>
      <c r="AE157" s="216">
        <v>8.0</v>
      </c>
      <c r="AF157" s="218">
        <v>5.0</v>
      </c>
      <c r="AG157" s="216">
        <v>3.0</v>
      </c>
      <c r="AH157" s="77"/>
      <c r="AI157" s="216">
        <v>0.026</v>
      </c>
      <c r="AJ157" s="77"/>
      <c r="AK157" s="77"/>
      <c r="AL157" s="77"/>
      <c r="AM157" s="77"/>
      <c r="AN157" s="77"/>
      <c r="AO157" s="77"/>
      <c r="AP157" s="77"/>
      <c r="AQ157" s="77"/>
      <c r="AR157" s="77"/>
      <c r="AS157" s="77"/>
      <c r="AT157" s="77"/>
      <c r="AU157" s="77"/>
      <c r="AV157" s="77"/>
      <c r="AW157" s="77"/>
      <c r="AX157" s="77"/>
      <c r="AY157" s="77"/>
      <c r="AZ157" s="77"/>
      <c r="BA157" s="77"/>
      <c r="BB157" s="77"/>
      <c r="BC157" s="77"/>
      <c r="BD157" s="77"/>
      <c r="BE157" s="77"/>
    </row>
    <row r="158">
      <c r="A158" s="77" t="s">
        <v>5044</v>
      </c>
      <c r="B158" s="77" t="s">
        <v>5044</v>
      </c>
      <c r="C158" s="77" t="s">
        <v>5046</v>
      </c>
      <c r="D158" s="211" t="s">
        <v>5044</v>
      </c>
      <c r="E158" s="212" t="s">
        <v>5044</v>
      </c>
      <c r="F158" s="212" t="s">
        <v>5044</v>
      </c>
      <c r="G158" s="212" t="s">
        <v>5044</v>
      </c>
      <c r="H158" s="188"/>
      <c r="I158" s="188"/>
      <c r="J158" s="213">
        <v>2.99140637E8</v>
      </c>
      <c r="K158" s="213">
        <v>2.99140637E8</v>
      </c>
      <c r="L158" s="220">
        <v>1.03515435175E11</v>
      </c>
      <c r="M158" s="77"/>
      <c r="N158" s="77"/>
      <c r="O158" s="78" t="s">
        <v>2659</v>
      </c>
      <c r="P158" s="211" t="s">
        <v>2661</v>
      </c>
      <c r="Q158" s="214" t="s">
        <v>6567</v>
      </c>
      <c r="R158" s="77" t="s">
        <v>5045</v>
      </c>
      <c r="S158" s="77"/>
      <c r="T158" s="211" t="s">
        <v>6539</v>
      </c>
      <c r="U158" s="211" t="s">
        <v>3888</v>
      </c>
      <c r="V158" s="77"/>
      <c r="W158" s="77"/>
      <c r="X158" s="77"/>
      <c r="Y158" s="77"/>
      <c r="Z158" s="216">
        <v>2.103909009E9</v>
      </c>
      <c r="AA158" s="77" t="s">
        <v>6566</v>
      </c>
      <c r="AB158" s="217" t="s">
        <v>2970</v>
      </c>
      <c r="AC158" s="77" t="str">
        <f t="shared" si="3"/>
        <v>Крем для лица с липосомальным ретинолом 0,5% Ретинайт</v>
      </c>
      <c r="AD158" s="218">
        <v>10.0</v>
      </c>
      <c r="AE158" s="216">
        <v>3.0</v>
      </c>
      <c r="AF158" s="218">
        <v>10.0</v>
      </c>
      <c r="AG158" s="216">
        <v>4.0</v>
      </c>
      <c r="AH158" s="77"/>
      <c r="AI158" s="216">
        <v>0.044</v>
      </c>
      <c r="AJ158" s="77"/>
      <c r="AK158" s="77"/>
      <c r="AL158" s="77"/>
      <c r="AM158" s="77"/>
      <c r="AN158" s="77"/>
      <c r="AO158" s="77"/>
      <c r="AP158" s="77"/>
      <c r="AQ158" s="77"/>
      <c r="AR158" s="77"/>
      <c r="AS158" s="77"/>
      <c r="AT158" s="77"/>
      <c r="AU158" s="77"/>
      <c r="AV158" s="77"/>
      <c r="AW158" s="77"/>
      <c r="AX158" s="77"/>
      <c r="AY158" s="77"/>
      <c r="AZ158" s="77"/>
      <c r="BA158" s="77"/>
      <c r="BB158" s="77"/>
      <c r="BC158" s="77"/>
      <c r="BD158" s="77"/>
      <c r="BE158" s="77"/>
    </row>
    <row r="159">
      <c r="A159" s="77" t="s">
        <v>4567</v>
      </c>
      <c r="B159" s="77" t="s">
        <v>4567</v>
      </c>
      <c r="C159" s="77" t="s">
        <v>4569</v>
      </c>
      <c r="D159" s="211" t="s">
        <v>4567</v>
      </c>
      <c r="E159" s="212" t="s">
        <v>4567</v>
      </c>
      <c r="F159" s="212" t="s">
        <v>4567</v>
      </c>
      <c r="G159" s="212" t="s">
        <v>4567</v>
      </c>
      <c r="H159" s="188"/>
      <c r="I159" s="188"/>
      <c r="J159" s="213">
        <v>6.69955177E8</v>
      </c>
      <c r="K159" s="213">
        <v>6.69955177E8</v>
      </c>
      <c r="L159" s="220">
        <v>1.03340891622E11</v>
      </c>
      <c r="M159" s="77"/>
      <c r="N159" s="77"/>
      <c r="O159" s="78" t="s">
        <v>2659</v>
      </c>
      <c r="P159" s="211" t="s">
        <v>2661</v>
      </c>
      <c r="Q159" s="214" t="s">
        <v>4571</v>
      </c>
      <c r="R159" s="77" t="s">
        <v>4568</v>
      </c>
      <c r="S159" s="77"/>
      <c r="T159" s="211" t="s">
        <v>6539</v>
      </c>
      <c r="U159" s="211" t="s">
        <v>3888</v>
      </c>
      <c r="V159" s="77"/>
      <c r="W159" s="77"/>
      <c r="X159" s="77"/>
      <c r="Y159" s="77"/>
      <c r="Z159" s="216">
        <v>2.103909009E9</v>
      </c>
      <c r="AA159" s="77" t="s">
        <v>6566</v>
      </c>
      <c r="AB159" s="217" t="s">
        <v>4716</v>
      </c>
      <c r="AC159" s="77" t="str">
        <f t="shared" si="3"/>
        <v>Пищевая добавка Антигипертон, CPA, 10 капсул</v>
      </c>
      <c r="AD159" s="218">
        <v>9.0</v>
      </c>
      <c r="AE159" s="216">
        <v>3.0</v>
      </c>
      <c r="AF159" s="218">
        <v>9.0</v>
      </c>
      <c r="AG159" s="216">
        <v>4.0</v>
      </c>
      <c r="AH159" s="77"/>
      <c r="AI159" s="216">
        <v>0.02</v>
      </c>
      <c r="AJ159" s="77"/>
      <c r="AK159" s="77"/>
      <c r="AL159" s="77"/>
      <c r="AM159" s="77"/>
      <c r="AN159" s="77"/>
      <c r="AO159" s="77"/>
      <c r="AP159" s="77"/>
      <c r="AQ159" s="77"/>
      <c r="AR159" s="77"/>
      <c r="AS159" s="77"/>
      <c r="AT159" s="77"/>
      <c r="AU159" s="77"/>
      <c r="AV159" s="77"/>
      <c r="AW159" s="77"/>
      <c r="AX159" s="77"/>
      <c r="AY159" s="77"/>
      <c r="AZ159" s="77"/>
      <c r="BA159" s="77"/>
      <c r="BB159" s="77"/>
      <c r="BC159" s="77"/>
      <c r="BD159" s="77"/>
      <c r="BE159" s="77"/>
    </row>
    <row r="160">
      <c r="A160" s="77" t="s">
        <v>3886</v>
      </c>
      <c r="B160" s="77" t="s">
        <v>3886</v>
      </c>
      <c r="C160" s="77" t="s">
        <v>3889</v>
      </c>
      <c r="D160" s="211" t="s">
        <v>3886</v>
      </c>
      <c r="E160" s="212" t="s">
        <v>3886</v>
      </c>
      <c r="F160" s="212" t="s">
        <v>3886</v>
      </c>
      <c r="G160" s="212" t="s">
        <v>3886</v>
      </c>
      <c r="H160" s="188"/>
      <c r="I160" s="188"/>
      <c r="J160" s="213">
        <v>7.33369927E8</v>
      </c>
      <c r="K160" s="213">
        <v>7.33369927E8</v>
      </c>
      <c r="L160" s="220">
        <v>1.01824164611E11</v>
      </c>
      <c r="M160" s="77"/>
      <c r="N160" s="77"/>
      <c r="O160" s="78" t="s">
        <v>2659</v>
      </c>
      <c r="P160" s="211" t="s">
        <v>2661</v>
      </c>
      <c r="Q160" s="214" t="s">
        <v>3891</v>
      </c>
      <c r="R160" s="77" t="s">
        <v>3887</v>
      </c>
      <c r="S160" s="77"/>
      <c r="T160" s="211" t="s">
        <v>6539</v>
      </c>
      <c r="U160" s="211" t="s">
        <v>3888</v>
      </c>
      <c r="V160" s="77"/>
      <c r="W160" s="77"/>
      <c r="X160" s="77"/>
      <c r="Y160" s="77"/>
      <c r="Z160" s="216">
        <v>2.103909009E9</v>
      </c>
      <c r="AA160" s="77" t="s">
        <v>6566</v>
      </c>
      <c r="AB160" s="77"/>
      <c r="AC160" s="77" t="str">
        <f t="shared" ref="AC160:AC246" si="4">VLOOKUP( AB160,J:Q,8,0)</f>
        <v>#N/A</v>
      </c>
      <c r="AD160" s="218">
        <v>8.0</v>
      </c>
      <c r="AE160" s="216">
        <v>4.0</v>
      </c>
      <c r="AF160" s="218">
        <v>8.0</v>
      </c>
      <c r="AG160" s="216">
        <v>4.0</v>
      </c>
      <c r="AH160" s="77"/>
      <c r="AI160" s="216">
        <v>0.05</v>
      </c>
      <c r="AJ160" s="77"/>
      <c r="AK160" s="77"/>
      <c r="AL160" s="77"/>
      <c r="AM160" s="77"/>
      <c r="AN160" s="77"/>
      <c r="AO160" s="77"/>
      <c r="AP160" s="77"/>
      <c r="AQ160" s="77"/>
      <c r="AR160" s="77"/>
      <c r="AS160" s="77"/>
      <c r="AT160" s="77"/>
      <c r="AU160" s="77"/>
      <c r="AV160" s="77"/>
      <c r="AW160" s="77"/>
      <c r="AX160" s="77"/>
      <c r="AY160" s="77"/>
      <c r="AZ160" s="77"/>
      <c r="BA160" s="77"/>
      <c r="BB160" s="77"/>
      <c r="BC160" s="77"/>
      <c r="BD160" s="77"/>
      <c r="BE160" s="77"/>
    </row>
    <row r="161">
      <c r="A161" s="77" t="s">
        <v>4022</v>
      </c>
      <c r="B161" s="77" t="s">
        <v>4022</v>
      </c>
      <c r="C161" s="77" t="s">
        <v>4024</v>
      </c>
      <c r="D161" s="211" t="s">
        <v>4022</v>
      </c>
      <c r="E161" s="212" t="s">
        <v>4022</v>
      </c>
      <c r="F161" s="212" t="s">
        <v>4022</v>
      </c>
      <c r="G161" s="212" t="s">
        <v>4022</v>
      </c>
      <c r="H161" s="188"/>
      <c r="I161" s="188"/>
      <c r="J161" s="213">
        <v>1.541858934E9</v>
      </c>
      <c r="K161" s="213">
        <v>1.541858934E9</v>
      </c>
      <c r="L161" s="220">
        <v>1.03515423526E11</v>
      </c>
      <c r="M161" s="77"/>
      <c r="N161" s="77"/>
      <c r="O161" s="78" t="s">
        <v>2659</v>
      </c>
      <c r="P161" s="211" t="s">
        <v>2661</v>
      </c>
      <c r="Q161" s="214" t="s">
        <v>4026</v>
      </c>
      <c r="R161" s="77" t="s">
        <v>4023</v>
      </c>
      <c r="S161" s="77"/>
      <c r="T161" s="211" t="s">
        <v>6539</v>
      </c>
      <c r="U161" s="211" t="s">
        <v>3888</v>
      </c>
      <c r="V161" s="77"/>
      <c r="W161" s="77"/>
      <c r="X161" s="77"/>
      <c r="Y161" s="77"/>
      <c r="Z161" s="216">
        <v>2.103909009E9</v>
      </c>
      <c r="AA161" s="77" t="s">
        <v>6566</v>
      </c>
      <c r="AB161" s="77"/>
      <c r="AC161" s="77" t="str">
        <f t="shared" si="4"/>
        <v>#N/A</v>
      </c>
      <c r="AD161" s="218">
        <v>7.0</v>
      </c>
      <c r="AE161" s="216">
        <v>1.0</v>
      </c>
      <c r="AF161" s="218">
        <v>7.0</v>
      </c>
      <c r="AG161" s="216">
        <v>8.0</v>
      </c>
      <c r="AH161" s="77"/>
      <c r="AI161" s="216">
        <v>0.022</v>
      </c>
      <c r="AJ161" s="77"/>
      <c r="AK161" s="77"/>
      <c r="AL161" s="77"/>
      <c r="AM161" s="77"/>
      <c r="AN161" s="77"/>
      <c r="AO161" s="77"/>
      <c r="AP161" s="77"/>
      <c r="AQ161" s="77"/>
      <c r="AR161" s="77"/>
      <c r="AS161" s="77"/>
      <c r="AT161" s="77"/>
      <c r="AU161" s="77"/>
      <c r="AV161" s="77"/>
      <c r="AW161" s="77"/>
      <c r="AX161" s="77"/>
      <c r="AY161" s="77"/>
      <c r="AZ161" s="77"/>
      <c r="BA161" s="77"/>
      <c r="BB161" s="77"/>
      <c r="BC161" s="77"/>
      <c r="BD161" s="77"/>
      <c r="BE161" s="77"/>
    </row>
    <row r="162">
      <c r="A162" s="77" t="s">
        <v>4749</v>
      </c>
      <c r="B162" s="77" t="s">
        <v>4749</v>
      </c>
      <c r="C162" s="77" t="s">
        <v>4750</v>
      </c>
      <c r="D162" s="211" t="s">
        <v>4749</v>
      </c>
      <c r="E162" s="212" t="s">
        <v>4749</v>
      </c>
      <c r="F162" s="212" t="s">
        <v>4749</v>
      </c>
      <c r="G162" s="212" t="s">
        <v>4749</v>
      </c>
      <c r="H162" s="188"/>
      <c r="I162" s="188"/>
      <c r="J162" s="213">
        <v>2.96756085E8</v>
      </c>
      <c r="K162" s="213">
        <v>2.96756085E8</v>
      </c>
      <c r="L162" s="220">
        <v>1.03544429888E11</v>
      </c>
      <c r="M162" s="77"/>
      <c r="N162" s="77"/>
      <c r="O162" s="78" t="s">
        <v>2659</v>
      </c>
      <c r="P162" s="211" t="s">
        <v>2661</v>
      </c>
      <c r="Q162" s="214" t="s">
        <v>4751</v>
      </c>
      <c r="R162" s="77" t="s">
        <v>4162</v>
      </c>
      <c r="S162" s="77"/>
      <c r="T162" s="211" t="s">
        <v>6539</v>
      </c>
      <c r="U162" s="211" t="s">
        <v>2876</v>
      </c>
      <c r="V162" s="77"/>
      <c r="W162" s="77"/>
      <c r="X162" s="77"/>
      <c r="Y162" s="77"/>
      <c r="Z162" s="216">
        <v>2.106909808E9</v>
      </c>
      <c r="AA162" s="77" t="s">
        <v>6566</v>
      </c>
      <c r="AB162" s="77"/>
      <c r="AC162" s="77" t="str">
        <f t="shared" si="4"/>
        <v>#N/A</v>
      </c>
      <c r="AD162" s="218">
        <v>8.0</v>
      </c>
      <c r="AE162" s="216">
        <v>2.0</v>
      </c>
      <c r="AF162" s="218">
        <v>8.0</v>
      </c>
      <c r="AG162" s="216">
        <v>7.0</v>
      </c>
      <c r="AH162" s="77"/>
      <c r="AI162" s="216">
        <v>0.016</v>
      </c>
      <c r="AJ162" s="77"/>
      <c r="AK162" s="77"/>
      <c r="AL162" s="77"/>
      <c r="AM162" s="77"/>
      <c r="AN162" s="77"/>
      <c r="AO162" s="77"/>
      <c r="AP162" s="77"/>
      <c r="AQ162" s="77"/>
      <c r="AR162" s="77"/>
      <c r="AS162" s="77"/>
      <c r="AT162" s="77"/>
      <c r="AU162" s="77"/>
      <c r="AV162" s="77"/>
      <c r="AW162" s="77"/>
      <c r="AX162" s="77"/>
      <c r="AY162" s="77"/>
      <c r="AZ162" s="77"/>
      <c r="BA162" s="77"/>
      <c r="BB162" s="77"/>
      <c r="BC162" s="77"/>
      <c r="BD162" s="77"/>
      <c r="BE162" s="77"/>
    </row>
    <row r="163">
      <c r="A163" s="77" t="s">
        <v>4161</v>
      </c>
      <c r="B163" s="77" t="s">
        <v>4161</v>
      </c>
      <c r="C163" s="77" t="s">
        <v>4163</v>
      </c>
      <c r="D163" s="211" t="s">
        <v>4161</v>
      </c>
      <c r="E163" s="212" t="s">
        <v>4161</v>
      </c>
      <c r="F163" s="212" t="s">
        <v>4161</v>
      </c>
      <c r="G163" s="212" t="s">
        <v>4161</v>
      </c>
      <c r="H163" s="188"/>
      <c r="I163" s="188"/>
      <c r="J163" s="213">
        <v>1.188041492E9</v>
      </c>
      <c r="K163" s="213">
        <v>1.188041492E9</v>
      </c>
      <c r="L163" s="220">
        <v>1.0351542447E11</v>
      </c>
      <c r="M163" s="77"/>
      <c r="N163" s="77"/>
      <c r="O163" s="78" t="s">
        <v>2659</v>
      </c>
      <c r="P163" s="211" t="s">
        <v>2661</v>
      </c>
      <c r="Q163" s="214" t="s">
        <v>4165</v>
      </c>
      <c r="R163" s="77" t="s">
        <v>4162</v>
      </c>
      <c r="S163" s="77"/>
      <c r="T163" s="211" t="s">
        <v>6539</v>
      </c>
      <c r="U163" s="211" t="s">
        <v>2876</v>
      </c>
      <c r="V163" s="77"/>
      <c r="W163" s="77"/>
      <c r="X163" s="77"/>
      <c r="Y163" s="77"/>
      <c r="Z163" s="216">
        <v>2.106909808E9</v>
      </c>
      <c r="AA163" s="77" t="s">
        <v>6566</v>
      </c>
      <c r="AB163" s="77"/>
      <c r="AC163" s="77" t="str">
        <f t="shared" si="4"/>
        <v>#N/A</v>
      </c>
      <c r="AD163" s="218">
        <v>6.0</v>
      </c>
      <c r="AE163" s="216">
        <v>9.0</v>
      </c>
      <c r="AF163" s="218">
        <v>6.0</v>
      </c>
      <c r="AG163" s="216">
        <v>15.0</v>
      </c>
      <c r="AH163" s="77"/>
      <c r="AI163" s="216">
        <v>0.036</v>
      </c>
      <c r="AJ163" s="77"/>
      <c r="AK163" s="77"/>
      <c r="AL163" s="77"/>
      <c r="AM163" s="77"/>
      <c r="AN163" s="77"/>
      <c r="AO163" s="77"/>
      <c r="AP163" s="77"/>
      <c r="AQ163" s="77"/>
      <c r="AR163" s="77"/>
      <c r="AS163" s="77"/>
      <c r="AT163" s="77"/>
      <c r="AU163" s="77"/>
      <c r="AV163" s="77"/>
      <c r="AW163" s="77"/>
      <c r="AX163" s="77"/>
      <c r="AY163" s="77"/>
      <c r="AZ163" s="77"/>
      <c r="BA163" s="77"/>
      <c r="BB163" s="77"/>
      <c r="BC163" s="77"/>
      <c r="BD163" s="77"/>
      <c r="BE163" s="77"/>
    </row>
    <row r="164">
      <c r="A164" s="77" t="s">
        <v>2874</v>
      </c>
      <c r="B164" s="77" t="s">
        <v>2874</v>
      </c>
      <c r="C164" s="77" t="s">
        <v>2877</v>
      </c>
      <c r="D164" s="211" t="s">
        <v>2874</v>
      </c>
      <c r="E164" s="212" t="s">
        <v>2874</v>
      </c>
      <c r="F164" s="212" t="s">
        <v>2874</v>
      </c>
      <c r="G164" s="212" t="s">
        <v>2874</v>
      </c>
      <c r="H164" s="188"/>
      <c r="I164" s="188"/>
      <c r="J164" s="213">
        <v>1.703614178E9</v>
      </c>
      <c r="K164" s="213">
        <v>1.703614178E9</v>
      </c>
      <c r="L164" s="220">
        <v>1.035362593E11</v>
      </c>
      <c r="M164" s="77"/>
      <c r="N164" s="77"/>
      <c r="O164" s="78" t="s">
        <v>2659</v>
      </c>
      <c r="P164" s="211" t="s">
        <v>2661</v>
      </c>
      <c r="Q164" s="214" t="s">
        <v>2879</v>
      </c>
      <c r="R164" s="77" t="s">
        <v>2875</v>
      </c>
      <c r="S164" s="77"/>
      <c r="T164" s="211" t="s">
        <v>6539</v>
      </c>
      <c r="U164" s="211" t="s">
        <v>2876</v>
      </c>
      <c r="V164" s="77"/>
      <c r="W164" s="77"/>
      <c r="X164" s="77"/>
      <c r="Y164" s="77"/>
      <c r="Z164" s="216">
        <v>2.106909808E9</v>
      </c>
      <c r="AA164" s="77" t="s">
        <v>6566</v>
      </c>
      <c r="AB164" s="77"/>
      <c r="AC164" s="77" t="str">
        <f t="shared" si="4"/>
        <v>#N/A</v>
      </c>
      <c r="AD164" s="218">
        <v>10.0</v>
      </c>
      <c r="AE164" s="216">
        <v>3.0</v>
      </c>
      <c r="AF164" s="218">
        <v>10.0</v>
      </c>
      <c r="AG164" s="216">
        <v>4.0</v>
      </c>
      <c r="AH164" s="77"/>
      <c r="AI164" s="216">
        <v>0.043</v>
      </c>
      <c r="AJ164" s="77"/>
      <c r="AK164" s="77"/>
      <c r="AL164" s="77"/>
      <c r="AM164" s="77"/>
      <c r="AN164" s="77"/>
      <c r="AO164" s="77"/>
      <c r="AP164" s="77"/>
      <c r="AQ164" s="77"/>
      <c r="AR164" s="77"/>
      <c r="AS164" s="77"/>
      <c r="AT164" s="77"/>
      <c r="AU164" s="77"/>
      <c r="AV164" s="77"/>
      <c r="AW164" s="77"/>
      <c r="AX164" s="77"/>
      <c r="AY164" s="77"/>
      <c r="AZ164" s="77"/>
      <c r="BA164" s="77"/>
      <c r="BB164" s="77"/>
      <c r="BC164" s="77"/>
      <c r="BD164" s="77"/>
      <c r="BE164" s="77"/>
    </row>
    <row r="165">
      <c r="A165" s="77" t="s">
        <v>4554</v>
      </c>
      <c r="B165" s="77" t="s">
        <v>4554</v>
      </c>
      <c r="C165" s="77" t="s">
        <v>4556</v>
      </c>
      <c r="D165" s="211" t="s">
        <v>4554</v>
      </c>
      <c r="E165" s="212" t="s">
        <v>4554</v>
      </c>
      <c r="F165" s="212" t="s">
        <v>4554</v>
      </c>
      <c r="G165" s="212" t="s">
        <v>4554</v>
      </c>
      <c r="H165" s="188"/>
      <c r="I165" s="188"/>
      <c r="J165" s="213">
        <v>2.89030651E8</v>
      </c>
      <c r="K165" s="213">
        <v>2.89030651E8</v>
      </c>
      <c r="L165" s="220">
        <v>1.03515423625E11</v>
      </c>
      <c r="M165" s="77"/>
      <c r="N165" s="77"/>
      <c r="O165" s="78" t="s">
        <v>2659</v>
      </c>
      <c r="P165" s="211" t="s">
        <v>2661</v>
      </c>
      <c r="Q165" s="214" t="s">
        <v>4558</v>
      </c>
      <c r="R165" s="77" t="s">
        <v>4555</v>
      </c>
      <c r="S165" s="77"/>
      <c r="T165" s="211" t="s">
        <v>286</v>
      </c>
      <c r="U165" s="211" t="s">
        <v>3437</v>
      </c>
      <c r="V165" s="77"/>
      <c r="W165" s="77"/>
      <c r="X165" s="77"/>
      <c r="Y165" s="77"/>
      <c r="Z165" s="216">
        <v>3.30499E9</v>
      </c>
      <c r="AA165" s="77" t="s">
        <v>6568</v>
      </c>
      <c r="AB165" s="77"/>
      <c r="AC165" s="77" t="str">
        <f t="shared" si="4"/>
        <v>#N/A</v>
      </c>
      <c r="AD165" s="218">
        <v>4.0</v>
      </c>
      <c r="AE165" s="216">
        <v>4.0</v>
      </c>
      <c r="AF165" s="218">
        <v>4.0</v>
      </c>
      <c r="AG165" s="216">
        <v>11.0</v>
      </c>
      <c r="AH165" s="77"/>
      <c r="AI165" s="216">
        <v>0.172</v>
      </c>
      <c r="AJ165" s="77"/>
      <c r="AK165" s="77"/>
      <c r="AL165" s="77"/>
      <c r="AM165" s="77"/>
      <c r="AN165" s="77"/>
      <c r="AO165" s="77"/>
      <c r="AP165" s="77"/>
      <c r="AQ165" s="77"/>
      <c r="AR165" s="77"/>
      <c r="AS165" s="77"/>
      <c r="AT165" s="77"/>
      <c r="AU165" s="77"/>
      <c r="AV165" s="77"/>
      <c r="AW165" s="77"/>
      <c r="AX165" s="77"/>
      <c r="AY165" s="77"/>
      <c r="AZ165" s="77"/>
      <c r="BA165" s="77"/>
      <c r="BB165" s="77"/>
      <c r="BC165" s="77"/>
      <c r="BD165" s="77"/>
      <c r="BE165" s="77"/>
    </row>
    <row r="166">
      <c r="A166" s="77" t="s">
        <v>5192</v>
      </c>
      <c r="B166" s="77" t="s">
        <v>5192</v>
      </c>
      <c r="C166" s="77" t="s">
        <v>3599</v>
      </c>
      <c r="D166" s="211" t="s">
        <v>5192</v>
      </c>
      <c r="E166" s="212" t="s">
        <v>5192</v>
      </c>
      <c r="F166" s="212" t="s">
        <v>5192</v>
      </c>
      <c r="G166" s="212" t="s">
        <v>5192</v>
      </c>
      <c r="H166" s="188"/>
      <c r="I166" s="188"/>
      <c r="J166" s="213">
        <v>3.59068917E8</v>
      </c>
      <c r="K166" s="213">
        <v>3.59068917E8</v>
      </c>
      <c r="L166" s="220">
        <v>1.03331098181E11</v>
      </c>
      <c r="M166" s="77"/>
      <c r="N166" s="77"/>
      <c r="O166" s="78" t="s">
        <v>2659</v>
      </c>
      <c r="P166" s="211" t="s">
        <v>2661</v>
      </c>
      <c r="Q166" s="214" t="s">
        <v>6569</v>
      </c>
      <c r="R166" s="77" t="s">
        <v>4314</v>
      </c>
      <c r="S166" s="77"/>
      <c r="T166" s="211" t="s">
        <v>286</v>
      </c>
      <c r="U166" s="211" t="s">
        <v>3437</v>
      </c>
      <c r="V166" s="77"/>
      <c r="W166" s="77"/>
      <c r="X166" s="77"/>
      <c r="Y166" s="77"/>
      <c r="Z166" s="216">
        <v>3.30499E9</v>
      </c>
      <c r="AA166" s="77" t="s">
        <v>6568</v>
      </c>
      <c r="AB166" s="77"/>
      <c r="AC166" s="77" t="str">
        <f t="shared" si="4"/>
        <v>#N/A</v>
      </c>
      <c r="AD166" s="218">
        <v>4.0</v>
      </c>
      <c r="AE166" s="216">
        <v>6.0</v>
      </c>
      <c r="AF166" s="218">
        <v>4.0</v>
      </c>
      <c r="AG166" s="216">
        <v>13.0</v>
      </c>
      <c r="AH166" s="77"/>
      <c r="AI166" s="216">
        <v>0.053</v>
      </c>
      <c r="AJ166" s="77"/>
      <c r="AK166" s="77"/>
      <c r="AL166" s="77"/>
      <c r="AM166" s="77"/>
      <c r="AN166" s="77"/>
      <c r="AO166" s="77"/>
      <c r="AP166" s="77"/>
      <c r="AQ166" s="77"/>
      <c r="AR166" s="77"/>
      <c r="AS166" s="77"/>
      <c r="AT166" s="77"/>
      <c r="AU166" s="77"/>
      <c r="AV166" s="77"/>
      <c r="AW166" s="77"/>
      <c r="AX166" s="77"/>
      <c r="AY166" s="77"/>
      <c r="AZ166" s="77"/>
      <c r="BA166" s="77"/>
      <c r="BB166" s="77"/>
      <c r="BC166" s="77"/>
      <c r="BD166" s="77"/>
      <c r="BE166" s="77"/>
    </row>
    <row r="167">
      <c r="A167" s="77" t="s">
        <v>4830</v>
      </c>
      <c r="B167" s="77" t="s">
        <v>4830</v>
      </c>
      <c r="C167" s="77" t="s">
        <v>4831</v>
      </c>
      <c r="D167" s="211" t="s">
        <v>4830</v>
      </c>
      <c r="E167" s="212" t="s">
        <v>4830</v>
      </c>
      <c r="F167" s="212" t="s">
        <v>4830</v>
      </c>
      <c r="G167" s="212" t="s">
        <v>4830</v>
      </c>
      <c r="H167" s="188"/>
      <c r="I167" s="188"/>
      <c r="J167" s="213">
        <v>8.47511103E8</v>
      </c>
      <c r="K167" s="213">
        <v>8.47511103E8</v>
      </c>
      <c r="L167" s="220">
        <v>1.01961328078E11</v>
      </c>
      <c r="M167" s="77"/>
      <c r="N167" s="77"/>
      <c r="O167" s="78" t="s">
        <v>2659</v>
      </c>
      <c r="P167" s="211" t="s">
        <v>2661</v>
      </c>
      <c r="Q167" s="214" t="s">
        <v>4798</v>
      </c>
      <c r="R167" s="77" t="s">
        <v>4795</v>
      </c>
      <c r="S167" s="77"/>
      <c r="T167" s="211" t="s">
        <v>286</v>
      </c>
      <c r="U167" s="211" t="s">
        <v>3437</v>
      </c>
      <c r="V167" s="77"/>
      <c r="W167" s="77"/>
      <c r="X167" s="77"/>
      <c r="Y167" s="77"/>
      <c r="Z167" s="216">
        <v>3.30499E9</v>
      </c>
      <c r="AA167" s="77" t="s">
        <v>6568</v>
      </c>
      <c r="AB167" s="77"/>
      <c r="AC167" s="77" t="str">
        <f t="shared" si="4"/>
        <v>#N/A</v>
      </c>
      <c r="AD167" s="218">
        <v>6.0</v>
      </c>
      <c r="AE167" s="216">
        <v>14.0</v>
      </c>
      <c r="AF167" s="218">
        <v>6.0</v>
      </c>
      <c r="AG167" s="216">
        <v>4.0</v>
      </c>
      <c r="AH167" s="77"/>
      <c r="AI167" s="216">
        <v>0.04</v>
      </c>
      <c r="AJ167" s="77"/>
      <c r="AK167" s="77"/>
      <c r="AL167" s="77"/>
      <c r="AM167" s="77"/>
      <c r="AN167" s="77"/>
      <c r="AO167" s="77"/>
      <c r="AP167" s="77"/>
      <c r="AQ167" s="77"/>
      <c r="AR167" s="77"/>
      <c r="AS167" s="77"/>
      <c r="AT167" s="77"/>
      <c r="AU167" s="77"/>
      <c r="AV167" s="77"/>
      <c r="AW167" s="77"/>
      <c r="AX167" s="77"/>
      <c r="AY167" s="77"/>
      <c r="AZ167" s="77"/>
      <c r="BA167" s="77"/>
      <c r="BB167" s="77"/>
      <c r="BC167" s="77"/>
      <c r="BD167" s="77"/>
      <c r="BE167" s="77"/>
    </row>
    <row r="168">
      <c r="A168" s="77" t="s">
        <v>4794</v>
      </c>
      <c r="B168" s="77" t="s">
        <v>4794</v>
      </c>
      <c r="C168" s="77" t="s">
        <v>4796</v>
      </c>
      <c r="D168" s="211" t="s">
        <v>4794</v>
      </c>
      <c r="E168" s="212" t="s">
        <v>4794</v>
      </c>
      <c r="F168" s="212" t="s">
        <v>4794</v>
      </c>
      <c r="G168" s="212" t="s">
        <v>4794</v>
      </c>
      <c r="H168" s="188"/>
      <c r="I168" s="188"/>
      <c r="J168" s="213">
        <v>1.188108975E9</v>
      </c>
      <c r="K168" s="213">
        <v>1.188108975E9</v>
      </c>
      <c r="L168" s="220">
        <v>1.03515420172E11</v>
      </c>
      <c r="M168" s="77"/>
      <c r="N168" s="77"/>
      <c r="O168" s="78" t="s">
        <v>2659</v>
      </c>
      <c r="P168" s="211" t="s">
        <v>2661</v>
      </c>
      <c r="Q168" s="214" t="s">
        <v>4798</v>
      </c>
      <c r="R168" s="77" t="s">
        <v>4795</v>
      </c>
      <c r="S168" s="77"/>
      <c r="T168" s="211" t="s">
        <v>286</v>
      </c>
      <c r="U168" s="211" t="s">
        <v>3437</v>
      </c>
      <c r="V168" s="77"/>
      <c r="W168" s="77"/>
      <c r="X168" s="77"/>
      <c r="Y168" s="77"/>
      <c r="Z168" s="216">
        <v>3.30499E9</v>
      </c>
      <c r="AA168" s="77" t="s">
        <v>6568</v>
      </c>
      <c r="AB168" s="77"/>
      <c r="AC168" s="77" t="str">
        <f t="shared" si="4"/>
        <v>#N/A</v>
      </c>
      <c r="AD168" s="218">
        <v>22.0</v>
      </c>
      <c r="AE168" s="216">
        <v>6.0</v>
      </c>
      <c r="AF168" s="218">
        <v>22.0</v>
      </c>
      <c r="AG168" s="216">
        <v>14.0</v>
      </c>
      <c r="AH168" s="77"/>
      <c r="AI168" s="216">
        <v>0.152</v>
      </c>
      <c r="AJ168" s="77"/>
      <c r="AK168" s="77"/>
      <c r="AL168" s="77"/>
      <c r="AM168" s="77"/>
      <c r="AN168" s="77"/>
      <c r="AO168" s="77"/>
      <c r="AP168" s="77"/>
      <c r="AQ168" s="77"/>
      <c r="AR168" s="77"/>
      <c r="AS168" s="77"/>
      <c r="AT168" s="77"/>
      <c r="AU168" s="77"/>
      <c r="AV168" s="77"/>
      <c r="AW168" s="77"/>
      <c r="AX168" s="77"/>
      <c r="AY168" s="77"/>
      <c r="AZ168" s="77"/>
      <c r="BA168" s="77"/>
      <c r="BB168" s="77"/>
      <c r="BC168" s="77"/>
      <c r="BD168" s="77"/>
      <c r="BE168" s="77"/>
    </row>
    <row r="169">
      <c r="A169" s="77" t="s">
        <v>4313</v>
      </c>
      <c r="B169" s="77" t="s">
        <v>4313</v>
      </c>
      <c r="C169" s="77" t="s">
        <v>4315</v>
      </c>
      <c r="D169" s="211" t="s">
        <v>4313</v>
      </c>
      <c r="E169" s="212" t="s">
        <v>4313</v>
      </c>
      <c r="F169" s="212" t="s">
        <v>4313</v>
      </c>
      <c r="G169" s="212" t="s">
        <v>4313</v>
      </c>
      <c r="H169" s="188"/>
      <c r="I169" s="188"/>
      <c r="J169" s="213">
        <v>1.188111089E9</v>
      </c>
      <c r="K169" s="213">
        <v>1.188111089E9</v>
      </c>
      <c r="L169" s="220">
        <v>1.03515425318E11</v>
      </c>
      <c r="M169" s="77"/>
      <c r="N169" s="77"/>
      <c r="O169" s="78" t="s">
        <v>2659</v>
      </c>
      <c r="P169" s="211" t="s">
        <v>2661</v>
      </c>
      <c r="Q169" s="214" t="s">
        <v>4317</v>
      </c>
      <c r="R169" s="77" t="s">
        <v>4314</v>
      </c>
      <c r="S169" s="77"/>
      <c r="T169" s="211" t="s">
        <v>286</v>
      </c>
      <c r="U169" s="211" t="s">
        <v>3437</v>
      </c>
      <c r="V169" s="77"/>
      <c r="W169" s="77"/>
      <c r="X169" s="77"/>
      <c r="Y169" s="77"/>
      <c r="Z169" s="216">
        <v>3.30499E9</v>
      </c>
      <c r="AA169" s="77" t="s">
        <v>6568</v>
      </c>
      <c r="AB169" s="77"/>
      <c r="AC169" s="77" t="str">
        <f t="shared" si="4"/>
        <v>#N/A</v>
      </c>
      <c r="AD169" s="218">
        <v>17.0</v>
      </c>
      <c r="AE169" s="216">
        <v>6.0</v>
      </c>
      <c r="AF169" s="218">
        <v>17.0</v>
      </c>
      <c r="AG169" s="216">
        <v>11.0</v>
      </c>
      <c r="AH169" s="77"/>
      <c r="AI169" s="216">
        <v>0.192</v>
      </c>
      <c r="AJ169" s="77"/>
      <c r="AK169" s="77"/>
      <c r="AL169" s="77"/>
      <c r="AM169" s="77"/>
      <c r="AN169" s="77"/>
      <c r="AO169" s="77"/>
      <c r="AP169" s="77"/>
      <c r="AQ169" s="77"/>
      <c r="AR169" s="77"/>
      <c r="AS169" s="77"/>
      <c r="AT169" s="77"/>
      <c r="AU169" s="77"/>
      <c r="AV169" s="77"/>
      <c r="AW169" s="77"/>
      <c r="AX169" s="77"/>
      <c r="AY169" s="77"/>
      <c r="AZ169" s="77"/>
      <c r="BA169" s="77"/>
      <c r="BB169" s="77"/>
      <c r="BC169" s="77"/>
      <c r="BD169" s="77"/>
      <c r="BE169" s="77"/>
    </row>
    <row r="170">
      <c r="A170" s="77" t="s">
        <v>4990</v>
      </c>
      <c r="B170" s="77" t="s">
        <v>4990</v>
      </c>
      <c r="C170" s="77" t="s">
        <v>4992</v>
      </c>
      <c r="D170" s="211" t="s">
        <v>4990</v>
      </c>
      <c r="E170" s="212" t="s">
        <v>4990</v>
      </c>
      <c r="F170" s="212" t="s">
        <v>4990</v>
      </c>
      <c r="G170" s="212" t="s">
        <v>4990</v>
      </c>
      <c r="H170" s="188"/>
      <c r="I170" s="188"/>
      <c r="J170" s="213">
        <v>1.350973968E9</v>
      </c>
      <c r="K170" s="213">
        <v>1.350973968E9</v>
      </c>
      <c r="L170" s="220">
        <v>1.02622361536E11</v>
      </c>
      <c r="M170" s="77"/>
      <c r="N170" s="77"/>
      <c r="O170" s="78" t="s">
        <v>2659</v>
      </c>
      <c r="P170" s="211" t="s">
        <v>2661</v>
      </c>
      <c r="Q170" s="214" t="s">
        <v>4994</v>
      </c>
      <c r="R170" s="77" t="s">
        <v>4991</v>
      </c>
      <c r="S170" s="77"/>
      <c r="T170" s="211" t="s">
        <v>286</v>
      </c>
      <c r="U170" s="211" t="s">
        <v>3437</v>
      </c>
      <c r="V170" s="77"/>
      <c r="W170" s="77"/>
      <c r="X170" s="77"/>
      <c r="Y170" s="77"/>
      <c r="Z170" s="216">
        <v>3.30499E9</v>
      </c>
      <c r="AA170" s="77" t="s">
        <v>6568</v>
      </c>
      <c r="AB170" s="77"/>
      <c r="AC170" s="77" t="str">
        <f t="shared" si="4"/>
        <v>#N/A</v>
      </c>
      <c r="AD170" s="218">
        <v>1.0</v>
      </c>
      <c r="AE170" s="216">
        <v>6.0</v>
      </c>
      <c r="AF170" s="218">
        <v>1.0</v>
      </c>
      <c r="AG170" s="216">
        <v>14.0</v>
      </c>
      <c r="AH170" s="77"/>
      <c r="AI170" s="216">
        <v>0.1</v>
      </c>
      <c r="AJ170" s="77"/>
      <c r="AK170" s="77"/>
      <c r="AL170" s="77"/>
      <c r="AM170" s="77"/>
      <c r="AN170" s="77"/>
      <c r="AO170" s="77"/>
      <c r="AP170" s="77"/>
      <c r="AQ170" s="77"/>
      <c r="AR170" s="77"/>
      <c r="AS170" s="77"/>
      <c r="AT170" s="77"/>
      <c r="AU170" s="77"/>
      <c r="AV170" s="77"/>
      <c r="AW170" s="77"/>
      <c r="AX170" s="77"/>
      <c r="AY170" s="77"/>
      <c r="AZ170" s="77"/>
      <c r="BA170" s="77"/>
      <c r="BB170" s="77"/>
      <c r="BC170" s="77"/>
      <c r="BD170" s="77"/>
      <c r="BE170" s="77"/>
    </row>
    <row r="171">
      <c r="A171" s="77" t="s">
        <v>3435</v>
      </c>
      <c r="B171" s="77" t="s">
        <v>3435</v>
      </c>
      <c r="C171" s="77" t="s">
        <v>3438</v>
      </c>
      <c r="D171" s="211" t="s">
        <v>3435</v>
      </c>
      <c r="E171" s="212" t="s">
        <v>3435</v>
      </c>
      <c r="F171" s="212" t="s">
        <v>3435</v>
      </c>
      <c r="G171" s="212" t="s">
        <v>3435</v>
      </c>
      <c r="H171" s="188"/>
      <c r="I171" s="188"/>
      <c r="J171" s="213">
        <v>1.590032182E9</v>
      </c>
      <c r="K171" s="213">
        <v>1.590032182E9</v>
      </c>
      <c r="L171" s="220">
        <v>1.03515397749E11</v>
      </c>
      <c r="M171" s="77"/>
      <c r="N171" s="77"/>
      <c r="O171" s="78" t="s">
        <v>2659</v>
      </c>
      <c r="P171" s="211" t="s">
        <v>2661</v>
      </c>
      <c r="Q171" s="214" t="s">
        <v>3440</v>
      </c>
      <c r="R171" s="77" t="s">
        <v>3436</v>
      </c>
      <c r="S171" s="77"/>
      <c r="T171" s="211" t="s">
        <v>286</v>
      </c>
      <c r="U171" s="211" t="s">
        <v>3437</v>
      </c>
      <c r="V171" s="77"/>
      <c r="W171" s="77"/>
      <c r="X171" s="77"/>
      <c r="Y171" s="77"/>
      <c r="Z171" s="216">
        <v>3.30499E9</v>
      </c>
      <c r="AA171" s="77" t="s">
        <v>6568</v>
      </c>
      <c r="AB171" s="77"/>
      <c r="AC171" s="77" t="str">
        <f t="shared" si="4"/>
        <v>#N/A</v>
      </c>
      <c r="AD171" s="218">
        <v>4.0</v>
      </c>
      <c r="AE171" s="216">
        <v>4.0</v>
      </c>
      <c r="AF171" s="218">
        <v>4.0</v>
      </c>
      <c r="AG171" s="216">
        <v>12.0</v>
      </c>
      <c r="AH171" s="77"/>
      <c r="AI171" s="216">
        <v>0.04</v>
      </c>
      <c r="AJ171" s="77"/>
      <c r="AK171" s="77"/>
      <c r="AL171" s="77"/>
      <c r="AM171" s="77"/>
      <c r="AN171" s="77"/>
      <c r="AO171" s="77"/>
      <c r="AP171" s="77"/>
      <c r="AQ171" s="77"/>
      <c r="AR171" s="77"/>
      <c r="AS171" s="77"/>
      <c r="AT171" s="77"/>
      <c r="AU171" s="77"/>
      <c r="AV171" s="77"/>
      <c r="AW171" s="77"/>
      <c r="AX171" s="77"/>
      <c r="AY171" s="77"/>
      <c r="AZ171" s="77"/>
      <c r="BA171" s="77"/>
      <c r="BB171" s="77"/>
      <c r="BC171" s="77"/>
      <c r="BD171" s="77"/>
      <c r="BE171" s="77"/>
    </row>
    <row r="172">
      <c r="A172" s="77" t="s">
        <v>4494</v>
      </c>
      <c r="B172" s="77" t="s">
        <v>4494</v>
      </c>
      <c r="C172" s="77" t="s">
        <v>4496</v>
      </c>
      <c r="D172" s="211" t="s">
        <v>4494</v>
      </c>
      <c r="E172" s="212" t="s">
        <v>4494</v>
      </c>
      <c r="F172" s="212" t="s">
        <v>4494</v>
      </c>
      <c r="G172" s="212" t="s">
        <v>4494</v>
      </c>
      <c r="H172" s="188"/>
      <c r="I172" s="188"/>
      <c r="J172" s="213">
        <v>2.825161431E9</v>
      </c>
      <c r="K172" s="213">
        <v>2.825161431E9</v>
      </c>
      <c r="L172" s="220">
        <v>4.640676175E9</v>
      </c>
      <c r="M172" s="77"/>
      <c r="N172" s="77"/>
      <c r="O172" s="78" t="s">
        <v>2659</v>
      </c>
      <c r="P172" s="211" t="s">
        <v>2661</v>
      </c>
      <c r="Q172" s="214" t="s">
        <v>4497</v>
      </c>
      <c r="R172" s="77" t="s">
        <v>4495</v>
      </c>
      <c r="S172" s="77"/>
      <c r="T172" s="211" t="s">
        <v>286</v>
      </c>
      <c r="U172" s="211" t="s">
        <v>3437</v>
      </c>
      <c r="V172" s="77"/>
      <c r="W172" s="77"/>
      <c r="X172" s="77"/>
      <c r="Y172" s="77"/>
      <c r="Z172" s="216">
        <v>3.30499E9</v>
      </c>
      <c r="AA172" s="77" t="s">
        <v>6568</v>
      </c>
      <c r="AB172" s="77"/>
      <c r="AC172" s="77" t="str">
        <f t="shared" si="4"/>
        <v>#N/A</v>
      </c>
      <c r="AD172" s="218">
        <v>9.0</v>
      </c>
      <c r="AE172" s="216">
        <v>14.0</v>
      </c>
      <c r="AF172" s="218">
        <v>9.0</v>
      </c>
      <c r="AG172" s="216">
        <v>6.0</v>
      </c>
      <c r="AH172" s="77"/>
      <c r="AI172" s="216">
        <v>0.013</v>
      </c>
      <c r="AJ172" s="77"/>
      <c r="AK172" s="77"/>
      <c r="AL172" s="77"/>
      <c r="AM172" s="77"/>
      <c r="AN172" s="77"/>
      <c r="AO172" s="77"/>
      <c r="AP172" s="77"/>
      <c r="AQ172" s="77"/>
      <c r="AR172" s="77"/>
      <c r="AS172" s="77"/>
      <c r="AT172" s="77"/>
      <c r="AU172" s="77"/>
      <c r="AV172" s="77"/>
      <c r="AW172" s="77"/>
      <c r="AX172" s="77"/>
      <c r="AY172" s="77"/>
      <c r="AZ172" s="77"/>
      <c r="BA172" s="77"/>
      <c r="BB172" s="77"/>
      <c r="BC172" s="77"/>
      <c r="BD172" s="77"/>
      <c r="BE172" s="77"/>
    </row>
    <row r="173">
      <c r="A173" s="77" t="s">
        <v>3611</v>
      </c>
      <c r="B173" s="77" t="s">
        <v>3611</v>
      </c>
      <c r="C173" s="77" t="s">
        <v>3614</v>
      </c>
      <c r="D173" s="211" t="s">
        <v>3611</v>
      </c>
      <c r="E173" s="212" t="s">
        <v>3611</v>
      </c>
      <c r="F173" s="212" t="s">
        <v>3611</v>
      </c>
      <c r="G173" s="212" t="s">
        <v>3611</v>
      </c>
      <c r="H173" s="188"/>
      <c r="I173" s="188"/>
      <c r="J173" s="213">
        <v>1.590267064E9</v>
      </c>
      <c r="K173" s="213">
        <v>1.590267064E9</v>
      </c>
      <c r="L173" s="220">
        <v>1.03515416657E11</v>
      </c>
      <c r="M173" s="77"/>
      <c r="N173" s="77"/>
      <c r="O173" s="78" t="s">
        <v>2659</v>
      </c>
      <c r="P173" s="211" t="s">
        <v>2661</v>
      </c>
      <c r="Q173" s="214" t="s">
        <v>3616</v>
      </c>
      <c r="R173" s="77" t="s">
        <v>3612</v>
      </c>
      <c r="S173" s="77"/>
      <c r="T173" s="211" t="s">
        <v>286</v>
      </c>
      <c r="U173" s="211" t="s">
        <v>3613</v>
      </c>
      <c r="V173" s="77"/>
      <c r="W173" s="77"/>
      <c r="X173" s="77"/>
      <c r="Y173" s="77"/>
      <c r="Z173" s="216">
        <v>3.30499E9</v>
      </c>
      <c r="AA173" s="77" t="s">
        <v>6568</v>
      </c>
      <c r="AB173" s="77"/>
      <c r="AC173" s="77" t="str">
        <f t="shared" si="4"/>
        <v>#N/A</v>
      </c>
      <c r="AD173" s="218">
        <v>11.0</v>
      </c>
      <c r="AE173" s="216">
        <v>3.0</v>
      </c>
      <c r="AF173" s="218">
        <v>11.0</v>
      </c>
      <c r="AG173" s="216">
        <v>3.0</v>
      </c>
      <c r="AH173" s="77"/>
      <c r="AI173" s="216">
        <v>0.028</v>
      </c>
      <c r="AJ173" s="77"/>
      <c r="AK173" s="77"/>
      <c r="AL173" s="77"/>
      <c r="AM173" s="77"/>
      <c r="AN173" s="77"/>
      <c r="AO173" s="77"/>
      <c r="AP173" s="77"/>
      <c r="AQ173" s="77"/>
      <c r="AR173" s="77"/>
      <c r="AS173" s="77"/>
      <c r="AT173" s="77"/>
      <c r="AU173" s="77"/>
      <c r="AV173" s="77"/>
      <c r="AW173" s="77"/>
      <c r="AX173" s="77"/>
      <c r="AY173" s="77"/>
      <c r="AZ173" s="77"/>
      <c r="BA173" s="77"/>
      <c r="BB173" s="77"/>
      <c r="BC173" s="77"/>
      <c r="BD173" s="77"/>
      <c r="BE173" s="77"/>
    </row>
    <row r="174">
      <c r="A174" s="77" t="s">
        <v>5158</v>
      </c>
      <c r="B174" s="77" t="s">
        <v>5158</v>
      </c>
      <c r="C174" s="77" t="s">
        <v>5160</v>
      </c>
      <c r="D174" s="211" t="s">
        <v>5158</v>
      </c>
      <c r="E174" s="212" t="s">
        <v>5158</v>
      </c>
      <c r="F174" s="212" t="s">
        <v>5158</v>
      </c>
      <c r="G174" s="212" t="s">
        <v>5158</v>
      </c>
      <c r="H174" s="188"/>
      <c r="I174" s="188"/>
      <c r="J174" s="213">
        <v>2.90413438E8</v>
      </c>
      <c r="K174" s="213">
        <v>2.90413438E8</v>
      </c>
      <c r="L174" s="220">
        <v>1.03340894535E11</v>
      </c>
      <c r="M174" s="77"/>
      <c r="N174" s="77"/>
      <c r="O174" s="78" t="s">
        <v>2659</v>
      </c>
      <c r="P174" s="211" t="s">
        <v>2661</v>
      </c>
      <c r="Q174" s="214" t="s">
        <v>5162</v>
      </c>
      <c r="R174" s="77" t="s">
        <v>5159</v>
      </c>
      <c r="S174" s="77"/>
      <c r="T174" s="211" t="s">
        <v>286</v>
      </c>
      <c r="U174" s="211" t="s">
        <v>2860</v>
      </c>
      <c r="V174" s="77"/>
      <c r="W174" s="77"/>
      <c r="X174" s="77"/>
      <c r="Y174" s="77"/>
      <c r="Z174" s="216">
        <v>3.30499E9</v>
      </c>
      <c r="AA174" s="77" t="s">
        <v>6568</v>
      </c>
      <c r="AB174" s="77"/>
      <c r="AC174" s="77" t="str">
        <f t="shared" si="4"/>
        <v>#N/A</v>
      </c>
      <c r="AD174" s="218">
        <v>3.0</v>
      </c>
      <c r="AE174" s="216">
        <v>3.0</v>
      </c>
      <c r="AF174" s="218">
        <v>3.0</v>
      </c>
      <c r="AG174" s="216">
        <v>9.0</v>
      </c>
      <c r="AH174" s="77"/>
      <c r="AI174" s="216">
        <v>0.065</v>
      </c>
      <c r="AJ174" s="77"/>
      <c r="AK174" s="77"/>
      <c r="AL174" s="77"/>
      <c r="AM174" s="77"/>
      <c r="AN174" s="77"/>
      <c r="AO174" s="77"/>
      <c r="AP174" s="77"/>
      <c r="AQ174" s="77"/>
      <c r="AR174" s="77"/>
      <c r="AS174" s="77"/>
      <c r="AT174" s="77"/>
      <c r="AU174" s="77"/>
      <c r="AV174" s="77"/>
      <c r="AW174" s="77"/>
      <c r="AX174" s="77"/>
      <c r="AY174" s="77"/>
      <c r="AZ174" s="77"/>
      <c r="BA174" s="77"/>
      <c r="BB174" s="77"/>
      <c r="BC174" s="77"/>
      <c r="BD174" s="77"/>
      <c r="BE174" s="77"/>
    </row>
    <row r="175">
      <c r="A175" s="77" t="s">
        <v>4818</v>
      </c>
      <c r="B175" s="77" t="s">
        <v>4818</v>
      </c>
      <c r="C175" s="77" t="s">
        <v>4820</v>
      </c>
      <c r="D175" s="211" t="s">
        <v>4818</v>
      </c>
      <c r="E175" s="212" t="s">
        <v>4818</v>
      </c>
      <c r="F175" s="212" t="s">
        <v>4818</v>
      </c>
      <c r="G175" s="212" t="s">
        <v>4818</v>
      </c>
      <c r="H175" s="188"/>
      <c r="I175" s="188"/>
      <c r="J175" s="213">
        <v>3.07654206E8</v>
      </c>
      <c r="K175" s="213">
        <v>3.07654206E8</v>
      </c>
      <c r="L175" s="220">
        <v>1.03331097324E11</v>
      </c>
      <c r="M175" s="77"/>
      <c r="N175" s="77"/>
      <c r="O175" s="78" t="s">
        <v>2659</v>
      </c>
      <c r="P175" s="211" t="s">
        <v>2661</v>
      </c>
      <c r="Q175" s="214" t="s">
        <v>4822</v>
      </c>
      <c r="R175" s="77" t="s">
        <v>4819</v>
      </c>
      <c r="S175" s="77"/>
      <c r="T175" s="211" t="s">
        <v>286</v>
      </c>
      <c r="U175" s="211" t="s">
        <v>2860</v>
      </c>
      <c r="V175" s="77"/>
      <c r="W175" s="77"/>
      <c r="X175" s="77"/>
      <c r="Y175" s="77"/>
      <c r="Z175" s="216">
        <v>3.30499E9</v>
      </c>
      <c r="AA175" s="77" t="s">
        <v>6568</v>
      </c>
      <c r="AB175" s="77"/>
      <c r="AC175" s="77" t="str">
        <f t="shared" si="4"/>
        <v>#N/A</v>
      </c>
      <c r="AD175" s="218">
        <v>10.0</v>
      </c>
      <c r="AE175" s="216">
        <v>2.0</v>
      </c>
      <c r="AF175" s="218">
        <v>10.0</v>
      </c>
      <c r="AG175" s="216">
        <v>3.0</v>
      </c>
      <c r="AH175" s="77"/>
      <c r="AI175" s="216">
        <v>0.031</v>
      </c>
      <c r="AJ175" s="77"/>
      <c r="AK175" s="77"/>
      <c r="AL175" s="77"/>
      <c r="AM175" s="77"/>
      <c r="AN175" s="77"/>
      <c r="AO175" s="77"/>
      <c r="AP175" s="77"/>
      <c r="AQ175" s="77"/>
      <c r="AR175" s="77"/>
      <c r="AS175" s="77"/>
      <c r="AT175" s="77"/>
      <c r="AU175" s="77"/>
      <c r="AV175" s="77"/>
      <c r="AW175" s="77"/>
      <c r="AX175" s="77"/>
      <c r="AY175" s="77"/>
      <c r="AZ175" s="77"/>
      <c r="BA175" s="77"/>
      <c r="BB175" s="77"/>
      <c r="BC175" s="77"/>
      <c r="BD175" s="77"/>
      <c r="BE175" s="77"/>
    </row>
    <row r="176">
      <c r="A176" s="77" t="s">
        <v>4151</v>
      </c>
      <c r="B176" s="77" t="s">
        <v>4151</v>
      </c>
      <c r="C176" s="77" t="s">
        <v>5687</v>
      </c>
      <c r="D176" s="211" t="s">
        <v>4151</v>
      </c>
      <c r="E176" s="212" t="s">
        <v>4151</v>
      </c>
      <c r="F176" s="212" t="s">
        <v>4151</v>
      </c>
      <c r="G176" s="212" t="s">
        <v>4151</v>
      </c>
      <c r="H176" s="188"/>
      <c r="I176" s="188"/>
      <c r="J176" s="213">
        <v>5.63811764E8</v>
      </c>
      <c r="K176" s="213">
        <v>5.63811764E8</v>
      </c>
      <c r="L176" s="220">
        <v>1.03340884471E11</v>
      </c>
      <c r="M176" s="77"/>
      <c r="N176" s="77"/>
      <c r="O176" s="78" t="s">
        <v>2659</v>
      </c>
      <c r="P176" s="211" t="s">
        <v>2661</v>
      </c>
      <c r="Q176" s="214" t="s">
        <v>4155</v>
      </c>
      <c r="R176" s="77" t="s">
        <v>4152</v>
      </c>
      <c r="S176" s="77"/>
      <c r="T176" s="211" t="s">
        <v>286</v>
      </c>
      <c r="U176" s="211" t="s">
        <v>2860</v>
      </c>
      <c r="V176" s="77"/>
      <c r="W176" s="77"/>
      <c r="X176" s="77"/>
      <c r="Y176" s="77"/>
      <c r="Z176" s="216">
        <v>3.30499E9</v>
      </c>
      <c r="AA176" s="77" t="s">
        <v>6568</v>
      </c>
      <c r="AB176" s="77"/>
      <c r="AC176" s="77" t="str">
        <f t="shared" si="4"/>
        <v>#N/A</v>
      </c>
      <c r="AD176" s="218">
        <v>10.0</v>
      </c>
      <c r="AE176" s="216">
        <v>3.0</v>
      </c>
      <c r="AF176" s="218">
        <v>10.0</v>
      </c>
      <c r="AG176" s="216">
        <v>3.0</v>
      </c>
      <c r="AH176" s="77"/>
      <c r="AI176" s="216">
        <v>0.023</v>
      </c>
      <c r="AJ176" s="77"/>
      <c r="AK176" s="77"/>
      <c r="AL176" s="77"/>
      <c r="AM176" s="77"/>
      <c r="AN176" s="77"/>
      <c r="AO176" s="77"/>
      <c r="AP176" s="77"/>
      <c r="AQ176" s="77"/>
      <c r="AR176" s="77"/>
      <c r="AS176" s="77"/>
      <c r="AT176" s="77"/>
      <c r="AU176" s="77"/>
      <c r="AV176" s="77"/>
      <c r="AW176" s="77"/>
      <c r="AX176" s="77"/>
      <c r="AY176" s="77"/>
      <c r="AZ176" s="77"/>
      <c r="BA176" s="77"/>
      <c r="BB176" s="77"/>
      <c r="BC176" s="77"/>
      <c r="BD176" s="77"/>
      <c r="BE176" s="77"/>
    </row>
    <row r="177">
      <c r="A177" s="77" t="s">
        <v>4151</v>
      </c>
      <c r="B177" s="77" t="s">
        <v>4151</v>
      </c>
      <c r="C177" s="77" t="s">
        <v>4153</v>
      </c>
      <c r="D177" s="211" t="s">
        <v>4151</v>
      </c>
      <c r="E177" s="212" t="s">
        <v>4151</v>
      </c>
      <c r="F177" s="212" t="s">
        <v>4151</v>
      </c>
      <c r="G177" s="212" t="s">
        <v>4151</v>
      </c>
      <c r="H177" s="188"/>
      <c r="I177" s="188"/>
      <c r="J177" s="213">
        <v>2.176057035E9</v>
      </c>
      <c r="K177" s="213">
        <v>5.63811764E8</v>
      </c>
      <c r="L177" s="220">
        <v>1.02622145124E11</v>
      </c>
      <c r="M177" s="77"/>
      <c r="N177" s="77"/>
      <c r="O177" s="78" t="s">
        <v>2659</v>
      </c>
      <c r="P177" s="211" t="s">
        <v>2661</v>
      </c>
      <c r="Q177" s="214" t="s">
        <v>4155</v>
      </c>
      <c r="R177" s="77" t="s">
        <v>4152</v>
      </c>
      <c r="S177" s="77"/>
      <c r="T177" s="211" t="s">
        <v>286</v>
      </c>
      <c r="U177" s="211" t="s">
        <v>2860</v>
      </c>
      <c r="V177" s="77"/>
      <c r="W177" s="77"/>
      <c r="X177" s="77"/>
      <c r="Y177" s="77"/>
      <c r="Z177" s="216">
        <v>3.30499E9</v>
      </c>
      <c r="AA177" s="77" t="s">
        <v>6568</v>
      </c>
      <c r="AB177" s="77"/>
      <c r="AC177" s="77" t="str">
        <f t="shared" si="4"/>
        <v>#N/A</v>
      </c>
      <c r="AD177" s="218">
        <v>10.0</v>
      </c>
      <c r="AE177" s="216">
        <v>3.0</v>
      </c>
      <c r="AF177" s="218">
        <v>10.0</v>
      </c>
      <c r="AG177" s="216">
        <v>3.0</v>
      </c>
      <c r="AH177" s="77"/>
      <c r="AI177" s="216">
        <v>0.023</v>
      </c>
      <c r="AJ177" s="77"/>
      <c r="AK177" s="77"/>
      <c r="AL177" s="77"/>
      <c r="AM177" s="77"/>
      <c r="AN177" s="77"/>
      <c r="AO177" s="77"/>
      <c r="AP177" s="77"/>
      <c r="AQ177" s="77"/>
      <c r="AR177" s="77"/>
      <c r="AS177" s="77"/>
      <c r="AT177" s="77"/>
      <c r="AU177" s="77"/>
      <c r="AV177" s="77"/>
      <c r="AW177" s="77"/>
      <c r="AX177" s="77"/>
      <c r="AY177" s="77"/>
      <c r="AZ177" s="77"/>
      <c r="BA177" s="77"/>
      <c r="BB177" s="77"/>
      <c r="BC177" s="77"/>
      <c r="BD177" s="77"/>
      <c r="BE177" s="77"/>
    </row>
    <row r="178">
      <c r="A178" s="77" t="s">
        <v>3491</v>
      </c>
      <c r="B178" s="77" t="s">
        <v>3491</v>
      </c>
      <c r="C178" s="77" t="s">
        <v>5686</v>
      </c>
      <c r="D178" s="211" t="s">
        <v>3491</v>
      </c>
      <c r="E178" s="212" t="s">
        <v>3491</v>
      </c>
      <c r="F178" s="212" t="s">
        <v>3491</v>
      </c>
      <c r="G178" s="212" t="s">
        <v>3491</v>
      </c>
      <c r="H178" s="188"/>
      <c r="I178" s="188"/>
      <c r="J178" s="213">
        <v>9.16705489E8</v>
      </c>
      <c r="K178" s="213">
        <v>9.16705489E8</v>
      </c>
      <c r="L178" s="220">
        <v>1.02072156318E11</v>
      </c>
      <c r="M178" s="77"/>
      <c r="N178" s="77"/>
      <c r="O178" s="78" t="s">
        <v>2659</v>
      </c>
      <c r="P178" s="211" t="s">
        <v>2661</v>
      </c>
      <c r="Q178" s="214" t="s">
        <v>3495</v>
      </c>
      <c r="R178" s="77" t="s">
        <v>3492</v>
      </c>
      <c r="S178" s="77"/>
      <c r="T178" s="211" t="s">
        <v>286</v>
      </c>
      <c r="U178" s="211" t="s">
        <v>2860</v>
      </c>
      <c r="V178" s="77"/>
      <c r="W178" s="77"/>
      <c r="X178" s="77"/>
      <c r="Y178" s="77"/>
      <c r="Z178" s="216">
        <v>3.30499E9</v>
      </c>
      <c r="AA178" s="77" t="s">
        <v>6568</v>
      </c>
      <c r="AB178" s="77"/>
      <c r="AC178" s="77" t="str">
        <f t="shared" si="4"/>
        <v>#N/A</v>
      </c>
      <c r="AD178" s="218">
        <v>10.0</v>
      </c>
      <c r="AE178" s="216">
        <v>2.0</v>
      </c>
      <c r="AF178" s="218">
        <v>10.0</v>
      </c>
      <c r="AG178" s="216">
        <v>3.0</v>
      </c>
      <c r="AH178" s="77"/>
      <c r="AI178" s="216">
        <v>0.023</v>
      </c>
      <c r="AJ178" s="77"/>
      <c r="AK178" s="77"/>
      <c r="AL178" s="77"/>
      <c r="AM178" s="77"/>
      <c r="AN178" s="77"/>
      <c r="AO178" s="77"/>
      <c r="AP178" s="77"/>
      <c r="AQ178" s="77"/>
      <c r="AR178" s="77"/>
      <c r="AS178" s="77"/>
      <c r="AT178" s="77"/>
      <c r="AU178" s="77"/>
      <c r="AV178" s="77"/>
      <c r="AW178" s="77"/>
      <c r="AX178" s="77"/>
      <c r="AY178" s="77"/>
      <c r="AZ178" s="77"/>
      <c r="BA178" s="77"/>
      <c r="BB178" s="77"/>
      <c r="BC178" s="77"/>
      <c r="BD178" s="77"/>
      <c r="BE178" s="77"/>
    </row>
    <row r="179">
      <c r="A179" s="77" t="s">
        <v>3491</v>
      </c>
      <c r="B179" s="77" t="s">
        <v>3491</v>
      </c>
      <c r="C179" s="77" t="s">
        <v>3493</v>
      </c>
      <c r="D179" s="211" t="s">
        <v>3491</v>
      </c>
      <c r="E179" s="212" t="s">
        <v>3491</v>
      </c>
      <c r="F179" s="212" t="s">
        <v>3491</v>
      </c>
      <c r="G179" s="212" t="s">
        <v>3491</v>
      </c>
      <c r="H179" s="188"/>
      <c r="I179" s="188"/>
      <c r="J179" s="213">
        <v>2.031221045E9</v>
      </c>
      <c r="K179" s="213">
        <v>9.16705489E8</v>
      </c>
      <c r="L179" s="220">
        <v>1.02072156318E11</v>
      </c>
      <c r="M179" s="77"/>
      <c r="N179" s="77"/>
      <c r="O179" s="78" t="s">
        <v>2659</v>
      </c>
      <c r="P179" s="211" t="s">
        <v>2661</v>
      </c>
      <c r="Q179" s="214" t="s">
        <v>3495</v>
      </c>
      <c r="R179" s="77" t="s">
        <v>3492</v>
      </c>
      <c r="S179" s="77"/>
      <c r="T179" s="211" t="s">
        <v>286</v>
      </c>
      <c r="U179" s="211" t="s">
        <v>2860</v>
      </c>
      <c r="V179" s="77"/>
      <c r="W179" s="77"/>
      <c r="X179" s="77"/>
      <c r="Y179" s="77"/>
      <c r="Z179" s="216">
        <v>3.30499E9</v>
      </c>
      <c r="AA179" s="77" t="s">
        <v>6568</v>
      </c>
      <c r="AB179" s="77"/>
      <c r="AC179" s="77" t="str">
        <f t="shared" si="4"/>
        <v>#N/A</v>
      </c>
      <c r="AD179" s="218">
        <v>10.0</v>
      </c>
      <c r="AE179" s="216">
        <v>2.0</v>
      </c>
      <c r="AF179" s="218">
        <v>10.0</v>
      </c>
      <c r="AG179" s="216">
        <v>3.0</v>
      </c>
      <c r="AH179" s="77"/>
      <c r="AI179" s="216">
        <v>0.023</v>
      </c>
      <c r="AJ179" s="77"/>
      <c r="AK179" s="77"/>
      <c r="AL179" s="77"/>
      <c r="AM179" s="77"/>
      <c r="AN179" s="77"/>
      <c r="AO179" s="77"/>
      <c r="AP179" s="77"/>
      <c r="AQ179" s="77"/>
      <c r="AR179" s="77"/>
      <c r="AS179" s="77"/>
      <c r="AT179" s="77"/>
      <c r="AU179" s="77"/>
      <c r="AV179" s="77"/>
      <c r="AW179" s="77"/>
      <c r="AX179" s="77"/>
      <c r="AY179" s="77"/>
      <c r="AZ179" s="77"/>
      <c r="BA179" s="77"/>
      <c r="BB179" s="77"/>
      <c r="BC179" s="77"/>
      <c r="BD179" s="77"/>
      <c r="BE179" s="77"/>
    </row>
    <row r="180">
      <c r="A180" s="77" t="s">
        <v>3804</v>
      </c>
      <c r="B180" s="77" t="s">
        <v>3804</v>
      </c>
      <c r="C180" s="77" t="s">
        <v>3806</v>
      </c>
      <c r="D180" s="211" t="s">
        <v>3804</v>
      </c>
      <c r="E180" s="212" t="s">
        <v>3804</v>
      </c>
      <c r="F180" s="212" t="s">
        <v>3804</v>
      </c>
      <c r="G180" s="212" t="s">
        <v>3804</v>
      </c>
      <c r="H180" s="188"/>
      <c r="I180" s="188"/>
      <c r="J180" s="213">
        <v>1.350973604E9</v>
      </c>
      <c r="K180" s="213">
        <v>1.350973604E9</v>
      </c>
      <c r="L180" s="220">
        <v>1.02622145124E11</v>
      </c>
      <c r="M180" s="77"/>
      <c r="N180" s="77"/>
      <c r="O180" s="78" t="s">
        <v>2659</v>
      </c>
      <c r="P180" s="211" t="s">
        <v>2661</v>
      </c>
      <c r="Q180" s="214" t="s">
        <v>3808</v>
      </c>
      <c r="R180" s="77" t="s">
        <v>3805</v>
      </c>
      <c r="S180" s="77"/>
      <c r="T180" s="211" t="s">
        <v>286</v>
      </c>
      <c r="U180" s="211" t="s">
        <v>2860</v>
      </c>
      <c r="V180" s="77"/>
      <c r="W180" s="77"/>
      <c r="X180" s="77"/>
      <c r="Y180" s="77"/>
      <c r="Z180" s="216">
        <v>3.30499E9</v>
      </c>
      <c r="AA180" s="77" t="s">
        <v>6568</v>
      </c>
      <c r="AB180" s="77"/>
      <c r="AC180" s="77" t="str">
        <f t="shared" si="4"/>
        <v>#N/A</v>
      </c>
      <c r="AD180" s="218">
        <v>5.0</v>
      </c>
      <c r="AE180" s="216">
        <v>10.0</v>
      </c>
      <c r="AF180" s="218">
        <v>5.0</v>
      </c>
      <c r="AG180" s="216">
        <v>3.0</v>
      </c>
      <c r="AH180" s="77"/>
      <c r="AI180" s="216">
        <v>0.08</v>
      </c>
      <c r="AJ180" s="77"/>
      <c r="AK180" s="77"/>
      <c r="AL180" s="77"/>
      <c r="AM180" s="77"/>
      <c r="AN180" s="77"/>
      <c r="AO180" s="77"/>
      <c r="AP180" s="77"/>
      <c r="AQ180" s="77"/>
      <c r="AR180" s="77"/>
      <c r="AS180" s="77"/>
      <c r="AT180" s="77"/>
      <c r="AU180" s="77"/>
      <c r="AV180" s="77"/>
      <c r="AW180" s="77"/>
      <c r="AX180" s="77"/>
      <c r="AY180" s="77"/>
      <c r="AZ180" s="77"/>
      <c r="BA180" s="77"/>
      <c r="BB180" s="77"/>
      <c r="BC180" s="77"/>
      <c r="BD180" s="77"/>
      <c r="BE180" s="77"/>
    </row>
    <row r="181">
      <c r="A181" s="77" t="s">
        <v>3331</v>
      </c>
      <c r="B181" s="77" t="s">
        <v>3331</v>
      </c>
      <c r="C181" s="77" t="s">
        <v>3333</v>
      </c>
      <c r="D181" s="211" t="s">
        <v>3331</v>
      </c>
      <c r="E181" s="212" t="s">
        <v>3331</v>
      </c>
      <c r="F181" s="212" t="s">
        <v>3331</v>
      </c>
      <c r="G181" s="212" t="s">
        <v>3331</v>
      </c>
      <c r="H181" s="188"/>
      <c r="I181" s="188"/>
      <c r="J181" s="213">
        <v>1.590039392E9</v>
      </c>
      <c r="K181" s="213">
        <v>1.590039392E9</v>
      </c>
      <c r="L181" s="220">
        <v>1.03515408311E11</v>
      </c>
      <c r="M181" s="77"/>
      <c r="N181" s="77"/>
      <c r="O181" s="78" t="s">
        <v>2659</v>
      </c>
      <c r="P181" s="211" t="s">
        <v>2661</v>
      </c>
      <c r="Q181" s="214" t="s">
        <v>3335</v>
      </c>
      <c r="R181" s="77" t="s">
        <v>3332</v>
      </c>
      <c r="S181" s="77"/>
      <c r="T181" s="211" t="s">
        <v>286</v>
      </c>
      <c r="U181" s="211" t="s">
        <v>2860</v>
      </c>
      <c r="V181" s="77"/>
      <c r="W181" s="77"/>
      <c r="X181" s="77"/>
      <c r="Y181" s="77"/>
      <c r="Z181" s="216">
        <v>3.30499E9</v>
      </c>
      <c r="AA181" s="77" t="s">
        <v>6568</v>
      </c>
      <c r="AB181" s="77"/>
      <c r="AC181" s="77" t="str">
        <f t="shared" si="4"/>
        <v>#N/A</v>
      </c>
      <c r="AD181" s="218">
        <v>4.0</v>
      </c>
      <c r="AE181" s="216">
        <v>4.0</v>
      </c>
      <c r="AF181" s="218">
        <v>4.0</v>
      </c>
      <c r="AG181" s="216">
        <v>12.0</v>
      </c>
      <c r="AH181" s="77"/>
      <c r="AI181" s="216">
        <v>0.052</v>
      </c>
      <c r="AJ181" s="77"/>
      <c r="AK181" s="77"/>
      <c r="AL181" s="77"/>
      <c r="AM181" s="77"/>
      <c r="AN181" s="77"/>
      <c r="AO181" s="77"/>
      <c r="AP181" s="77"/>
      <c r="AQ181" s="77"/>
      <c r="AR181" s="77"/>
      <c r="AS181" s="77"/>
      <c r="AT181" s="77"/>
      <c r="AU181" s="77"/>
      <c r="AV181" s="77"/>
      <c r="AW181" s="77"/>
      <c r="AX181" s="77"/>
      <c r="AY181" s="77"/>
      <c r="AZ181" s="77"/>
      <c r="BA181" s="77"/>
      <c r="BB181" s="77"/>
      <c r="BC181" s="77"/>
      <c r="BD181" s="77"/>
      <c r="BE181" s="77"/>
    </row>
    <row r="182">
      <c r="A182" s="77" t="s">
        <v>2858</v>
      </c>
      <c r="B182" s="77" t="s">
        <v>2858</v>
      </c>
      <c r="C182" s="77" t="s">
        <v>2861</v>
      </c>
      <c r="D182" s="211" t="s">
        <v>2858</v>
      </c>
      <c r="E182" s="212" t="s">
        <v>2858</v>
      </c>
      <c r="F182" s="212" t="s">
        <v>2858</v>
      </c>
      <c r="G182" s="212" t="s">
        <v>2858</v>
      </c>
      <c r="H182" s="188"/>
      <c r="I182" s="188"/>
      <c r="J182" s="213">
        <v>1.691245886E9</v>
      </c>
      <c r="K182" s="213">
        <v>1.691245886E9</v>
      </c>
      <c r="L182" s="220">
        <v>1.03515410999E11</v>
      </c>
      <c r="M182" s="77"/>
      <c r="N182" s="77"/>
      <c r="O182" s="78" t="s">
        <v>2659</v>
      </c>
      <c r="P182" s="211" t="s">
        <v>2661</v>
      </c>
      <c r="Q182" s="214" t="s">
        <v>2863</v>
      </c>
      <c r="R182" s="77" t="s">
        <v>2859</v>
      </c>
      <c r="S182" s="77"/>
      <c r="T182" s="211" t="s">
        <v>286</v>
      </c>
      <c r="U182" s="211" t="s">
        <v>2860</v>
      </c>
      <c r="V182" s="77"/>
      <c r="W182" s="77"/>
      <c r="X182" s="77"/>
      <c r="Y182" s="77"/>
      <c r="Z182" s="216">
        <v>3.30499E9</v>
      </c>
      <c r="AA182" s="77" t="s">
        <v>6568</v>
      </c>
      <c r="AB182" s="77"/>
      <c r="AC182" s="77" t="str">
        <f t="shared" si="4"/>
        <v>#N/A</v>
      </c>
      <c r="AD182" s="218">
        <v>11.0</v>
      </c>
      <c r="AE182" s="216">
        <v>3.0</v>
      </c>
      <c r="AF182" s="218">
        <v>11.0</v>
      </c>
      <c r="AG182" s="216">
        <v>4.0</v>
      </c>
      <c r="AH182" s="77"/>
      <c r="AI182" s="216">
        <v>0.026</v>
      </c>
      <c r="AJ182" s="77"/>
      <c r="AK182" s="77"/>
      <c r="AL182" s="77"/>
      <c r="AM182" s="77"/>
      <c r="AN182" s="77"/>
      <c r="AO182" s="77"/>
      <c r="AP182" s="77"/>
      <c r="AQ182" s="77"/>
      <c r="AR182" s="77"/>
      <c r="AS182" s="77"/>
      <c r="AT182" s="77"/>
      <c r="AU182" s="77"/>
      <c r="AV182" s="77"/>
      <c r="AW182" s="77"/>
      <c r="AX182" s="77"/>
      <c r="AY182" s="77"/>
      <c r="AZ182" s="77"/>
      <c r="BA182" s="77"/>
      <c r="BB182" s="77"/>
      <c r="BC182" s="77"/>
      <c r="BD182" s="77"/>
      <c r="BE182" s="77"/>
    </row>
    <row r="183">
      <c r="A183" s="77" t="s">
        <v>2858</v>
      </c>
      <c r="B183" s="77" t="s">
        <v>2858</v>
      </c>
      <c r="C183" s="77" t="s">
        <v>5685</v>
      </c>
      <c r="D183" s="211" t="s">
        <v>2858</v>
      </c>
      <c r="E183" s="212" t="s">
        <v>2858</v>
      </c>
      <c r="F183" s="212" t="s">
        <v>2858</v>
      </c>
      <c r="G183" s="212" t="s">
        <v>2858</v>
      </c>
      <c r="H183" s="188"/>
      <c r="I183" s="188"/>
      <c r="J183" s="213">
        <v>2.202472605E9</v>
      </c>
      <c r="K183" s="213">
        <v>1.691245886E9</v>
      </c>
      <c r="L183" s="220">
        <v>1.03515410999E11</v>
      </c>
      <c r="M183" s="77"/>
      <c r="N183" s="77"/>
      <c r="O183" s="78" t="s">
        <v>2659</v>
      </c>
      <c r="P183" s="211" t="s">
        <v>2661</v>
      </c>
      <c r="Q183" s="214" t="s">
        <v>2863</v>
      </c>
      <c r="R183" s="77" t="s">
        <v>2859</v>
      </c>
      <c r="S183" s="77"/>
      <c r="T183" s="211" t="s">
        <v>286</v>
      </c>
      <c r="U183" s="211" t="s">
        <v>2860</v>
      </c>
      <c r="V183" s="77"/>
      <c r="W183" s="77"/>
      <c r="X183" s="77"/>
      <c r="Y183" s="77"/>
      <c r="Z183" s="216">
        <v>3.30499E9</v>
      </c>
      <c r="AA183" s="77" t="s">
        <v>6568</v>
      </c>
      <c r="AB183" s="77"/>
      <c r="AC183" s="77" t="str">
        <f t="shared" si="4"/>
        <v>#N/A</v>
      </c>
      <c r="AD183" s="218">
        <v>11.0</v>
      </c>
      <c r="AE183" s="216">
        <v>3.0</v>
      </c>
      <c r="AF183" s="218">
        <v>11.0</v>
      </c>
      <c r="AG183" s="216">
        <v>4.0</v>
      </c>
      <c r="AH183" s="77"/>
      <c r="AI183" s="216">
        <v>0.026</v>
      </c>
      <c r="AJ183" s="77"/>
      <c r="AK183" s="77"/>
      <c r="AL183" s="77"/>
      <c r="AM183" s="77"/>
      <c r="AN183" s="77"/>
      <c r="AO183" s="77"/>
      <c r="AP183" s="77"/>
      <c r="AQ183" s="77"/>
      <c r="AR183" s="77"/>
      <c r="AS183" s="77"/>
      <c r="AT183" s="77"/>
      <c r="AU183" s="77"/>
      <c r="AV183" s="77"/>
      <c r="AW183" s="77"/>
      <c r="AX183" s="77"/>
      <c r="AY183" s="77"/>
      <c r="AZ183" s="77"/>
      <c r="BA183" s="77"/>
      <c r="BB183" s="77"/>
      <c r="BC183" s="77"/>
      <c r="BD183" s="77"/>
      <c r="BE183" s="77"/>
    </row>
    <row r="184">
      <c r="A184" s="77" t="s">
        <v>4235</v>
      </c>
      <c r="B184" s="77" t="s">
        <v>4235</v>
      </c>
      <c r="C184" s="77" t="s">
        <v>4059</v>
      </c>
      <c r="D184" s="211" t="s">
        <v>4235</v>
      </c>
      <c r="E184" s="212" t="s">
        <v>4235</v>
      </c>
      <c r="F184" s="212" t="s">
        <v>4235</v>
      </c>
      <c r="G184" s="212" t="s">
        <v>4235</v>
      </c>
      <c r="H184" s="188"/>
      <c r="I184" s="188"/>
      <c r="J184" s="213">
        <v>2.825114763E9</v>
      </c>
      <c r="K184" s="213">
        <v>2.825114763E9</v>
      </c>
      <c r="L184" s="220">
        <v>4.640678615E9</v>
      </c>
      <c r="M184" s="77"/>
      <c r="N184" s="77"/>
      <c r="O184" s="78" t="s">
        <v>2659</v>
      </c>
      <c r="P184" s="211" t="s">
        <v>2661</v>
      </c>
      <c r="Q184" s="214" t="s">
        <v>4061</v>
      </c>
      <c r="R184" s="77" t="s">
        <v>4236</v>
      </c>
      <c r="S184" s="77"/>
      <c r="T184" s="211" t="s">
        <v>286</v>
      </c>
      <c r="U184" s="211" t="s">
        <v>2860</v>
      </c>
      <c r="V184" s="77"/>
      <c r="W184" s="77"/>
      <c r="X184" s="77"/>
      <c r="Y184" s="77"/>
      <c r="Z184" s="216">
        <v>3.30499E9</v>
      </c>
      <c r="AA184" s="77" t="s">
        <v>6568</v>
      </c>
      <c r="AB184" s="77"/>
      <c r="AC184" s="77" t="str">
        <f t="shared" si="4"/>
        <v>#N/A</v>
      </c>
      <c r="AD184" s="218">
        <v>9.0</v>
      </c>
      <c r="AE184" s="216">
        <v>13.0</v>
      </c>
      <c r="AF184" s="218">
        <v>9.0</v>
      </c>
      <c r="AG184" s="216">
        <v>4.0</v>
      </c>
      <c r="AH184" s="77"/>
      <c r="AI184" s="216">
        <v>0.076</v>
      </c>
      <c r="AJ184" s="77"/>
      <c r="AK184" s="77"/>
      <c r="AL184" s="77"/>
      <c r="AM184" s="77"/>
      <c r="AN184" s="77"/>
      <c r="AO184" s="77"/>
      <c r="AP184" s="77"/>
      <c r="AQ184" s="77"/>
      <c r="AR184" s="77"/>
      <c r="AS184" s="77"/>
      <c r="AT184" s="77"/>
      <c r="AU184" s="77"/>
      <c r="AV184" s="77"/>
      <c r="AW184" s="77"/>
      <c r="AX184" s="77"/>
      <c r="AY184" s="77"/>
      <c r="AZ184" s="77"/>
      <c r="BA184" s="77"/>
      <c r="BB184" s="77"/>
      <c r="BC184" s="77"/>
      <c r="BD184" s="77"/>
      <c r="BE184" s="77"/>
    </row>
    <row r="185">
      <c r="A185" s="77" t="s">
        <v>5055</v>
      </c>
      <c r="B185" s="77" t="s">
        <v>5055</v>
      </c>
      <c r="C185" s="77" t="s">
        <v>5057</v>
      </c>
      <c r="D185" s="211" t="s">
        <v>5055</v>
      </c>
      <c r="E185" s="212" t="s">
        <v>5055</v>
      </c>
      <c r="F185" s="212" t="s">
        <v>5055</v>
      </c>
      <c r="G185" s="212" t="s">
        <v>5055</v>
      </c>
      <c r="H185" s="188"/>
      <c r="I185" s="188"/>
      <c r="J185" s="213">
        <v>6.36852972E8</v>
      </c>
      <c r="K185" s="213">
        <v>6.36852972E8</v>
      </c>
      <c r="L185" s="220">
        <v>1.01806792616E11</v>
      </c>
      <c r="M185" s="77"/>
      <c r="N185" s="77"/>
      <c r="O185" s="78" t="s">
        <v>2659</v>
      </c>
      <c r="P185" s="211" t="s">
        <v>2661</v>
      </c>
      <c r="Q185" s="214" t="s">
        <v>5058</v>
      </c>
      <c r="R185" s="77" t="s">
        <v>5056</v>
      </c>
      <c r="S185" s="77"/>
      <c r="T185" s="211" t="s">
        <v>6539</v>
      </c>
      <c r="U185" s="211" t="s">
        <v>4045</v>
      </c>
      <c r="V185" s="77"/>
      <c r="W185" s="77"/>
      <c r="X185" s="77"/>
      <c r="Y185" s="77"/>
      <c r="Z185" s="216">
        <v>2106.0</v>
      </c>
      <c r="AA185" s="77" t="s">
        <v>6566</v>
      </c>
      <c r="AB185" s="77"/>
      <c r="AC185" s="77" t="str">
        <f t="shared" si="4"/>
        <v>#N/A</v>
      </c>
      <c r="AD185" s="218">
        <v>10.0</v>
      </c>
      <c r="AE185" s="216">
        <v>13.0</v>
      </c>
      <c r="AF185" s="218">
        <v>10.0</v>
      </c>
      <c r="AG185" s="216">
        <v>9.0</v>
      </c>
      <c r="AH185" s="77"/>
      <c r="AI185" s="216">
        <v>0.04</v>
      </c>
      <c r="AJ185" s="77"/>
      <c r="AK185" s="77"/>
      <c r="AL185" s="77"/>
      <c r="AM185" s="77"/>
      <c r="AN185" s="77"/>
      <c r="AO185" s="77"/>
      <c r="AP185" s="77"/>
      <c r="AQ185" s="77"/>
      <c r="AR185" s="77"/>
      <c r="AS185" s="77"/>
      <c r="AT185" s="77"/>
      <c r="AU185" s="77"/>
      <c r="AV185" s="77"/>
      <c r="AW185" s="77"/>
      <c r="AX185" s="77"/>
      <c r="AY185" s="77"/>
      <c r="AZ185" s="77"/>
      <c r="BA185" s="77"/>
      <c r="BB185" s="77"/>
      <c r="BC185" s="77"/>
      <c r="BD185" s="77"/>
      <c r="BE185" s="77"/>
    </row>
    <row r="186">
      <c r="A186" s="77" t="s">
        <v>4875</v>
      </c>
      <c r="B186" s="77" t="s">
        <v>4875</v>
      </c>
      <c r="C186" s="77" t="s">
        <v>4877</v>
      </c>
      <c r="D186" s="211" t="s">
        <v>4875</v>
      </c>
      <c r="E186" s="212" t="s">
        <v>4875</v>
      </c>
      <c r="F186" s="212" t="s">
        <v>4875</v>
      </c>
      <c r="G186" s="212" t="s">
        <v>4875</v>
      </c>
      <c r="H186" s="188"/>
      <c r="I186" s="188"/>
      <c r="J186" s="213">
        <v>6.69985038E8</v>
      </c>
      <c r="K186" s="213">
        <v>6.69985038E8</v>
      </c>
      <c r="L186" s="220">
        <v>1.01806805904E11</v>
      </c>
      <c r="M186" s="77"/>
      <c r="N186" s="77"/>
      <c r="O186" s="78" t="s">
        <v>2659</v>
      </c>
      <c r="P186" s="211" t="s">
        <v>2661</v>
      </c>
      <c r="Q186" s="214" t="s">
        <v>4879</v>
      </c>
      <c r="R186" s="77" t="s">
        <v>4876</v>
      </c>
      <c r="S186" s="77"/>
      <c r="T186" s="211" t="s">
        <v>6539</v>
      </c>
      <c r="U186" s="211" t="s">
        <v>4045</v>
      </c>
      <c r="V186" s="77"/>
      <c r="W186" s="77"/>
      <c r="X186" s="77"/>
      <c r="Y186" s="77"/>
      <c r="Z186" s="216">
        <v>2.106909808E9</v>
      </c>
      <c r="AA186" s="77" t="s">
        <v>6566</v>
      </c>
      <c r="AB186" s="77"/>
      <c r="AC186" s="77" t="str">
        <f t="shared" si="4"/>
        <v>#N/A</v>
      </c>
      <c r="AD186" s="218">
        <v>8.0</v>
      </c>
      <c r="AE186" s="216">
        <v>2.0</v>
      </c>
      <c r="AF186" s="218">
        <v>8.0</v>
      </c>
      <c r="AG186" s="216">
        <v>6.0</v>
      </c>
      <c r="AH186" s="77"/>
      <c r="AI186" s="216">
        <v>0.098</v>
      </c>
      <c r="AJ186" s="77"/>
      <c r="AK186" s="77"/>
      <c r="AL186" s="77"/>
      <c r="AM186" s="77"/>
      <c r="AN186" s="77"/>
      <c r="AO186" s="77"/>
      <c r="AP186" s="77"/>
      <c r="AQ186" s="77"/>
      <c r="AR186" s="77"/>
      <c r="AS186" s="77"/>
      <c r="AT186" s="77"/>
      <c r="AU186" s="77"/>
      <c r="AV186" s="77"/>
      <c r="AW186" s="77"/>
      <c r="AX186" s="77"/>
      <c r="AY186" s="77"/>
      <c r="AZ186" s="77"/>
      <c r="BA186" s="77"/>
      <c r="BB186" s="77"/>
      <c r="BC186" s="77"/>
      <c r="BD186" s="77"/>
      <c r="BE186" s="77"/>
    </row>
    <row r="187">
      <c r="A187" s="77" t="s">
        <v>4630</v>
      </c>
      <c r="B187" s="77" t="s">
        <v>4630</v>
      </c>
      <c r="C187" s="77" t="s">
        <v>4632</v>
      </c>
      <c r="D187" s="211" t="s">
        <v>4630</v>
      </c>
      <c r="E187" s="212" t="s">
        <v>4630</v>
      </c>
      <c r="F187" s="212" t="s">
        <v>4630</v>
      </c>
      <c r="G187" s="188"/>
      <c r="H187" s="188"/>
      <c r="I187" s="188"/>
      <c r="J187" s="213">
        <v>1.154571921E9</v>
      </c>
      <c r="K187" s="213">
        <v>1.154571921E9</v>
      </c>
      <c r="L187" s="77"/>
      <c r="M187" s="77"/>
      <c r="N187" s="77"/>
      <c r="O187" s="78" t="s">
        <v>2659</v>
      </c>
      <c r="P187" s="211" t="s">
        <v>2661</v>
      </c>
      <c r="Q187" s="214" t="s">
        <v>4634</v>
      </c>
      <c r="R187" s="77" t="s">
        <v>4631</v>
      </c>
      <c r="S187" s="77"/>
      <c r="T187" s="211" t="s">
        <v>6539</v>
      </c>
      <c r="U187" s="211" t="s">
        <v>4045</v>
      </c>
      <c r="V187" s="77"/>
      <c r="W187" s="77"/>
      <c r="X187" s="77"/>
      <c r="Y187" s="77"/>
      <c r="Z187" s="216">
        <v>2106.0</v>
      </c>
      <c r="AA187" s="77" t="s">
        <v>6566</v>
      </c>
      <c r="AB187" s="77"/>
      <c r="AC187" s="77" t="str">
        <f t="shared" si="4"/>
        <v>#N/A</v>
      </c>
      <c r="AD187" s="218">
        <v>21.0</v>
      </c>
      <c r="AE187" s="216">
        <v>6.0</v>
      </c>
      <c r="AF187" s="218">
        <v>21.0</v>
      </c>
      <c r="AG187" s="216">
        <v>14.0</v>
      </c>
      <c r="AH187" s="77"/>
      <c r="AI187" s="216">
        <v>0.138</v>
      </c>
      <c r="AJ187" s="77"/>
      <c r="AK187" s="77"/>
      <c r="AL187" s="77"/>
      <c r="AM187" s="77"/>
      <c r="AN187" s="77"/>
      <c r="AO187" s="77"/>
      <c r="AP187" s="77"/>
      <c r="AQ187" s="77"/>
      <c r="AR187" s="77"/>
      <c r="AS187" s="77"/>
      <c r="AT187" s="77"/>
      <c r="AU187" s="77"/>
      <c r="AV187" s="77"/>
      <c r="AW187" s="77"/>
      <c r="AX187" s="77"/>
      <c r="AY187" s="77"/>
      <c r="AZ187" s="77"/>
      <c r="BA187" s="77"/>
      <c r="BB187" s="77"/>
      <c r="BC187" s="77"/>
      <c r="BD187" s="77"/>
      <c r="BE187" s="77"/>
    </row>
    <row r="188">
      <c r="A188" s="77" t="s">
        <v>4043</v>
      </c>
      <c r="B188" s="77" t="s">
        <v>4043</v>
      </c>
      <c r="C188" s="77" t="s">
        <v>4046</v>
      </c>
      <c r="D188" s="211" t="s">
        <v>4043</v>
      </c>
      <c r="E188" s="212" t="s">
        <v>4043</v>
      </c>
      <c r="F188" s="212" t="s">
        <v>4043</v>
      </c>
      <c r="G188" s="212" t="s">
        <v>4043</v>
      </c>
      <c r="H188" s="188"/>
      <c r="I188" s="188"/>
      <c r="J188" s="213">
        <v>1.528840163E9</v>
      </c>
      <c r="K188" s="213">
        <v>1.528840163E9</v>
      </c>
      <c r="L188" s="220">
        <v>1.035154256E11</v>
      </c>
      <c r="M188" s="77"/>
      <c r="N188" s="77"/>
      <c r="O188" s="78" t="s">
        <v>2659</v>
      </c>
      <c r="P188" s="211" t="s">
        <v>2661</v>
      </c>
      <c r="Q188" s="214" t="s">
        <v>4048</v>
      </c>
      <c r="R188" s="77" t="s">
        <v>4044</v>
      </c>
      <c r="S188" s="77"/>
      <c r="T188" s="211" t="s">
        <v>6539</v>
      </c>
      <c r="U188" s="211" t="s">
        <v>4045</v>
      </c>
      <c r="V188" s="77"/>
      <c r="W188" s="77"/>
      <c r="X188" s="77"/>
      <c r="Y188" s="77"/>
      <c r="Z188" s="216">
        <v>2106.0</v>
      </c>
      <c r="AA188" s="77" t="s">
        <v>6566</v>
      </c>
      <c r="AB188" s="77"/>
      <c r="AC188" s="77" t="str">
        <f t="shared" si="4"/>
        <v>#N/A</v>
      </c>
      <c r="AD188" s="218">
        <v>8.0</v>
      </c>
      <c r="AE188" s="216">
        <v>2.0</v>
      </c>
      <c r="AF188" s="218">
        <v>8.0</v>
      </c>
      <c r="AG188" s="216">
        <v>6.0</v>
      </c>
      <c r="AH188" s="77"/>
      <c r="AI188" s="216">
        <v>0.023</v>
      </c>
      <c r="AJ188" s="77"/>
      <c r="AK188" s="77"/>
      <c r="AL188" s="77"/>
      <c r="AM188" s="77"/>
      <c r="AN188" s="77"/>
      <c r="AO188" s="77"/>
      <c r="AP188" s="77"/>
      <c r="AQ188" s="77"/>
      <c r="AR188" s="77"/>
      <c r="AS188" s="77"/>
      <c r="AT188" s="77"/>
      <c r="AU188" s="77"/>
      <c r="AV188" s="77"/>
      <c r="AW188" s="77"/>
      <c r="AX188" s="77"/>
      <c r="AY188" s="77"/>
      <c r="AZ188" s="77"/>
      <c r="BA188" s="77"/>
      <c r="BB188" s="77"/>
      <c r="BC188" s="77"/>
      <c r="BD188" s="77"/>
      <c r="BE188" s="77"/>
    </row>
    <row r="189">
      <c r="A189" s="77" t="s">
        <v>4780</v>
      </c>
      <c r="B189" s="77" t="s">
        <v>4780</v>
      </c>
      <c r="C189" s="77" t="s">
        <v>4782</v>
      </c>
      <c r="D189" s="211" t="s">
        <v>4780</v>
      </c>
      <c r="E189" s="212" t="s">
        <v>4780</v>
      </c>
      <c r="F189" s="212" t="s">
        <v>4780</v>
      </c>
      <c r="G189" s="212" t="s">
        <v>4780</v>
      </c>
      <c r="H189" s="188"/>
      <c r="I189" s="188"/>
      <c r="J189" s="213">
        <v>2.96790094E8</v>
      </c>
      <c r="K189" s="213">
        <v>2.96790094E8</v>
      </c>
      <c r="L189" s="220">
        <v>1.01740440649E11</v>
      </c>
      <c r="M189" s="77"/>
      <c r="N189" s="77"/>
      <c r="O189" s="78" t="s">
        <v>2659</v>
      </c>
      <c r="P189" s="211" t="s">
        <v>2661</v>
      </c>
      <c r="Q189" s="214" t="s">
        <v>4784</v>
      </c>
      <c r="R189" s="77" t="s">
        <v>4781</v>
      </c>
      <c r="S189" s="77"/>
      <c r="T189" s="211" t="s">
        <v>6539</v>
      </c>
      <c r="U189" s="211" t="s">
        <v>2766</v>
      </c>
      <c r="V189" s="77"/>
      <c r="W189" s="77"/>
      <c r="X189" s="77"/>
      <c r="Y189" s="77"/>
      <c r="Z189" s="216">
        <v>2.103909009E9</v>
      </c>
      <c r="AA189" s="77" t="s">
        <v>6566</v>
      </c>
      <c r="AB189" s="77"/>
      <c r="AC189" s="77" t="str">
        <f t="shared" si="4"/>
        <v>#N/A</v>
      </c>
      <c r="AD189" s="218">
        <v>10.0</v>
      </c>
      <c r="AE189" s="216">
        <v>4.0</v>
      </c>
      <c r="AF189" s="218">
        <v>10.0</v>
      </c>
      <c r="AG189" s="216">
        <v>4.0</v>
      </c>
      <c r="AH189" s="77"/>
      <c r="AI189" s="216">
        <v>0.069</v>
      </c>
      <c r="AJ189" s="77"/>
      <c r="AK189" s="77"/>
      <c r="AL189" s="77"/>
      <c r="AM189" s="77"/>
      <c r="AN189" s="77"/>
      <c r="AO189" s="77"/>
      <c r="AP189" s="77"/>
      <c r="AQ189" s="77"/>
      <c r="AR189" s="77"/>
      <c r="AS189" s="77"/>
      <c r="AT189" s="77"/>
      <c r="AU189" s="77"/>
      <c r="AV189" s="77"/>
      <c r="AW189" s="77"/>
      <c r="AX189" s="77"/>
      <c r="AY189" s="77"/>
      <c r="AZ189" s="77"/>
      <c r="BA189" s="77"/>
      <c r="BB189" s="77"/>
      <c r="BC189" s="77"/>
      <c r="BD189" s="77"/>
      <c r="BE189" s="77"/>
    </row>
    <row r="190">
      <c r="A190" s="77" t="s">
        <v>2764</v>
      </c>
      <c r="B190" s="77" t="s">
        <v>2764</v>
      </c>
      <c r="C190" s="77" t="s">
        <v>2767</v>
      </c>
      <c r="D190" s="211" t="s">
        <v>2764</v>
      </c>
      <c r="E190" s="212" t="s">
        <v>2764</v>
      </c>
      <c r="F190" s="212" t="s">
        <v>2764</v>
      </c>
      <c r="G190" s="212" t="s">
        <v>2764</v>
      </c>
      <c r="H190" s="188"/>
      <c r="I190" s="188"/>
      <c r="J190" s="213">
        <v>7.51246155E8</v>
      </c>
      <c r="K190" s="213">
        <v>7.51246155E8</v>
      </c>
      <c r="L190" s="220">
        <v>1.03340898158E11</v>
      </c>
      <c r="M190" s="77"/>
      <c r="N190" s="77"/>
      <c r="O190" s="78" t="s">
        <v>2659</v>
      </c>
      <c r="P190" s="211" t="s">
        <v>2661</v>
      </c>
      <c r="Q190" s="214" t="s">
        <v>2769</v>
      </c>
      <c r="R190" s="77" t="s">
        <v>2765</v>
      </c>
      <c r="S190" s="77"/>
      <c r="T190" s="211" t="s">
        <v>6539</v>
      </c>
      <c r="U190" s="211" t="s">
        <v>2766</v>
      </c>
      <c r="V190" s="77"/>
      <c r="W190" s="77"/>
      <c r="X190" s="77"/>
      <c r="Y190" s="77"/>
      <c r="Z190" s="216">
        <v>2.103909009E9</v>
      </c>
      <c r="AA190" s="77" t="s">
        <v>6566</v>
      </c>
      <c r="AB190" s="77"/>
      <c r="AC190" s="77" t="str">
        <f t="shared" si="4"/>
        <v>#N/A</v>
      </c>
      <c r="AD190" s="218">
        <v>10.0</v>
      </c>
      <c r="AE190" s="216">
        <v>7.0</v>
      </c>
      <c r="AF190" s="218">
        <v>10.0</v>
      </c>
      <c r="AG190" s="216">
        <v>7.0</v>
      </c>
      <c r="AH190" s="77"/>
      <c r="AI190" s="216">
        <v>0.08</v>
      </c>
      <c r="AJ190" s="77"/>
      <c r="AK190" s="77"/>
      <c r="AL190" s="77"/>
      <c r="AM190" s="77"/>
      <c r="AN190" s="77"/>
      <c r="AO190" s="77"/>
      <c r="AP190" s="77"/>
      <c r="AQ190" s="77"/>
      <c r="AR190" s="77"/>
      <c r="AS190" s="77"/>
      <c r="AT190" s="77"/>
      <c r="AU190" s="77"/>
      <c r="AV190" s="77"/>
      <c r="AW190" s="77"/>
      <c r="AX190" s="77"/>
      <c r="AY190" s="77"/>
      <c r="AZ190" s="77"/>
      <c r="BA190" s="77"/>
      <c r="BB190" s="77"/>
      <c r="BC190" s="77"/>
      <c r="BD190" s="77"/>
      <c r="BE190" s="77"/>
    </row>
    <row r="191">
      <c r="A191" s="77" t="s">
        <v>4804</v>
      </c>
      <c r="B191" s="77" t="s">
        <v>4804</v>
      </c>
      <c r="C191" s="77" t="s">
        <v>4806</v>
      </c>
      <c r="D191" s="211" t="s">
        <v>4804</v>
      </c>
      <c r="E191" s="212" t="s">
        <v>4804</v>
      </c>
      <c r="F191" s="212" t="s">
        <v>4804</v>
      </c>
      <c r="G191" s="212" t="s">
        <v>4804</v>
      </c>
      <c r="H191" s="188"/>
      <c r="I191" s="188"/>
      <c r="J191" s="213">
        <v>1.590064366E9</v>
      </c>
      <c r="K191" s="213">
        <v>1.590064366E9</v>
      </c>
      <c r="L191" s="220">
        <v>1.03515407115E11</v>
      </c>
      <c r="M191" s="77"/>
      <c r="N191" s="77"/>
      <c r="O191" s="78" t="s">
        <v>2659</v>
      </c>
      <c r="P191" s="211" t="s">
        <v>2661</v>
      </c>
      <c r="Q191" s="214" t="s">
        <v>4808</v>
      </c>
      <c r="R191" s="77" t="s">
        <v>4805</v>
      </c>
      <c r="S191" s="77"/>
      <c r="T191" s="211" t="s">
        <v>6539</v>
      </c>
      <c r="U191" s="211" t="s">
        <v>2766</v>
      </c>
      <c r="V191" s="77"/>
      <c r="W191" s="77"/>
      <c r="X191" s="77"/>
      <c r="Y191" s="77"/>
      <c r="Z191" s="216">
        <v>2.103909009E9</v>
      </c>
      <c r="AA191" s="77" t="s">
        <v>6566</v>
      </c>
      <c r="AB191" s="77"/>
      <c r="AC191" s="77" t="str">
        <f t="shared" si="4"/>
        <v>#N/A</v>
      </c>
      <c r="AD191" s="218">
        <v>3.0</v>
      </c>
      <c r="AE191" s="216">
        <v>3.0</v>
      </c>
      <c r="AF191" s="218">
        <v>3.0</v>
      </c>
      <c r="AG191" s="216">
        <v>8.0</v>
      </c>
      <c r="AH191" s="77"/>
      <c r="AI191" s="216">
        <v>0.046</v>
      </c>
      <c r="AJ191" s="77"/>
      <c r="AK191" s="77"/>
      <c r="AL191" s="77"/>
      <c r="AM191" s="77"/>
      <c r="AN191" s="77"/>
      <c r="AO191" s="77"/>
      <c r="AP191" s="77"/>
      <c r="AQ191" s="77"/>
      <c r="AR191" s="77"/>
      <c r="AS191" s="77"/>
      <c r="AT191" s="77"/>
      <c r="AU191" s="77"/>
      <c r="AV191" s="77"/>
      <c r="AW191" s="77"/>
      <c r="AX191" s="77"/>
      <c r="AY191" s="77"/>
      <c r="AZ191" s="77"/>
      <c r="BA191" s="77"/>
      <c r="BB191" s="77"/>
      <c r="BC191" s="77"/>
      <c r="BD191" s="77"/>
      <c r="BE191" s="77"/>
    </row>
    <row r="192">
      <c r="A192" s="77" t="s">
        <v>3552</v>
      </c>
      <c r="B192" s="77" t="s">
        <v>3552</v>
      </c>
      <c r="C192" s="77" t="s">
        <v>3554</v>
      </c>
      <c r="D192" s="211" t="s">
        <v>3552</v>
      </c>
      <c r="E192" s="212" t="s">
        <v>3552</v>
      </c>
      <c r="F192" s="212" t="s">
        <v>3552</v>
      </c>
      <c r="G192" s="212" t="s">
        <v>3552</v>
      </c>
      <c r="H192" s="188"/>
      <c r="I192" s="188"/>
      <c r="J192" s="213">
        <v>2.825101652E9</v>
      </c>
      <c r="K192" s="213">
        <v>2.825101652E9</v>
      </c>
      <c r="L192" s="220">
        <v>4.640680679E9</v>
      </c>
      <c r="M192" s="77"/>
      <c r="N192" s="77"/>
      <c r="O192" s="78" t="s">
        <v>2659</v>
      </c>
      <c r="P192" s="211" t="s">
        <v>2661</v>
      </c>
      <c r="Q192" s="214" t="s">
        <v>3555</v>
      </c>
      <c r="R192" s="77" t="s">
        <v>3553</v>
      </c>
      <c r="S192" s="77"/>
      <c r="T192" s="211" t="s">
        <v>6539</v>
      </c>
      <c r="U192" s="211" t="s">
        <v>2766</v>
      </c>
      <c r="V192" s="77"/>
      <c r="W192" s="77"/>
      <c r="X192" s="77"/>
      <c r="Y192" s="77"/>
      <c r="Z192" s="216">
        <v>2.103909009E9</v>
      </c>
      <c r="AA192" s="77" t="s">
        <v>6566</v>
      </c>
      <c r="AB192" s="77"/>
      <c r="AC192" s="77" t="str">
        <f t="shared" si="4"/>
        <v>#N/A</v>
      </c>
      <c r="AD192" s="218">
        <v>16.0</v>
      </c>
      <c r="AE192" s="216">
        <v>11.0</v>
      </c>
      <c r="AF192" s="218">
        <v>16.0</v>
      </c>
      <c r="AG192" s="216">
        <v>6.0</v>
      </c>
      <c r="AH192" s="77"/>
      <c r="AI192" s="216">
        <v>0.213</v>
      </c>
      <c r="AJ192" s="77"/>
      <c r="AK192" s="77"/>
      <c r="AL192" s="77"/>
      <c r="AM192" s="77"/>
      <c r="AN192" s="77"/>
      <c r="AO192" s="77"/>
      <c r="AP192" s="77"/>
      <c r="AQ192" s="77"/>
      <c r="AR192" s="77"/>
      <c r="AS192" s="77"/>
      <c r="AT192" s="77"/>
      <c r="AU192" s="77"/>
      <c r="AV192" s="77"/>
      <c r="AW192" s="77"/>
      <c r="AX192" s="77"/>
      <c r="AY192" s="77"/>
      <c r="AZ192" s="77"/>
      <c r="BA192" s="77"/>
      <c r="BB192" s="77"/>
      <c r="BC192" s="77"/>
      <c r="BD192" s="77"/>
      <c r="BE192" s="77"/>
    </row>
    <row r="193">
      <c r="A193" s="77" t="s">
        <v>3777</v>
      </c>
      <c r="B193" s="77" t="s">
        <v>3777</v>
      </c>
      <c r="C193" s="77" t="s">
        <v>3779</v>
      </c>
      <c r="D193" s="211" t="s">
        <v>3777</v>
      </c>
      <c r="E193" s="212" t="s">
        <v>3777</v>
      </c>
      <c r="F193" s="212" t="s">
        <v>3777</v>
      </c>
      <c r="G193" s="212" t="s">
        <v>3777</v>
      </c>
      <c r="H193" s="188"/>
      <c r="I193" s="188"/>
      <c r="J193" s="213">
        <v>1.542004482E9</v>
      </c>
      <c r="K193" s="213">
        <v>1.542004482E9</v>
      </c>
      <c r="L193" s="220">
        <v>1.03515427201E11</v>
      </c>
      <c r="M193" s="77"/>
      <c r="N193" s="77"/>
      <c r="O193" s="78" t="s">
        <v>2659</v>
      </c>
      <c r="P193" s="211" t="s">
        <v>2661</v>
      </c>
      <c r="Q193" s="214" t="s">
        <v>3781</v>
      </c>
      <c r="R193" s="77" t="s">
        <v>3778</v>
      </c>
      <c r="S193" s="77"/>
      <c r="T193" s="211" t="s">
        <v>6539</v>
      </c>
      <c r="U193" s="211" t="s">
        <v>641</v>
      </c>
      <c r="V193" s="77"/>
      <c r="W193" s="77"/>
      <c r="X193" s="77"/>
      <c r="Y193" s="77"/>
      <c r="Z193" s="216">
        <v>2.106909809E9</v>
      </c>
      <c r="AA193" s="77" t="s">
        <v>6566</v>
      </c>
      <c r="AB193" s="77"/>
      <c r="AC193" s="77" t="str">
        <f t="shared" si="4"/>
        <v>#N/A</v>
      </c>
      <c r="AD193" s="218">
        <v>7.0</v>
      </c>
      <c r="AE193" s="216">
        <v>3.0</v>
      </c>
      <c r="AF193" s="218">
        <v>7.0</v>
      </c>
      <c r="AG193" s="216">
        <v>8.0</v>
      </c>
      <c r="AH193" s="77"/>
      <c r="AI193" s="216">
        <v>0.022</v>
      </c>
      <c r="AJ193" s="77"/>
      <c r="AK193" s="77"/>
      <c r="AL193" s="77"/>
      <c r="AM193" s="77"/>
      <c r="AN193" s="77"/>
      <c r="AO193" s="77"/>
      <c r="AP193" s="77"/>
      <c r="AQ193" s="77"/>
      <c r="AR193" s="77"/>
      <c r="AS193" s="77"/>
      <c r="AT193" s="77"/>
      <c r="AU193" s="77"/>
      <c r="AV193" s="77"/>
      <c r="AW193" s="77"/>
      <c r="AX193" s="77"/>
      <c r="AY193" s="77"/>
      <c r="AZ193" s="77"/>
      <c r="BA193" s="77"/>
      <c r="BB193" s="77"/>
      <c r="BC193" s="77"/>
      <c r="BD193" s="77"/>
      <c r="BE193" s="77"/>
    </row>
    <row r="194">
      <c r="A194" s="77" t="s">
        <v>4930</v>
      </c>
      <c r="B194" s="77" t="s">
        <v>4930</v>
      </c>
      <c r="C194" s="77" t="s">
        <v>4932</v>
      </c>
      <c r="D194" s="211" t="s">
        <v>4930</v>
      </c>
      <c r="E194" s="212" t="s">
        <v>4930</v>
      </c>
      <c r="F194" s="212" t="s">
        <v>4930</v>
      </c>
      <c r="G194" s="212" t="s">
        <v>4930</v>
      </c>
      <c r="H194" s="188"/>
      <c r="I194" s="188"/>
      <c r="J194" s="213">
        <v>2.91860206E8</v>
      </c>
      <c r="K194" s="213">
        <v>2.91860206E8</v>
      </c>
      <c r="L194" s="220">
        <v>1.03515413326E11</v>
      </c>
      <c r="M194" s="77"/>
      <c r="N194" s="77"/>
      <c r="O194" s="78" t="s">
        <v>2659</v>
      </c>
      <c r="P194" s="211" t="s">
        <v>2661</v>
      </c>
      <c r="Q194" s="214" t="s">
        <v>4934</v>
      </c>
      <c r="R194" s="77" t="s">
        <v>4931</v>
      </c>
      <c r="S194" s="77"/>
      <c r="T194" s="211" t="s">
        <v>6539</v>
      </c>
      <c r="U194" s="211" t="s">
        <v>3697</v>
      </c>
      <c r="V194" s="77"/>
      <c r="W194" s="77"/>
      <c r="X194" s="77"/>
      <c r="Y194" s="77"/>
      <c r="Z194" s="216">
        <v>2.103909009E9</v>
      </c>
      <c r="AA194" s="77" t="s">
        <v>6566</v>
      </c>
      <c r="AB194" s="77"/>
      <c r="AC194" s="77" t="str">
        <f t="shared" si="4"/>
        <v>#N/A</v>
      </c>
      <c r="AD194" s="218">
        <v>12.0</v>
      </c>
      <c r="AE194" s="216">
        <v>1.0</v>
      </c>
      <c r="AF194" s="218">
        <v>12.0</v>
      </c>
      <c r="AG194" s="216">
        <v>8.0</v>
      </c>
      <c r="AH194" s="77"/>
      <c r="AI194" s="216">
        <v>0.034</v>
      </c>
      <c r="AJ194" s="77"/>
      <c r="AK194" s="77"/>
      <c r="AL194" s="77"/>
      <c r="AM194" s="77"/>
      <c r="AN194" s="77"/>
      <c r="AO194" s="77"/>
      <c r="AP194" s="77"/>
      <c r="AQ194" s="77"/>
      <c r="AR194" s="77"/>
      <c r="AS194" s="77"/>
      <c r="AT194" s="77"/>
      <c r="AU194" s="77"/>
      <c r="AV194" s="77"/>
      <c r="AW194" s="77"/>
      <c r="AX194" s="77"/>
      <c r="AY194" s="77"/>
      <c r="AZ194" s="77"/>
      <c r="BA194" s="77"/>
      <c r="BB194" s="77"/>
      <c r="BC194" s="77"/>
      <c r="BD194" s="77"/>
      <c r="BE194" s="77"/>
    </row>
    <row r="195">
      <c r="A195" s="77" t="s">
        <v>5031</v>
      </c>
      <c r="B195" s="77" t="s">
        <v>5031</v>
      </c>
      <c r="C195" s="77" t="s">
        <v>5033</v>
      </c>
      <c r="D195" s="211" t="s">
        <v>5031</v>
      </c>
      <c r="E195" s="212" t="s">
        <v>5031</v>
      </c>
      <c r="F195" s="212" t="s">
        <v>5031</v>
      </c>
      <c r="G195" s="212" t="s">
        <v>5031</v>
      </c>
      <c r="H195" s="188"/>
      <c r="I195" s="188"/>
      <c r="J195" s="213">
        <v>3.27231771E8</v>
      </c>
      <c r="K195" s="213">
        <v>3.27231771E8</v>
      </c>
      <c r="L195" s="220">
        <v>1.03515399347E11</v>
      </c>
      <c r="M195" s="77"/>
      <c r="N195" s="77"/>
      <c r="O195" s="78" t="s">
        <v>2659</v>
      </c>
      <c r="P195" s="211" t="s">
        <v>2661</v>
      </c>
      <c r="Q195" s="214" t="s">
        <v>5035</v>
      </c>
      <c r="R195" s="77" t="s">
        <v>5032</v>
      </c>
      <c r="S195" s="77"/>
      <c r="T195" s="211" t="s">
        <v>6539</v>
      </c>
      <c r="U195" s="211" t="s">
        <v>3697</v>
      </c>
      <c r="V195" s="77"/>
      <c r="W195" s="77"/>
      <c r="X195" s="77"/>
      <c r="Y195" s="77"/>
      <c r="Z195" s="216">
        <v>2.103909009E9</v>
      </c>
      <c r="AA195" s="77" t="s">
        <v>6566</v>
      </c>
      <c r="AB195" s="77"/>
      <c r="AC195" s="77" t="str">
        <f t="shared" si="4"/>
        <v>#N/A</v>
      </c>
      <c r="AD195" s="218">
        <v>3.0</v>
      </c>
      <c r="AE195" s="216">
        <v>7.0</v>
      </c>
      <c r="AF195" s="218">
        <v>3.0</v>
      </c>
      <c r="AG195" s="216">
        <v>3.0</v>
      </c>
      <c r="AH195" s="77"/>
      <c r="AI195" s="216">
        <v>0.042</v>
      </c>
      <c r="AJ195" s="77"/>
      <c r="AK195" s="77"/>
      <c r="AL195" s="77"/>
      <c r="AM195" s="77"/>
      <c r="AN195" s="77"/>
      <c r="AO195" s="77"/>
      <c r="AP195" s="77"/>
      <c r="AQ195" s="77"/>
      <c r="AR195" s="77"/>
      <c r="AS195" s="77"/>
      <c r="AT195" s="77"/>
      <c r="AU195" s="77"/>
      <c r="AV195" s="77"/>
      <c r="AW195" s="77"/>
      <c r="AX195" s="77"/>
      <c r="AY195" s="77"/>
      <c r="AZ195" s="77"/>
      <c r="BA195" s="77"/>
      <c r="BB195" s="77"/>
      <c r="BC195" s="77"/>
      <c r="BD195" s="77"/>
      <c r="BE195" s="77"/>
    </row>
    <row r="196">
      <c r="A196" s="77" t="s">
        <v>4956</v>
      </c>
      <c r="B196" s="77" t="s">
        <v>4956</v>
      </c>
      <c r="C196" s="77" t="s">
        <v>4958</v>
      </c>
      <c r="D196" s="211" t="s">
        <v>4956</v>
      </c>
      <c r="E196" s="212" t="s">
        <v>4956</v>
      </c>
      <c r="F196" s="212" t="s">
        <v>4956</v>
      </c>
      <c r="G196" s="212" t="s">
        <v>4956</v>
      </c>
      <c r="H196" s="188"/>
      <c r="I196" s="188"/>
      <c r="J196" s="213">
        <v>3.99457649E8</v>
      </c>
      <c r="K196" s="213">
        <v>3.99457649E8</v>
      </c>
      <c r="L196" s="220">
        <v>1.0325787057E11</v>
      </c>
      <c r="M196" s="77"/>
      <c r="N196" s="77"/>
      <c r="O196" s="78" t="s">
        <v>2659</v>
      </c>
      <c r="P196" s="211" t="s">
        <v>2661</v>
      </c>
      <c r="Q196" s="214" t="s">
        <v>4960</v>
      </c>
      <c r="R196" s="77" t="s">
        <v>4957</v>
      </c>
      <c r="S196" s="77"/>
      <c r="T196" s="211" t="s">
        <v>6539</v>
      </c>
      <c r="U196" s="211" t="s">
        <v>3697</v>
      </c>
      <c r="V196" s="77"/>
      <c r="W196" s="77"/>
      <c r="X196" s="77"/>
      <c r="Y196" s="77"/>
      <c r="Z196" s="216">
        <v>2.103909009E9</v>
      </c>
      <c r="AA196" s="77" t="s">
        <v>6566</v>
      </c>
      <c r="AB196" s="77"/>
      <c r="AC196" s="77" t="str">
        <f t="shared" si="4"/>
        <v>#N/A</v>
      </c>
      <c r="AD196" s="218">
        <v>13.0</v>
      </c>
      <c r="AE196" s="216">
        <v>5.0</v>
      </c>
      <c r="AF196" s="218">
        <v>13.0</v>
      </c>
      <c r="AG196" s="216">
        <v>5.0</v>
      </c>
      <c r="AH196" s="77"/>
      <c r="AI196" s="216">
        <v>0.046</v>
      </c>
      <c r="AJ196" s="77"/>
      <c r="AK196" s="77"/>
      <c r="AL196" s="77"/>
      <c r="AM196" s="77"/>
      <c r="AN196" s="77"/>
      <c r="AO196" s="77"/>
      <c r="AP196" s="77"/>
      <c r="AQ196" s="77"/>
      <c r="AR196" s="77"/>
      <c r="AS196" s="77"/>
      <c r="AT196" s="77"/>
      <c r="AU196" s="77"/>
      <c r="AV196" s="77"/>
      <c r="AW196" s="77"/>
      <c r="AX196" s="77"/>
      <c r="AY196" s="77"/>
      <c r="AZ196" s="77"/>
      <c r="BA196" s="77"/>
      <c r="BB196" s="77"/>
      <c r="BC196" s="77"/>
      <c r="BD196" s="77"/>
      <c r="BE196" s="77"/>
    </row>
    <row r="197">
      <c r="A197" s="77" t="s">
        <v>3695</v>
      </c>
      <c r="B197" s="77" t="s">
        <v>3695</v>
      </c>
      <c r="C197" s="77" t="s">
        <v>3698</v>
      </c>
      <c r="D197" s="211" t="s">
        <v>3695</v>
      </c>
      <c r="E197" s="212" t="s">
        <v>3695</v>
      </c>
      <c r="F197" s="212" t="s">
        <v>3695</v>
      </c>
      <c r="G197" s="212" t="s">
        <v>3695</v>
      </c>
      <c r="H197" s="188"/>
      <c r="I197" s="188"/>
      <c r="J197" s="213">
        <v>8.36659639E8</v>
      </c>
      <c r="K197" s="213">
        <v>8.36659639E8</v>
      </c>
      <c r="L197" s="220">
        <v>1.03333760896E11</v>
      </c>
      <c r="M197" s="77"/>
      <c r="N197" s="77"/>
      <c r="O197" s="78" t="s">
        <v>2659</v>
      </c>
      <c r="P197" s="211" t="s">
        <v>2661</v>
      </c>
      <c r="Q197" s="214" t="s">
        <v>3700</v>
      </c>
      <c r="R197" s="77" t="s">
        <v>3696</v>
      </c>
      <c r="S197" s="77"/>
      <c r="T197" s="211" t="s">
        <v>6539</v>
      </c>
      <c r="U197" s="211" t="s">
        <v>3697</v>
      </c>
      <c r="V197" s="77"/>
      <c r="W197" s="77"/>
      <c r="X197" s="77"/>
      <c r="Y197" s="77"/>
      <c r="Z197" s="216">
        <v>2.103909009E9</v>
      </c>
      <c r="AA197" s="77" t="s">
        <v>6566</v>
      </c>
      <c r="AB197" s="77"/>
      <c r="AC197" s="77" t="str">
        <f t="shared" si="4"/>
        <v>#N/A</v>
      </c>
      <c r="AD197" s="218">
        <v>8.0</v>
      </c>
      <c r="AE197" s="216">
        <v>3.0</v>
      </c>
      <c r="AF197" s="218">
        <v>8.0</v>
      </c>
      <c r="AG197" s="216">
        <v>3.0</v>
      </c>
      <c r="AH197" s="77"/>
      <c r="AI197" s="216">
        <v>0.046</v>
      </c>
      <c r="AJ197" s="77"/>
      <c r="AK197" s="77"/>
      <c r="AL197" s="77"/>
      <c r="AM197" s="77"/>
      <c r="AN197" s="77"/>
      <c r="AO197" s="77"/>
      <c r="AP197" s="77"/>
      <c r="AQ197" s="77"/>
      <c r="AR197" s="77"/>
      <c r="AS197" s="77"/>
      <c r="AT197" s="77"/>
      <c r="AU197" s="77"/>
      <c r="AV197" s="77"/>
      <c r="AW197" s="77"/>
      <c r="AX197" s="77"/>
      <c r="AY197" s="77"/>
      <c r="AZ197" s="77"/>
      <c r="BA197" s="77"/>
      <c r="BB197" s="77"/>
      <c r="BC197" s="77"/>
      <c r="BD197" s="77"/>
      <c r="BE197" s="77"/>
    </row>
    <row r="198">
      <c r="A198" s="77" t="s">
        <v>3695</v>
      </c>
      <c r="B198" s="77" t="s">
        <v>3695</v>
      </c>
      <c r="C198" s="77" t="s">
        <v>5690</v>
      </c>
      <c r="D198" s="211" t="s">
        <v>3695</v>
      </c>
      <c r="E198" s="212" t="s">
        <v>3695</v>
      </c>
      <c r="F198" s="212" t="s">
        <v>3695</v>
      </c>
      <c r="G198" s="212" t="s">
        <v>3695</v>
      </c>
      <c r="H198" s="188"/>
      <c r="I198" s="188"/>
      <c r="J198" s="213">
        <v>2.031240714E9</v>
      </c>
      <c r="K198" s="213">
        <v>8.36659639E8</v>
      </c>
      <c r="L198" s="220">
        <v>1.03333760896E11</v>
      </c>
      <c r="M198" s="77"/>
      <c r="N198" s="77"/>
      <c r="O198" s="78" t="s">
        <v>2659</v>
      </c>
      <c r="P198" s="211" t="s">
        <v>2661</v>
      </c>
      <c r="Q198" s="214" t="s">
        <v>3700</v>
      </c>
      <c r="R198" s="77" t="s">
        <v>3696</v>
      </c>
      <c r="S198" s="77"/>
      <c r="T198" s="211" t="s">
        <v>6539</v>
      </c>
      <c r="U198" s="211" t="s">
        <v>3697</v>
      </c>
      <c r="V198" s="77"/>
      <c r="W198" s="77"/>
      <c r="X198" s="77"/>
      <c r="Y198" s="77"/>
      <c r="Z198" s="216">
        <v>2.103909009E9</v>
      </c>
      <c r="AA198" s="77" t="s">
        <v>6566</v>
      </c>
      <c r="AB198" s="77"/>
      <c r="AC198" s="77" t="str">
        <f t="shared" si="4"/>
        <v>#N/A</v>
      </c>
      <c r="AD198" s="218">
        <v>8.0</v>
      </c>
      <c r="AE198" s="216">
        <v>3.0</v>
      </c>
      <c r="AF198" s="218">
        <v>8.0</v>
      </c>
      <c r="AG198" s="216">
        <v>3.0</v>
      </c>
      <c r="AH198" s="77"/>
      <c r="AI198" s="216">
        <v>0.046</v>
      </c>
      <c r="AJ198" s="77"/>
      <c r="AK198" s="77"/>
      <c r="AL198" s="77"/>
      <c r="AM198" s="77"/>
      <c r="AN198" s="77"/>
      <c r="AO198" s="77"/>
      <c r="AP198" s="77"/>
      <c r="AQ198" s="77"/>
      <c r="AR198" s="77"/>
      <c r="AS198" s="77"/>
      <c r="AT198" s="77"/>
      <c r="AU198" s="77"/>
      <c r="AV198" s="77"/>
      <c r="AW198" s="77"/>
      <c r="AX198" s="77"/>
      <c r="AY198" s="77"/>
      <c r="AZ198" s="77"/>
      <c r="BA198" s="77"/>
      <c r="BB198" s="77"/>
      <c r="BC198" s="77"/>
      <c r="BD198" s="77"/>
      <c r="BE198" s="77"/>
    </row>
    <row r="199">
      <c r="A199" s="77" t="s">
        <v>3712</v>
      </c>
      <c r="B199" s="77" t="s">
        <v>3712</v>
      </c>
      <c r="C199" s="77" t="s">
        <v>3714</v>
      </c>
      <c r="D199" s="211" t="s">
        <v>3712</v>
      </c>
      <c r="E199" s="212" t="s">
        <v>3712</v>
      </c>
      <c r="F199" s="212" t="s">
        <v>3712</v>
      </c>
      <c r="G199" s="212" t="s">
        <v>3712</v>
      </c>
      <c r="H199" s="188"/>
      <c r="I199" s="188"/>
      <c r="J199" s="213">
        <v>1.542468939E9</v>
      </c>
      <c r="K199" s="213">
        <v>1.542468939E9</v>
      </c>
      <c r="L199" s="220">
        <v>1.03515397915E11</v>
      </c>
      <c r="M199" s="77"/>
      <c r="N199" s="77"/>
      <c r="O199" s="78" t="s">
        <v>2659</v>
      </c>
      <c r="P199" s="211" t="s">
        <v>2661</v>
      </c>
      <c r="Q199" s="214" t="s">
        <v>3716</v>
      </c>
      <c r="R199" s="77" t="s">
        <v>3713</v>
      </c>
      <c r="S199" s="77"/>
      <c r="T199" s="211" t="s">
        <v>6539</v>
      </c>
      <c r="U199" s="211" t="s">
        <v>3697</v>
      </c>
      <c r="V199" s="77"/>
      <c r="W199" s="77"/>
      <c r="X199" s="77"/>
      <c r="Y199" s="77"/>
      <c r="Z199" s="216">
        <v>2.103909009E9</v>
      </c>
      <c r="AA199" s="77" t="s">
        <v>6566</v>
      </c>
      <c r="AB199" s="77"/>
      <c r="AC199" s="77" t="str">
        <f t="shared" si="4"/>
        <v>#N/A</v>
      </c>
      <c r="AD199" s="218">
        <v>10.0</v>
      </c>
      <c r="AE199" s="216">
        <v>2.0</v>
      </c>
      <c r="AF199" s="218">
        <v>10.0</v>
      </c>
      <c r="AG199" s="216">
        <v>6.0</v>
      </c>
      <c r="AH199" s="77"/>
      <c r="AI199" s="216">
        <v>0.016</v>
      </c>
      <c r="AJ199" s="77"/>
      <c r="AK199" s="77"/>
      <c r="AL199" s="77"/>
      <c r="AM199" s="77"/>
      <c r="AN199" s="77"/>
      <c r="AO199" s="77"/>
      <c r="AP199" s="77"/>
      <c r="AQ199" s="77"/>
      <c r="AR199" s="77"/>
      <c r="AS199" s="77"/>
      <c r="AT199" s="77"/>
      <c r="AU199" s="77"/>
      <c r="AV199" s="77"/>
      <c r="AW199" s="77"/>
      <c r="AX199" s="77"/>
      <c r="AY199" s="77"/>
      <c r="AZ199" s="77"/>
      <c r="BA199" s="77"/>
      <c r="BB199" s="77"/>
      <c r="BC199" s="77"/>
      <c r="BD199" s="77"/>
      <c r="BE199" s="77"/>
    </row>
    <row r="200">
      <c r="A200" s="77" t="s">
        <v>3952</v>
      </c>
      <c r="B200" s="77" t="s">
        <v>3952</v>
      </c>
      <c r="C200" s="77" t="s">
        <v>3954</v>
      </c>
      <c r="D200" s="211" t="s">
        <v>3952</v>
      </c>
      <c r="E200" s="212" t="s">
        <v>3952</v>
      </c>
      <c r="F200" s="212" t="s">
        <v>3952</v>
      </c>
      <c r="G200" s="212" t="s">
        <v>3952</v>
      </c>
      <c r="H200" s="188"/>
      <c r="I200" s="188"/>
      <c r="J200" s="213">
        <v>2.96818697E8</v>
      </c>
      <c r="K200" s="213">
        <v>2.96818697E8</v>
      </c>
      <c r="L200" s="220">
        <v>1.03340896063E11</v>
      </c>
      <c r="M200" s="77"/>
      <c r="N200" s="77"/>
      <c r="O200" s="78" t="s">
        <v>2659</v>
      </c>
      <c r="P200" s="211" t="s">
        <v>2661</v>
      </c>
      <c r="Q200" s="214" t="s">
        <v>3955</v>
      </c>
      <c r="R200" s="77" t="s">
        <v>3953</v>
      </c>
      <c r="S200" s="77"/>
      <c r="T200" s="211" t="s">
        <v>6539</v>
      </c>
      <c r="U200" s="211" t="s">
        <v>2703</v>
      </c>
      <c r="V200" s="77"/>
      <c r="W200" s="77"/>
      <c r="X200" s="77"/>
      <c r="Y200" s="77"/>
      <c r="Z200" s="216">
        <v>2.106909809E9</v>
      </c>
      <c r="AA200" s="77" t="s">
        <v>6566</v>
      </c>
      <c r="AB200" s="77"/>
      <c r="AC200" s="77" t="str">
        <f t="shared" si="4"/>
        <v>#N/A</v>
      </c>
      <c r="AD200" s="218">
        <v>11.0</v>
      </c>
      <c r="AE200" s="216">
        <v>1.0</v>
      </c>
      <c r="AF200" s="218">
        <v>11.0</v>
      </c>
      <c r="AG200" s="216">
        <v>6.0</v>
      </c>
      <c r="AH200" s="77"/>
      <c r="AI200" s="216">
        <v>0.012</v>
      </c>
      <c r="AJ200" s="77"/>
      <c r="AK200" s="77"/>
      <c r="AL200" s="77"/>
      <c r="AM200" s="77"/>
      <c r="AN200" s="77"/>
      <c r="AO200" s="77"/>
      <c r="AP200" s="77"/>
      <c r="AQ200" s="77"/>
      <c r="AR200" s="77"/>
      <c r="AS200" s="77"/>
      <c r="AT200" s="77"/>
      <c r="AU200" s="77"/>
      <c r="AV200" s="77"/>
      <c r="AW200" s="77"/>
      <c r="AX200" s="77"/>
      <c r="AY200" s="77"/>
      <c r="AZ200" s="77"/>
      <c r="BA200" s="77"/>
      <c r="BB200" s="77"/>
      <c r="BC200" s="77"/>
      <c r="BD200" s="77"/>
      <c r="BE200" s="77"/>
    </row>
    <row r="201">
      <c r="A201" s="77" t="s">
        <v>3930</v>
      </c>
      <c r="B201" s="77" t="s">
        <v>3933</v>
      </c>
      <c r="C201" s="77" t="s">
        <v>3932</v>
      </c>
      <c r="D201" s="211" t="s">
        <v>3930</v>
      </c>
      <c r="E201" s="212" t="s">
        <v>3933</v>
      </c>
      <c r="F201" s="212" t="s">
        <v>3930</v>
      </c>
      <c r="G201" s="212" t="s">
        <v>3930</v>
      </c>
      <c r="H201" s="188"/>
      <c r="I201" s="188"/>
      <c r="J201" s="213">
        <v>3.13362644E8</v>
      </c>
      <c r="K201" s="213">
        <v>3.13362644E8</v>
      </c>
      <c r="L201" s="220">
        <v>1.03544037106E11</v>
      </c>
      <c r="M201" s="77"/>
      <c r="N201" s="77"/>
      <c r="O201" s="78" t="s">
        <v>2659</v>
      </c>
      <c r="P201" s="211" t="s">
        <v>2661</v>
      </c>
      <c r="Q201" s="214" t="s">
        <v>3934</v>
      </c>
      <c r="R201" s="77" t="s">
        <v>3931</v>
      </c>
      <c r="S201" s="77"/>
      <c r="T201" s="211" t="s">
        <v>6539</v>
      </c>
      <c r="U201" s="211" t="s">
        <v>2703</v>
      </c>
      <c r="V201" s="77"/>
      <c r="W201" s="77"/>
      <c r="X201" s="77"/>
      <c r="Y201" s="77"/>
      <c r="Z201" s="216">
        <v>2.106909809E9</v>
      </c>
      <c r="AA201" s="77" t="s">
        <v>6566</v>
      </c>
      <c r="AB201" s="77"/>
      <c r="AC201" s="77" t="str">
        <f t="shared" si="4"/>
        <v>#N/A</v>
      </c>
      <c r="AD201" s="218">
        <v>10.0</v>
      </c>
      <c r="AE201" s="216">
        <v>4.0</v>
      </c>
      <c r="AF201" s="218">
        <v>10.0</v>
      </c>
      <c r="AG201" s="216">
        <v>6.0</v>
      </c>
      <c r="AH201" s="77"/>
      <c r="AI201" s="216">
        <v>0.032</v>
      </c>
      <c r="AJ201" s="77"/>
      <c r="AK201" s="77"/>
      <c r="AL201" s="77"/>
      <c r="AM201" s="77"/>
      <c r="AN201" s="77"/>
      <c r="AO201" s="77"/>
      <c r="AP201" s="77"/>
      <c r="AQ201" s="77"/>
      <c r="AR201" s="77"/>
      <c r="AS201" s="77"/>
      <c r="AT201" s="77"/>
      <c r="AU201" s="77"/>
      <c r="AV201" s="77"/>
      <c r="AW201" s="77"/>
      <c r="AX201" s="77"/>
      <c r="AY201" s="77"/>
      <c r="AZ201" s="77"/>
      <c r="BA201" s="77"/>
      <c r="BB201" s="77"/>
      <c r="BC201" s="77"/>
      <c r="BD201" s="77"/>
      <c r="BE201" s="77"/>
    </row>
    <row r="202">
      <c r="A202" s="77" t="s">
        <v>3322</v>
      </c>
      <c r="B202" s="77" t="s">
        <v>3322</v>
      </c>
      <c r="C202" s="77" t="s">
        <v>3324</v>
      </c>
      <c r="D202" s="211" t="s">
        <v>3322</v>
      </c>
      <c r="E202" s="212" t="s">
        <v>3322</v>
      </c>
      <c r="F202" s="212" t="s">
        <v>3322</v>
      </c>
      <c r="G202" s="212" t="s">
        <v>3322</v>
      </c>
      <c r="H202" s="188"/>
      <c r="I202" s="188"/>
      <c r="J202" s="213">
        <v>7.27886779E8</v>
      </c>
      <c r="K202" s="213">
        <v>7.27886779E8</v>
      </c>
      <c r="L202" s="220">
        <v>1.03333761844E11</v>
      </c>
      <c r="M202" s="77"/>
      <c r="N202" s="77"/>
      <c r="O202" s="78" t="s">
        <v>2659</v>
      </c>
      <c r="P202" s="211" t="s">
        <v>2661</v>
      </c>
      <c r="Q202" s="214" t="s">
        <v>3325</v>
      </c>
      <c r="R202" s="77" t="s">
        <v>3323</v>
      </c>
      <c r="S202" s="77"/>
      <c r="T202" s="211" t="s">
        <v>6539</v>
      </c>
      <c r="U202" s="211" t="s">
        <v>2703</v>
      </c>
      <c r="V202" s="77"/>
      <c r="W202" s="77"/>
      <c r="X202" s="77"/>
      <c r="Y202" s="77"/>
      <c r="Z202" s="216">
        <v>2.106909809E9</v>
      </c>
      <c r="AA202" s="77" t="s">
        <v>6566</v>
      </c>
      <c r="AB202" s="77"/>
      <c r="AC202" s="77" t="str">
        <f t="shared" si="4"/>
        <v>#N/A</v>
      </c>
      <c r="AD202" s="218">
        <v>10.0</v>
      </c>
      <c r="AE202" s="216">
        <v>1.0</v>
      </c>
      <c r="AF202" s="218">
        <v>10.0</v>
      </c>
      <c r="AG202" s="216">
        <v>6.0</v>
      </c>
      <c r="AH202" s="77"/>
      <c r="AI202" s="216">
        <v>0.015</v>
      </c>
      <c r="AJ202" s="77"/>
      <c r="AK202" s="77"/>
      <c r="AL202" s="77"/>
      <c r="AM202" s="77"/>
      <c r="AN202" s="77"/>
      <c r="AO202" s="77"/>
      <c r="AP202" s="77"/>
      <c r="AQ202" s="77"/>
      <c r="AR202" s="77"/>
      <c r="AS202" s="77"/>
      <c r="AT202" s="77"/>
      <c r="AU202" s="77"/>
      <c r="AV202" s="77"/>
      <c r="AW202" s="77"/>
      <c r="AX202" s="77"/>
      <c r="AY202" s="77"/>
      <c r="AZ202" s="77"/>
      <c r="BA202" s="77"/>
      <c r="BB202" s="77"/>
      <c r="BC202" s="77"/>
      <c r="BD202" s="77"/>
      <c r="BE202" s="77"/>
    </row>
    <row r="203">
      <c r="A203" s="77" t="s">
        <v>3322</v>
      </c>
      <c r="B203" s="77" t="s">
        <v>3322</v>
      </c>
      <c r="C203" s="77" t="s">
        <v>5689</v>
      </c>
      <c r="D203" s="211" t="s">
        <v>3322</v>
      </c>
      <c r="E203" s="212" t="s">
        <v>3322</v>
      </c>
      <c r="F203" s="212" t="s">
        <v>3322</v>
      </c>
      <c r="G203" s="212" t="s">
        <v>3322</v>
      </c>
      <c r="H203" s="188"/>
      <c r="I203" s="188"/>
      <c r="J203" s="213">
        <v>2.031233774E9</v>
      </c>
      <c r="K203" s="213">
        <v>7.27886779E8</v>
      </c>
      <c r="L203" s="220">
        <v>1.03333761844E11</v>
      </c>
      <c r="M203" s="77"/>
      <c r="N203" s="77"/>
      <c r="O203" s="78" t="s">
        <v>2659</v>
      </c>
      <c r="P203" s="211" t="s">
        <v>2661</v>
      </c>
      <c r="Q203" s="214" t="s">
        <v>3325</v>
      </c>
      <c r="R203" s="77" t="s">
        <v>3323</v>
      </c>
      <c r="S203" s="77"/>
      <c r="T203" s="211" t="s">
        <v>6539</v>
      </c>
      <c r="U203" s="211" t="s">
        <v>2703</v>
      </c>
      <c r="V203" s="77"/>
      <c r="W203" s="77"/>
      <c r="X203" s="77"/>
      <c r="Y203" s="77"/>
      <c r="Z203" s="216">
        <v>2.106909809E9</v>
      </c>
      <c r="AA203" s="77" t="s">
        <v>6566</v>
      </c>
      <c r="AB203" s="77"/>
      <c r="AC203" s="77" t="str">
        <f t="shared" si="4"/>
        <v>#N/A</v>
      </c>
      <c r="AD203" s="218">
        <v>10.0</v>
      </c>
      <c r="AE203" s="216">
        <v>1.0</v>
      </c>
      <c r="AF203" s="218">
        <v>10.0</v>
      </c>
      <c r="AG203" s="216">
        <v>6.0</v>
      </c>
      <c r="AH203" s="77"/>
      <c r="AI203" s="216">
        <v>0.015</v>
      </c>
      <c r="AJ203" s="77"/>
      <c r="AK203" s="77"/>
      <c r="AL203" s="77"/>
      <c r="AM203" s="77"/>
      <c r="AN203" s="77"/>
      <c r="AO203" s="77"/>
      <c r="AP203" s="77"/>
      <c r="AQ203" s="77"/>
      <c r="AR203" s="77"/>
      <c r="AS203" s="77"/>
      <c r="AT203" s="77"/>
      <c r="AU203" s="77"/>
      <c r="AV203" s="77"/>
      <c r="AW203" s="77"/>
      <c r="AX203" s="77"/>
      <c r="AY203" s="77"/>
      <c r="AZ203" s="77"/>
      <c r="BA203" s="77"/>
      <c r="BB203" s="77"/>
      <c r="BC203" s="77"/>
      <c r="BD203" s="77"/>
      <c r="BE203" s="77"/>
    </row>
    <row r="204">
      <c r="A204" s="77" t="s">
        <v>4036</v>
      </c>
      <c r="B204" s="77" t="s">
        <v>4036</v>
      </c>
      <c r="C204" s="77" t="s">
        <v>4038</v>
      </c>
      <c r="D204" s="211" t="s">
        <v>4036</v>
      </c>
      <c r="E204" s="212" t="s">
        <v>4036</v>
      </c>
      <c r="F204" s="212" t="s">
        <v>4036</v>
      </c>
      <c r="G204" s="212" t="s">
        <v>4036</v>
      </c>
      <c r="H204" s="188"/>
      <c r="I204" s="188"/>
      <c r="J204" s="213">
        <v>1.129297463E9</v>
      </c>
      <c r="K204" s="213">
        <v>1.129297463E9</v>
      </c>
      <c r="L204" s="220">
        <v>1.03515392261E11</v>
      </c>
      <c r="M204" s="77"/>
      <c r="N204" s="77"/>
      <c r="O204" s="78" t="s">
        <v>2659</v>
      </c>
      <c r="P204" s="211" t="s">
        <v>2661</v>
      </c>
      <c r="Q204" s="214" t="s">
        <v>6570</v>
      </c>
      <c r="R204" s="77" t="s">
        <v>4037</v>
      </c>
      <c r="S204" s="77"/>
      <c r="T204" s="211" t="s">
        <v>6539</v>
      </c>
      <c r="U204" s="211" t="s">
        <v>2703</v>
      </c>
      <c r="V204" s="77"/>
      <c r="W204" s="77"/>
      <c r="X204" s="77"/>
      <c r="Y204" s="77"/>
      <c r="Z204" s="216">
        <v>2.106909809E9</v>
      </c>
      <c r="AA204" s="77" t="s">
        <v>6566</v>
      </c>
      <c r="AB204" s="77"/>
      <c r="AC204" s="77" t="str">
        <f t="shared" si="4"/>
        <v>#N/A</v>
      </c>
      <c r="AD204" s="218">
        <v>15.0</v>
      </c>
      <c r="AE204" s="216">
        <v>6.0</v>
      </c>
      <c r="AF204" s="218">
        <v>15.0</v>
      </c>
      <c r="AG204" s="216">
        <v>22.0</v>
      </c>
      <c r="AH204" s="77"/>
      <c r="AI204" s="216">
        <v>0.032</v>
      </c>
      <c r="AJ204" s="77"/>
      <c r="AK204" s="77"/>
      <c r="AL204" s="77"/>
      <c r="AM204" s="77"/>
      <c r="AN204" s="77"/>
      <c r="AO204" s="77"/>
      <c r="AP204" s="77"/>
      <c r="AQ204" s="77"/>
      <c r="AR204" s="77"/>
      <c r="AS204" s="77"/>
      <c r="AT204" s="77"/>
      <c r="AU204" s="77"/>
      <c r="AV204" s="77"/>
      <c r="AW204" s="77"/>
      <c r="AX204" s="77"/>
      <c r="AY204" s="77"/>
      <c r="AZ204" s="77"/>
      <c r="BA204" s="77"/>
      <c r="BB204" s="77"/>
      <c r="BC204" s="77"/>
      <c r="BD204" s="77"/>
      <c r="BE204" s="77"/>
    </row>
    <row r="205">
      <c r="A205" s="77" t="s">
        <v>3187</v>
      </c>
      <c r="B205" s="77" t="s">
        <v>3187</v>
      </c>
      <c r="C205" s="77" t="s">
        <v>3189</v>
      </c>
      <c r="D205" s="211" t="s">
        <v>3187</v>
      </c>
      <c r="E205" s="212" t="s">
        <v>3187</v>
      </c>
      <c r="F205" s="212" t="s">
        <v>3187</v>
      </c>
      <c r="G205" s="212" t="s">
        <v>3187</v>
      </c>
      <c r="H205" s="188"/>
      <c r="I205" s="188"/>
      <c r="J205" s="77"/>
      <c r="K205" s="213">
        <v>1.129297876E9</v>
      </c>
      <c r="L205" s="220">
        <v>1.03596648372E11</v>
      </c>
      <c r="M205" s="77"/>
      <c r="N205" s="77"/>
      <c r="O205" s="78" t="s">
        <v>2659</v>
      </c>
      <c r="P205" s="211" t="s">
        <v>2661</v>
      </c>
      <c r="Q205" s="214" t="s">
        <v>3191</v>
      </c>
      <c r="R205" s="77" t="s">
        <v>3188</v>
      </c>
      <c r="S205" s="77"/>
      <c r="T205" s="211" t="s">
        <v>6539</v>
      </c>
      <c r="U205" s="211" t="s">
        <v>2703</v>
      </c>
      <c r="V205" s="77"/>
      <c r="W205" s="77"/>
      <c r="X205" s="77"/>
      <c r="Y205" s="77"/>
      <c r="Z205" s="216">
        <v>2.106909809E9</v>
      </c>
      <c r="AA205" s="77" t="s">
        <v>6566</v>
      </c>
      <c r="AB205" s="77"/>
      <c r="AC205" s="77" t="str">
        <f t="shared" si="4"/>
        <v>#N/A</v>
      </c>
      <c r="AD205" s="218">
        <v>15.0</v>
      </c>
      <c r="AE205" s="216">
        <v>6.0</v>
      </c>
      <c r="AF205" s="218">
        <v>15.0</v>
      </c>
      <c r="AG205" s="216">
        <v>22.0</v>
      </c>
      <c r="AH205" s="77"/>
      <c r="AI205" s="216">
        <v>0.048</v>
      </c>
      <c r="AJ205" s="77"/>
      <c r="AK205" s="77"/>
      <c r="AL205" s="77"/>
      <c r="AM205" s="77"/>
      <c r="AN205" s="77"/>
      <c r="AO205" s="77"/>
      <c r="AP205" s="77"/>
      <c r="AQ205" s="77"/>
      <c r="AR205" s="77"/>
      <c r="AS205" s="77"/>
      <c r="AT205" s="77"/>
      <c r="AU205" s="77"/>
      <c r="AV205" s="77"/>
      <c r="AW205" s="77"/>
      <c r="AX205" s="77"/>
      <c r="AY205" s="77"/>
      <c r="AZ205" s="77"/>
      <c r="BA205" s="77"/>
      <c r="BB205" s="77"/>
      <c r="BC205" s="77"/>
      <c r="BD205" s="77"/>
      <c r="BE205" s="77"/>
    </row>
    <row r="206">
      <c r="A206" s="77" t="s">
        <v>3901</v>
      </c>
      <c r="B206" s="77" t="s">
        <v>3901</v>
      </c>
      <c r="C206" s="77" t="s">
        <v>3390</v>
      </c>
      <c r="D206" s="211" t="s">
        <v>3901</v>
      </c>
      <c r="E206" s="212" t="s">
        <v>3901</v>
      </c>
      <c r="F206" s="212" t="s">
        <v>3901</v>
      </c>
      <c r="G206" s="212" t="s">
        <v>3901</v>
      </c>
      <c r="H206" s="188"/>
      <c r="I206" s="188"/>
      <c r="J206" s="77"/>
      <c r="K206" s="213">
        <v>1.129300642E9</v>
      </c>
      <c r="L206" s="220">
        <v>1.03515447164E11</v>
      </c>
      <c r="M206" s="77"/>
      <c r="N206" s="77"/>
      <c r="O206" s="78" t="s">
        <v>2659</v>
      </c>
      <c r="P206" s="211" t="s">
        <v>2661</v>
      </c>
      <c r="Q206" s="214" t="s">
        <v>3391</v>
      </c>
      <c r="R206" s="77" t="s">
        <v>3902</v>
      </c>
      <c r="S206" s="77"/>
      <c r="T206" s="211" t="s">
        <v>6539</v>
      </c>
      <c r="U206" s="211" t="s">
        <v>2703</v>
      </c>
      <c r="V206" s="77"/>
      <c r="W206" s="77"/>
      <c r="X206" s="77"/>
      <c r="Y206" s="77"/>
      <c r="Z206" s="216">
        <v>2.106909809E9</v>
      </c>
      <c r="AA206" s="77" t="s">
        <v>6566</v>
      </c>
      <c r="AB206" s="77"/>
      <c r="AC206" s="77" t="str">
        <f t="shared" si="4"/>
        <v>#N/A</v>
      </c>
      <c r="AD206" s="218">
        <v>15.0</v>
      </c>
      <c r="AE206" s="216">
        <v>6.0</v>
      </c>
      <c r="AF206" s="218">
        <v>15.0</v>
      </c>
      <c r="AG206" s="216">
        <v>22.0</v>
      </c>
      <c r="AH206" s="77"/>
      <c r="AI206" s="216">
        <v>0.032</v>
      </c>
      <c r="AJ206" s="77"/>
      <c r="AK206" s="77"/>
      <c r="AL206" s="77"/>
      <c r="AM206" s="77"/>
      <c r="AN206" s="77"/>
      <c r="AO206" s="77"/>
      <c r="AP206" s="77"/>
      <c r="AQ206" s="77"/>
      <c r="AR206" s="77"/>
      <c r="AS206" s="77"/>
      <c r="AT206" s="77"/>
      <c r="AU206" s="77"/>
      <c r="AV206" s="77"/>
      <c r="AW206" s="77"/>
      <c r="AX206" s="77"/>
      <c r="AY206" s="77"/>
      <c r="AZ206" s="77"/>
      <c r="BA206" s="77"/>
      <c r="BB206" s="77"/>
      <c r="BC206" s="77"/>
      <c r="BD206" s="77"/>
      <c r="BE206" s="77"/>
    </row>
    <row r="207">
      <c r="A207" s="77" t="s">
        <v>3131</v>
      </c>
      <c r="B207" s="77" t="s">
        <v>3131</v>
      </c>
      <c r="C207" s="77" t="s">
        <v>5398</v>
      </c>
      <c r="D207" s="211" t="s">
        <v>3131</v>
      </c>
      <c r="E207" s="212" t="s">
        <v>3131</v>
      </c>
      <c r="F207" s="212" t="s">
        <v>3131</v>
      </c>
      <c r="G207" s="212" t="s">
        <v>3131</v>
      </c>
      <c r="H207" s="188"/>
      <c r="I207" s="188"/>
      <c r="J207" s="77"/>
      <c r="K207" s="213">
        <v>1.12930106E9</v>
      </c>
      <c r="L207" s="220">
        <v>1.03515442073E11</v>
      </c>
      <c r="M207" s="77"/>
      <c r="N207" s="77"/>
      <c r="O207" s="78" t="s">
        <v>2659</v>
      </c>
      <c r="P207" s="211" t="s">
        <v>2661</v>
      </c>
      <c r="Q207" s="214" t="s">
        <v>3135</v>
      </c>
      <c r="R207" s="77" t="s">
        <v>3132</v>
      </c>
      <c r="S207" s="77"/>
      <c r="T207" s="211" t="s">
        <v>6539</v>
      </c>
      <c r="U207" s="211" t="s">
        <v>2703</v>
      </c>
      <c r="V207" s="77"/>
      <c r="W207" s="77"/>
      <c r="X207" s="77"/>
      <c r="Y207" s="77"/>
      <c r="Z207" s="216">
        <v>2.106909809E9</v>
      </c>
      <c r="AA207" s="77" t="s">
        <v>6566</v>
      </c>
      <c r="AB207" s="77"/>
      <c r="AC207" s="77" t="str">
        <f t="shared" si="4"/>
        <v>#N/A</v>
      </c>
      <c r="AD207" s="218">
        <v>15.0</v>
      </c>
      <c r="AE207" s="216">
        <v>6.0</v>
      </c>
      <c r="AF207" s="218">
        <v>15.0</v>
      </c>
      <c r="AG207" s="216">
        <v>22.0</v>
      </c>
      <c r="AH207" s="77"/>
      <c r="AI207" s="216">
        <v>0.048</v>
      </c>
      <c r="AJ207" s="77"/>
      <c r="AK207" s="77"/>
      <c r="AL207" s="77"/>
      <c r="AM207" s="77"/>
      <c r="AN207" s="77"/>
      <c r="AO207" s="77"/>
      <c r="AP207" s="77"/>
      <c r="AQ207" s="77"/>
      <c r="AR207" s="77"/>
      <c r="AS207" s="77"/>
      <c r="AT207" s="77"/>
      <c r="AU207" s="77"/>
      <c r="AV207" s="77"/>
      <c r="AW207" s="77"/>
      <c r="AX207" s="77"/>
      <c r="AY207" s="77"/>
      <c r="AZ207" s="77"/>
      <c r="BA207" s="77"/>
      <c r="BB207" s="77"/>
      <c r="BC207" s="77"/>
      <c r="BD207" s="77"/>
      <c r="BE207" s="77"/>
    </row>
    <row r="208">
      <c r="A208" s="77" t="s">
        <v>2701</v>
      </c>
      <c r="B208" s="77" t="s">
        <v>2701</v>
      </c>
      <c r="C208" s="77" t="s">
        <v>5688</v>
      </c>
      <c r="D208" s="211" t="s">
        <v>2701</v>
      </c>
      <c r="E208" s="212" t="s">
        <v>2701</v>
      </c>
      <c r="F208" s="212" t="s">
        <v>2701</v>
      </c>
      <c r="G208" s="212" t="s">
        <v>2701</v>
      </c>
      <c r="H208" s="188"/>
      <c r="I208" s="188"/>
      <c r="J208" s="77"/>
      <c r="K208" s="213">
        <v>1.528107368E9</v>
      </c>
      <c r="L208" s="220">
        <v>1.03515398476E11</v>
      </c>
      <c r="M208" s="77"/>
      <c r="N208" s="77"/>
      <c r="O208" s="78" t="s">
        <v>2659</v>
      </c>
      <c r="P208" s="211" t="s">
        <v>2661</v>
      </c>
      <c r="Q208" s="214" t="s">
        <v>2706</v>
      </c>
      <c r="R208" s="77" t="s">
        <v>2702</v>
      </c>
      <c r="S208" s="77"/>
      <c r="T208" s="211" t="s">
        <v>6539</v>
      </c>
      <c r="U208" s="211" t="s">
        <v>2703</v>
      </c>
      <c r="V208" s="77"/>
      <c r="W208" s="77"/>
      <c r="X208" s="77"/>
      <c r="Y208" s="77"/>
      <c r="Z208" s="216">
        <v>2.106909809E9</v>
      </c>
      <c r="AA208" s="77" t="s">
        <v>6566</v>
      </c>
      <c r="AB208" s="77"/>
      <c r="AC208" s="77" t="str">
        <f t="shared" si="4"/>
        <v>#N/A</v>
      </c>
      <c r="AD208" s="218">
        <v>8.0</v>
      </c>
      <c r="AE208" s="216">
        <v>3.0</v>
      </c>
      <c r="AF208" s="218">
        <v>8.0</v>
      </c>
      <c r="AG208" s="216">
        <v>4.0</v>
      </c>
      <c r="AH208" s="77"/>
      <c r="AI208" s="216">
        <v>0.05</v>
      </c>
      <c r="AJ208" s="77"/>
      <c r="AK208" s="77"/>
      <c r="AL208" s="77"/>
      <c r="AM208" s="77"/>
      <c r="AN208" s="77"/>
      <c r="AO208" s="77"/>
      <c r="AP208" s="77"/>
      <c r="AQ208" s="77"/>
      <c r="AR208" s="77"/>
      <c r="AS208" s="77"/>
      <c r="AT208" s="77"/>
      <c r="AU208" s="77"/>
      <c r="AV208" s="77"/>
      <c r="AW208" s="77"/>
      <c r="AX208" s="77"/>
      <c r="AY208" s="77"/>
      <c r="AZ208" s="77"/>
      <c r="BA208" s="77"/>
      <c r="BB208" s="77"/>
      <c r="BC208" s="77"/>
      <c r="BD208" s="77"/>
      <c r="BE208" s="77"/>
    </row>
    <row r="209">
      <c r="A209" s="77" t="s">
        <v>2701</v>
      </c>
      <c r="B209" s="77" t="s">
        <v>2701</v>
      </c>
      <c r="C209" s="77" t="s">
        <v>2704</v>
      </c>
      <c r="D209" s="211" t="s">
        <v>2701</v>
      </c>
      <c r="E209" s="212" t="s">
        <v>2701</v>
      </c>
      <c r="F209" s="212" t="s">
        <v>2701</v>
      </c>
      <c r="G209" s="212" t="s">
        <v>2701</v>
      </c>
      <c r="H209" s="188"/>
      <c r="I209" s="188"/>
      <c r="J209" s="77"/>
      <c r="K209" s="213">
        <v>2.03124831E9</v>
      </c>
      <c r="L209" s="220">
        <v>1.03515398476E11</v>
      </c>
      <c r="M209" s="77"/>
      <c r="N209" s="77"/>
      <c r="O209" s="78" t="s">
        <v>2659</v>
      </c>
      <c r="P209" s="211" t="s">
        <v>2661</v>
      </c>
      <c r="Q209" s="214" t="s">
        <v>2706</v>
      </c>
      <c r="R209" s="77" t="s">
        <v>2702</v>
      </c>
      <c r="S209" s="77"/>
      <c r="T209" s="211" t="s">
        <v>6539</v>
      </c>
      <c r="U209" s="211" t="s">
        <v>2703</v>
      </c>
      <c r="V209" s="77"/>
      <c r="W209" s="77"/>
      <c r="X209" s="77"/>
      <c r="Y209" s="77"/>
      <c r="Z209" s="216">
        <v>2.106909809E9</v>
      </c>
      <c r="AA209" s="77" t="s">
        <v>6566</v>
      </c>
      <c r="AB209" s="77"/>
      <c r="AC209" s="77" t="str">
        <f t="shared" si="4"/>
        <v>#N/A</v>
      </c>
      <c r="AD209" s="218">
        <v>8.0</v>
      </c>
      <c r="AE209" s="216">
        <v>3.0</v>
      </c>
      <c r="AF209" s="218">
        <v>8.0</v>
      </c>
      <c r="AG209" s="216">
        <v>4.0</v>
      </c>
      <c r="AH209" s="77"/>
      <c r="AI209" s="216">
        <v>0.05</v>
      </c>
      <c r="AJ209" s="77"/>
      <c r="AK209" s="77"/>
      <c r="AL209" s="77"/>
      <c r="AM209" s="77"/>
      <c r="AN209" s="77"/>
      <c r="AO209" s="77"/>
      <c r="AP209" s="77"/>
      <c r="AQ209" s="77"/>
      <c r="AR209" s="77"/>
      <c r="AS209" s="77"/>
      <c r="AT209" s="77"/>
      <c r="AU209" s="77"/>
      <c r="AV209" s="77"/>
      <c r="AW209" s="77"/>
      <c r="AX209" s="77"/>
      <c r="AY209" s="77"/>
      <c r="AZ209" s="77"/>
      <c r="BA209" s="77"/>
      <c r="BB209" s="77"/>
      <c r="BC209" s="77"/>
      <c r="BD209" s="77"/>
      <c r="BE209" s="77"/>
    </row>
    <row r="210">
      <c r="A210" s="77" t="s">
        <v>4603</v>
      </c>
      <c r="B210" s="77" t="s">
        <v>4603</v>
      </c>
      <c r="C210" s="77" t="s">
        <v>4605</v>
      </c>
      <c r="D210" s="211" t="s">
        <v>4603</v>
      </c>
      <c r="E210" s="212" t="s">
        <v>4603</v>
      </c>
      <c r="F210" s="212" t="s">
        <v>4603</v>
      </c>
      <c r="G210" s="212" t="s">
        <v>4603</v>
      </c>
      <c r="H210" s="188"/>
      <c r="I210" s="188"/>
      <c r="J210" s="77"/>
      <c r="K210" s="213">
        <v>2.825063594E9</v>
      </c>
      <c r="L210" s="220">
        <v>4.640677629E9</v>
      </c>
      <c r="M210" s="77"/>
      <c r="N210" s="77"/>
      <c r="O210" s="78" t="s">
        <v>2659</v>
      </c>
      <c r="P210" s="211" t="s">
        <v>2661</v>
      </c>
      <c r="Q210" s="214" t="s">
        <v>4606</v>
      </c>
      <c r="R210" s="77" t="s">
        <v>4604</v>
      </c>
      <c r="S210" s="77"/>
      <c r="T210" s="211" t="s">
        <v>6539</v>
      </c>
      <c r="U210" s="211" t="s">
        <v>2703</v>
      </c>
      <c r="V210" s="77"/>
      <c r="W210" s="77"/>
      <c r="X210" s="77"/>
      <c r="Y210" s="77"/>
      <c r="Z210" s="216">
        <v>2.106909809E9</v>
      </c>
      <c r="AA210" s="77" t="s">
        <v>6566</v>
      </c>
      <c r="AB210" s="77"/>
      <c r="AC210" s="77" t="str">
        <f t="shared" si="4"/>
        <v>#N/A</v>
      </c>
      <c r="AD210" s="218">
        <v>9.0</v>
      </c>
      <c r="AE210" s="216">
        <v>13.0</v>
      </c>
      <c r="AF210" s="218">
        <v>9.0</v>
      </c>
      <c r="AG210" s="216">
        <v>4.0</v>
      </c>
      <c r="AH210" s="77"/>
      <c r="AI210" s="216">
        <v>0.119</v>
      </c>
      <c r="AJ210" s="77"/>
      <c r="AK210" s="77"/>
      <c r="AL210" s="77"/>
      <c r="AM210" s="77"/>
      <c r="AN210" s="77"/>
      <c r="AO210" s="77"/>
      <c r="AP210" s="77"/>
      <c r="AQ210" s="77"/>
      <c r="AR210" s="77"/>
      <c r="AS210" s="77"/>
      <c r="AT210" s="77"/>
      <c r="AU210" s="77"/>
      <c r="AV210" s="77"/>
      <c r="AW210" s="77"/>
      <c r="AX210" s="77"/>
      <c r="AY210" s="77"/>
      <c r="AZ210" s="77"/>
      <c r="BA210" s="77"/>
      <c r="BB210" s="77"/>
      <c r="BC210" s="77"/>
      <c r="BD210" s="77"/>
      <c r="BE210" s="77"/>
    </row>
    <row r="211">
      <c r="A211" s="77" t="s">
        <v>2732</v>
      </c>
      <c r="B211" s="77" t="s">
        <v>2732</v>
      </c>
      <c r="C211" s="77" t="s">
        <v>2734</v>
      </c>
      <c r="D211" s="211" t="s">
        <v>2732</v>
      </c>
      <c r="E211" s="212" t="s">
        <v>2732</v>
      </c>
      <c r="F211" s="212" t="s">
        <v>2732</v>
      </c>
      <c r="G211" s="212" t="s">
        <v>2732</v>
      </c>
      <c r="H211" s="188"/>
      <c r="I211" s="188"/>
      <c r="J211" s="77"/>
      <c r="K211" s="213">
        <v>2.82507871E9</v>
      </c>
      <c r="L211" s="220">
        <v>4.640700956E9</v>
      </c>
      <c r="M211" s="77"/>
      <c r="N211" s="77"/>
      <c r="O211" s="78" t="s">
        <v>2659</v>
      </c>
      <c r="P211" s="211" t="s">
        <v>2661</v>
      </c>
      <c r="Q211" s="214" t="s">
        <v>2735</v>
      </c>
      <c r="R211" s="77" t="s">
        <v>2733</v>
      </c>
      <c r="S211" s="77"/>
      <c r="T211" s="211" t="s">
        <v>6539</v>
      </c>
      <c r="U211" s="211" t="s">
        <v>2703</v>
      </c>
      <c r="V211" s="77"/>
      <c r="W211" s="77"/>
      <c r="X211" s="77"/>
      <c r="Y211" s="77"/>
      <c r="Z211" s="216">
        <v>2.106909809E9</v>
      </c>
      <c r="AA211" s="77" t="s">
        <v>6566</v>
      </c>
      <c r="AB211" s="77"/>
      <c r="AC211" s="77" t="str">
        <f t="shared" si="4"/>
        <v>#N/A</v>
      </c>
      <c r="AD211" s="218">
        <v>9.0</v>
      </c>
      <c r="AE211" s="216">
        <v>13.0</v>
      </c>
      <c r="AF211" s="218">
        <v>9.0</v>
      </c>
      <c r="AG211" s="216">
        <v>4.0</v>
      </c>
      <c r="AH211" s="77"/>
      <c r="AI211" s="216">
        <v>0.14</v>
      </c>
      <c r="AJ211" s="77"/>
      <c r="AK211" s="77"/>
      <c r="AL211" s="77"/>
      <c r="AM211" s="77"/>
      <c r="AN211" s="77"/>
      <c r="AO211" s="77"/>
      <c r="AP211" s="77"/>
      <c r="AQ211" s="77"/>
      <c r="AR211" s="77"/>
      <c r="AS211" s="77"/>
      <c r="AT211" s="77"/>
      <c r="AU211" s="77"/>
      <c r="AV211" s="77"/>
      <c r="AW211" s="77"/>
      <c r="AX211" s="77"/>
      <c r="AY211" s="77"/>
      <c r="AZ211" s="77"/>
      <c r="BA211" s="77"/>
      <c r="BB211" s="77"/>
      <c r="BC211" s="77"/>
      <c r="BD211" s="77"/>
      <c r="BE211" s="77"/>
    </row>
    <row r="212">
      <c r="A212" s="77" t="s">
        <v>2907</v>
      </c>
      <c r="B212" s="77" t="s">
        <v>2907</v>
      </c>
      <c r="C212" s="77" t="s">
        <v>2909</v>
      </c>
      <c r="D212" s="211" t="s">
        <v>2907</v>
      </c>
      <c r="E212" s="212" t="s">
        <v>2907</v>
      </c>
      <c r="F212" s="212" t="s">
        <v>2907</v>
      </c>
      <c r="G212" s="212" t="s">
        <v>2907</v>
      </c>
      <c r="H212" s="188"/>
      <c r="I212" s="188"/>
      <c r="J212" s="77"/>
      <c r="K212" s="213">
        <v>2.91845947E8</v>
      </c>
      <c r="L212" s="220">
        <v>1.03515398245E11</v>
      </c>
      <c r="M212" s="77"/>
      <c r="N212" s="77"/>
      <c r="O212" s="78" t="s">
        <v>2659</v>
      </c>
      <c r="P212" s="211" t="s">
        <v>2661</v>
      </c>
      <c r="Q212" s="214" t="s">
        <v>2911</v>
      </c>
      <c r="R212" s="77" t="s">
        <v>2908</v>
      </c>
      <c r="S212" s="77"/>
      <c r="T212" s="211" t="s">
        <v>6539</v>
      </c>
      <c r="U212" s="211" t="s">
        <v>1027</v>
      </c>
      <c r="V212" s="77"/>
      <c r="W212" s="77"/>
      <c r="X212" s="77"/>
      <c r="Y212" s="77"/>
      <c r="Z212" s="216">
        <v>2.103909009E9</v>
      </c>
      <c r="AA212" s="77" t="s">
        <v>6566</v>
      </c>
      <c r="AB212" s="77"/>
      <c r="AC212" s="77" t="str">
        <f t="shared" si="4"/>
        <v>#N/A</v>
      </c>
      <c r="AD212" s="218">
        <v>7.0</v>
      </c>
      <c r="AE212" s="216">
        <v>6.0</v>
      </c>
      <c r="AF212" s="218">
        <v>7.0</v>
      </c>
      <c r="AG212" s="216">
        <v>7.0</v>
      </c>
      <c r="AH212" s="77"/>
      <c r="AI212" s="216">
        <v>0.038</v>
      </c>
      <c r="AJ212" s="77"/>
      <c r="AK212" s="77"/>
      <c r="AL212" s="77"/>
      <c r="AM212" s="77"/>
      <c r="AN212" s="77"/>
      <c r="AO212" s="77"/>
      <c r="AP212" s="77"/>
      <c r="AQ212" s="77"/>
      <c r="AR212" s="77"/>
      <c r="AS212" s="77"/>
      <c r="AT212" s="77"/>
      <c r="AU212" s="77"/>
      <c r="AV212" s="77"/>
      <c r="AW212" s="77"/>
      <c r="AX212" s="77"/>
      <c r="AY212" s="77"/>
      <c r="AZ212" s="77"/>
      <c r="BA212" s="77"/>
      <c r="BB212" s="77"/>
      <c r="BC212" s="77"/>
      <c r="BD212" s="77"/>
      <c r="BE212" s="77"/>
    </row>
    <row r="213">
      <c r="A213" s="77" t="s">
        <v>4580</v>
      </c>
      <c r="B213" s="77" t="s">
        <v>4580</v>
      </c>
      <c r="C213" s="77" t="s">
        <v>4582</v>
      </c>
      <c r="D213" s="211" t="s">
        <v>4580</v>
      </c>
      <c r="E213" s="212" t="s">
        <v>4580</v>
      </c>
      <c r="F213" s="212" t="s">
        <v>4580</v>
      </c>
      <c r="G213" s="212" t="s">
        <v>4580</v>
      </c>
      <c r="H213" s="188"/>
      <c r="I213" s="188"/>
      <c r="J213" s="77"/>
      <c r="K213" s="213">
        <v>2.825129893E9</v>
      </c>
      <c r="L213" s="220">
        <v>4.640678632E9</v>
      </c>
      <c r="M213" s="77"/>
      <c r="N213" s="77"/>
      <c r="O213" s="78" t="s">
        <v>2659</v>
      </c>
      <c r="P213" s="211" t="s">
        <v>2661</v>
      </c>
      <c r="Q213" s="214" t="s">
        <v>4583</v>
      </c>
      <c r="R213" s="77" t="s">
        <v>4581</v>
      </c>
      <c r="S213" s="77"/>
      <c r="T213" s="211" t="s">
        <v>6539</v>
      </c>
      <c r="U213" s="211" t="s">
        <v>1027</v>
      </c>
      <c r="V213" s="77"/>
      <c r="W213" s="77"/>
      <c r="X213" s="77"/>
      <c r="Y213" s="77"/>
      <c r="Z213" s="216">
        <v>2.103909009E9</v>
      </c>
      <c r="AA213" s="77" t="s">
        <v>6566</v>
      </c>
      <c r="AB213" s="77"/>
      <c r="AC213" s="77" t="str">
        <f t="shared" si="4"/>
        <v>#N/A</v>
      </c>
      <c r="AD213" s="218">
        <v>9.0</v>
      </c>
      <c r="AE213" s="216">
        <v>14.0</v>
      </c>
      <c r="AF213" s="218">
        <v>9.0</v>
      </c>
      <c r="AG213" s="216">
        <v>4.0</v>
      </c>
      <c r="AH213" s="77"/>
      <c r="AI213" s="216">
        <v>0.099</v>
      </c>
      <c r="AJ213" s="77"/>
      <c r="AK213" s="77"/>
      <c r="AL213" s="77"/>
      <c r="AM213" s="77"/>
      <c r="AN213" s="77"/>
      <c r="AO213" s="77"/>
      <c r="AP213" s="77"/>
      <c r="AQ213" s="77"/>
      <c r="AR213" s="77"/>
      <c r="AS213" s="77"/>
      <c r="AT213" s="77"/>
      <c r="AU213" s="77"/>
      <c r="AV213" s="77"/>
      <c r="AW213" s="77"/>
      <c r="AX213" s="77"/>
      <c r="AY213" s="77"/>
      <c r="AZ213" s="77"/>
      <c r="BA213" s="77"/>
      <c r="BB213" s="77"/>
      <c r="BC213" s="77"/>
      <c r="BD213" s="77"/>
      <c r="BE213" s="77"/>
    </row>
    <row r="214">
      <c r="A214" s="77" t="s">
        <v>3450</v>
      </c>
      <c r="B214" s="77" t="s">
        <v>3450</v>
      </c>
      <c r="C214" s="77" t="s">
        <v>3452</v>
      </c>
      <c r="D214" s="211" t="s">
        <v>3450</v>
      </c>
      <c r="E214" s="212" t="s">
        <v>3450</v>
      </c>
      <c r="F214" s="212" t="s">
        <v>3450</v>
      </c>
      <c r="G214" s="212" t="s">
        <v>3450</v>
      </c>
      <c r="H214" s="188"/>
      <c r="I214" s="188"/>
      <c r="J214" s="77"/>
      <c r="K214" s="213">
        <v>7.36435678E8</v>
      </c>
      <c r="L214" s="220">
        <v>1.03340899028E11</v>
      </c>
      <c r="M214" s="77"/>
      <c r="N214" s="77"/>
      <c r="O214" s="78" t="s">
        <v>2659</v>
      </c>
      <c r="P214" s="211" t="s">
        <v>2661</v>
      </c>
      <c r="Q214" s="214" t="s">
        <v>3453</v>
      </c>
      <c r="R214" s="77" t="s">
        <v>3451</v>
      </c>
      <c r="S214" s="77"/>
      <c r="T214" s="211" t="s">
        <v>6539</v>
      </c>
      <c r="U214" s="211" t="s">
        <v>1027</v>
      </c>
      <c r="V214" s="77"/>
      <c r="W214" s="77"/>
      <c r="X214" s="77"/>
      <c r="Y214" s="77"/>
      <c r="Z214" s="216">
        <v>2.103909009E9</v>
      </c>
      <c r="AA214" s="77" t="s">
        <v>6566</v>
      </c>
      <c r="AB214" s="77"/>
      <c r="AC214" s="77" t="str">
        <f t="shared" si="4"/>
        <v>#N/A</v>
      </c>
      <c r="AD214" s="218">
        <v>6.0</v>
      </c>
      <c r="AE214" s="216">
        <v>11.0</v>
      </c>
      <c r="AF214" s="218">
        <v>6.0</v>
      </c>
      <c r="AG214" s="216">
        <v>6.0</v>
      </c>
      <c r="AH214" s="77"/>
      <c r="AI214" s="216">
        <v>0.046</v>
      </c>
      <c r="AJ214" s="77"/>
      <c r="AK214" s="77"/>
      <c r="AL214" s="77"/>
      <c r="AM214" s="77"/>
      <c r="AN214" s="77"/>
      <c r="AO214" s="77"/>
      <c r="AP214" s="77"/>
      <c r="AQ214" s="77"/>
      <c r="AR214" s="77"/>
      <c r="AS214" s="77"/>
      <c r="AT214" s="77"/>
      <c r="AU214" s="77"/>
      <c r="AV214" s="77"/>
      <c r="AW214" s="77"/>
      <c r="AX214" s="77"/>
      <c r="AY214" s="77"/>
      <c r="AZ214" s="77"/>
      <c r="BA214" s="77"/>
      <c r="BB214" s="77"/>
      <c r="BC214" s="77"/>
      <c r="BD214" s="77"/>
      <c r="BE214" s="77"/>
    </row>
    <row r="215">
      <c r="A215" s="77" t="s">
        <v>3798</v>
      </c>
      <c r="B215" s="77" t="s">
        <v>3798</v>
      </c>
      <c r="C215" s="77" t="s">
        <v>3799</v>
      </c>
      <c r="D215" s="211" t="s">
        <v>3798</v>
      </c>
      <c r="E215" s="212" t="s">
        <v>3798</v>
      </c>
      <c r="F215" s="212" t="s">
        <v>3798</v>
      </c>
      <c r="G215" s="212" t="s">
        <v>3798</v>
      </c>
      <c r="H215" s="188"/>
      <c r="I215" s="188"/>
      <c r="J215" s="77"/>
      <c r="K215" s="213">
        <v>1.191194423E9</v>
      </c>
      <c r="L215" s="220">
        <v>1.03515429718E11</v>
      </c>
      <c r="M215" s="77"/>
      <c r="N215" s="77"/>
      <c r="O215" s="78" t="s">
        <v>2659</v>
      </c>
      <c r="P215" s="211" t="s">
        <v>2661</v>
      </c>
      <c r="Q215" s="214" t="s">
        <v>3453</v>
      </c>
      <c r="R215" s="77" t="s">
        <v>3451</v>
      </c>
      <c r="S215" s="77"/>
      <c r="T215" s="211" t="s">
        <v>6539</v>
      </c>
      <c r="U215" s="211" t="s">
        <v>1027</v>
      </c>
      <c r="V215" s="77"/>
      <c r="W215" s="77"/>
      <c r="X215" s="77"/>
      <c r="Y215" s="77"/>
      <c r="Z215" s="216">
        <v>2.103909009E9</v>
      </c>
      <c r="AA215" s="77" t="s">
        <v>6566</v>
      </c>
      <c r="AB215" s="77"/>
      <c r="AC215" s="77" t="str">
        <f t="shared" si="4"/>
        <v>#N/A</v>
      </c>
      <c r="AD215" s="218">
        <v>21.0</v>
      </c>
      <c r="AE215" s="216">
        <v>8.0</v>
      </c>
      <c r="AF215" s="218">
        <v>21.0</v>
      </c>
      <c r="AG215" s="216">
        <v>14.0</v>
      </c>
      <c r="AH215" s="77"/>
      <c r="AI215" s="216">
        <v>0.092</v>
      </c>
      <c r="AJ215" s="77"/>
      <c r="AK215" s="77"/>
      <c r="AL215" s="77"/>
      <c r="AM215" s="77"/>
      <c r="AN215" s="77"/>
      <c r="AO215" s="77"/>
      <c r="AP215" s="77"/>
      <c r="AQ215" s="77"/>
      <c r="AR215" s="77"/>
      <c r="AS215" s="77"/>
      <c r="AT215" s="77"/>
      <c r="AU215" s="77"/>
      <c r="AV215" s="77"/>
      <c r="AW215" s="77"/>
      <c r="AX215" s="77"/>
      <c r="AY215" s="77"/>
      <c r="AZ215" s="77"/>
      <c r="BA215" s="77"/>
      <c r="BB215" s="77"/>
      <c r="BC215" s="77"/>
      <c r="BD215" s="77"/>
      <c r="BE215" s="77"/>
    </row>
    <row r="216">
      <c r="A216" s="77" t="s">
        <v>5081</v>
      </c>
      <c r="B216" s="77" t="s">
        <v>5085</v>
      </c>
      <c r="C216" s="77" t="s">
        <v>5084</v>
      </c>
      <c r="D216" s="211" t="s">
        <v>5081</v>
      </c>
      <c r="E216" s="225" t="s">
        <v>5085</v>
      </c>
      <c r="F216" s="212" t="s">
        <v>5081</v>
      </c>
      <c r="G216" s="212" t="s">
        <v>5081</v>
      </c>
      <c r="H216" s="188"/>
      <c r="I216" s="188"/>
      <c r="J216" s="77"/>
      <c r="K216" s="213">
        <v>3.27232798E8</v>
      </c>
      <c r="L216" s="220">
        <v>1.01436838678E11</v>
      </c>
      <c r="M216" s="77"/>
      <c r="N216" s="77"/>
      <c r="O216" s="78" t="s">
        <v>2659</v>
      </c>
      <c r="P216" s="211" t="s">
        <v>2661</v>
      </c>
      <c r="Q216" s="214" t="s">
        <v>5087</v>
      </c>
      <c r="R216" s="77" t="s">
        <v>5082</v>
      </c>
      <c r="S216" s="77"/>
      <c r="T216" s="211" t="s">
        <v>6539</v>
      </c>
      <c r="U216" s="211" t="s">
        <v>6571</v>
      </c>
      <c r="V216" s="77"/>
      <c r="W216" s="77"/>
      <c r="X216" s="77"/>
      <c r="Y216" s="77"/>
      <c r="Z216" s="216">
        <v>2.103909009E9</v>
      </c>
      <c r="AA216" s="77" t="s">
        <v>6568</v>
      </c>
      <c r="AB216" s="77"/>
      <c r="AC216" s="77" t="str">
        <f t="shared" si="4"/>
        <v>#N/A</v>
      </c>
      <c r="AD216" s="218">
        <v>4.0</v>
      </c>
      <c r="AE216" s="216">
        <v>9.0</v>
      </c>
      <c r="AF216" s="218">
        <v>4.0</v>
      </c>
      <c r="AG216" s="216">
        <v>3.0</v>
      </c>
      <c r="AH216" s="77"/>
      <c r="AI216" s="216">
        <v>0.046</v>
      </c>
      <c r="AJ216" s="77"/>
      <c r="AK216" s="77"/>
      <c r="AL216" s="77"/>
      <c r="AM216" s="77"/>
      <c r="AN216" s="77"/>
      <c r="AO216" s="77"/>
      <c r="AP216" s="77"/>
      <c r="AQ216" s="77"/>
      <c r="AR216" s="77"/>
      <c r="AS216" s="77"/>
      <c r="AT216" s="77"/>
      <c r="AU216" s="77"/>
      <c r="AV216" s="77"/>
      <c r="AW216" s="77"/>
      <c r="AX216" s="77"/>
      <c r="AY216" s="77"/>
      <c r="AZ216" s="77"/>
      <c r="BA216" s="77"/>
      <c r="BB216" s="77"/>
      <c r="BC216" s="77"/>
      <c r="BD216" s="77"/>
      <c r="BE216" s="77"/>
    </row>
    <row r="217">
      <c r="A217" s="77" t="s">
        <v>3762</v>
      </c>
      <c r="B217" s="77" t="s">
        <v>3762</v>
      </c>
      <c r="C217" s="77" t="s">
        <v>3764</v>
      </c>
      <c r="D217" s="211" t="s">
        <v>3762</v>
      </c>
      <c r="E217" s="212" t="s">
        <v>3762</v>
      </c>
      <c r="F217" s="212" t="s">
        <v>3762</v>
      </c>
      <c r="G217" s="212" t="s">
        <v>3762</v>
      </c>
      <c r="H217" s="188"/>
      <c r="I217" s="188"/>
      <c r="J217" s="77"/>
      <c r="K217" s="213">
        <v>7.32602771E8</v>
      </c>
      <c r="L217" s="220">
        <v>1.02204313641E11</v>
      </c>
      <c r="M217" s="77"/>
      <c r="N217" s="77"/>
      <c r="O217" s="78" t="s">
        <v>2659</v>
      </c>
      <c r="P217" s="211" t="s">
        <v>2661</v>
      </c>
      <c r="Q217" s="214" t="s">
        <v>3766</v>
      </c>
      <c r="R217" s="77" t="s">
        <v>3763</v>
      </c>
      <c r="S217" s="77"/>
      <c r="T217" s="211" t="s">
        <v>6539</v>
      </c>
      <c r="U217" s="211" t="s">
        <v>6572</v>
      </c>
      <c r="V217" s="77"/>
      <c r="W217" s="77"/>
      <c r="X217" s="77"/>
      <c r="Y217" s="77"/>
      <c r="Z217" s="216">
        <v>2.106909809E9</v>
      </c>
      <c r="AA217" s="77" t="s">
        <v>6566</v>
      </c>
      <c r="AB217" s="77"/>
      <c r="AC217" s="77" t="str">
        <f t="shared" si="4"/>
        <v>#N/A</v>
      </c>
      <c r="AD217" s="218">
        <v>6.0</v>
      </c>
      <c r="AE217" s="216">
        <v>3.0</v>
      </c>
      <c r="AF217" s="218">
        <v>6.0</v>
      </c>
      <c r="AG217" s="216">
        <v>10.0</v>
      </c>
      <c r="AH217" s="77"/>
      <c r="AI217" s="216">
        <v>0.015</v>
      </c>
      <c r="AJ217" s="77"/>
      <c r="AK217" s="77"/>
      <c r="AL217" s="77"/>
      <c r="AM217" s="77"/>
      <c r="AN217" s="77"/>
      <c r="AO217" s="77"/>
      <c r="AP217" s="77"/>
      <c r="AQ217" s="77"/>
      <c r="AR217" s="77"/>
      <c r="AS217" s="77"/>
      <c r="AT217" s="77"/>
      <c r="AU217" s="77"/>
      <c r="AV217" s="77"/>
      <c r="AW217" s="77"/>
      <c r="AX217" s="77"/>
      <c r="AY217" s="77"/>
      <c r="AZ217" s="77"/>
      <c r="BA217" s="77"/>
      <c r="BB217" s="77"/>
      <c r="BC217" s="77"/>
      <c r="BD217" s="77"/>
      <c r="BE217" s="77"/>
    </row>
    <row r="218">
      <c r="A218" s="77" t="s">
        <v>5110</v>
      </c>
      <c r="B218" s="77" t="s">
        <v>5110</v>
      </c>
      <c r="C218" s="77" t="s">
        <v>5112</v>
      </c>
      <c r="D218" s="211" t="s">
        <v>5110</v>
      </c>
      <c r="E218" s="212" t="s">
        <v>5110</v>
      </c>
      <c r="F218" s="212" t="s">
        <v>5110</v>
      </c>
      <c r="G218" s="212" t="s">
        <v>5110</v>
      </c>
      <c r="H218" s="188"/>
      <c r="I218" s="188"/>
      <c r="J218" s="77"/>
      <c r="K218" s="213">
        <v>1.541839778E9</v>
      </c>
      <c r="L218" s="220">
        <v>1.03515423988E11</v>
      </c>
      <c r="M218" s="77"/>
      <c r="N218" s="77"/>
      <c r="O218" s="78" t="s">
        <v>2659</v>
      </c>
      <c r="P218" s="211" t="s">
        <v>2661</v>
      </c>
      <c r="Q218" s="214" t="s">
        <v>5114</v>
      </c>
      <c r="R218" s="77" t="s">
        <v>5111</v>
      </c>
      <c r="S218" s="77"/>
      <c r="T218" s="211" t="s">
        <v>6539</v>
      </c>
      <c r="U218" s="211" t="s">
        <v>6572</v>
      </c>
      <c r="V218" s="77"/>
      <c r="W218" s="77"/>
      <c r="X218" s="77"/>
      <c r="Y218" s="77"/>
      <c r="Z218" s="216">
        <v>2.106909809E9</v>
      </c>
      <c r="AA218" s="77" t="s">
        <v>6566</v>
      </c>
      <c r="AB218" s="77"/>
      <c r="AC218" s="77" t="str">
        <f t="shared" si="4"/>
        <v>#N/A</v>
      </c>
      <c r="AD218" s="218">
        <v>4.0</v>
      </c>
      <c r="AE218" s="216">
        <v>8.0</v>
      </c>
      <c r="AF218" s="218">
        <v>4.0</v>
      </c>
      <c r="AG218" s="216">
        <v>4.0</v>
      </c>
      <c r="AH218" s="77"/>
      <c r="AI218" s="216">
        <v>0.046</v>
      </c>
      <c r="AJ218" s="77"/>
      <c r="AK218" s="77"/>
      <c r="AL218" s="77"/>
      <c r="AM218" s="77"/>
      <c r="AN218" s="77"/>
      <c r="AO218" s="77"/>
      <c r="AP218" s="77"/>
      <c r="AQ218" s="77"/>
      <c r="AR218" s="77"/>
      <c r="AS218" s="77"/>
      <c r="AT218" s="77"/>
      <c r="AU218" s="77"/>
      <c r="AV218" s="77"/>
      <c r="AW218" s="77"/>
      <c r="AX218" s="77"/>
      <c r="AY218" s="77"/>
      <c r="AZ218" s="77"/>
      <c r="BA218" s="77"/>
      <c r="BB218" s="77"/>
      <c r="BC218" s="77"/>
      <c r="BD218" s="77"/>
      <c r="BE218" s="77"/>
    </row>
    <row r="219">
      <c r="A219" s="77" t="s">
        <v>2682</v>
      </c>
      <c r="B219" s="77" t="s">
        <v>2682</v>
      </c>
      <c r="C219" s="77" t="s">
        <v>2685</v>
      </c>
      <c r="D219" s="211" t="s">
        <v>2682</v>
      </c>
      <c r="E219" s="212" t="s">
        <v>2682</v>
      </c>
      <c r="F219" s="212" t="s">
        <v>2682</v>
      </c>
      <c r="G219" s="212" t="s">
        <v>2682</v>
      </c>
      <c r="H219" s="188"/>
      <c r="I219" s="188"/>
      <c r="J219" s="77"/>
      <c r="K219" s="213">
        <v>1.589191436E9</v>
      </c>
      <c r="L219" s="220">
        <v>1.03515431798E11</v>
      </c>
      <c r="M219" s="77"/>
      <c r="N219" s="77"/>
      <c r="O219" s="78" t="s">
        <v>2659</v>
      </c>
      <c r="P219" s="211" t="s">
        <v>2661</v>
      </c>
      <c r="Q219" s="214" t="s">
        <v>2687</v>
      </c>
      <c r="R219" s="77" t="s">
        <v>2683</v>
      </c>
      <c r="S219" s="77"/>
      <c r="T219" s="211" t="s">
        <v>6539</v>
      </c>
      <c r="U219" s="211" t="s">
        <v>6572</v>
      </c>
      <c r="V219" s="77"/>
      <c r="W219" s="77"/>
      <c r="X219" s="77"/>
      <c r="Y219" s="77"/>
      <c r="Z219" s="216">
        <v>2.106909809E9</v>
      </c>
      <c r="AA219" s="77" t="s">
        <v>6566</v>
      </c>
      <c r="AB219" s="77"/>
      <c r="AC219" s="77" t="str">
        <f t="shared" si="4"/>
        <v>#N/A</v>
      </c>
      <c r="AD219" s="218">
        <v>8.0</v>
      </c>
      <c r="AE219" s="216">
        <v>3.0</v>
      </c>
      <c r="AF219" s="218">
        <v>8.0</v>
      </c>
      <c r="AG219" s="216">
        <v>7.0</v>
      </c>
      <c r="AH219" s="77"/>
      <c r="AI219" s="216">
        <v>0.046</v>
      </c>
      <c r="AJ219" s="77"/>
      <c r="AK219" s="77"/>
      <c r="AL219" s="77"/>
      <c r="AM219" s="77"/>
      <c r="AN219" s="77"/>
      <c r="AO219" s="77"/>
      <c r="AP219" s="77"/>
      <c r="AQ219" s="77"/>
      <c r="AR219" s="77"/>
      <c r="AS219" s="77"/>
      <c r="AT219" s="77"/>
      <c r="AU219" s="77"/>
      <c r="AV219" s="77"/>
      <c r="AW219" s="77"/>
      <c r="AX219" s="77"/>
      <c r="AY219" s="77"/>
      <c r="AZ219" s="77"/>
      <c r="BA219" s="77"/>
      <c r="BB219" s="77"/>
      <c r="BC219" s="77"/>
      <c r="BD219" s="77"/>
      <c r="BE219" s="77"/>
    </row>
    <row r="220">
      <c r="A220" s="77" t="s">
        <v>3905</v>
      </c>
      <c r="B220" s="77" t="s">
        <v>3905</v>
      </c>
      <c r="C220" s="77" t="s">
        <v>3907</v>
      </c>
      <c r="D220" s="211" t="s">
        <v>3905</v>
      </c>
      <c r="E220" s="212" t="s">
        <v>3905</v>
      </c>
      <c r="F220" s="212" t="s">
        <v>3905</v>
      </c>
      <c r="G220" s="212" t="s">
        <v>3905</v>
      </c>
      <c r="H220" s="188"/>
      <c r="I220" s="188"/>
      <c r="J220" s="77"/>
      <c r="K220" s="213">
        <v>2.825142977E9</v>
      </c>
      <c r="L220" s="220">
        <v>4.640691481E9</v>
      </c>
      <c r="M220" s="77"/>
      <c r="N220" s="77"/>
      <c r="O220" s="78" t="s">
        <v>2659</v>
      </c>
      <c r="P220" s="211" t="s">
        <v>2661</v>
      </c>
      <c r="Q220" s="214" t="s">
        <v>3908</v>
      </c>
      <c r="R220" s="77" t="s">
        <v>3906</v>
      </c>
      <c r="S220" s="77"/>
      <c r="T220" s="211" t="s">
        <v>6539</v>
      </c>
      <c r="U220" s="211" t="s">
        <v>6572</v>
      </c>
      <c r="V220" s="77"/>
      <c r="W220" s="77"/>
      <c r="X220" s="77"/>
      <c r="Y220" s="77"/>
      <c r="Z220" s="216">
        <v>2.106909809E9</v>
      </c>
      <c r="AA220" s="77" t="s">
        <v>6566</v>
      </c>
      <c r="AB220" s="77"/>
      <c r="AC220" s="77" t="str">
        <f t="shared" si="4"/>
        <v>#N/A</v>
      </c>
      <c r="AD220" s="218">
        <v>4.0</v>
      </c>
      <c r="AE220" s="216">
        <v>9.0</v>
      </c>
      <c r="AF220" s="218">
        <v>4.0</v>
      </c>
      <c r="AG220" s="216">
        <v>6.0</v>
      </c>
      <c r="AH220" s="77"/>
      <c r="AI220" s="216">
        <v>0.07</v>
      </c>
      <c r="AJ220" s="77"/>
      <c r="AK220" s="77"/>
      <c r="AL220" s="77"/>
      <c r="AM220" s="77"/>
      <c r="AN220" s="77"/>
      <c r="AO220" s="77"/>
      <c r="AP220" s="77"/>
      <c r="AQ220" s="77"/>
      <c r="AR220" s="77"/>
      <c r="AS220" s="77"/>
      <c r="AT220" s="77"/>
      <c r="AU220" s="77"/>
      <c r="AV220" s="77"/>
      <c r="AW220" s="77"/>
      <c r="AX220" s="77"/>
      <c r="AY220" s="77"/>
      <c r="AZ220" s="77"/>
      <c r="BA220" s="77"/>
      <c r="BB220" s="77"/>
      <c r="BC220" s="77"/>
      <c r="BD220" s="77"/>
      <c r="BE220" s="77"/>
    </row>
    <row r="221">
      <c r="A221" s="77" t="s">
        <v>4056</v>
      </c>
      <c r="B221" s="77" t="s">
        <v>4056</v>
      </c>
      <c r="C221" s="77" t="s">
        <v>4059</v>
      </c>
      <c r="D221" s="211" t="s">
        <v>4056</v>
      </c>
      <c r="E221" s="212" t="s">
        <v>4056</v>
      </c>
      <c r="F221" s="212" t="s">
        <v>4056</v>
      </c>
      <c r="G221" s="212" t="s">
        <v>4056</v>
      </c>
      <c r="H221" s="188"/>
      <c r="I221" s="188"/>
      <c r="J221" s="77"/>
      <c r="K221" s="213">
        <v>7.93309964E8</v>
      </c>
      <c r="L221" s="220">
        <v>1.0351542379E11</v>
      </c>
      <c r="M221" s="77"/>
      <c r="N221" s="77"/>
      <c r="O221" s="78" t="s">
        <v>2659</v>
      </c>
      <c r="P221" s="211" t="s">
        <v>2661</v>
      </c>
      <c r="Q221" s="214" t="s">
        <v>4727</v>
      </c>
      <c r="R221" s="77" t="s">
        <v>4057</v>
      </c>
      <c r="S221" s="77"/>
      <c r="T221" s="211" t="s">
        <v>286</v>
      </c>
      <c r="U221" s="211" t="s">
        <v>4058</v>
      </c>
      <c r="V221" s="77"/>
      <c r="W221" s="77"/>
      <c r="X221" s="77"/>
      <c r="Y221" s="77"/>
      <c r="Z221" s="216">
        <v>3.30499E9</v>
      </c>
      <c r="AA221" s="77" t="s">
        <v>6568</v>
      </c>
      <c r="AB221" s="77"/>
      <c r="AC221" s="77" t="str">
        <f t="shared" si="4"/>
        <v>#N/A</v>
      </c>
      <c r="AD221" s="218">
        <v>13.0</v>
      </c>
      <c r="AE221" s="216">
        <v>4.0</v>
      </c>
      <c r="AF221" s="218">
        <v>13.0</v>
      </c>
      <c r="AG221" s="216">
        <v>6.0</v>
      </c>
      <c r="AH221" s="77"/>
      <c r="AI221" s="216">
        <v>0.056</v>
      </c>
      <c r="AJ221" s="77"/>
      <c r="AK221" s="77"/>
      <c r="AL221" s="77"/>
      <c r="AM221" s="77"/>
      <c r="AN221" s="77"/>
      <c r="AO221" s="77"/>
      <c r="AP221" s="77"/>
      <c r="AQ221" s="77"/>
      <c r="AR221" s="77"/>
      <c r="AS221" s="77"/>
      <c r="AT221" s="77"/>
      <c r="AU221" s="77"/>
      <c r="AV221" s="77"/>
      <c r="AW221" s="77"/>
      <c r="AX221" s="77"/>
      <c r="AY221" s="77"/>
      <c r="AZ221" s="77"/>
      <c r="BA221" s="77"/>
      <c r="BB221" s="77"/>
      <c r="BC221" s="77"/>
      <c r="BD221" s="77"/>
      <c r="BE221" s="77"/>
    </row>
    <row r="222">
      <c r="A222" s="77" t="s">
        <v>4536</v>
      </c>
      <c r="B222" s="77" t="s">
        <v>4536</v>
      </c>
      <c r="C222" s="77" t="s">
        <v>4538</v>
      </c>
      <c r="D222" s="211" t="s">
        <v>4536</v>
      </c>
      <c r="E222" s="212" t="s">
        <v>4536</v>
      </c>
      <c r="F222" s="212" t="s">
        <v>4536</v>
      </c>
      <c r="G222" s="212" t="s">
        <v>4536</v>
      </c>
      <c r="H222" s="223" t="s">
        <v>4536</v>
      </c>
      <c r="I222" s="225" t="s">
        <v>4536</v>
      </c>
      <c r="J222" s="77"/>
      <c r="K222" s="213">
        <v>1.271351989E9</v>
      </c>
      <c r="L222" s="220">
        <v>1.03331699962E11</v>
      </c>
      <c r="M222" s="77"/>
      <c r="N222" s="213">
        <v>9.9000125141E10</v>
      </c>
      <c r="O222" s="78" t="s">
        <v>2659</v>
      </c>
      <c r="P222" s="211" t="s">
        <v>2661</v>
      </c>
      <c r="Q222" s="214" t="s">
        <v>4540</v>
      </c>
      <c r="R222" s="77" t="s">
        <v>4537</v>
      </c>
      <c r="S222" s="77"/>
      <c r="T222" s="211" t="s">
        <v>286</v>
      </c>
      <c r="U222" s="211" t="s">
        <v>4058</v>
      </c>
      <c r="V222" s="77"/>
      <c r="W222" s="77"/>
      <c r="X222" s="77"/>
      <c r="Y222" s="77"/>
      <c r="Z222" s="216">
        <v>3.30499E9</v>
      </c>
      <c r="AA222" s="77" t="s">
        <v>6568</v>
      </c>
      <c r="AB222" s="77"/>
      <c r="AC222" s="77" t="str">
        <f t="shared" si="4"/>
        <v>#N/A</v>
      </c>
      <c r="AD222" s="218">
        <v>13.0</v>
      </c>
      <c r="AE222" s="216">
        <v>4.0</v>
      </c>
      <c r="AF222" s="218">
        <v>13.0</v>
      </c>
      <c r="AG222" s="216">
        <v>6.0</v>
      </c>
      <c r="AH222" s="77"/>
      <c r="AI222" s="216">
        <v>0.075</v>
      </c>
      <c r="AJ222" s="77"/>
      <c r="AK222" s="77"/>
      <c r="AL222" s="77"/>
      <c r="AM222" s="77"/>
      <c r="AN222" s="77"/>
      <c r="AO222" s="77"/>
      <c r="AP222" s="77"/>
      <c r="AQ222" s="77"/>
      <c r="AR222" s="77"/>
      <c r="AS222" s="77"/>
      <c r="AT222" s="77"/>
      <c r="AU222" s="77"/>
      <c r="AV222" s="77"/>
      <c r="AW222" s="77"/>
      <c r="AX222" s="77"/>
      <c r="AY222" s="77"/>
      <c r="AZ222" s="77"/>
      <c r="BA222" s="77"/>
      <c r="BB222" s="77"/>
      <c r="BC222" s="77"/>
      <c r="BD222" s="77"/>
      <c r="BE222" s="77"/>
    </row>
    <row r="223">
      <c r="A223" s="77" t="s">
        <v>4006</v>
      </c>
      <c r="B223" s="77" t="s">
        <v>4006</v>
      </c>
      <c r="C223" s="77" t="s">
        <v>4008</v>
      </c>
      <c r="D223" s="211" t="s">
        <v>4006</v>
      </c>
      <c r="E223" s="212" t="s">
        <v>4006</v>
      </c>
      <c r="F223" s="212" t="s">
        <v>4006</v>
      </c>
      <c r="G223" s="212" t="s">
        <v>4006</v>
      </c>
      <c r="H223" s="188"/>
      <c r="I223" s="188"/>
      <c r="J223" s="77"/>
      <c r="K223" s="213">
        <v>7.92260062E8</v>
      </c>
      <c r="L223" s="220">
        <v>1.03340901784E11</v>
      </c>
      <c r="M223" s="77"/>
      <c r="N223" s="77"/>
      <c r="O223" s="78" t="s">
        <v>2659</v>
      </c>
      <c r="P223" s="211" t="s">
        <v>2661</v>
      </c>
      <c r="Q223" s="214" t="s">
        <v>4010</v>
      </c>
      <c r="R223" s="77" t="s">
        <v>4007</v>
      </c>
      <c r="S223" s="77"/>
      <c r="T223" s="211" t="s">
        <v>6539</v>
      </c>
      <c r="U223" s="211" t="s">
        <v>6573</v>
      </c>
      <c r="V223" s="77"/>
      <c r="W223" s="77"/>
      <c r="X223" s="77"/>
      <c r="Y223" s="77"/>
      <c r="Z223" s="216">
        <v>2.103909009E9</v>
      </c>
      <c r="AA223" s="77" t="s">
        <v>6566</v>
      </c>
      <c r="AB223" s="77"/>
      <c r="AC223" s="77" t="str">
        <f t="shared" si="4"/>
        <v>#N/A</v>
      </c>
      <c r="AD223" s="218">
        <v>9.0</v>
      </c>
      <c r="AE223" s="216">
        <v>3.0</v>
      </c>
      <c r="AF223" s="218">
        <v>9.0</v>
      </c>
      <c r="AG223" s="216">
        <v>3.0</v>
      </c>
      <c r="AH223" s="77"/>
      <c r="AI223" s="216">
        <v>0.048</v>
      </c>
      <c r="AJ223" s="77"/>
      <c r="AK223" s="77"/>
      <c r="AL223" s="77"/>
      <c r="AM223" s="77"/>
      <c r="AN223" s="77"/>
      <c r="AO223" s="77"/>
      <c r="AP223" s="77"/>
      <c r="AQ223" s="77"/>
      <c r="AR223" s="77"/>
      <c r="AS223" s="77"/>
      <c r="AT223" s="77"/>
      <c r="AU223" s="77"/>
      <c r="AV223" s="77"/>
      <c r="AW223" s="77"/>
      <c r="AX223" s="77"/>
      <c r="AY223" s="77"/>
      <c r="AZ223" s="77"/>
      <c r="BA223" s="77"/>
      <c r="BB223" s="77"/>
      <c r="BC223" s="77"/>
      <c r="BD223" s="77"/>
      <c r="BE223" s="77"/>
    </row>
    <row r="224">
      <c r="A224" s="77" t="s">
        <v>2890</v>
      </c>
      <c r="B224" s="77" t="s">
        <v>2890</v>
      </c>
      <c r="C224" s="77" t="s">
        <v>2893</v>
      </c>
      <c r="D224" s="211" t="s">
        <v>2890</v>
      </c>
      <c r="E224" s="212" t="s">
        <v>2890</v>
      </c>
      <c r="F224" s="212" t="s">
        <v>2890</v>
      </c>
      <c r="G224" s="212" t="s">
        <v>2890</v>
      </c>
      <c r="H224" s="188"/>
      <c r="I224" s="188"/>
      <c r="J224" s="77"/>
      <c r="K224" s="213">
        <v>1.590087137E9</v>
      </c>
      <c r="L224" s="220">
        <v>1.03515426013E11</v>
      </c>
      <c r="M224" s="77"/>
      <c r="N224" s="77"/>
      <c r="O224" s="78" t="s">
        <v>2659</v>
      </c>
      <c r="P224" s="211" t="s">
        <v>2661</v>
      </c>
      <c r="Q224" s="214" t="s">
        <v>2895</v>
      </c>
      <c r="R224" s="77" t="s">
        <v>2891</v>
      </c>
      <c r="S224" s="77"/>
      <c r="T224" s="211" t="s">
        <v>6539</v>
      </c>
      <c r="U224" s="211" t="s">
        <v>6573</v>
      </c>
      <c r="V224" s="77"/>
      <c r="W224" s="77"/>
      <c r="X224" s="77"/>
      <c r="Y224" s="77"/>
      <c r="Z224" s="216">
        <v>2.106909809E9</v>
      </c>
      <c r="AA224" s="77" t="s">
        <v>6566</v>
      </c>
      <c r="AB224" s="77"/>
      <c r="AC224" s="77" t="str">
        <f t="shared" si="4"/>
        <v>#N/A</v>
      </c>
      <c r="AD224" s="218">
        <v>8.0</v>
      </c>
      <c r="AE224" s="216">
        <v>2.0</v>
      </c>
      <c r="AF224" s="218">
        <v>8.0</v>
      </c>
      <c r="AG224" s="216">
        <v>6.0</v>
      </c>
      <c r="AH224" s="77"/>
      <c r="AI224" s="216">
        <v>0.046</v>
      </c>
      <c r="AJ224" s="77"/>
      <c r="AK224" s="77"/>
      <c r="AL224" s="77"/>
      <c r="AM224" s="77"/>
      <c r="AN224" s="77"/>
      <c r="AO224" s="77"/>
      <c r="AP224" s="77"/>
      <c r="AQ224" s="77"/>
      <c r="AR224" s="77"/>
      <c r="AS224" s="77"/>
      <c r="AT224" s="77"/>
      <c r="AU224" s="77"/>
      <c r="AV224" s="77"/>
      <c r="AW224" s="77"/>
      <c r="AX224" s="77"/>
      <c r="AY224" s="77"/>
      <c r="AZ224" s="77"/>
      <c r="BA224" s="77"/>
      <c r="BB224" s="77"/>
      <c r="BC224" s="77"/>
      <c r="BD224" s="77"/>
      <c r="BE224" s="77"/>
    </row>
    <row r="225">
      <c r="A225" s="77" t="s">
        <v>4299</v>
      </c>
      <c r="B225" s="77" t="s">
        <v>4302</v>
      </c>
      <c r="C225" s="77" t="s">
        <v>4301</v>
      </c>
      <c r="D225" s="211" t="s">
        <v>4299</v>
      </c>
      <c r="E225" s="212" t="s">
        <v>4302</v>
      </c>
      <c r="F225" s="212" t="s">
        <v>4299</v>
      </c>
      <c r="G225" s="212" t="s">
        <v>4299</v>
      </c>
      <c r="H225" s="188"/>
      <c r="I225" s="188"/>
      <c r="J225" s="77"/>
      <c r="K225" s="213">
        <v>2.88894202E8</v>
      </c>
      <c r="L225" s="220">
        <v>1.03340894497E11</v>
      </c>
      <c r="M225" s="77"/>
      <c r="N225" s="77"/>
      <c r="O225" s="78" t="s">
        <v>2659</v>
      </c>
      <c r="P225" s="211" t="s">
        <v>2661</v>
      </c>
      <c r="Q225" s="214" t="s">
        <v>4304</v>
      </c>
      <c r="R225" s="77" t="s">
        <v>4300</v>
      </c>
      <c r="S225" s="77"/>
      <c r="T225" s="211" t="s">
        <v>286</v>
      </c>
      <c r="U225" s="211" t="s">
        <v>2664</v>
      </c>
      <c r="V225" s="77"/>
      <c r="W225" s="77"/>
      <c r="X225" s="77"/>
      <c r="Y225" s="77"/>
      <c r="Z225" s="216">
        <v>3.30499E9</v>
      </c>
      <c r="AA225" s="77" t="s">
        <v>6568</v>
      </c>
      <c r="AB225" s="77"/>
      <c r="AC225" s="77" t="str">
        <f t="shared" si="4"/>
        <v>#N/A</v>
      </c>
      <c r="AD225" s="218">
        <v>10.0</v>
      </c>
      <c r="AE225" s="216">
        <v>3.0</v>
      </c>
      <c r="AF225" s="218">
        <v>10.0</v>
      </c>
      <c r="AG225" s="216">
        <v>3.0</v>
      </c>
      <c r="AH225" s="77"/>
      <c r="AI225" s="216">
        <v>0.045</v>
      </c>
      <c r="AJ225" s="77"/>
      <c r="AK225" s="77"/>
      <c r="AL225" s="77"/>
      <c r="AM225" s="77"/>
      <c r="AN225" s="77"/>
      <c r="AO225" s="77"/>
      <c r="AP225" s="77"/>
      <c r="AQ225" s="77"/>
      <c r="AR225" s="77"/>
      <c r="AS225" s="77"/>
      <c r="AT225" s="77"/>
      <c r="AU225" s="77"/>
      <c r="AV225" s="77"/>
      <c r="AW225" s="77"/>
      <c r="AX225" s="77"/>
      <c r="AY225" s="77"/>
      <c r="AZ225" s="77"/>
      <c r="BA225" s="77"/>
      <c r="BB225" s="77"/>
      <c r="BC225" s="77"/>
      <c r="BD225" s="77"/>
      <c r="BE225" s="77"/>
    </row>
    <row r="226">
      <c r="A226" s="77" t="s">
        <v>3998</v>
      </c>
      <c r="B226" s="77" t="s">
        <v>3998</v>
      </c>
      <c r="C226" s="77" t="s">
        <v>4000</v>
      </c>
      <c r="D226" s="211" t="s">
        <v>3998</v>
      </c>
      <c r="E226" s="212" t="s">
        <v>3998</v>
      </c>
      <c r="F226" s="212" t="s">
        <v>3998</v>
      </c>
      <c r="G226" s="212" t="s">
        <v>3998</v>
      </c>
      <c r="H226" s="188"/>
      <c r="I226" s="188"/>
      <c r="J226" s="77"/>
      <c r="K226" s="213">
        <v>2.89049035E8</v>
      </c>
      <c r="L226" s="220">
        <v>1.03533003777E11</v>
      </c>
      <c r="M226" s="77"/>
      <c r="N226" s="77"/>
      <c r="O226" s="78" t="s">
        <v>2659</v>
      </c>
      <c r="P226" s="211" t="s">
        <v>2661</v>
      </c>
      <c r="Q226" s="214" t="s">
        <v>4001</v>
      </c>
      <c r="R226" s="77" t="s">
        <v>3999</v>
      </c>
      <c r="S226" s="77"/>
      <c r="T226" s="211" t="s">
        <v>286</v>
      </c>
      <c r="U226" s="211" t="s">
        <v>2664</v>
      </c>
      <c r="V226" s="77"/>
      <c r="W226" s="77"/>
      <c r="X226" s="77"/>
      <c r="Y226" s="77"/>
      <c r="Z226" s="216">
        <v>3.30499E9</v>
      </c>
      <c r="AA226" s="77" t="s">
        <v>6568</v>
      </c>
      <c r="AB226" s="77"/>
      <c r="AC226" s="77" t="str">
        <f t="shared" si="4"/>
        <v>#N/A</v>
      </c>
      <c r="AD226" s="218">
        <v>3.0</v>
      </c>
      <c r="AE226" s="216">
        <v>11.0</v>
      </c>
      <c r="AF226" s="218">
        <v>3.0</v>
      </c>
      <c r="AG226" s="216">
        <v>4.0</v>
      </c>
      <c r="AH226" s="77"/>
      <c r="AI226" s="216">
        <v>0.05</v>
      </c>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row>
    <row r="227">
      <c r="A227" s="77" t="s">
        <v>5066</v>
      </c>
      <c r="B227" s="77" t="s">
        <v>5066</v>
      </c>
      <c r="C227" s="77" t="s">
        <v>5068</v>
      </c>
      <c r="D227" s="211" t="s">
        <v>5066</v>
      </c>
      <c r="E227" s="212" t="s">
        <v>5066</v>
      </c>
      <c r="F227" s="212" t="s">
        <v>5066</v>
      </c>
      <c r="G227" s="212" t="s">
        <v>5066</v>
      </c>
      <c r="H227" s="188"/>
      <c r="I227" s="188"/>
      <c r="J227" s="77"/>
      <c r="K227" s="213">
        <v>3.01630774E8</v>
      </c>
      <c r="L227" s="220">
        <v>1.02174014381E11</v>
      </c>
      <c r="M227" s="77"/>
      <c r="N227" s="77"/>
      <c r="O227" s="78" t="s">
        <v>2659</v>
      </c>
      <c r="P227" s="211" t="s">
        <v>2661</v>
      </c>
      <c r="Q227" s="214" t="s">
        <v>5070</v>
      </c>
      <c r="R227" s="77" t="s">
        <v>5067</v>
      </c>
      <c r="S227" s="77"/>
      <c r="T227" s="211" t="s">
        <v>6539</v>
      </c>
      <c r="U227" s="211" t="s">
        <v>4676</v>
      </c>
      <c r="V227" s="77"/>
      <c r="W227" s="77"/>
      <c r="X227" s="77"/>
      <c r="Y227" s="77"/>
      <c r="Z227" s="216">
        <v>2106.0</v>
      </c>
      <c r="AA227" s="77" t="s">
        <v>6566</v>
      </c>
      <c r="AB227" s="77"/>
      <c r="AC227" s="77" t="str">
        <f t="shared" si="4"/>
        <v>#N/A</v>
      </c>
      <c r="AD227" s="218">
        <v>12.0</v>
      </c>
      <c r="AE227" s="216">
        <v>2.0</v>
      </c>
      <c r="AF227" s="218">
        <v>12.0</v>
      </c>
      <c r="AG227" s="216">
        <v>7.0</v>
      </c>
      <c r="AH227" s="77"/>
      <c r="AI227" s="216">
        <v>0.046</v>
      </c>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row>
    <row r="228">
      <c r="A228" s="77" t="s">
        <v>4888</v>
      </c>
      <c r="B228" s="77" t="s">
        <v>4888</v>
      </c>
      <c r="C228" s="77" t="s">
        <v>4890</v>
      </c>
      <c r="D228" s="211" t="s">
        <v>4888</v>
      </c>
      <c r="E228" s="212" t="s">
        <v>4888</v>
      </c>
      <c r="F228" s="212" t="s">
        <v>4888</v>
      </c>
      <c r="G228" s="212" t="s">
        <v>4888</v>
      </c>
      <c r="H228" s="188"/>
      <c r="I228" s="188"/>
      <c r="J228" s="77"/>
      <c r="K228" s="213">
        <v>2.89386465E8</v>
      </c>
      <c r="L228" s="220">
        <v>1.03532996846E11</v>
      </c>
      <c r="M228" s="77"/>
      <c r="N228" s="77"/>
      <c r="O228" s="78" t="s">
        <v>2659</v>
      </c>
      <c r="P228" s="211" t="s">
        <v>2661</v>
      </c>
      <c r="Q228" s="214" t="s">
        <v>4891</v>
      </c>
      <c r="R228" s="77" t="s">
        <v>4889</v>
      </c>
      <c r="S228" s="77"/>
      <c r="T228" s="211" t="s">
        <v>286</v>
      </c>
      <c r="U228" s="211" t="s">
        <v>2664</v>
      </c>
      <c r="V228" s="77"/>
      <c r="W228" s="77"/>
      <c r="X228" s="77"/>
      <c r="Y228" s="77"/>
      <c r="Z228" s="216">
        <v>3.30499E9</v>
      </c>
      <c r="AA228" s="77" t="s">
        <v>6568</v>
      </c>
      <c r="AB228" s="77"/>
      <c r="AC228" s="77" t="str">
        <f t="shared" si="4"/>
        <v>#N/A</v>
      </c>
      <c r="AD228" s="218">
        <v>10.0</v>
      </c>
      <c r="AE228" s="216">
        <v>3.0</v>
      </c>
      <c r="AF228" s="218">
        <v>10.0</v>
      </c>
      <c r="AG228" s="216">
        <v>3.0</v>
      </c>
      <c r="AH228" s="77"/>
      <c r="AI228" s="216">
        <v>0.045</v>
      </c>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row>
    <row r="229">
      <c r="A229" s="77" t="s">
        <v>3597</v>
      </c>
      <c r="B229" s="77" t="s">
        <v>3597</v>
      </c>
      <c r="C229" s="77" t="s">
        <v>3599</v>
      </c>
      <c r="D229" s="211" t="s">
        <v>3597</v>
      </c>
      <c r="E229" s="212" t="s">
        <v>3597</v>
      </c>
      <c r="F229" s="212" t="s">
        <v>3597</v>
      </c>
      <c r="G229" s="212" t="s">
        <v>3597</v>
      </c>
      <c r="H229" s="188"/>
      <c r="I229" s="188"/>
      <c r="J229" s="77"/>
      <c r="K229" s="213">
        <v>3.27290561E8</v>
      </c>
      <c r="L229" s="220">
        <v>1.03544213248E11</v>
      </c>
      <c r="M229" s="77"/>
      <c r="N229" s="77"/>
      <c r="O229" s="78" t="s">
        <v>2659</v>
      </c>
      <c r="P229" s="211" t="s">
        <v>2661</v>
      </c>
      <c r="Q229" s="214" t="s">
        <v>6574</v>
      </c>
      <c r="R229" s="77" t="s">
        <v>3598</v>
      </c>
      <c r="S229" s="77"/>
      <c r="T229" s="211" t="s">
        <v>286</v>
      </c>
      <c r="U229" s="211" t="s">
        <v>2664</v>
      </c>
      <c r="V229" s="77"/>
      <c r="W229" s="77"/>
      <c r="X229" s="77"/>
      <c r="Y229" s="77"/>
      <c r="Z229" s="216">
        <v>3.30499E9</v>
      </c>
      <c r="AA229" s="77" t="s">
        <v>6568</v>
      </c>
      <c r="AB229" s="77"/>
      <c r="AC229" s="77" t="str">
        <f t="shared" si="4"/>
        <v>#N/A</v>
      </c>
      <c r="AD229" s="218">
        <v>14.0</v>
      </c>
      <c r="AE229" s="216">
        <v>4.0</v>
      </c>
      <c r="AF229" s="218">
        <v>14.0</v>
      </c>
      <c r="AG229" s="216">
        <v>6.0</v>
      </c>
      <c r="AH229" s="77"/>
      <c r="AI229" s="216">
        <v>0.054</v>
      </c>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row>
    <row r="230">
      <c r="A230" s="77" t="s">
        <v>3790</v>
      </c>
      <c r="B230" s="77" t="s">
        <v>3790</v>
      </c>
      <c r="C230" s="77" t="s">
        <v>3792</v>
      </c>
      <c r="D230" s="211" t="s">
        <v>3790</v>
      </c>
      <c r="E230" s="212" t="s">
        <v>3790</v>
      </c>
      <c r="F230" s="212" t="s">
        <v>3790</v>
      </c>
      <c r="G230" s="212" t="s">
        <v>3790</v>
      </c>
      <c r="H230" s="188"/>
      <c r="I230" s="188"/>
      <c r="J230" s="77"/>
      <c r="K230" s="213">
        <v>1.12926195E9</v>
      </c>
      <c r="L230" s="220">
        <v>1.03515429719E11</v>
      </c>
      <c r="M230" s="77"/>
      <c r="N230" s="77"/>
      <c r="O230" s="78" t="s">
        <v>2659</v>
      </c>
      <c r="P230" s="211" t="s">
        <v>2661</v>
      </c>
      <c r="Q230" s="214" t="s">
        <v>3793</v>
      </c>
      <c r="R230" s="77" t="s">
        <v>3791</v>
      </c>
      <c r="S230" s="77"/>
      <c r="T230" s="211" t="s">
        <v>286</v>
      </c>
      <c r="U230" s="211" t="s">
        <v>2664</v>
      </c>
      <c r="V230" s="77"/>
      <c r="W230" s="77"/>
      <c r="X230" s="77"/>
      <c r="Y230" s="77"/>
      <c r="Z230" s="216">
        <v>3.30499E9</v>
      </c>
      <c r="AA230" s="77" t="s">
        <v>6568</v>
      </c>
      <c r="AB230" s="77"/>
      <c r="AC230" s="77" t="str">
        <f t="shared" si="4"/>
        <v>#N/A</v>
      </c>
      <c r="AD230" s="218">
        <v>17.0</v>
      </c>
      <c r="AE230" s="216">
        <v>7.0</v>
      </c>
      <c r="AF230" s="218">
        <v>17.0</v>
      </c>
      <c r="AG230" s="216">
        <v>11.0</v>
      </c>
      <c r="AH230" s="77"/>
      <c r="AI230" s="216">
        <v>0.11</v>
      </c>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row>
    <row r="231">
      <c r="A231" s="77" t="s">
        <v>5013</v>
      </c>
      <c r="B231" s="77" t="s">
        <v>5013</v>
      </c>
      <c r="C231" s="77" t="s">
        <v>5015</v>
      </c>
      <c r="D231" s="211" t="s">
        <v>5013</v>
      </c>
      <c r="E231" s="212" t="s">
        <v>5013</v>
      </c>
      <c r="F231" s="212" t="s">
        <v>5013</v>
      </c>
      <c r="G231" s="212" t="s">
        <v>5013</v>
      </c>
      <c r="H231" s="188"/>
      <c r="I231" s="188"/>
      <c r="J231" s="77"/>
      <c r="K231" s="213">
        <v>1.15456532E9</v>
      </c>
      <c r="L231" s="220">
        <v>1.03544230414E11</v>
      </c>
      <c r="M231" s="77"/>
      <c r="N231" s="77"/>
      <c r="O231" s="78" t="s">
        <v>2659</v>
      </c>
      <c r="P231" s="211" t="s">
        <v>2661</v>
      </c>
      <c r="Q231" s="214" t="s">
        <v>5016</v>
      </c>
      <c r="R231" s="77" t="s">
        <v>5014</v>
      </c>
      <c r="S231" s="77"/>
      <c r="T231" s="211" t="s">
        <v>286</v>
      </c>
      <c r="U231" s="211" t="s">
        <v>2664</v>
      </c>
      <c r="V231" s="77"/>
      <c r="W231" s="77"/>
      <c r="X231" s="77"/>
      <c r="Y231" s="77"/>
      <c r="Z231" s="216">
        <v>3.30499E9</v>
      </c>
      <c r="AA231" s="77" t="s">
        <v>6568</v>
      </c>
      <c r="AB231" s="77"/>
      <c r="AC231" s="77" t="str">
        <f t="shared" si="4"/>
        <v>#N/A</v>
      </c>
      <c r="AD231" s="218">
        <v>15.0</v>
      </c>
      <c r="AE231" s="216">
        <v>6.0</v>
      </c>
      <c r="AF231" s="218">
        <v>15.0</v>
      </c>
      <c r="AG231" s="216">
        <v>22.0</v>
      </c>
      <c r="AH231" s="77"/>
      <c r="AI231" s="216">
        <v>0.152</v>
      </c>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row>
    <row r="232">
      <c r="A232" s="77" t="s">
        <v>4401</v>
      </c>
      <c r="B232" s="77" t="s">
        <v>4401</v>
      </c>
      <c r="C232" s="77" t="s">
        <v>4403</v>
      </c>
      <c r="D232" s="211" t="s">
        <v>4401</v>
      </c>
      <c r="E232" s="212" t="s">
        <v>4401</v>
      </c>
      <c r="F232" s="212" t="s">
        <v>4401</v>
      </c>
      <c r="G232" s="212" t="s">
        <v>4401</v>
      </c>
      <c r="H232" s="188"/>
      <c r="I232" s="188"/>
      <c r="J232" s="77"/>
      <c r="K232" s="213">
        <v>1.15457288E9</v>
      </c>
      <c r="L232" s="220">
        <v>1.03515438901E11</v>
      </c>
      <c r="M232" s="77"/>
      <c r="N232" s="77"/>
      <c r="O232" s="78" t="s">
        <v>2659</v>
      </c>
      <c r="P232" s="211" t="s">
        <v>2661</v>
      </c>
      <c r="Q232" s="214" t="s">
        <v>4404</v>
      </c>
      <c r="R232" s="77" t="s">
        <v>4402</v>
      </c>
      <c r="S232" s="77"/>
      <c r="T232" s="211" t="s">
        <v>286</v>
      </c>
      <c r="U232" s="211" t="s">
        <v>2664</v>
      </c>
      <c r="V232" s="77"/>
      <c r="W232" s="77"/>
      <c r="X232" s="77"/>
      <c r="Y232" s="77"/>
      <c r="Z232" s="216">
        <v>3.30499E9</v>
      </c>
      <c r="AA232" s="77" t="s">
        <v>6568</v>
      </c>
      <c r="AB232" s="77"/>
      <c r="AC232" s="77" t="str">
        <f t="shared" si="4"/>
        <v>#N/A</v>
      </c>
      <c r="AD232" s="218">
        <v>14.0</v>
      </c>
      <c r="AE232" s="216">
        <v>6.0</v>
      </c>
      <c r="AF232" s="218">
        <v>14.0</v>
      </c>
      <c r="AG232" s="216">
        <v>9.0</v>
      </c>
      <c r="AH232" s="77"/>
      <c r="AI232" s="216">
        <v>0.092</v>
      </c>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row>
    <row r="233">
      <c r="A233" s="77" t="s">
        <v>3962</v>
      </c>
      <c r="B233" s="77" t="s">
        <v>3962</v>
      </c>
      <c r="C233" s="77" t="s">
        <v>3964</v>
      </c>
      <c r="D233" s="211" t="s">
        <v>3962</v>
      </c>
      <c r="E233" s="212" t="s">
        <v>3962</v>
      </c>
      <c r="F233" s="212" t="s">
        <v>3962</v>
      </c>
      <c r="G233" s="212" t="s">
        <v>3962</v>
      </c>
      <c r="H233" s="188"/>
      <c r="I233" s="188"/>
      <c r="J233" s="77"/>
      <c r="K233" s="213">
        <v>1.323284376E9</v>
      </c>
      <c r="L233" s="220">
        <v>1.03755917392E11</v>
      </c>
      <c r="M233" s="77"/>
      <c r="N233" s="77"/>
      <c r="O233" s="78" t="s">
        <v>2659</v>
      </c>
      <c r="P233" s="211" t="s">
        <v>2661</v>
      </c>
      <c r="Q233" s="214" t="s">
        <v>3965</v>
      </c>
      <c r="R233" s="77" t="s">
        <v>3963</v>
      </c>
      <c r="S233" s="77"/>
      <c r="T233" s="211" t="s">
        <v>286</v>
      </c>
      <c r="U233" s="211" t="s">
        <v>2664</v>
      </c>
      <c r="V233" s="77"/>
      <c r="W233" s="77"/>
      <c r="X233" s="77"/>
      <c r="Y233" s="77"/>
      <c r="Z233" s="216">
        <v>3.30499E9</v>
      </c>
      <c r="AA233" s="77" t="s">
        <v>6568</v>
      </c>
      <c r="AB233" s="77"/>
      <c r="AC233" s="77" t="str">
        <f t="shared" si="4"/>
        <v>#N/A</v>
      </c>
      <c r="AD233" s="218">
        <v>14.0</v>
      </c>
      <c r="AE233" s="216">
        <v>4.0</v>
      </c>
      <c r="AF233" s="218">
        <v>14.0</v>
      </c>
      <c r="AG233" s="216">
        <v>4.0</v>
      </c>
      <c r="AH233" s="77"/>
      <c r="AI233" s="216">
        <v>0.09</v>
      </c>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row>
    <row r="234">
      <c r="A234" s="77" t="s">
        <v>3871</v>
      </c>
      <c r="B234" s="77" t="s">
        <v>3871</v>
      </c>
      <c r="C234" s="77" t="s">
        <v>3873</v>
      </c>
      <c r="D234" s="211" t="s">
        <v>3871</v>
      </c>
      <c r="E234" s="212" t="s">
        <v>3871</v>
      </c>
      <c r="F234" s="212" t="s">
        <v>3871</v>
      </c>
      <c r="G234" s="212" t="s">
        <v>3871</v>
      </c>
      <c r="H234" s="188"/>
      <c r="I234" s="188"/>
      <c r="J234" s="77"/>
      <c r="K234" s="213">
        <v>1.324992259E9</v>
      </c>
      <c r="L234" s="220">
        <v>1.03614742297E11</v>
      </c>
      <c r="M234" s="77"/>
      <c r="N234" s="77"/>
      <c r="O234" s="78" t="s">
        <v>2659</v>
      </c>
      <c r="P234" s="211" t="s">
        <v>2661</v>
      </c>
      <c r="Q234" s="214" t="s">
        <v>3875</v>
      </c>
      <c r="R234" s="77" t="s">
        <v>3872</v>
      </c>
      <c r="S234" s="77"/>
      <c r="T234" s="211" t="s">
        <v>286</v>
      </c>
      <c r="U234" s="211" t="s">
        <v>2664</v>
      </c>
      <c r="V234" s="77"/>
      <c r="W234" s="77"/>
      <c r="X234" s="77"/>
      <c r="Y234" s="77"/>
      <c r="Z234" s="216">
        <v>3.30499E9</v>
      </c>
      <c r="AA234" s="77" t="s">
        <v>6568</v>
      </c>
      <c r="AB234" s="77"/>
      <c r="AC234" s="77" t="str">
        <f t="shared" si="4"/>
        <v>#N/A</v>
      </c>
      <c r="AD234" s="218">
        <v>12.0</v>
      </c>
      <c r="AE234" s="216">
        <v>4.0</v>
      </c>
      <c r="AF234" s="218">
        <v>12.0</v>
      </c>
      <c r="AG234" s="216">
        <v>4.0</v>
      </c>
      <c r="AH234" s="77"/>
      <c r="AI234" s="216">
        <v>0.08</v>
      </c>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row>
    <row r="235">
      <c r="A235" s="77" t="s">
        <v>4588</v>
      </c>
      <c r="B235" s="77" t="s">
        <v>4588</v>
      </c>
      <c r="C235" s="77" t="s">
        <v>4590</v>
      </c>
      <c r="D235" s="211" t="s">
        <v>4588</v>
      </c>
      <c r="E235" s="212" t="s">
        <v>4588</v>
      </c>
      <c r="F235" s="212" t="s">
        <v>4588</v>
      </c>
      <c r="G235" s="212" t="s">
        <v>4588</v>
      </c>
      <c r="H235" s="188"/>
      <c r="I235" s="188"/>
      <c r="J235" s="77"/>
      <c r="K235" s="213">
        <v>1.324991816E9</v>
      </c>
      <c r="L235" s="220">
        <v>1.03614742296E11</v>
      </c>
      <c r="M235" s="77"/>
      <c r="N235" s="77"/>
      <c r="O235" s="78" t="s">
        <v>2659</v>
      </c>
      <c r="P235" s="211" t="s">
        <v>2661</v>
      </c>
      <c r="Q235" s="214" t="s">
        <v>4591</v>
      </c>
      <c r="R235" s="77" t="s">
        <v>4589</v>
      </c>
      <c r="S235" s="77"/>
      <c r="T235" s="211" t="s">
        <v>286</v>
      </c>
      <c r="U235" s="211" t="s">
        <v>2664</v>
      </c>
      <c r="V235" s="77"/>
      <c r="W235" s="77"/>
      <c r="X235" s="77"/>
      <c r="Y235" s="77"/>
      <c r="Z235" s="216">
        <v>3.30499E9</v>
      </c>
      <c r="AA235" s="77" t="s">
        <v>6568</v>
      </c>
      <c r="AB235" s="77"/>
      <c r="AC235" s="77" t="str">
        <f t="shared" si="4"/>
        <v>#N/A</v>
      </c>
      <c r="AD235" s="218">
        <v>8.0</v>
      </c>
      <c r="AE235" s="216">
        <v>5.0</v>
      </c>
      <c r="AF235" s="218">
        <v>8.0</v>
      </c>
      <c r="AG235" s="216">
        <v>14.0</v>
      </c>
      <c r="AH235" s="77"/>
      <c r="AI235" s="216">
        <v>0.14</v>
      </c>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row>
    <row r="236">
      <c r="A236" s="77" t="s">
        <v>3114</v>
      </c>
      <c r="B236" s="77" t="s">
        <v>3114</v>
      </c>
      <c r="C236" s="77" t="s">
        <v>3116</v>
      </c>
      <c r="D236" s="211" t="s">
        <v>3114</v>
      </c>
      <c r="E236" s="212" t="s">
        <v>3114</v>
      </c>
      <c r="F236" s="212" t="s">
        <v>3114</v>
      </c>
      <c r="G236" s="212" t="s">
        <v>3114</v>
      </c>
      <c r="H236" s="188"/>
      <c r="I236" s="188"/>
      <c r="J236" s="77"/>
      <c r="K236" s="213">
        <v>1.354226463E9</v>
      </c>
      <c r="L236" s="220">
        <v>1.03614742298E11</v>
      </c>
      <c r="M236" s="77"/>
      <c r="N236" s="77"/>
      <c r="O236" s="78" t="s">
        <v>2659</v>
      </c>
      <c r="P236" s="211" t="s">
        <v>2661</v>
      </c>
      <c r="Q236" s="214" t="s">
        <v>3118</v>
      </c>
      <c r="R236" s="77" t="s">
        <v>3115</v>
      </c>
      <c r="S236" s="77"/>
      <c r="T236" s="211" t="s">
        <v>286</v>
      </c>
      <c r="U236" s="211" t="s">
        <v>2664</v>
      </c>
      <c r="V236" s="77"/>
      <c r="W236" s="77"/>
      <c r="X236" s="77"/>
      <c r="Y236" s="77"/>
      <c r="Z236" s="216">
        <v>3.30499E9</v>
      </c>
      <c r="AA236" s="77" t="s">
        <v>6568</v>
      </c>
      <c r="AB236" s="77"/>
      <c r="AC236" s="77" t="str">
        <f t="shared" si="4"/>
        <v>#N/A</v>
      </c>
      <c r="AD236" s="218">
        <v>5.0</v>
      </c>
      <c r="AE236" s="216">
        <v>4.0</v>
      </c>
      <c r="AF236" s="218">
        <v>5.0</v>
      </c>
      <c r="AG236" s="216">
        <v>15.0</v>
      </c>
      <c r="AH236" s="77"/>
      <c r="AI236" s="216">
        <v>0.09</v>
      </c>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row>
    <row r="237">
      <c r="A237" s="77" t="s">
        <v>2660</v>
      </c>
      <c r="B237" s="77" t="s">
        <v>2660</v>
      </c>
      <c r="C237" s="77" t="s">
        <v>5684</v>
      </c>
      <c r="D237" s="211" t="s">
        <v>2660</v>
      </c>
      <c r="E237" s="212" t="s">
        <v>2660</v>
      </c>
      <c r="F237" s="212" t="s">
        <v>2660</v>
      </c>
      <c r="G237" s="212" t="s">
        <v>2660</v>
      </c>
      <c r="H237" s="188"/>
      <c r="I237" s="188"/>
      <c r="J237" s="77"/>
      <c r="K237" s="213">
        <v>1.527086051E9</v>
      </c>
      <c r="L237" s="220">
        <v>1.03515411883E11</v>
      </c>
      <c r="M237" s="77"/>
      <c r="N237" s="77"/>
      <c r="O237" s="78" t="s">
        <v>2659</v>
      </c>
      <c r="P237" s="211" t="s">
        <v>2661</v>
      </c>
      <c r="Q237" s="214" t="s">
        <v>2667</v>
      </c>
      <c r="R237" s="77" t="s">
        <v>2662</v>
      </c>
      <c r="S237" s="77"/>
      <c r="T237" s="211" t="s">
        <v>286</v>
      </c>
      <c r="U237" s="211" t="s">
        <v>2664</v>
      </c>
      <c r="V237" s="77"/>
      <c r="W237" s="77"/>
      <c r="X237" s="77"/>
      <c r="Y237" s="77"/>
      <c r="Z237" s="216">
        <v>3.30499E9</v>
      </c>
      <c r="AA237" s="77" t="s">
        <v>6568</v>
      </c>
      <c r="AB237" s="77"/>
      <c r="AC237" s="77" t="str">
        <f t="shared" si="4"/>
        <v>#N/A</v>
      </c>
      <c r="AD237" s="218">
        <v>12.0</v>
      </c>
      <c r="AE237" s="216">
        <v>4.0</v>
      </c>
      <c r="AF237" s="218">
        <v>12.0</v>
      </c>
      <c r="AG237" s="216">
        <v>5.0</v>
      </c>
      <c r="AH237" s="77"/>
      <c r="AI237" s="216">
        <v>0.05</v>
      </c>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row>
    <row r="238">
      <c r="A238" s="77" t="s">
        <v>2660</v>
      </c>
      <c r="B238" s="77" t="s">
        <v>2660</v>
      </c>
      <c r="C238" s="77" t="s">
        <v>2665</v>
      </c>
      <c r="D238" s="211" t="s">
        <v>2660</v>
      </c>
      <c r="E238" s="212" t="s">
        <v>2660</v>
      </c>
      <c r="F238" s="212" t="s">
        <v>2660</v>
      </c>
      <c r="G238" s="212" t="s">
        <v>2660</v>
      </c>
      <c r="H238" s="188"/>
      <c r="I238" s="188"/>
      <c r="J238" s="77"/>
      <c r="K238" s="213">
        <v>2.031274296E9</v>
      </c>
      <c r="L238" s="220">
        <v>1.03515411883E11</v>
      </c>
      <c r="M238" s="77"/>
      <c r="N238" s="77"/>
      <c r="O238" s="78" t="s">
        <v>2659</v>
      </c>
      <c r="P238" s="211" t="s">
        <v>2661</v>
      </c>
      <c r="Q238" s="214" t="s">
        <v>2667</v>
      </c>
      <c r="R238" s="77" t="s">
        <v>2662</v>
      </c>
      <c r="S238" s="77"/>
      <c r="T238" s="211" t="s">
        <v>286</v>
      </c>
      <c r="U238" s="211" t="s">
        <v>2664</v>
      </c>
      <c r="V238" s="77"/>
      <c r="W238" s="77"/>
      <c r="X238" s="77"/>
      <c r="Y238" s="77"/>
      <c r="Z238" s="216">
        <v>3.30499E9</v>
      </c>
      <c r="AA238" s="77" t="s">
        <v>6568</v>
      </c>
      <c r="AB238" s="77"/>
      <c r="AC238" s="77" t="str">
        <f t="shared" si="4"/>
        <v>#N/A</v>
      </c>
      <c r="AD238" s="218">
        <v>12.0</v>
      </c>
      <c r="AE238" s="216">
        <v>4.0</v>
      </c>
      <c r="AF238" s="218">
        <v>12.0</v>
      </c>
      <c r="AG238" s="216">
        <v>5.0</v>
      </c>
      <c r="AH238" s="77"/>
      <c r="AI238" s="216">
        <v>0.05</v>
      </c>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row>
    <row r="239">
      <c r="A239" s="77" t="s">
        <v>3145</v>
      </c>
      <c r="B239" s="77" t="s">
        <v>3145</v>
      </c>
      <c r="C239" s="77" t="s">
        <v>3147</v>
      </c>
      <c r="D239" s="211" t="s">
        <v>3145</v>
      </c>
      <c r="E239" s="212" t="s">
        <v>3145</v>
      </c>
      <c r="F239" s="212" t="s">
        <v>3145</v>
      </c>
      <c r="G239" s="212" t="s">
        <v>3145</v>
      </c>
      <c r="H239" s="188"/>
      <c r="I239" s="188"/>
      <c r="J239" s="77"/>
      <c r="K239" s="213">
        <v>1.548037857E9</v>
      </c>
      <c r="L239" s="220">
        <v>1.03515421547E11</v>
      </c>
      <c r="M239" s="77"/>
      <c r="N239" s="77"/>
      <c r="O239" s="78" t="s">
        <v>2659</v>
      </c>
      <c r="P239" s="211" t="s">
        <v>2661</v>
      </c>
      <c r="Q239" s="214" t="s">
        <v>3149</v>
      </c>
      <c r="R239" s="77" t="s">
        <v>3146</v>
      </c>
      <c r="S239" s="77"/>
      <c r="T239" s="211" t="s">
        <v>286</v>
      </c>
      <c r="U239" s="211" t="s">
        <v>2664</v>
      </c>
      <c r="V239" s="77"/>
      <c r="W239" s="77"/>
      <c r="X239" s="77"/>
      <c r="Y239" s="77"/>
      <c r="Z239" s="216">
        <v>3.30499E9</v>
      </c>
      <c r="AA239" s="77" t="s">
        <v>6568</v>
      </c>
      <c r="AB239" s="77"/>
      <c r="AC239" s="77" t="str">
        <f t="shared" si="4"/>
        <v>#N/A</v>
      </c>
      <c r="AD239" s="218">
        <v>5.0</v>
      </c>
      <c r="AE239" s="216">
        <v>5.0</v>
      </c>
      <c r="AF239" s="218">
        <v>5.0</v>
      </c>
      <c r="AG239" s="216">
        <v>15.0</v>
      </c>
      <c r="AH239" s="77"/>
      <c r="AI239" s="216">
        <v>0.07</v>
      </c>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row>
    <row r="240">
      <c r="A240" s="77" t="s">
        <v>3942</v>
      </c>
      <c r="B240" s="77" t="s">
        <v>3942</v>
      </c>
      <c r="C240" s="77" t="s">
        <v>3944</v>
      </c>
      <c r="D240" s="211" t="s">
        <v>3942</v>
      </c>
      <c r="E240" s="212" t="s">
        <v>3942</v>
      </c>
      <c r="F240" s="212" t="s">
        <v>3942</v>
      </c>
      <c r="G240" s="212" t="s">
        <v>3942</v>
      </c>
      <c r="H240" s="188"/>
      <c r="I240" s="188"/>
      <c r="J240" s="77"/>
      <c r="K240" s="213">
        <v>1.646797818E9</v>
      </c>
      <c r="L240" s="220">
        <v>1.0354422505E11</v>
      </c>
      <c r="M240" s="77"/>
      <c r="N240" s="77"/>
      <c r="O240" s="78" t="s">
        <v>2659</v>
      </c>
      <c r="P240" s="211" t="s">
        <v>2661</v>
      </c>
      <c r="Q240" s="214" t="s">
        <v>3946</v>
      </c>
      <c r="R240" s="77" t="s">
        <v>3943</v>
      </c>
      <c r="S240" s="77"/>
      <c r="T240" s="211" t="s">
        <v>286</v>
      </c>
      <c r="U240" s="211" t="s">
        <v>2664</v>
      </c>
      <c r="V240" s="77"/>
      <c r="W240" s="77"/>
      <c r="X240" s="77"/>
      <c r="Y240" s="77"/>
      <c r="Z240" s="216">
        <v>3.30499E9</v>
      </c>
      <c r="AA240" s="77" t="s">
        <v>6568</v>
      </c>
      <c r="AB240" s="77"/>
      <c r="AC240" s="77" t="str">
        <f t="shared" si="4"/>
        <v>#N/A</v>
      </c>
      <c r="AD240" s="218">
        <v>21.0</v>
      </c>
      <c r="AE240" s="216">
        <v>6.0</v>
      </c>
      <c r="AF240" s="218">
        <v>21.0</v>
      </c>
      <c r="AG240" s="216">
        <v>14.0</v>
      </c>
      <c r="AH240" s="77"/>
      <c r="AI240" s="216">
        <v>0.2</v>
      </c>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row>
    <row r="241">
      <c r="A241" s="77" t="s">
        <v>4408</v>
      </c>
      <c r="B241" s="77" t="s">
        <v>4408</v>
      </c>
      <c r="C241" s="77" t="s">
        <v>4410</v>
      </c>
      <c r="D241" s="211" t="s">
        <v>4408</v>
      </c>
      <c r="E241" s="212" t="s">
        <v>4408</v>
      </c>
      <c r="F241" s="212" t="s">
        <v>4408</v>
      </c>
      <c r="G241" s="212" t="s">
        <v>4408</v>
      </c>
      <c r="H241" s="188"/>
      <c r="I241" s="188"/>
      <c r="J241" s="77"/>
      <c r="K241" s="213">
        <v>1.691265016E9</v>
      </c>
      <c r="L241" s="220">
        <v>1.03515406839E11</v>
      </c>
      <c r="M241" s="77"/>
      <c r="N241" s="77"/>
      <c r="O241" s="78" t="s">
        <v>2659</v>
      </c>
      <c r="P241" s="211" t="s">
        <v>2661</v>
      </c>
      <c r="Q241" s="214" t="s">
        <v>4412</v>
      </c>
      <c r="R241" s="77" t="s">
        <v>4409</v>
      </c>
      <c r="S241" s="77"/>
      <c r="T241" s="211" t="s">
        <v>286</v>
      </c>
      <c r="U241" s="211" t="s">
        <v>2664</v>
      </c>
      <c r="V241" s="77"/>
      <c r="W241" s="77"/>
      <c r="X241" s="77"/>
      <c r="Y241" s="77"/>
      <c r="Z241" s="216">
        <v>3.30499E9</v>
      </c>
      <c r="AA241" s="77" t="s">
        <v>6568</v>
      </c>
      <c r="AB241" s="77"/>
      <c r="AC241" s="77" t="str">
        <f t="shared" si="4"/>
        <v>#N/A</v>
      </c>
      <c r="AD241" s="218">
        <v>6.0</v>
      </c>
      <c r="AE241" s="216">
        <v>5.0</v>
      </c>
      <c r="AF241" s="218">
        <v>6.0</v>
      </c>
      <c r="AG241" s="216">
        <v>6.0</v>
      </c>
      <c r="AH241" s="77"/>
      <c r="AI241" s="216">
        <v>0.048</v>
      </c>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row>
    <row r="242">
      <c r="A242" s="77" t="s">
        <v>2945</v>
      </c>
      <c r="B242" s="77" t="s">
        <v>2945</v>
      </c>
      <c r="C242" s="77" t="s">
        <v>2947</v>
      </c>
      <c r="D242" s="211" t="s">
        <v>2945</v>
      </c>
      <c r="E242" s="212" t="s">
        <v>2945</v>
      </c>
      <c r="F242" s="212" t="s">
        <v>2945</v>
      </c>
      <c r="G242" s="212" t="s">
        <v>2945</v>
      </c>
      <c r="H242" s="188"/>
      <c r="I242" s="188"/>
      <c r="J242" s="77"/>
      <c r="K242" s="213">
        <v>1.792793774E9</v>
      </c>
      <c r="L242" s="220">
        <v>1.03701539078E11</v>
      </c>
      <c r="M242" s="77"/>
      <c r="N242" s="77"/>
      <c r="O242" s="78" t="s">
        <v>2659</v>
      </c>
      <c r="P242" s="211" t="s">
        <v>2661</v>
      </c>
      <c r="Q242" s="214" t="s">
        <v>2948</v>
      </c>
      <c r="R242" s="77" t="s">
        <v>2946</v>
      </c>
      <c r="S242" s="77"/>
      <c r="T242" s="211" t="s">
        <v>286</v>
      </c>
      <c r="U242" s="211" t="s">
        <v>2664</v>
      </c>
      <c r="V242" s="77"/>
      <c r="W242" s="77"/>
      <c r="X242" s="77"/>
      <c r="Y242" s="77"/>
      <c r="Z242" s="216">
        <v>3.30499E9</v>
      </c>
      <c r="AA242" s="77" t="s">
        <v>6568</v>
      </c>
      <c r="AB242" s="77"/>
      <c r="AC242" s="77" t="str">
        <f t="shared" si="4"/>
        <v>#N/A</v>
      </c>
      <c r="AD242" s="218">
        <v>7.0</v>
      </c>
      <c r="AE242" s="216">
        <v>18.0</v>
      </c>
      <c r="AF242" s="218">
        <v>7.0</v>
      </c>
      <c r="AG242" s="216">
        <v>9.0</v>
      </c>
      <c r="AH242" s="77"/>
      <c r="AI242" s="216">
        <v>0.09</v>
      </c>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row>
    <row r="243">
      <c r="A243" s="77" t="s">
        <v>5000</v>
      </c>
      <c r="B243" s="77" t="s">
        <v>5000</v>
      </c>
      <c r="C243" s="77" t="s">
        <v>5002</v>
      </c>
      <c r="D243" s="211" t="s">
        <v>5000</v>
      </c>
      <c r="E243" s="212" t="s">
        <v>5000</v>
      </c>
      <c r="F243" s="212" t="s">
        <v>5000</v>
      </c>
      <c r="G243" s="212" t="s">
        <v>5000</v>
      </c>
      <c r="H243" s="188"/>
      <c r="I243" s="188"/>
      <c r="J243" s="77"/>
      <c r="K243" s="213">
        <v>1.851902167E9</v>
      </c>
      <c r="L243" s="220">
        <v>1.03816798171E11</v>
      </c>
      <c r="M243" s="77"/>
      <c r="N243" s="77"/>
      <c r="O243" s="78" t="s">
        <v>2659</v>
      </c>
      <c r="P243" s="211" t="s">
        <v>2661</v>
      </c>
      <c r="Q243" s="214" t="s">
        <v>5003</v>
      </c>
      <c r="R243" s="77" t="s">
        <v>5001</v>
      </c>
      <c r="S243" s="77"/>
      <c r="T243" s="211" t="s">
        <v>286</v>
      </c>
      <c r="U243" s="211" t="s">
        <v>2664</v>
      </c>
      <c r="V243" s="77"/>
      <c r="W243" s="77"/>
      <c r="X243" s="77"/>
      <c r="Y243" s="77"/>
      <c r="Z243" s="216">
        <v>3.30499E9</v>
      </c>
      <c r="AA243" s="77" t="s">
        <v>6568</v>
      </c>
      <c r="AB243" s="77"/>
      <c r="AC243" s="77" t="str">
        <f t="shared" si="4"/>
        <v>#N/A</v>
      </c>
      <c r="AD243" s="218">
        <v>9.0</v>
      </c>
      <c r="AE243" s="216">
        <v>15.0</v>
      </c>
      <c r="AF243" s="218">
        <v>9.0</v>
      </c>
      <c r="AG243" s="216">
        <v>6.0</v>
      </c>
      <c r="AH243" s="77"/>
      <c r="AI243" s="216">
        <v>0.124</v>
      </c>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row>
    <row r="244">
      <c r="A244" s="77" t="s">
        <v>3560</v>
      </c>
      <c r="B244" s="77" t="s">
        <v>3560</v>
      </c>
      <c r="C244" s="77" t="s">
        <v>3563</v>
      </c>
      <c r="D244" s="211" t="s">
        <v>3560</v>
      </c>
      <c r="E244" s="212" t="s">
        <v>3560</v>
      </c>
      <c r="F244" s="212" t="s">
        <v>3560</v>
      </c>
      <c r="G244" s="212" t="s">
        <v>3560</v>
      </c>
      <c r="H244" s="188"/>
      <c r="I244" s="188"/>
      <c r="J244" s="77"/>
      <c r="K244" s="213">
        <v>1.52808575E9</v>
      </c>
      <c r="L244" s="220">
        <v>1.03515424475E11</v>
      </c>
      <c r="M244" s="77"/>
      <c r="N244" s="77"/>
      <c r="O244" s="78" t="s">
        <v>2659</v>
      </c>
      <c r="P244" s="211" t="s">
        <v>2661</v>
      </c>
      <c r="Q244" s="214" t="s">
        <v>3565</v>
      </c>
      <c r="R244" s="77" t="s">
        <v>3561</v>
      </c>
      <c r="S244" s="77"/>
      <c r="T244" s="211" t="s">
        <v>6539</v>
      </c>
      <c r="U244" s="211" t="s">
        <v>3562</v>
      </c>
      <c r="V244" s="77"/>
      <c r="W244" s="77"/>
      <c r="X244" s="77"/>
      <c r="Y244" s="77"/>
      <c r="Z244" s="216">
        <v>2.106909809E9</v>
      </c>
      <c r="AA244" s="77" t="s">
        <v>6566</v>
      </c>
      <c r="AB244" s="77"/>
      <c r="AC244" s="77" t="str">
        <f t="shared" si="4"/>
        <v>#N/A</v>
      </c>
      <c r="AD244" s="218">
        <v>8.0</v>
      </c>
      <c r="AE244" s="216">
        <v>3.0</v>
      </c>
      <c r="AF244" s="218">
        <v>8.0</v>
      </c>
      <c r="AG244" s="216">
        <v>7.0</v>
      </c>
      <c r="AH244" s="77"/>
      <c r="AI244" s="216">
        <v>0.046</v>
      </c>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row>
    <row r="245">
      <c r="A245" s="77" t="s">
        <v>4466</v>
      </c>
      <c r="B245" s="77" t="s">
        <v>4466</v>
      </c>
      <c r="C245" s="77" t="s">
        <v>4468</v>
      </c>
      <c r="D245" s="211" t="s">
        <v>4466</v>
      </c>
      <c r="E245" s="212" t="s">
        <v>4466</v>
      </c>
      <c r="F245" s="212" t="s">
        <v>4466</v>
      </c>
      <c r="G245" s="212" t="s">
        <v>4466</v>
      </c>
      <c r="H245" s="188"/>
      <c r="I245" s="188"/>
      <c r="J245" s="77"/>
      <c r="K245" s="213">
        <v>1.829803107E9</v>
      </c>
      <c r="L245" s="220">
        <v>1.03748752841E11</v>
      </c>
      <c r="M245" s="77"/>
      <c r="N245" s="77"/>
      <c r="O245" s="78" t="s">
        <v>2659</v>
      </c>
      <c r="P245" s="211" t="s">
        <v>2661</v>
      </c>
      <c r="Q245" s="214" t="s">
        <v>4470</v>
      </c>
      <c r="R245" s="77" t="s">
        <v>4467</v>
      </c>
      <c r="S245" s="77"/>
      <c r="T245" s="211" t="s">
        <v>6539</v>
      </c>
      <c r="U245" s="211" t="s">
        <v>3562</v>
      </c>
      <c r="V245" s="77"/>
      <c r="W245" s="77"/>
      <c r="X245" s="77"/>
      <c r="Y245" s="77"/>
      <c r="Z245" s="216">
        <v>2.106909809E9</v>
      </c>
      <c r="AA245" s="77" t="s">
        <v>6566</v>
      </c>
      <c r="AB245" s="77"/>
      <c r="AC245" s="77" t="str">
        <f t="shared" si="4"/>
        <v>#N/A</v>
      </c>
      <c r="AD245" s="218">
        <v>7.0</v>
      </c>
      <c r="AE245" s="216">
        <v>3.0</v>
      </c>
      <c r="AF245" s="218">
        <v>7.0</v>
      </c>
      <c r="AG245" s="216">
        <v>8.0</v>
      </c>
      <c r="AH245" s="77"/>
      <c r="AI245" s="216">
        <v>0.046</v>
      </c>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row>
    <row r="246">
      <c r="A246" s="77" t="s">
        <v>5095</v>
      </c>
      <c r="B246" s="77" t="s">
        <v>5095</v>
      </c>
      <c r="C246" s="77" t="s">
        <v>5097</v>
      </c>
      <c r="D246" s="211" t="s">
        <v>5095</v>
      </c>
      <c r="E246" s="212" t="s">
        <v>5095</v>
      </c>
      <c r="F246" s="212" t="s">
        <v>5095</v>
      </c>
      <c r="G246" s="212" t="s">
        <v>5095</v>
      </c>
      <c r="H246" s="188"/>
      <c r="I246" s="188"/>
      <c r="J246" s="77"/>
      <c r="K246" s="213">
        <v>2.95356614E8</v>
      </c>
      <c r="L246" s="220">
        <v>1.03515619478E11</v>
      </c>
      <c r="M246" s="77"/>
      <c r="N246" s="77"/>
      <c r="O246" s="78" t="s">
        <v>2659</v>
      </c>
      <c r="P246" s="211" t="s">
        <v>2661</v>
      </c>
      <c r="Q246" s="214" t="s">
        <v>6575</v>
      </c>
      <c r="R246" s="77" t="s">
        <v>5096</v>
      </c>
      <c r="S246" s="77"/>
      <c r="T246" s="211" t="s">
        <v>6539</v>
      </c>
      <c r="U246" s="211" t="s">
        <v>6572</v>
      </c>
      <c r="V246" s="77"/>
      <c r="W246" s="77"/>
      <c r="X246" s="77"/>
      <c r="Y246" s="77"/>
      <c r="Z246" s="216">
        <v>2.106909808E9</v>
      </c>
      <c r="AA246" s="77" t="s">
        <v>6566</v>
      </c>
      <c r="AB246" s="77"/>
      <c r="AC246" s="77" t="str">
        <f t="shared" si="4"/>
        <v>#N/A</v>
      </c>
      <c r="AD246" s="218">
        <v>6.0</v>
      </c>
      <c r="AE246" s="216">
        <v>4.0</v>
      </c>
      <c r="AF246" s="218">
        <v>6.0</v>
      </c>
      <c r="AG246" s="216">
        <v>4.0</v>
      </c>
      <c r="AH246" s="77"/>
      <c r="AI246" s="216">
        <v>0.05</v>
      </c>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row>
    <row r="248">
      <c r="A248" s="77" t="s">
        <v>5123</v>
      </c>
      <c r="B248" s="77" t="s">
        <v>5123</v>
      </c>
      <c r="C248" s="77" t="s">
        <v>5125</v>
      </c>
      <c r="D248" s="211" t="s">
        <v>5123</v>
      </c>
      <c r="E248" s="212" t="s">
        <v>5123</v>
      </c>
      <c r="F248" s="212" t="s">
        <v>5123</v>
      </c>
      <c r="G248" s="188"/>
      <c r="H248" s="188"/>
      <c r="I248" s="188"/>
      <c r="J248" s="77"/>
      <c r="K248" s="213">
        <v>2.91910198E8</v>
      </c>
      <c r="L248" s="220">
        <v>1.03515619478E11</v>
      </c>
      <c r="M248" s="77"/>
      <c r="N248" s="77"/>
      <c r="O248" s="78" t="s">
        <v>2659</v>
      </c>
      <c r="P248" s="211" t="s">
        <v>2661</v>
      </c>
      <c r="Q248" s="214" t="s">
        <v>5127</v>
      </c>
      <c r="R248" s="77" t="s">
        <v>5124</v>
      </c>
      <c r="S248" s="77"/>
      <c r="T248" s="211" t="s">
        <v>6539</v>
      </c>
      <c r="U248" s="211" t="s">
        <v>6572</v>
      </c>
      <c r="V248" s="77"/>
      <c r="W248" s="77"/>
      <c r="X248" s="77"/>
      <c r="Y248" s="77"/>
      <c r="Z248" s="216">
        <v>2.106909808E9</v>
      </c>
      <c r="AA248" s="77" t="s">
        <v>6566</v>
      </c>
      <c r="AB248" s="77"/>
      <c r="AC248" s="77" t="str">
        <f t="shared" ref="AC248:AC362" si="5">VLOOKUP( AB248,J:Q,8,0)</f>
        <v>#N/A</v>
      </c>
      <c r="AD248" s="218">
        <v>6.0</v>
      </c>
      <c r="AE248" s="216">
        <v>4.0</v>
      </c>
      <c r="AF248" s="218">
        <v>6.0</v>
      </c>
      <c r="AG248" s="216">
        <v>4.0</v>
      </c>
      <c r="AH248" s="77"/>
      <c r="AI248" s="216">
        <v>0.038</v>
      </c>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row>
    <row r="249">
      <c r="A249" s="77" t="s">
        <v>4836</v>
      </c>
      <c r="B249" s="77" t="s">
        <v>4836</v>
      </c>
      <c r="C249" s="77" t="s">
        <v>4838</v>
      </c>
      <c r="D249" s="211" t="s">
        <v>4836</v>
      </c>
      <c r="E249" s="212" t="s">
        <v>4836</v>
      </c>
      <c r="F249" s="212" t="s">
        <v>4836</v>
      </c>
      <c r="G249" s="212" t="s">
        <v>4836</v>
      </c>
      <c r="H249" s="188"/>
      <c r="I249" s="188"/>
      <c r="J249" s="77"/>
      <c r="K249" s="213">
        <v>3.56313449E8</v>
      </c>
      <c r="L249" s="220">
        <v>1.02200689078E11</v>
      </c>
      <c r="M249" s="77"/>
      <c r="N249" s="77"/>
      <c r="O249" s="78" t="s">
        <v>2659</v>
      </c>
      <c r="P249" s="211" t="s">
        <v>2661</v>
      </c>
      <c r="Q249" s="214" t="s">
        <v>4840</v>
      </c>
      <c r="R249" s="77" t="s">
        <v>4837</v>
      </c>
      <c r="S249" s="77"/>
      <c r="T249" s="211" t="s">
        <v>6539</v>
      </c>
      <c r="U249" s="211" t="s">
        <v>6572</v>
      </c>
      <c r="V249" s="77"/>
      <c r="W249" s="77"/>
      <c r="X249" s="77"/>
      <c r="Y249" s="77"/>
      <c r="Z249" s="216">
        <v>2.106909809E9</v>
      </c>
      <c r="AA249" s="77" t="s">
        <v>6566</v>
      </c>
      <c r="AB249" s="77"/>
      <c r="AC249" s="77" t="str">
        <f t="shared" si="5"/>
        <v>#N/A</v>
      </c>
      <c r="AD249" s="218">
        <v>11.0</v>
      </c>
      <c r="AE249" s="216">
        <v>3.0</v>
      </c>
      <c r="AF249" s="218">
        <v>11.0</v>
      </c>
      <c r="AG249" s="216">
        <v>7.0</v>
      </c>
      <c r="AH249" s="77"/>
      <c r="AI249" s="216">
        <v>0.024</v>
      </c>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row>
    <row r="250">
      <c r="A250" s="77" t="s">
        <v>4943</v>
      </c>
      <c r="B250" s="77" t="s">
        <v>4943</v>
      </c>
      <c r="C250" s="77" t="s">
        <v>4945</v>
      </c>
      <c r="D250" s="211" t="s">
        <v>4943</v>
      </c>
      <c r="E250" s="212" t="s">
        <v>4943</v>
      </c>
      <c r="F250" s="212" t="s">
        <v>4943</v>
      </c>
      <c r="G250" s="212" t="s">
        <v>4943</v>
      </c>
      <c r="H250" s="188"/>
      <c r="I250" s="188"/>
      <c r="J250" s="77"/>
      <c r="K250" s="213">
        <v>8.89458318E8</v>
      </c>
      <c r="L250" s="220">
        <v>1.03340892602E11</v>
      </c>
      <c r="M250" s="77"/>
      <c r="N250" s="77"/>
      <c r="O250" s="78" t="s">
        <v>2659</v>
      </c>
      <c r="P250" s="211" t="s">
        <v>2661</v>
      </c>
      <c r="Q250" s="214" t="s">
        <v>4946</v>
      </c>
      <c r="R250" s="77" t="s">
        <v>4944</v>
      </c>
      <c r="S250" s="77"/>
      <c r="T250" s="211" t="s">
        <v>6539</v>
      </c>
      <c r="U250" s="211" t="s">
        <v>6572</v>
      </c>
      <c r="V250" s="77"/>
      <c r="W250" s="77"/>
      <c r="X250" s="77"/>
      <c r="Y250" s="77"/>
      <c r="Z250" s="216">
        <v>2.106909809E9</v>
      </c>
      <c r="AA250" s="77" t="s">
        <v>6566</v>
      </c>
      <c r="AB250" s="77"/>
      <c r="AC250" s="77" t="str">
        <f t="shared" si="5"/>
        <v>#N/A</v>
      </c>
      <c r="AD250" s="218">
        <v>10.0</v>
      </c>
      <c r="AE250" s="216">
        <v>1.0</v>
      </c>
      <c r="AF250" s="218">
        <v>10.0</v>
      </c>
      <c r="AG250" s="216">
        <v>6.0</v>
      </c>
      <c r="AH250" s="77"/>
      <c r="AI250" s="216">
        <v>0.015</v>
      </c>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row>
    <row r="251">
      <c r="A251" s="77" t="s">
        <v>2716</v>
      </c>
      <c r="B251" s="77" t="s">
        <v>2716</v>
      </c>
      <c r="C251" s="77" t="s">
        <v>2719</v>
      </c>
      <c r="D251" s="211" t="s">
        <v>2716</v>
      </c>
      <c r="E251" s="212" t="s">
        <v>2716</v>
      </c>
      <c r="F251" s="212" t="s">
        <v>2716</v>
      </c>
      <c r="G251" s="212" t="s">
        <v>2716</v>
      </c>
      <c r="H251" s="188"/>
      <c r="I251" s="188"/>
      <c r="J251" s="77"/>
      <c r="K251" s="213">
        <v>1.528074808E9</v>
      </c>
      <c r="L251" s="220">
        <v>1.03529337206E11</v>
      </c>
      <c r="M251" s="77"/>
      <c r="N251" s="77"/>
      <c r="O251" s="78" t="s">
        <v>2659</v>
      </c>
      <c r="P251" s="211" t="s">
        <v>2661</v>
      </c>
      <c r="Q251" s="214" t="s">
        <v>2722</v>
      </c>
      <c r="R251" s="77" t="s">
        <v>2717</v>
      </c>
      <c r="S251" s="77"/>
      <c r="T251" s="211" t="s">
        <v>6539</v>
      </c>
      <c r="U251" s="211" t="s">
        <v>6572</v>
      </c>
      <c r="V251" s="77"/>
      <c r="W251" s="77"/>
      <c r="X251" s="77"/>
      <c r="Y251" s="77"/>
      <c r="Z251" s="216">
        <v>2.106909809E9</v>
      </c>
      <c r="AA251" s="77" t="s">
        <v>6566</v>
      </c>
      <c r="AB251" s="77"/>
      <c r="AC251" s="77" t="str">
        <f t="shared" si="5"/>
        <v>#N/A</v>
      </c>
      <c r="AD251" s="218">
        <v>8.0</v>
      </c>
      <c r="AE251" s="216">
        <v>8.0</v>
      </c>
      <c r="AF251" s="218">
        <v>8.0</v>
      </c>
      <c r="AG251" s="216">
        <v>6.0</v>
      </c>
      <c r="AH251" s="77"/>
      <c r="AI251" s="216">
        <v>0.015</v>
      </c>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row>
    <row r="252">
      <c r="A252" s="77" t="s">
        <v>4453</v>
      </c>
      <c r="B252" s="77" t="s">
        <v>4453</v>
      </c>
      <c r="C252" s="77" t="s">
        <v>4455</v>
      </c>
      <c r="D252" s="211" t="s">
        <v>4453</v>
      </c>
      <c r="E252" s="212" t="s">
        <v>4453</v>
      </c>
      <c r="F252" s="212" t="s">
        <v>4453</v>
      </c>
      <c r="G252" s="212" t="s">
        <v>4453</v>
      </c>
      <c r="H252" s="188"/>
      <c r="I252" s="188"/>
      <c r="J252" s="77"/>
      <c r="K252" s="213">
        <v>1.829804935E9</v>
      </c>
      <c r="L252" s="220">
        <v>1.0373120023E11</v>
      </c>
      <c r="M252" s="77"/>
      <c r="N252" s="77"/>
      <c r="O252" s="78" t="s">
        <v>2659</v>
      </c>
      <c r="P252" s="211" t="s">
        <v>2661</v>
      </c>
      <c r="Q252" s="214" t="s">
        <v>4458</v>
      </c>
      <c r="R252" s="77" t="s">
        <v>4454</v>
      </c>
      <c r="S252" s="77"/>
      <c r="T252" s="211" t="s">
        <v>6539</v>
      </c>
      <c r="U252" s="211" t="s">
        <v>6572</v>
      </c>
      <c r="V252" s="77"/>
      <c r="W252" s="77"/>
      <c r="X252" s="77"/>
      <c r="Y252" s="77"/>
      <c r="Z252" s="216">
        <v>2.106909809E9</v>
      </c>
      <c r="AA252" s="77" t="s">
        <v>6566</v>
      </c>
      <c r="AB252" s="77"/>
      <c r="AC252" s="77" t="str">
        <f t="shared" si="5"/>
        <v>#N/A</v>
      </c>
      <c r="AD252" s="218">
        <v>8.0</v>
      </c>
      <c r="AE252" s="216">
        <v>3.0</v>
      </c>
      <c r="AF252" s="218">
        <v>8.0</v>
      </c>
      <c r="AG252" s="216">
        <v>7.0</v>
      </c>
      <c r="AH252" s="77"/>
      <c r="AI252" s="216">
        <v>0.046</v>
      </c>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row>
    <row r="253">
      <c r="A253" s="77" t="s">
        <v>3179</v>
      </c>
      <c r="B253" s="77" t="s">
        <v>3179</v>
      </c>
      <c r="C253" s="77" t="s">
        <v>3181</v>
      </c>
      <c r="D253" s="211" t="s">
        <v>3179</v>
      </c>
      <c r="E253" s="212" t="s">
        <v>3179</v>
      </c>
      <c r="F253" s="212" t="s">
        <v>3179</v>
      </c>
      <c r="G253" s="212" t="s">
        <v>3179</v>
      </c>
      <c r="H253" s="188"/>
      <c r="I253" s="188"/>
      <c r="J253" s="77"/>
      <c r="K253" s="213">
        <v>1.851900175E9</v>
      </c>
      <c r="L253" s="220">
        <v>1.03751021012E11</v>
      </c>
      <c r="M253" s="77"/>
      <c r="N253" s="77"/>
      <c r="O253" s="78" t="s">
        <v>2659</v>
      </c>
      <c r="P253" s="211" t="s">
        <v>2661</v>
      </c>
      <c r="Q253" s="214" t="s">
        <v>3183</v>
      </c>
      <c r="R253" s="77" t="s">
        <v>3180</v>
      </c>
      <c r="S253" s="77"/>
      <c r="T253" s="211" t="s">
        <v>6539</v>
      </c>
      <c r="U253" s="211" t="s">
        <v>6572</v>
      </c>
      <c r="V253" s="77"/>
      <c r="W253" s="77"/>
      <c r="X253" s="77"/>
      <c r="Y253" s="77"/>
      <c r="Z253" s="216">
        <v>2.106909809E9</v>
      </c>
      <c r="AA253" s="77" t="s">
        <v>6566</v>
      </c>
      <c r="AB253" s="77"/>
      <c r="AC253" s="77" t="str">
        <f t="shared" si="5"/>
        <v>#N/A</v>
      </c>
      <c r="AD253" s="218">
        <v>9.0</v>
      </c>
      <c r="AE253" s="216">
        <v>15.0</v>
      </c>
      <c r="AF253" s="218">
        <v>9.0</v>
      </c>
      <c r="AG253" s="216">
        <v>6.0</v>
      </c>
      <c r="AH253" s="77"/>
      <c r="AI253" s="216">
        <v>0.069</v>
      </c>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row>
    <row r="254">
      <c r="A254" s="77" t="s">
        <v>4658</v>
      </c>
      <c r="B254" s="77" t="s">
        <v>4658</v>
      </c>
      <c r="C254" s="77" t="s">
        <v>4662</v>
      </c>
      <c r="D254" s="211" t="s">
        <v>4658</v>
      </c>
      <c r="E254" s="212" t="s">
        <v>4658</v>
      </c>
      <c r="F254" s="212" t="s">
        <v>4658</v>
      </c>
      <c r="G254" s="212" t="s">
        <v>4658</v>
      </c>
      <c r="H254" s="188"/>
      <c r="I254" s="188"/>
      <c r="J254" s="77"/>
      <c r="K254" s="213">
        <v>2.86744793E8</v>
      </c>
      <c r="L254" s="220">
        <v>1.03515421466E11</v>
      </c>
      <c r="M254" s="77"/>
      <c r="N254" s="77"/>
      <c r="O254" s="78" t="s">
        <v>2659</v>
      </c>
      <c r="P254" s="211" t="s">
        <v>2661</v>
      </c>
      <c r="Q254" s="214" t="s">
        <v>4664</v>
      </c>
      <c r="R254" s="77" t="s">
        <v>4659</v>
      </c>
      <c r="S254" s="77"/>
      <c r="T254" s="211" t="s">
        <v>4661</v>
      </c>
      <c r="U254" s="211" t="s">
        <v>6572</v>
      </c>
      <c r="V254" s="77"/>
      <c r="W254" s="77"/>
      <c r="X254" s="77"/>
      <c r="Y254" s="77"/>
      <c r="Z254" s="216">
        <v>3.926909709E9</v>
      </c>
      <c r="AA254" s="77" t="s">
        <v>6568</v>
      </c>
      <c r="AB254" s="77"/>
      <c r="AC254" s="77" t="str">
        <f t="shared" si="5"/>
        <v>#N/A</v>
      </c>
      <c r="AD254" s="218">
        <v>9.0</v>
      </c>
      <c r="AE254" s="216">
        <v>4.0</v>
      </c>
      <c r="AF254" s="218">
        <v>9.0</v>
      </c>
      <c r="AG254" s="216">
        <v>9.0</v>
      </c>
      <c r="AH254" s="77"/>
      <c r="AI254" s="216">
        <v>0.092</v>
      </c>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row>
    <row r="255">
      <c r="A255" s="77" t="s">
        <v>4980</v>
      </c>
      <c r="B255" s="77" t="s">
        <v>4980</v>
      </c>
      <c r="C255" s="77" t="s">
        <v>4981</v>
      </c>
      <c r="D255" s="211" t="s">
        <v>4980</v>
      </c>
      <c r="E255" s="212" t="s">
        <v>4980</v>
      </c>
      <c r="F255" s="212" t="s">
        <v>4980</v>
      </c>
      <c r="G255" s="188"/>
      <c r="H255" s="188"/>
      <c r="I255" s="188"/>
      <c r="J255" s="77"/>
      <c r="K255" s="213">
        <v>2.96818197E8</v>
      </c>
      <c r="L255" s="220">
        <v>1.03267667292E11</v>
      </c>
      <c r="M255" s="77"/>
      <c r="N255" s="77"/>
      <c r="O255" s="78" t="s">
        <v>2659</v>
      </c>
      <c r="P255" s="211" t="s">
        <v>2661</v>
      </c>
      <c r="Q255" s="214" t="s">
        <v>4983</v>
      </c>
      <c r="R255" s="77" t="s">
        <v>4439</v>
      </c>
      <c r="S255" s="77"/>
      <c r="T255" s="211" t="s">
        <v>6539</v>
      </c>
      <c r="U255" s="211" t="s">
        <v>6572</v>
      </c>
      <c r="V255" s="77"/>
      <c r="W255" s="77"/>
      <c r="X255" s="77"/>
      <c r="Y255" s="77"/>
      <c r="Z255" s="216">
        <v>2.106909809E9</v>
      </c>
      <c r="AA255" s="77" t="s">
        <v>6566</v>
      </c>
      <c r="AB255" s="77"/>
      <c r="AC255" s="77" t="str">
        <f t="shared" si="5"/>
        <v>#N/A</v>
      </c>
      <c r="AD255" s="218">
        <v>11.0</v>
      </c>
      <c r="AE255" s="216">
        <v>3.0</v>
      </c>
      <c r="AF255" s="218">
        <v>11.0</v>
      </c>
      <c r="AG255" s="216">
        <v>7.0</v>
      </c>
      <c r="AH255" s="77"/>
      <c r="AI255" s="216">
        <v>0.02</v>
      </c>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row>
    <row r="256">
      <c r="A256" s="77" t="s">
        <v>5020</v>
      </c>
      <c r="B256" s="77" t="s">
        <v>5020</v>
      </c>
      <c r="C256" s="77" t="s">
        <v>4327</v>
      </c>
      <c r="D256" s="211" t="s">
        <v>5020</v>
      </c>
      <c r="E256" s="212" t="s">
        <v>5020</v>
      </c>
      <c r="F256" s="212" t="s">
        <v>5020</v>
      </c>
      <c r="G256" s="212" t="s">
        <v>5020</v>
      </c>
      <c r="H256" s="188"/>
      <c r="I256" s="188"/>
      <c r="J256" s="77"/>
      <c r="K256" s="213">
        <v>2.88346567E8</v>
      </c>
      <c r="L256" s="220">
        <v>1.03515446251E11</v>
      </c>
      <c r="M256" s="77"/>
      <c r="N256" s="77"/>
      <c r="O256" s="78" t="s">
        <v>2659</v>
      </c>
      <c r="P256" s="211" t="s">
        <v>2661</v>
      </c>
      <c r="Q256" s="214" t="s">
        <v>5025</v>
      </c>
      <c r="R256" s="77" t="s">
        <v>5021</v>
      </c>
      <c r="S256" s="77"/>
      <c r="T256" s="211" t="s">
        <v>286</v>
      </c>
      <c r="U256" s="211" t="s">
        <v>5022</v>
      </c>
      <c r="V256" s="77"/>
      <c r="W256" s="77"/>
      <c r="X256" s="77"/>
      <c r="Y256" s="77"/>
      <c r="Z256" s="216">
        <v>2.106909803E9</v>
      </c>
      <c r="AA256" s="77" t="s">
        <v>6568</v>
      </c>
      <c r="AB256" s="77"/>
      <c r="AC256" s="77" t="str">
        <f t="shared" si="5"/>
        <v>#N/A</v>
      </c>
      <c r="AD256" s="218">
        <v>22.0</v>
      </c>
      <c r="AE256" s="216">
        <v>6.0</v>
      </c>
      <c r="AF256" s="218">
        <v>22.0</v>
      </c>
      <c r="AG256" s="216">
        <v>14.0</v>
      </c>
      <c r="AH256" s="77"/>
      <c r="AI256" s="216">
        <v>0.048</v>
      </c>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row>
    <row r="257">
      <c r="A257" s="77" t="s">
        <v>5272</v>
      </c>
      <c r="B257" s="77" t="s">
        <v>5272</v>
      </c>
      <c r="C257" s="77" t="s">
        <v>5274</v>
      </c>
      <c r="D257" s="211" t="s">
        <v>5272</v>
      </c>
      <c r="E257" s="212" t="s">
        <v>5272</v>
      </c>
      <c r="F257" s="212" t="s">
        <v>5272</v>
      </c>
      <c r="G257" s="188"/>
      <c r="H257" s="188"/>
      <c r="I257" s="188"/>
      <c r="J257" s="77"/>
      <c r="K257" s="213">
        <v>2.90029361E8</v>
      </c>
      <c r="L257" s="77"/>
      <c r="M257" s="77"/>
      <c r="N257" s="77"/>
      <c r="O257" s="78" t="s">
        <v>2659</v>
      </c>
      <c r="P257" s="211" t="s">
        <v>2661</v>
      </c>
      <c r="Q257" s="214" t="s">
        <v>5276</v>
      </c>
      <c r="R257" s="77" t="s">
        <v>5273</v>
      </c>
      <c r="S257" s="77"/>
      <c r="T257" s="211" t="s">
        <v>4661</v>
      </c>
      <c r="U257" s="211" t="s">
        <v>6572</v>
      </c>
      <c r="V257" s="77"/>
      <c r="W257" s="77"/>
      <c r="X257" s="77"/>
      <c r="Y257" s="77"/>
      <c r="Z257" s="216">
        <v>3.926909709E9</v>
      </c>
      <c r="AA257" s="77" t="s">
        <v>6568</v>
      </c>
      <c r="AB257" s="77"/>
      <c r="AC257" s="77" t="str">
        <f t="shared" si="5"/>
        <v>#N/A</v>
      </c>
      <c r="AD257" s="218">
        <v>22.0</v>
      </c>
      <c r="AE257" s="216">
        <v>6.0</v>
      </c>
      <c r="AF257" s="218">
        <v>22.0</v>
      </c>
      <c r="AG257" s="216">
        <v>14.0</v>
      </c>
      <c r="AH257" s="77"/>
      <c r="AI257" s="216">
        <v>0.242</v>
      </c>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row>
    <row r="258">
      <c r="A258" s="77" t="s">
        <v>4351</v>
      </c>
      <c r="B258" s="77" t="s">
        <v>4351</v>
      </c>
      <c r="C258" s="77" t="s">
        <v>4353</v>
      </c>
      <c r="D258" s="211" t="s">
        <v>4351</v>
      </c>
      <c r="E258" s="212" t="s">
        <v>4351</v>
      </c>
      <c r="F258" s="212" t="s">
        <v>4351</v>
      </c>
      <c r="G258" s="212" t="s">
        <v>4351</v>
      </c>
      <c r="H258" s="188"/>
      <c r="I258" s="188"/>
      <c r="J258" s="77"/>
      <c r="K258" s="213">
        <v>1.403753693E9</v>
      </c>
      <c r="L258" s="220">
        <v>1.03515789506E11</v>
      </c>
      <c r="M258" s="77"/>
      <c r="N258" s="77"/>
      <c r="O258" s="78" t="s">
        <v>2659</v>
      </c>
      <c r="P258" s="211" t="s">
        <v>2661</v>
      </c>
      <c r="Q258" s="214" t="s">
        <v>4355</v>
      </c>
      <c r="R258" s="77" t="s">
        <v>4352</v>
      </c>
      <c r="S258" s="77"/>
      <c r="T258" s="211" t="s">
        <v>286</v>
      </c>
      <c r="U258" s="211" t="s">
        <v>3437</v>
      </c>
      <c r="V258" s="77"/>
      <c r="W258" s="77"/>
      <c r="X258" s="77"/>
      <c r="Y258" s="77"/>
      <c r="Z258" s="216">
        <v>3.30499E9</v>
      </c>
      <c r="AA258" s="77" t="s">
        <v>6568</v>
      </c>
      <c r="AB258" s="77"/>
      <c r="AC258" s="77" t="str">
        <f t="shared" si="5"/>
        <v>#N/A</v>
      </c>
      <c r="AD258" s="218">
        <v>4.0</v>
      </c>
      <c r="AE258" s="216">
        <v>14.0</v>
      </c>
      <c r="AF258" s="218">
        <v>4.0</v>
      </c>
      <c r="AG258" s="216">
        <v>4.0</v>
      </c>
      <c r="AH258" s="77"/>
      <c r="AI258" s="216">
        <v>0.13</v>
      </c>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row>
    <row r="259">
      <c r="A259" s="77" t="s">
        <v>5284</v>
      </c>
      <c r="B259" s="77" t="s">
        <v>5284</v>
      </c>
      <c r="C259" s="77" t="s">
        <v>5286</v>
      </c>
      <c r="D259" s="211" t="s">
        <v>5284</v>
      </c>
      <c r="E259" s="212" t="s">
        <v>5284</v>
      </c>
      <c r="F259" s="212" t="s">
        <v>5284</v>
      </c>
      <c r="G259" s="188"/>
      <c r="H259" s="188"/>
      <c r="I259" s="188"/>
      <c r="J259" s="77"/>
      <c r="K259" s="213">
        <v>3.27231451E8</v>
      </c>
      <c r="L259" s="77"/>
      <c r="M259" s="77"/>
      <c r="N259" s="77"/>
      <c r="O259" s="78" t="s">
        <v>2659</v>
      </c>
      <c r="P259" s="211" t="s">
        <v>2661</v>
      </c>
      <c r="Q259" s="214" t="s">
        <v>5288</v>
      </c>
      <c r="R259" s="77" t="s">
        <v>5285</v>
      </c>
      <c r="S259" s="77"/>
      <c r="T259" s="211" t="s">
        <v>286</v>
      </c>
      <c r="U259" s="211" t="s">
        <v>6542</v>
      </c>
      <c r="V259" s="77"/>
      <c r="W259" s="77"/>
      <c r="X259" s="77"/>
      <c r="Y259" s="77"/>
      <c r="Z259" s="216">
        <v>3.30499E9</v>
      </c>
      <c r="AA259" s="77" t="s">
        <v>6568</v>
      </c>
      <c r="AB259" s="77"/>
      <c r="AC259" s="77" t="str">
        <f t="shared" si="5"/>
        <v>#N/A</v>
      </c>
      <c r="AD259" s="218">
        <v>9.0</v>
      </c>
      <c r="AE259" s="216">
        <v>3.0</v>
      </c>
      <c r="AF259" s="218">
        <v>9.0</v>
      </c>
      <c r="AG259" s="216">
        <v>4.0</v>
      </c>
      <c r="AH259" s="77"/>
      <c r="AI259" s="216">
        <v>0.046</v>
      </c>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row>
    <row r="260">
      <c r="A260" s="77" t="s">
        <v>4438</v>
      </c>
      <c r="B260" s="77" t="s">
        <v>4438</v>
      </c>
      <c r="C260" s="77" t="s">
        <v>4440</v>
      </c>
      <c r="D260" s="211" t="s">
        <v>4438</v>
      </c>
      <c r="E260" s="212" t="s">
        <v>4438</v>
      </c>
      <c r="F260" s="212" t="s">
        <v>4438</v>
      </c>
      <c r="G260" s="212" t="s">
        <v>4438</v>
      </c>
      <c r="H260" s="188"/>
      <c r="I260" s="188"/>
      <c r="J260" s="77"/>
      <c r="K260" s="213">
        <v>3.96723649E8</v>
      </c>
      <c r="L260" s="220">
        <v>1.03267667292E11</v>
      </c>
      <c r="M260" s="77"/>
      <c r="N260" s="77"/>
      <c r="O260" s="78" t="s">
        <v>2659</v>
      </c>
      <c r="P260" s="211" t="s">
        <v>2661</v>
      </c>
      <c r="Q260" s="214" t="s">
        <v>4442</v>
      </c>
      <c r="R260" s="77" t="s">
        <v>4439</v>
      </c>
      <c r="S260" s="77"/>
      <c r="T260" s="211" t="s">
        <v>6539</v>
      </c>
      <c r="U260" s="211" t="s">
        <v>6572</v>
      </c>
      <c r="V260" s="77"/>
      <c r="W260" s="77"/>
      <c r="X260" s="77"/>
      <c r="Y260" s="77"/>
      <c r="Z260" s="216">
        <v>2.106909809E9</v>
      </c>
      <c r="AA260" s="77" t="s">
        <v>6566</v>
      </c>
      <c r="AB260" s="77"/>
      <c r="AC260" s="77" t="str">
        <f t="shared" si="5"/>
        <v>#N/A</v>
      </c>
      <c r="AD260" s="218">
        <v>11.0</v>
      </c>
      <c r="AE260" s="216">
        <v>2.0</v>
      </c>
      <c r="AF260" s="218">
        <v>11.0</v>
      </c>
      <c r="AG260" s="216">
        <v>7.0</v>
      </c>
      <c r="AH260" s="77"/>
      <c r="AI260" s="216">
        <v>0.025</v>
      </c>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row>
    <row r="261">
      <c r="A261" s="77" t="s">
        <v>5296</v>
      </c>
      <c r="B261" s="77" t="s">
        <v>5296</v>
      </c>
      <c r="C261" s="77" t="s">
        <v>5298</v>
      </c>
      <c r="D261" s="211" t="s">
        <v>5296</v>
      </c>
      <c r="E261" s="212" t="s">
        <v>5296</v>
      </c>
      <c r="F261" s="212" t="s">
        <v>5296</v>
      </c>
      <c r="G261" s="212" t="s">
        <v>5296</v>
      </c>
      <c r="H261" s="188"/>
      <c r="I261" s="188"/>
      <c r="J261" s="77"/>
      <c r="K261" s="213">
        <v>7.43548429E8</v>
      </c>
      <c r="L261" s="220">
        <v>1.03340884504E11</v>
      </c>
      <c r="M261" s="77"/>
      <c r="N261" s="77"/>
      <c r="O261" s="78" t="s">
        <v>2659</v>
      </c>
      <c r="P261" s="211" t="s">
        <v>2661</v>
      </c>
      <c r="Q261" s="214" t="s">
        <v>5300</v>
      </c>
      <c r="R261" s="77" t="s">
        <v>5297</v>
      </c>
      <c r="S261" s="77"/>
      <c r="T261" s="211" t="s">
        <v>286</v>
      </c>
      <c r="U261" s="211" t="s">
        <v>2664</v>
      </c>
      <c r="V261" s="77"/>
      <c r="W261" s="77"/>
      <c r="X261" s="77"/>
      <c r="Y261" s="77"/>
      <c r="Z261" s="216">
        <v>3.30499E9</v>
      </c>
      <c r="AA261" s="77" t="s">
        <v>6568</v>
      </c>
      <c r="AB261" s="77"/>
      <c r="AC261" s="77" t="str">
        <f t="shared" si="5"/>
        <v>#N/A</v>
      </c>
      <c r="AD261" s="218">
        <v>10.0</v>
      </c>
      <c r="AE261" s="216">
        <v>3.0</v>
      </c>
      <c r="AF261" s="218">
        <v>10.0</v>
      </c>
      <c r="AG261" s="216">
        <v>3.0</v>
      </c>
      <c r="AH261" s="77"/>
      <c r="AI261" s="216">
        <v>0.06</v>
      </c>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row>
    <row r="262">
      <c r="A262" s="77" t="s">
        <v>5310</v>
      </c>
      <c r="B262" s="77" t="s">
        <v>5310</v>
      </c>
      <c r="C262" s="77" t="s">
        <v>5312</v>
      </c>
      <c r="D262" s="211" t="s">
        <v>5310</v>
      </c>
      <c r="E262" s="212" t="s">
        <v>5310</v>
      </c>
      <c r="F262" s="212" t="s">
        <v>5310</v>
      </c>
      <c r="G262" s="188"/>
      <c r="H262" s="188"/>
      <c r="I262" s="188"/>
      <c r="J262" s="77"/>
      <c r="K262" s="213">
        <v>1.235751364E9</v>
      </c>
      <c r="L262" s="77"/>
      <c r="M262" s="77"/>
      <c r="N262" s="77"/>
      <c r="O262" s="78" t="s">
        <v>2659</v>
      </c>
      <c r="P262" s="211" t="s">
        <v>2661</v>
      </c>
      <c r="Q262" s="214" t="s">
        <v>5314</v>
      </c>
      <c r="R262" s="77" t="s">
        <v>5311</v>
      </c>
      <c r="S262" s="77"/>
      <c r="T262" s="211" t="s">
        <v>286</v>
      </c>
      <c r="U262" s="211" t="s">
        <v>1630</v>
      </c>
      <c r="V262" s="77"/>
      <c r="W262" s="77"/>
      <c r="X262" s="77"/>
      <c r="Y262" s="77"/>
      <c r="Z262" s="216">
        <v>3.30499E9</v>
      </c>
      <c r="AA262" s="77" t="s">
        <v>6576</v>
      </c>
      <c r="AB262" s="77"/>
      <c r="AC262" s="77" t="str">
        <f t="shared" si="5"/>
        <v>#N/A</v>
      </c>
      <c r="AD262" s="218">
        <v>14.0</v>
      </c>
      <c r="AE262" s="216">
        <v>14.0</v>
      </c>
      <c r="AF262" s="218">
        <v>14.0</v>
      </c>
      <c r="AG262" s="216">
        <v>6.0</v>
      </c>
      <c r="AH262" s="77"/>
      <c r="AI262" s="216">
        <v>0.055</v>
      </c>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row>
    <row r="263">
      <c r="A263" s="77" t="s">
        <v>4969</v>
      </c>
      <c r="B263" s="77" t="s">
        <v>4969</v>
      </c>
      <c r="C263" s="77" t="s">
        <v>4971</v>
      </c>
      <c r="D263" s="211" t="s">
        <v>4969</v>
      </c>
      <c r="E263" s="212" t="s">
        <v>4969</v>
      </c>
      <c r="F263" s="212" t="s">
        <v>4969</v>
      </c>
      <c r="G263" s="212" t="s">
        <v>4969</v>
      </c>
      <c r="H263" s="188"/>
      <c r="I263" s="188"/>
      <c r="J263" s="77"/>
      <c r="K263" s="213">
        <v>1.271273685E9</v>
      </c>
      <c r="L263" s="220">
        <v>1.03544223742E11</v>
      </c>
      <c r="M263" s="77"/>
      <c r="N263" s="77"/>
      <c r="O263" s="78" t="s">
        <v>2659</v>
      </c>
      <c r="P263" s="211" t="s">
        <v>2661</v>
      </c>
      <c r="Q263" s="214" t="s">
        <v>4973</v>
      </c>
      <c r="R263" s="77" t="s">
        <v>4970</v>
      </c>
      <c r="S263" s="77"/>
      <c r="T263" s="211" t="s">
        <v>286</v>
      </c>
      <c r="U263" s="211" t="s">
        <v>2664</v>
      </c>
      <c r="V263" s="77"/>
      <c r="W263" s="77"/>
      <c r="X263" s="77"/>
      <c r="Y263" s="77"/>
      <c r="Z263" s="216">
        <v>3.30499E9</v>
      </c>
      <c r="AA263" s="77" t="s">
        <v>6568</v>
      </c>
      <c r="AB263" s="77"/>
      <c r="AC263" s="77" t="str">
        <f t="shared" si="5"/>
        <v>#N/A</v>
      </c>
      <c r="AD263" s="218">
        <v>4.0</v>
      </c>
      <c r="AE263" s="216">
        <v>5.0</v>
      </c>
      <c r="AF263" s="218">
        <v>4.0</v>
      </c>
      <c r="AG263" s="216">
        <v>12.0</v>
      </c>
      <c r="AH263" s="77"/>
      <c r="AI263" s="216">
        <v>0.08</v>
      </c>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row>
    <row r="264">
      <c r="A264" s="77" t="s">
        <v>5323</v>
      </c>
      <c r="B264" s="77" t="s">
        <v>5323</v>
      </c>
      <c r="C264" s="77" t="s">
        <v>5325</v>
      </c>
      <c r="D264" s="211" t="s">
        <v>5323</v>
      </c>
      <c r="E264" s="212" t="s">
        <v>5323</v>
      </c>
      <c r="F264" s="212" t="s">
        <v>5323</v>
      </c>
      <c r="G264" s="212" t="s">
        <v>5323</v>
      </c>
      <c r="H264" s="188"/>
      <c r="I264" s="188"/>
      <c r="J264" s="77"/>
      <c r="K264" s="213">
        <v>1.271264152E9</v>
      </c>
      <c r="L264" s="220">
        <v>1.03340888401E11</v>
      </c>
      <c r="M264" s="77"/>
      <c r="N264" s="77"/>
      <c r="O264" s="78" t="s">
        <v>2659</v>
      </c>
      <c r="P264" s="211" t="s">
        <v>2661</v>
      </c>
      <c r="Q264" s="214" t="s">
        <v>5327</v>
      </c>
      <c r="R264" s="77" t="s">
        <v>5324</v>
      </c>
      <c r="S264" s="77"/>
      <c r="T264" s="211" t="s">
        <v>6539</v>
      </c>
      <c r="U264" s="211" t="s">
        <v>4045</v>
      </c>
      <c r="V264" s="77"/>
      <c r="W264" s="77"/>
      <c r="X264" s="77"/>
      <c r="Y264" s="77"/>
      <c r="Z264" s="216">
        <v>2.106909808E9</v>
      </c>
      <c r="AA264" s="77" t="s">
        <v>6540</v>
      </c>
      <c r="AB264" s="77"/>
      <c r="AC264" s="77" t="str">
        <f t="shared" si="5"/>
        <v>#N/A</v>
      </c>
      <c r="AD264" s="218">
        <v>6.0</v>
      </c>
      <c r="AE264" s="216">
        <v>10.0</v>
      </c>
      <c r="AF264" s="218">
        <v>6.0</v>
      </c>
      <c r="AG264" s="216">
        <v>6.0</v>
      </c>
      <c r="AH264" s="77"/>
      <c r="AI264" s="216">
        <v>0.065</v>
      </c>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row>
    <row r="265">
      <c r="A265" s="77" t="s">
        <v>5337</v>
      </c>
      <c r="B265" s="77" t="s">
        <v>5337</v>
      </c>
      <c r="C265" s="77" t="s">
        <v>5339</v>
      </c>
      <c r="D265" s="211" t="s">
        <v>5337</v>
      </c>
      <c r="E265" s="212" t="s">
        <v>5337</v>
      </c>
      <c r="F265" s="212" t="s">
        <v>5337</v>
      </c>
      <c r="G265" s="212" t="s">
        <v>5337</v>
      </c>
      <c r="H265" s="188"/>
      <c r="I265" s="188"/>
      <c r="J265" s="77"/>
      <c r="K265" s="213">
        <v>1.283151299E9</v>
      </c>
      <c r="L265" s="220">
        <v>1.03515434782E11</v>
      </c>
      <c r="M265" s="77"/>
      <c r="N265" s="77"/>
      <c r="O265" s="78" t="s">
        <v>2659</v>
      </c>
      <c r="P265" s="211" t="s">
        <v>2661</v>
      </c>
      <c r="Q265" s="214" t="s">
        <v>5341</v>
      </c>
      <c r="R265" s="77" t="s">
        <v>5338</v>
      </c>
      <c r="S265" s="77"/>
      <c r="T265" s="211" t="s">
        <v>6539</v>
      </c>
      <c r="U265" s="211" t="s">
        <v>2703</v>
      </c>
      <c r="V265" s="77"/>
      <c r="W265" s="77"/>
      <c r="X265" s="77"/>
      <c r="Y265" s="77"/>
      <c r="Z265" s="216">
        <v>2.106909809E9</v>
      </c>
      <c r="AA265" s="77" t="s">
        <v>6540</v>
      </c>
      <c r="AB265" s="77"/>
      <c r="AC265" s="77" t="str">
        <f t="shared" si="5"/>
        <v>#N/A</v>
      </c>
      <c r="AD265" s="218">
        <v>4.0</v>
      </c>
      <c r="AE265" s="216">
        <v>9.0</v>
      </c>
      <c r="AF265" s="218">
        <v>4.0</v>
      </c>
      <c r="AG265" s="216">
        <v>5.0</v>
      </c>
      <c r="AH265" s="77"/>
      <c r="AI265" s="216">
        <v>0.068</v>
      </c>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row>
    <row r="266">
      <c r="A266" s="77" t="s">
        <v>4916</v>
      </c>
      <c r="B266" s="77" t="s">
        <v>4916</v>
      </c>
      <c r="C266" s="77" t="s">
        <v>4918</v>
      </c>
      <c r="D266" s="211" t="s">
        <v>4916</v>
      </c>
      <c r="E266" s="212" t="s">
        <v>4916</v>
      </c>
      <c r="F266" s="212" t="s">
        <v>4916</v>
      </c>
      <c r="G266" s="212" t="s">
        <v>4916</v>
      </c>
      <c r="H266" s="188"/>
      <c r="I266" s="188"/>
      <c r="J266" s="77"/>
      <c r="K266" s="213">
        <v>1.745055145E9</v>
      </c>
      <c r="L266" s="220">
        <v>1.0359944665E11</v>
      </c>
      <c r="M266" s="77"/>
      <c r="N266" s="77"/>
      <c r="O266" s="78" t="s">
        <v>2659</v>
      </c>
      <c r="P266" s="211" t="s">
        <v>2741</v>
      </c>
      <c r="Q266" s="214" t="s">
        <v>4920</v>
      </c>
      <c r="R266" s="77" t="s">
        <v>4917</v>
      </c>
      <c r="S266" s="77"/>
      <c r="T266" s="211" t="s">
        <v>6539</v>
      </c>
      <c r="U266" s="211" t="s">
        <v>4045</v>
      </c>
      <c r="V266" s="77"/>
      <c r="W266" s="77"/>
      <c r="X266" s="77"/>
      <c r="Y266" s="77"/>
      <c r="Z266" s="216">
        <v>2.106909803E9</v>
      </c>
      <c r="AA266" s="77" t="s">
        <v>6577</v>
      </c>
      <c r="AB266" s="77"/>
      <c r="AC266" s="77" t="str">
        <f t="shared" si="5"/>
        <v>#N/A</v>
      </c>
      <c r="AD266" s="218">
        <v>8.0</v>
      </c>
      <c r="AE266" s="216">
        <v>4.0</v>
      </c>
      <c r="AF266" s="218">
        <v>8.0</v>
      </c>
      <c r="AG266" s="216">
        <v>4.0</v>
      </c>
      <c r="AH266" s="77"/>
      <c r="AI266" s="216">
        <v>0.035</v>
      </c>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row>
    <row r="267">
      <c r="A267" s="77" t="s">
        <v>4703</v>
      </c>
      <c r="B267" s="77" t="s">
        <v>4703</v>
      </c>
      <c r="C267" s="77" t="s">
        <v>4705</v>
      </c>
      <c r="D267" s="211" t="s">
        <v>4703</v>
      </c>
      <c r="E267" s="212" t="s">
        <v>4703</v>
      </c>
      <c r="F267" s="212" t="s">
        <v>4703</v>
      </c>
      <c r="G267" s="212" t="s">
        <v>4703</v>
      </c>
      <c r="H267" s="188"/>
      <c r="I267" s="188"/>
      <c r="J267" s="77"/>
      <c r="K267" s="213">
        <v>1.422277198E9</v>
      </c>
      <c r="L267" s="220">
        <v>1.03515427024E11</v>
      </c>
      <c r="M267" s="77"/>
      <c r="N267" s="77"/>
      <c r="O267" s="78" t="s">
        <v>2659</v>
      </c>
      <c r="P267" s="211" t="s">
        <v>2741</v>
      </c>
      <c r="Q267" s="214" t="s">
        <v>4707</v>
      </c>
      <c r="R267" s="77" t="s">
        <v>4704</v>
      </c>
      <c r="S267" s="77"/>
      <c r="T267" s="211" t="s">
        <v>6539</v>
      </c>
      <c r="U267" s="211" t="s">
        <v>2766</v>
      </c>
      <c r="V267" s="77"/>
      <c r="W267" s="77"/>
      <c r="X267" s="77"/>
      <c r="Y267" s="77"/>
      <c r="Z267" s="216">
        <v>2.106909803E9</v>
      </c>
      <c r="AA267" s="77" t="s">
        <v>6577</v>
      </c>
      <c r="AB267" s="77"/>
      <c r="AC267" s="77" t="str">
        <f t="shared" si="5"/>
        <v>#N/A</v>
      </c>
      <c r="AD267" s="218">
        <v>5.0</v>
      </c>
      <c r="AE267" s="216">
        <v>5.0</v>
      </c>
      <c r="AF267" s="218">
        <v>5.0</v>
      </c>
      <c r="AG267" s="216">
        <v>9.0</v>
      </c>
      <c r="AH267" s="77"/>
      <c r="AI267" s="216">
        <v>0.044</v>
      </c>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row>
    <row r="268">
      <c r="A268" s="77" t="s">
        <v>3262</v>
      </c>
      <c r="B268" s="77" t="s">
        <v>3262</v>
      </c>
      <c r="C268" s="77" t="s">
        <v>3264</v>
      </c>
      <c r="D268" s="211" t="s">
        <v>3262</v>
      </c>
      <c r="E268" s="212" t="s">
        <v>3262</v>
      </c>
      <c r="F268" s="212" t="s">
        <v>3262</v>
      </c>
      <c r="G268" s="212" t="s">
        <v>3262</v>
      </c>
      <c r="H268" s="188"/>
      <c r="I268" s="188"/>
      <c r="J268" s="77"/>
      <c r="K268" s="213">
        <v>1.566867106E9</v>
      </c>
      <c r="L268" s="220">
        <v>1.0351544302E11</v>
      </c>
      <c r="M268" s="77"/>
      <c r="N268" s="77"/>
      <c r="O268" s="78" t="s">
        <v>2659</v>
      </c>
      <c r="P268" s="211" t="s">
        <v>2741</v>
      </c>
      <c r="Q268" s="214" t="s">
        <v>3266</v>
      </c>
      <c r="R268" s="77" t="s">
        <v>3263</v>
      </c>
      <c r="S268" s="77"/>
      <c r="T268" s="211" t="s">
        <v>6539</v>
      </c>
      <c r="U268" s="211" t="s">
        <v>2766</v>
      </c>
      <c r="V268" s="77"/>
      <c r="W268" s="77"/>
      <c r="X268" s="77"/>
      <c r="Y268" s="77"/>
      <c r="Z268" s="216">
        <v>2.106909803E9</v>
      </c>
      <c r="AA268" s="77" t="s">
        <v>6577</v>
      </c>
      <c r="AB268" s="77"/>
      <c r="AC268" s="77" t="str">
        <f t="shared" si="5"/>
        <v>#N/A</v>
      </c>
      <c r="AD268" s="218">
        <v>9.0</v>
      </c>
      <c r="AE268" s="216">
        <v>4.0</v>
      </c>
      <c r="AF268" s="218">
        <v>9.0</v>
      </c>
      <c r="AG268" s="216">
        <v>4.0</v>
      </c>
      <c r="AH268" s="77"/>
      <c r="AI268" s="216">
        <v>0.052</v>
      </c>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row>
    <row r="269">
      <c r="A269" s="77" t="s">
        <v>3645</v>
      </c>
      <c r="B269" s="77"/>
      <c r="C269" s="77" t="s">
        <v>3648</v>
      </c>
      <c r="D269" s="211" t="s">
        <v>3645</v>
      </c>
      <c r="E269" s="188"/>
      <c r="F269" s="212" t="s">
        <v>3645</v>
      </c>
      <c r="G269" s="212" t="s">
        <v>3645</v>
      </c>
      <c r="H269" s="188"/>
      <c r="I269" s="188"/>
      <c r="J269" s="77"/>
      <c r="K269" s="213">
        <v>1.753227855E9</v>
      </c>
      <c r="L269" s="77"/>
      <c r="M269" s="77"/>
      <c r="N269" s="77"/>
      <c r="O269" s="78" t="s">
        <v>2659</v>
      </c>
      <c r="P269" s="211" t="s">
        <v>2741</v>
      </c>
      <c r="Q269" s="214" t="s">
        <v>3650</v>
      </c>
      <c r="R269" s="77" t="s">
        <v>3647</v>
      </c>
      <c r="S269" s="77"/>
      <c r="T269" s="211" t="s">
        <v>6539</v>
      </c>
      <c r="U269" s="211" t="s">
        <v>2766</v>
      </c>
      <c r="V269" s="77"/>
      <c r="W269" s="77"/>
      <c r="X269" s="77"/>
      <c r="Y269" s="77"/>
      <c r="Z269" s="216">
        <v>2106.0</v>
      </c>
      <c r="AA269" s="77" t="s">
        <v>6577</v>
      </c>
      <c r="AB269" s="77"/>
      <c r="AC269" s="77" t="str">
        <f t="shared" si="5"/>
        <v>#N/A</v>
      </c>
      <c r="AD269" s="218">
        <v>9.0</v>
      </c>
      <c r="AE269" s="216">
        <v>5.0</v>
      </c>
      <c r="AF269" s="218">
        <v>9.0</v>
      </c>
      <c r="AG269" s="216">
        <v>5.0</v>
      </c>
      <c r="AH269" s="77"/>
      <c r="AI269" s="216">
        <v>0.052</v>
      </c>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row>
    <row r="270">
      <c r="A270" s="77" t="s">
        <v>3658</v>
      </c>
      <c r="B270" s="77" t="s">
        <v>3658</v>
      </c>
      <c r="C270" s="77" t="s">
        <v>3661</v>
      </c>
      <c r="D270" s="211" t="s">
        <v>3658</v>
      </c>
      <c r="E270" s="212" t="s">
        <v>3658</v>
      </c>
      <c r="F270" s="212" t="s">
        <v>3658</v>
      </c>
      <c r="G270" s="212" t="s">
        <v>3658</v>
      </c>
      <c r="H270" s="188"/>
      <c r="I270" s="188"/>
      <c r="J270" s="77"/>
      <c r="K270" s="213">
        <v>1.752021365E9</v>
      </c>
      <c r="L270" s="220">
        <v>1.0372978517E11</v>
      </c>
      <c r="M270" s="77"/>
      <c r="N270" s="77"/>
      <c r="O270" s="78" t="s">
        <v>2659</v>
      </c>
      <c r="P270" s="211" t="s">
        <v>2741</v>
      </c>
      <c r="Q270" s="214" t="s">
        <v>3663</v>
      </c>
      <c r="R270" s="77" t="s">
        <v>3659</v>
      </c>
      <c r="S270" s="77"/>
      <c r="T270" s="211" t="s">
        <v>6539</v>
      </c>
      <c r="U270" s="211" t="s">
        <v>6541</v>
      </c>
      <c r="V270" s="77"/>
      <c r="W270" s="77"/>
      <c r="X270" s="77"/>
      <c r="Y270" s="77"/>
      <c r="Z270" s="216">
        <v>2.106909803E9</v>
      </c>
      <c r="AA270" s="77" t="s">
        <v>6577</v>
      </c>
      <c r="AB270" s="77"/>
      <c r="AC270" s="77" t="str">
        <f t="shared" si="5"/>
        <v>#N/A</v>
      </c>
      <c r="AD270" s="218">
        <v>5.0</v>
      </c>
      <c r="AE270" s="216">
        <v>8.0</v>
      </c>
      <c r="AF270" s="218">
        <v>5.0</v>
      </c>
      <c r="AG270" s="216">
        <v>5.0</v>
      </c>
      <c r="AH270" s="77"/>
      <c r="AI270" s="216">
        <v>0.047</v>
      </c>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row>
    <row r="271">
      <c r="A271" s="77" t="s">
        <v>3859</v>
      </c>
      <c r="B271" s="77" t="s">
        <v>3859</v>
      </c>
      <c r="C271" s="77" t="s">
        <v>3861</v>
      </c>
      <c r="D271" s="211" t="s">
        <v>3859</v>
      </c>
      <c r="E271" s="212" t="s">
        <v>3859</v>
      </c>
      <c r="F271" s="212" t="s">
        <v>3859</v>
      </c>
      <c r="G271" s="212" t="s">
        <v>3859</v>
      </c>
      <c r="H271" s="188"/>
      <c r="I271" s="188"/>
      <c r="J271" s="77"/>
      <c r="K271" s="213">
        <v>1.614639084E9</v>
      </c>
      <c r="L271" s="220">
        <v>1.0353256371E11</v>
      </c>
      <c r="M271" s="77"/>
      <c r="N271" s="77"/>
      <c r="O271" s="78" t="s">
        <v>2659</v>
      </c>
      <c r="P271" s="211" t="s">
        <v>2741</v>
      </c>
      <c r="Q271" s="214" t="s">
        <v>3863</v>
      </c>
      <c r="R271" s="77" t="s">
        <v>3860</v>
      </c>
      <c r="S271" s="77"/>
      <c r="T271" s="211" t="s">
        <v>6539</v>
      </c>
      <c r="U271" s="211" t="s">
        <v>6541</v>
      </c>
      <c r="V271" s="77"/>
      <c r="W271" s="77"/>
      <c r="X271" s="77"/>
      <c r="Y271" s="77"/>
      <c r="Z271" s="216">
        <v>2.106909803E9</v>
      </c>
      <c r="AA271" s="77" t="s">
        <v>6577</v>
      </c>
      <c r="AB271" s="77"/>
      <c r="AC271" s="77" t="str">
        <f t="shared" si="5"/>
        <v>#N/A</v>
      </c>
      <c r="AD271" s="218">
        <v>5.0</v>
      </c>
      <c r="AE271" s="216">
        <v>5.0</v>
      </c>
      <c r="AF271" s="218">
        <v>5.0</v>
      </c>
      <c r="AG271" s="216">
        <v>9.0</v>
      </c>
      <c r="AH271" s="77"/>
      <c r="AI271" s="216">
        <v>0.045</v>
      </c>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row>
    <row r="272">
      <c r="A272" s="77" t="s">
        <v>3845</v>
      </c>
      <c r="B272" s="77" t="s">
        <v>3845</v>
      </c>
      <c r="C272" s="77" t="s">
        <v>3847</v>
      </c>
      <c r="D272" s="211" t="s">
        <v>3845</v>
      </c>
      <c r="E272" s="212" t="s">
        <v>3845</v>
      </c>
      <c r="F272" s="212" t="s">
        <v>3845</v>
      </c>
      <c r="G272" s="212" t="s">
        <v>3845</v>
      </c>
      <c r="H272" s="188"/>
      <c r="I272" s="188"/>
      <c r="J272" s="77"/>
      <c r="K272" s="213">
        <v>1.758604241E9</v>
      </c>
      <c r="L272" s="220">
        <v>1.03637134366E11</v>
      </c>
      <c r="M272" s="77"/>
      <c r="N272" s="77"/>
      <c r="O272" s="78" t="s">
        <v>2659</v>
      </c>
      <c r="P272" s="211" t="s">
        <v>2741</v>
      </c>
      <c r="Q272" s="214" t="s">
        <v>3849</v>
      </c>
      <c r="R272" s="77" t="s">
        <v>3846</v>
      </c>
      <c r="S272" s="77"/>
      <c r="T272" s="211" t="s">
        <v>6539</v>
      </c>
      <c r="U272" s="211" t="s">
        <v>6541</v>
      </c>
      <c r="V272" s="77"/>
      <c r="W272" s="77"/>
      <c r="X272" s="77"/>
      <c r="Y272" s="77"/>
      <c r="Z272" s="216">
        <v>2.106909803E9</v>
      </c>
      <c r="AA272" s="77" t="s">
        <v>6577</v>
      </c>
      <c r="AB272" s="77"/>
      <c r="AC272" s="77" t="str">
        <f t="shared" si="5"/>
        <v>#N/A</v>
      </c>
      <c r="AD272" s="218">
        <v>5.0</v>
      </c>
      <c r="AE272" s="216">
        <v>8.0</v>
      </c>
      <c r="AF272" s="218">
        <v>5.0</v>
      </c>
      <c r="AG272" s="216">
        <v>5.0</v>
      </c>
      <c r="AH272" s="77"/>
      <c r="AI272" s="216">
        <v>0.049</v>
      </c>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row>
    <row r="273">
      <c r="A273" s="77" t="s">
        <v>2982</v>
      </c>
      <c r="B273" s="77" t="s">
        <v>2982</v>
      </c>
      <c r="C273" s="77" t="s">
        <v>2985</v>
      </c>
      <c r="D273" s="211" t="s">
        <v>2982</v>
      </c>
      <c r="E273" s="212" t="s">
        <v>2982</v>
      </c>
      <c r="F273" s="212" t="s">
        <v>2982</v>
      </c>
      <c r="G273" s="212" t="s">
        <v>2982</v>
      </c>
      <c r="H273" s="188"/>
      <c r="I273" s="188"/>
      <c r="J273" s="77"/>
      <c r="K273" s="213">
        <v>2.498032276E9</v>
      </c>
      <c r="L273" s="220">
        <v>4.537860153E9</v>
      </c>
      <c r="M273" s="77"/>
      <c r="N273" s="77"/>
      <c r="O273" s="78" t="s">
        <v>2659</v>
      </c>
      <c r="P273" s="211" t="s">
        <v>2741</v>
      </c>
      <c r="Q273" s="214" t="s">
        <v>2987</v>
      </c>
      <c r="R273" s="77" t="s">
        <v>2983</v>
      </c>
      <c r="S273" s="77"/>
      <c r="T273" s="211" t="s">
        <v>6539</v>
      </c>
      <c r="U273" s="211" t="s">
        <v>2984</v>
      </c>
      <c r="V273" s="77"/>
      <c r="W273" s="77"/>
      <c r="X273" s="77"/>
      <c r="Y273" s="77"/>
      <c r="Z273" s="216">
        <v>2.106909808E9</v>
      </c>
      <c r="AA273" s="77" t="s">
        <v>6577</v>
      </c>
      <c r="AB273" s="77"/>
      <c r="AC273" s="77" t="str">
        <f t="shared" si="5"/>
        <v>#N/A</v>
      </c>
      <c r="AD273" s="218">
        <v>5.0</v>
      </c>
      <c r="AE273" s="216">
        <v>6.0</v>
      </c>
      <c r="AF273" s="218">
        <v>5.0</v>
      </c>
      <c r="AG273" s="216">
        <v>5.0</v>
      </c>
      <c r="AH273" s="77"/>
      <c r="AI273" s="216">
        <v>0.06</v>
      </c>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row>
    <row r="274">
      <c r="A274" s="77" t="s">
        <v>3913</v>
      </c>
      <c r="B274" s="77" t="s">
        <v>3913</v>
      </c>
      <c r="C274" s="77" t="s">
        <v>3916</v>
      </c>
      <c r="D274" s="211" t="s">
        <v>3913</v>
      </c>
      <c r="E274" s="212" t="s">
        <v>3913</v>
      </c>
      <c r="F274" s="212" t="s">
        <v>3913</v>
      </c>
      <c r="G274" s="212" t="s">
        <v>3913</v>
      </c>
      <c r="H274" s="188"/>
      <c r="I274" s="188"/>
      <c r="J274" s="77"/>
      <c r="K274" s="213">
        <v>1.752060204E9</v>
      </c>
      <c r="L274" s="220">
        <v>1.03618443303E11</v>
      </c>
      <c r="M274" s="77"/>
      <c r="N274" s="77"/>
      <c r="O274" s="78" t="s">
        <v>2659</v>
      </c>
      <c r="P274" s="211" t="s">
        <v>2741</v>
      </c>
      <c r="Q274" s="214" t="s">
        <v>3918</v>
      </c>
      <c r="R274" s="77" t="s">
        <v>3915</v>
      </c>
      <c r="S274" s="77"/>
      <c r="T274" s="211" t="s">
        <v>6539</v>
      </c>
      <c r="U274" s="211" t="s">
        <v>6572</v>
      </c>
      <c r="V274" s="77"/>
      <c r="W274" s="77"/>
      <c r="X274" s="77"/>
      <c r="Y274" s="77"/>
      <c r="Z274" s="216">
        <v>2.106909808E9</v>
      </c>
      <c r="AA274" s="77" t="s">
        <v>6577</v>
      </c>
      <c r="AB274" s="77"/>
      <c r="AC274" s="77" t="str">
        <f t="shared" si="5"/>
        <v>#N/A</v>
      </c>
      <c r="AD274" s="218">
        <v>8.0</v>
      </c>
      <c r="AE274" s="216">
        <v>5.0</v>
      </c>
      <c r="AF274" s="218">
        <v>8.0</v>
      </c>
      <c r="AG274" s="216">
        <v>5.0</v>
      </c>
      <c r="AH274" s="77"/>
      <c r="AI274" s="216">
        <v>0.05</v>
      </c>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row>
    <row r="275">
      <c r="A275" s="77" t="s">
        <v>4642</v>
      </c>
      <c r="B275" s="77" t="s">
        <v>4642</v>
      </c>
      <c r="C275" s="77" t="s">
        <v>4645</v>
      </c>
      <c r="D275" s="211" t="s">
        <v>4642</v>
      </c>
      <c r="E275" s="212" t="s">
        <v>4642</v>
      </c>
      <c r="F275" s="212" t="s">
        <v>4642</v>
      </c>
      <c r="G275" s="212" t="s">
        <v>4642</v>
      </c>
      <c r="H275" s="188"/>
      <c r="I275" s="188"/>
      <c r="J275" s="77"/>
      <c r="K275" s="213">
        <v>1.171921502E9</v>
      </c>
      <c r="L275" s="220">
        <v>1.03333756199E11</v>
      </c>
      <c r="M275" s="77"/>
      <c r="N275" s="77"/>
      <c r="O275" s="78" t="s">
        <v>2659</v>
      </c>
      <c r="P275" s="211" t="s">
        <v>2741</v>
      </c>
      <c r="Q275" s="214" t="s">
        <v>4647</v>
      </c>
      <c r="R275" s="77" t="s">
        <v>4644</v>
      </c>
      <c r="S275" s="77"/>
      <c r="T275" s="211" t="s">
        <v>6539</v>
      </c>
      <c r="U275" s="211" t="s">
        <v>6572</v>
      </c>
      <c r="V275" s="77"/>
      <c r="W275" s="77"/>
      <c r="X275" s="77"/>
      <c r="Y275" s="77"/>
      <c r="Z275" s="216">
        <v>2.106909808E9</v>
      </c>
      <c r="AA275" s="77" t="s">
        <v>6577</v>
      </c>
      <c r="AB275" s="77"/>
      <c r="AC275" s="77" t="str">
        <f t="shared" si="5"/>
        <v>#N/A</v>
      </c>
      <c r="AD275" s="218">
        <v>5.0</v>
      </c>
      <c r="AE275" s="216">
        <v>5.0</v>
      </c>
      <c r="AF275" s="218">
        <v>5.0</v>
      </c>
      <c r="AG275" s="216">
        <v>9.0</v>
      </c>
      <c r="AH275" s="77"/>
      <c r="AI275" s="216">
        <v>0.064</v>
      </c>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row>
    <row r="276">
      <c r="A276" s="77" t="s">
        <v>4522</v>
      </c>
      <c r="B276" s="77" t="s">
        <v>4522</v>
      </c>
      <c r="C276" s="77" t="s">
        <v>4524</v>
      </c>
      <c r="D276" s="211" t="s">
        <v>4522</v>
      </c>
      <c r="E276" s="212" t="s">
        <v>4522</v>
      </c>
      <c r="F276" s="212" t="s">
        <v>4522</v>
      </c>
      <c r="G276" s="212" t="s">
        <v>4522</v>
      </c>
      <c r="H276" s="188"/>
      <c r="I276" s="188"/>
      <c r="J276" s="77"/>
      <c r="K276" s="213">
        <v>2.099218978E9</v>
      </c>
      <c r="L276" s="220">
        <v>4.476310745E9</v>
      </c>
      <c r="M276" s="77"/>
      <c r="N276" s="77"/>
      <c r="O276" s="78" t="s">
        <v>2659</v>
      </c>
      <c r="P276" s="211" t="s">
        <v>2741</v>
      </c>
      <c r="Q276" s="214" t="s">
        <v>4526</v>
      </c>
      <c r="R276" s="77" t="s">
        <v>4523</v>
      </c>
      <c r="S276" s="77"/>
      <c r="T276" s="211" t="s">
        <v>6539</v>
      </c>
      <c r="U276" s="211" t="s">
        <v>6572</v>
      </c>
      <c r="V276" s="77"/>
      <c r="W276" s="77"/>
      <c r="X276" s="77"/>
      <c r="Y276" s="77"/>
      <c r="Z276" s="216">
        <v>2.106909808E9</v>
      </c>
      <c r="AA276" s="77" t="s">
        <v>6577</v>
      </c>
      <c r="AB276" s="77"/>
      <c r="AC276" s="77" t="str">
        <f t="shared" si="5"/>
        <v>#N/A</v>
      </c>
      <c r="AD276" s="218">
        <v>5.0</v>
      </c>
      <c r="AE276" s="216">
        <v>5.0</v>
      </c>
      <c r="AF276" s="218">
        <v>5.0</v>
      </c>
      <c r="AG276" s="216">
        <v>9.0</v>
      </c>
      <c r="AH276" s="77"/>
      <c r="AI276" s="216">
        <v>0.048</v>
      </c>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row>
    <row r="277">
      <c r="A277" s="77" t="s">
        <v>4851</v>
      </c>
      <c r="B277" s="77" t="s">
        <v>4851</v>
      </c>
      <c r="C277" s="77" t="s">
        <v>4853</v>
      </c>
      <c r="D277" s="211" t="s">
        <v>4851</v>
      </c>
      <c r="E277" s="212" t="s">
        <v>4851</v>
      </c>
      <c r="F277" s="212" t="s">
        <v>4851</v>
      </c>
      <c r="G277" s="212" t="s">
        <v>4851</v>
      </c>
      <c r="H277" s="188"/>
      <c r="I277" s="188"/>
      <c r="J277" s="77"/>
      <c r="K277" s="213">
        <v>1.629559728E9</v>
      </c>
      <c r="L277" s="220">
        <v>1.03515407818E11</v>
      </c>
      <c r="M277" s="77"/>
      <c r="N277" s="77"/>
      <c r="O277" s="78" t="s">
        <v>2659</v>
      </c>
      <c r="P277" s="211" t="s">
        <v>2741</v>
      </c>
      <c r="Q277" s="214" t="s">
        <v>4855</v>
      </c>
      <c r="R277" s="77" t="s">
        <v>4852</v>
      </c>
      <c r="S277" s="77"/>
      <c r="T277" s="211" t="s">
        <v>6539</v>
      </c>
      <c r="U277" s="211" t="s">
        <v>1557</v>
      </c>
      <c r="V277" s="77"/>
      <c r="W277" s="77"/>
      <c r="X277" s="77"/>
      <c r="Y277" s="77"/>
      <c r="Z277" s="216">
        <v>2.106909803E9</v>
      </c>
      <c r="AA277" s="77" t="s">
        <v>6577</v>
      </c>
      <c r="AB277" s="77"/>
      <c r="AC277" s="77" t="str">
        <f t="shared" si="5"/>
        <v>#N/A</v>
      </c>
      <c r="AD277" s="218">
        <v>4.0</v>
      </c>
      <c r="AE277" s="216">
        <v>9.0</v>
      </c>
      <c r="AF277" s="218">
        <v>4.0</v>
      </c>
      <c r="AG277" s="216">
        <v>5.0</v>
      </c>
      <c r="AH277" s="77"/>
      <c r="AI277" s="216">
        <v>0.03</v>
      </c>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row>
    <row r="278">
      <c r="A278" s="77" t="s">
        <v>4422</v>
      </c>
      <c r="B278" s="77" t="s">
        <v>4422</v>
      </c>
      <c r="C278" s="77" t="s">
        <v>4425</v>
      </c>
      <c r="D278" s="211" t="s">
        <v>4422</v>
      </c>
      <c r="E278" s="212" t="s">
        <v>4422</v>
      </c>
      <c r="F278" s="212" t="s">
        <v>4422</v>
      </c>
      <c r="G278" s="212" t="s">
        <v>4422</v>
      </c>
      <c r="H278" s="188"/>
      <c r="I278" s="188"/>
      <c r="J278" s="77"/>
      <c r="K278" s="213">
        <v>1.171820923E9</v>
      </c>
      <c r="L278" s="220">
        <v>1.03340891677E11</v>
      </c>
      <c r="M278" s="77"/>
      <c r="N278" s="77"/>
      <c r="O278" s="78" t="s">
        <v>2659</v>
      </c>
      <c r="P278" s="211" t="s">
        <v>2741</v>
      </c>
      <c r="Q278" s="214" t="s">
        <v>4427</v>
      </c>
      <c r="R278" s="77" t="s">
        <v>4423</v>
      </c>
      <c r="S278" s="77"/>
      <c r="T278" s="211" t="s">
        <v>6539</v>
      </c>
      <c r="U278" s="211" t="s">
        <v>4424</v>
      </c>
      <c r="V278" s="77"/>
      <c r="W278" s="77"/>
      <c r="X278" s="77"/>
      <c r="Y278" s="77"/>
      <c r="Z278" s="216">
        <v>2.106909808E9</v>
      </c>
      <c r="AA278" s="77" t="s">
        <v>6577</v>
      </c>
      <c r="AB278" s="77"/>
      <c r="AC278" s="77" t="str">
        <f t="shared" si="5"/>
        <v>#N/A</v>
      </c>
      <c r="AD278" s="218">
        <v>5.0</v>
      </c>
      <c r="AE278" s="216">
        <v>5.0</v>
      </c>
      <c r="AF278" s="218">
        <v>5.0</v>
      </c>
      <c r="AG278" s="216">
        <v>9.0</v>
      </c>
      <c r="AH278" s="77"/>
      <c r="AI278" s="216">
        <v>0.05</v>
      </c>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row>
    <row r="279">
      <c r="A279" s="77" t="s">
        <v>5146</v>
      </c>
      <c r="B279" s="77" t="s">
        <v>5146</v>
      </c>
      <c r="C279" s="77" t="s">
        <v>5148</v>
      </c>
      <c r="D279" s="211" t="s">
        <v>5146</v>
      </c>
      <c r="E279" s="212" t="s">
        <v>5146</v>
      </c>
      <c r="F279" s="212" t="s">
        <v>5146</v>
      </c>
      <c r="G279" s="212" t="s">
        <v>5146</v>
      </c>
      <c r="H279" s="188"/>
      <c r="I279" s="188"/>
      <c r="J279" s="77"/>
      <c r="K279" s="213">
        <v>1.08225213E9</v>
      </c>
      <c r="L279" s="220">
        <v>1.0207657167E11</v>
      </c>
      <c r="M279" s="77"/>
      <c r="N279" s="77"/>
      <c r="O279" s="78" t="s">
        <v>2659</v>
      </c>
      <c r="P279" s="211" t="s">
        <v>2741</v>
      </c>
      <c r="Q279" s="214" t="s">
        <v>5150</v>
      </c>
      <c r="R279" s="77" t="s">
        <v>5147</v>
      </c>
      <c r="S279" s="77"/>
      <c r="T279" s="211" t="s">
        <v>6539</v>
      </c>
      <c r="U279" s="211" t="s">
        <v>4676</v>
      </c>
      <c r="V279" s="77"/>
      <c r="W279" s="77"/>
      <c r="X279" s="77"/>
      <c r="Y279" s="77"/>
      <c r="Z279" s="216">
        <v>2.106909808E9</v>
      </c>
      <c r="AA279" s="77" t="s">
        <v>6577</v>
      </c>
      <c r="AB279" s="77"/>
      <c r="AC279" s="77" t="str">
        <f t="shared" si="5"/>
        <v>#N/A</v>
      </c>
      <c r="AD279" s="218">
        <v>5.0</v>
      </c>
      <c r="AE279" s="216">
        <v>13.0</v>
      </c>
      <c r="AF279" s="218">
        <v>5.0</v>
      </c>
      <c r="AG279" s="216">
        <v>9.0</v>
      </c>
      <c r="AH279" s="77"/>
      <c r="AI279" s="216">
        <v>0.03</v>
      </c>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row>
    <row r="280">
      <c r="A280" s="77" t="s">
        <v>4673</v>
      </c>
      <c r="B280" s="77" t="s">
        <v>4673</v>
      </c>
      <c r="C280" s="77" t="s">
        <v>4677</v>
      </c>
      <c r="D280" s="211" t="s">
        <v>4673</v>
      </c>
      <c r="E280" s="212" t="s">
        <v>4673</v>
      </c>
      <c r="F280" s="212" t="s">
        <v>4673</v>
      </c>
      <c r="G280" s="212" t="s">
        <v>4673</v>
      </c>
      <c r="H280" s="188"/>
      <c r="I280" s="188"/>
      <c r="J280" s="77"/>
      <c r="K280" s="213">
        <v>1.542480921E9</v>
      </c>
      <c r="L280" s="220">
        <v>1.03515403562E11</v>
      </c>
      <c r="M280" s="77"/>
      <c r="N280" s="77"/>
      <c r="O280" s="78" t="s">
        <v>2659</v>
      </c>
      <c r="P280" s="211" t="s">
        <v>2741</v>
      </c>
      <c r="Q280" s="214" t="s">
        <v>4679</v>
      </c>
      <c r="R280" s="77" t="s">
        <v>4675</v>
      </c>
      <c r="S280" s="77"/>
      <c r="T280" s="211" t="s">
        <v>6539</v>
      </c>
      <c r="U280" s="211" t="s">
        <v>4676</v>
      </c>
      <c r="V280" s="77"/>
      <c r="W280" s="77"/>
      <c r="X280" s="77"/>
      <c r="Y280" s="77"/>
      <c r="Z280" s="216">
        <v>2.106909808E9</v>
      </c>
      <c r="AA280" s="77" t="s">
        <v>6577</v>
      </c>
      <c r="AB280" s="77"/>
      <c r="AC280" s="77" t="str">
        <f t="shared" si="5"/>
        <v>#N/A</v>
      </c>
      <c r="AD280" s="218">
        <v>9.0</v>
      </c>
      <c r="AE280" s="216">
        <v>9.0</v>
      </c>
      <c r="AF280" s="218">
        <v>9.0</v>
      </c>
      <c r="AG280" s="216">
        <v>9.0</v>
      </c>
      <c r="AH280" s="77"/>
      <c r="AI280" s="216">
        <v>0.26</v>
      </c>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row>
    <row r="281">
      <c r="A281" s="77" t="s">
        <v>5134</v>
      </c>
      <c r="B281" s="77" t="s">
        <v>5134</v>
      </c>
      <c r="C281" s="77" t="s">
        <v>5136</v>
      </c>
      <c r="D281" s="211" t="s">
        <v>5134</v>
      </c>
      <c r="E281" s="212" t="s">
        <v>5134</v>
      </c>
      <c r="F281" s="212" t="s">
        <v>5134</v>
      </c>
      <c r="G281" s="212" t="s">
        <v>5134</v>
      </c>
      <c r="H281" s="188"/>
      <c r="I281" s="188"/>
      <c r="J281" s="77"/>
      <c r="K281" s="213">
        <v>1.548063119E9</v>
      </c>
      <c r="L281" s="220">
        <v>1.0351541241E11</v>
      </c>
      <c r="M281" s="77"/>
      <c r="N281" s="77"/>
      <c r="O281" s="78" t="s">
        <v>2659</v>
      </c>
      <c r="P281" s="211" t="s">
        <v>2741</v>
      </c>
      <c r="Q281" s="214" t="s">
        <v>5138</v>
      </c>
      <c r="R281" s="77" t="s">
        <v>5135</v>
      </c>
      <c r="S281" s="77"/>
      <c r="T281" s="211" t="s">
        <v>6539</v>
      </c>
      <c r="U281" s="211" t="s">
        <v>4676</v>
      </c>
      <c r="V281" s="77"/>
      <c r="W281" s="77"/>
      <c r="X281" s="77"/>
      <c r="Y281" s="77"/>
      <c r="Z281" s="216">
        <v>2.106909808E9</v>
      </c>
      <c r="AA281" s="77" t="s">
        <v>6577</v>
      </c>
      <c r="AB281" s="77"/>
      <c r="AC281" s="77" t="str">
        <f t="shared" si="5"/>
        <v>#N/A</v>
      </c>
      <c r="AD281" s="218">
        <v>3.0</v>
      </c>
      <c r="AE281" s="216">
        <v>9.0</v>
      </c>
      <c r="AF281" s="218">
        <v>3.0</v>
      </c>
      <c r="AG281" s="216">
        <v>4.0</v>
      </c>
      <c r="AH281" s="77"/>
      <c r="AI281" s="216">
        <v>0.03</v>
      </c>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row>
    <row r="282">
      <c r="A282" s="77" t="s">
        <v>5545</v>
      </c>
      <c r="B282" s="77" t="s">
        <v>5545</v>
      </c>
      <c r="C282" s="77" t="s">
        <v>5676</v>
      </c>
      <c r="D282" s="211" t="s">
        <v>5545</v>
      </c>
      <c r="E282" s="212" t="s">
        <v>5545</v>
      </c>
      <c r="F282" s="212" t="s">
        <v>5545</v>
      </c>
      <c r="G282" s="212" t="s">
        <v>5545</v>
      </c>
      <c r="H282" s="188"/>
      <c r="I282" s="188"/>
      <c r="J282" s="77"/>
      <c r="K282" s="213">
        <v>1.171930661E9</v>
      </c>
      <c r="L282" s="220">
        <v>1.0334089163E11</v>
      </c>
      <c r="M282" s="77"/>
      <c r="N282" s="77"/>
      <c r="O282" s="78" t="s">
        <v>2659</v>
      </c>
      <c r="P282" s="211" t="s">
        <v>2741</v>
      </c>
      <c r="Q282" s="214" t="s">
        <v>6578</v>
      </c>
      <c r="R282" s="77" t="s">
        <v>5677</v>
      </c>
      <c r="S282" s="77"/>
      <c r="T282" s="211" t="s">
        <v>6539</v>
      </c>
      <c r="U282" s="211" t="s">
        <v>2703</v>
      </c>
      <c r="V282" s="77"/>
      <c r="W282" s="77"/>
      <c r="X282" s="77"/>
      <c r="Y282" s="77"/>
      <c r="Z282" s="216">
        <v>2.106909808E9</v>
      </c>
      <c r="AA282" s="77" t="s">
        <v>6577</v>
      </c>
      <c r="AB282" s="77"/>
      <c r="AC282" s="77" t="str">
        <f t="shared" si="5"/>
        <v>#N/A</v>
      </c>
      <c r="AD282" s="218">
        <v>10.0</v>
      </c>
      <c r="AE282" s="216">
        <v>5.0</v>
      </c>
      <c r="AF282" s="218">
        <v>10.0</v>
      </c>
      <c r="AG282" s="216">
        <v>5.0</v>
      </c>
      <c r="AH282" s="77"/>
      <c r="AI282" s="216">
        <v>0.062</v>
      </c>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row>
    <row r="283">
      <c r="A283" s="77" t="s">
        <v>3726</v>
      </c>
      <c r="B283" s="77" t="s">
        <v>3726</v>
      </c>
      <c r="C283" s="77" t="s">
        <v>3729</v>
      </c>
      <c r="D283" s="211" t="s">
        <v>3726</v>
      </c>
      <c r="E283" s="212" t="s">
        <v>3726</v>
      </c>
      <c r="F283" s="212" t="s">
        <v>3726</v>
      </c>
      <c r="G283" s="212" t="s">
        <v>3726</v>
      </c>
      <c r="H283" s="188"/>
      <c r="I283" s="188"/>
      <c r="J283" s="77"/>
      <c r="K283" s="213">
        <v>1.761037555E9</v>
      </c>
      <c r="L283" s="220">
        <v>1.03637124074E11</v>
      </c>
      <c r="M283" s="77"/>
      <c r="N283" s="77"/>
      <c r="O283" s="78" t="s">
        <v>2659</v>
      </c>
      <c r="P283" s="211" t="s">
        <v>2741</v>
      </c>
      <c r="Q283" s="214" t="s">
        <v>3731</v>
      </c>
      <c r="R283" s="77" t="s">
        <v>3728</v>
      </c>
      <c r="S283" s="77"/>
      <c r="T283" s="211" t="s">
        <v>6539</v>
      </c>
      <c r="U283" s="211" t="s">
        <v>2664</v>
      </c>
      <c r="V283" s="77"/>
      <c r="W283" s="77"/>
      <c r="X283" s="77"/>
      <c r="Y283" s="77"/>
      <c r="Z283" s="216">
        <v>2.106909808E9</v>
      </c>
      <c r="AA283" s="77" t="s">
        <v>6568</v>
      </c>
      <c r="AB283" s="77"/>
      <c r="AC283" s="77" t="str">
        <f t="shared" si="5"/>
        <v>#N/A</v>
      </c>
      <c r="AD283" s="218">
        <v>5.0</v>
      </c>
      <c r="AE283" s="216">
        <v>8.0</v>
      </c>
      <c r="AF283" s="218">
        <v>5.0</v>
      </c>
      <c r="AG283" s="216">
        <v>5.0</v>
      </c>
      <c r="AH283" s="77"/>
      <c r="AI283" s="216">
        <v>0.049</v>
      </c>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row>
    <row r="284">
      <c r="A284" s="77" t="s">
        <v>3820</v>
      </c>
      <c r="B284" s="77" t="s">
        <v>3820</v>
      </c>
      <c r="C284" s="77" t="s">
        <v>3823</v>
      </c>
      <c r="D284" s="211" t="s">
        <v>3820</v>
      </c>
      <c r="E284" s="212" t="s">
        <v>3820</v>
      </c>
      <c r="F284" s="212" t="s">
        <v>3820</v>
      </c>
      <c r="G284" s="212" t="s">
        <v>3820</v>
      </c>
      <c r="H284" s="225" t="s">
        <v>3820</v>
      </c>
      <c r="I284" s="225" t="s">
        <v>3820</v>
      </c>
      <c r="J284" s="77"/>
      <c r="K284" s="213">
        <v>1.671085702E9</v>
      </c>
      <c r="L284" s="220">
        <v>1.03515384714E11</v>
      </c>
      <c r="M284" s="211" t="s">
        <v>3824</v>
      </c>
      <c r="N284" s="213">
        <v>9.9000076224E10</v>
      </c>
      <c r="O284" s="78" t="s">
        <v>2659</v>
      </c>
      <c r="P284" s="211" t="s">
        <v>2741</v>
      </c>
      <c r="Q284" s="214" t="s">
        <v>3826</v>
      </c>
      <c r="R284" s="77" t="s">
        <v>3822</v>
      </c>
      <c r="S284" s="77"/>
      <c r="T284" s="211" t="s">
        <v>286</v>
      </c>
      <c r="U284" s="211" t="s">
        <v>2783</v>
      </c>
      <c r="V284" s="77"/>
      <c r="W284" s="77"/>
      <c r="X284" s="77"/>
      <c r="Y284" s="77"/>
      <c r="Z284" s="216">
        <v>3.30499E9</v>
      </c>
      <c r="AA284" s="77" t="s">
        <v>6579</v>
      </c>
      <c r="AB284" s="77"/>
      <c r="AC284" s="77" t="str">
        <f t="shared" si="5"/>
        <v>#N/A</v>
      </c>
      <c r="AD284" s="218">
        <v>12.0</v>
      </c>
      <c r="AE284" s="216">
        <v>1.0</v>
      </c>
      <c r="AF284" s="218">
        <v>12.0</v>
      </c>
      <c r="AG284" s="216">
        <v>1.0</v>
      </c>
      <c r="AH284" s="77"/>
      <c r="AI284" s="216">
        <v>0.03</v>
      </c>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row>
    <row r="285">
      <c r="A285" s="77" t="s">
        <v>4480</v>
      </c>
      <c r="B285" s="77" t="s">
        <v>4480</v>
      </c>
      <c r="C285" s="77" t="s">
        <v>4481</v>
      </c>
      <c r="D285" s="211" t="s">
        <v>4480</v>
      </c>
      <c r="E285" s="212" t="s">
        <v>4480</v>
      </c>
      <c r="F285" s="212" t="s">
        <v>4480</v>
      </c>
      <c r="G285" s="212" t="s">
        <v>4480</v>
      </c>
      <c r="H285" s="225" t="s">
        <v>4480</v>
      </c>
      <c r="I285" s="225" t="s">
        <v>4480</v>
      </c>
      <c r="J285" s="77"/>
      <c r="K285" s="213">
        <v>1.713211121E9</v>
      </c>
      <c r="L285" s="220">
        <v>1.0355503557E11</v>
      </c>
      <c r="M285" s="211" t="s">
        <v>4482</v>
      </c>
      <c r="N285" s="213">
        <v>9.9000076214E10</v>
      </c>
      <c r="O285" s="78" t="s">
        <v>2659</v>
      </c>
      <c r="P285" s="211" t="s">
        <v>2741</v>
      </c>
      <c r="Q285" s="214" t="s">
        <v>3207</v>
      </c>
      <c r="R285" s="77" t="s">
        <v>3203</v>
      </c>
      <c r="S285" s="77"/>
      <c r="T285" s="211" t="s">
        <v>286</v>
      </c>
      <c r="U285" s="211" t="s">
        <v>2783</v>
      </c>
      <c r="V285" s="77"/>
      <c r="W285" s="77"/>
      <c r="X285" s="77"/>
      <c r="Y285" s="77"/>
      <c r="Z285" s="216">
        <v>3.30499E9</v>
      </c>
      <c r="AA285" s="77" t="s">
        <v>6579</v>
      </c>
      <c r="AB285" s="77"/>
      <c r="AC285" s="77" t="str">
        <f t="shared" si="5"/>
        <v>#N/A</v>
      </c>
      <c r="AD285" s="218">
        <v>14.0</v>
      </c>
      <c r="AE285" s="216">
        <v>1.0</v>
      </c>
      <c r="AF285" s="218">
        <v>14.0</v>
      </c>
      <c r="AG285" s="216">
        <v>12.0</v>
      </c>
      <c r="AH285" s="77"/>
      <c r="AI285" s="216">
        <v>0.016</v>
      </c>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row>
    <row r="286">
      <c r="A286" s="77" t="s">
        <v>4388</v>
      </c>
      <c r="B286" s="77" t="s">
        <v>4388</v>
      </c>
      <c r="C286" s="77" t="s">
        <v>4391</v>
      </c>
      <c r="D286" s="211" t="s">
        <v>4388</v>
      </c>
      <c r="E286" s="212" t="s">
        <v>4388</v>
      </c>
      <c r="F286" s="212" t="s">
        <v>4388</v>
      </c>
      <c r="G286" s="212" t="s">
        <v>4388</v>
      </c>
      <c r="H286" s="188"/>
      <c r="I286" s="188"/>
      <c r="J286" s="77"/>
      <c r="K286" s="213">
        <v>1.805983376E9</v>
      </c>
      <c r="L286" s="220">
        <v>1.03710294907E11</v>
      </c>
      <c r="M286" s="77"/>
      <c r="N286" s="77"/>
      <c r="O286" s="78" t="s">
        <v>2659</v>
      </c>
      <c r="P286" s="211" t="s">
        <v>2741</v>
      </c>
      <c r="Q286" s="214" t="s">
        <v>6580</v>
      </c>
      <c r="R286" s="77" t="s">
        <v>4390</v>
      </c>
      <c r="S286" s="77"/>
      <c r="T286" s="211" t="s">
        <v>286</v>
      </c>
      <c r="U286" s="211" t="s">
        <v>2783</v>
      </c>
      <c r="V286" s="77"/>
      <c r="W286" s="77"/>
      <c r="X286" s="77"/>
      <c r="Y286" s="77"/>
      <c r="Z286" s="216">
        <v>3.30499E9</v>
      </c>
      <c r="AA286" s="77" t="s">
        <v>6568</v>
      </c>
      <c r="AB286" s="77"/>
      <c r="AC286" s="77" t="str">
        <f t="shared" si="5"/>
        <v>#N/A</v>
      </c>
      <c r="AD286" s="218">
        <v>9.0</v>
      </c>
      <c r="AE286" s="216">
        <v>15.0</v>
      </c>
      <c r="AF286" s="218">
        <v>9.0</v>
      </c>
      <c r="AG286" s="216">
        <v>6.0</v>
      </c>
      <c r="AH286" s="77"/>
      <c r="AI286" s="216">
        <v>0.06</v>
      </c>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row>
    <row r="287">
      <c r="A287" s="77" t="s">
        <v>4139</v>
      </c>
      <c r="B287" s="77" t="s">
        <v>4139</v>
      </c>
      <c r="C287" s="77" t="s">
        <v>4141</v>
      </c>
      <c r="D287" s="211" t="s">
        <v>4139</v>
      </c>
      <c r="E287" s="212" t="s">
        <v>4139</v>
      </c>
      <c r="F287" s="212" t="s">
        <v>4139</v>
      </c>
      <c r="G287" s="212" t="s">
        <v>4139</v>
      </c>
      <c r="H287" s="223" t="s">
        <v>4139</v>
      </c>
      <c r="I287" s="225" t="s">
        <v>4139</v>
      </c>
      <c r="J287" s="77"/>
      <c r="K287" s="213">
        <v>1.917265136E9</v>
      </c>
      <c r="L287" s="220">
        <v>1.0381679864E11</v>
      </c>
      <c r="M287" s="77"/>
      <c r="N287" s="213">
        <v>9.9000114725E10</v>
      </c>
      <c r="O287" s="78" t="s">
        <v>2659</v>
      </c>
      <c r="P287" s="211" t="s">
        <v>2741</v>
      </c>
      <c r="Q287" s="214" t="s">
        <v>4142</v>
      </c>
      <c r="R287" s="77" t="s">
        <v>4140</v>
      </c>
      <c r="S287" s="77"/>
      <c r="T287" s="211" t="s">
        <v>286</v>
      </c>
      <c r="U287" s="211" t="s">
        <v>2783</v>
      </c>
      <c r="V287" s="77"/>
      <c r="W287" s="77"/>
      <c r="X287" s="77"/>
      <c r="Y287" s="77"/>
      <c r="Z287" s="216">
        <v>3.30499E9</v>
      </c>
      <c r="AA287" s="77" t="s">
        <v>6579</v>
      </c>
      <c r="AB287" s="77"/>
      <c r="AC287" s="77" t="str">
        <f t="shared" si="5"/>
        <v>#N/A</v>
      </c>
      <c r="AD287" s="218">
        <v>2.0</v>
      </c>
      <c r="AE287" s="216">
        <v>13.0</v>
      </c>
      <c r="AF287" s="218">
        <v>2.0</v>
      </c>
      <c r="AG287" s="216">
        <v>2.0</v>
      </c>
      <c r="AH287" s="77"/>
      <c r="AI287" s="216">
        <v>0.016</v>
      </c>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row>
    <row r="288">
      <c r="A288" s="77" t="s">
        <v>3201</v>
      </c>
      <c r="B288" s="77" t="s">
        <v>3201</v>
      </c>
      <c r="C288" s="77" t="s">
        <v>3204</v>
      </c>
      <c r="D288" s="211" t="s">
        <v>3201</v>
      </c>
      <c r="E288" s="212" t="s">
        <v>3201</v>
      </c>
      <c r="F288" s="212" t="s">
        <v>3201</v>
      </c>
      <c r="G288" s="212" t="s">
        <v>3201</v>
      </c>
      <c r="H288" s="225" t="s">
        <v>3201</v>
      </c>
      <c r="I288" s="223" t="s">
        <v>3201</v>
      </c>
      <c r="J288" s="77"/>
      <c r="K288" s="213">
        <v>2.3969724E9</v>
      </c>
      <c r="L288" s="220">
        <v>4.600683436E9</v>
      </c>
      <c r="M288" s="211" t="s">
        <v>3205</v>
      </c>
      <c r="N288" s="77"/>
      <c r="O288" s="78" t="s">
        <v>2659</v>
      </c>
      <c r="P288" s="211" t="s">
        <v>2741</v>
      </c>
      <c r="Q288" s="214" t="s">
        <v>3207</v>
      </c>
      <c r="R288" s="77" t="s">
        <v>3203</v>
      </c>
      <c r="S288" s="77"/>
      <c r="T288" s="211" t="s">
        <v>286</v>
      </c>
      <c r="U288" s="211" t="s">
        <v>2783</v>
      </c>
      <c r="V288" s="77"/>
      <c r="W288" s="77"/>
      <c r="X288" s="77"/>
      <c r="Y288" s="77"/>
      <c r="Z288" s="216">
        <v>3.30499E9</v>
      </c>
      <c r="AA288" s="77" t="s">
        <v>6581</v>
      </c>
      <c r="AB288" s="77"/>
      <c r="AC288" s="77" t="str">
        <f t="shared" si="5"/>
        <v>#N/A</v>
      </c>
      <c r="AD288" s="218">
        <v>14.0</v>
      </c>
      <c r="AE288" s="216">
        <v>1.0</v>
      </c>
      <c r="AF288" s="218">
        <v>14.0</v>
      </c>
      <c r="AG288" s="216">
        <v>12.0</v>
      </c>
      <c r="AH288" s="77"/>
      <c r="AI288" s="216">
        <v>0.016</v>
      </c>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row>
    <row r="289">
      <c r="A289" s="77" t="s">
        <v>4239</v>
      </c>
      <c r="B289" s="77" t="s">
        <v>4239</v>
      </c>
      <c r="C289" s="77" t="s">
        <v>4241</v>
      </c>
      <c r="D289" s="211" t="s">
        <v>4239</v>
      </c>
      <c r="E289" s="212" t="s">
        <v>4239</v>
      </c>
      <c r="F289" s="212" t="s">
        <v>4239</v>
      </c>
      <c r="G289" s="212" t="s">
        <v>4239</v>
      </c>
      <c r="H289" s="223" t="s">
        <v>4239</v>
      </c>
      <c r="I289" s="225" t="s">
        <v>4239</v>
      </c>
      <c r="J289" s="77"/>
      <c r="K289" s="213">
        <v>1.847974827E9</v>
      </c>
      <c r="L289" s="220">
        <v>1.03744706385E11</v>
      </c>
      <c r="M289" s="77"/>
      <c r="N289" s="213">
        <v>9.9000076218E10</v>
      </c>
      <c r="O289" s="78" t="s">
        <v>2659</v>
      </c>
      <c r="P289" s="211" t="s">
        <v>2741</v>
      </c>
      <c r="Q289" s="214" t="s">
        <v>4244</v>
      </c>
      <c r="R289" s="77" t="s">
        <v>4240</v>
      </c>
      <c r="S289" s="77"/>
      <c r="T289" s="211" t="s">
        <v>286</v>
      </c>
      <c r="U289" s="211" t="s">
        <v>2783</v>
      </c>
      <c r="V289" s="77"/>
      <c r="W289" s="77"/>
      <c r="X289" s="77"/>
      <c r="Y289" s="77"/>
      <c r="Z289" s="216">
        <v>3.30499E9</v>
      </c>
      <c r="AA289" s="77" t="s">
        <v>6582</v>
      </c>
      <c r="AB289" s="77"/>
      <c r="AC289" s="77" t="str">
        <f t="shared" si="5"/>
        <v>#N/A</v>
      </c>
      <c r="AD289" s="218">
        <v>25.0</v>
      </c>
      <c r="AE289" s="216">
        <v>7.0</v>
      </c>
      <c r="AF289" s="218">
        <v>25.0</v>
      </c>
      <c r="AG289" s="216">
        <v>7.0</v>
      </c>
      <c r="AH289" s="77"/>
      <c r="AI289" s="216">
        <v>0.251</v>
      </c>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row>
    <row r="290">
      <c r="A290" s="77" t="s">
        <v>2781</v>
      </c>
      <c r="B290" s="77" t="s">
        <v>2781</v>
      </c>
      <c r="C290" s="77" t="s">
        <v>2784</v>
      </c>
      <c r="D290" s="211" t="s">
        <v>2781</v>
      </c>
      <c r="E290" s="212" t="s">
        <v>2781</v>
      </c>
      <c r="F290" s="212" t="s">
        <v>2781</v>
      </c>
      <c r="G290" s="212" t="s">
        <v>2781</v>
      </c>
      <c r="H290" s="225" t="s">
        <v>2781</v>
      </c>
      <c r="I290" s="223" t="s">
        <v>2781</v>
      </c>
      <c r="J290" s="77"/>
      <c r="K290" s="213">
        <v>1.657229241E9</v>
      </c>
      <c r="L290" s="220">
        <v>1.0370155589E11</v>
      </c>
      <c r="M290" s="211" t="s">
        <v>2785</v>
      </c>
      <c r="N290" s="77"/>
      <c r="O290" s="78" t="s">
        <v>2659</v>
      </c>
      <c r="P290" s="211" t="s">
        <v>2741</v>
      </c>
      <c r="Q290" s="214" t="s">
        <v>2788</v>
      </c>
      <c r="R290" s="77" t="s">
        <v>2782</v>
      </c>
      <c r="S290" s="77"/>
      <c r="T290" s="211" t="s">
        <v>286</v>
      </c>
      <c r="U290" s="211" t="s">
        <v>2783</v>
      </c>
      <c r="V290" s="77"/>
      <c r="W290" s="77"/>
      <c r="X290" s="77"/>
      <c r="Y290" s="77"/>
      <c r="Z290" s="216">
        <v>3.30499E9</v>
      </c>
      <c r="AA290" s="77" t="s">
        <v>6583</v>
      </c>
      <c r="AB290" s="77"/>
      <c r="AC290" s="77" t="str">
        <f t="shared" si="5"/>
        <v>#N/A</v>
      </c>
      <c r="AD290" s="218">
        <v>15.0</v>
      </c>
      <c r="AE290" s="216">
        <v>6.0</v>
      </c>
      <c r="AF290" s="218">
        <v>15.0</v>
      </c>
      <c r="AG290" s="216">
        <v>9.0</v>
      </c>
      <c r="AH290" s="77"/>
      <c r="AI290" s="216">
        <v>0.062</v>
      </c>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row>
    <row r="291">
      <c r="A291" s="77" t="s">
        <v>3675</v>
      </c>
      <c r="B291" s="77" t="s">
        <v>3675</v>
      </c>
      <c r="C291" s="77" t="s">
        <v>3677</v>
      </c>
      <c r="D291" s="211" t="s">
        <v>3675</v>
      </c>
      <c r="E291" s="212" t="s">
        <v>3675</v>
      </c>
      <c r="F291" s="212" t="s">
        <v>3675</v>
      </c>
      <c r="G291" s="212" t="s">
        <v>3675</v>
      </c>
      <c r="H291" s="225" t="s">
        <v>3675</v>
      </c>
      <c r="I291" s="225" t="s">
        <v>3675</v>
      </c>
      <c r="J291" s="77"/>
      <c r="K291" s="213">
        <v>1.440687097E9</v>
      </c>
      <c r="L291" s="220">
        <v>1.03515586486E11</v>
      </c>
      <c r="M291" s="211" t="s">
        <v>3678</v>
      </c>
      <c r="N291" s="213">
        <v>9.9000076206E10</v>
      </c>
      <c r="O291" s="78" t="s">
        <v>2659</v>
      </c>
      <c r="P291" s="211" t="s">
        <v>2741</v>
      </c>
      <c r="Q291" s="214" t="s">
        <v>3681</v>
      </c>
      <c r="R291" s="77" t="s">
        <v>3676</v>
      </c>
      <c r="S291" s="77"/>
      <c r="T291" s="211" t="s">
        <v>286</v>
      </c>
      <c r="U291" s="211" t="s">
        <v>287</v>
      </c>
      <c r="V291" s="77"/>
      <c r="W291" s="77"/>
      <c r="X291" s="77"/>
      <c r="Y291" s="77"/>
      <c r="Z291" s="216">
        <v>3.3051E9</v>
      </c>
      <c r="AA291" s="77" t="s">
        <v>6552</v>
      </c>
      <c r="AB291" s="77"/>
      <c r="AC291" s="77" t="str">
        <f t="shared" si="5"/>
        <v>#N/A</v>
      </c>
      <c r="AD291" s="218">
        <v>5.0</v>
      </c>
      <c r="AE291" s="216">
        <v>5.0</v>
      </c>
      <c r="AF291" s="218">
        <v>5.0</v>
      </c>
      <c r="AG291" s="216">
        <v>16.0</v>
      </c>
      <c r="AH291" s="77"/>
      <c r="AI291" s="216">
        <v>0.295</v>
      </c>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row>
    <row r="292">
      <c r="A292" s="77" t="s">
        <v>2810</v>
      </c>
      <c r="B292" s="77" t="s">
        <v>2810</v>
      </c>
      <c r="C292" s="77" t="s">
        <v>2812</v>
      </c>
      <c r="D292" s="211" t="s">
        <v>2810</v>
      </c>
      <c r="E292" s="212" t="s">
        <v>2810</v>
      </c>
      <c r="F292" s="212" t="s">
        <v>2810</v>
      </c>
      <c r="G292" s="212" t="s">
        <v>2810</v>
      </c>
      <c r="H292" s="225" t="s">
        <v>2810</v>
      </c>
      <c r="I292" s="225" t="s">
        <v>2810</v>
      </c>
      <c r="J292" s="77"/>
      <c r="K292" s="213">
        <v>1.500240551E9</v>
      </c>
      <c r="L292" s="220">
        <v>1.03515586487E11</v>
      </c>
      <c r="M292" s="211" t="s">
        <v>2813</v>
      </c>
      <c r="N292" s="213">
        <v>9.9000076213E10</v>
      </c>
      <c r="O292" s="78" t="s">
        <v>2659</v>
      </c>
      <c r="P292" s="211" t="s">
        <v>2741</v>
      </c>
      <c r="Q292" s="214" t="s">
        <v>2815</v>
      </c>
      <c r="R292" s="77" t="s">
        <v>2811</v>
      </c>
      <c r="S292" s="77"/>
      <c r="T292" s="211" t="s">
        <v>286</v>
      </c>
      <c r="U292" s="211" t="s">
        <v>287</v>
      </c>
      <c r="V292" s="77"/>
      <c r="W292" s="77"/>
      <c r="X292" s="77"/>
      <c r="Y292" s="77"/>
      <c r="Z292" s="216">
        <v>3.3051E9</v>
      </c>
      <c r="AA292" s="77" t="s">
        <v>6552</v>
      </c>
      <c r="AB292" s="77"/>
      <c r="AC292" s="77" t="str">
        <f t="shared" si="5"/>
        <v>#N/A</v>
      </c>
      <c r="AD292" s="218">
        <v>5.0</v>
      </c>
      <c r="AE292" s="216">
        <v>5.0</v>
      </c>
      <c r="AF292" s="218">
        <v>5.0</v>
      </c>
      <c r="AG292" s="216">
        <v>16.0</v>
      </c>
      <c r="AH292" s="77"/>
      <c r="AI292" s="216">
        <v>0.295</v>
      </c>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row>
    <row r="293">
      <c r="A293" s="77" t="s">
        <v>4115</v>
      </c>
      <c r="B293" s="77" t="s">
        <v>4115</v>
      </c>
      <c r="C293" s="77" t="s">
        <v>4117</v>
      </c>
      <c r="D293" s="211" t="s">
        <v>4115</v>
      </c>
      <c r="E293" s="212" t="s">
        <v>4115</v>
      </c>
      <c r="F293" s="212" t="s">
        <v>4115</v>
      </c>
      <c r="G293" s="212" t="s">
        <v>4115</v>
      </c>
      <c r="H293" s="225" t="s">
        <v>4115</v>
      </c>
      <c r="I293" s="225" t="s">
        <v>4115</v>
      </c>
      <c r="J293" s="77"/>
      <c r="K293" s="213">
        <v>1.500346998E9</v>
      </c>
      <c r="L293" s="220">
        <v>1.03515740712E11</v>
      </c>
      <c r="M293" s="211" t="s">
        <v>4118</v>
      </c>
      <c r="N293" s="213">
        <v>9.9000076204E10</v>
      </c>
      <c r="O293" s="78" t="s">
        <v>2659</v>
      </c>
      <c r="P293" s="211" t="s">
        <v>2741</v>
      </c>
      <c r="Q293" s="214" t="s">
        <v>4121</v>
      </c>
      <c r="R293" s="77" t="s">
        <v>4116</v>
      </c>
      <c r="S293" s="77"/>
      <c r="T293" s="211" t="s">
        <v>286</v>
      </c>
      <c r="U293" s="211" t="s">
        <v>287</v>
      </c>
      <c r="V293" s="77"/>
      <c r="W293" s="77"/>
      <c r="X293" s="77"/>
      <c r="Y293" s="77"/>
      <c r="Z293" s="216">
        <v>3.3051E9</v>
      </c>
      <c r="AA293" s="77" t="s">
        <v>6552</v>
      </c>
      <c r="AB293" s="77"/>
      <c r="AC293" s="77" t="str">
        <f t="shared" si="5"/>
        <v>#N/A</v>
      </c>
      <c r="AD293" s="218">
        <v>4.0</v>
      </c>
      <c r="AE293" s="216">
        <v>14.0</v>
      </c>
      <c r="AF293" s="218">
        <v>4.0</v>
      </c>
      <c r="AG293" s="216">
        <v>4.0</v>
      </c>
      <c r="AH293" s="77"/>
      <c r="AI293" s="216">
        <v>0.124</v>
      </c>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row>
    <row r="294">
      <c r="A294" s="77" t="s">
        <v>4174</v>
      </c>
      <c r="B294" s="77" t="s">
        <v>4174</v>
      </c>
      <c r="C294" s="77" t="s">
        <v>4175</v>
      </c>
      <c r="D294" s="211" t="s">
        <v>4174</v>
      </c>
      <c r="E294" s="212" t="s">
        <v>4174</v>
      </c>
      <c r="F294" s="212" t="s">
        <v>4174</v>
      </c>
      <c r="G294" s="212" t="s">
        <v>4174</v>
      </c>
      <c r="H294" s="225" t="s">
        <v>4174</v>
      </c>
      <c r="I294" s="225" t="s">
        <v>4174</v>
      </c>
      <c r="J294" s="77"/>
      <c r="K294" s="213">
        <v>1.583009752E9</v>
      </c>
      <c r="L294" s="220">
        <v>1.03515586622E11</v>
      </c>
      <c r="M294" s="211" t="s">
        <v>4176</v>
      </c>
      <c r="N294" s="213">
        <v>9.9000076212E10</v>
      </c>
      <c r="O294" s="78" t="s">
        <v>2659</v>
      </c>
      <c r="P294" s="211" t="s">
        <v>2741</v>
      </c>
      <c r="Q294" s="214" t="s">
        <v>4177</v>
      </c>
      <c r="R294" s="77" t="s">
        <v>3739</v>
      </c>
      <c r="S294" s="77"/>
      <c r="T294" s="211" t="s">
        <v>286</v>
      </c>
      <c r="U294" s="211" t="s">
        <v>287</v>
      </c>
      <c r="V294" s="77"/>
      <c r="W294" s="77"/>
      <c r="X294" s="77"/>
      <c r="Y294" s="77"/>
      <c r="Z294" s="216">
        <v>3.3051E9</v>
      </c>
      <c r="AA294" s="77" t="s">
        <v>6552</v>
      </c>
      <c r="AB294" s="77"/>
      <c r="AC294" s="77" t="str">
        <f t="shared" si="5"/>
        <v>#N/A</v>
      </c>
      <c r="AD294" s="218">
        <v>3.0</v>
      </c>
      <c r="AE294" s="216">
        <v>16.0</v>
      </c>
      <c r="AF294" s="218">
        <v>3.0</v>
      </c>
      <c r="AG294" s="216">
        <v>5.0</v>
      </c>
      <c r="AH294" s="77"/>
      <c r="AI294" s="216">
        <v>0.122</v>
      </c>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row>
    <row r="295">
      <c r="A295" s="77" t="s">
        <v>3413</v>
      </c>
      <c r="B295" s="77" t="s">
        <v>3413</v>
      </c>
      <c r="C295" s="77" t="s">
        <v>3415</v>
      </c>
      <c r="D295" s="211" t="s">
        <v>3413</v>
      </c>
      <c r="E295" s="212" t="s">
        <v>3413</v>
      </c>
      <c r="F295" s="212" t="s">
        <v>3413</v>
      </c>
      <c r="G295" s="212" t="s">
        <v>3413</v>
      </c>
      <c r="H295" s="225" t="s">
        <v>3413</v>
      </c>
      <c r="I295" s="225" t="s">
        <v>3413</v>
      </c>
      <c r="J295" s="77"/>
      <c r="K295" s="213">
        <v>1.691464882E9</v>
      </c>
      <c r="L295" s="220">
        <v>1.03515390557E11</v>
      </c>
      <c r="M295" s="211" t="s">
        <v>3416</v>
      </c>
      <c r="N295" s="213">
        <v>9.900007621E10</v>
      </c>
      <c r="O295" s="78" t="s">
        <v>2659</v>
      </c>
      <c r="P295" s="211" t="s">
        <v>2741</v>
      </c>
      <c r="Q295" s="214" t="s">
        <v>3419</v>
      </c>
      <c r="R295" s="77" t="s">
        <v>3414</v>
      </c>
      <c r="S295" s="77"/>
      <c r="T295" s="211" t="s">
        <v>286</v>
      </c>
      <c r="U295" s="211" t="s">
        <v>287</v>
      </c>
      <c r="V295" s="77"/>
      <c r="W295" s="77"/>
      <c r="X295" s="77"/>
      <c r="Y295" s="77"/>
      <c r="Z295" s="216">
        <v>3.3051E9</v>
      </c>
      <c r="AA295" s="77" t="s">
        <v>6552</v>
      </c>
      <c r="AB295" s="77"/>
      <c r="AC295" s="77" t="str">
        <f t="shared" si="5"/>
        <v>#N/A</v>
      </c>
      <c r="AD295" s="218">
        <v>8.0</v>
      </c>
      <c r="AE295" s="216">
        <v>6.0</v>
      </c>
      <c r="AF295" s="218">
        <v>8.0</v>
      </c>
      <c r="AG295" s="216">
        <v>8.0</v>
      </c>
      <c r="AH295" s="77"/>
      <c r="AI295" s="216">
        <v>0.29</v>
      </c>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row>
    <row r="296">
      <c r="A296" s="77" t="s">
        <v>4501</v>
      </c>
      <c r="B296" s="77" t="s">
        <v>4501</v>
      </c>
      <c r="C296" s="77" t="s">
        <v>4504</v>
      </c>
      <c r="D296" s="211" t="s">
        <v>4501</v>
      </c>
      <c r="E296" s="212" t="s">
        <v>4501</v>
      </c>
      <c r="F296" s="212" t="s">
        <v>4501</v>
      </c>
      <c r="G296" s="212" t="s">
        <v>4501</v>
      </c>
      <c r="H296" s="225" t="s">
        <v>4501</v>
      </c>
      <c r="I296" s="223" t="s">
        <v>4501</v>
      </c>
      <c r="J296" s="77"/>
      <c r="K296" s="213">
        <v>1.720926371E9</v>
      </c>
      <c r="L296" s="220">
        <v>1.0356919603E11</v>
      </c>
      <c r="M296" s="211" t="s">
        <v>4505</v>
      </c>
      <c r="N296" s="77"/>
      <c r="O296" s="78" t="s">
        <v>2659</v>
      </c>
      <c r="P296" s="211" t="s">
        <v>2741</v>
      </c>
      <c r="Q296" s="214" t="s">
        <v>5550</v>
      </c>
      <c r="R296" s="77" t="s">
        <v>4503</v>
      </c>
      <c r="S296" s="77"/>
      <c r="T296" s="211" t="s">
        <v>286</v>
      </c>
      <c r="U296" s="211" t="s">
        <v>287</v>
      </c>
      <c r="V296" s="77"/>
      <c r="W296" s="77"/>
      <c r="X296" s="77"/>
      <c r="Y296" s="77"/>
      <c r="Z296" s="216">
        <v>3.3051E9</v>
      </c>
      <c r="AA296" s="77" t="s">
        <v>6552</v>
      </c>
      <c r="AB296" s="77"/>
      <c r="AC296" s="77" t="str">
        <f t="shared" si="5"/>
        <v>#N/A</v>
      </c>
      <c r="AD296" s="218">
        <v>4.0</v>
      </c>
      <c r="AE296" s="216">
        <v>18.0</v>
      </c>
      <c r="AF296" s="218">
        <v>4.0</v>
      </c>
      <c r="AG296" s="216">
        <v>4.0</v>
      </c>
      <c r="AH296" s="77"/>
      <c r="AI296" s="216">
        <v>0.231</v>
      </c>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row>
    <row r="297">
      <c r="A297" s="77" t="s">
        <v>4070</v>
      </c>
      <c r="B297" s="77" t="s">
        <v>4070</v>
      </c>
      <c r="C297" s="77" t="s">
        <v>4072</v>
      </c>
      <c r="D297" s="211" t="s">
        <v>4070</v>
      </c>
      <c r="E297" s="212" t="s">
        <v>4070</v>
      </c>
      <c r="F297" s="212" t="s">
        <v>4070</v>
      </c>
      <c r="G297" s="212" t="s">
        <v>4070</v>
      </c>
      <c r="H297" s="225" t="s">
        <v>4070</v>
      </c>
      <c r="I297" s="225" t="s">
        <v>4070</v>
      </c>
      <c r="J297" s="77"/>
      <c r="K297" s="213">
        <v>1.860164273E9</v>
      </c>
      <c r="L297" s="220">
        <v>1.03816818779E11</v>
      </c>
      <c r="M297" s="211" t="s">
        <v>4073</v>
      </c>
      <c r="N297" s="213">
        <v>9.9000076221E10</v>
      </c>
      <c r="O297" s="78" t="s">
        <v>2659</v>
      </c>
      <c r="P297" s="211" t="s">
        <v>2741</v>
      </c>
      <c r="Q297" s="214" t="s">
        <v>4079</v>
      </c>
      <c r="R297" s="77" t="s">
        <v>4071</v>
      </c>
      <c r="S297" s="77"/>
      <c r="T297" s="211" t="s">
        <v>286</v>
      </c>
      <c r="U297" s="211" t="s">
        <v>287</v>
      </c>
      <c r="V297" s="77"/>
      <c r="W297" s="77"/>
      <c r="X297" s="77"/>
      <c r="Y297" s="77"/>
      <c r="Z297" s="216">
        <v>3.3051E9</v>
      </c>
      <c r="AA297" s="77" t="s">
        <v>6552</v>
      </c>
      <c r="AB297" s="77"/>
      <c r="AC297" s="77" t="str">
        <f t="shared" si="5"/>
        <v>#N/A</v>
      </c>
      <c r="AD297" s="218">
        <v>16.0</v>
      </c>
      <c r="AE297" s="216">
        <v>5.0</v>
      </c>
      <c r="AF297" s="218">
        <v>16.0</v>
      </c>
      <c r="AG297" s="216">
        <v>5.0</v>
      </c>
      <c r="AH297" s="77"/>
      <c r="AI297" s="216">
        <v>0.288</v>
      </c>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row>
    <row r="298">
      <c r="A298" s="77" t="s">
        <v>3369</v>
      </c>
      <c r="B298" s="77" t="s">
        <v>3369</v>
      </c>
      <c r="C298" s="77" t="s">
        <v>3371</v>
      </c>
      <c r="D298" s="211" t="s">
        <v>3369</v>
      </c>
      <c r="E298" s="212" t="s">
        <v>3369</v>
      </c>
      <c r="F298" s="212" t="s">
        <v>3369</v>
      </c>
      <c r="G298" s="212" t="s">
        <v>3369</v>
      </c>
      <c r="H298" s="225" t="s">
        <v>3369</v>
      </c>
      <c r="I298" s="225" t="s">
        <v>3369</v>
      </c>
      <c r="J298" s="77"/>
      <c r="K298" s="213">
        <v>1.917245431E9</v>
      </c>
      <c r="L298" s="220">
        <v>1.03816810573E11</v>
      </c>
      <c r="M298" s="211" t="s">
        <v>3372</v>
      </c>
      <c r="N298" s="213">
        <v>9.9000076208E10</v>
      </c>
      <c r="O298" s="78" t="s">
        <v>2659</v>
      </c>
      <c r="P298" s="211" t="s">
        <v>2741</v>
      </c>
      <c r="Q298" s="214" t="s">
        <v>3374</v>
      </c>
      <c r="R298" s="77" t="s">
        <v>3370</v>
      </c>
      <c r="S298" s="77"/>
      <c r="T298" s="211" t="s">
        <v>286</v>
      </c>
      <c r="U298" s="211" t="s">
        <v>287</v>
      </c>
      <c r="V298" s="77"/>
      <c r="W298" s="77"/>
      <c r="X298" s="77"/>
      <c r="Y298" s="77"/>
      <c r="Z298" s="216">
        <v>3.3051E9</v>
      </c>
      <c r="AA298" s="77" t="s">
        <v>6552</v>
      </c>
      <c r="AB298" s="77"/>
      <c r="AC298" s="77" t="str">
        <f t="shared" si="5"/>
        <v>#N/A</v>
      </c>
      <c r="AD298" s="218">
        <v>9.0</v>
      </c>
      <c r="AE298" s="216">
        <v>9.0</v>
      </c>
      <c r="AF298" s="218">
        <v>9.0</v>
      </c>
      <c r="AG298" s="216">
        <v>9.0</v>
      </c>
      <c r="AH298" s="77"/>
      <c r="AI298" s="216">
        <v>0.52</v>
      </c>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row>
    <row r="299">
      <c r="A299" s="77" t="s">
        <v>3224</v>
      </c>
      <c r="B299" s="77" t="s">
        <v>3224</v>
      </c>
      <c r="C299" s="77" t="s">
        <v>3226</v>
      </c>
      <c r="D299" s="211" t="s">
        <v>3224</v>
      </c>
      <c r="E299" s="212" t="s">
        <v>3224</v>
      </c>
      <c r="F299" s="212" t="s">
        <v>3224</v>
      </c>
      <c r="G299" s="212" t="s">
        <v>3224</v>
      </c>
      <c r="H299" s="225" t="s">
        <v>3224</v>
      </c>
      <c r="I299" s="225" t="s">
        <v>3224</v>
      </c>
      <c r="J299" s="77"/>
      <c r="K299" s="213">
        <v>2.067943215E9</v>
      </c>
      <c r="L299" s="220">
        <v>4.476310899E9</v>
      </c>
      <c r="M299" s="211" t="s">
        <v>3227</v>
      </c>
      <c r="N299" s="213">
        <v>9.9000114726E10</v>
      </c>
      <c r="O299" s="78" t="s">
        <v>2659</v>
      </c>
      <c r="P299" s="211" t="s">
        <v>2741</v>
      </c>
      <c r="Q299" s="214" t="s">
        <v>6584</v>
      </c>
      <c r="R299" s="77" t="s">
        <v>3225</v>
      </c>
      <c r="S299" s="77"/>
      <c r="T299" s="211" t="s">
        <v>286</v>
      </c>
      <c r="U299" s="211" t="s">
        <v>287</v>
      </c>
      <c r="V299" s="77"/>
      <c r="W299" s="77"/>
      <c r="X299" s="77"/>
      <c r="Y299" s="77"/>
      <c r="Z299" s="216">
        <v>3.3051E9</v>
      </c>
      <c r="AA299" s="77" t="s">
        <v>6552</v>
      </c>
      <c r="AB299" s="77"/>
      <c r="AC299" s="77" t="str">
        <f t="shared" si="5"/>
        <v>#N/A</v>
      </c>
      <c r="AD299" s="218">
        <v>12.0</v>
      </c>
      <c r="AE299" s="216">
        <v>18.0</v>
      </c>
      <c r="AF299" s="218">
        <v>12.0</v>
      </c>
      <c r="AG299" s="216">
        <v>6.0</v>
      </c>
      <c r="AH299" s="77"/>
      <c r="AI299" s="216">
        <v>0.345</v>
      </c>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row>
    <row r="300">
      <c r="A300" s="77" t="s">
        <v>3243</v>
      </c>
      <c r="B300" s="77" t="s">
        <v>3243</v>
      </c>
      <c r="C300" s="77" t="s">
        <v>3245</v>
      </c>
      <c r="D300" s="211" t="s">
        <v>3243</v>
      </c>
      <c r="E300" s="212" t="s">
        <v>3243</v>
      </c>
      <c r="F300" s="212" t="s">
        <v>3243</v>
      </c>
      <c r="G300" s="212" t="s">
        <v>3243</v>
      </c>
      <c r="H300" s="225" t="s">
        <v>3243</v>
      </c>
      <c r="I300" s="225" t="s">
        <v>3243</v>
      </c>
      <c r="J300" s="77"/>
      <c r="K300" s="213">
        <v>2.0679528E9</v>
      </c>
      <c r="L300" s="220">
        <v>4.476308791E9</v>
      </c>
      <c r="M300" s="211" t="s">
        <v>3246</v>
      </c>
      <c r="N300" s="213">
        <v>9.9000125266E10</v>
      </c>
      <c r="O300" s="78" t="s">
        <v>2659</v>
      </c>
      <c r="P300" s="211" t="s">
        <v>2741</v>
      </c>
      <c r="Q300" s="214" t="s">
        <v>6585</v>
      </c>
      <c r="R300" s="77" t="s">
        <v>3244</v>
      </c>
      <c r="S300" s="77"/>
      <c r="T300" s="211" t="s">
        <v>286</v>
      </c>
      <c r="U300" s="211" t="s">
        <v>287</v>
      </c>
      <c r="V300" s="77"/>
      <c r="W300" s="77"/>
      <c r="X300" s="77"/>
      <c r="Y300" s="77"/>
      <c r="Z300" s="216">
        <v>3.3051E9</v>
      </c>
      <c r="AA300" s="77" t="s">
        <v>6552</v>
      </c>
      <c r="AB300" s="77"/>
      <c r="AC300" s="77" t="str">
        <f t="shared" si="5"/>
        <v>#N/A</v>
      </c>
      <c r="AD300" s="218">
        <v>17.0</v>
      </c>
      <c r="AE300" s="216">
        <v>4.0</v>
      </c>
      <c r="AF300" s="218">
        <v>17.0</v>
      </c>
      <c r="AG300" s="216">
        <v>4.0</v>
      </c>
      <c r="AH300" s="77"/>
      <c r="AI300" s="216">
        <v>0.202</v>
      </c>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row>
    <row r="301">
      <c r="A301" s="77" t="s">
        <v>3575</v>
      </c>
      <c r="B301" s="77" t="s">
        <v>3575</v>
      </c>
      <c r="C301" s="77" t="s">
        <v>3577</v>
      </c>
      <c r="D301" s="211" t="s">
        <v>3575</v>
      </c>
      <c r="E301" s="212" t="s">
        <v>3575</v>
      </c>
      <c r="F301" s="212" t="s">
        <v>3575</v>
      </c>
      <c r="G301" s="212" t="s">
        <v>3575</v>
      </c>
      <c r="H301" s="225" t="s">
        <v>3575</v>
      </c>
      <c r="I301" s="225" t="s">
        <v>3575</v>
      </c>
      <c r="J301" s="77"/>
      <c r="K301" s="213">
        <v>2.067962201E9</v>
      </c>
      <c r="L301" s="220">
        <v>4.476306819E9</v>
      </c>
      <c r="M301" s="211" t="s">
        <v>3578</v>
      </c>
      <c r="N301" s="213">
        <v>9.9000114733E10</v>
      </c>
      <c r="O301" s="78" t="s">
        <v>2659</v>
      </c>
      <c r="P301" s="211" t="s">
        <v>2741</v>
      </c>
      <c r="Q301" s="214" t="s">
        <v>3581</v>
      </c>
      <c r="R301" s="77" t="s">
        <v>3576</v>
      </c>
      <c r="S301" s="77"/>
      <c r="T301" s="211" t="s">
        <v>286</v>
      </c>
      <c r="U301" s="211" t="s">
        <v>287</v>
      </c>
      <c r="V301" s="77"/>
      <c r="W301" s="77"/>
      <c r="X301" s="77"/>
      <c r="Y301" s="77"/>
      <c r="Z301" s="216">
        <v>3.3051E9</v>
      </c>
      <c r="AA301" s="77" t="s">
        <v>6552</v>
      </c>
      <c r="AB301" s="77"/>
      <c r="AC301" s="77" t="str">
        <f t="shared" si="5"/>
        <v>#N/A</v>
      </c>
      <c r="AD301" s="218">
        <v>17.0</v>
      </c>
      <c r="AE301" s="216">
        <v>11.0</v>
      </c>
      <c r="AF301" s="218">
        <v>17.0</v>
      </c>
      <c r="AG301" s="216">
        <v>6.0</v>
      </c>
      <c r="AH301" s="77"/>
      <c r="AI301" s="216">
        <v>0.345</v>
      </c>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row>
    <row r="302">
      <c r="A302" s="77" t="s">
        <v>3466</v>
      </c>
      <c r="B302" s="77" t="s">
        <v>3466</v>
      </c>
      <c r="C302" s="77" t="s">
        <v>3468</v>
      </c>
      <c r="D302" s="211" t="s">
        <v>3466</v>
      </c>
      <c r="E302" s="212" t="s">
        <v>3466</v>
      </c>
      <c r="F302" s="212" t="s">
        <v>3466</v>
      </c>
      <c r="G302" s="212" t="s">
        <v>3466</v>
      </c>
      <c r="H302" s="225" t="s">
        <v>3466</v>
      </c>
      <c r="I302" s="225" t="s">
        <v>3466</v>
      </c>
      <c r="J302" s="77"/>
      <c r="K302" s="213">
        <v>2.138175361E9</v>
      </c>
      <c r="L302" s="220">
        <v>4.476315416E9</v>
      </c>
      <c r="M302" s="211" t="s">
        <v>3469</v>
      </c>
      <c r="N302" s="213">
        <v>9.9000114732E10</v>
      </c>
      <c r="O302" s="78" t="s">
        <v>2659</v>
      </c>
      <c r="P302" s="211" t="s">
        <v>2741</v>
      </c>
      <c r="Q302" s="214" t="s">
        <v>3476</v>
      </c>
      <c r="R302" s="77" t="s">
        <v>3467</v>
      </c>
      <c r="S302" s="77"/>
      <c r="T302" s="211" t="s">
        <v>286</v>
      </c>
      <c r="U302" s="211" t="s">
        <v>287</v>
      </c>
      <c r="V302" s="77"/>
      <c r="W302" s="77"/>
      <c r="X302" s="77"/>
      <c r="Y302" s="77"/>
      <c r="Z302" s="216">
        <v>3.3051E9</v>
      </c>
      <c r="AA302" s="77" t="s">
        <v>6552</v>
      </c>
      <c r="AB302" s="77"/>
      <c r="AC302" s="77" t="str">
        <f t="shared" si="5"/>
        <v>#N/A</v>
      </c>
      <c r="AD302" s="218">
        <v>15.0</v>
      </c>
      <c r="AE302" s="216">
        <v>10.0</v>
      </c>
      <c r="AF302" s="218">
        <v>15.0</v>
      </c>
      <c r="AG302" s="216">
        <v>4.0</v>
      </c>
      <c r="AH302" s="77"/>
      <c r="AI302" s="216">
        <v>0.091</v>
      </c>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row>
    <row r="303">
      <c r="A303" s="77" t="s">
        <v>2919</v>
      </c>
      <c r="B303" s="77" t="s">
        <v>2919</v>
      </c>
      <c r="C303" s="77" t="s">
        <v>2921</v>
      </c>
      <c r="D303" s="211" t="s">
        <v>2919</v>
      </c>
      <c r="E303" s="212" t="s">
        <v>2919</v>
      </c>
      <c r="F303" s="212" t="s">
        <v>2919</v>
      </c>
      <c r="G303" s="212" t="s">
        <v>2919</v>
      </c>
      <c r="H303" s="225" t="s">
        <v>2919</v>
      </c>
      <c r="I303" s="225" t="s">
        <v>2919</v>
      </c>
      <c r="J303" s="77"/>
      <c r="K303" s="213">
        <v>2.138241943E9</v>
      </c>
      <c r="L303" s="220">
        <v>4.476422826E9</v>
      </c>
      <c r="M303" s="211" t="s">
        <v>2922</v>
      </c>
      <c r="N303" s="213">
        <v>9.9000114724E10</v>
      </c>
      <c r="O303" s="78" t="s">
        <v>2659</v>
      </c>
      <c r="P303" s="211" t="s">
        <v>2741</v>
      </c>
      <c r="Q303" s="214" t="s">
        <v>6586</v>
      </c>
      <c r="R303" s="77" t="s">
        <v>2920</v>
      </c>
      <c r="S303" s="77"/>
      <c r="T303" s="211" t="s">
        <v>286</v>
      </c>
      <c r="U303" s="211" t="s">
        <v>287</v>
      </c>
      <c r="V303" s="77"/>
      <c r="W303" s="77"/>
      <c r="X303" s="77"/>
      <c r="Y303" s="77"/>
      <c r="Z303" s="216">
        <v>3.305900009E9</v>
      </c>
      <c r="AA303" s="77" t="s">
        <v>6552</v>
      </c>
      <c r="AB303" s="77"/>
      <c r="AC303" s="77" t="str">
        <f t="shared" si="5"/>
        <v>#N/A</v>
      </c>
      <c r="AD303" s="218">
        <v>9.0</v>
      </c>
      <c r="AE303" s="216">
        <v>13.0</v>
      </c>
      <c r="AF303" s="218">
        <v>9.0</v>
      </c>
      <c r="AG303" s="216">
        <v>4.0</v>
      </c>
      <c r="AH303" s="77"/>
      <c r="AI303" s="216">
        <v>1.47</v>
      </c>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row>
    <row r="304">
      <c r="A304" s="77" t="s">
        <v>3738</v>
      </c>
      <c r="B304" s="77" t="s">
        <v>3738</v>
      </c>
      <c r="C304" s="77" t="s">
        <v>3740</v>
      </c>
      <c r="D304" s="211" t="s">
        <v>3738</v>
      </c>
      <c r="E304" s="212" t="s">
        <v>3738</v>
      </c>
      <c r="F304" s="212" t="s">
        <v>3738</v>
      </c>
      <c r="G304" s="212" t="s">
        <v>3738</v>
      </c>
      <c r="H304" s="225" t="s">
        <v>3738</v>
      </c>
      <c r="I304" s="223" t="s">
        <v>3738</v>
      </c>
      <c r="J304" s="77"/>
      <c r="K304" s="213">
        <v>2.168297398E9</v>
      </c>
      <c r="L304" s="220">
        <v>4.700257494E9</v>
      </c>
      <c r="M304" s="211" t="s">
        <v>3741</v>
      </c>
      <c r="N304" s="77"/>
      <c r="O304" s="78" t="s">
        <v>2659</v>
      </c>
      <c r="P304" s="211" t="s">
        <v>2741</v>
      </c>
      <c r="Q304" s="214" t="s">
        <v>3743</v>
      </c>
      <c r="R304" s="77" t="s">
        <v>3739</v>
      </c>
      <c r="S304" s="77"/>
      <c r="T304" s="211" t="s">
        <v>286</v>
      </c>
      <c r="U304" s="211" t="s">
        <v>287</v>
      </c>
      <c r="V304" s="77"/>
      <c r="W304" s="77"/>
      <c r="X304" s="77"/>
      <c r="Y304" s="77"/>
      <c r="Z304" s="216">
        <v>3.3051E9</v>
      </c>
      <c r="AA304" s="77" t="s">
        <v>6552</v>
      </c>
      <c r="AB304" s="77"/>
      <c r="AC304" s="77" t="str">
        <f t="shared" si="5"/>
        <v>#N/A</v>
      </c>
      <c r="AD304" s="218">
        <v>3.0</v>
      </c>
      <c r="AE304" s="216">
        <v>16.0</v>
      </c>
      <c r="AF304" s="218">
        <v>3.0</v>
      </c>
      <c r="AG304" s="216">
        <v>5.0</v>
      </c>
      <c r="AH304" s="77"/>
      <c r="AI304" s="216">
        <v>0.122</v>
      </c>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row>
    <row r="305">
      <c r="A305" s="77" t="s">
        <v>3301</v>
      </c>
      <c r="B305" s="77" t="s">
        <v>3301</v>
      </c>
      <c r="C305" s="77" t="s">
        <v>3303</v>
      </c>
      <c r="D305" s="211" t="s">
        <v>3301</v>
      </c>
      <c r="E305" s="212" t="s">
        <v>3301</v>
      </c>
      <c r="F305" s="212" t="s">
        <v>3301</v>
      </c>
      <c r="G305" s="212" t="s">
        <v>3301</v>
      </c>
      <c r="H305" s="225" t="s">
        <v>3301</v>
      </c>
      <c r="I305" s="225" t="s">
        <v>3301</v>
      </c>
      <c r="J305" s="77"/>
      <c r="K305" s="213">
        <v>2.445342489E9</v>
      </c>
      <c r="L305" s="220">
        <v>4.537865832E9</v>
      </c>
      <c r="M305" s="211" t="s">
        <v>3304</v>
      </c>
      <c r="N305" s="213">
        <v>9.9000125265E10</v>
      </c>
      <c r="O305" s="78" t="s">
        <v>2659</v>
      </c>
      <c r="P305" s="211" t="s">
        <v>2741</v>
      </c>
      <c r="Q305" s="214" t="s">
        <v>3306</v>
      </c>
      <c r="R305" s="214" t="s">
        <v>3302</v>
      </c>
      <c r="S305" s="77"/>
      <c r="T305" s="211" t="s">
        <v>286</v>
      </c>
      <c r="U305" s="211" t="s">
        <v>287</v>
      </c>
      <c r="V305" s="77"/>
      <c r="W305" s="77"/>
      <c r="X305" s="77"/>
      <c r="Y305" s="77"/>
      <c r="Z305" s="216">
        <v>3304.0</v>
      </c>
      <c r="AA305" s="77" t="s">
        <v>6552</v>
      </c>
      <c r="AB305" s="77"/>
      <c r="AC305" s="77" t="str">
        <f t="shared" si="5"/>
        <v>#N/A</v>
      </c>
      <c r="AD305" s="218">
        <v>4.0</v>
      </c>
      <c r="AE305" s="216">
        <v>18.0</v>
      </c>
      <c r="AF305" s="218">
        <v>4.0</v>
      </c>
      <c r="AG305" s="216">
        <v>4.0</v>
      </c>
      <c r="AH305" s="77"/>
      <c r="AI305" s="216">
        <v>0.206</v>
      </c>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row>
    <row r="306">
      <c r="A306" s="77" t="s">
        <v>5242</v>
      </c>
      <c r="B306" s="77" t="s">
        <v>5242</v>
      </c>
      <c r="C306" s="77" t="s">
        <v>5244</v>
      </c>
      <c r="D306" s="211" t="s">
        <v>5242</v>
      </c>
      <c r="E306" s="212" t="s">
        <v>5242</v>
      </c>
      <c r="F306" s="212" t="s">
        <v>5242</v>
      </c>
      <c r="G306" s="212" t="s">
        <v>5242</v>
      </c>
      <c r="H306" s="223" t="s">
        <v>5242</v>
      </c>
      <c r="I306" s="188"/>
      <c r="J306" s="77"/>
      <c r="K306" s="213">
        <v>2.860142614E9</v>
      </c>
      <c r="L306" s="220">
        <v>4.737518234E9</v>
      </c>
      <c r="M306" s="77"/>
      <c r="N306" s="77"/>
      <c r="O306" s="78" t="s">
        <v>2659</v>
      </c>
      <c r="P306" s="211" t="s">
        <v>2741</v>
      </c>
      <c r="Q306" s="214" t="s">
        <v>5246</v>
      </c>
      <c r="R306" s="77" t="s">
        <v>5243</v>
      </c>
      <c r="S306" s="77"/>
      <c r="T306" s="211" t="s">
        <v>286</v>
      </c>
      <c r="U306" s="211" t="s">
        <v>287</v>
      </c>
      <c r="V306" s="77"/>
      <c r="W306" s="77"/>
      <c r="X306" s="77"/>
      <c r="Y306" s="77"/>
      <c r="Z306" s="216">
        <v>3.3051E9</v>
      </c>
      <c r="AA306" s="77" t="s">
        <v>6552</v>
      </c>
      <c r="AB306" s="77"/>
      <c r="AC306" s="77" t="str">
        <f t="shared" si="5"/>
        <v>#N/A</v>
      </c>
      <c r="AD306" s="218">
        <v>1.0</v>
      </c>
      <c r="AE306" s="216">
        <v>1.0</v>
      </c>
      <c r="AF306" s="218">
        <v>1.0</v>
      </c>
      <c r="AG306" s="216">
        <v>1.0</v>
      </c>
      <c r="AH306" s="77"/>
      <c r="AI306" s="216">
        <v>1.0</v>
      </c>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row>
    <row r="307">
      <c r="A307" s="77" t="s">
        <v>5546</v>
      </c>
      <c r="B307" s="77" t="s">
        <v>5546</v>
      </c>
      <c r="C307" s="77" t="s">
        <v>5678</v>
      </c>
      <c r="D307" s="211" t="s">
        <v>5546</v>
      </c>
      <c r="E307" s="212" t="s">
        <v>5546</v>
      </c>
      <c r="F307" s="212" t="s">
        <v>5546</v>
      </c>
      <c r="G307" s="212" t="s">
        <v>5546</v>
      </c>
      <c r="H307" s="225" t="s">
        <v>5546</v>
      </c>
      <c r="I307" s="225" t="s">
        <v>5546</v>
      </c>
      <c r="J307" s="77"/>
      <c r="K307" s="213">
        <v>1.526983919E9</v>
      </c>
      <c r="L307" s="220">
        <v>1.03515417439E11</v>
      </c>
      <c r="M307" s="211" t="s">
        <v>6587</v>
      </c>
      <c r="N307" s="213">
        <v>9.9000076222E10</v>
      </c>
      <c r="O307" s="78" t="s">
        <v>2659</v>
      </c>
      <c r="P307" s="211" t="s">
        <v>2741</v>
      </c>
      <c r="Q307" s="214" t="s">
        <v>6588</v>
      </c>
      <c r="R307" s="77" t="s">
        <v>5679</v>
      </c>
      <c r="S307" s="77"/>
      <c r="T307" s="211" t="s">
        <v>286</v>
      </c>
      <c r="U307" s="211" t="s">
        <v>565</v>
      </c>
      <c r="V307" s="77"/>
      <c r="W307" s="77"/>
      <c r="X307" s="77"/>
      <c r="Y307" s="77"/>
      <c r="Z307" s="216">
        <v>3.30499E9</v>
      </c>
      <c r="AA307" s="77" t="s">
        <v>6552</v>
      </c>
      <c r="AB307" s="77"/>
      <c r="AC307" s="77" t="str">
        <f t="shared" si="5"/>
        <v>#N/A</v>
      </c>
      <c r="AD307" s="218">
        <v>5.0</v>
      </c>
      <c r="AE307" s="216">
        <v>14.0</v>
      </c>
      <c r="AF307" s="218">
        <v>5.0</v>
      </c>
      <c r="AG307" s="216">
        <v>5.0</v>
      </c>
      <c r="AH307" s="77"/>
      <c r="AI307" s="216">
        <v>0.164</v>
      </c>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row>
    <row r="308">
      <c r="A308" s="77" t="s">
        <v>5225</v>
      </c>
      <c r="B308" s="77" t="s">
        <v>5225</v>
      </c>
      <c r="C308" s="77" t="s">
        <v>5227</v>
      </c>
      <c r="D308" s="211" t="s">
        <v>5225</v>
      </c>
      <c r="E308" s="212" t="s">
        <v>5225</v>
      </c>
      <c r="F308" s="212" t="s">
        <v>5225</v>
      </c>
      <c r="G308" s="212" t="s">
        <v>5225</v>
      </c>
      <c r="H308" s="225" t="s">
        <v>5225</v>
      </c>
      <c r="I308" s="225" t="s">
        <v>5225</v>
      </c>
      <c r="J308" s="77"/>
      <c r="K308" s="213">
        <v>1.548065919E9</v>
      </c>
      <c r="L308" s="220">
        <v>1.03515402868E11</v>
      </c>
      <c r="M308" s="211" t="s">
        <v>5228</v>
      </c>
      <c r="N308" s="213">
        <v>9.9000076211E10</v>
      </c>
      <c r="O308" s="78" t="s">
        <v>2659</v>
      </c>
      <c r="P308" s="211" t="s">
        <v>2741</v>
      </c>
      <c r="Q308" s="214" t="s">
        <v>5230</v>
      </c>
      <c r="R308" s="77" t="s">
        <v>5226</v>
      </c>
      <c r="S308" s="77"/>
      <c r="T308" s="211" t="s">
        <v>286</v>
      </c>
      <c r="U308" s="211" t="s">
        <v>565</v>
      </c>
      <c r="V308" s="77"/>
      <c r="W308" s="77"/>
      <c r="X308" s="77"/>
      <c r="Y308" s="77"/>
      <c r="Z308" s="216">
        <v>3.30499E9</v>
      </c>
      <c r="AA308" s="77" t="s">
        <v>6589</v>
      </c>
      <c r="AB308" s="77"/>
      <c r="AC308" s="77" t="str">
        <f t="shared" si="5"/>
        <v>#N/A</v>
      </c>
      <c r="AD308" s="218">
        <v>8.0</v>
      </c>
      <c r="AE308" s="216">
        <v>2.0</v>
      </c>
      <c r="AF308" s="218">
        <v>8.0</v>
      </c>
      <c r="AG308" s="216">
        <v>4.0</v>
      </c>
      <c r="AH308" s="77"/>
      <c r="AI308" s="216">
        <v>0.1</v>
      </c>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row>
    <row r="309">
      <c r="A309" s="77" t="s">
        <v>4279</v>
      </c>
      <c r="B309" s="77" t="s">
        <v>4279</v>
      </c>
      <c r="C309" s="77" t="s">
        <v>4282</v>
      </c>
      <c r="D309" s="211" t="s">
        <v>4279</v>
      </c>
      <c r="E309" s="212" t="s">
        <v>4279</v>
      </c>
      <c r="F309" s="212" t="s">
        <v>4279</v>
      </c>
      <c r="G309" s="212" t="s">
        <v>4279</v>
      </c>
      <c r="H309" s="225" t="s">
        <v>4279</v>
      </c>
      <c r="I309" s="188"/>
      <c r="J309" s="77"/>
      <c r="K309" s="213">
        <v>1.629533131E9</v>
      </c>
      <c r="L309" s="220">
        <v>1.03515404729E11</v>
      </c>
      <c r="M309" s="211" t="s">
        <v>4283</v>
      </c>
      <c r="N309" s="213">
        <v>9.9000076207E10</v>
      </c>
      <c r="O309" s="78" t="s">
        <v>2659</v>
      </c>
      <c r="P309" s="211" t="s">
        <v>2741</v>
      </c>
      <c r="Q309" s="214" t="s">
        <v>4285</v>
      </c>
      <c r="R309" s="77" t="s">
        <v>4281</v>
      </c>
      <c r="S309" s="77"/>
      <c r="T309" s="211" t="s">
        <v>286</v>
      </c>
      <c r="U309" s="211" t="s">
        <v>565</v>
      </c>
      <c r="V309" s="77"/>
      <c r="W309" s="77"/>
      <c r="X309" s="77"/>
      <c r="Y309" s="77"/>
      <c r="Z309" s="216">
        <v>3.30499E9</v>
      </c>
      <c r="AA309" s="77" t="s">
        <v>6552</v>
      </c>
      <c r="AB309" s="77"/>
      <c r="AC309" s="77" t="str">
        <f t="shared" si="5"/>
        <v>#N/A</v>
      </c>
      <c r="AD309" s="218">
        <v>5.0</v>
      </c>
      <c r="AE309" s="216">
        <v>17.0</v>
      </c>
      <c r="AF309" s="218">
        <v>5.0</v>
      </c>
      <c r="AG309" s="216">
        <v>5.0</v>
      </c>
      <c r="AH309" s="77"/>
      <c r="AI309" s="216">
        <v>0.212</v>
      </c>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row>
    <row r="310">
      <c r="A310" s="77" t="s">
        <v>3276</v>
      </c>
      <c r="B310" s="77" t="s">
        <v>3276</v>
      </c>
      <c r="C310" s="77" t="s">
        <v>3278</v>
      </c>
      <c r="D310" s="211" t="s">
        <v>3276</v>
      </c>
      <c r="E310" s="212" t="s">
        <v>3276</v>
      </c>
      <c r="F310" s="212" t="s">
        <v>3276</v>
      </c>
      <c r="G310" s="212" t="s">
        <v>3276</v>
      </c>
      <c r="H310" s="225" t="s">
        <v>3276</v>
      </c>
      <c r="I310" s="225" t="s">
        <v>3276</v>
      </c>
      <c r="J310" s="77"/>
      <c r="K310" s="213">
        <v>1.80607945E9</v>
      </c>
      <c r="L310" s="220">
        <v>1.03710308859E11</v>
      </c>
      <c r="M310" s="211" t="s">
        <v>3279</v>
      </c>
      <c r="N310" s="213">
        <v>9.9000076205E10</v>
      </c>
      <c r="O310" s="78" t="s">
        <v>2659</v>
      </c>
      <c r="P310" s="211" t="s">
        <v>2741</v>
      </c>
      <c r="Q310" s="214" t="s">
        <v>3281</v>
      </c>
      <c r="R310" s="77" t="s">
        <v>3277</v>
      </c>
      <c r="S310" s="77"/>
      <c r="T310" s="211" t="s">
        <v>286</v>
      </c>
      <c r="U310" s="211" t="s">
        <v>565</v>
      </c>
      <c r="V310" s="77"/>
      <c r="W310" s="77"/>
      <c r="X310" s="77"/>
      <c r="Y310" s="77"/>
      <c r="Z310" s="216">
        <v>3.30499E9</v>
      </c>
      <c r="AA310" s="77" t="s">
        <v>6589</v>
      </c>
      <c r="AB310" s="77"/>
      <c r="AC310" s="77" t="str">
        <f t="shared" si="5"/>
        <v>#N/A</v>
      </c>
      <c r="AD310" s="218">
        <v>3.0</v>
      </c>
      <c r="AE310" s="216">
        <v>11.0</v>
      </c>
      <c r="AF310" s="218">
        <v>3.0</v>
      </c>
      <c r="AG310" s="216">
        <v>3.0</v>
      </c>
      <c r="AH310" s="77"/>
      <c r="AI310" s="216">
        <v>0.092</v>
      </c>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row>
    <row r="311">
      <c r="A311" s="77" t="s">
        <v>3021</v>
      </c>
      <c r="B311" s="77" t="s">
        <v>3021</v>
      </c>
      <c r="C311" s="77" t="s">
        <v>3023</v>
      </c>
      <c r="D311" s="211" t="s">
        <v>3021</v>
      </c>
      <c r="E311" s="212" t="s">
        <v>3021</v>
      </c>
      <c r="F311" s="212" t="s">
        <v>3021</v>
      </c>
      <c r="G311" s="212" t="s">
        <v>3021</v>
      </c>
      <c r="H311" s="225" t="s">
        <v>3021</v>
      </c>
      <c r="I311" s="225" t="s">
        <v>3021</v>
      </c>
      <c r="J311" s="77"/>
      <c r="K311" s="213">
        <v>2.015306117E9</v>
      </c>
      <c r="L311" s="220">
        <v>4.334343067E9</v>
      </c>
      <c r="M311" s="211" t="s">
        <v>3024</v>
      </c>
      <c r="N311" s="213">
        <v>9.9000114727E10</v>
      </c>
      <c r="O311" s="78" t="s">
        <v>2659</v>
      </c>
      <c r="P311" s="211" t="s">
        <v>2741</v>
      </c>
      <c r="Q311" s="214" t="s">
        <v>3026</v>
      </c>
      <c r="R311" s="77" t="s">
        <v>3022</v>
      </c>
      <c r="S311" s="77"/>
      <c r="T311" s="211" t="s">
        <v>286</v>
      </c>
      <c r="U311" s="211" t="s">
        <v>565</v>
      </c>
      <c r="V311" s="77"/>
      <c r="W311" s="77"/>
      <c r="X311" s="77"/>
      <c r="Y311" s="77"/>
      <c r="Z311" s="216">
        <v>3.30499E9</v>
      </c>
      <c r="AA311" s="77" t="s">
        <v>6589</v>
      </c>
      <c r="AB311" s="77"/>
      <c r="AC311" s="77" t="str">
        <f t="shared" si="5"/>
        <v>#N/A</v>
      </c>
      <c r="AD311" s="218">
        <v>6.0</v>
      </c>
      <c r="AE311" s="216">
        <v>5.0</v>
      </c>
      <c r="AF311" s="218">
        <v>6.0</v>
      </c>
      <c r="AG311" s="216">
        <v>6.0</v>
      </c>
      <c r="AH311" s="77"/>
      <c r="AI311" s="216">
        <v>0.132</v>
      </c>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row>
    <row r="312">
      <c r="A312" s="77" t="s">
        <v>3395</v>
      </c>
      <c r="B312" s="77" t="s">
        <v>3395</v>
      </c>
      <c r="C312" s="77" t="s">
        <v>3397</v>
      </c>
      <c r="D312" s="211" t="s">
        <v>3395</v>
      </c>
      <c r="E312" s="212" t="s">
        <v>3395</v>
      </c>
      <c r="F312" s="212" t="s">
        <v>3395</v>
      </c>
      <c r="G312" s="212" t="s">
        <v>3395</v>
      </c>
      <c r="H312" s="225" t="s">
        <v>3395</v>
      </c>
      <c r="I312" s="225" t="s">
        <v>3395</v>
      </c>
      <c r="J312" s="77"/>
      <c r="K312" s="213">
        <v>2.015547267E9</v>
      </c>
      <c r="L312" s="220">
        <v>4.334347819E9</v>
      </c>
      <c r="M312" s="211" t="s">
        <v>3398</v>
      </c>
      <c r="N312" s="213">
        <v>9.9000114728E10</v>
      </c>
      <c r="O312" s="78" t="s">
        <v>2659</v>
      </c>
      <c r="P312" s="211" t="s">
        <v>2741</v>
      </c>
      <c r="Q312" s="214" t="s">
        <v>3399</v>
      </c>
      <c r="R312" s="77" t="s">
        <v>3396</v>
      </c>
      <c r="S312" s="77"/>
      <c r="T312" s="211" t="s">
        <v>286</v>
      </c>
      <c r="U312" s="211" t="s">
        <v>565</v>
      </c>
      <c r="V312" s="77"/>
      <c r="W312" s="77"/>
      <c r="X312" s="77"/>
      <c r="Y312" s="77"/>
      <c r="Z312" s="216">
        <v>3.30499E9</v>
      </c>
      <c r="AA312" s="77" t="s">
        <v>6553</v>
      </c>
      <c r="AB312" s="77"/>
      <c r="AC312" s="77" t="str">
        <f t="shared" si="5"/>
        <v>#N/A</v>
      </c>
      <c r="AD312" s="218">
        <v>5.0</v>
      </c>
      <c r="AE312" s="216">
        <v>16.0</v>
      </c>
      <c r="AF312" s="218">
        <v>5.0</v>
      </c>
      <c r="AG312" s="216">
        <v>5.0</v>
      </c>
      <c r="AH312" s="77"/>
      <c r="AI312" s="216">
        <v>0.287</v>
      </c>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row>
    <row r="313">
      <c r="A313" s="77" t="s">
        <v>4224</v>
      </c>
      <c r="B313" s="77" t="s">
        <v>4224</v>
      </c>
      <c r="C313" s="77" t="s">
        <v>4225</v>
      </c>
      <c r="D313" s="211" t="s">
        <v>4224</v>
      </c>
      <c r="E313" s="212" t="s">
        <v>4224</v>
      </c>
      <c r="F313" s="212" t="s">
        <v>4224</v>
      </c>
      <c r="G313" s="212" t="s">
        <v>4224</v>
      </c>
      <c r="H313" s="225" t="s">
        <v>4224</v>
      </c>
      <c r="I313" s="188"/>
      <c r="J313" s="77"/>
      <c r="K313" s="213">
        <v>2.015557258E9</v>
      </c>
      <c r="L313" s="220">
        <v>4.334380449E9</v>
      </c>
      <c r="M313" s="211" t="s">
        <v>4226</v>
      </c>
      <c r="N313" s="77"/>
      <c r="O313" s="78" t="s">
        <v>2659</v>
      </c>
      <c r="P313" s="211" t="s">
        <v>2741</v>
      </c>
      <c r="Q313" s="214" t="s">
        <v>4227</v>
      </c>
      <c r="R313" s="77" t="s">
        <v>3093</v>
      </c>
      <c r="S313" s="77"/>
      <c r="T313" s="211" t="s">
        <v>286</v>
      </c>
      <c r="U313" s="211" t="s">
        <v>565</v>
      </c>
      <c r="V313" s="77"/>
      <c r="W313" s="77"/>
      <c r="X313" s="77"/>
      <c r="Y313" s="77"/>
      <c r="Z313" s="216">
        <v>3.30499E9</v>
      </c>
      <c r="AA313" s="77" t="s">
        <v>6590</v>
      </c>
      <c r="AB313" s="77"/>
      <c r="AC313" s="77" t="str">
        <f t="shared" si="5"/>
        <v>#N/A</v>
      </c>
      <c r="AD313" s="218">
        <v>5.0</v>
      </c>
      <c r="AE313" s="216">
        <v>5.0</v>
      </c>
      <c r="AF313" s="218">
        <v>5.0</v>
      </c>
      <c r="AG313" s="216">
        <v>5.0</v>
      </c>
      <c r="AH313" s="77"/>
      <c r="AI313" s="216">
        <v>0.031</v>
      </c>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row>
    <row r="314">
      <c r="A314" s="77" t="s">
        <v>3533</v>
      </c>
      <c r="B314" s="77" t="s">
        <v>3533</v>
      </c>
      <c r="C314" s="77" t="s">
        <v>3535</v>
      </c>
      <c r="D314" s="211" t="s">
        <v>3533</v>
      </c>
      <c r="E314" s="212" t="s">
        <v>3533</v>
      </c>
      <c r="F314" s="212" t="s">
        <v>3533</v>
      </c>
      <c r="G314" s="212" t="s">
        <v>3533</v>
      </c>
      <c r="H314" s="225" t="s">
        <v>3533</v>
      </c>
      <c r="I314" s="225" t="s">
        <v>3533</v>
      </c>
      <c r="J314" s="77"/>
      <c r="K314" s="213">
        <v>2.498445505E9</v>
      </c>
      <c r="L314" s="220">
        <v>4.537862103E9</v>
      </c>
      <c r="M314" s="211" t="s">
        <v>3536</v>
      </c>
      <c r="N314" s="213">
        <v>9.9000125267E10</v>
      </c>
      <c r="O314" s="78" t="s">
        <v>2659</v>
      </c>
      <c r="P314" s="211" t="s">
        <v>2741</v>
      </c>
      <c r="Q314" s="214" t="s">
        <v>3538</v>
      </c>
      <c r="R314" s="77" t="s">
        <v>3534</v>
      </c>
      <c r="S314" s="77"/>
      <c r="T314" s="211" t="s">
        <v>286</v>
      </c>
      <c r="U314" s="211" t="s">
        <v>565</v>
      </c>
      <c r="V314" s="77"/>
      <c r="W314" s="77"/>
      <c r="X314" s="77"/>
      <c r="Y314" s="77"/>
      <c r="Z314" s="216">
        <v>3.30499E9</v>
      </c>
      <c r="AA314" s="77" t="s">
        <v>6589</v>
      </c>
      <c r="AB314" s="77"/>
      <c r="AC314" s="77" t="str">
        <f t="shared" si="5"/>
        <v>#N/A</v>
      </c>
      <c r="AD314" s="218">
        <v>5.0</v>
      </c>
      <c r="AE314" s="216">
        <v>11.0</v>
      </c>
      <c r="AF314" s="218">
        <v>5.0</v>
      </c>
      <c r="AG314" s="216">
        <v>4.0</v>
      </c>
      <c r="AH314" s="77"/>
      <c r="AI314" s="216">
        <v>0.061</v>
      </c>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row>
    <row r="315">
      <c r="A315" s="77" t="s">
        <v>4094</v>
      </c>
      <c r="B315" s="77" t="s">
        <v>4094</v>
      </c>
      <c r="C315" s="77" t="s">
        <v>4096</v>
      </c>
      <c r="D315" s="211" t="s">
        <v>4094</v>
      </c>
      <c r="E315" s="212" t="s">
        <v>4094</v>
      </c>
      <c r="F315" s="212" t="s">
        <v>4094</v>
      </c>
      <c r="G315" s="212" t="s">
        <v>4094</v>
      </c>
      <c r="H315" s="225" t="s">
        <v>4094</v>
      </c>
      <c r="I315" s="225" t="s">
        <v>4094</v>
      </c>
      <c r="J315" s="77"/>
      <c r="K315" s="213">
        <v>2.58313961E9</v>
      </c>
      <c r="L315" s="220">
        <v>4.569591407E9</v>
      </c>
      <c r="M315" s="211" t="s">
        <v>4097</v>
      </c>
      <c r="N315" s="213">
        <v>9.9000125263E10</v>
      </c>
      <c r="O315" s="78" t="s">
        <v>2659</v>
      </c>
      <c r="P315" s="211" t="s">
        <v>2741</v>
      </c>
      <c r="Q315" s="214" t="s">
        <v>4103</v>
      </c>
      <c r="R315" s="77" t="s">
        <v>4095</v>
      </c>
      <c r="S315" s="77"/>
      <c r="T315" s="211" t="s">
        <v>286</v>
      </c>
      <c r="U315" s="211" t="s">
        <v>565</v>
      </c>
      <c r="V315" s="77"/>
      <c r="W315" s="77"/>
      <c r="X315" s="77"/>
      <c r="Y315" s="77"/>
      <c r="Z315" s="216">
        <v>3.30499E9</v>
      </c>
      <c r="AA315" s="77" t="s">
        <v>6589</v>
      </c>
      <c r="AB315" s="77"/>
      <c r="AC315" s="77" t="str">
        <f t="shared" si="5"/>
        <v>#N/A</v>
      </c>
      <c r="AD315" s="218">
        <v>6.0</v>
      </c>
      <c r="AE315" s="216">
        <v>6.0</v>
      </c>
      <c r="AF315" s="218">
        <v>6.0</v>
      </c>
      <c r="AG315" s="216">
        <v>7.0</v>
      </c>
      <c r="AH315" s="77"/>
      <c r="AI315" s="216">
        <v>0.17</v>
      </c>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row>
    <row r="316">
      <c r="A316" s="77" t="s">
        <v>3092</v>
      </c>
      <c r="B316" s="77" t="s">
        <v>3092</v>
      </c>
      <c r="C316" s="77" t="s">
        <v>3094</v>
      </c>
      <c r="D316" s="211" t="s">
        <v>3092</v>
      </c>
      <c r="E316" s="212" t="s">
        <v>3092</v>
      </c>
      <c r="F316" s="212" t="s">
        <v>3092</v>
      </c>
      <c r="G316" s="212" t="s">
        <v>3092</v>
      </c>
      <c r="H316" s="225" t="s">
        <v>3092</v>
      </c>
      <c r="I316" s="225" t="s">
        <v>3092</v>
      </c>
      <c r="J316" s="77"/>
      <c r="K316" s="213">
        <v>2.616859755E9</v>
      </c>
      <c r="L316" s="220">
        <v>4.600273902E9</v>
      </c>
      <c r="M316" s="211" t="s">
        <v>3095</v>
      </c>
      <c r="N316" s="213">
        <v>9.900011473E10</v>
      </c>
      <c r="O316" s="78" t="s">
        <v>2659</v>
      </c>
      <c r="P316" s="211" t="s">
        <v>2741</v>
      </c>
      <c r="Q316" s="214" t="s">
        <v>3098</v>
      </c>
      <c r="R316" s="77" t="s">
        <v>3093</v>
      </c>
      <c r="S316" s="77"/>
      <c r="T316" s="211" t="s">
        <v>286</v>
      </c>
      <c r="U316" s="211" t="s">
        <v>565</v>
      </c>
      <c r="V316" s="77"/>
      <c r="W316" s="77"/>
      <c r="X316" s="77"/>
      <c r="Y316" s="77"/>
      <c r="Z316" s="216">
        <v>3.30499E9</v>
      </c>
      <c r="AA316" s="77" t="s">
        <v>6589</v>
      </c>
      <c r="AB316" s="77"/>
      <c r="AC316" s="77" t="str">
        <f t="shared" si="5"/>
        <v>#N/A</v>
      </c>
      <c r="AD316" s="218">
        <v>5.0</v>
      </c>
      <c r="AE316" s="216">
        <v>5.0</v>
      </c>
      <c r="AF316" s="218">
        <v>5.0</v>
      </c>
      <c r="AG316" s="216">
        <v>5.0</v>
      </c>
      <c r="AH316" s="77"/>
      <c r="AI316" s="216">
        <v>0.031</v>
      </c>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row>
    <row r="317">
      <c r="A317" s="77" t="s">
        <v>3628</v>
      </c>
      <c r="B317" s="77" t="s">
        <v>3628</v>
      </c>
      <c r="C317" s="77" t="s">
        <v>3630</v>
      </c>
      <c r="D317" s="211" t="s">
        <v>3628</v>
      </c>
      <c r="E317" s="212" t="s">
        <v>3628</v>
      </c>
      <c r="F317" s="212" t="s">
        <v>3628</v>
      </c>
      <c r="G317" s="212" t="s">
        <v>3628</v>
      </c>
      <c r="H317" s="225" t="s">
        <v>3628</v>
      </c>
      <c r="I317" s="225" t="s">
        <v>3628</v>
      </c>
      <c r="J317" s="77"/>
      <c r="K317" s="213">
        <v>1.745153183E9</v>
      </c>
      <c r="L317" s="220">
        <v>1.03599530489E11</v>
      </c>
      <c r="M317" s="211" t="s">
        <v>3631</v>
      </c>
      <c r="N317" s="213">
        <v>9.900007622E10</v>
      </c>
      <c r="O317" s="78" t="s">
        <v>2659</v>
      </c>
      <c r="P317" s="211" t="s">
        <v>2741</v>
      </c>
      <c r="Q317" s="214" t="s">
        <v>3632</v>
      </c>
      <c r="R317" s="77" t="s">
        <v>3629</v>
      </c>
      <c r="S317" s="77"/>
      <c r="T317" s="211" t="s">
        <v>286</v>
      </c>
      <c r="U317" s="211" t="s">
        <v>565</v>
      </c>
      <c r="V317" s="77"/>
      <c r="W317" s="77"/>
      <c r="X317" s="77"/>
      <c r="Y317" s="77"/>
      <c r="Z317" s="216">
        <v>3.30499E9</v>
      </c>
      <c r="AA317" s="77" t="s">
        <v>6552</v>
      </c>
      <c r="AB317" s="77"/>
      <c r="AC317" s="77" t="str">
        <f t="shared" si="5"/>
        <v>#N/A</v>
      </c>
      <c r="AD317" s="218">
        <v>5.0</v>
      </c>
      <c r="AE317" s="216">
        <v>13.0</v>
      </c>
      <c r="AF317" s="218">
        <v>5.0</v>
      </c>
      <c r="AG317" s="216">
        <v>5.0</v>
      </c>
      <c r="AH317" s="77"/>
      <c r="AI317" s="216">
        <v>0.101</v>
      </c>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row>
    <row r="318">
      <c r="A318" s="77" t="s">
        <v>4339</v>
      </c>
      <c r="B318" s="77" t="s">
        <v>4339</v>
      </c>
      <c r="C318" s="77" t="s">
        <v>4340</v>
      </c>
      <c r="D318" s="211" t="s">
        <v>4339</v>
      </c>
      <c r="E318" s="212" t="s">
        <v>4339</v>
      </c>
      <c r="F318" s="212" t="s">
        <v>4339</v>
      </c>
      <c r="G318" s="212" t="s">
        <v>4339</v>
      </c>
      <c r="H318" s="225" t="s">
        <v>4339</v>
      </c>
      <c r="I318" s="225" t="s">
        <v>4339</v>
      </c>
      <c r="J318" s="77"/>
      <c r="K318" s="213">
        <v>2.915421784E9</v>
      </c>
      <c r="L318" s="220">
        <v>4.686492261E9</v>
      </c>
      <c r="M318" s="211" t="s">
        <v>4341</v>
      </c>
      <c r="N318" s="213">
        <v>9.9000125143E10</v>
      </c>
      <c r="O318" s="78" t="s">
        <v>2659</v>
      </c>
      <c r="P318" s="211" t="s">
        <v>2741</v>
      </c>
      <c r="Q318" s="214" t="s">
        <v>3632</v>
      </c>
      <c r="R318" s="77" t="s">
        <v>3629</v>
      </c>
      <c r="S318" s="77"/>
      <c r="T318" s="211" t="s">
        <v>286</v>
      </c>
      <c r="U318" s="211" t="s">
        <v>565</v>
      </c>
      <c r="V318" s="77"/>
      <c r="W318" s="77"/>
      <c r="X318" s="77"/>
      <c r="Y318" s="77"/>
      <c r="Z318" s="216">
        <v>3.30499E9</v>
      </c>
      <c r="AA318" s="77" t="s">
        <v>6552</v>
      </c>
      <c r="AB318" s="77"/>
      <c r="AC318" s="77" t="str">
        <f t="shared" si="5"/>
        <v>#N/A</v>
      </c>
      <c r="AD318" s="218">
        <v>5.0</v>
      </c>
      <c r="AE318" s="216">
        <v>13.0</v>
      </c>
      <c r="AF318" s="218">
        <v>5.0</v>
      </c>
      <c r="AG318" s="216">
        <v>5.0</v>
      </c>
      <c r="AH318" s="77"/>
      <c r="AI318" s="216">
        <v>0.101</v>
      </c>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row>
    <row r="319">
      <c r="A319" s="77" t="s">
        <v>2836</v>
      </c>
      <c r="B319" s="77" t="s">
        <v>2836</v>
      </c>
      <c r="C319" s="77" t="s">
        <v>2838</v>
      </c>
      <c r="D319" s="211" t="s">
        <v>2836</v>
      </c>
      <c r="E319" s="212" t="s">
        <v>2836</v>
      </c>
      <c r="F319" s="212" t="s">
        <v>2836</v>
      </c>
      <c r="G319" s="212" t="s">
        <v>2836</v>
      </c>
      <c r="H319" s="225" t="s">
        <v>2836</v>
      </c>
      <c r="I319" s="225" t="s">
        <v>2836</v>
      </c>
      <c r="J319" s="77"/>
      <c r="K319" s="213">
        <v>1.613771317E9</v>
      </c>
      <c r="L319" s="220">
        <v>1.03515401945E11</v>
      </c>
      <c r="M319" s="211" t="s">
        <v>2839</v>
      </c>
      <c r="N319" s="213">
        <v>9.9000076203E10</v>
      </c>
      <c r="O319" s="78" t="s">
        <v>2659</v>
      </c>
      <c r="P319" s="211" t="s">
        <v>2741</v>
      </c>
      <c r="Q319" s="214" t="s">
        <v>6591</v>
      </c>
      <c r="R319" s="77" t="s">
        <v>2837</v>
      </c>
      <c r="S319" s="77"/>
      <c r="T319" s="211" t="s">
        <v>286</v>
      </c>
      <c r="U319" s="211" t="s">
        <v>565</v>
      </c>
      <c r="V319" s="77"/>
      <c r="W319" s="77"/>
      <c r="X319" s="77"/>
      <c r="Y319" s="77"/>
      <c r="Z319" s="216">
        <v>3.30499E9</v>
      </c>
      <c r="AA319" s="77" t="s">
        <v>6548</v>
      </c>
      <c r="AB319" s="77"/>
      <c r="AC319" s="77" t="str">
        <f t="shared" si="5"/>
        <v>#N/A</v>
      </c>
      <c r="AD319" s="218">
        <v>7.0</v>
      </c>
      <c r="AE319" s="216">
        <v>4.0</v>
      </c>
      <c r="AF319" s="218">
        <v>7.0</v>
      </c>
      <c r="AG319" s="216">
        <v>12.0</v>
      </c>
      <c r="AH319" s="77"/>
      <c r="AI319" s="216">
        <v>0.048</v>
      </c>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row>
    <row r="320">
      <c r="A320" s="77" t="s">
        <v>4206</v>
      </c>
      <c r="B320" s="77" t="s">
        <v>4206</v>
      </c>
      <c r="C320" s="77" t="s">
        <v>4208</v>
      </c>
      <c r="D320" s="211" t="s">
        <v>4206</v>
      </c>
      <c r="E320" s="212" t="s">
        <v>4206</v>
      </c>
      <c r="F320" s="212" t="s">
        <v>4206</v>
      </c>
      <c r="G320" s="212" t="s">
        <v>4206</v>
      </c>
      <c r="H320" s="225" t="s">
        <v>4206</v>
      </c>
      <c r="I320" s="225" t="s">
        <v>4206</v>
      </c>
      <c r="J320" s="77"/>
      <c r="K320" s="213">
        <v>1.745303363E9</v>
      </c>
      <c r="L320" s="220">
        <v>1.03599535128E11</v>
      </c>
      <c r="M320" s="211" t="s">
        <v>4209</v>
      </c>
      <c r="N320" s="213">
        <v>9.9000076209E10</v>
      </c>
      <c r="O320" s="78" t="s">
        <v>2659</v>
      </c>
      <c r="P320" s="211" t="s">
        <v>2741</v>
      </c>
      <c r="Q320" s="214" t="s">
        <v>6592</v>
      </c>
      <c r="R320" s="77" t="s">
        <v>4207</v>
      </c>
      <c r="S320" s="77"/>
      <c r="T320" s="211" t="s">
        <v>286</v>
      </c>
      <c r="U320" s="211" t="s">
        <v>565</v>
      </c>
      <c r="V320" s="77"/>
      <c r="W320" s="77"/>
      <c r="X320" s="77"/>
      <c r="Y320" s="77"/>
      <c r="Z320" s="216">
        <v>3.30499E9</v>
      </c>
      <c r="AA320" s="77" t="s">
        <v>6548</v>
      </c>
      <c r="AB320" s="77"/>
      <c r="AC320" s="77" t="str">
        <f t="shared" si="5"/>
        <v>#N/A</v>
      </c>
      <c r="AD320" s="218">
        <v>3.0</v>
      </c>
      <c r="AE320" s="216">
        <v>9.0</v>
      </c>
      <c r="AF320" s="218">
        <v>3.0</v>
      </c>
      <c r="AG320" s="216">
        <v>3.0</v>
      </c>
      <c r="AH320" s="77"/>
      <c r="AI320" s="216">
        <v>0.041</v>
      </c>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row>
    <row r="321">
      <c r="A321" s="77" t="s">
        <v>3156</v>
      </c>
      <c r="B321" s="77" t="s">
        <v>3156</v>
      </c>
      <c r="C321" s="77" t="s">
        <v>3159</v>
      </c>
      <c r="D321" s="211" t="s">
        <v>3156</v>
      </c>
      <c r="E321" s="212" t="s">
        <v>3156</v>
      </c>
      <c r="F321" s="212" t="s">
        <v>3156</v>
      </c>
      <c r="G321" s="212" t="s">
        <v>3156</v>
      </c>
      <c r="H321" s="225" t="s">
        <v>3156</v>
      </c>
      <c r="I321" s="225" t="s">
        <v>3156</v>
      </c>
      <c r="J321" s="77"/>
      <c r="K321" s="213">
        <v>1.613737006E9</v>
      </c>
      <c r="L321" s="220">
        <v>1.03515403854E11</v>
      </c>
      <c r="M321" s="211" t="s">
        <v>3160</v>
      </c>
      <c r="N321" s="213">
        <v>9.9000076215E10</v>
      </c>
      <c r="O321" s="78" t="s">
        <v>2659</v>
      </c>
      <c r="P321" s="211" t="s">
        <v>2741</v>
      </c>
      <c r="Q321" s="214" t="s">
        <v>3162</v>
      </c>
      <c r="R321" s="77" t="s">
        <v>3157</v>
      </c>
      <c r="S321" s="77"/>
      <c r="T321" s="211" t="s">
        <v>286</v>
      </c>
      <c r="U321" s="211" t="s">
        <v>6593</v>
      </c>
      <c r="V321" s="77"/>
      <c r="W321" s="77"/>
      <c r="X321" s="77"/>
      <c r="Y321" s="77"/>
      <c r="Z321" s="216">
        <v>3.305900009E9</v>
      </c>
      <c r="AA321" s="77" t="s">
        <v>6589</v>
      </c>
      <c r="AB321" s="77"/>
      <c r="AC321" s="77" t="str">
        <f t="shared" si="5"/>
        <v>#N/A</v>
      </c>
      <c r="AD321" s="218">
        <v>5.0</v>
      </c>
      <c r="AE321" s="216">
        <v>10.0</v>
      </c>
      <c r="AF321" s="218">
        <v>5.0</v>
      </c>
      <c r="AG321" s="216">
        <v>3.0</v>
      </c>
      <c r="AH321" s="77"/>
      <c r="AI321" s="216">
        <v>0.11</v>
      </c>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row>
    <row r="322">
      <c r="A322" s="77" t="s">
        <v>4187</v>
      </c>
      <c r="B322" s="77" t="s">
        <v>4187</v>
      </c>
      <c r="C322" s="77" t="s">
        <v>4189</v>
      </c>
      <c r="D322" s="211" t="s">
        <v>4187</v>
      </c>
      <c r="E322" s="212" t="s">
        <v>4187</v>
      </c>
      <c r="F322" s="212" t="s">
        <v>4187</v>
      </c>
      <c r="G322" s="212" t="s">
        <v>4187</v>
      </c>
      <c r="H322" s="225" t="s">
        <v>4187</v>
      </c>
      <c r="I322" s="225" t="s">
        <v>4187</v>
      </c>
      <c r="J322" s="77"/>
      <c r="K322" s="213">
        <v>1.847971373E9</v>
      </c>
      <c r="L322" s="220">
        <v>1.03744710984E11</v>
      </c>
      <c r="M322" s="211" t="s">
        <v>4190</v>
      </c>
      <c r="N322" s="213">
        <v>9.9000081275E10</v>
      </c>
      <c r="O322" s="78" t="s">
        <v>2659</v>
      </c>
      <c r="P322" s="211" t="s">
        <v>2741</v>
      </c>
      <c r="Q322" s="214" t="s">
        <v>4192</v>
      </c>
      <c r="R322" s="77" t="s">
        <v>4188</v>
      </c>
      <c r="S322" s="77"/>
      <c r="T322" s="211" t="s">
        <v>286</v>
      </c>
      <c r="U322" s="211" t="s">
        <v>6593</v>
      </c>
      <c r="V322" s="77"/>
      <c r="W322" s="77"/>
      <c r="X322" s="77"/>
      <c r="Y322" s="77"/>
      <c r="Z322" s="216">
        <v>3305.0</v>
      </c>
      <c r="AA322" s="77" t="s">
        <v>6547</v>
      </c>
      <c r="AB322" s="77"/>
      <c r="AC322" s="77" t="str">
        <f t="shared" si="5"/>
        <v>#N/A</v>
      </c>
      <c r="AD322" s="218">
        <v>11.0</v>
      </c>
      <c r="AE322" s="216">
        <v>11.0</v>
      </c>
      <c r="AF322" s="218">
        <v>11.0</v>
      </c>
      <c r="AG322" s="216">
        <v>30.0</v>
      </c>
      <c r="AH322" s="77"/>
      <c r="AI322" s="216">
        <v>1.07</v>
      </c>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row>
    <row r="323">
      <c r="A323" s="77" t="s">
        <v>4897</v>
      </c>
      <c r="B323" s="77" t="s">
        <v>4897</v>
      </c>
      <c r="C323" s="77" t="s">
        <v>4899</v>
      </c>
      <c r="D323" s="211" t="s">
        <v>4897</v>
      </c>
      <c r="E323" s="212" t="s">
        <v>4897</v>
      </c>
      <c r="F323" s="212" t="s">
        <v>4897</v>
      </c>
      <c r="G323" s="212" t="s">
        <v>4897</v>
      </c>
      <c r="H323" s="188"/>
      <c r="I323" s="223" t="s">
        <v>4897</v>
      </c>
      <c r="J323" s="77"/>
      <c r="K323" s="213">
        <v>2.58310045E9</v>
      </c>
      <c r="L323" s="220">
        <v>4.600676003E9</v>
      </c>
      <c r="M323" s="77"/>
      <c r="N323" s="77"/>
      <c r="O323" s="78" t="s">
        <v>2659</v>
      </c>
      <c r="P323" s="211" t="s">
        <v>2741</v>
      </c>
      <c r="Q323" s="214" t="s">
        <v>4902</v>
      </c>
      <c r="R323" s="214" t="s">
        <v>4898</v>
      </c>
      <c r="S323" s="77"/>
      <c r="T323" s="211" t="s">
        <v>286</v>
      </c>
      <c r="U323" s="211" t="s">
        <v>6593</v>
      </c>
      <c r="V323" s="77"/>
      <c r="W323" s="77"/>
      <c r="X323" s="77"/>
      <c r="Y323" s="77"/>
      <c r="Z323" s="216">
        <v>3.3071E9</v>
      </c>
      <c r="AA323" s="77" t="s">
        <v>6594</v>
      </c>
      <c r="AB323" s="77"/>
      <c r="AC323" s="77" t="str">
        <f t="shared" si="5"/>
        <v>#N/A</v>
      </c>
      <c r="AD323" s="218">
        <v>6.0</v>
      </c>
      <c r="AE323" s="216">
        <v>16.0</v>
      </c>
      <c r="AF323" s="218">
        <v>6.0</v>
      </c>
      <c r="AG323" s="216">
        <v>6.0</v>
      </c>
      <c r="AH323" s="77"/>
      <c r="AI323" s="216">
        <v>0.317</v>
      </c>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row>
    <row r="324">
      <c r="A324" s="77" t="s">
        <v>5212</v>
      </c>
      <c r="B324" s="77" t="s">
        <v>5212</v>
      </c>
      <c r="C324" s="77" t="s">
        <v>5216</v>
      </c>
      <c r="D324" s="211" t="s">
        <v>5212</v>
      </c>
      <c r="E324" s="212" t="s">
        <v>5212</v>
      </c>
      <c r="F324" s="212" t="s">
        <v>5212</v>
      </c>
      <c r="G324" s="212" t="s">
        <v>5212</v>
      </c>
      <c r="H324" s="188"/>
      <c r="I324" s="188"/>
      <c r="J324" s="77"/>
      <c r="K324" s="213">
        <v>1.805976932E9</v>
      </c>
      <c r="L324" s="220">
        <v>1.03710293979E11</v>
      </c>
      <c r="M324" s="77"/>
      <c r="N324" s="77"/>
      <c r="O324" s="78" t="s">
        <v>2659</v>
      </c>
      <c r="P324" s="211" t="s">
        <v>2741</v>
      </c>
      <c r="Q324" s="214" t="s">
        <v>5218</v>
      </c>
      <c r="R324" s="77" t="s">
        <v>5214</v>
      </c>
      <c r="S324" s="77"/>
      <c r="T324" s="211" t="s">
        <v>286</v>
      </c>
      <c r="U324" s="211" t="s">
        <v>5215</v>
      </c>
      <c r="V324" s="77"/>
      <c r="W324" s="77"/>
      <c r="X324" s="77"/>
      <c r="Y324" s="77"/>
      <c r="Z324" s="216">
        <v>3.30499E9</v>
      </c>
      <c r="AA324" s="77" t="s">
        <v>6547</v>
      </c>
      <c r="AB324" s="77"/>
      <c r="AC324" s="77" t="str">
        <f t="shared" si="5"/>
        <v>#N/A</v>
      </c>
      <c r="AD324" s="218">
        <v>9.0</v>
      </c>
      <c r="AE324" s="216">
        <v>15.0</v>
      </c>
      <c r="AF324" s="218">
        <v>9.0</v>
      </c>
      <c r="AG324" s="216">
        <v>6.0</v>
      </c>
      <c r="AH324" s="77"/>
      <c r="AI324" s="216">
        <v>0.14</v>
      </c>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row>
    <row r="325">
      <c r="A325" s="77" t="s">
        <v>4758</v>
      </c>
      <c r="B325" s="77" t="s">
        <v>4758</v>
      </c>
      <c r="C325" s="77" t="s">
        <v>4760</v>
      </c>
      <c r="D325" s="211" t="s">
        <v>4758</v>
      </c>
      <c r="E325" s="212" t="s">
        <v>4758</v>
      </c>
      <c r="F325" s="212" t="s">
        <v>4758</v>
      </c>
      <c r="G325" s="212" t="s">
        <v>4758</v>
      </c>
      <c r="H325" s="225" t="s">
        <v>4758</v>
      </c>
      <c r="I325" s="225" t="s">
        <v>4758</v>
      </c>
      <c r="J325" s="77"/>
      <c r="K325" s="213">
        <v>1.70231937E9</v>
      </c>
      <c r="L325" s="220">
        <v>1.03534746275E11</v>
      </c>
      <c r="M325" s="211" t="s">
        <v>4761</v>
      </c>
      <c r="N325" s="213">
        <v>9.9000114734E10</v>
      </c>
      <c r="O325" s="78" t="s">
        <v>2659</v>
      </c>
      <c r="P325" s="211" t="s">
        <v>2741</v>
      </c>
      <c r="Q325" s="214" t="s">
        <v>4763</v>
      </c>
      <c r="R325" s="77" t="s">
        <v>4759</v>
      </c>
      <c r="S325" s="77"/>
      <c r="T325" s="211" t="s">
        <v>286</v>
      </c>
      <c r="U325" s="211" t="s">
        <v>4366</v>
      </c>
      <c r="V325" s="77"/>
      <c r="W325" s="77"/>
      <c r="X325" s="77"/>
      <c r="Y325" s="77"/>
      <c r="Z325" s="216">
        <v>3.3071E9</v>
      </c>
      <c r="AA325" s="77" t="s">
        <v>6595</v>
      </c>
      <c r="AB325" s="77"/>
      <c r="AC325" s="77" t="str">
        <f t="shared" si="5"/>
        <v>#N/A</v>
      </c>
      <c r="AD325" s="218">
        <v>1.0</v>
      </c>
      <c r="AE325" s="216">
        <v>7.0</v>
      </c>
      <c r="AF325" s="218">
        <v>1.0</v>
      </c>
      <c r="AG325" s="216">
        <v>3.0</v>
      </c>
      <c r="AH325" s="77"/>
      <c r="AI325" s="216">
        <v>0.03</v>
      </c>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row>
    <row r="326">
      <c r="A326" s="77" t="s">
        <v>4364</v>
      </c>
      <c r="B326" s="77" t="s">
        <v>4364</v>
      </c>
      <c r="C326" s="77" t="s">
        <v>4367</v>
      </c>
      <c r="D326" s="211" t="s">
        <v>4364</v>
      </c>
      <c r="E326" s="212" t="s">
        <v>4364</v>
      </c>
      <c r="F326" s="212" t="s">
        <v>4364</v>
      </c>
      <c r="G326" s="212" t="s">
        <v>4364</v>
      </c>
      <c r="H326" s="223" t="s">
        <v>4364</v>
      </c>
      <c r="I326" s="225" t="s">
        <v>4364</v>
      </c>
      <c r="J326" s="77"/>
      <c r="K326" s="213">
        <v>1.413566896E9</v>
      </c>
      <c r="L326" s="220">
        <v>1.03515399743E11</v>
      </c>
      <c r="M326" s="77"/>
      <c r="N326" s="213">
        <v>9.9000076225E10</v>
      </c>
      <c r="O326" s="78" t="s">
        <v>2659</v>
      </c>
      <c r="P326" s="211" t="s">
        <v>2741</v>
      </c>
      <c r="Q326" s="214" t="s">
        <v>4370</v>
      </c>
      <c r="R326" s="77" t="s">
        <v>4365</v>
      </c>
      <c r="S326" s="77"/>
      <c r="T326" s="211" t="s">
        <v>286</v>
      </c>
      <c r="U326" s="211" t="s">
        <v>4366</v>
      </c>
      <c r="V326" s="77"/>
      <c r="W326" s="77"/>
      <c r="X326" s="77"/>
      <c r="Y326" s="77"/>
      <c r="Z326" s="216">
        <v>3.30499E9</v>
      </c>
      <c r="AA326" s="77" t="s">
        <v>6596</v>
      </c>
      <c r="AB326" s="77"/>
      <c r="AC326" s="77" t="str">
        <f t="shared" si="5"/>
        <v>#N/A</v>
      </c>
      <c r="AD326" s="218">
        <v>6.0</v>
      </c>
      <c r="AE326" s="216">
        <v>4.0</v>
      </c>
      <c r="AF326" s="218">
        <v>6.0</v>
      </c>
      <c r="AG326" s="216">
        <v>6.0</v>
      </c>
      <c r="AH326" s="77"/>
      <c r="AI326" s="216">
        <v>0.116</v>
      </c>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row>
    <row r="327">
      <c r="A327" s="77" t="s">
        <v>3000</v>
      </c>
      <c r="B327" s="77" t="s">
        <v>3000</v>
      </c>
      <c r="C327" s="77" t="s">
        <v>3002</v>
      </c>
      <c r="D327" s="211" t="s">
        <v>3000</v>
      </c>
      <c r="E327" s="212" t="s">
        <v>3000</v>
      </c>
      <c r="F327" s="212" t="s">
        <v>3000</v>
      </c>
      <c r="G327" s="212" t="s">
        <v>3000</v>
      </c>
      <c r="H327" s="225" t="s">
        <v>3000</v>
      </c>
      <c r="I327" s="225" t="s">
        <v>3000</v>
      </c>
      <c r="J327" s="77"/>
      <c r="K327" s="213">
        <v>1.548072003E9</v>
      </c>
      <c r="L327" s="220">
        <v>1.0351542446E11</v>
      </c>
      <c r="M327" s="211" t="s">
        <v>3003</v>
      </c>
      <c r="N327" s="213">
        <v>9.9000076216E10</v>
      </c>
      <c r="O327" s="78" t="s">
        <v>2659</v>
      </c>
      <c r="P327" s="211" t="s">
        <v>2741</v>
      </c>
      <c r="Q327" s="214" t="s">
        <v>3006</v>
      </c>
      <c r="R327" s="77" t="s">
        <v>3001</v>
      </c>
      <c r="S327" s="77"/>
      <c r="T327" s="211" t="s">
        <v>286</v>
      </c>
      <c r="U327" s="211" t="s">
        <v>565</v>
      </c>
      <c r="V327" s="77"/>
      <c r="W327" s="77"/>
      <c r="X327" s="77"/>
      <c r="Y327" s="77"/>
      <c r="Z327" s="216">
        <v>3.30499E9</v>
      </c>
      <c r="AA327" s="77" t="s">
        <v>6597</v>
      </c>
      <c r="AB327" s="77"/>
      <c r="AC327" s="77" t="str">
        <f t="shared" si="5"/>
        <v>#N/A</v>
      </c>
      <c r="AD327" s="218">
        <v>13.0</v>
      </c>
      <c r="AE327" s="216">
        <v>4.0</v>
      </c>
      <c r="AF327" s="218">
        <v>13.0</v>
      </c>
      <c r="AG327" s="216">
        <v>9.0</v>
      </c>
      <c r="AH327" s="77"/>
      <c r="AI327" s="216">
        <v>0.064</v>
      </c>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row>
    <row r="328">
      <c r="A328" s="77" t="s">
        <v>3045</v>
      </c>
      <c r="B328" s="77" t="s">
        <v>3045</v>
      </c>
      <c r="C328" s="77" t="s">
        <v>3047</v>
      </c>
      <c r="D328" s="211" t="s">
        <v>3045</v>
      </c>
      <c r="E328" s="212" t="s">
        <v>3045</v>
      </c>
      <c r="F328" s="212" t="s">
        <v>3045</v>
      </c>
      <c r="G328" s="212" t="s">
        <v>3045</v>
      </c>
      <c r="H328" s="225" t="s">
        <v>3045</v>
      </c>
      <c r="I328" s="225" t="s">
        <v>3045</v>
      </c>
      <c r="J328" s="77"/>
      <c r="K328" s="213">
        <v>2.583177512E9</v>
      </c>
      <c r="L328" s="220">
        <v>4.60066623E9</v>
      </c>
      <c r="M328" s="211" t="s">
        <v>3048</v>
      </c>
      <c r="N328" s="213">
        <v>9.9000125142E10</v>
      </c>
      <c r="O328" s="78" t="s">
        <v>2659</v>
      </c>
      <c r="P328" s="211" t="s">
        <v>2741</v>
      </c>
      <c r="Q328" s="214" t="s">
        <v>3050</v>
      </c>
      <c r="R328" s="77" t="s">
        <v>3046</v>
      </c>
      <c r="S328" s="77"/>
      <c r="T328" s="211" t="s">
        <v>286</v>
      </c>
      <c r="U328" s="211" t="s">
        <v>565</v>
      </c>
      <c r="V328" s="77"/>
      <c r="W328" s="77"/>
      <c r="X328" s="77"/>
      <c r="Y328" s="77"/>
      <c r="Z328" s="216">
        <v>3.30499E9</v>
      </c>
      <c r="AA328" s="77" t="s">
        <v>6597</v>
      </c>
      <c r="AB328" s="77"/>
      <c r="AC328" s="77" t="str">
        <f t="shared" si="5"/>
        <v>#N/A</v>
      </c>
      <c r="AD328" s="218">
        <v>11.0</v>
      </c>
      <c r="AE328" s="216">
        <v>4.0</v>
      </c>
      <c r="AF328" s="218">
        <v>11.0</v>
      </c>
      <c r="AG328" s="216">
        <v>4.0</v>
      </c>
      <c r="AH328" s="77"/>
      <c r="AI328" s="216">
        <v>0.09</v>
      </c>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row>
    <row r="329">
      <c r="A329" s="77" t="s">
        <v>2740</v>
      </c>
      <c r="B329" s="77" t="s">
        <v>2740</v>
      </c>
      <c r="C329" s="77" t="s">
        <v>2745</v>
      </c>
      <c r="D329" s="211" t="s">
        <v>2740</v>
      </c>
      <c r="E329" s="212" t="s">
        <v>2740</v>
      </c>
      <c r="F329" s="212" t="s">
        <v>2740</v>
      </c>
      <c r="G329" s="212" t="s">
        <v>2740</v>
      </c>
      <c r="H329" s="225" t="s">
        <v>2740</v>
      </c>
      <c r="I329" s="225" t="s">
        <v>2740</v>
      </c>
      <c r="J329" s="77"/>
      <c r="K329" s="213">
        <v>2.829866449E9</v>
      </c>
      <c r="L329" s="220">
        <v>4.644501567E9</v>
      </c>
      <c r="M329" s="211" t="s">
        <v>2746</v>
      </c>
      <c r="N329" s="213">
        <v>9.9000124421E10</v>
      </c>
      <c r="O329" s="78" t="s">
        <v>2659</v>
      </c>
      <c r="P329" s="211" t="s">
        <v>2741</v>
      </c>
      <c r="Q329" s="214" t="s">
        <v>2747</v>
      </c>
      <c r="R329" s="77" t="s">
        <v>2742</v>
      </c>
      <c r="S329" s="77"/>
      <c r="T329" s="211" t="s">
        <v>286</v>
      </c>
      <c r="U329" s="211" t="s">
        <v>565</v>
      </c>
      <c r="V329" s="77"/>
      <c r="W329" s="77"/>
      <c r="X329" s="77"/>
      <c r="Y329" s="77"/>
      <c r="Z329" s="216">
        <v>3.30499E9</v>
      </c>
      <c r="AA329" s="77" t="s">
        <v>6597</v>
      </c>
      <c r="AB329" s="77"/>
      <c r="AC329" s="77" t="str">
        <f t="shared" si="5"/>
        <v>#N/A</v>
      </c>
      <c r="AD329" s="218">
        <v>13.0</v>
      </c>
      <c r="AE329" s="216">
        <v>4.0</v>
      </c>
      <c r="AF329" s="218">
        <v>13.0</v>
      </c>
      <c r="AG329" s="216">
        <v>9.0</v>
      </c>
      <c r="AH329" s="77"/>
      <c r="AI329" s="216">
        <v>0.088</v>
      </c>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row>
    <row r="330">
      <c r="A330" s="77" t="s">
        <v>2954</v>
      </c>
      <c r="B330" s="77" t="s">
        <v>2954</v>
      </c>
      <c r="C330" s="77" t="s">
        <v>2956</v>
      </c>
      <c r="D330" s="211" t="s">
        <v>2954</v>
      </c>
      <c r="E330" s="212" t="s">
        <v>2954</v>
      </c>
      <c r="F330" s="212" t="s">
        <v>2954</v>
      </c>
      <c r="G330" s="212" t="s">
        <v>2954</v>
      </c>
      <c r="H330" s="225" t="s">
        <v>2954</v>
      </c>
      <c r="I330" s="225" t="s">
        <v>2954</v>
      </c>
      <c r="J330" s="77"/>
      <c r="K330" s="213">
        <v>2.830096367E9</v>
      </c>
      <c r="L330" s="220">
        <v>4.644510464E9</v>
      </c>
      <c r="M330" s="211" t="s">
        <v>2957</v>
      </c>
      <c r="N330" s="213">
        <v>9.9000124418E10</v>
      </c>
      <c r="O330" s="78" t="s">
        <v>2659</v>
      </c>
      <c r="P330" s="211" t="s">
        <v>2741</v>
      </c>
      <c r="Q330" s="214" t="s">
        <v>2959</v>
      </c>
      <c r="R330" s="77" t="s">
        <v>2955</v>
      </c>
      <c r="S330" s="77"/>
      <c r="T330" s="211" t="s">
        <v>286</v>
      </c>
      <c r="U330" s="211" t="s">
        <v>565</v>
      </c>
      <c r="V330" s="77"/>
      <c r="W330" s="77"/>
      <c r="X330" s="77"/>
      <c r="Y330" s="77"/>
      <c r="Z330" s="216">
        <v>3.30499E9</v>
      </c>
      <c r="AA330" s="77" t="s">
        <v>6597</v>
      </c>
      <c r="AB330" s="77"/>
      <c r="AC330" s="77" t="str">
        <f t="shared" si="5"/>
        <v>#N/A</v>
      </c>
      <c r="AD330" s="218">
        <v>13.0</v>
      </c>
      <c r="AE330" s="216">
        <v>4.0</v>
      </c>
      <c r="AF330" s="218">
        <v>13.0</v>
      </c>
      <c r="AG330" s="216">
        <v>9.0</v>
      </c>
      <c r="AH330" s="77"/>
      <c r="AI330" s="216">
        <v>0.088</v>
      </c>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row>
    <row r="331">
      <c r="A331" s="77" t="s">
        <v>2970</v>
      </c>
      <c r="B331" s="77" t="s">
        <v>2970</v>
      </c>
      <c r="C331" s="77" t="s">
        <v>2972</v>
      </c>
      <c r="D331" s="211" t="s">
        <v>2970</v>
      </c>
      <c r="E331" s="212" t="s">
        <v>2970</v>
      </c>
      <c r="F331" s="212" t="s">
        <v>2970</v>
      </c>
      <c r="G331" s="212" t="s">
        <v>2970</v>
      </c>
      <c r="H331" s="223" t="s">
        <v>2970</v>
      </c>
      <c r="I331" s="188"/>
      <c r="J331" s="77"/>
      <c r="K331" s="213">
        <v>2.937061626E9</v>
      </c>
      <c r="L331" s="220">
        <v>4.737525756E9</v>
      </c>
      <c r="M331" s="77"/>
      <c r="N331" s="77"/>
      <c r="O331" s="78" t="s">
        <v>2659</v>
      </c>
      <c r="P331" s="211" t="s">
        <v>2741</v>
      </c>
      <c r="Q331" s="214" t="s">
        <v>2973</v>
      </c>
      <c r="R331" s="77" t="s">
        <v>2971</v>
      </c>
      <c r="S331" s="77"/>
      <c r="T331" s="211" t="s">
        <v>286</v>
      </c>
      <c r="U331" s="211" t="s">
        <v>565</v>
      </c>
      <c r="V331" s="77"/>
      <c r="W331" s="77"/>
      <c r="X331" s="77"/>
      <c r="Y331" s="77"/>
      <c r="Z331" s="216">
        <v>3.30499E9</v>
      </c>
      <c r="AA331" s="77" t="s">
        <v>6597</v>
      </c>
      <c r="AB331" s="77"/>
      <c r="AC331" s="77" t="str">
        <f t="shared" si="5"/>
        <v>#N/A</v>
      </c>
      <c r="AD331" s="218">
        <v>13.0</v>
      </c>
      <c r="AE331" s="216">
        <v>4.0</v>
      </c>
      <c r="AF331" s="218">
        <v>13.0</v>
      </c>
      <c r="AG331" s="216">
        <v>9.0</v>
      </c>
      <c r="AH331" s="77"/>
      <c r="AI331" s="216">
        <v>0.088</v>
      </c>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row>
    <row r="332">
      <c r="A332" s="77" t="s">
        <v>3972</v>
      </c>
      <c r="B332" s="77" t="s">
        <v>3972</v>
      </c>
      <c r="C332" s="77" t="s">
        <v>3975</v>
      </c>
      <c r="D332" s="211" t="s">
        <v>3972</v>
      </c>
      <c r="E332" s="212" t="s">
        <v>3972</v>
      </c>
      <c r="F332" s="212" t="s">
        <v>3972</v>
      </c>
      <c r="G332" s="212" t="s">
        <v>3972</v>
      </c>
      <c r="H332" s="225" t="s">
        <v>3972</v>
      </c>
      <c r="I332" s="225" t="s">
        <v>3972</v>
      </c>
      <c r="J332" s="77"/>
      <c r="K332" s="213">
        <v>1.413555098E9</v>
      </c>
      <c r="L332" s="220">
        <v>1.03515429828E11</v>
      </c>
      <c r="M332" s="211" t="s">
        <v>3976</v>
      </c>
      <c r="N332" s="213">
        <v>9.9000114729E10</v>
      </c>
      <c r="O332" s="78" t="s">
        <v>2659</v>
      </c>
      <c r="P332" s="211" t="s">
        <v>2741</v>
      </c>
      <c r="Q332" s="214" t="s">
        <v>3979</v>
      </c>
      <c r="R332" s="77" t="s">
        <v>3974</v>
      </c>
      <c r="S332" s="77"/>
      <c r="T332" s="211" t="s">
        <v>286</v>
      </c>
      <c r="U332" s="211" t="s">
        <v>1630</v>
      </c>
      <c r="V332" s="77"/>
      <c r="W332" s="77"/>
      <c r="X332" s="77"/>
      <c r="Y332" s="77"/>
      <c r="Z332" s="216">
        <v>3.30499E9</v>
      </c>
      <c r="AA332" s="77" t="s">
        <v>6596</v>
      </c>
      <c r="AB332" s="77"/>
      <c r="AC332" s="77" t="str">
        <f t="shared" si="5"/>
        <v>#N/A</v>
      </c>
      <c r="AD332" s="218">
        <v>4.0</v>
      </c>
      <c r="AE332" s="216">
        <v>4.0</v>
      </c>
      <c r="AF332" s="218">
        <v>4.0</v>
      </c>
      <c r="AG332" s="216">
        <v>14.0</v>
      </c>
      <c r="AH332" s="77"/>
      <c r="AI332" s="216">
        <v>0.09</v>
      </c>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row>
    <row r="333">
      <c r="A333" s="77" t="s">
        <v>4610</v>
      </c>
      <c r="B333" s="77" t="s">
        <v>4610</v>
      </c>
      <c r="C333" s="77" t="s">
        <v>5691</v>
      </c>
      <c r="D333" s="211" t="s">
        <v>4610</v>
      </c>
      <c r="E333" s="212" t="s">
        <v>4610</v>
      </c>
      <c r="F333" s="212" t="s">
        <v>4610</v>
      </c>
      <c r="G333" s="212" t="s">
        <v>4610</v>
      </c>
      <c r="H333" s="225" t="s">
        <v>4610</v>
      </c>
      <c r="I333" s="225" t="s">
        <v>4610</v>
      </c>
      <c r="J333" s="77"/>
      <c r="K333" s="213">
        <v>1.350956924E9</v>
      </c>
      <c r="L333" s="220">
        <v>1.0374026514E11</v>
      </c>
      <c r="M333" s="211" t="s">
        <v>4613</v>
      </c>
      <c r="N333" s="213">
        <v>9.9000076202E10</v>
      </c>
      <c r="O333" s="78" t="s">
        <v>2659</v>
      </c>
      <c r="P333" s="211" t="s">
        <v>2741</v>
      </c>
      <c r="Q333" s="214" t="s">
        <v>4611</v>
      </c>
      <c r="R333" s="77" t="s">
        <v>4611</v>
      </c>
      <c r="S333" s="77"/>
      <c r="T333" s="211" t="s">
        <v>286</v>
      </c>
      <c r="U333" s="211" t="s">
        <v>1630</v>
      </c>
      <c r="V333" s="77"/>
      <c r="W333" s="77"/>
      <c r="X333" s="77"/>
      <c r="Y333" s="77"/>
      <c r="Z333" s="216">
        <v>3.30499E9</v>
      </c>
      <c r="AA333" s="77" t="s">
        <v>6550</v>
      </c>
      <c r="AB333" s="77"/>
      <c r="AC333" s="77" t="str">
        <f t="shared" si="5"/>
        <v>#N/A</v>
      </c>
      <c r="AD333" s="218">
        <v>7.0</v>
      </c>
      <c r="AE333" s="216">
        <v>2.0</v>
      </c>
      <c r="AF333" s="218">
        <v>7.0</v>
      </c>
      <c r="AG333" s="216">
        <v>3.0</v>
      </c>
      <c r="AH333" s="77"/>
      <c r="AI333" s="216">
        <v>0.082</v>
      </c>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row>
    <row r="334">
      <c r="A334" s="77" t="s">
        <v>4610</v>
      </c>
      <c r="B334" s="77" t="s">
        <v>4610</v>
      </c>
      <c r="C334" s="77" t="s">
        <v>4612</v>
      </c>
      <c r="D334" s="211" t="s">
        <v>4610</v>
      </c>
      <c r="E334" s="212" t="s">
        <v>4610</v>
      </c>
      <c r="F334" s="212" t="s">
        <v>4610</v>
      </c>
      <c r="G334" s="212" t="s">
        <v>4610</v>
      </c>
      <c r="H334" s="225" t="s">
        <v>4610</v>
      </c>
      <c r="I334" s="225" t="s">
        <v>4610</v>
      </c>
      <c r="J334" s="77"/>
      <c r="K334" s="213">
        <v>2.031287674E9</v>
      </c>
      <c r="L334" s="220">
        <v>1.0374026514E11</v>
      </c>
      <c r="M334" s="211" t="s">
        <v>4613</v>
      </c>
      <c r="N334" s="213">
        <v>9.9000076202E10</v>
      </c>
      <c r="O334" s="78" t="s">
        <v>2659</v>
      </c>
      <c r="P334" s="211" t="s">
        <v>2741</v>
      </c>
      <c r="Q334" s="214" t="s">
        <v>4611</v>
      </c>
      <c r="R334" s="77" t="s">
        <v>4611</v>
      </c>
      <c r="S334" s="77"/>
      <c r="T334" s="211" t="s">
        <v>286</v>
      </c>
      <c r="U334" s="211" t="s">
        <v>1630</v>
      </c>
      <c r="V334" s="77"/>
      <c r="W334" s="77"/>
      <c r="X334" s="77"/>
      <c r="Y334" s="77"/>
      <c r="Z334" s="216">
        <v>3.30499E9</v>
      </c>
      <c r="AA334" s="77" t="s">
        <v>6550</v>
      </c>
      <c r="AB334" s="77"/>
      <c r="AC334" s="77" t="str">
        <f t="shared" si="5"/>
        <v>#N/A</v>
      </c>
      <c r="AD334" s="218">
        <v>7.0</v>
      </c>
      <c r="AE334" s="216">
        <v>2.0</v>
      </c>
      <c r="AF334" s="218">
        <v>7.0</v>
      </c>
      <c r="AG334" s="216">
        <v>3.0</v>
      </c>
      <c r="AH334" s="77"/>
      <c r="AI334" s="216">
        <v>0.082</v>
      </c>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row>
    <row r="335">
      <c r="A335" s="77" t="s">
        <v>4691</v>
      </c>
      <c r="B335" s="77" t="s">
        <v>4691</v>
      </c>
      <c r="C335" s="77" t="s">
        <v>4694</v>
      </c>
      <c r="D335" s="211" t="s">
        <v>4691</v>
      </c>
      <c r="E335" s="212" t="s">
        <v>4691</v>
      </c>
      <c r="F335" s="212" t="s">
        <v>4691</v>
      </c>
      <c r="G335" s="188"/>
      <c r="H335" s="188"/>
      <c r="I335" s="188"/>
      <c r="J335" s="77"/>
      <c r="K335" s="213">
        <v>2.067921716E9</v>
      </c>
      <c r="L335" s="77"/>
      <c r="M335" s="77"/>
      <c r="N335" s="77"/>
      <c r="O335" s="78" t="s">
        <v>2659</v>
      </c>
      <c r="P335" s="211" t="s">
        <v>2741</v>
      </c>
      <c r="Q335" s="214" t="s">
        <v>4696</v>
      </c>
      <c r="R335" s="77" t="s">
        <v>4693</v>
      </c>
      <c r="S335" s="77"/>
      <c r="T335" s="211" t="s">
        <v>286</v>
      </c>
      <c r="U335" s="211" t="s">
        <v>1630</v>
      </c>
      <c r="V335" s="77"/>
      <c r="W335" s="77"/>
      <c r="X335" s="77"/>
      <c r="Y335" s="77"/>
      <c r="Z335" s="216">
        <v>3.30499E9</v>
      </c>
      <c r="AA335" s="77" t="s">
        <v>6550</v>
      </c>
      <c r="AB335" s="77"/>
      <c r="AC335" s="77" t="str">
        <f t="shared" si="5"/>
        <v>#N/A</v>
      </c>
      <c r="AD335" s="218">
        <v>10.0</v>
      </c>
      <c r="AE335" s="216">
        <v>15.0</v>
      </c>
      <c r="AF335" s="218">
        <v>10.0</v>
      </c>
      <c r="AG335" s="216">
        <v>5.0</v>
      </c>
      <c r="AH335" s="77"/>
      <c r="AI335" s="216">
        <v>0.128</v>
      </c>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row>
    <row r="336">
      <c r="A336" s="77" t="s">
        <v>5170</v>
      </c>
      <c r="B336" s="77" t="s">
        <v>5170</v>
      </c>
      <c r="C336" s="77" t="s">
        <v>5172</v>
      </c>
      <c r="D336" s="211" t="s">
        <v>5170</v>
      </c>
      <c r="E336" s="212" t="s">
        <v>5170</v>
      </c>
      <c r="F336" s="212" t="s">
        <v>5170</v>
      </c>
      <c r="G336" s="212" t="s">
        <v>5170</v>
      </c>
      <c r="H336" s="225" t="s">
        <v>5170</v>
      </c>
      <c r="I336" s="225" t="s">
        <v>5170</v>
      </c>
      <c r="J336" s="77"/>
      <c r="K336" s="213">
        <v>1.793172927E9</v>
      </c>
      <c r="L336" s="220">
        <v>1.03701553227E11</v>
      </c>
      <c r="M336" s="211" t="s">
        <v>5173</v>
      </c>
      <c r="N336" s="213">
        <v>9.9000081276E10</v>
      </c>
      <c r="O336" s="78" t="s">
        <v>2659</v>
      </c>
      <c r="P336" s="211" t="s">
        <v>2741</v>
      </c>
      <c r="Q336" s="214" t="s">
        <v>5176</v>
      </c>
      <c r="R336" s="77" t="s">
        <v>5171</v>
      </c>
      <c r="S336" s="77"/>
      <c r="T336" s="211" t="s">
        <v>286</v>
      </c>
      <c r="U336" s="211" t="s">
        <v>1821</v>
      </c>
      <c r="V336" s="77"/>
      <c r="W336" s="77"/>
      <c r="X336" s="77"/>
      <c r="Y336" s="77"/>
      <c r="Z336" s="216">
        <v>3.30499E9</v>
      </c>
      <c r="AA336" s="77" t="s">
        <v>6547</v>
      </c>
      <c r="AB336" s="77"/>
      <c r="AC336" s="77" t="str">
        <f t="shared" si="5"/>
        <v>#N/A</v>
      </c>
      <c r="AD336" s="218">
        <v>6.0</v>
      </c>
      <c r="AE336" s="216">
        <v>21.0</v>
      </c>
      <c r="AF336" s="218">
        <v>6.0</v>
      </c>
      <c r="AG336" s="216">
        <v>6.0</v>
      </c>
      <c r="AH336" s="77"/>
      <c r="AI336" s="216">
        <v>0.476</v>
      </c>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row>
    <row r="337">
      <c r="A337" s="77" t="s">
        <v>3506</v>
      </c>
      <c r="B337" s="77" t="s">
        <v>3506</v>
      </c>
      <c r="C337" s="77" t="s">
        <v>3509</v>
      </c>
      <c r="D337" s="211" t="s">
        <v>3506</v>
      </c>
      <c r="E337" s="212" t="s">
        <v>3506</v>
      </c>
      <c r="F337" s="212" t="s">
        <v>3506</v>
      </c>
      <c r="G337" s="212" t="s">
        <v>3506</v>
      </c>
      <c r="H337" s="225" t="s">
        <v>3506</v>
      </c>
      <c r="I337" s="225" t="s">
        <v>3506</v>
      </c>
      <c r="J337" s="77"/>
      <c r="K337" s="213">
        <v>2.545691905E9</v>
      </c>
      <c r="L337" s="220">
        <v>4.56959042E9</v>
      </c>
      <c r="M337" s="211" t="s">
        <v>3510</v>
      </c>
      <c r="N337" s="213">
        <v>9.9000114723E10</v>
      </c>
      <c r="O337" s="78" t="s">
        <v>2659</v>
      </c>
      <c r="P337" s="211" t="s">
        <v>2741</v>
      </c>
      <c r="Q337" s="214" t="s">
        <v>3513</v>
      </c>
      <c r="R337" s="77" t="s">
        <v>3508</v>
      </c>
      <c r="S337" s="77"/>
      <c r="T337" s="211" t="s">
        <v>286</v>
      </c>
      <c r="U337" s="211" t="s">
        <v>1821</v>
      </c>
      <c r="V337" s="77"/>
      <c r="W337" s="77"/>
      <c r="X337" s="77"/>
      <c r="Y337" s="77"/>
      <c r="Z337" s="216">
        <v>3.30499E9</v>
      </c>
      <c r="AA337" s="77" t="s">
        <v>6568</v>
      </c>
      <c r="AB337" s="77"/>
      <c r="AC337" s="77" t="str">
        <f t="shared" si="5"/>
        <v>#N/A</v>
      </c>
      <c r="AD337" s="218">
        <v>9.0</v>
      </c>
      <c r="AE337" s="216">
        <v>18.0</v>
      </c>
      <c r="AF337" s="218">
        <v>9.0</v>
      </c>
      <c r="AG337" s="216">
        <v>6.0</v>
      </c>
      <c r="AH337" s="77"/>
      <c r="AI337" s="216">
        <v>0.36</v>
      </c>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row>
    <row r="338">
      <c r="A338" s="77" t="s">
        <v>3347</v>
      </c>
      <c r="B338" s="77" t="s">
        <v>3347</v>
      </c>
      <c r="C338" s="77" t="s">
        <v>3349</v>
      </c>
      <c r="D338" s="211" t="s">
        <v>3347</v>
      </c>
      <c r="E338" s="212" t="s">
        <v>3347</v>
      </c>
      <c r="F338" s="212" t="s">
        <v>3347</v>
      </c>
      <c r="G338" s="212" t="s">
        <v>3347</v>
      </c>
      <c r="H338" s="225" t="s">
        <v>3347</v>
      </c>
      <c r="I338" s="225" t="s">
        <v>3347</v>
      </c>
      <c r="J338" s="77"/>
      <c r="K338" s="213">
        <v>1.691475362E9</v>
      </c>
      <c r="L338" s="220">
        <v>1.03515391497E11</v>
      </c>
      <c r="M338" s="211" t="s">
        <v>3350</v>
      </c>
      <c r="N338" s="213">
        <v>9.9000114731E10</v>
      </c>
      <c r="O338" s="78" t="s">
        <v>2659</v>
      </c>
      <c r="P338" s="211" t="s">
        <v>2741</v>
      </c>
      <c r="Q338" s="214" t="s">
        <v>3352</v>
      </c>
      <c r="R338" s="77" t="s">
        <v>3348</v>
      </c>
      <c r="S338" s="77"/>
      <c r="T338" s="211" t="s">
        <v>286</v>
      </c>
      <c r="U338" s="211" t="s">
        <v>1821</v>
      </c>
      <c r="V338" s="77"/>
      <c r="W338" s="77"/>
      <c r="X338" s="77"/>
      <c r="Y338" s="77"/>
      <c r="Z338" s="216">
        <v>3.30499E9</v>
      </c>
      <c r="AA338" s="77" t="s">
        <v>6547</v>
      </c>
      <c r="AB338" s="77"/>
      <c r="AC338" s="77" t="str">
        <f t="shared" si="5"/>
        <v>#N/A</v>
      </c>
      <c r="AD338" s="218">
        <v>4.0</v>
      </c>
      <c r="AE338" s="216">
        <v>19.0</v>
      </c>
      <c r="AF338" s="218">
        <v>4.0</v>
      </c>
      <c r="AG338" s="216">
        <v>4.0</v>
      </c>
      <c r="AH338" s="77"/>
      <c r="AI338" s="216">
        <v>0.226</v>
      </c>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row>
    <row r="339">
      <c r="A339" s="77" t="s">
        <v>3066</v>
      </c>
      <c r="B339" s="77" t="s">
        <v>3066</v>
      </c>
      <c r="C339" s="77" t="s">
        <v>3068</v>
      </c>
      <c r="D339" s="211" t="s">
        <v>3066</v>
      </c>
      <c r="E339" s="212" t="s">
        <v>3066</v>
      </c>
      <c r="F339" s="212" t="s">
        <v>3066</v>
      </c>
      <c r="G339" s="212" t="s">
        <v>3066</v>
      </c>
      <c r="H339" s="225" t="s">
        <v>3066</v>
      </c>
      <c r="I339" s="225" t="s">
        <v>3066</v>
      </c>
      <c r="J339" s="77"/>
      <c r="K339" s="213">
        <v>2.138376665E9</v>
      </c>
      <c r="L339" s="220">
        <v>4.476306934E9</v>
      </c>
      <c r="M339" s="211" t="s">
        <v>3069</v>
      </c>
      <c r="N339" s="213">
        <v>9.9000125268E10</v>
      </c>
      <c r="O339" s="78" t="s">
        <v>2659</v>
      </c>
      <c r="P339" s="211" t="s">
        <v>2741</v>
      </c>
      <c r="Q339" s="214" t="s">
        <v>3076</v>
      </c>
      <c r="R339" s="77" t="s">
        <v>3067</v>
      </c>
      <c r="S339" s="77"/>
      <c r="T339" s="211" t="s">
        <v>286</v>
      </c>
      <c r="U339" s="211" t="s">
        <v>1821</v>
      </c>
      <c r="V339" s="77"/>
      <c r="W339" s="77"/>
      <c r="X339" s="77"/>
      <c r="Y339" s="77"/>
      <c r="Z339" s="216">
        <v>3.30499E9</v>
      </c>
      <c r="AA339" s="77" t="s">
        <v>6547</v>
      </c>
      <c r="AB339" s="77"/>
      <c r="AC339" s="77" t="str">
        <f t="shared" si="5"/>
        <v>#N/A</v>
      </c>
      <c r="AD339" s="218">
        <v>6.0</v>
      </c>
      <c r="AE339" s="216">
        <v>7.0</v>
      </c>
      <c r="AF339" s="218">
        <v>6.0</v>
      </c>
      <c r="AG339" s="216">
        <v>6.0</v>
      </c>
      <c r="AH339" s="77"/>
      <c r="AI339" s="216">
        <v>0.283</v>
      </c>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row>
    <row r="340">
      <c r="A340" s="77" t="s">
        <v>5349</v>
      </c>
      <c r="B340" s="77" t="s">
        <v>5349</v>
      </c>
      <c r="C340" s="77" t="s">
        <v>5352</v>
      </c>
      <c r="D340" s="211" t="s">
        <v>5349</v>
      </c>
      <c r="E340" s="212" t="s">
        <v>5349</v>
      </c>
      <c r="F340" s="212" t="s">
        <v>5349</v>
      </c>
      <c r="G340" s="212" t="s">
        <v>5349</v>
      </c>
      <c r="H340" s="188"/>
      <c r="I340" s="188"/>
      <c r="J340" s="77"/>
      <c r="K340" s="213">
        <v>1.581991716E9</v>
      </c>
      <c r="L340" s="220">
        <v>1.03515446782E11</v>
      </c>
      <c r="M340" s="211" t="s">
        <v>5353</v>
      </c>
      <c r="N340" s="213">
        <v>9.9000076223E10</v>
      </c>
      <c r="O340" s="78" t="s">
        <v>2659</v>
      </c>
      <c r="P340" s="211" t="s">
        <v>2741</v>
      </c>
      <c r="Q340" s="214" t="s">
        <v>5354</v>
      </c>
      <c r="R340" s="77" t="s">
        <v>5351</v>
      </c>
      <c r="S340" s="77"/>
      <c r="T340" s="211" t="s">
        <v>286</v>
      </c>
      <c r="U340" s="211" t="s">
        <v>1821</v>
      </c>
      <c r="V340" s="77"/>
      <c r="W340" s="77"/>
      <c r="X340" s="77"/>
      <c r="Y340" s="77"/>
      <c r="Z340" s="216">
        <v>3.30499E9</v>
      </c>
      <c r="AA340" s="77" t="s">
        <v>6568</v>
      </c>
      <c r="AB340" s="77"/>
      <c r="AC340" s="77" t="str">
        <f t="shared" si="5"/>
        <v>#N/A</v>
      </c>
      <c r="AD340" s="218">
        <v>7.0</v>
      </c>
      <c r="AE340" s="216">
        <v>4.0</v>
      </c>
      <c r="AF340" s="218">
        <v>7.0</v>
      </c>
      <c r="AG340" s="216">
        <v>19.0</v>
      </c>
      <c r="AH340" s="77"/>
      <c r="AI340" s="216">
        <v>0.24</v>
      </c>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row>
    <row r="341">
      <c r="A341" s="211" t="s">
        <v>4736</v>
      </c>
      <c r="B341" s="211" t="s">
        <v>4736</v>
      </c>
      <c r="C341" s="211" t="s">
        <v>4738</v>
      </c>
      <c r="D341" s="211" t="s">
        <v>4736</v>
      </c>
      <c r="E341" s="212" t="s">
        <v>4736</v>
      </c>
      <c r="F341" s="212" t="s">
        <v>4736</v>
      </c>
      <c r="G341" s="188"/>
      <c r="H341" s="188"/>
      <c r="I341" s="188"/>
      <c r="J341" s="77"/>
      <c r="K341" s="77"/>
      <c r="L341" s="87"/>
      <c r="M341" s="77"/>
      <c r="N341" s="77"/>
      <c r="O341" s="78" t="s">
        <v>2659</v>
      </c>
      <c r="P341" s="211" t="s">
        <v>2741</v>
      </c>
      <c r="Q341" s="214" t="s">
        <v>4737</v>
      </c>
      <c r="R341" s="214" t="s">
        <v>4737</v>
      </c>
      <c r="S341" s="77"/>
      <c r="T341" s="211" t="s">
        <v>286</v>
      </c>
      <c r="U341" s="211" t="s">
        <v>565</v>
      </c>
      <c r="V341" s="77"/>
      <c r="W341" s="77"/>
      <c r="X341" s="77"/>
      <c r="Y341" s="77"/>
      <c r="Z341" s="216">
        <v>3.30499E9</v>
      </c>
      <c r="AA341" s="77" t="s">
        <v>6598</v>
      </c>
      <c r="AB341" s="77"/>
      <c r="AC341" s="77" t="str">
        <f t="shared" si="5"/>
        <v>#N/A</v>
      </c>
      <c r="AD341" s="218">
        <v>1.0</v>
      </c>
      <c r="AE341" s="216">
        <v>1.0</v>
      </c>
      <c r="AF341" s="218">
        <v>1.0</v>
      </c>
      <c r="AG341" s="216">
        <v>1.0</v>
      </c>
      <c r="AH341" s="77"/>
      <c r="AI341" s="216">
        <v>1.0</v>
      </c>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row>
    <row r="342">
      <c r="A342" s="77" t="s">
        <v>4716</v>
      </c>
      <c r="B342" s="77" t="s">
        <v>4716</v>
      </c>
      <c r="C342" s="77" t="s">
        <v>3189</v>
      </c>
      <c r="D342" s="77" t="s">
        <v>4716</v>
      </c>
      <c r="E342" s="188" t="s">
        <v>4716</v>
      </c>
      <c r="F342" s="188" t="s">
        <v>4716</v>
      </c>
      <c r="G342" s="188" t="s">
        <v>4716</v>
      </c>
      <c r="H342" s="188"/>
      <c r="I342" s="188"/>
      <c r="J342" s="77"/>
      <c r="K342" s="77"/>
      <c r="L342" s="77"/>
      <c r="M342" s="77"/>
      <c r="N342" s="77"/>
      <c r="O342" s="78" t="s">
        <v>2659</v>
      </c>
      <c r="P342" s="211" t="s">
        <v>2661</v>
      </c>
      <c r="Q342" s="77" t="s">
        <v>4717</v>
      </c>
      <c r="R342" s="77" t="s">
        <v>4717</v>
      </c>
      <c r="S342" s="77"/>
      <c r="T342" s="211" t="s">
        <v>6539</v>
      </c>
      <c r="U342" s="211" t="s">
        <v>2703</v>
      </c>
      <c r="V342" s="77"/>
      <c r="W342" s="77"/>
      <c r="X342" s="77"/>
      <c r="Y342" s="77"/>
      <c r="Z342" s="216">
        <v>2.106909809E9</v>
      </c>
      <c r="AA342" s="77" t="s">
        <v>6566</v>
      </c>
      <c r="AB342" s="77"/>
      <c r="AC342" s="77" t="str">
        <f t="shared" si="5"/>
        <v>#N/A</v>
      </c>
      <c r="AD342" s="218">
        <v>1.0</v>
      </c>
      <c r="AE342" s="216">
        <v>1.0</v>
      </c>
      <c r="AF342" s="218">
        <v>1.0</v>
      </c>
      <c r="AG342" s="216">
        <v>1.0</v>
      </c>
      <c r="AH342" s="77"/>
      <c r="AI342" s="216">
        <v>1.0</v>
      </c>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row>
    <row r="343">
      <c r="A343" s="77" t="s">
        <v>4728</v>
      </c>
      <c r="B343" s="77"/>
      <c r="C343" s="77" t="s">
        <v>4729</v>
      </c>
      <c r="D343" s="77" t="s">
        <v>4728</v>
      </c>
      <c r="E343" s="188"/>
      <c r="F343" s="188" t="s">
        <v>4728</v>
      </c>
      <c r="G343" s="188"/>
      <c r="H343" s="188"/>
      <c r="I343" s="188"/>
      <c r="J343" s="77"/>
      <c r="K343" s="77"/>
      <c r="L343" s="77"/>
      <c r="M343" s="77"/>
      <c r="N343" s="77"/>
      <c r="O343" s="78" t="s">
        <v>2659</v>
      </c>
      <c r="P343" s="211" t="s">
        <v>2741</v>
      </c>
      <c r="Q343" s="77" t="s">
        <v>6599</v>
      </c>
      <c r="R343" s="77" t="s">
        <v>2837</v>
      </c>
      <c r="S343" s="77"/>
      <c r="T343" s="211" t="s">
        <v>286</v>
      </c>
      <c r="U343" s="211" t="s">
        <v>565</v>
      </c>
      <c r="V343" s="77"/>
      <c r="W343" s="77"/>
      <c r="X343" s="77"/>
      <c r="Y343" s="77"/>
      <c r="Z343" s="216">
        <v>3.30499E9</v>
      </c>
      <c r="AA343" s="77" t="s">
        <v>6548</v>
      </c>
      <c r="AB343" s="77"/>
      <c r="AC343" s="77" t="str">
        <f t="shared" si="5"/>
        <v>#N/A</v>
      </c>
      <c r="AD343" s="218">
        <v>7.0</v>
      </c>
      <c r="AE343" s="216">
        <v>4.0</v>
      </c>
      <c r="AF343" s="218">
        <v>7.0</v>
      </c>
      <c r="AG343" s="216">
        <v>12.0</v>
      </c>
      <c r="AH343" s="77"/>
      <c r="AI343" s="216">
        <v>0.048</v>
      </c>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row>
    <row r="344">
      <c r="A344" s="211" t="s">
        <v>5650</v>
      </c>
      <c r="B344" s="211"/>
      <c r="C344" s="211" t="s">
        <v>5682</v>
      </c>
      <c r="D344" s="77" t="s">
        <v>5650</v>
      </c>
      <c r="E344" s="188"/>
      <c r="F344" s="188"/>
      <c r="G344" s="188"/>
      <c r="H344" s="188"/>
      <c r="I344" s="188"/>
      <c r="J344" s="77"/>
      <c r="K344" s="77"/>
      <c r="L344" s="77"/>
      <c r="M344" s="77"/>
      <c r="N344" s="77"/>
      <c r="O344" s="78" t="s">
        <v>2659</v>
      </c>
      <c r="P344" s="211" t="s">
        <v>2741</v>
      </c>
      <c r="Q344" s="77" t="s">
        <v>5683</v>
      </c>
      <c r="R344" s="77" t="s">
        <v>5683</v>
      </c>
      <c r="S344" s="77"/>
      <c r="T344" s="211" t="s">
        <v>286</v>
      </c>
      <c r="U344" s="211" t="s">
        <v>1821</v>
      </c>
      <c r="V344" s="77"/>
      <c r="W344" s="77"/>
      <c r="X344" s="77"/>
      <c r="Y344" s="77"/>
      <c r="Z344" s="216">
        <v>3.30499E9</v>
      </c>
      <c r="AA344" s="77" t="s">
        <v>6547</v>
      </c>
      <c r="AB344" s="77"/>
      <c r="AC344" s="77" t="str">
        <f t="shared" si="5"/>
        <v>#N/A</v>
      </c>
      <c r="AD344" s="218">
        <v>7.0</v>
      </c>
      <c r="AE344" s="216">
        <v>11.0</v>
      </c>
      <c r="AF344" s="218">
        <v>7.0</v>
      </c>
      <c r="AG344" s="216">
        <v>2.0</v>
      </c>
      <c r="AH344" s="77"/>
      <c r="AI344" s="216">
        <v>0.015</v>
      </c>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row>
    <row r="345">
      <c r="A345" s="211" t="s">
        <v>3760</v>
      </c>
      <c r="B345" s="211"/>
      <c r="C345" s="211" t="s">
        <v>5693</v>
      </c>
      <c r="D345" s="77" t="s">
        <v>3760</v>
      </c>
      <c r="E345" s="188"/>
      <c r="F345" s="188"/>
      <c r="G345" s="188"/>
      <c r="H345" s="188"/>
      <c r="I345" s="188"/>
      <c r="J345" s="77"/>
      <c r="K345" s="77"/>
      <c r="L345" s="77"/>
      <c r="M345" s="77"/>
      <c r="N345" s="77"/>
      <c r="O345" s="78" t="s">
        <v>2659</v>
      </c>
      <c r="P345" s="211" t="s">
        <v>2741</v>
      </c>
      <c r="Q345" s="77" t="s">
        <v>5694</v>
      </c>
      <c r="R345" s="77" t="s">
        <v>5694</v>
      </c>
      <c r="S345" s="77"/>
      <c r="T345" s="211" t="s">
        <v>286</v>
      </c>
      <c r="U345" s="211" t="s">
        <v>565</v>
      </c>
      <c r="V345" s="77"/>
      <c r="W345" s="77"/>
      <c r="X345" s="77"/>
      <c r="Y345" s="77"/>
      <c r="Z345" s="216">
        <v>3.30499E9</v>
      </c>
      <c r="AA345" s="77" t="s">
        <v>6597</v>
      </c>
      <c r="AB345" s="77"/>
      <c r="AC345" s="77" t="str">
        <f t="shared" si="5"/>
        <v>#N/A</v>
      </c>
      <c r="AD345" s="218">
        <v>1.0</v>
      </c>
      <c r="AE345" s="216">
        <v>1.0</v>
      </c>
      <c r="AF345" s="218">
        <v>1.0</v>
      </c>
      <c r="AG345" s="216">
        <v>1.0</v>
      </c>
      <c r="AH345" s="77"/>
      <c r="AI345" s="216">
        <v>1.0</v>
      </c>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row>
    <row r="346">
      <c r="A346" s="77" t="s">
        <v>729</v>
      </c>
      <c r="B346" s="77" t="s">
        <v>729</v>
      </c>
      <c r="C346" s="77" t="s">
        <v>731</v>
      </c>
      <c r="D346" s="77" t="s">
        <v>729</v>
      </c>
      <c r="E346" s="188" t="s">
        <v>729</v>
      </c>
      <c r="F346" s="188" t="s">
        <v>729</v>
      </c>
      <c r="G346" s="188"/>
      <c r="H346" s="188"/>
      <c r="I346" s="188"/>
      <c r="J346" s="77"/>
      <c r="K346" s="216">
        <v>6.87712933E8</v>
      </c>
      <c r="L346" s="216">
        <v>3.219081694E9</v>
      </c>
      <c r="M346" s="77"/>
      <c r="N346" s="77"/>
      <c r="O346" s="78" t="s">
        <v>2659</v>
      </c>
      <c r="P346" s="211" t="s">
        <v>283</v>
      </c>
      <c r="Q346" s="77" t="s">
        <v>6600</v>
      </c>
      <c r="R346" s="77" t="s">
        <v>730</v>
      </c>
      <c r="S346" s="77"/>
      <c r="T346" s="211" t="s">
        <v>286</v>
      </c>
      <c r="U346" s="211" t="s">
        <v>565</v>
      </c>
      <c r="V346" s="77"/>
      <c r="W346" s="77"/>
      <c r="X346" s="77"/>
      <c r="Y346" s="216">
        <v>4.66041742178E12</v>
      </c>
      <c r="Z346" s="216">
        <v>3.30499E9</v>
      </c>
      <c r="AA346" s="77" t="s">
        <v>6552</v>
      </c>
      <c r="AB346" s="77"/>
      <c r="AC346" s="77" t="str">
        <f t="shared" si="5"/>
        <v>#N/A</v>
      </c>
      <c r="AD346" s="218">
        <v>1.0</v>
      </c>
      <c r="AE346" s="216">
        <v>1.0</v>
      </c>
      <c r="AF346" s="218">
        <v>1.0</v>
      </c>
      <c r="AG346" s="216">
        <v>1.0</v>
      </c>
      <c r="AH346" s="77"/>
      <c r="AI346" s="216">
        <v>1.0</v>
      </c>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row>
    <row r="347">
      <c r="A347" s="77" t="s">
        <v>740</v>
      </c>
      <c r="B347" s="77" t="s">
        <v>740</v>
      </c>
      <c r="C347" s="77" t="s">
        <v>742</v>
      </c>
      <c r="D347" s="77" t="s">
        <v>740</v>
      </c>
      <c r="E347" s="188" t="s">
        <v>740</v>
      </c>
      <c r="F347" s="188" t="s">
        <v>740</v>
      </c>
      <c r="G347" s="188"/>
      <c r="H347" s="188"/>
      <c r="I347" s="188"/>
      <c r="J347" s="77"/>
      <c r="K347" s="216">
        <v>6.92599189E8</v>
      </c>
      <c r="L347" s="216">
        <v>3.220730122E9</v>
      </c>
      <c r="M347" s="77"/>
      <c r="N347" s="77"/>
      <c r="O347" s="78" t="s">
        <v>2659</v>
      </c>
      <c r="P347" s="211" t="s">
        <v>283</v>
      </c>
      <c r="Q347" s="77" t="s">
        <v>6601</v>
      </c>
      <c r="R347" s="77" t="s">
        <v>741</v>
      </c>
      <c r="S347" s="77"/>
      <c r="T347" s="211" t="s">
        <v>286</v>
      </c>
      <c r="U347" s="211" t="s">
        <v>565</v>
      </c>
      <c r="V347" s="77"/>
      <c r="W347" s="77"/>
      <c r="X347" s="77"/>
      <c r="Y347" s="216">
        <v>4.660417421742E12</v>
      </c>
      <c r="Z347" s="216">
        <v>3.30499E9</v>
      </c>
      <c r="AA347" s="77" t="s">
        <v>6552</v>
      </c>
      <c r="AB347" s="77"/>
      <c r="AC347" s="77" t="str">
        <f t="shared" si="5"/>
        <v>#N/A</v>
      </c>
      <c r="AD347" s="218">
        <v>1.0</v>
      </c>
      <c r="AE347" s="216">
        <v>1.0</v>
      </c>
      <c r="AF347" s="218">
        <v>1.0</v>
      </c>
      <c r="AG347" s="216">
        <v>1.0</v>
      </c>
      <c r="AH347" s="77"/>
      <c r="AI347" s="216">
        <v>1.0</v>
      </c>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row>
    <row r="348">
      <c r="A348" s="77" t="s">
        <v>714</v>
      </c>
      <c r="B348" s="77" t="s">
        <v>714</v>
      </c>
      <c r="C348" s="77" t="s">
        <v>716</v>
      </c>
      <c r="D348" s="77" t="s">
        <v>714</v>
      </c>
      <c r="E348" s="188" t="s">
        <v>714</v>
      </c>
      <c r="F348" s="188" t="s">
        <v>714</v>
      </c>
      <c r="G348" s="188"/>
      <c r="H348" s="188"/>
      <c r="I348" s="188"/>
      <c r="J348" s="77"/>
      <c r="K348" s="77"/>
      <c r="L348" s="77"/>
      <c r="M348" s="77"/>
      <c r="N348" s="77"/>
      <c r="O348" s="78" t="s">
        <v>2659</v>
      </c>
      <c r="P348" s="211" t="s">
        <v>283</v>
      </c>
      <c r="Q348" s="77" t="s">
        <v>6602</v>
      </c>
      <c r="R348" s="77" t="s">
        <v>715</v>
      </c>
      <c r="S348" s="77"/>
      <c r="T348" s="211" t="s">
        <v>286</v>
      </c>
      <c r="U348" s="211" t="s">
        <v>565</v>
      </c>
      <c r="V348" s="77"/>
      <c r="W348" s="77"/>
      <c r="X348" s="77"/>
      <c r="Y348" s="216">
        <v>4.660417421773E12</v>
      </c>
      <c r="Z348" s="216">
        <v>3.30499E9</v>
      </c>
      <c r="AA348" s="77" t="s">
        <v>6552</v>
      </c>
      <c r="AB348" s="77"/>
      <c r="AC348" s="77" t="str">
        <f t="shared" si="5"/>
        <v>#N/A</v>
      </c>
      <c r="AD348" s="218">
        <v>1.0</v>
      </c>
      <c r="AE348" s="216">
        <v>1.0</v>
      </c>
      <c r="AF348" s="218">
        <v>1.0</v>
      </c>
      <c r="AG348" s="216">
        <v>1.0</v>
      </c>
      <c r="AH348" s="77"/>
      <c r="AI348" s="216">
        <v>1.0</v>
      </c>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row>
    <row r="349">
      <c r="A349" s="77" t="s">
        <v>4265</v>
      </c>
      <c r="B349" s="77" t="s">
        <v>3413</v>
      </c>
      <c r="C349" s="77" t="s">
        <v>4267</v>
      </c>
      <c r="D349" s="77" t="s">
        <v>4265</v>
      </c>
      <c r="E349" s="188" t="s">
        <v>3413</v>
      </c>
      <c r="F349" s="188"/>
      <c r="G349" s="188"/>
      <c r="H349" s="188"/>
      <c r="I349" s="188"/>
      <c r="J349" s="77"/>
      <c r="K349" s="216">
        <v>2.60383031E8</v>
      </c>
      <c r="L349" s="77"/>
      <c r="M349" s="77"/>
      <c r="N349" s="77"/>
      <c r="O349" s="78" t="s">
        <v>2659</v>
      </c>
      <c r="P349" s="77" t="s">
        <v>2741</v>
      </c>
      <c r="Q349" s="77" t="s">
        <v>6603</v>
      </c>
      <c r="R349" s="77" t="s">
        <v>4266</v>
      </c>
      <c r="S349" s="77"/>
      <c r="T349" s="211" t="s">
        <v>286</v>
      </c>
      <c r="U349" s="77" t="s">
        <v>287</v>
      </c>
      <c r="V349" s="77"/>
      <c r="W349" s="77"/>
      <c r="X349" s="77"/>
      <c r="Y349" s="216">
        <v>4.630446234156E12</v>
      </c>
      <c r="Z349" s="216">
        <v>3.3051E9</v>
      </c>
      <c r="AA349" s="77" t="s">
        <v>6552</v>
      </c>
      <c r="AB349" s="77"/>
      <c r="AC349" s="77" t="str">
        <f t="shared" si="5"/>
        <v>#N/A</v>
      </c>
      <c r="AD349" s="227"/>
      <c r="AE349" s="77"/>
      <c r="AF349" s="22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row>
    <row r="350">
      <c r="A350" s="228" t="s">
        <v>697</v>
      </c>
      <c r="B350" s="228" t="s">
        <v>697</v>
      </c>
      <c r="C350" s="228" t="s">
        <v>699</v>
      </c>
      <c r="D350" s="228" t="s">
        <v>697</v>
      </c>
      <c r="E350" s="229" t="s">
        <v>697</v>
      </c>
      <c r="F350" s="229" t="s">
        <v>697</v>
      </c>
      <c r="G350" s="229" t="s">
        <v>697</v>
      </c>
      <c r="H350" s="188"/>
      <c r="I350" s="188"/>
      <c r="J350" s="77"/>
      <c r="K350" s="77"/>
      <c r="L350" s="77"/>
      <c r="M350" s="77"/>
      <c r="N350" s="77"/>
      <c r="O350" s="78" t="s">
        <v>2659</v>
      </c>
      <c r="P350" s="230" t="s">
        <v>283</v>
      </c>
      <c r="Q350" s="228" t="s">
        <v>6604</v>
      </c>
      <c r="R350" s="229" t="s">
        <v>698</v>
      </c>
      <c r="S350" s="77"/>
      <c r="T350" s="211" t="s">
        <v>6539</v>
      </c>
      <c r="U350" s="230" t="s">
        <v>641</v>
      </c>
      <c r="V350" s="77"/>
      <c r="W350" s="77"/>
      <c r="X350" s="77"/>
      <c r="Y350" s="216">
        <v>4.630205142852E12</v>
      </c>
      <c r="Z350" s="231">
        <v>3.504009E9</v>
      </c>
      <c r="AA350" s="77" t="s">
        <v>6540</v>
      </c>
      <c r="AB350" s="77"/>
      <c r="AC350" s="77" t="str">
        <f t="shared" si="5"/>
        <v>#N/A</v>
      </c>
      <c r="AD350" s="232">
        <v>6.0</v>
      </c>
      <c r="AE350" s="231">
        <v>21.0</v>
      </c>
      <c r="AF350" s="232">
        <v>6.0</v>
      </c>
      <c r="AG350" s="231">
        <v>6.0</v>
      </c>
      <c r="AH350" s="77"/>
      <c r="AI350" s="231">
        <v>0.576</v>
      </c>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row>
    <row r="351">
      <c r="A351" s="77" t="s">
        <v>3758</v>
      </c>
      <c r="B351" s="77"/>
      <c r="C351" s="77" t="s">
        <v>5680</v>
      </c>
      <c r="D351" s="77" t="s">
        <v>3758</v>
      </c>
      <c r="E351" s="188"/>
      <c r="F351" s="188"/>
      <c r="G351" s="188"/>
      <c r="H351" s="188"/>
      <c r="I351" s="188"/>
      <c r="J351" s="77"/>
      <c r="K351" s="77"/>
      <c r="L351" s="77"/>
      <c r="M351" s="77"/>
      <c r="N351" s="77"/>
      <c r="O351" s="78" t="s">
        <v>2659</v>
      </c>
      <c r="P351" s="77" t="s">
        <v>2741</v>
      </c>
      <c r="Q351" s="77" t="s">
        <v>5681</v>
      </c>
      <c r="R351" s="77" t="s">
        <v>5681</v>
      </c>
      <c r="S351" s="77"/>
      <c r="T351" s="211" t="s">
        <v>286</v>
      </c>
      <c r="U351" s="211" t="s">
        <v>565</v>
      </c>
      <c r="V351" s="77"/>
      <c r="W351" s="77"/>
      <c r="X351" s="77"/>
      <c r="Y351" s="216">
        <v>4.660417421636E12</v>
      </c>
      <c r="Z351" s="216">
        <v>3.30499E9</v>
      </c>
      <c r="AA351" s="77" t="s">
        <v>6597</v>
      </c>
      <c r="AB351" s="77"/>
      <c r="AC351" s="77" t="str">
        <f t="shared" si="5"/>
        <v>#N/A</v>
      </c>
      <c r="AD351" s="218">
        <v>14.0</v>
      </c>
      <c r="AE351" s="216">
        <v>21.0</v>
      </c>
      <c r="AF351" s="218">
        <v>14.0</v>
      </c>
      <c r="AG351" s="216">
        <v>6.0</v>
      </c>
      <c r="AH351" s="77"/>
      <c r="AI351" s="216">
        <v>0.094</v>
      </c>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row>
    <row r="352">
      <c r="A352" s="77" t="s">
        <v>5426</v>
      </c>
      <c r="B352" s="77" t="s">
        <v>5426</v>
      </c>
      <c r="C352" s="77" t="s">
        <v>5428</v>
      </c>
      <c r="D352" s="77" t="s">
        <v>5426</v>
      </c>
      <c r="E352" s="188" t="s">
        <v>5426</v>
      </c>
      <c r="F352" s="188"/>
      <c r="G352" s="188"/>
      <c r="H352" s="188"/>
      <c r="I352" s="188"/>
      <c r="J352" s="77"/>
      <c r="K352" s="216">
        <v>1.74090982E8</v>
      </c>
      <c r="L352" s="77"/>
      <c r="M352" s="77"/>
      <c r="N352" s="77"/>
      <c r="O352" s="78" t="s">
        <v>2659</v>
      </c>
      <c r="P352" s="211" t="s">
        <v>283</v>
      </c>
      <c r="Q352" s="77" t="s">
        <v>6605</v>
      </c>
      <c r="R352" s="188" t="str">
        <f t="shared" ref="R352:R355" si="6">CONCATENATE("БАД",RIGHT(Q352,LEN(Q352) - (FIND(" ",Q352) - 1)))</f>
        <v>БАД Таурин 90 капсул</v>
      </c>
      <c r="S352" s="77"/>
      <c r="T352" s="211" t="s">
        <v>6539</v>
      </c>
      <c r="U352" s="211" t="s">
        <v>4676</v>
      </c>
      <c r="V352" s="77"/>
      <c r="W352" s="77"/>
      <c r="X352" s="77"/>
      <c r="Y352" s="77"/>
      <c r="Z352" s="216">
        <v>3.504009E9</v>
      </c>
      <c r="AA352" s="77" t="s">
        <v>6540</v>
      </c>
      <c r="AB352" s="77"/>
      <c r="AC352" s="77" t="str">
        <f t="shared" si="5"/>
        <v>#N/A</v>
      </c>
      <c r="AD352" s="218">
        <v>7.0</v>
      </c>
      <c r="AE352" s="216">
        <v>12.0</v>
      </c>
      <c r="AF352" s="218">
        <v>7.0</v>
      </c>
      <c r="AG352" s="216">
        <v>7.0</v>
      </c>
      <c r="AH352" s="77"/>
      <c r="AI352" s="216">
        <v>0.1</v>
      </c>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row>
    <row r="353">
      <c r="A353" s="77" t="s">
        <v>534</v>
      </c>
      <c r="B353" s="77" t="s">
        <v>534</v>
      </c>
      <c r="C353" s="77" t="s">
        <v>537</v>
      </c>
      <c r="D353" s="77" t="s">
        <v>534</v>
      </c>
      <c r="E353" s="188" t="s">
        <v>534</v>
      </c>
      <c r="F353" s="188" t="s">
        <v>534</v>
      </c>
      <c r="G353" s="188"/>
      <c r="H353" s="188"/>
      <c r="I353" s="188"/>
      <c r="J353" s="77"/>
      <c r="K353" s="216">
        <v>1.88493994E8</v>
      </c>
      <c r="L353" s="216">
        <v>1.283138723E9</v>
      </c>
      <c r="M353" s="77"/>
      <c r="N353" s="77"/>
      <c r="O353" s="78" t="s">
        <v>2659</v>
      </c>
      <c r="P353" s="211" t="s">
        <v>283</v>
      </c>
      <c r="Q353" s="77" t="s">
        <v>6606</v>
      </c>
      <c r="R353" s="188" t="str">
        <f t="shared" si="6"/>
        <v>БАД Мелатонин 90 таблеток</v>
      </c>
      <c r="S353" s="77"/>
      <c r="T353" s="211" t="s">
        <v>6539</v>
      </c>
      <c r="U353" s="211" t="s">
        <v>4676</v>
      </c>
      <c r="V353" s="77"/>
      <c r="W353" s="77"/>
      <c r="X353" s="77"/>
      <c r="Y353" s="77"/>
      <c r="Z353" s="216">
        <v>3.504009E9</v>
      </c>
      <c r="AA353" s="77" t="s">
        <v>6540</v>
      </c>
      <c r="AB353" s="77"/>
      <c r="AC353" s="77" t="str">
        <f t="shared" si="5"/>
        <v>#N/A</v>
      </c>
      <c r="AD353" s="218">
        <v>4.0</v>
      </c>
      <c r="AE353" s="216">
        <v>7.0</v>
      </c>
      <c r="AF353" s="218">
        <v>4.0</v>
      </c>
      <c r="AG353" s="216">
        <v>4.0</v>
      </c>
      <c r="AH353" s="77"/>
      <c r="AI353" s="216">
        <v>0.05</v>
      </c>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row>
    <row r="354">
      <c r="A354" s="77" t="s">
        <v>547</v>
      </c>
      <c r="B354" s="77" t="s">
        <v>547</v>
      </c>
      <c r="C354" s="77" t="s">
        <v>549</v>
      </c>
      <c r="D354" s="77" t="s">
        <v>547</v>
      </c>
      <c r="E354" s="188" t="s">
        <v>547</v>
      </c>
      <c r="F354" s="188" t="s">
        <v>547</v>
      </c>
      <c r="G354" s="188"/>
      <c r="H354" s="188"/>
      <c r="I354" s="188"/>
      <c r="J354" s="77"/>
      <c r="K354" s="216">
        <v>1.8860269E8</v>
      </c>
      <c r="L354" s="216">
        <v>1.283143901E9</v>
      </c>
      <c r="M354" s="77"/>
      <c r="N354" s="77"/>
      <c r="O354" s="78" t="s">
        <v>2659</v>
      </c>
      <c r="P354" s="211" t="s">
        <v>283</v>
      </c>
      <c r="Q354" s="77" t="s">
        <v>6607</v>
      </c>
      <c r="R354" s="188" t="str">
        <f t="shared" si="6"/>
        <v>БАД Биомелатонин 60 капсул</v>
      </c>
      <c r="S354" s="77"/>
      <c r="T354" s="211" t="s">
        <v>6539</v>
      </c>
      <c r="U354" s="211" t="s">
        <v>4676</v>
      </c>
      <c r="V354" s="77"/>
      <c r="W354" s="77"/>
      <c r="X354" s="77"/>
      <c r="Y354" s="77"/>
      <c r="Z354" s="216">
        <v>3.504009E9</v>
      </c>
      <c r="AA354" s="77" t="s">
        <v>6540</v>
      </c>
      <c r="AB354" s="77"/>
      <c r="AC354" s="77" t="str">
        <f t="shared" si="5"/>
        <v>#N/A</v>
      </c>
      <c r="AD354" s="218">
        <v>4.0</v>
      </c>
      <c r="AE354" s="216">
        <v>7.0</v>
      </c>
      <c r="AF354" s="218">
        <v>4.0</v>
      </c>
      <c r="AG354" s="216">
        <v>4.0</v>
      </c>
      <c r="AH354" s="77"/>
      <c r="AI354" s="216">
        <v>0.05</v>
      </c>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row>
    <row r="355">
      <c r="A355" s="77" t="s">
        <v>563</v>
      </c>
      <c r="B355" s="77" t="s">
        <v>563</v>
      </c>
      <c r="C355" s="77" t="s">
        <v>566</v>
      </c>
      <c r="D355" s="77" t="s">
        <v>563</v>
      </c>
      <c r="E355" s="188" t="s">
        <v>563</v>
      </c>
      <c r="F355" s="188" t="s">
        <v>563</v>
      </c>
      <c r="G355" s="188" t="s">
        <v>563</v>
      </c>
      <c r="H355" s="188" t="s">
        <v>563</v>
      </c>
      <c r="I355" s="188"/>
      <c r="J355" s="77"/>
      <c r="K355" s="216">
        <v>5.49551191E8</v>
      </c>
      <c r="L355" s="216">
        <v>2.921727205E9</v>
      </c>
      <c r="M355" s="77" t="s">
        <v>567</v>
      </c>
      <c r="N355" s="77"/>
      <c r="O355" s="78" t="s">
        <v>2659</v>
      </c>
      <c r="P355" s="211" t="s">
        <v>283</v>
      </c>
      <c r="Q355" s="77" t="s">
        <v>6608</v>
      </c>
      <c r="R355" s="188" t="str">
        <f t="shared" si="6"/>
        <v>БАД Коэнзим</v>
      </c>
      <c r="S355" s="77"/>
      <c r="T355" s="211" t="s">
        <v>6539</v>
      </c>
      <c r="U355" s="211" t="s">
        <v>6541</v>
      </c>
      <c r="V355" s="77"/>
      <c r="W355" s="77"/>
      <c r="X355" s="77"/>
      <c r="Y355" s="77"/>
      <c r="Z355" s="216">
        <v>3.504009E9</v>
      </c>
      <c r="AA355" s="77" t="s">
        <v>6540</v>
      </c>
      <c r="AB355" s="77"/>
      <c r="AC355" s="77" t="str">
        <f t="shared" si="5"/>
        <v>#N/A</v>
      </c>
      <c r="AD355" s="218">
        <v>5.0</v>
      </c>
      <c r="AE355" s="216">
        <v>14.0</v>
      </c>
      <c r="AF355" s="218">
        <v>5.0</v>
      </c>
      <c r="AG355" s="216">
        <v>5.0</v>
      </c>
      <c r="AH355" s="77"/>
      <c r="AI355" s="216">
        <v>0.099</v>
      </c>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row>
    <row r="356">
      <c r="A356" s="77" t="s">
        <v>582</v>
      </c>
      <c r="B356" s="77" t="s">
        <v>582</v>
      </c>
      <c r="C356" s="77" t="s">
        <v>584</v>
      </c>
      <c r="D356" s="77" t="s">
        <v>582</v>
      </c>
      <c r="E356" s="188" t="s">
        <v>582</v>
      </c>
      <c r="F356" s="188" t="s">
        <v>582</v>
      </c>
      <c r="G356" s="188" t="s">
        <v>582</v>
      </c>
      <c r="H356" s="188" t="s">
        <v>582</v>
      </c>
      <c r="I356" s="188"/>
      <c r="J356" s="77"/>
      <c r="K356" s="216">
        <v>5.49611709E8</v>
      </c>
      <c r="L356" s="216">
        <v>2.921798266E9</v>
      </c>
      <c r="M356" s="77" t="s">
        <v>585</v>
      </c>
      <c r="N356" s="77"/>
      <c r="O356" s="78" t="s">
        <v>2659</v>
      </c>
      <c r="P356" s="211" t="s">
        <v>283</v>
      </c>
      <c r="Q356" s="77" t="s">
        <v>6609</v>
      </c>
      <c r="R356" s="188" t="s">
        <v>583</v>
      </c>
      <c r="S356" s="77"/>
      <c r="T356" s="211" t="s">
        <v>286</v>
      </c>
      <c r="U356" s="211" t="s">
        <v>565</v>
      </c>
      <c r="V356" s="77"/>
      <c r="W356" s="77"/>
      <c r="X356" s="77"/>
      <c r="Y356" s="77"/>
      <c r="Z356" s="216">
        <v>3.504009E9</v>
      </c>
      <c r="AA356" s="77" t="s">
        <v>6540</v>
      </c>
      <c r="AB356" s="77"/>
      <c r="AC356" s="77" t="str">
        <f t="shared" si="5"/>
        <v>#N/A</v>
      </c>
      <c r="AD356" s="218">
        <v>3.0</v>
      </c>
      <c r="AE356" s="216">
        <v>11.0</v>
      </c>
      <c r="AF356" s="218">
        <v>3.0</v>
      </c>
      <c r="AG356" s="216">
        <v>3.0</v>
      </c>
      <c r="AH356" s="77"/>
      <c r="AI356" s="216">
        <v>0.064</v>
      </c>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row>
    <row r="357">
      <c r="A357" s="77" t="s">
        <v>606</v>
      </c>
      <c r="B357" s="77" t="s">
        <v>606</v>
      </c>
      <c r="C357" s="77" t="s">
        <v>608</v>
      </c>
      <c r="D357" s="77" t="s">
        <v>606</v>
      </c>
      <c r="E357" s="188" t="s">
        <v>606</v>
      </c>
      <c r="F357" s="188" t="s">
        <v>606</v>
      </c>
      <c r="G357" s="188" t="s">
        <v>606</v>
      </c>
      <c r="H357" s="188"/>
      <c r="I357" s="188"/>
      <c r="J357" s="77"/>
      <c r="K357" s="216">
        <v>5.59173569E8</v>
      </c>
      <c r="L357" s="216">
        <v>2.946850815E9</v>
      </c>
      <c r="M357" s="77"/>
      <c r="N357" s="77"/>
      <c r="O357" s="78" t="s">
        <v>2659</v>
      </c>
      <c r="P357" s="211" t="s">
        <v>283</v>
      </c>
      <c r="Q357" s="77" t="s">
        <v>6610</v>
      </c>
      <c r="R357" s="188" t="s">
        <v>607</v>
      </c>
      <c r="S357" s="77"/>
      <c r="T357" s="211" t="s">
        <v>6539</v>
      </c>
      <c r="U357" s="211" t="s">
        <v>6541</v>
      </c>
      <c r="V357" s="77"/>
      <c r="W357" s="77"/>
      <c r="X357" s="77"/>
      <c r="Y357" s="77"/>
      <c r="Z357" s="216">
        <v>3.504009E9</v>
      </c>
      <c r="AA357" s="77" t="s">
        <v>6540</v>
      </c>
      <c r="AB357" s="77"/>
      <c r="AC357" s="77" t="str">
        <f t="shared" si="5"/>
        <v>#N/A</v>
      </c>
      <c r="AD357" s="218">
        <v>5.0</v>
      </c>
      <c r="AE357" s="216">
        <v>11.0</v>
      </c>
      <c r="AF357" s="218">
        <v>5.0</v>
      </c>
      <c r="AG357" s="216">
        <v>5.0</v>
      </c>
      <c r="AH357" s="77"/>
      <c r="AI357" s="216">
        <v>0.82</v>
      </c>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row>
    <row r="358">
      <c r="A358" s="77" t="s">
        <v>626</v>
      </c>
      <c r="B358" s="77" t="s">
        <v>626</v>
      </c>
      <c r="C358" s="77" t="s">
        <v>1863</v>
      </c>
      <c r="D358" s="77" t="s">
        <v>626</v>
      </c>
      <c r="E358" s="188" t="s">
        <v>626</v>
      </c>
      <c r="F358" s="188" t="s">
        <v>626</v>
      </c>
      <c r="G358" s="188" t="s">
        <v>626</v>
      </c>
      <c r="H358" s="188"/>
      <c r="I358" s="188"/>
      <c r="J358" s="77"/>
      <c r="K358" s="216">
        <v>5.5922502E8</v>
      </c>
      <c r="L358" s="216">
        <v>2.947054189E9</v>
      </c>
      <c r="M358" s="77"/>
      <c r="N358" s="77"/>
      <c r="O358" s="78" t="s">
        <v>2659</v>
      </c>
      <c r="P358" s="226" t="s">
        <v>118</v>
      </c>
      <c r="Q358" s="77" t="s">
        <v>6611</v>
      </c>
      <c r="R358" s="188" t="s">
        <v>627</v>
      </c>
      <c r="S358" s="77"/>
      <c r="T358" s="211" t="s">
        <v>6556</v>
      </c>
      <c r="U358" s="211" t="s">
        <v>444</v>
      </c>
      <c r="V358" s="77"/>
      <c r="W358" s="77"/>
      <c r="X358" s="77"/>
      <c r="Y358" s="77"/>
      <c r="Z358" s="216">
        <v>3.307900008E9</v>
      </c>
      <c r="AA358" s="77" t="s">
        <v>6558</v>
      </c>
      <c r="AB358" s="77"/>
      <c r="AC358" s="77" t="str">
        <f t="shared" si="5"/>
        <v>#N/A</v>
      </c>
      <c r="AD358" s="218">
        <v>5.0</v>
      </c>
      <c r="AE358" s="216">
        <v>11.0</v>
      </c>
      <c r="AF358" s="218">
        <v>5.0</v>
      </c>
      <c r="AG358" s="216">
        <v>3.0</v>
      </c>
      <c r="AH358" s="77"/>
      <c r="AI358" s="216">
        <v>0.081</v>
      </c>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row>
    <row r="359">
      <c r="A359" s="77" t="s">
        <v>5437</v>
      </c>
      <c r="B359" s="77" t="s">
        <v>5437</v>
      </c>
      <c r="C359" s="77" t="s">
        <v>5439</v>
      </c>
      <c r="D359" s="77" t="s">
        <v>5437</v>
      </c>
      <c r="E359" s="188" t="s">
        <v>5437</v>
      </c>
      <c r="F359" s="188"/>
      <c r="G359" s="188"/>
      <c r="H359" s="188"/>
      <c r="I359" s="188"/>
      <c r="J359" s="77"/>
      <c r="K359" s="216">
        <v>5.67074424E8</v>
      </c>
      <c r="L359" s="77"/>
      <c r="M359" s="77"/>
      <c r="N359" s="77"/>
      <c r="O359" s="78" t="s">
        <v>2659</v>
      </c>
      <c r="P359" s="211" t="s">
        <v>283</v>
      </c>
      <c r="Q359" s="77" t="s">
        <v>6612</v>
      </c>
      <c r="R359" s="188" t="str">
        <f t="shared" ref="R359:R361" si="7">CONCATENATE("БАД",RIGHT(Q359,LEN(Q359) - (FIND(" ",Q359) - 1)))</f>
        <v>БАД Трибустерон 60 капсул</v>
      </c>
      <c r="S359" s="77"/>
      <c r="T359" s="211" t="s">
        <v>6539</v>
      </c>
      <c r="U359" s="215" t="s">
        <v>662</v>
      </c>
      <c r="V359" s="77"/>
      <c r="W359" s="77"/>
      <c r="X359" s="77"/>
      <c r="Y359" s="77"/>
      <c r="Z359" s="216">
        <v>3.504009E9</v>
      </c>
      <c r="AA359" s="77" t="s">
        <v>6540</v>
      </c>
      <c r="AB359" s="77"/>
      <c r="AC359" s="77" t="str">
        <f t="shared" si="5"/>
        <v>#N/A</v>
      </c>
      <c r="AD359" s="218">
        <v>6.0</v>
      </c>
      <c r="AE359" s="216">
        <v>12.0</v>
      </c>
      <c r="AF359" s="218">
        <v>6.0</v>
      </c>
      <c r="AG359" s="216">
        <v>6.0</v>
      </c>
      <c r="AH359" s="77"/>
      <c r="AI359" s="216">
        <v>0.086</v>
      </c>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row>
    <row r="360">
      <c r="A360" s="77" t="s">
        <v>639</v>
      </c>
      <c r="B360" s="77" t="s">
        <v>639</v>
      </c>
      <c r="C360" s="77" t="s">
        <v>642</v>
      </c>
      <c r="D360" s="77" t="s">
        <v>639</v>
      </c>
      <c r="E360" s="188" t="s">
        <v>639</v>
      </c>
      <c r="F360" s="188" t="s">
        <v>639</v>
      </c>
      <c r="G360" s="188" t="s">
        <v>639</v>
      </c>
      <c r="H360" s="188"/>
      <c r="I360" s="188"/>
      <c r="J360" s="77"/>
      <c r="K360" s="216">
        <v>5.6866731E8</v>
      </c>
      <c r="L360" s="216">
        <v>3.010994519E9</v>
      </c>
      <c r="M360" s="77"/>
      <c r="N360" s="77"/>
      <c r="O360" s="78" t="s">
        <v>2659</v>
      </c>
      <c r="P360" s="211" t="s">
        <v>283</v>
      </c>
      <c r="Q360" s="77" t="s">
        <v>6613</v>
      </c>
      <c r="R360" s="188" t="str">
        <f t="shared" si="7"/>
        <v>БАД Пробиотик детокс</v>
      </c>
      <c r="S360" s="77"/>
      <c r="T360" s="211" t="s">
        <v>6539</v>
      </c>
      <c r="U360" s="211" t="s">
        <v>641</v>
      </c>
      <c r="V360" s="77"/>
      <c r="W360" s="77"/>
      <c r="X360" s="77"/>
      <c r="Y360" s="77"/>
      <c r="Z360" s="216">
        <v>3.504009E9</v>
      </c>
      <c r="AA360" s="77" t="s">
        <v>6540</v>
      </c>
      <c r="AB360" s="77"/>
      <c r="AC360" s="77" t="str">
        <f t="shared" si="5"/>
        <v>#N/A</v>
      </c>
      <c r="AD360" s="218">
        <v>5.0</v>
      </c>
      <c r="AE360" s="216">
        <v>5.0</v>
      </c>
      <c r="AF360" s="218">
        <v>5.0</v>
      </c>
      <c r="AG360" s="216">
        <v>5.0</v>
      </c>
      <c r="AH360" s="77"/>
      <c r="AI360" s="216">
        <v>0.05</v>
      </c>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row>
    <row r="361">
      <c r="A361" s="77" t="s">
        <v>659</v>
      </c>
      <c r="B361" s="77" t="s">
        <v>659</v>
      </c>
      <c r="C361" s="77" t="s">
        <v>663</v>
      </c>
      <c r="D361" s="77" t="s">
        <v>659</v>
      </c>
      <c r="E361" s="188" t="s">
        <v>659</v>
      </c>
      <c r="F361" s="188" t="s">
        <v>659</v>
      </c>
      <c r="G361" s="188" t="s">
        <v>659</v>
      </c>
      <c r="H361" s="188"/>
      <c r="I361" s="188"/>
      <c r="J361" s="77"/>
      <c r="K361" s="216">
        <v>5.88937927E8</v>
      </c>
      <c r="L361" s="216">
        <v>3.044876607E9</v>
      </c>
      <c r="M361" s="77"/>
      <c r="N361" s="77"/>
      <c r="O361" s="78" t="s">
        <v>2659</v>
      </c>
      <c r="P361" s="211" t="s">
        <v>283</v>
      </c>
      <c r="Q361" s="77" t="s">
        <v>6614</v>
      </c>
      <c r="R361" s="188" t="str">
        <f t="shared" si="7"/>
        <v>БАД ZMA 120 капсул</v>
      </c>
      <c r="S361" s="77"/>
      <c r="T361" s="211" t="s">
        <v>6539</v>
      </c>
      <c r="U361" s="215" t="s">
        <v>662</v>
      </c>
      <c r="V361" s="77"/>
      <c r="W361" s="77"/>
      <c r="X361" s="77"/>
      <c r="Y361" s="77"/>
      <c r="Z361" s="216">
        <v>3.504009E9</v>
      </c>
      <c r="AA361" s="77" t="s">
        <v>6540</v>
      </c>
      <c r="AB361" s="77"/>
      <c r="AC361" s="77" t="str">
        <f t="shared" si="5"/>
        <v>#N/A</v>
      </c>
      <c r="AD361" s="218">
        <v>6.0</v>
      </c>
      <c r="AE361" s="216">
        <v>11.0</v>
      </c>
      <c r="AF361" s="218">
        <v>6.0</v>
      </c>
      <c r="AG361" s="216">
        <v>6.0</v>
      </c>
      <c r="AH361" s="77"/>
      <c r="AI361" s="216">
        <v>0.133</v>
      </c>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row>
    <row r="362">
      <c r="A362" s="77" t="s">
        <v>680</v>
      </c>
      <c r="B362" s="77" t="s">
        <v>680</v>
      </c>
      <c r="C362" s="77" t="s">
        <v>683</v>
      </c>
      <c r="D362" s="77" t="s">
        <v>680</v>
      </c>
      <c r="E362" s="188" t="s">
        <v>680</v>
      </c>
      <c r="F362" s="188" t="s">
        <v>680</v>
      </c>
      <c r="G362" s="188" t="s">
        <v>680</v>
      </c>
      <c r="H362" s="188"/>
      <c r="I362" s="188"/>
      <c r="J362" s="77"/>
      <c r="K362" s="216">
        <v>6.17717249E8</v>
      </c>
      <c r="L362" s="216">
        <v>3.106984552E9</v>
      </c>
      <c r="M362" s="77"/>
      <c r="N362" s="77"/>
      <c r="O362" s="78" t="s">
        <v>2659</v>
      </c>
      <c r="P362" s="226" t="s">
        <v>118</v>
      </c>
      <c r="Q362" s="77" t="s">
        <v>6615</v>
      </c>
      <c r="R362" s="188" t="s">
        <v>681</v>
      </c>
      <c r="S362" s="77"/>
      <c r="T362" s="211" t="s">
        <v>5712</v>
      </c>
      <c r="U362" s="211" t="s">
        <v>266</v>
      </c>
      <c r="V362" s="77"/>
      <c r="W362" s="77"/>
      <c r="X362" s="77"/>
      <c r="Y362" s="77"/>
      <c r="Z362" s="216">
        <v>1.504209E9</v>
      </c>
      <c r="AA362" s="77" t="s">
        <v>6555</v>
      </c>
      <c r="AB362" s="77"/>
      <c r="AC362" s="77" t="str">
        <f t="shared" si="5"/>
        <v>#N/A</v>
      </c>
      <c r="AD362" s="218">
        <v>7.0</v>
      </c>
      <c r="AE362" s="216">
        <v>17.0</v>
      </c>
      <c r="AF362" s="218">
        <v>7.0</v>
      </c>
      <c r="AG362" s="216">
        <v>4.0</v>
      </c>
      <c r="AH362" s="77"/>
      <c r="AI362" s="216">
        <v>0.236</v>
      </c>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row>
    <row r="363">
      <c r="A363" s="77" t="s">
        <v>5386</v>
      </c>
      <c r="B363" s="77" t="s">
        <v>5386</v>
      </c>
      <c r="C363" s="77" t="s">
        <v>6616</v>
      </c>
      <c r="D363" s="77" t="s">
        <v>5386</v>
      </c>
      <c r="E363" s="188" t="s">
        <v>5386</v>
      </c>
      <c r="F363" s="188"/>
      <c r="G363" s="188"/>
      <c r="H363" s="188"/>
      <c r="I363" s="188"/>
      <c r="J363" s="77"/>
      <c r="K363" s="216">
        <v>2.1422127E8</v>
      </c>
      <c r="L363" s="77"/>
      <c r="M363" s="77"/>
      <c r="N363" s="77"/>
      <c r="O363" s="78" t="s">
        <v>2659</v>
      </c>
      <c r="P363" s="77"/>
      <c r="Q363" s="77"/>
      <c r="R363" s="188"/>
      <c r="S363" s="77"/>
      <c r="T363" s="77"/>
      <c r="U363" s="77"/>
      <c r="V363" s="77"/>
      <c r="W363" s="77"/>
      <c r="X363" s="77"/>
      <c r="Y363" s="77"/>
      <c r="Z363" s="77"/>
      <c r="AA363" s="77"/>
      <c r="AB363" s="77"/>
      <c r="AC363" s="77"/>
      <c r="AD363" s="218">
        <v>1.0</v>
      </c>
      <c r="AE363" s="216">
        <v>1.0</v>
      </c>
      <c r="AF363" s="218">
        <v>1.0</v>
      </c>
      <c r="AG363" s="216">
        <v>1.0</v>
      </c>
      <c r="AH363" s="77"/>
      <c r="AI363" s="216">
        <v>1.0</v>
      </c>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row>
    <row r="364">
      <c r="A364" s="77" t="s">
        <v>5392</v>
      </c>
      <c r="B364" s="77" t="s">
        <v>5392</v>
      </c>
      <c r="C364" s="77" t="s">
        <v>5393</v>
      </c>
      <c r="D364" s="77" t="s">
        <v>5392</v>
      </c>
      <c r="E364" s="188" t="s">
        <v>5392</v>
      </c>
      <c r="F364" s="188"/>
      <c r="G364" s="188"/>
      <c r="H364" s="188"/>
      <c r="I364" s="188"/>
      <c r="J364" s="77"/>
      <c r="K364" s="216">
        <v>3.18415062E8</v>
      </c>
      <c r="L364" s="77"/>
      <c r="M364" s="77"/>
      <c r="N364" s="77"/>
      <c r="O364" s="78" t="s">
        <v>2659</v>
      </c>
      <c r="P364" s="211" t="s">
        <v>2661</v>
      </c>
      <c r="Q364" s="214" t="s">
        <v>5300</v>
      </c>
      <c r="R364" s="77" t="s">
        <v>5297</v>
      </c>
      <c r="S364" s="77"/>
      <c r="T364" s="211" t="s">
        <v>286</v>
      </c>
      <c r="U364" s="211" t="s">
        <v>2664</v>
      </c>
      <c r="V364" s="77"/>
      <c r="W364" s="77"/>
      <c r="X364" s="77"/>
      <c r="Y364" s="216">
        <v>2.042608334598E12</v>
      </c>
      <c r="Z364" s="216">
        <v>3.30499E9</v>
      </c>
      <c r="AA364" s="77" t="s">
        <v>6568</v>
      </c>
      <c r="AB364" s="77"/>
      <c r="AC364" s="77"/>
      <c r="AD364" s="218">
        <v>9.0</v>
      </c>
      <c r="AE364" s="216">
        <v>15.0</v>
      </c>
      <c r="AF364" s="218">
        <v>9.0</v>
      </c>
      <c r="AG364" s="216">
        <v>6.0</v>
      </c>
      <c r="AH364" s="77"/>
      <c r="AI364" s="216">
        <v>0.121</v>
      </c>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row>
    <row r="365">
      <c r="A365" s="77" t="s">
        <v>3389</v>
      </c>
      <c r="B365" s="77" t="s">
        <v>3389</v>
      </c>
      <c r="C365" s="77" t="s">
        <v>3390</v>
      </c>
      <c r="D365" s="77" t="s">
        <v>3389</v>
      </c>
      <c r="E365" s="188" t="s">
        <v>3389</v>
      </c>
      <c r="F365" s="188" t="s">
        <v>3389</v>
      </c>
      <c r="G365" s="188" t="s">
        <v>3389</v>
      </c>
      <c r="H365" s="188"/>
      <c r="I365" s="188"/>
      <c r="J365" s="77"/>
      <c r="K365" s="216">
        <v>3.31501221E8</v>
      </c>
      <c r="L365" s="216">
        <v>1.884227964E9</v>
      </c>
      <c r="M365" s="77"/>
      <c r="N365" s="77"/>
      <c r="O365" s="78" t="s">
        <v>2659</v>
      </c>
      <c r="P365" s="211" t="s">
        <v>2661</v>
      </c>
      <c r="Q365" s="214" t="s">
        <v>2879</v>
      </c>
      <c r="R365" s="77" t="s">
        <v>2875</v>
      </c>
      <c r="S365" s="77"/>
      <c r="T365" s="77" t="s">
        <v>6539</v>
      </c>
      <c r="U365" s="211" t="s">
        <v>2876</v>
      </c>
      <c r="V365" s="77"/>
      <c r="W365" s="77"/>
      <c r="X365" s="77"/>
      <c r="Y365" s="216">
        <v>2.042827589663E12</v>
      </c>
      <c r="Z365" s="216">
        <v>2.106909808E9</v>
      </c>
      <c r="AA365" s="77" t="s">
        <v>6566</v>
      </c>
      <c r="AB365" s="77"/>
      <c r="AC365" s="77"/>
      <c r="AD365" s="218">
        <v>9.0</v>
      </c>
      <c r="AE365" s="216">
        <v>15.0</v>
      </c>
      <c r="AF365" s="218">
        <v>9.0</v>
      </c>
      <c r="AG365" s="216">
        <v>6.0</v>
      </c>
      <c r="AH365" s="77"/>
      <c r="AI365" s="216">
        <v>0.113</v>
      </c>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row>
    <row r="366">
      <c r="A366" s="77" t="s">
        <v>5397</v>
      </c>
      <c r="B366" s="77" t="s">
        <v>5397</v>
      </c>
      <c r="C366" s="77" t="s">
        <v>5398</v>
      </c>
      <c r="D366" s="77" t="s">
        <v>5397</v>
      </c>
      <c r="E366" s="188" t="s">
        <v>5397</v>
      </c>
      <c r="F366" s="188"/>
      <c r="G366" s="188"/>
      <c r="H366" s="188"/>
      <c r="I366" s="188"/>
      <c r="J366" s="77"/>
      <c r="K366" s="213">
        <v>1.541858934E9</v>
      </c>
      <c r="L366" s="213">
        <v>1.541858934E9</v>
      </c>
      <c r="M366" s="220">
        <v>1.03515423526E11</v>
      </c>
      <c r="N366" s="77"/>
      <c r="O366" s="78" t="s">
        <v>2659</v>
      </c>
      <c r="P366" s="211" t="s">
        <v>2661</v>
      </c>
      <c r="Q366" s="214" t="s">
        <v>4026</v>
      </c>
      <c r="R366" s="77" t="s">
        <v>4023</v>
      </c>
      <c r="S366" s="77" t="s">
        <v>4023</v>
      </c>
      <c r="T366" s="77" t="s">
        <v>6539</v>
      </c>
      <c r="U366" s="211" t="s">
        <v>3888</v>
      </c>
      <c r="V366" s="77"/>
      <c r="W366" s="77"/>
      <c r="X366" s="77"/>
      <c r="Y366" s="216">
        <v>4.683857637894E12</v>
      </c>
      <c r="Z366" s="216">
        <v>2.103909009E9</v>
      </c>
      <c r="AA366" s="77" t="s">
        <v>6566</v>
      </c>
      <c r="AB366" s="77"/>
      <c r="AC366" s="77"/>
      <c r="AD366" s="218">
        <v>1.0</v>
      </c>
      <c r="AE366" s="216">
        <v>1.0</v>
      </c>
      <c r="AF366" s="218">
        <v>1.0</v>
      </c>
      <c r="AG366" s="216">
        <v>1.0</v>
      </c>
      <c r="AH366" s="77"/>
      <c r="AI366" s="216">
        <v>1.0</v>
      </c>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row>
    <row r="367">
      <c r="A367" s="77" t="s">
        <v>5198</v>
      </c>
      <c r="B367" s="77" t="s">
        <v>5198</v>
      </c>
      <c r="C367" s="77" t="s">
        <v>5200</v>
      </c>
      <c r="D367" s="77" t="s">
        <v>5198</v>
      </c>
      <c r="E367" s="188" t="s">
        <v>5198</v>
      </c>
      <c r="F367" s="188" t="s">
        <v>5198</v>
      </c>
      <c r="G367" s="188" t="s">
        <v>5198</v>
      </c>
      <c r="H367" s="188"/>
      <c r="I367" s="188"/>
      <c r="J367" s="77"/>
      <c r="K367" s="216">
        <v>5.80359518E8</v>
      </c>
      <c r="L367" s="216">
        <v>3.043803801E9</v>
      </c>
      <c r="M367" s="77"/>
      <c r="N367" s="77"/>
      <c r="O367" s="78" t="s">
        <v>2659</v>
      </c>
      <c r="P367" s="77" t="s">
        <v>2741</v>
      </c>
      <c r="Q367" s="77" t="s">
        <v>5199</v>
      </c>
      <c r="R367" s="77" t="s">
        <v>5199</v>
      </c>
      <c r="S367" s="77"/>
      <c r="T367" s="211" t="s">
        <v>286</v>
      </c>
      <c r="U367" s="211" t="s">
        <v>565</v>
      </c>
      <c r="V367" s="77"/>
      <c r="W367" s="77"/>
      <c r="X367" s="77"/>
      <c r="Y367" s="216">
        <v>4.660417421629E12</v>
      </c>
      <c r="Z367" s="216">
        <v>3.30499E9</v>
      </c>
      <c r="AA367" s="77" t="s">
        <v>6597</v>
      </c>
      <c r="AB367" s="77"/>
      <c r="AC367" s="77"/>
      <c r="AD367" s="218">
        <v>11.0</v>
      </c>
      <c r="AE367" s="216">
        <v>4.0</v>
      </c>
      <c r="AF367" s="218">
        <v>11.0</v>
      </c>
      <c r="AG367" s="216">
        <v>4.0</v>
      </c>
      <c r="AH367" s="77"/>
      <c r="AI367" s="216">
        <v>0.064</v>
      </c>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row>
    <row r="368">
      <c r="A368" s="77" t="s">
        <v>520</v>
      </c>
      <c r="B368" s="77" t="s">
        <v>520</v>
      </c>
      <c r="C368" s="77" t="s">
        <v>523</v>
      </c>
      <c r="D368" s="77" t="s">
        <v>520</v>
      </c>
      <c r="E368" s="188" t="s">
        <v>520</v>
      </c>
      <c r="F368" s="188" t="s">
        <v>520</v>
      </c>
      <c r="G368" s="188"/>
      <c r="H368" s="188"/>
      <c r="I368" s="188"/>
      <c r="J368" s="77"/>
      <c r="K368" s="216">
        <v>1.67680087E8</v>
      </c>
      <c r="L368" s="216">
        <v>1.099614303E9</v>
      </c>
      <c r="M368" s="77"/>
      <c r="N368" s="77"/>
      <c r="O368" s="78" t="s">
        <v>2659</v>
      </c>
      <c r="P368" s="211" t="s">
        <v>283</v>
      </c>
      <c r="Q368" s="77" t="s">
        <v>6617</v>
      </c>
      <c r="R368" s="77" t="str">
        <f t="shared" ref="R368:R372" si="8">CONCATENATE("БАД",RIGHT(Q368,LEN(Q368) - (FIND(" ",Q368) - 1)))</f>
        <v>БАД Набор Байфет и пробиотики</v>
      </c>
      <c r="S368" s="77"/>
      <c r="T368" s="211" t="s">
        <v>6539</v>
      </c>
      <c r="U368" s="211" t="s">
        <v>641</v>
      </c>
      <c r="V368" s="77"/>
      <c r="W368" s="77"/>
      <c r="X368" s="77"/>
      <c r="Y368" s="77"/>
      <c r="Z368" s="216">
        <v>3.504009E9</v>
      </c>
      <c r="AA368" s="77" t="s">
        <v>6540</v>
      </c>
      <c r="AB368" s="77"/>
      <c r="AC368" s="77"/>
      <c r="AD368" s="227"/>
      <c r="AE368" s="77"/>
      <c r="AF368" s="22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row>
    <row r="369">
      <c r="A369" s="77" t="s">
        <v>5420</v>
      </c>
      <c r="B369" s="77" t="s">
        <v>5420</v>
      </c>
      <c r="C369" s="77" t="s">
        <v>5422</v>
      </c>
      <c r="D369" s="77" t="s">
        <v>5420</v>
      </c>
      <c r="E369" s="188" t="s">
        <v>5420</v>
      </c>
      <c r="F369" s="188"/>
      <c r="G369" s="188"/>
      <c r="H369" s="188"/>
      <c r="I369" s="188"/>
      <c r="J369" s="77"/>
      <c r="K369" s="216">
        <v>1.7264847E8</v>
      </c>
      <c r="L369" s="77"/>
      <c r="M369" s="77"/>
      <c r="N369" s="77"/>
      <c r="O369" s="78" t="s">
        <v>2659</v>
      </c>
      <c r="P369" s="211" t="s">
        <v>283</v>
      </c>
      <c r="Q369" s="77" t="s">
        <v>6618</v>
      </c>
      <c r="R369" s="77" t="str">
        <f t="shared" si="8"/>
        <v>БАД Набор коэнзим и омега</v>
      </c>
      <c r="S369" s="77"/>
      <c r="T369" s="211" t="s">
        <v>6539</v>
      </c>
      <c r="U369" s="211" t="s">
        <v>641</v>
      </c>
      <c r="V369" s="77"/>
      <c r="W369" s="77"/>
      <c r="X369" s="77"/>
      <c r="Y369" s="77"/>
      <c r="Z369" s="216">
        <v>3.504009E9</v>
      </c>
      <c r="AA369" s="77" t="s">
        <v>6540</v>
      </c>
      <c r="AB369" s="77"/>
      <c r="AC369" s="77"/>
      <c r="AD369" s="227"/>
      <c r="AE369" s="77"/>
      <c r="AF369" s="22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row>
    <row r="370">
      <c r="A370" s="77" t="s">
        <v>5401</v>
      </c>
      <c r="B370" s="77" t="s">
        <v>5401</v>
      </c>
      <c r="C370" s="77" t="s">
        <v>5403</v>
      </c>
      <c r="D370" s="77" t="s">
        <v>5401</v>
      </c>
      <c r="E370" s="188" t="s">
        <v>5401</v>
      </c>
      <c r="F370" s="188"/>
      <c r="G370" s="188"/>
      <c r="H370" s="188"/>
      <c r="I370" s="188"/>
      <c r="J370" s="77"/>
      <c r="K370" s="216">
        <v>1.72647498E8</v>
      </c>
      <c r="L370" s="77"/>
      <c r="M370" s="77"/>
      <c r="N370" s="77"/>
      <c r="O370" s="78" t="s">
        <v>2659</v>
      </c>
      <c r="P370" s="211" t="s">
        <v>283</v>
      </c>
      <c r="Q370" s="77" t="s">
        <v>6619</v>
      </c>
      <c r="R370" s="77" t="str">
        <f t="shared" si="8"/>
        <v>БАД Набор пробиотики и пребиотики</v>
      </c>
      <c r="S370" s="77"/>
      <c r="T370" s="211" t="s">
        <v>6539</v>
      </c>
      <c r="U370" s="211" t="s">
        <v>641</v>
      </c>
      <c r="V370" s="77"/>
      <c r="W370" s="77"/>
      <c r="X370" s="77"/>
      <c r="Y370" s="77"/>
      <c r="Z370" s="216">
        <v>3.504009E9</v>
      </c>
      <c r="AA370" s="77" t="s">
        <v>6540</v>
      </c>
      <c r="AB370" s="77"/>
      <c r="AC370" s="77"/>
      <c r="AD370" s="227"/>
      <c r="AE370" s="77"/>
      <c r="AF370" s="22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row>
    <row r="371">
      <c r="A371" s="77" t="s">
        <v>5412</v>
      </c>
      <c r="B371" s="77" t="s">
        <v>5412</v>
      </c>
      <c r="C371" s="77" t="s">
        <v>5414</v>
      </c>
      <c r="D371" s="77" t="s">
        <v>5412</v>
      </c>
      <c r="E371" s="188" t="s">
        <v>5412</v>
      </c>
      <c r="F371" s="188"/>
      <c r="G371" s="188"/>
      <c r="H371" s="188"/>
      <c r="I371" s="188"/>
      <c r="J371" s="77"/>
      <c r="K371" s="216">
        <v>1.7264828E8</v>
      </c>
      <c r="L371" s="77"/>
      <c r="M371" s="77"/>
      <c r="N371" s="77"/>
      <c r="O371" s="78" t="s">
        <v>2659</v>
      </c>
      <c r="P371" s="211" t="s">
        <v>283</v>
      </c>
      <c r="Q371" s="77" t="s">
        <v>6620</v>
      </c>
      <c r="R371" s="77" t="str">
        <f t="shared" si="8"/>
        <v>БАД Набор коэнзим биотин</v>
      </c>
      <c r="S371" s="77"/>
      <c r="T371" s="211" t="s">
        <v>6539</v>
      </c>
      <c r="U371" s="211" t="s">
        <v>641</v>
      </c>
      <c r="V371" s="77"/>
      <c r="W371" s="77"/>
      <c r="X371" s="77"/>
      <c r="Y371" s="77"/>
      <c r="Z371" s="216">
        <v>3.504009E9</v>
      </c>
      <c r="AA371" s="77" t="s">
        <v>6540</v>
      </c>
      <c r="AB371" s="77"/>
      <c r="AC371" s="77"/>
      <c r="AD371" s="227"/>
      <c r="AE371" s="77"/>
      <c r="AF371" s="22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row>
    <row r="372">
      <c r="A372" s="77" t="s">
        <v>5406</v>
      </c>
      <c r="B372" s="77" t="s">
        <v>5406</v>
      </c>
      <c r="C372" s="77" t="s">
        <v>5408</v>
      </c>
      <c r="D372" s="77" t="s">
        <v>5406</v>
      </c>
      <c r="E372" s="188" t="s">
        <v>5406</v>
      </c>
      <c r="F372" s="188"/>
      <c r="G372" s="188"/>
      <c r="H372" s="188"/>
      <c r="I372" s="188"/>
      <c r="J372" s="77"/>
      <c r="K372" s="216">
        <v>1.72647794E8</v>
      </c>
      <c r="L372" s="77"/>
      <c r="M372" s="77"/>
      <c r="N372" s="77"/>
      <c r="O372" s="78" t="s">
        <v>2659</v>
      </c>
      <c r="P372" s="211" t="s">
        <v>283</v>
      </c>
      <c r="Q372" s="77" t="s">
        <v>6621</v>
      </c>
      <c r="R372" s="77" t="str">
        <f t="shared" si="8"/>
        <v>БАД Набор омега для взрослых и детей</v>
      </c>
      <c r="S372" s="77"/>
      <c r="T372" s="211" t="s">
        <v>6539</v>
      </c>
      <c r="U372" s="211" t="s">
        <v>641</v>
      </c>
      <c r="V372" s="77"/>
      <c r="W372" s="77"/>
      <c r="X372" s="77"/>
      <c r="Y372" s="77"/>
      <c r="Z372" s="216">
        <v>3.504009E9</v>
      </c>
      <c r="AA372" s="77" t="s">
        <v>6540</v>
      </c>
      <c r="AB372" s="77"/>
      <c r="AC372" s="77"/>
      <c r="AD372" s="227"/>
      <c r="AE372" s="77"/>
      <c r="AF372" s="22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row>
    <row r="373">
      <c r="A373" s="77" t="s">
        <v>5261</v>
      </c>
      <c r="B373" s="77"/>
      <c r="C373" s="77" t="s">
        <v>5263</v>
      </c>
      <c r="D373" s="77" t="s">
        <v>5261</v>
      </c>
      <c r="E373" s="188"/>
      <c r="F373" s="188"/>
      <c r="G373" s="188"/>
      <c r="H373" s="188"/>
      <c r="I373" s="188"/>
      <c r="J373" s="77"/>
      <c r="K373" s="77"/>
      <c r="L373" s="77"/>
      <c r="M373" s="77"/>
      <c r="N373" s="77"/>
      <c r="O373" s="78" t="s">
        <v>2659</v>
      </c>
      <c r="P373" s="77" t="s">
        <v>2741</v>
      </c>
      <c r="Q373" s="77" t="s">
        <v>5262</v>
      </c>
      <c r="R373" s="77" t="s">
        <v>5262</v>
      </c>
      <c r="S373" s="77"/>
      <c r="T373" s="211" t="s">
        <v>286</v>
      </c>
      <c r="U373" s="211" t="s">
        <v>565</v>
      </c>
      <c r="V373" s="77"/>
      <c r="W373" s="77"/>
      <c r="X373" s="77"/>
      <c r="Y373" s="216">
        <v>4.660417421827E12</v>
      </c>
      <c r="Z373" s="216">
        <v>3.30499E9</v>
      </c>
      <c r="AA373" s="77" t="s">
        <v>6597</v>
      </c>
      <c r="AB373" s="77"/>
      <c r="AC373" s="77"/>
      <c r="AD373" s="227"/>
      <c r="AE373" s="77"/>
      <c r="AF373" s="22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row>
    <row r="374">
      <c r="A374" s="77" t="s">
        <v>5547</v>
      </c>
      <c r="B374" s="77"/>
      <c r="C374" s="77" t="s">
        <v>5692</v>
      </c>
      <c r="D374" s="77" t="s">
        <v>5547</v>
      </c>
      <c r="E374" s="188"/>
      <c r="F374" s="188"/>
      <c r="G374" s="188"/>
      <c r="H374" s="188"/>
      <c r="I374" s="188"/>
      <c r="J374" s="77"/>
      <c r="K374" s="77"/>
      <c r="L374" s="233"/>
      <c r="M374" s="77"/>
      <c r="N374" s="77"/>
      <c r="O374" s="78" t="s">
        <v>2659</v>
      </c>
      <c r="P374" s="77" t="s">
        <v>2741</v>
      </c>
      <c r="Q374" s="77" t="s">
        <v>5548</v>
      </c>
      <c r="R374" s="77" t="s">
        <v>5548</v>
      </c>
      <c r="S374" s="77"/>
      <c r="T374" s="211" t="s">
        <v>286</v>
      </c>
      <c r="U374" s="211" t="s">
        <v>565</v>
      </c>
      <c r="V374" s="77"/>
      <c r="W374" s="77"/>
      <c r="X374" s="77"/>
      <c r="Y374" s="216">
        <v>4.630446231421E12</v>
      </c>
      <c r="Z374" s="216">
        <v>3.30499E9</v>
      </c>
      <c r="AA374" s="77" t="s">
        <v>6597</v>
      </c>
      <c r="AB374" s="77"/>
      <c r="AC374" s="77"/>
      <c r="AD374" s="227"/>
      <c r="AE374" s="77"/>
      <c r="AF374" s="22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row>
    <row r="375">
      <c r="A375" s="77"/>
      <c r="B375" s="77"/>
      <c r="C375" s="77"/>
      <c r="D375" s="77"/>
      <c r="E375" s="188"/>
      <c r="F375" s="188"/>
      <c r="G375" s="188"/>
      <c r="H375" s="188"/>
      <c r="I375" s="188"/>
      <c r="J375" s="77"/>
      <c r="K375" s="77"/>
      <c r="L375" s="77"/>
      <c r="M375" s="77"/>
      <c r="N375" s="77"/>
      <c r="O375" s="77"/>
      <c r="P375" s="77"/>
      <c r="Q375" s="77"/>
      <c r="R375" s="77"/>
      <c r="S375" s="77"/>
      <c r="T375" s="77"/>
      <c r="U375" s="77"/>
      <c r="V375" s="77"/>
      <c r="W375" s="77"/>
      <c r="X375" s="77"/>
      <c r="Y375" s="77"/>
      <c r="Z375" s="77"/>
      <c r="AA375" s="77"/>
      <c r="AB375" s="77"/>
      <c r="AC375" s="77"/>
      <c r="AD375" s="227"/>
      <c r="AE375" s="77"/>
      <c r="AF375" s="22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row>
    <row r="376">
      <c r="A376" s="77"/>
      <c r="B376" s="77"/>
      <c r="C376" s="77"/>
      <c r="D376" s="77"/>
      <c r="E376" s="188"/>
      <c r="F376" s="188"/>
      <c r="G376" s="188"/>
      <c r="H376" s="188"/>
      <c r="I376" s="188"/>
      <c r="J376" s="77"/>
      <c r="K376" s="77"/>
      <c r="L376" s="77"/>
      <c r="M376" s="77"/>
      <c r="N376" s="77"/>
      <c r="O376" s="77"/>
      <c r="P376" s="77"/>
      <c r="Q376" s="77"/>
      <c r="R376" s="77"/>
      <c r="S376" s="77"/>
      <c r="T376" s="77"/>
      <c r="U376" s="77"/>
      <c r="V376" s="77"/>
      <c r="W376" s="77"/>
      <c r="X376" s="77"/>
      <c r="Y376" s="77"/>
      <c r="Z376" s="77"/>
      <c r="AA376" s="77"/>
      <c r="AB376" s="77"/>
      <c r="AC376" s="77"/>
      <c r="AD376" s="227"/>
      <c r="AE376" s="77"/>
      <c r="AF376" s="22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row>
    <row r="377">
      <c r="A377" s="77"/>
      <c r="B377" s="77"/>
      <c r="C377" s="77"/>
      <c r="D377" s="77"/>
      <c r="E377" s="188"/>
      <c r="F377" s="188"/>
      <c r="G377" s="188"/>
      <c r="H377" s="188"/>
      <c r="I377" s="188"/>
      <c r="J377" s="77"/>
      <c r="K377" s="77"/>
      <c r="L377" s="77"/>
      <c r="M377" s="77"/>
      <c r="N377" s="77"/>
      <c r="O377" s="77"/>
      <c r="P377" s="77"/>
      <c r="Q377" s="77"/>
      <c r="R377" s="77"/>
      <c r="S377" s="77"/>
      <c r="T377" s="77"/>
      <c r="U377" s="77"/>
      <c r="V377" s="77"/>
      <c r="W377" s="77"/>
      <c r="X377" s="77"/>
      <c r="Y377" s="77"/>
      <c r="Z377" s="77"/>
      <c r="AA377" s="77"/>
      <c r="AB377" s="77"/>
      <c r="AC377" s="77"/>
      <c r="AD377" s="227"/>
      <c r="AE377" s="77"/>
      <c r="AF377" s="22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row>
    <row r="378">
      <c r="A378" s="77"/>
      <c r="B378" s="77"/>
      <c r="C378" s="77"/>
      <c r="D378" s="77"/>
      <c r="E378" s="188"/>
      <c r="F378" s="188"/>
      <c r="G378" s="188"/>
      <c r="H378" s="188"/>
      <c r="I378" s="188"/>
      <c r="J378" s="77"/>
      <c r="K378" s="77"/>
      <c r="L378" s="77"/>
      <c r="M378" s="77"/>
      <c r="N378" s="77"/>
      <c r="O378" s="77"/>
      <c r="P378" s="77"/>
      <c r="Q378" s="77"/>
      <c r="R378" s="77"/>
      <c r="S378" s="77"/>
      <c r="T378" s="77"/>
      <c r="U378" s="77"/>
      <c r="V378" s="77"/>
      <c r="W378" s="77"/>
      <c r="X378" s="77"/>
      <c r="Y378" s="77"/>
      <c r="Z378" s="77"/>
      <c r="AA378" s="77"/>
      <c r="AB378" s="77"/>
      <c r="AC378" s="77"/>
      <c r="AD378" s="227"/>
      <c r="AE378" s="77"/>
      <c r="AF378" s="22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row>
    <row r="379">
      <c r="A379" s="77" t="s">
        <v>4325</v>
      </c>
      <c r="B379" s="77" t="s">
        <v>4325</v>
      </c>
      <c r="C379" s="77" t="s">
        <v>4327</v>
      </c>
      <c r="D379" s="211" t="s">
        <v>4325</v>
      </c>
      <c r="E379" s="212" t="s">
        <v>4325</v>
      </c>
      <c r="F379" s="212" t="s">
        <v>4325</v>
      </c>
      <c r="G379" s="212" t="s">
        <v>4325</v>
      </c>
      <c r="H379" s="223" t="s">
        <v>4325</v>
      </c>
      <c r="I379" s="225" t="s">
        <v>4325</v>
      </c>
      <c r="J379" s="77"/>
      <c r="K379" s="213">
        <v>1.597150074E9</v>
      </c>
      <c r="L379" s="220">
        <v>1.03515586621E11</v>
      </c>
      <c r="M379" s="77"/>
      <c r="N379" s="213">
        <v>9.900012514E10</v>
      </c>
      <c r="O379" s="78" t="s">
        <v>2659</v>
      </c>
      <c r="P379" s="211" t="s">
        <v>2661</v>
      </c>
      <c r="Q379" s="214" t="s">
        <v>6622</v>
      </c>
      <c r="R379" s="77" t="s">
        <v>4326</v>
      </c>
      <c r="S379" s="77"/>
      <c r="T379" s="211" t="s">
        <v>286</v>
      </c>
      <c r="U379" s="211" t="s">
        <v>287</v>
      </c>
      <c r="V379" s="77"/>
      <c r="W379" s="77"/>
      <c r="X379" s="77"/>
      <c r="Y379" s="77"/>
      <c r="Z379" s="216">
        <v>3.3051E9</v>
      </c>
      <c r="AA379" s="77" t="s">
        <v>6549</v>
      </c>
      <c r="AB379" s="77"/>
      <c r="AC379" s="77" t="str">
        <f>VLOOKUP( AB379,J:Q,8,0)</f>
        <v>#N/A</v>
      </c>
      <c r="AD379" s="218">
        <v>8.0</v>
      </c>
      <c r="AE379" s="216">
        <v>2.0</v>
      </c>
      <c r="AF379" s="218">
        <v>8.0</v>
      </c>
      <c r="AG379" s="216">
        <v>10.0</v>
      </c>
      <c r="AH379" s="77"/>
      <c r="AI379" s="216">
        <v>0.046</v>
      </c>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row>
    <row r="380">
      <c r="A380" s="77"/>
      <c r="B380" s="77"/>
      <c r="C380" s="77"/>
      <c r="D380" s="77"/>
      <c r="E380" s="188"/>
      <c r="F380" s="188"/>
      <c r="G380" s="188"/>
      <c r="H380" s="188"/>
      <c r="I380" s="188"/>
      <c r="J380" s="77"/>
      <c r="K380" s="77"/>
      <c r="L380" s="77"/>
      <c r="M380" s="77"/>
      <c r="N380" s="77"/>
      <c r="O380" s="77"/>
      <c r="P380" s="77"/>
      <c r="Q380" s="77"/>
      <c r="R380" s="77"/>
      <c r="S380" s="77"/>
      <c r="T380" s="77"/>
      <c r="U380" s="77"/>
      <c r="V380" s="77"/>
      <c r="W380" s="77"/>
      <c r="X380" s="77"/>
      <c r="Y380" s="77"/>
      <c r="Z380" s="77"/>
      <c r="AA380" s="77"/>
      <c r="AB380" s="77"/>
      <c r="AC380" s="77"/>
      <c r="AD380" s="227"/>
      <c r="AE380" s="77"/>
      <c r="AF380" s="22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row>
    <row r="381">
      <c r="A381" s="77"/>
      <c r="B381" s="77"/>
      <c r="C381" s="77"/>
      <c r="D381" s="77"/>
      <c r="E381" s="188"/>
      <c r="F381" s="188"/>
      <c r="G381" s="188"/>
      <c r="H381" s="188"/>
      <c r="I381" s="188"/>
      <c r="J381" s="77"/>
      <c r="K381" s="77"/>
      <c r="L381" s="77"/>
      <c r="M381" s="77"/>
      <c r="N381" s="77"/>
      <c r="O381" s="77"/>
      <c r="P381" s="77"/>
      <c r="Q381" s="77"/>
      <c r="R381" s="77"/>
      <c r="S381" s="77"/>
      <c r="T381" s="77"/>
      <c r="U381" s="77"/>
      <c r="V381" s="77"/>
      <c r="W381" s="77"/>
      <c r="X381" s="77"/>
      <c r="Y381" s="77"/>
      <c r="Z381" s="77"/>
      <c r="AA381" s="77"/>
      <c r="AB381" s="77"/>
      <c r="AC381" s="77"/>
      <c r="AD381" s="227"/>
      <c r="AE381" s="77"/>
      <c r="AF381" s="22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row>
    <row r="382">
      <c r="A382" s="77"/>
      <c r="B382" s="77"/>
      <c r="C382" s="77"/>
      <c r="D382" s="77"/>
      <c r="E382" s="188"/>
      <c r="F382" s="188"/>
      <c r="G382" s="188"/>
      <c r="H382" s="188"/>
      <c r="I382" s="188"/>
      <c r="J382" s="77"/>
      <c r="K382" s="77"/>
      <c r="L382" s="77"/>
      <c r="M382" s="77"/>
      <c r="N382" s="77"/>
      <c r="O382" s="77"/>
      <c r="P382" s="77"/>
      <c r="Q382" s="77"/>
      <c r="R382" s="77"/>
      <c r="S382" s="77"/>
      <c r="T382" s="77"/>
      <c r="U382" s="77"/>
      <c r="V382" s="77"/>
      <c r="W382" s="77"/>
      <c r="X382" s="77"/>
      <c r="Y382" s="77"/>
      <c r="Z382" s="77"/>
      <c r="AA382" s="77"/>
      <c r="AB382" s="77"/>
      <c r="AC382" s="77"/>
      <c r="AD382" s="227"/>
      <c r="AE382" s="77"/>
      <c r="AF382" s="22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row>
    <row r="383">
      <c r="A383" s="77"/>
      <c r="B383" s="77"/>
      <c r="C383" s="77"/>
      <c r="D383" s="77"/>
      <c r="E383" s="188"/>
      <c r="F383" s="188"/>
      <c r="G383" s="188"/>
      <c r="H383" s="188"/>
      <c r="I383" s="188"/>
      <c r="J383" s="77"/>
      <c r="K383" s="77"/>
      <c r="L383" s="77"/>
      <c r="M383" s="77"/>
      <c r="N383" s="77"/>
      <c r="O383" s="77"/>
      <c r="P383" s="77"/>
      <c r="Q383" s="77"/>
      <c r="R383" s="77"/>
      <c r="S383" s="77"/>
      <c r="T383" s="77"/>
      <c r="U383" s="77"/>
      <c r="V383" s="77"/>
      <c r="W383" s="77"/>
      <c r="X383" s="77"/>
      <c r="Y383" s="77"/>
      <c r="Z383" s="77"/>
      <c r="AA383" s="77"/>
      <c r="AB383" s="77"/>
      <c r="AC383" s="77"/>
      <c r="AD383" s="227"/>
      <c r="AE383" s="77"/>
      <c r="AF383" s="22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row>
    <row r="384">
      <c r="A384" s="77"/>
      <c r="B384" s="77"/>
      <c r="C384" s="77"/>
      <c r="D384" s="77"/>
      <c r="E384" s="188"/>
      <c r="F384" s="188"/>
      <c r="G384" s="188"/>
      <c r="H384" s="188"/>
      <c r="I384" s="188"/>
      <c r="J384" s="77"/>
      <c r="K384" s="77"/>
      <c r="L384" s="77"/>
      <c r="M384" s="77"/>
      <c r="N384" s="77"/>
      <c r="O384" s="77"/>
      <c r="P384" s="77"/>
      <c r="Q384" s="77"/>
      <c r="R384" s="77"/>
      <c r="S384" s="77"/>
      <c r="T384" s="77"/>
      <c r="U384" s="77"/>
      <c r="V384" s="77"/>
      <c r="W384" s="77"/>
      <c r="X384" s="77"/>
      <c r="Y384" s="77"/>
      <c r="Z384" s="77"/>
      <c r="AA384" s="77"/>
      <c r="AB384" s="77"/>
      <c r="AC384" s="77"/>
      <c r="AD384" s="227"/>
      <c r="AE384" s="77"/>
      <c r="AF384" s="22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row>
    <row r="385">
      <c r="A385" s="77"/>
      <c r="B385" s="77"/>
      <c r="C385" s="77"/>
      <c r="D385" s="77"/>
      <c r="E385" s="188"/>
      <c r="F385" s="188"/>
      <c r="G385" s="188"/>
      <c r="H385" s="188"/>
      <c r="I385" s="188"/>
      <c r="J385" s="77"/>
      <c r="K385" s="77"/>
      <c r="L385" s="77"/>
      <c r="M385" s="77"/>
      <c r="N385" s="77"/>
      <c r="O385" s="77"/>
      <c r="P385" s="77"/>
      <c r="Q385" s="77"/>
      <c r="R385" s="77"/>
      <c r="S385" s="77"/>
      <c r="T385" s="77"/>
      <c r="U385" s="77"/>
      <c r="V385" s="77"/>
      <c r="W385" s="77"/>
      <c r="X385" s="77"/>
      <c r="Y385" s="77"/>
      <c r="Z385" s="77"/>
      <c r="AA385" s="77"/>
      <c r="AB385" s="77"/>
      <c r="AC385" s="77"/>
      <c r="AD385" s="227"/>
      <c r="AE385" s="77"/>
      <c r="AF385" s="22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row>
    <row r="386">
      <c r="A386" s="77"/>
      <c r="B386" s="77"/>
      <c r="C386" s="77"/>
      <c r="D386" s="77"/>
      <c r="E386" s="188"/>
      <c r="F386" s="188"/>
      <c r="G386" s="188"/>
      <c r="H386" s="188"/>
      <c r="I386" s="188"/>
      <c r="J386" s="77"/>
      <c r="K386" s="77"/>
      <c r="L386" s="77"/>
      <c r="M386" s="77"/>
      <c r="N386" s="77"/>
      <c r="O386" s="77"/>
      <c r="P386" s="77"/>
      <c r="Q386" s="77"/>
      <c r="R386" s="77"/>
      <c r="S386" s="77"/>
      <c r="T386" s="77"/>
      <c r="U386" s="77"/>
      <c r="V386" s="77"/>
      <c r="W386" s="77"/>
      <c r="X386" s="77"/>
      <c r="Y386" s="77"/>
      <c r="Z386" s="77"/>
      <c r="AA386" s="77"/>
      <c r="AB386" s="77"/>
      <c r="AC386" s="77"/>
      <c r="AD386" s="227"/>
      <c r="AE386" s="77"/>
      <c r="AF386" s="22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row>
    <row r="387">
      <c r="A387" s="77"/>
      <c r="B387" s="77"/>
      <c r="C387" s="77"/>
      <c r="D387" s="77"/>
      <c r="E387" s="188"/>
      <c r="F387" s="188"/>
      <c r="G387" s="188"/>
      <c r="H387" s="188"/>
      <c r="I387" s="188"/>
      <c r="J387" s="77"/>
      <c r="K387" s="77"/>
      <c r="L387" s="77"/>
      <c r="M387" s="77"/>
      <c r="N387" s="77"/>
      <c r="O387" s="77"/>
      <c r="P387" s="77"/>
      <c r="Q387" s="77"/>
      <c r="R387" s="77"/>
      <c r="S387" s="77"/>
      <c r="T387" s="77"/>
      <c r="U387" s="77"/>
      <c r="V387" s="77"/>
      <c r="W387" s="77"/>
      <c r="X387" s="77"/>
      <c r="Y387" s="77"/>
      <c r="Z387" s="77"/>
      <c r="AA387" s="77"/>
      <c r="AB387" s="77"/>
      <c r="AC387" s="77"/>
      <c r="AD387" s="227"/>
      <c r="AE387" s="77"/>
      <c r="AF387" s="22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row>
    <row r="388">
      <c r="A388" s="77"/>
      <c r="B388" s="77"/>
      <c r="C388" s="77"/>
      <c r="D388" s="77"/>
      <c r="E388" s="188"/>
      <c r="F388" s="188"/>
      <c r="G388" s="188"/>
      <c r="H388" s="188"/>
      <c r="I388" s="188"/>
      <c r="J388" s="77"/>
      <c r="K388" s="77"/>
      <c r="L388" s="77"/>
      <c r="M388" s="77"/>
      <c r="N388" s="77"/>
      <c r="O388" s="77"/>
      <c r="P388" s="77"/>
      <c r="Q388" s="77"/>
      <c r="R388" s="77"/>
      <c r="S388" s="77"/>
      <c r="T388" s="77"/>
      <c r="U388" s="77"/>
      <c r="V388" s="77"/>
      <c r="W388" s="77"/>
      <c r="X388" s="77"/>
      <c r="Y388" s="77"/>
      <c r="Z388" s="77"/>
      <c r="AA388" s="77"/>
      <c r="AB388" s="77"/>
      <c r="AC388" s="77"/>
      <c r="AD388" s="227"/>
      <c r="AE388" s="77"/>
      <c r="AF388" s="22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row>
    <row r="389">
      <c r="A389" s="77"/>
      <c r="B389" s="77"/>
      <c r="C389" s="77"/>
      <c r="D389" s="77"/>
      <c r="E389" s="188"/>
      <c r="F389" s="188"/>
      <c r="G389" s="188"/>
      <c r="H389" s="188"/>
      <c r="I389" s="188"/>
      <c r="J389" s="77"/>
      <c r="K389" s="77"/>
      <c r="L389" s="77"/>
      <c r="M389" s="77"/>
      <c r="N389" s="77"/>
      <c r="O389" s="77"/>
      <c r="P389" s="77"/>
      <c r="Q389" s="77"/>
      <c r="R389" s="77"/>
      <c r="S389" s="77"/>
      <c r="T389" s="77"/>
      <c r="U389" s="77"/>
      <c r="V389" s="77"/>
      <c r="W389" s="77"/>
      <c r="X389" s="77"/>
      <c r="Y389" s="77"/>
      <c r="Z389" s="77"/>
      <c r="AA389" s="77"/>
      <c r="AB389" s="77"/>
      <c r="AC389" s="77"/>
      <c r="AD389" s="227"/>
      <c r="AE389" s="77"/>
      <c r="AF389" s="22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row>
    <row r="390">
      <c r="A390" s="77"/>
      <c r="B390" s="77"/>
      <c r="C390" s="77"/>
      <c r="D390" s="77"/>
      <c r="E390" s="188"/>
      <c r="F390" s="188"/>
      <c r="G390" s="188"/>
      <c r="H390" s="188"/>
      <c r="I390" s="188"/>
      <c r="J390" s="77"/>
      <c r="K390" s="77"/>
      <c r="L390" s="77"/>
      <c r="M390" s="77"/>
      <c r="N390" s="77"/>
      <c r="O390" s="77"/>
      <c r="P390" s="77"/>
      <c r="Q390" s="77"/>
      <c r="R390" s="77"/>
      <c r="S390" s="77"/>
      <c r="T390" s="77"/>
      <c r="U390" s="77"/>
      <c r="V390" s="77"/>
      <c r="W390" s="77"/>
      <c r="X390" s="77"/>
      <c r="Y390" s="77"/>
      <c r="Z390" s="77"/>
      <c r="AA390" s="77"/>
      <c r="AB390" s="77"/>
      <c r="AC390" s="77"/>
      <c r="AD390" s="227"/>
      <c r="AE390" s="77"/>
      <c r="AF390" s="22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row>
    <row r="391">
      <c r="A391" s="77"/>
      <c r="B391" s="77"/>
      <c r="C391" s="77"/>
      <c r="D391" s="77"/>
      <c r="E391" s="188"/>
      <c r="F391" s="188"/>
      <c r="G391" s="188"/>
      <c r="H391" s="188"/>
      <c r="I391" s="188"/>
      <c r="J391" s="77"/>
      <c r="K391" s="77"/>
      <c r="L391" s="77"/>
      <c r="M391" s="77"/>
      <c r="N391" s="77"/>
      <c r="O391" s="77"/>
      <c r="P391" s="77"/>
      <c r="Q391" s="77"/>
      <c r="R391" s="77"/>
      <c r="S391" s="77"/>
      <c r="T391" s="77"/>
      <c r="U391" s="77"/>
      <c r="V391" s="77"/>
      <c r="W391" s="77"/>
      <c r="X391" s="77"/>
      <c r="Y391" s="77"/>
      <c r="Z391" s="77"/>
      <c r="AA391" s="77"/>
      <c r="AB391" s="77"/>
      <c r="AC391" s="77"/>
      <c r="AD391" s="227"/>
      <c r="AE391" s="77"/>
      <c r="AF391" s="22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row>
    <row r="392">
      <c r="A392" s="77"/>
      <c r="B392" s="77"/>
      <c r="C392" s="77"/>
      <c r="D392" s="77"/>
      <c r="E392" s="188"/>
      <c r="F392" s="188"/>
      <c r="G392" s="188"/>
      <c r="H392" s="188"/>
      <c r="I392" s="188"/>
      <c r="J392" s="77"/>
      <c r="K392" s="77"/>
      <c r="L392" s="77"/>
      <c r="M392" s="77"/>
      <c r="N392" s="77"/>
      <c r="O392" s="77"/>
      <c r="P392" s="77"/>
      <c r="Q392" s="77"/>
      <c r="R392" s="77"/>
      <c r="S392" s="77"/>
      <c r="T392" s="77"/>
      <c r="U392" s="77"/>
      <c r="V392" s="77"/>
      <c r="W392" s="77"/>
      <c r="X392" s="77"/>
      <c r="Y392" s="77"/>
      <c r="Z392" s="77"/>
      <c r="AA392" s="77"/>
      <c r="AB392" s="77"/>
      <c r="AC392" s="77"/>
      <c r="AD392" s="227"/>
      <c r="AE392" s="77"/>
      <c r="AF392" s="22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row>
    <row r="393">
      <c r="A393" s="77"/>
      <c r="B393" s="77"/>
      <c r="C393" s="77"/>
      <c r="D393" s="77"/>
      <c r="E393" s="188"/>
      <c r="F393" s="188"/>
      <c r="G393" s="188"/>
      <c r="H393" s="188"/>
      <c r="I393" s="188"/>
      <c r="J393" s="77"/>
      <c r="K393" s="77"/>
      <c r="L393" s="77"/>
      <c r="M393" s="77"/>
      <c r="N393" s="77"/>
      <c r="O393" s="77"/>
      <c r="P393" s="77"/>
      <c r="Q393" s="77"/>
      <c r="R393" s="77"/>
      <c r="S393" s="77"/>
      <c r="T393" s="77"/>
      <c r="U393" s="77"/>
      <c r="V393" s="77"/>
      <c r="W393" s="77"/>
      <c r="X393" s="77"/>
      <c r="Y393" s="77"/>
      <c r="Z393" s="77"/>
      <c r="AA393" s="77"/>
      <c r="AB393" s="77"/>
      <c r="AC393" s="77"/>
      <c r="AD393" s="227"/>
      <c r="AE393" s="77"/>
      <c r="AF393" s="22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row>
    <row r="394">
      <c r="A394" s="77"/>
      <c r="B394" s="77"/>
      <c r="C394" s="77"/>
      <c r="D394" s="77"/>
      <c r="E394" s="188"/>
      <c r="F394" s="188"/>
      <c r="G394" s="188"/>
      <c r="H394" s="188"/>
      <c r="I394" s="188"/>
      <c r="J394" s="77"/>
      <c r="K394" s="77"/>
      <c r="L394" s="77"/>
      <c r="M394" s="77"/>
      <c r="N394" s="77"/>
      <c r="O394" s="77"/>
      <c r="P394" s="77"/>
      <c r="Q394" s="77"/>
      <c r="R394" s="77"/>
      <c r="S394" s="77"/>
      <c r="T394" s="77"/>
      <c r="U394" s="77"/>
      <c r="V394" s="77"/>
      <c r="W394" s="77"/>
      <c r="X394" s="77"/>
      <c r="Y394" s="77"/>
      <c r="Z394" s="77"/>
      <c r="AA394" s="77"/>
      <c r="AB394" s="77"/>
      <c r="AC394" s="77"/>
      <c r="AD394" s="227"/>
      <c r="AE394" s="77"/>
      <c r="AF394" s="22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row>
    <row r="395">
      <c r="A395" s="77"/>
      <c r="B395" s="77"/>
      <c r="C395" s="77"/>
      <c r="D395" s="77"/>
      <c r="E395" s="188"/>
      <c r="F395" s="188"/>
      <c r="G395" s="188"/>
      <c r="H395" s="188"/>
      <c r="I395" s="188"/>
      <c r="J395" s="77"/>
      <c r="K395" s="77"/>
      <c r="L395" s="77"/>
      <c r="M395" s="77"/>
      <c r="N395" s="77"/>
      <c r="O395" s="77"/>
      <c r="P395" s="77"/>
      <c r="Q395" s="77"/>
      <c r="R395" s="77"/>
      <c r="S395" s="77"/>
      <c r="T395" s="77"/>
      <c r="U395" s="77"/>
      <c r="V395" s="77"/>
      <c r="W395" s="77"/>
      <c r="X395" s="77"/>
      <c r="Y395" s="77"/>
      <c r="Z395" s="77"/>
      <c r="AA395" s="77"/>
      <c r="AB395" s="77"/>
      <c r="AC395" s="77"/>
      <c r="AD395" s="227"/>
      <c r="AE395" s="77"/>
      <c r="AF395" s="22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row>
    <row r="396">
      <c r="A396" s="77"/>
      <c r="B396" s="77"/>
      <c r="C396" s="77"/>
      <c r="D396" s="77"/>
      <c r="E396" s="188"/>
      <c r="F396" s="188"/>
      <c r="G396" s="188"/>
      <c r="H396" s="188"/>
      <c r="I396" s="188"/>
      <c r="J396" s="77"/>
      <c r="K396" s="77"/>
      <c r="L396" s="77"/>
      <c r="M396" s="77"/>
      <c r="N396" s="77"/>
      <c r="O396" s="77"/>
      <c r="P396" s="77"/>
      <c r="Q396" s="77"/>
      <c r="R396" s="77"/>
      <c r="S396" s="77"/>
      <c r="T396" s="77"/>
      <c r="U396" s="77"/>
      <c r="V396" s="77"/>
      <c r="W396" s="77"/>
      <c r="X396" s="77"/>
      <c r="Y396" s="77"/>
      <c r="Z396" s="77"/>
      <c r="AA396" s="77"/>
      <c r="AB396" s="77"/>
      <c r="AC396" s="77"/>
      <c r="AD396" s="227"/>
      <c r="AE396" s="77"/>
      <c r="AF396" s="22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row>
    <row r="397">
      <c r="A397" s="77"/>
      <c r="B397" s="77"/>
      <c r="C397" s="77"/>
      <c r="D397" s="77"/>
      <c r="E397" s="188"/>
      <c r="F397" s="188"/>
      <c r="G397" s="188"/>
      <c r="H397" s="188"/>
      <c r="I397" s="188"/>
      <c r="J397" s="77"/>
      <c r="K397" s="77"/>
      <c r="L397" s="77"/>
      <c r="M397" s="77"/>
      <c r="N397" s="77"/>
      <c r="O397" s="77"/>
      <c r="P397" s="77"/>
      <c r="Q397" s="77"/>
      <c r="R397" s="77"/>
      <c r="S397" s="77"/>
      <c r="T397" s="77"/>
      <c r="U397" s="77"/>
      <c r="V397" s="77"/>
      <c r="W397" s="77"/>
      <c r="X397" s="77"/>
      <c r="Y397" s="77"/>
      <c r="Z397" s="77"/>
      <c r="AA397" s="77"/>
      <c r="AB397" s="77"/>
      <c r="AC397" s="77"/>
      <c r="AD397" s="227"/>
      <c r="AE397" s="77"/>
      <c r="AF397" s="22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row>
    <row r="398">
      <c r="A398" s="77"/>
      <c r="B398" s="77"/>
      <c r="C398" s="77"/>
      <c r="D398" s="77"/>
      <c r="E398" s="188"/>
      <c r="F398" s="188"/>
      <c r="G398" s="188"/>
      <c r="H398" s="188"/>
      <c r="I398" s="188"/>
      <c r="J398" s="77"/>
      <c r="K398" s="77"/>
      <c r="L398" s="77"/>
      <c r="M398" s="77"/>
      <c r="N398" s="77"/>
      <c r="O398" s="77"/>
      <c r="P398" s="77"/>
      <c r="Q398" s="77"/>
      <c r="R398" s="77"/>
      <c r="S398" s="77"/>
      <c r="T398" s="77"/>
      <c r="U398" s="77"/>
      <c r="V398" s="77"/>
      <c r="W398" s="77"/>
      <c r="X398" s="77"/>
      <c r="Y398" s="77"/>
      <c r="Z398" s="77"/>
      <c r="AA398" s="77"/>
      <c r="AB398" s="77"/>
      <c r="AC398" s="77"/>
      <c r="AD398" s="227"/>
      <c r="AE398" s="77"/>
      <c r="AF398" s="22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row>
    <row r="399">
      <c r="A399" s="77"/>
      <c r="B399" s="77"/>
      <c r="C399" s="77"/>
      <c r="D399" s="77"/>
      <c r="E399" s="188"/>
      <c r="F399" s="188"/>
      <c r="G399" s="188"/>
      <c r="H399" s="188"/>
      <c r="I399" s="188"/>
      <c r="J399" s="77"/>
      <c r="K399" s="77"/>
      <c r="L399" s="77"/>
      <c r="M399" s="77"/>
      <c r="N399" s="77"/>
      <c r="O399" s="77"/>
      <c r="P399" s="77"/>
      <c r="Q399" s="77"/>
      <c r="R399" s="77"/>
      <c r="S399" s="77"/>
      <c r="T399" s="77"/>
      <c r="U399" s="77"/>
      <c r="V399" s="77"/>
      <c r="W399" s="77"/>
      <c r="X399" s="77"/>
      <c r="Y399" s="77"/>
      <c r="Z399" s="77"/>
      <c r="AA399" s="77"/>
      <c r="AB399" s="77"/>
      <c r="AC399" s="77"/>
      <c r="AD399" s="227"/>
      <c r="AE399" s="77"/>
      <c r="AF399" s="22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row>
    <row r="400">
      <c r="A400" s="77"/>
      <c r="B400" s="77"/>
      <c r="C400" s="77"/>
      <c r="D400" s="77"/>
      <c r="E400" s="188"/>
      <c r="F400" s="188"/>
      <c r="G400" s="188"/>
      <c r="H400" s="188"/>
      <c r="I400" s="188"/>
      <c r="J400" s="77"/>
      <c r="K400" s="77"/>
      <c r="L400" s="77"/>
      <c r="M400" s="77"/>
      <c r="N400" s="77"/>
      <c r="O400" s="77"/>
      <c r="P400" s="77"/>
      <c r="Q400" s="77"/>
      <c r="R400" s="77"/>
      <c r="S400" s="77"/>
      <c r="T400" s="77"/>
      <c r="U400" s="77"/>
      <c r="V400" s="77"/>
      <c r="W400" s="77"/>
      <c r="X400" s="77"/>
      <c r="Y400" s="77"/>
      <c r="Z400" s="77"/>
      <c r="AA400" s="77"/>
      <c r="AB400" s="77"/>
      <c r="AC400" s="77"/>
      <c r="AD400" s="227"/>
      <c r="AE400" s="77"/>
      <c r="AF400" s="22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row>
    <row r="401">
      <c r="A401" s="77"/>
      <c r="B401" s="77"/>
      <c r="C401" s="77"/>
      <c r="D401" s="77"/>
      <c r="E401" s="188"/>
      <c r="F401" s="188"/>
      <c r="G401" s="188"/>
      <c r="H401" s="188"/>
      <c r="I401" s="188"/>
      <c r="J401" s="77"/>
      <c r="K401" s="77"/>
      <c r="L401" s="77"/>
      <c r="M401" s="77"/>
      <c r="N401" s="77"/>
      <c r="O401" s="77"/>
      <c r="P401" s="77"/>
      <c r="Q401" s="77"/>
      <c r="R401" s="77"/>
      <c r="S401" s="77"/>
      <c r="T401" s="77"/>
      <c r="U401" s="77"/>
      <c r="V401" s="77"/>
      <c r="W401" s="77"/>
      <c r="X401" s="77"/>
      <c r="Y401" s="77"/>
      <c r="Z401" s="77"/>
      <c r="AA401" s="77"/>
      <c r="AB401" s="77"/>
      <c r="AC401" s="77"/>
      <c r="AD401" s="227"/>
      <c r="AE401" s="77"/>
      <c r="AF401" s="22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row>
    <row r="402">
      <c r="A402" s="77"/>
      <c r="B402" s="77"/>
      <c r="C402" s="77"/>
      <c r="D402" s="77"/>
      <c r="E402" s="188"/>
      <c r="F402" s="188"/>
      <c r="G402" s="188"/>
      <c r="H402" s="188"/>
      <c r="I402" s="188"/>
      <c r="J402" s="77"/>
      <c r="K402" s="77"/>
      <c r="L402" s="77"/>
      <c r="M402" s="77"/>
      <c r="N402" s="77"/>
      <c r="O402" s="77"/>
      <c r="P402" s="77"/>
      <c r="Q402" s="77"/>
      <c r="R402" s="77"/>
      <c r="S402" s="77"/>
      <c r="T402" s="77"/>
      <c r="U402" s="77"/>
      <c r="V402" s="77"/>
      <c r="W402" s="77"/>
      <c r="X402" s="77"/>
      <c r="Y402" s="77"/>
      <c r="Z402" s="77"/>
      <c r="AA402" s="77"/>
      <c r="AB402" s="77"/>
      <c r="AC402" s="77"/>
      <c r="AD402" s="227"/>
      <c r="AE402" s="77"/>
      <c r="AF402" s="22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row>
    <row r="403">
      <c r="A403" s="77"/>
      <c r="B403" s="77"/>
      <c r="C403" s="77"/>
      <c r="D403" s="77"/>
      <c r="E403" s="188"/>
      <c r="F403" s="188"/>
      <c r="G403" s="188"/>
      <c r="H403" s="188"/>
      <c r="I403" s="188"/>
      <c r="J403" s="77"/>
      <c r="K403" s="77"/>
      <c r="L403" s="77"/>
      <c r="M403" s="77"/>
      <c r="N403" s="77"/>
      <c r="O403" s="77"/>
      <c r="P403" s="77"/>
      <c r="Q403" s="77"/>
      <c r="R403" s="77"/>
      <c r="S403" s="77"/>
      <c r="T403" s="77"/>
      <c r="U403" s="77"/>
      <c r="V403" s="77"/>
      <c r="W403" s="77"/>
      <c r="X403" s="77"/>
      <c r="Y403" s="77"/>
      <c r="Z403" s="77"/>
      <c r="AA403" s="77"/>
      <c r="AB403" s="77"/>
      <c r="AC403" s="77"/>
      <c r="AD403" s="227"/>
      <c r="AE403" s="77"/>
      <c r="AF403" s="22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row>
    <row r="404">
      <c r="A404" s="77"/>
      <c r="B404" s="77"/>
      <c r="C404" s="77"/>
      <c r="D404" s="77"/>
      <c r="E404" s="188"/>
      <c r="F404" s="188"/>
      <c r="G404" s="188"/>
      <c r="H404" s="188"/>
      <c r="I404" s="188"/>
      <c r="J404" s="77"/>
      <c r="K404" s="77"/>
      <c r="L404" s="77"/>
      <c r="M404" s="77"/>
      <c r="N404" s="77"/>
      <c r="O404" s="77"/>
      <c r="P404" s="77"/>
      <c r="Q404" s="77"/>
      <c r="R404" s="77"/>
      <c r="S404" s="77"/>
      <c r="T404" s="77"/>
      <c r="U404" s="77"/>
      <c r="V404" s="77"/>
      <c r="W404" s="77"/>
      <c r="X404" s="77"/>
      <c r="Y404" s="77"/>
      <c r="Z404" s="77"/>
      <c r="AA404" s="77"/>
      <c r="AB404" s="77"/>
      <c r="AC404" s="77"/>
      <c r="AD404" s="227"/>
      <c r="AE404" s="77"/>
      <c r="AF404" s="22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row>
    <row r="405">
      <c r="A405" s="77"/>
      <c r="B405" s="77"/>
      <c r="C405" s="77"/>
      <c r="D405" s="77"/>
      <c r="E405" s="188"/>
      <c r="F405" s="188"/>
      <c r="G405" s="188"/>
      <c r="H405" s="188"/>
      <c r="I405" s="188"/>
      <c r="J405" s="77"/>
      <c r="K405" s="77"/>
      <c r="L405" s="77"/>
      <c r="M405" s="77"/>
      <c r="N405" s="77"/>
      <c r="O405" s="77"/>
      <c r="P405" s="77"/>
      <c r="Q405" s="77"/>
      <c r="R405" s="77"/>
      <c r="S405" s="77"/>
      <c r="T405" s="77"/>
      <c r="U405" s="77"/>
      <c r="V405" s="77"/>
      <c r="W405" s="77"/>
      <c r="X405" s="77"/>
      <c r="Y405" s="77"/>
      <c r="Z405" s="77"/>
      <c r="AA405" s="77"/>
      <c r="AB405" s="77"/>
      <c r="AC405" s="77"/>
      <c r="AD405" s="227"/>
      <c r="AE405" s="77"/>
      <c r="AF405" s="22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row>
    <row r="406">
      <c r="A406" s="77"/>
      <c r="B406" s="77"/>
      <c r="C406" s="77"/>
      <c r="D406" s="77"/>
      <c r="E406" s="188"/>
      <c r="F406" s="188"/>
      <c r="G406" s="188"/>
      <c r="H406" s="188"/>
      <c r="I406" s="188"/>
      <c r="J406" s="77"/>
      <c r="K406" s="77"/>
      <c r="L406" s="77"/>
      <c r="M406" s="77"/>
      <c r="N406" s="77"/>
      <c r="O406" s="77"/>
      <c r="P406" s="77"/>
      <c r="Q406" s="77"/>
      <c r="R406" s="77"/>
      <c r="S406" s="77"/>
      <c r="T406" s="77"/>
      <c r="U406" s="77"/>
      <c r="V406" s="77"/>
      <c r="W406" s="77"/>
      <c r="X406" s="77"/>
      <c r="Y406" s="77"/>
      <c r="Z406" s="77"/>
      <c r="AA406" s="77"/>
      <c r="AB406" s="77"/>
      <c r="AC406" s="77"/>
      <c r="AD406" s="227"/>
      <c r="AE406" s="77"/>
      <c r="AF406" s="22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row>
    <row r="407">
      <c r="A407" s="77"/>
      <c r="B407" s="77"/>
      <c r="C407" s="77"/>
      <c r="D407" s="77"/>
      <c r="E407" s="188"/>
      <c r="F407" s="188"/>
      <c r="G407" s="188"/>
      <c r="H407" s="188"/>
      <c r="I407" s="188"/>
      <c r="J407" s="77"/>
      <c r="K407" s="77"/>
      <c r="L407" s="77"/>
      <c r="M407" s="77"/>
      <c r="N407" s="77"/>
      <c r="O407" s="77"/>
      <c r="P407" s="77"/>
      <c r="Q407" s="77"/>
      <c r="R407" s="77"/>
      <c r="S407" s="77"/>
      <c r="T407" s="77"/>
      <c r="U407" s="77"/>
      <c r="V407" s="77"/>
      <c r="W407" s="77"/>
      <c r="X407" s="77"/>
      <c r="Y407" s="77"/>
      <c r="Z407" s="77"/>
      <c r="AA407" s="77"/>
      <c r="AB407" s="77"/>
      <c r="AC407" s="77"/>
      <c r="AD407" s="227"/>
      <c r="AE407" s="77"/>
      <c r="AF407" s="22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row>
    <row r="408">
      <c r="A408" s="77"/>
      <c r="B408" s="77"/>
      <c r="C408" s="77"/>
      <c r="D408" s="77"/>
      <c r="E408" s="188"/>
      <c r="F408" s="188"/>
      <c r="G408" s="188"/>
      <c r="H408" s="188"/>
      <c r="I408" s="188"/>
      <c r="J408" s="77"/>
      <c r="K408" s="77"/>
      <c r="L408" s="77"/>
      <c r="M408" s="77"/>
      <c r="N408" s="77"/>
      <c r="O408" s="77"/>
      <c r="P408" s="77"/>
      <c r="Q408" s="77"/>
      <c r="R408" s="77"/>
      <c r="S408" s="77"/>
      <c r="T408" s="77"/>
      <c r="U408" s="77"/>
      <c r="V408" s="77"/>
      <c r="W408" s="77"/>
      <c r="X408" s="77"/>
      <c r="Y408" s="77"/>
      <c r="Z408" s="77"/>
      <c r="AA408" s="77"/>
      <c r="AB408" s="77"/>
      <c r="AC408" s="77"/>
      <c r="AD408" s="227"/>
      <c r="AE408" s="77"/>
      <c r="AF408" s="22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row>
    <row r="409">
      <c r="A409" s="77"/>
      <c r="B409" s="77"/>
      <c r="C409" s="77"/>
      <c r="D409" s="77"/>
      <c r="E409" s="188"/>
      <c r="F409" s="188"/>
      <c r="G409" s="188"/>
      <c r="H409" s="188"/>
      <c r="I409" s="188"/>
      <c r="J409" s="77"/>
      <c r="K409" s="77"/>
      <c r="L409" s="77"/>
      <c r="M409" s="77"/>
      <c r="N409" s="77"/>
      <c r="O409" s="77"/>
      <c r="P409" s="77"/>
      <c r="Q409" s="77"/>
      <c r="R409" s="77"/>
      <c r="S409" s="77"/>
      <c r="T409" s="77"/>
      <c r="U409" s="77"/>
      <c r="V409" s="77"/>
      <c r="W409" s="77"/>
      <c r="X409" s="77"/>
      <c r="Y409" s="77"/>
      <c r="Z409" s="77"/>
      <c r="AA409" s="77"/>
      <c r="AB409" s="77"/>
      <c r="AC409" s="77"/>
      <c r="AD409" s="227"/>
      <c r="AE409" s="77"/>
      <c r="AF409" s="22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row>
    <row r="410">
      <c r="A410" s="77"/>
      <c r="B410" s="77"/>
      <c r="C410" s="77"/>
      <c r="D410" s="77"/>
      <c r="E410" s="188"/>
      <c r="F410" s="188"/>
      <c r="G410" s="188"/>
      <c r="H410" s="188"/>
      <c r="I410" s="188"/>
      <c r="J410" s="77"/>
      <c r="K410" s="77"/>
      <c r="L410" s="77"/>
      <c r="M410" s="77"/>
      <c r="N410" s="77"/>
      <c r="O410" s="77"/>
      <c r="P410" s="77"/>
      <c r="Q410" s="77"/>
      <c r="R410" s="77"/>
      <c r="S410" s="77"/>
      <c r="T410" s="77"/>
      <c r="U410" s="77"/>
      <c r="V410" s="77"/>
      <c r="W410" s="77"/>
      <c r="X410" s="77"/>
      <c r="Y410" s="77"/>
      <c r="Z410" s="77"/>
      <c r="AA410" s="77"/>
      <c r="AB410" s="77"/>
      <c r="AC410" s="77"/>
      <c r="AD410" s="227"/>
      <c r="AE410" s="77"/>
      <c r="AF410" s="22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row>
    <row r="411">
      <c r="A411" s="77"/>
      <c r="B411" s="77"/>
      <c r="C411" s="77"/>
      <c r="D411" s="77"/>
      <c r="E411" s="188"/>
      <c r="F411" s="188"/>
      <c r="G411" s="188"/>
      <c r="H411" s="188"/>
      <c r="I411" s="188"/>
      <c r="J411" s="77"/>
      <c r="K411" s="77"/>
      <c r="L411" s="77"/>
      <c r="M411" s="77"/>
      <c r="N411" s="77"/>
      <c r="O411" s="77"/>
      <c r="P411" s="77"/>
      <c r="Q411" s="77"/>
      <c r="R411" s="77"/>
      <c r="S411" s="77"/>
      <c r="T411" s="77"/>
      <c r="U411" s="77"/>
      <c r="V411" s="77"/>
      <c r="W411" s="77"/>
      <c r="X411" s="77"/>
      <c r="Y411" s="77"/>
      <c r="Z411" s="77"/>
      <c r="AA411" s="77"/>
      <c r="AB411" s="77"/>
      <c r="AC411" s="77"/>
      <c r="AD411" s="227"/>
      <c r="AE411" s="77"/>
      <c r="AF411" s="22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row>
    <row r="412">
      <c r="A412" s="77"/>
      <c r="B412" s="77"/>
      <c r="C412" s="77"/>
      <c r="D412" s="77"/>
      <c r="E412" s="188"/>
      <c r="F412" s="188"/>
      <c r="G412" s="188"/>
      <c r="H412" s="188"/>
      <c r="I412" s="188"/>
      <c r="J412" s="77"/>
      <c r="K412" s="77"/>
      <c r="L412" s="77"/>
      <c r="M412" s="77"/>
      <c r="N412" s="77"/>
      <c r="O412" s="77"/>
      <c r="P412" s="77"/>
      <c r="Q412" s="77"/>
      <c r="R412" s="77"/>
      <c r="S412" s="77"/>
      <c r="T412" s="77"/>
      <c r="U412" s="77"/>
      <c r="V412" s="77"/>
      <c r="W412" s="77"/>
      <c r="X412" s="77"/>
      <c r="Y412" s="77"/>
      <c r="Z412" s="77"/>
      <c r="AA412" s="77"/>
      <c r="AB412" s="77"/>
      <c r="AC412" s="77"/>
      <c r="AD412" s="227"/>
      <c r="AE412" s="77"/>
      <c r="AF412" s="22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row>
    <row r="413">
      <c r="A413" s="77"/>
      <c r="B413" s="77"/>
      <c r="C413" s="77"/>
      <c r="D413" s="77"/>
      <c r="E413" s="188"/>
      <c r="F413" s="188"/>
      <c r="G413" s="188"/>
      <c r="H413" s="188"/>
      <c r="I413" s="188"/>
      <c r="J413" s="77"/>
      <c r="K413" s="77"/>
      <c r="L413" s="77"/>
      <c r="M413" s="77"/>
      <c r="N413" s="77"/>
      <c r="O413" s="77"/>
      <c r="P413" s="77"/>
      <c r="Q413" s="77"/>
      <c r="R413" s="77"/>
      <c r="S413" s="77"/>
      <c r="T413" s="77"/>
      <c r="U413" s="77"/>
      <c r="V413" s="77"/>
      <c r="W413" s="77"/>
      <c r="X413" s="77"/>
      <c r="Y413" s="77"/>
      <c r="Z413" s="77"/>
      <c r="AA413" s="77"/>
      <c r="AB413" s="77"/>
      <c r="AC413" s="77"/>
      <c r="AD413" s="227"/>
      <c r="AE413" s="77"/>
      <c r="AF413" s="22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row>
    <row r="414">
      <c r="A414" s="77"/>
      <c r="B414" s="77"/>
      <c r="C414" s="77"/>
      <c r="D414" s="77"/>
      <c r="E414" s="188"/>
      <c r="F414" s="188"/>
      <c r="G414" s="188"/>
      <c r="H414" s="188"/>
      <c r="I414" s="188"/>
      <c r="J414" s="77"/>
      <c r="K414" s="77"/>
      <c r="L414" s="77"/>
      <c r="M414" s="77"/>
      <c r="N414" s="77"/>
      <c r="O414" s="77"/>
      <c r="P414" s="77"/>
      <c r="Q414" s="77"/>
      <c r="R414" s="77"/>
      <c r="S414" s="77"/>
      <c r="T414" s="77"/>
      <c r="U414" s="77"/>
      <c r="V414" s="77"/>
      <c r="W414" s="77"/>
      <c r="X414" s="77"/>
      <c r="Y414" s="77"/>
      <c r="Z414" s="77"/>
      <c r="AA414" s="77"/>
      <c r="AB414" s="77"/>
      <c r="AC414" s="77"/>
      <c r="AD414" s="227"/>
      <c r="AE414" s="77"/>
      <c r="AF414" s="227"/>
      <c r="AG414" s="77"/>
      <c r="AH414" s="77"/>
      <c r="AI414" s="77"/>
      <c r="AJ414" s="77"/>
      <c r="AK414" s="77"/>
      <c r="AL414" s="77"/>
      <c r="AM414" s="77"/>
      <c r="AN414" s="77"/>
      <c r="AO414" s="77"/>
      <c r="AP414" s="77"/>
      <c r="AQ414" s="77"/>
      <c r="AR414" s="77"/>
      <c r="AS414" s="77"/>
      <c r="AT414" s="77"/>
      <c r="AU414" s="77"/>
      <c r="AV414" s="77"/>
      <c r="AW414" s="77"/>
      <c r="AX414" s="77"/>
      <c r="AY414" s="77"/>
      <c r="AZ414" s="77"/>
      <c r="BA414" s="77"/>
      <c r="BB414" s="77"/>
      <c r="BC414" s="77"/>
      <c r="BD414" s="77"/>
      <c r="BE414" s="77"/>
    </row>
    <row r="415">
      <c r="A415" s="77"/>
      <c r="B415" s="77"/>
      <c r="C415" s="77"/>
      <c r="D415" s="77"/>
      <c r="E415" s="188"/>
      <c r="F415" s="188"/>
      <c r="G415" s="188"/>
      <c r="H415" s="188"/>
      <c r="I415" s="188"/>
      <c r="J415" s="77"/>
      <c r="K415" s="77"/>
      <c r="L415" s="77"/>
      <c r="M415" s="77"/>
      <c r="N415" s="77"/>
      <c r="O415" s="77"/>
      <c r="P415" s="77"/>
      <c r="Q415" s="77"/>
      <c r="R415" s="77"/>
      <c r="S415" s="77"/>
      <c r="T415" s="77"/>
      <c r="U415" s="77"/>
      <c r="V415" s="77"/>
      <c r="W415" s="77"/>
      <c r="X415" s="77"/>
      <c r="Y415" s="77"/>
      <c r="Z415" s="77"/>
      <c r="AA415" s="77"/>
      <c r="AB415" s="77"/>
      <c r="AC415" s="77"/>
      <c r="AD415" s="227"/>
      <c r="AE415" s="77"/>
      <c r="AF415" s="227"/>
      <c r="AG415" s="77"/>
      <c r="AH415" s="77"/>
      <c r="AI415" s="77"/>
      <c r="AJ415" s="77"/>
      <c r="AK415" s="77"/>
      <c r="AL415" s="77"/>
      <c r="AM415" s="77"/>
      <c r="AN415" s="77"/>
      <c r="AO415" s="77"/>
      <c r="AP415" s="77"/>
      <c r="AQ415" s="77"/>
      <c r="AR415" s="77"/>
      <c r="AS415" s="77"/>
      <c r="AT415" s="77"/>
      <c r="AU415" s="77"/>
      <c r="AV415" s="77"/>
      <c r="AW415" s="77"/>
      <c r="AX415" s="77"/>
      <c r="AY415" s="77"/>
      <c r="AZ415" s="77"/>
      <c r="BA415" s="77"/>
      <c r="BB415" s="77"/>
      <c r="BC415" s="77"/>
      <c r="BD415" s="77"/>
      <c r="BE415" s="77"/>
    </row>
    <row r="416">
      <c r="A416" s="77"/>
      <c r="B416" s="77"/>
      <c r="C416" s="77"/>
      <c r="D416" s="77"/>
      <c r="E416" s="188"/>
      <c r="F416" s="188"/>
      <c r="G416" s="188"/>
      <c r="H416" s="188"/>
      <c r="I416" s="188"/>
      <c r="J416" s="77"/>
      <c r="K416" s="77"/>
      <c r="L416" s="77"/>
      <c r="M416" s="77"/>
      <c r="N416" s="77"/>
      <c r="O416" s="77"/>
      <c r="P416" s="77"/>
      <c r="Q416" s="77"/>
      <c r="R416" s="77"/>
      <c r="S416" s="77"/>
      <c r="T416" s="77"/>
      <c r="U416" s="77"/>
      <c r="V416" s="77"/>
      <c r="W416" s="77"/>
      <c r="X416" s="77"/>
      <c r="Y416" s="77"/>
      <c r="Z416" s="77"/>
      <c r="AA416" s="77"/>
      <c r="AB416" s="77"/>
      <c r="AC416" s="77"/>
      <c r="AD416" s="227"/>
      <c r="AE416" s="77"/>
      <c r="AF416" s="227"/>
      <c r="AG416" s="77"/>
      <c r="AH416" s="77"/>
      <c r="AI416" s="77"/>
      <c r="AJ416" s="77"/>
      <c r="AK416" s="77"/>
      <c r="AL416" s="77"/>
      <c r="AM416" s="77"/>
      <c r="AN416" s="77"/>
      <c r="AO416" s="77"/>
      <c r="AP416" s="77"/>
      <c r="AQ416" s="77"/>
      <c r="AR416" s="77"/>
      <c r="AS416" s="77"/>
      <c r="AT416" s="77"/>
      <c r="AU416" s="77"/>
      <c r="AV416" s="77"/>
      <c r="AW416" s="77"/>
      <c r="AX416" s="77"/>
      <c r="AY416" s="77"/>
      <c r="AZ416" s="77"/>
      <c r="BA416" s="77"/>
      <c r="BB416" s="77"/>
      <c r="BC416" s="77"/>
      <c r="BD416" s="77"/>
      <c r="BE416" s="77"/>
    </row>
    <row r="417">
      <c r="A417" s="77"/>
      <c r="B417" s="77"/>
      <c r="C417" s="77"/>
      <c r="D417" s="77"/>
      <c r="E417" s="188"/>
      <c r="F417" s="188"/>
      <c r="G417" s="188"/>
      <c r="H417" s="188"/>
      <c r="I417" s="188"/>
      <c r="J417" s="77"/>
      <c r="K417" s="77"/>
      <c r="L417" s="77"/>
      <c r="M417" s="77"/>
      <c r="N417" s="77"/>
      <c r="O417" s="77"/>
      <c r="P417" s="77"/>
      <c r="Q417" s="77"/>
      <c r="R417" s="77"/>
      <c r="S417" s="77"/>
      <c r="T417" s="77"/>
      <c r="U417" s="77"/>
      <c r="V417" s="77"/>
      <c r="W417" s="77"/>
      <c r="X417" s="77"/>
      <c r="Y417" s="77"/>
      <c r="Z417" s="77"/>
      <c r="AA417" s="77"/>
      <c r="AB417" s="77"/>
      <c r="AC417" s="77"/>
      <c r="AD417" s="227"/>
      <c r="AE417" s="77"/>
      <c r="AF417" s="227"/>
      <c r="AG417" s="77"/>
      <c r="AH417" s="77"/>
      <c r="AI417" s="77"/>
      <c r="AJ417" s="77"/>
      <c r="AK417" s="77"/>
      <c r="AL417" s="77"/>
      <c r="AM417" s="77"/>
      <c r="AN417" s="77"/>
      <c r="AO417" s="77"/>
      <c r="AP417" s="77"/>
      <c r="AQ417" s="77"/>
      <c r="AR417" s="77"/>
      <c r="AS417" s="77"/>
      <c r="AT417" s="77"/>
      <c r="AU417" s="77"/>
      <c r="AV417" s="77"/>
      <c r="AW417" s="77"/>
      <c r="AX417" s="77"/>
      <c r="AY417" s="77"/>
      <c r="AZ417" s="77"/>
      <c r="BA417" s="77"/>
      <c r="BB417" s="77"/>
      <c r="BC417" s="77"/>
      <c r="BD417" s="77"/>
      <c r="BE417" s="77"/>
    </row>
    <row r="418">
      <c r="A418" s="77"/>
      <c r="B418" s="77"/>
      <c r="C418" s="77"/>
      <c r="D418" s="77"/>
      <c r="E418" s="188"/>
      <c r="F418" s="188"/>
      <c r="G418" s="188"/>
      <c r="H418" s="188"/>
      <c r="I418" s="188"/>
      <c r="J418" s="77"/>
      <c r="K418" s="77"/>
      <c r="L418" s="77"/>
      <c r="M418" s="77"/>
      <c r="N418" s="77"/>
      <c r="O418" s="77"/>
      <c r="P418" s="77"/>
      <c r="Q418" s="77"/>
      <c r="R418" s="77"/>
      <c r="S418" s="77"/>
      <c r="T418" s="77"/>
      <c r="U418" s="77"/>
      <c r="V418" s="77"/>
      <c r="W418" s="77"/>
      <c r="X418" s="77"/>
      <c r="Y418" s="77"/>
      <c r="Z418" s="77"/>
      <c r="AA418" s="77"/>
      <c r="AB418" s="77"/>
      <c r="AC418" s="77"/>
      <c r="AD418" s="227"/>
      <c r="AE418" s="77"/>
      <c r="AF418" s="227"/>
      <c r="AG418" s="77"/>
      <c r="AH418" s="77"/>
      <c r="AI418" s="77"/>
      <c r="AJ418" s="77"/>
      <c r="AK418" s="77"/>
      <c r="AL418" s="77"/>
      <c r="AM418" s="77"/>
      <c r="AN418" s="77"/>
      <c r="AO418" s="77"/>
      <c r="AP418" s="77"/>
      <c r="AQ418" s="77"/>
      <c r="AR418" s="77"/>
      <c r="AS418" s="77"/>
      <c r="AT418" s="77"/>
      <c r="AU418" s="77"/>
      <c r="AV418" s="77"/>
      <c r="AW418" s="77"/>
      <c r="AX418" s="77"/>
      <c r="AY418" s="77"/>
      <c r="AZ418" s="77"/>
      <c r="BA418" s="77"/>
      <c r="BB418" s="77"/>
      <c r="BC418" s="77"/>
      <c r="BD418" s="77"/>
      <c r="BE418" s="77"/>
    </row>
    <row r="419">
      <c r="A419" s="77"/>
      <c r="B419" s="77"/>
      <c r="C419" s="77"/>
      <c r="D419" s="77"/>
      <c r="E419" s="188"/>
      <c r="F419" s="188"/>
      <c r="G419" s="188"/>
      <c r="H419" s="188"/>
      <c r="I419" s="188"/>
      <c r="J419" s="77"/>
      <c r="K419" s="77"/>
      <c r="L419" s="77"/>
      <c r="M419" s="77"/>
      <c r="N419" s="77"/>
      <c r="O419" s="77"/>
      <c r="P419" s="77"/>
      <c r="Q419" s="77"/>
      <c r="R419" s="77"/>
      <c r="S419" s="77"/>
      <c r="T419" s="77"/>
      <c r="U419" s="77"/>
      <c r="V419" s="77"/>
      <c r="W419" s="77"/>
      <c r="X419" s="77"/>
      <c r="Y419" s="77"/>
      <c r="Z419" s="77"/>
      <c r="AA419" s="77"/>
      <c r="AB419" s="77"/>
      <c r="AC419" s="77"/>
      <c r="AD419" s="227"/>
      <c r="AE419" s="77"/>
      <c r="AF419" s="227"/>
      <c r="AG419" s="77"/>
      <c r="AH419" s="77"/>
      <c r="AI419" s="77"/>
      <c r="AJ419" s="77"/>
      <c r="AK419" s="77"/>
      <c r="AL419" s="77"/>
      <c r="AM419" s="77"/>
      <c r="AN419" s="77"/>
      <c r="AO419" s="77"/>
      <c r="AP419" s="77"/>
      <c r="AQ419" s="77"/>
      <c r="AR419" s="77"/>
      <c r="AS419" s="77"/>
      <c r="AT419" s="77"/>
      <c r="AU419" s="77"/>
      <c r="AV419" s="77"/>
      <c r="AW419" s="77"/>
      <c r="AX419" s="77"/>
      <c r="AY419" s="77"/>
      <c r="AZ419" s="77"/>
      <c r="BA419" s="77"/>
      <c r="BB419" s="77"/>
      <c r="BC419" s="77"/>
      <c r="BD419" s="77"/>
      <c r="BE419" s="77"/>
    </row>
    <row r="420">
      <c r="A420" s="77"/>
      <c r="B420" s="77"/>
      <c r="C420" s="77"/>
      <c r="D420" s="77"/>
      <c r="E420" s="188"/>
      <c r="F420" s="188"/>
      <c r="G420" s="188"/>
      <c r="H420" s="188"/>
      <c r="I420" s="188"/>
      <c r="J420" s="77"/>
      <c r="K420" s="77"/>
      <c r="L420" s="77"/>
      <c r="M420" s="77"/>
      <c r="N420" s="77"/>
      <c r="O420" s="77"/>
      <c r="P420" s="77"/>
      <c r="Q420" s="77"/>
      <c r="R420" s="77"/>
      <c r="S420" s="77"/>
      <c r="T420" s="77"/>
      <c r="U420" s="77"/>
      <c r="V420" s="77"/>
      <c r="W420" s="77"/>
      <c r="X420" s="77"/>
      <c r="Y420" s="77"/>
      <c r="Z420" s="77"/>
      <c r="AA420" s="77"/>
      <c r="AB420" s="77"/>
      <c r="AC420" s="77"/>
      <c r="AD420" s="227"/>
      <c r="AE420" s="77"/>
      <c r="AF420" s="227"/>
      <c r="AG420" s="77"/>
      <c r="AH420" s="77"/>
      <c r="AI420" s="77"/>
      <c r="AJ420" s="77"/>
      <c r="AK420" s="77"/>
      <c r="AL420" s="77"/>
      <c r="AM420" s="77"/>
      <c r="AN420" s="77"/>
      <c r="AO420" s="77"/>
      <c r="AP420" s="77"/>
      <c r="AQ420" s="77"/>
      <c r="AR420" s="77"/>
      <c r="AS420" s="77"/>
      <c r="AT420" s="77"/>
      <c r="AU420" s="77"/>
      <c r="AV420" s="77"/>
      <c r="AW420" s="77"/>
      <c r="AX420" s="77"/>
      <c r="AY420" s="77"/>
      <c r="AZ420" s="77"/>
      <c r="BA420" s="77"/>
      <c r="BB420" s="77"/>
      <c r="BC420" s="77"/>
      <c r="BD420" s="77"/>
      <c r="BE420" s="77"/>
    </row>
    <row r="421">
      <c r="A421" s="77"/>
      <c r="B421" s="77"/>
      <c r="C421" s="77"/>
      <c r="D421" s="77"/>
      <c r="E421" s="188"/>
      <c r="F421" s="188"/>
      <c r="G421" s="188"/>
      <c r="H421" s="188"/>
      <c r="I421" s="188"/>
      <c r="J421" s="77"/>
      <c r="K421" s="77"/>
      <c r="L421" s="77"/>
      <c r="M421" s="77"/>
      <c r="N421" s="77"/>
      <c r="O421" s="77"/>
      <c r="P421" s="77"/>
      <c r="Q421" s="77"/>
      <c r="R421" s="77"/>
      <c r="S421" s="77"/>
      <c r="T421" s="77"/>
      <c r="U421" s="77"/>
      <c r="V421" s="77"/>
      <c r="W421" s="77"/>
      <c r="X421" s="77"/>
      <c r="Y421" s="77"/>
      <c r="Z421" s="77"/>
      <c r="AA421" s="77"/>
      <c r="AB421" s="77"/>
      <c r="AC421" s="77"/>
      <c r="AD421" s="227"/>
      <c r="AE421" s="77"/>
      <c r="AF421" s="227"/>
      <c r="AG421" s="77"/>
      <c r="AH421" s="77"/>
      <c r="AI421" s="77"/>
      <c r="AJ421" s="77"/>
      <c r="AK421" s="77"/>
      <c r="AL421" s="77"/>
      <c r="AM421" s="77"/>
      <c r="AN421" s="77"/>
      <c r="AO421" s="77"/>
      <c r="AP421" s="77"/>
      <c r="AQ421" s="77"/>
      <c r="AR421" s="77"/>
      <c r="AS421" s="77"/>
      <c r="AT421" s="77"/>
      <c r="AU421" s="77"/>
      <c r="AV421" s="77"/>
      <c r="AW421" s="77"/>
      <c r="AX421" s="77"/>
      <c r="AY421" s="77"/>
      <c r="AZ421" s="77"/>
      <c r="BA421" s="77"/>
      <c r="BB421" s="77"/>
      <c r="BC421" s="77"/>
      <c r="BD421" s="77"/>
      <c r="BE421" s="77"/>
    </row>
    <row r="422">
      <c r="A422" s="77"/>
      <c r="B422" s="77"/>
      <c r="C422" s="77"/>
      <c r="D422" s="77"/>
      <c r="E422" s="188"/>
      <c r="F422" s="188"/>
      <c r="G422" s="188"/>
      <c r="H422" s="188"/>
      <c r="I422" s="188"/>
      <c r="J422" s="77"/>
      <c r="K422" s="77"/>
      <c r="L422" s="77"/>
      <c r="M422" s="77"/>
      <c r="N422" s="77"/>
      <c r="O422" s="77"/>
      <c r="P422" s="77"/>
      <c r="Q422" s="77"/>
      <c r="R422" s="77"/>
      <c r="S422" s="77"/>
      <c r="T422" s="77"/>
      <c r="U422" s="77"/>
      <c r="V422" s="77"/>
      <c r="W422" s="77"/>
      <c r="X422" s="77"/>
      <c r="Y422" s="77"/>
      <c r="Z422" s="77"/>
      <c r="AA422" s="77"/>
      <c r="AB422" s="77"/>
      <c r="AC422" s="77"/>
      <c r="AD422" s="227"/>
      <c r="AE422" s="77"/>
      <c r="AF422" s="227"/>
      <c r="AG422" s="77"/>
      <c r="AH422" s="77"/>
      <c r="AI422" s="77"/>
      <c r="AJ422" s="77"/>
      <c r="AK422" s="77"/>
      <c r="AL422" s="77"/>
      <c r="AM422" s="77"/>
      <c r="AN422" s="77"/>
      <c r="AO422" s="77"/>
      <c r="AP422" s="77"/>
      <c r="AQ422" s="77"/>
      <c r="AR422" s="77"/>
      <c r="AS422" s="77"/>
      <c r="AT422" s="77"/>
      <c r="AU422" s="77"/>
      <c r="AV422" s="77"/>
      <c r="AW422" s="77"/>
      <c r="AX422" s="77"/>
      <c r="AY422" s="77"/>
      <c r="AZ422" s="77"/>
      <c r="BA422" s="77"/>
      <c r="BB422" s="77"/>
      <c r="BC422" s="77"/>
      <c r="BD422" s="77"/>
      <c r="BE422" s="77"/>
    </row>
    <row r="423">
      <c r="A423" s="77"/>
      <c r="B423" s="77"/>
      <c r="C423" s="77"/>
      <c r="D423" s="77"/>
      <c r="E423" s="188"/>
      <c r="F423" s="188"/>
      <c r="G423" s="188"/>
      <c r="H423" s="188"/>
      <c r="I423" s="188"/>
      <c r="J423" s="77"/>
      <c r="K423" s="77"/>
      <c r="L423" s="77"/>
      <c r="M423" s="77"/>
      <c r="N423" s="77"/>
      <c r="O423" s="77"/>
      <c r="P423" s="77"/>
      <c r="Q423" s="77"/>
      <c r="R423" s="77"/>
      <c r="S423" s="77"/>
      <c r="T423" s="77"/>
      <c r="U423" s="77"/>
      <c r="V423" s="77"/>
      <c r="W423" s="77"/>
      <c r="X423" s="77"/>
      <c r="Y423" s="77"/>
      <c r="Z423" s="77"/>
      <c r="AA423" s="77"/>
      <c r="AB423" s="77"/>
      <c r="AC423" s="77"/>
      <c r="AD423" s="227"/>
      <c r="AE423" s="77"/>
      <c r="AF423" s="227"/>
      <c r="AG423" s="77"/>
      <c r="AH423" s="77"/>
      <c r="AI423" s="77"/>
      <c r="AJ423" s="77"/>
      <c r="AK423" s="77"/>
      <c r="AL423" s="77"/>
      <c r="AM423" s="77"/>
      <c r="AN423" s="77"/>
      <c r="AO423" s="77"/>
      <c r="AP423" s="77"/>
      <c r="AQ423" s="77"/>
      <c r="AR423" s="77"/>
      <c r="AS423" s="77"/>
      <c r="AT423" s="77"/>
      <c r="AU423" s="77"/>
      <c r="AV423" s="77"/>
      <c r="AW423" s="77"/>
      <c r="AX423" s="77"/>
      <c r="AY423" s="77"/>
      <c r="AZ423" s="77"/>
      <c r="BA423" s="77"/>
      <c r="BB423" s="77"/>
      <c r="BC423" s="77"/>
      <c r="BD423" s="77"/>
      <c r="BE423" s="77"/>
    </row>
    <row r="424">
      <c r="A424" s="77"/>
      <c r="B424" s="77"/>
      <c r="C424" s="77"/>
      <c r="D424" s="77"/>
      <c r="E424" s="188"/>
      <c r="F424" s="188"/>
      <c r="G424" s="188"/>
      <c r="H424" s="188"/>
      <c r="I424" s="188"/>
      <c r="J424" s="77"/>
      <c r="K424" s="77"/>
      <c r="L424" s="77"/>
      <c r="M424" s="77"/>
      <c r="N424" s="77"/>
      <c r="O424" s="77"/>
      <c r="P424" s="77"/>
      <c r="Q424" s="77"/>
      <c r="R424" s="77"/>
      <c r="S424" s="77"/>
      <c r="T424" s="77"/>
      <c r="U424" s="77"/>
      <c r="V424" s="77"/>
      <c r="W424" s="77"/>
      <c r="X424" s="77"/>
      <c r="Y424" s="77"/>
      <c r="Z424" s="77"/>
      <c r="AA424" s="77"/>
      <c r="AB424" s="77"/>
      <c r="AC424" s="77"/>
      <c r="AD424" s="227"/>
      <c r="AE424" s="77"/>
      <c r="AF424" s="227"/>
      <c r="AG424" s="77"/>
      <c r="AH424" s="77"/>
      <c r="AI424" s="77"/>
      <c r="AJ424" s="77"/>
      <c r="AK424" s="77"/>
      <c r="AL424" s="77"/>
      <c r="AM424" s="77"/>
      <c r="AN424" s="77"/>
      <c r="AO424" s="77"/>
      <c r="AP424" s="77"/>
      <c r="AQ424" s="77"/>
      <c r="AR424" s="77"/>
      <c r="AS424" s="77"/>
      <c r="AT424" s="77"/>
      <c r="AU424" s="77"/>
      <c r="AV424" s="77"/>
      <c r="AW424" s="77"/>
      <c r="AX424" s="77"/>
      <c r="AY424" s="77"/>
      <c r="AZ424" s="77"/>
      <c r="BA424" s="77"/>
      <c r="BB424" s="77"/>
      <c r="BC424" s="77"/>
      <c r="BD424" s="77"/>
      <c r="BE424" s="77"/>
    </row>
    <row r="425">
      <c r="A425" s="77"/>
      <c r="B425" s="77"/>
      <c r="C425" s="77"/>
      <c r="D425" s="77"/>
      <c r="E425" s="188"/>
      <c r="F425" s="188"/>
      <c r="G425" s="188"/>
      <c r="H425" s="188"/>
      <c r="I425" s="188"/>
      <c r="J425" s="77"/>
      <c r="K425" s="77"/>
      <c r="L425" s="77"/>
      <c r="M425" s="77"/>
      <c r="N425" s="77"/>
      <c r="O425" s="77"/>
      <c r="P425" s="77"/>
      <c r="Q425" s="77"/>
      <c r="R425" s="77"/>
      <c r="S425" s="77"/>
      <c r="T425" s="77"/>
      <c r="U425" s="77"/>
      <c r="V425" s="77"/>
      <c r="W425" s="77"/>
      <c r="X425" s="77"/>
      <c r="Y425" s="77"/>
      <c r="Z425" s="77"/>
      <c r="AA425" s="77"/>
      <c r="AB425" s="77"/>
      <c r="AC425" s="77"/>
      <c r="AD425" s="227"/>
      <c r="AE425" s="77"/>
      <c r="AF425" s="227"/>
      <c r="AG425" s="77"/>
      <c r="AH425" s="77"/>
      <c r="AI425" s="77"/>
      <c r="AJ425" s="77"/>
      <c r="AK425" s="77"/>
      <c r="AL425" s="77"/>
      <c r="AM425" s="77"/>
      <c r="AN425" s="77"/>
      <c r="AO425" s="77"/>
      <c r="AP425" s="77"/>
      <c r="AQ425" s="77"/>
      <c r="AR425" s="77"/>
      <c r="AS425" s="77"/>
      <c r="AT425" s="77"/>
      <c r="AU425" s="77"/>
      <c r="AV425" s="77"/>
      <c r="AW425" s="77"/>
      <c r="AX425" s="77"/>
      <c r="AY425" s="77"/>
      <c r="AZ425" s="77"/>
      <c r="BA425" s="77"/>
      <c r="BB425" s="77"/>
      <c r="BC425" s="77"/>
      <c r="BD425" s="77"/>
      <c r="BE425" s="77"/>
    </row>
    <row r="426">
      <c r="A426" s="77"/>
      <c r="B426" s="77"/>
      <c r="C426" s="77"/>
      <c r="D426" s="77"/>
      <c r="E426" s="188"/>
      <c r="F426" s="188"/>
      <c r="G426" s="188"/>
      <c r="H426" s="188"/>
      <c r="I426" s="188"/>
      <c r="J426" s="77"/>
      <c r="K426" s="77"/>
      <c r="L426" s="77"/>
      <c r="M426" s="77"/>
      <c r="N426" s="77"/>
      <c r="O426" s="77"/>
      <c r="P426" s="77"/>
      <c r="Q426" s="77"/>
      <c r="R426" s="77"/>
      <c r="S426" s="77"/>
      <c r="T426" s="77"/>
      <c r="U426" s="77"/>
      <c r="V426" s="77"/>
      <c r="W426" s="77"/>
      <c r="X426" s="77"/>
      <c r="Y426" s="77"/>
      <c r="Z426" s="77"/>
      <c r="AA426" s="77"/>
      <c r="AB426" s="77"/>
      <c r="AC426" s="77"/>
      <c r="AD426" s="227"/>
      <c r="AE426" s="77"/>
      <c r="AF426" s="227"/>
      <c r="AG426" s="77"/>
      <c r="AH426" s="77"/>
      <c r="AI426" s="77"/>
      <c r="AJ426" s="77"/>
      <c r="AK426" s="77"/>
      <c r="AL426" s="77"/>
      <c r="AM426" s="77"/>
      <c r="AN426" s="77"/>
      <c r="AO426" s="77"/>
      <c r="AP426" s="77"/>
      <c r="AQ426" s="77"/>
      <c r="AR426" s="77"/>
      <c r="AS426" s="77"/>
      <c r="AT426" s="77"/>
      <c r="AU426" s="77"/>
      <c r="AV426" s="77"/>
      <c r="AW426" s="77"/>
      <c r="AX426" s="77"/>
      <c r="AY426" s="77"/>
      <c r="AZ426" s="77"/>
      <c r="BA426" s="77"/>
      <c r="BB426" s="77"/>
      <c r="BC426" s="77"/>
      <c r="BD426" s="77"/>
      <c r="BE426" s="77"/>
    </row>
    <row r="427">
      <c r="A427" s="77"/>
      <c r="B427" s="77"/>
      <c r="C427" s="77"/>
      <c r="D427" s="77"/>
      <c r="E427" s="188"/>
      <c r="F427" s="188"/>
      <c r="G427" s="188"/>
      <c r="H427" s="188"/>
      <c r="I427" s="188"/>
      <c r="J427" s="77"/>
      <c r="K427" s="77"/>
      <c r="L427" s="77"/>
      <c r="M427" s="77"/>
      <c r="N427" s="77"/>
      <c r="O427" s="77"/>
      <c r="P427" s="77"/>
      <c r="Q427" s="77"/>
      <c r="R427" s="77"/>
      <c r="S427" s="77"/>
      <c r="T427" s="77"/>
      <c r="U427" s="77"/>
      <c r="V427" s="77"/>
      <c r="W427" s="77"/>
      <c r="X427" s="77"/>
      <c r="Y427" s="77"/>
      <c r="Z427" s="77"/>
      <c r="AA427" s="77"/>
      <c r="AB427" s="77"/>
      <c r="AC427" s="77"/>
      <c r="AD427" s="227"/>
      <c r="AE427" s="77"/>
      <c r="AF427" s="227"/>
      <c r="AG427" s="77"/>
      <c r="AH427" s="77"/>
      <c r="AI427" s="77"/>
      <c r="AJ427" s="77"/>
      <c r="AK427" s="77"/>
      <c r="AL427" s="77"/>
      <c r="AM427" s="77"/>
      <c r="AN427" s="77"/>
      <c r="AO427" s="77"/>
      <c r="AP427" s="77"/>
      <c r="AQ427" s="77"/>
      <c r="AR427" s="77"/>
      <c r="AS427" s="77"/>
      <c r="AT427" s="77"/>
      <c r="AU427" s="77"/>
      <c r="AV427" s="77"/>
      <c r="AW427" s="77"/>
      <c r="AX427" s="77"/>
      <c r="AY427" s="77"/>
      <c r="AZ427" s="77"/>
      <c r="BA427" s="77"/>
      <c r="BB427" s="77"/>
      <c r="BC427" s="77"/>
      <c r="BD427" s="77"/>
      <c r="BE427" s="77"/>
    </row>
    <row r="428">
      <c r="A428" s="77"/>
      <c r="B428" s="77"/>
      <c r="C428" s="77"/>
      <c r="D428" s="77"/>
      <c r="E428" s="188"/>
      <c r="F428" s="188"/>
      <c r="G428" s="188"/>
      <c r="H428" s="188"/>
      <c r="I428" s="188"/>
      <c r="J428" s="77"/>
      <c r="K428" s="77"/>
      <c r="L428" s="77"/>
      <c r="M428" s="77"/>
      <c r="N428" s="77"/>
      <c r="O428" s="77"/>
      <c r="P428" s="77"/>
      <c r="Q428" s="77"/>
      <c r="R428" s="77"/>
      <c r="S428" s="77"/>
      <c r="T428" s="77"/>
      <c r="U428" s="77"/>
      <c r="V428" s="77"/>
      <c r="W428" s="77"/>
      <c r="X428" s="77"/>
      <c r="Y428" s="77"/>
      <c r="Z428" s="77"/>
      <c r="AA428" s="77"/>
      <c r="AB428" s="77"/>
      <c r="AC428" s="77"/>
      <c r="AD428" s="227"/>
      <c r="AE428" s="77"/>
      <c r="AF428" s="227"/>
      <c r="AG428" s="77"/>
      <c r="AH428" s="77"/>
      <c r="AI428" s="77"/>
      <c r="AJ428" s="77"/>
      <c r="AK428" s="77"/>
      <c r="AL428" s="77"/>
      <c r="AM428" s="77"/>
      <c r="AN428" s="77"/>
      <c r="AO428" s="77"/>
      <c r="AP428" s="77"/>
      <c r="AQ428" s="77"/>
      <c r="AR428" s="77"/>
      <c r="AS428" s="77"/>
      <c r="AT428" s="77"/>
      <c r="AU428" s="77"/>
      <c r="AV428" s="77"/>
      <c r="AW428" s="77"/>
      <c r="AX428" s="77"/>
      <c r="AY428" s="77"/>
      <c r="AZ428" s="77"/>
      <c r="BA428" s="77"/>
      <c r="BB428" s="77"/>
      <c r="BC428" s="77"/>
      <c r="BD428" s="77"/>
      <c r="BE428" s="77"/>
    </row>
    <row r="429">
      <c r="A429" s="77"/>
      <c r="B429" s="77"/>
      <c r="C429" s="77"/>
      <c r="D429" s="77"/>
      <c r="E429" s="188"/>
      <c r="F429" s="188"/>
      <c r="G429" s="188"/>
      <c r="H429" s="188"/>
      <c r="I429" s="188"/>
      <c r="J429" s="77"/>
      <c r="K429" s="77"/>
      <c r="L429" s="77"/>
      <c r="M429" s="77"/>
      <c r="N429" s="77"/>
      <c r="O429" s="77"/>
      <c r="P429" s="77"/>
      <c r="Q429" s="77"/>
      <c r="R429" s="77"/>
      <c r="S429" s="77"/>
      <c r="T429" s="77"/>
      <c r="U429" s="77"/>
      <c r="V429" s="77"/>
      <c r="W429" s="77"/>
      <c r="X429" s="77"/>
      <c r="Y429" s="77"/>
      <c r="Z429" s="77"/>
      <c r="AA429" s="77"/>
      <c r="AB429" s="77"/>
      <c r="AC429" s="77"/>
      <c r="AD429" s="227"/>
      <c r="AE429" s="77"/>
      <c r="AF429" s="227"/>
      <c r="AG429" s="77"/>
      <c r="AH429" s="77"/>
      <c r="AI429" s="77"/>
      <c r="AJ429" s="77"/>
      <c r="AK429" s="77"/>
      <c r="AL429" s="77"/>
      <c r="AM429" s="77"/>
      <c r="AN429" s="77"/>
      <c r="AO429" s="77"/>
      <c r="AP429" s="77"/>
      <c r="AQ429" s="77"/>
      <c r="AR429" s="77"/>
      <c r="AS429" s="77"/>
      <c r="AT429" s="77"/>
      <c r="AU429" s="77"/>
      <c r="AV429" s="77"/>
      <c r="AW429" s="77"/>
      <c r="AX429" s="77"/>
      <c r="AY429" s="77"/>
      <c r="AZ429" s="77"/>
      <c r="BA429" s="77"/>
      <c r="BB429" s="77"/>
      <c r="BC429" s="77"/>
      <c r="BD429" s="77"/>
      <c r="BE429" s="77"/>
    </row>
    <row r="430">
      <c r="A430" s="77"/>
      <c r="B430" s="77"/>
      <c r="C430" s="77"/>
      <c r="D430" s="77"/>
      <c r="E430" s="188"/>
      <c r="F430" s="188"/>
      <c r="G430" s="188"/>
      <c r="H430" s="188"/>
      <c r="I430" s="188"/>
      <c r="J430" s="77"/>
      <c r="K430" s="77"/>
      <c r="L430" s="77"/>
      <c r="M430" s="77"/>
      <c r="N430" s="77"/>
      <c r="O430" s="77"/>
      <c r="P430" s="77"/>
      <c r="Q430" s="77"/>
      <c r="R430" s="77"/>
      <c r="S430" s="77"/>
      <c r="T430" s="77"/>
      <c r="U430" s="77"/>
      <c r="V430" s="77"/>
      <c r="W430" s="77"/>
      <c r="X430" s="77"/>
      <c r="Y430" s="77"/>
      <c r="Z430" s="77"/>
      <c r="AA430" s="77"/>
      <c r="AB430" s="77"/>
      <c r="AC430" s="77"/>
      <c r="AD430" s="227"/>
      <c r="AE430" s="77"/>
      <c r="AF430" s="227"/>
      <c r="AG430" s="77"/>
      <c r="AH430" s="77"/>
      <c r="AI430" s="77"/>
      <c r="AJ430" s="77"/>
      <c r="AK430" s="77"/>
      <c r="AL430" s="77"/>
      <c r="AM430" s="77"/>
      <c r="AN430" s="77"/>
      <c r="AO430" s="77"/>
      <c r="AP430" s="77"/>
      <c r="AQ430" s="77"/>
      <c r="AR430" s="77"/>
      <c r="AS430" s="77"/>
      <c r="AT430" s="77"/>
      <c r="AU430" s="77"/>
      <c r="AV430" s="77"/>
      <c r="AW430" s="77"/>
      <c r="AX430" s="77"/>
      <c r="AY430" s="77"/>
      <c r="AZ430" s="77"/>
      <c r="BA430" s="77"/>
      <c r="BB430" s="77"/>
      <c r="BC430" s="77"/>
      <c r="BD430" s="77"/>
      <c r="BE430" s="77"/>
    </row>
    <row r="431">
      <c r="A431" s="77"/>
      <c r="B431" s="77"/>
      <c r="C431" s="77"/>
      <c r="D431" s="77"/>
      <c r="E431" s="188"/>
      <c r="F431" s="188"/>
      <c r="G431" s="188"/>
      <c r="H431" s="188"/>
      <c r="I431" s="188"/>
      <c r="J431" s="77"/>
      <c r="K431" s="77"/>
      <c r="L431" s="77"/>
      <c r="M431" s="77"/>
      <c r="N431" s="77"/>
      <c r="O431" s="77"/>
      <c r="P431" s="77"/>
      <c r="Q431" s="77"/>
      <c r="R431" s="77"/>
      <c r="S431" s="77"/>
      <c r="T431" s="77"/>
      <c r="U431" s="77"/>
      <c r="V431" s="77"/>
      <c r="W431" s="77"/>
      <c r="X431" s="77"/>
      <c r="Y431" s="77"/>
      <c r="Z431" s="77"/>
      <c r="AA431" s="77"/>
      <c r="AB431" s="77"/>
      <c r="AC431" s="77"/>
      <c r="AD431" s="227"/>
      <c r="AE431" s="77"/>
      <c r="AF431" s="227"/>
      <c r="AG431" s="77"/>
      <c r="AH431" s="77"/>
      <c r="AI431" s="77"/>
      <c r="AJ431" s="77"/>
      <c r="AK431" s="77"/>
      <c r="AL431" s="77"/>
      <c r="AM431" s="77"/>
      <c r="AN431" s="77"/>
      <c r="AO431" s="77"/>
      <c r="AP431" s="77"/>
      <c r="AQ431" s="77"/>
      <c r="AR431" s="77"/>
      <c r="AS431" s="77"/>
      <c r="AT431" s="77"/>
      <c r="AU431" s="77"/>
      <c r="AV431" s="77"/>
      <c r="AW431" s="77"/>
      <c r="AX431" s="77"/>
      <c r="AY431" s="77"/>
      <c r="AZ431" s="77"/>
      <c r="BA431" s="77"/>
      <c r="BB431" s="77"/>
      <c r="BC431" s="77"/>
      <c r="BD431" s="77"/>
      <c r="BE431" s="77"/>
    </row>
    <row r="432">
      <c r="A432" s="77"/>
      <c r="B432" s="77"/>
      <c r="C432" s="77"/>
      <c r="D432" s="77"/>
      <c r="E432" s="188"/>
      <c r="F432" s="188"/>
      <c r="G432" s="188"/>
      <c r="H432" s="188"/>
      <c r="I432" s="188"/>
      <c r="J432" s="77"/>
      <c r="K432" s="77"/>
      <c r="L432" s="77"/>
      <c r="M432" s="77"/>
      <c r="N432" s="77"/>
      <c r="O432" s="77"/>
      <c r="P432" s="77"/>
      <c r="Q432" s="77"/>
      <c r="R432" s="77"/>
      <c r="S432" s="77"/>
      <c r="T432" s="77"/>
      <c r="U432" s="77"/>
      <c r="V432" s="77"/>
      <c r="W432" s="77"/>
      <c r="X432" s="77"/>
      <c r="Y432" s="77"/>
      <c r="Z432" s="77"/>
      <c r="AA432" s="77"/>
      <c r="AB432" s="77"/>
      <c r="AC432" s="77"/>
      <c r="AD432" s="227"/>
      <c r="AE432" s="77"/>
      <c r="AF432" s="227"/>
      <c r="AG432" s="77"/>
      <c r="AH432" s="77"/>
      <c r="AI432" s="77"/>
      <c r="AJ432" s="77"/>
      <c r="AK432" s="77"/>
      <c r="AL432" s="77"/>
      <c r="AM432" s="77"/>
      <c r="AN432" s="77"/>
      <c r="AO432" s="77"/>
      <c r="AP432" s="77"/>
      <c r="AQ432" s="77"/>
      <c r="AR432" s="77"/>
      <c r="AS432" s="77"/>
      <c r="AT432" s="77"/>
      <c r="AU432" s="77"/>
      <c r="AV432" s="77"/>
      <c r="AW432" s="77"/>
      <c r="AX432" s="77"/>
      <c r="AY432" s="77"/>
      <c r="AZ432" s="77"/>
      <c r="BA432" s="77"/>
      <c r="BB432" s="77"/>
      <c r="BC432" s="77"/>
      <c r="BD432" s="77"/>
      <c r="BE432" s="77"/>
    </row>
    <row r="433">
      <c r="A433" s="77"/>
      <c r="B433" s="77"/>
      <c r="C433" s="77"/>
      <c r="D433" s="77"/>
      <c r="E433" s="188"/>
      <c r="F433" s="188"/>
      <c r="G433" s="188"/>
      <c r="H433" s="188"/>
      <c r="I433" s="188"/>
      <c r="J433" s="77"/>
      <c r="K433" s="77"/>
      <c r="L433" s="77"/>
      <c r="M433" s="77"/>
      <c r="N433" s="77"/>
      <c r="O433" s="77"/>
      <c r="P433" s="77"/>
      <c r="Q433" s="77"/>
      <c r="R433" s="77"/>
      <c r="S433" s="77"/>
      <c r="T433" s="77"/>
      <c r="U433" s="77"/>
      <c r="V433" s="77"/>
      <c r="W433" s="77"/>
      <c r="X433" s="77"/>
      <c r="Y433" s="77"/>
      <c r="Z433" s="77"/>
      <c r="AA433" s="77"/>
      <c r="AB433" s="77"/>
      <c r="AC433" s="77"/>
      <c r="AD433" s="227"/>
      <c r="AE433" s="77"/>
      <c r="AF433" s="227"/>
      <c r="AG433" s="77"/>
      <c r="AH433" s="77"/>
      <c r="AI433" s="77"/>
      <c r="AJ433" s="77"/>
      <c r="AK433" s="77"/>
      <c r="AL433" s="77"/>
      <c r="AM433" s="77"/>
      <c r="AN433" s="77"/>
      <c r="AO433" s="77"/>
      <c r="AP433" s="77"/>
      <c r="AQ433" s="77"/>
      <c r="AR433" s="77"/>
      <c r="AS433" s="77"/>
      <c r="AT433" s="77"/>
      <c r="AU433" s="77"/>
      <c r="AV433" s="77"/>
      <c r="AW433" s="77"/>
      <c r="AX433" s="77"/>
      <c r="AY433" s="77"/>
      <c r="AZ433" s="77"/>
      <c r="BA433" s="77"/>
      <c r="BB433" s="77"/>
      <c r="BC433" s="77"/>
      <c r="BD433" s="77"/>
      <c r="BE433" s="77"/>
    </row>
    <row r="434">
      <c r="A434" s="77"/>
      <c r="B434" s="77"/>
      <c r="C434" s="77"/>
      <c r="D434" s="77"/>
      <c r="E434" s="188"/>
      <c r="F434" s="188"/>
      <c r="G434" s="188"/>
      <c r="H434" s="188"/>
      <c r="I434" s="188"/>
      <c r="J434" s="77"/>
      <c r="K434" s="77"/>
      <c r="L434" s="77"/>
      <c r="M434" s="77"/>
      <c r="N434" s="77"/>
      <c r="O434" s="77"/>
      <c r="P434" s="77"/>
      <c r="Q434" s="77"/>
      <c r="R434" s="77"/>
      <c r="S434" s="77"/>
      <c r="T434" s="77"/>
      <c r="U434" s="77"/>
      <c r="V434" s="77"/>
      <c r="W434" s="77"/>
      <c r="X434" s="77"/>
      <c r="Y434" s="77"/>
      <c r="Z434" s="77"/>
      <c r="AA434" s="77"/>
      <c r="AB434" s="77"/>
      <c r="AC434" s="77"/>
      <c r="AD434" s="227"/>
      <c r="AE434" s="77"/>
      <c r="AF434" s="227"/>
      <c r="AG434" s="77"/>
      <c r="AH434" s="77"/>
      <c r="AI434" s="77"/>
      <c r="AJ434" s="77"/>
      <c r="AK434" s="77"/>
      <c r="AL434" s="77"/>
      <c r="AM434" s="77"/>
      <c r="AN434" s="77"/>
      <c r="AO434" s="77"/>
      <c r="AP434" s="77"/>
      <c r="AQ434" s="77"/>
      <c r="AR434" s="77"/>
      <c r="AS434" s="77"/>
      <c r="AT434" s="77"/>
      <c r="AU434" s="77"/>
      <c r="AV434" s="77"/>
      <c r="AW434" s="77"/>
      <c r="AX434" s="77"/>
      <c r="AY434" s="77"/>
      <c r="AZ434" s="77"/>
      <c r="BA434" s="77"/>
      <c r="BB434" s="77"/>
      <c r="BC434" s="77"/>
      <c r="BD434" s="77"/>
      <c r="BE434" s="77"/>
    </row>
    <row r="435">
      <c r="A435" s="77"/>
      <c r="B435" s="77"/>
      <c r="C435" s="77"/>
      <c r="D435" s="77"/>
      <c r="E435" s="188"/>
      <c r="F435" s="188"/>
      <c r="G435" s="188"/>
      <c r="H435" s="188"/>
      <c r="I435" s="188"/>
      <c r="J435" s="77"/>
      <c r="K435" s="77"/>
      <c r="L435" s="77"/>
      <c r="M435" s="77"/>
      <c r="N435" s="77"/>
      <c r="O435" s="77"/>
      <c r="P435" s="77"/>
      <c r="Q435" s="77"/>
      <c r="R435" s="77"/>
      <c r="S435" s="77"/>
      <c r="T435" s="77"/>
      <c r="U435" s="77"/>
      <c r="V435" s="77"/>
      <c r="W435" s="77"/>
      <c r="X435" s="77"/>
      <c r="Y435" s="77"/>
      <c r="Z435" s="77"/>
      <c r="AA435" s="77"/>
      <c r="AB435" s="77"/>
      <c r="AC435" s="77"/>
      <c r="AD435" s="227"/>
      <c r="AE435" s="77"/>
      <c r="AF435" s="227"/>
      <c r="AG435" s="77"/>
      <c r="AH435" s="77"/>
      <c r="AI435" s="77"/>
      <c r="AJ435" s="77"/>
      <c r="AK435" s="77"/>
      <c r="AL435" s="77"/>
      <c r="AM435" s="77"/>
      <c r="AN435" s="77"/>
      <c r="AO435" s="77"/>
      <c r="AP435" s="77"/>
      <c r="AQ435" s="77"/>
      <c r="AR435" s="77"/>
      <c r="AS435" s="77"/>
      <c r="AT435" s="77"/>
      <c r="AU435" s="77"/>
      <c r="AV435" s="77"/>
      <c r="AW435" s="77"/>
      <c r="AX435" s="77"/>
      <c r="AY435" s="77"/>
      <c r="AZ435" s="77"/>
      <c r="BA435" s="77"/>
      <c r="BB435" s="77"/>
      <c r="BC435" s="77"/>
      <c r="BD435" s="77"/>
      <c r="BE435" s="77"/>
    </row>
    <row r="436">
      <c r="A436" s="77"/>
      <c r="B436" s="77"/>
      <c r="C436" s="77"/>
      <c r="D436" s="77"/>
      <c r="E436" s="188"/>
      <c r="F436" s="188"/>
      <c r="G436" s="188"/>
      <c r="H436" s="188"/>
      <c r="I436" s="188"/>
      <c r="J436" s="77"/>
      <c r="K436" s="77"/>
      <c r="L436" s="77"/>
      <c r="M436" s="77"/>
      <c r="N436" s="77"/>
      <c r="O436" s="77"/>
      <c r="P436" s="77"/>
      <c r="Q436" s="77"/>
      <c r="R436" s="77"/>
      <c r="S436" s="77"/>
      <c r="T436" s="77"/>
      <c r="U436" s="77"/>
      <c r="V436" s="77"/>
      <c r="W436" s="77"/>
      <c r="X436" s="77"/>
      <c r="Y436" s="77"/>
      <c r="Z436" s="77"/>
      <c r="AA436" s="77"/>
      <c r="AB436" s="77"/>
      <c r="AC436" s="77"/>
      <c r="AD436" s="227"/>
      <c r="AE436" s="77"/>
      <c r="AF436" s="227"/>
      <c r="AG436" s="77"/>
      <c r="AH436" s="77"/>
      <c r="AI436" s="77"/>
      <c r="AJ436" s="77"/>
      <c r="AK436" s="77"/>
      <c r="AL436" s="77"/>
      <c r="AM436" s="77"/>
      <c r="AN436" s="77"/>
      <c r="AO436" s="77"/>
      <c r="AP436" s="77"/>
      <c r="AQ436" s="77"/>
      <c r="AR436" s="77"/>
      <c r="AS436" s="77"/>
      <c r="AT436" s="77"/>
      <c r="AU436" s="77"/>
      <c r="AV436" s="77"/>
      <c r="AW436" s="77"/>
      <c r="AX436" s="77"/>
      <c r="AY436" s="77"/>
      <c r="AZ436" s="77"/>
      <c r="BA436" s="77"/>
      <c r="BB436" s="77"/>
      <c r="BC436" s="77"/>
      <c r="BD436" s="77"/>
      <c r="BE436" s="77"/>
    </row>
    <row r="437">
      <c r="A437" s="77"/>
      <c r="B437" s="77"/>
      <c r="C437" s="77"/>
      <c r="D437" s="77"/>
      <c r="E437" s="188"/>
      <c r="F437" s="188"/>
      <c r="G437" s="188"/>
      <c r="H437" s="188"/>
      <c r="I437" s="188"/>
      <c r="J437" s="77"/>
      <c r="K437" s="77"/>
      <c r="L437" s="77"/>
      <c r="M437" s="77"/>
      <c r="N437" s="77"/>
      <c r="O437" s="77"/>
      <c r="P437" s="77"/>
      <c r="Q437" s="77"/>
      <c r="R437" s="77"/>
      <c r="S437" s="77"/>
      <c r="T437" s="77"/>
      <c r="U437" s="77"/>
      <c r="V437" s="77"/>
      <c r="W437" s="77"/>
      <c r="X437" s="77"/>
      <c r="Y437" s="77"/>
      <c r="Z437" s="77"/>
      <c r="AA437" s="77"/>
      <c r="AB437" s="77"/>
      <c r="AC437" s="77"/>
      <c r="AD437" s="227"/>
      <c r="AE437" s="77"/>
      <c r="AF437" s="227"/>
      <c r="AG437" s="77"/>
      <c r="AH437" s="77"/>
      <c r="AI437" s="77"/>
      <c r="AJ437" s="77"/>
      <c r="AK437" s="77"/>
      <c r="AL437" s="77"/>
      <c r="AM437" s="77"/>
      <c r="AN437" s="77"/>
      <c r="AO437" s="77"/>
      <c r="AP437" s="77"/>
      <c r="AQ437" s="77"/>
      <c r="AR437" s="77"/>
      <c r="AS437" s="77"/>
      <c r="AT437" s="77"/>
      <c r="AU437" s="77"/>
      <c r="AV437" s="77"/>
      <c r="AW437" s="77"/>
      <c r="AX437" s="77"/>
      <c r="AY437" s="77"/>
      <c r="AZ437" s="77"/>
      <c r="BA437" s="77"/>
      <c r="BB437" s="77"/>
      <c r="BC437" s="77"/>
      <c r="BD437" s="77"/>
      <c r="BE437" s="77"/>
    </row>
    <row r="438">
      <c r="A438" s="77"/>
      <c r="B438" s="77"/>
      <c r="C438" s="77"/>
      <c r="D438" s="77"/>
      <c r="E438" s="188"/>
      <c r="F438" s="188"/>
      <c r="G438" s="188"/>
      <c r="H438" s="188"/>
      <c r="I438" s="188"/>
      <c r="J438" s="77"/>
      <c r="K438" s="77"/>
      <c r="L438" s="77"/>
      <c r="M438" s="77"/>
      <c r="N438" s="77"/>
      <c r="O438" s="77"/>
      <c r="P438" s="77"/>
      <c r="Q438" s="77"/>
      <c r="R438" s="77"/>
      <c r="S438" s="77"/>
      <c r="T438" s="77"/>
      <c r="U438" s="77"/>
      <c r="V438" s="77"/>
      <c r="W438" s="77"/>
      <c r="X438" s="77"/>
      <c r="Y438" s="77"/>
      <c r="Z438" s="77"/>
      <c r="AA438" s="77"/>
      <c r="AB438" s="77"/>
      <c r="AC438" s="77"/>
      <c r="AD438" s="227"/>
      <c r="AE438" s="77"/>
      <c r="AF438" s="227"/>
      <c r="AG438" s="77"/>
      <c r="AH438" s="77"/>
      <c r="AI438" s="77"/>
      <c r="AJ438" s="77"/>
      <c r="AK438" s="77"/>
      <c r="AL438" s="77"/>
      <c r="AM438" s="77"/>
      <c r="AN438" s="77"/>
      <c r="AO438" s="77"/>
      <c r="AP438" s="77"/>
      <c r="AQ438" s="77"/>
      <c r="AR438" s="77"/>
      <c r="AS438" s="77"/>
      <c r="AT438" s="77"/>
      <c r="AU438" s="77"/>
      <c r="AV438" s="77"/>
      <c r="AW438" s="77"/>
      <c r="AX438" s="77"/>
      <c r="AY438" s="77"/>
      <c r="AZ438" s="77"/>
      <c r="BA438" s="77"/>
      <c r="BB438" s="77"/>
      <c r="BC438" s="77"/>
      <c r="BD438" s="77"/>
      <c r="BE438" s="77"/>
    </row>
    <row r="439">
      <c r="A439" s="77"/>
      <c r="B439" s="77"/>
      <c r="C439" s="77"/>
      <c r="D439" s="77"/>
      <c r="E439" s="188"/>
      <c r="F439" s="188"/>
      <c r="G439" s="188"/>
      <c r="H439" s="188"/>
      <c r="I439" s="188"/>
      <c r="J439" s="77"/>
      <c r="K439" s="77"/>
      <c r="L439" s="77"/>
      <c r="M439" s="77"/>
      <c r="N439" s="77"/>
      <c r="O439" s="77"/>
      <c r="P439" s="77"/>
      <c r="Q439" s="77"/>
      <c r="R439" s="77"/>
      <c r="S439" s="77"/>
      <c r="T439" s="77"/>
      <c r="U439" s="77"/>
      <c r="V439" s="77"/>
      <c r="W439" s="77"/>
      <c r="X439" s="77"/>
      <c r="Y439" s="77"/>
      <c r="Z439" s="77"/>
      <c r="AA439" s="77"/>
      <c r="AB439" s="77"/>
      <c r="AC439" s="77"/>
      <c r="AD439" s="227"/>
      <c r="AE439" s="77"/>
      <c r="AF439" s="227"/>
      <c r="AG439" s="77"/>
      <c r="AH439" s="77"/>
      <c r="AI439" s="77"/>
      <c r="AJ439" s="77"/>
      <c r="AK439" s="77"/>
      <c r="AL439" s="77"/>
      <c r="AM439" s="77"/>
      <c r="AN439" s="77"/>
      <c r="AO439" s="77"/>
      <c r="AP439" s="77"/>
      <c r="AQ439" s="77"/>
      <c r="AR439" s="77"/>
      <c r="AS439" s="77"/>
      <c r="AT439" s="77"/>
      <c r="AU439" s="77"/>
      <c r="AV439" s="77"/>
      <c r="AW439" s="77"/>
      <c r="AX439" s="77"/>
      <c r="AY439" s="77"/>
      <c r="AZ439" s="77"/>
      <c r="BA439" s="77"/>
      <c r="BB439" s="77"/>
      <c r="BC439" s="77"/>
      <c r="BD439" s="77"/>
      <c r="BE439" s="77"/>
    </row>
    <row r="440">
      <c r="A440" s="77"/>
      <c r="B440" s="77"/>
      <c r="C440" s="77"/>
      <c r="D440" s="77"/>
      <c r="E440" s="188"/>
      <c r="F440" s="188"/>
      <c r="G440" s="188"/>
      <c r="H440" s="188"/>
      <c r="I440" s="188"/>
      <c r="J440" s="77"/>
      <c r="K440" s="77"/>
      <c r="L440" s="77"/>
      <c r="M440" s="77"/>
      <c r="N440" s="77"/>
      <c r="O440" s="77"/>
      <c r="P440" s="77"/>
      <c r="Q440" s="77"/>
      <c r="R440" s="77"/>
      <c r="S440" s="77"/>
      <c r="T440" s="77"/>
      <c r="U440" s="77"/>
      <c r="V440" s="77"/>
      <c r="W440" s="77"/>
      <c r="X440" s="77"/>
      <c r="Y440" s="77"/>
      <c r="Z440" s="77"/>
      <c r="AA440" s="77"/>
      <c r="AB440" s="77"/>
      <c r="AC440" s="77"/>
      <c r="AD440" s="227"/>
      <c r="AE440" s="77"/>
      <c r="AF440" s="227"/>
      <c r="AG440" s="77"/>
      <c r="AH440" s="77"/>
      <c r="AI440" s="77"/>
      <c r="AJ440" s="77"/>
      <c r="AK440" s="77"/>
      <c r="AL440" s="77"/>
      <c r="AM440" s="77"/>
      <c r="AN440" s="77"/>
      <c r="AO440" s="77"/>
      <c r="AP440" s="77"/>
      <c r="AQ440" s="77"/>
      <c r="AR440" s="77"/>
      <c r="AS440" s="77"/>
      <c r="AT440" s="77"/>
      <c r="AU440" s="77"/>
      <c r="AV440" s="77"/>
      <c r="AW440" s="77"/>
      <c r="AX440" s="77"/>
      <c r="AY440" s="77"/>
      <c r="AZ440" s="77"/>
      <c r="BA440" s="77"/>
      <c r="BB440" s="77"/>
      <c r="BC440" s="77"/>
      <c r="BD440" s="77"/>
      <c r="BE440" s="77"/>
    </row>
    <row r="441">
      <c r="A441" s="77"/>
      <c r="B441" s="77"/>
      <c r="C441" s="77"/>
      <c r="D441" s="77"/>
      <c r="E441" s="188"/>
      <c r="F441" s="188"/>
      <c r="G441" s="188"/>
      <c r="H441" s="188"/>
      <c r="I441" s="188"/>
      <c r="J441" s="77"/>
      <c r="K441" s="77"/>
      <c r="L441" s="77"/>
      <c r="M441" s="77"/>
      <c r="N441" s="77"/>
      <c r="O441" s="77"/>
      <c r="P441" s="77"/>
      <c r="Q441" s="77"/>
      <c r="R441" s="77"/>
      <c r="S441" s="77"/>
      <c r="T441" s="77"/>
      <c r="U441" s="77"/>
      <c r="V441" s="77"/>
      <c r="W441" s="77"/>
      <c r="X441" s="77"/>
      <c r="Y441" s="77"/>
      <c r="Z441" s="77"/>
      <c r="AA441" s="77"/>
      <c r="AB441" s="77"/>
      <c r="AC441" s="77"/>
      <c r="AD441" s="227"/>
      <c r="AE441" s="77"/>
      <c r="AF441" s="227"/>
      <c r="AG441" s="77"/>
      <c r="AH441" s="77"/>
      <c r="AI441" s="77"/>
      <c r="AJ441" s="77"/>
      <c r="AK441" s="77"/>
      <c r="AL441" s="77"/>
      <c r="AM441" s="77"/>
      <c r="AN441" s="77"/>
      <c r="AO441" s="77"/>
      <c r="AP441" s="77"/>
      <c r="AQ441" s="77"/>
      <c r="AR441" s="77"/>
      <c r="AS441" s="77"/>
      <c r="AT441" s="77"/>
      <c r="AU441" s="77"/>
      <c r="AV441" s="77"/>
      <c r="AW441" s="77"/>
      <c r="AX441" s="77"/>
      <c r="AY441" s="77"/>
      <c r="AZ441" s="77"/>
      <c r="BA441" s="77"/>
      <c r="BB441" s="77"/>
      <c r="BC441" s="77"/>
      <c r="BD441" s="77"/>
      <c r="BE441" s="77"/>
    </row>
    <row r="442">
      <c r="A442" s="77"/>
      <c r="B442" s="77"/>
      <c r="C442" s="77"/>
      <c r="D442" s="77"/>
      <c r="E442" s="188"/>
      <c r="F442" s="188"/>
      <c r="G442" s="188"/>
      <c r="H442" s="188"/>
      <c r="I442" s="188"/>
      <c r="J442" s="77"/>
      <c r="K442" s="77"/>
      <c r="L442" s="77"/>
      <c r="M442" s="77"/>
      <c r="N442" s="77"/>
      <c r="O442" s="77"/>
      <c r="P442" s="77"/>
      <c r="Q442" s="77"/>
      <c r="R442" s="77"/>
      <c r="S442" s="77"/>
      <c r="T442" s="77"/>
      <c r="U442" s="77"/>
      <c r="V442" s="77"/>
      <c r="W442" s="77"/>
      <c r="X442" s="77"/>
      <c r="Y442" s="77"/>
      <c r="Z442" s="77"/>
      <c r="AA442" s="77"/>
      <c r="AB442" s="77"/>
      <c r="AC442" s="77"/>
      <c r="AD442" s="227"/>
      <c r="AE442" s="77"/>
      <c r="AF442" s="227"/>
      <c r="AG442" s="77"/>
      <c r="AH442" s="77"/>
      <c r="AI442" s="77"/>
      <c r="AJ442" s="77"/>
      <c r="AK442" s="77"/>
      <c r="AL442" s="77"/>
      <c r="AM442" s="77"/>
      <c r="AN442" s="77"/>
      <c r="AO442" s="77"/>
      <c r="AP442" s="77"/>
      <c r="AQ442" s="77"/>
      <c r="AR442" s="77"/>
      <c r="AS442" s="77"/>
      <c r="AT442" s="77"/>
      <c r="AU442" s="77"/>
      <c r="AV442" s="77"/>
      <c r="AW442" s="77"/>
      <c r="AX442" s="77"/>
      <c r="AY442" s="77"/>
      <c r="AZ442" s="77"/>
      <c r="BA442" s="77"/>
      <c r="BB442" s="77"/>
      <c r="BC442" s="77"/>
      <c r="BD442" s="77"/>
      <c r="BE442" s="77"/>
    </row>
    <row r="443">
      <c r="A443" s="77"/>
      <c r="B443" s="77"/>
      <c r="C443" s="77"/>
      <c r="D443" s="77"/>
      <c r="E443" s="188"/>
      <c r="F443" s="188"/>
      <c r="G443" s="188"/>
      <c r="H443" s="188"/>
      <c r="I443" s="188"/>
      <c r="J443" s="77"/>
      <c r="K443" s="77"/>
      <c r="L443" s="77"/>
      <c r="M443" s="77"/>
      <c r="N443" s="77"/>
      <c r="O443" s="77"/>
      <c r="P443" s="77"/>
      <c r="Q443" s="77"/>
      <c r="R443" s="77"/>
      <c r="S443" s="77"/>
      <c r="T443" s="77"/>
      <c r="U443" s="77"/>
      <c r="V443" s="77"/>
      <c r="W443" s="77"/>
      <c r="X443" s="77"/>
      <c r="Y443" s="77"/>
      <c r="Z443" s="77"/>
      <c r="AA443" s="77"/>
      <c r="AB443" s="77"/>
      <c r="AC443" s="77"/>
      <c r="AD443" s="227"/>
      <c r="AE443" s="77"/>
      <c r="AF443" s="227"/>
      <c r="AG443" s="77"/>
      <c r="AH443" s="77"/>
      <c r="AI443" s="77"/>
      <c r="AJ443" s="77"/>
      <c r="AK443" s="77"/>
      <c r="AL443" s="77"/>
      <c r="AM443" s="77"/>
      <c r="AN443" s="77"/>
      <c r="AO443" s="77"/>
      <c r="AP443" s="77"/>
      <c r="AQ443" s="77"/>
      <c r="AR443" s="77"/>
      <c r="AS443" s="77"/>
      <c r="AT443" s="77"/>
      <c r="AU443" s="77"/>
      <c r="AV443" s="77"/>
      <c r="AW443" s="77"/>
      <c r="AX443" s="77"/>
      <c r="AY443" s="77"/>
      <c r="AZ443" s="77"/>
      <c r="BA443" s="77"/>
      <c r="BB443" s="77"/>
      <c r="BC443" s="77"/>
      <c r="BD443" s="77"/>
      <c r="BE443" s="77"/>
    </row>
    <row r="444">
      <c r="A444" s="77"/>
      <c r="B444" s="77"/>
      <c r="C444" s="77"/>
      <c r="D444" s="77"/>
      <c r="E444" s="188"/>
      <c r="F444" s="188"/>
      <c r="G444" s="188"/>
      <c r="H444" s="188"/>
      <c r="I444" s="188"/>
      <c r="J444" s="77"/>
      <c r="K444" s="77"/>
      <c r="L444" s="77"/>
      <c r="M444" s="77"/>
      <c r="N444" s="77"/>
      <c r="O444" s="77"/>
      <c r="P444" s="77"/>
      <c r="Q444" s="77"/>
      <c r="R444" s="77"/>
      <c r="S444" s="77"/>
      <c r="T444" s="77"/>
      <c r="U444" s="77"/>
      <c r="V444" s="77"/>
      <c r="W444" s="77"/>
      <c r="X444" s="77"/>
      <c r="Y444" s="77"/>
      <c r="Z444" s="77"/>
      <c r="AA444" s="77"/>
      <c r="AB444" s="77"/>
      <c r="AC444" s="77"/>
      <c r="AD444" s="227"/>
      <c r="AE444" s="77"/>
      <c r="AF444" s="227"/>
      <c r="AG444" s="77"/>
      <c r="AH444" s="77"/>
      <c r="AI444" s="77"/>
      <c r="AJ444" s="77"/>
      <c r="AK444" s="77"/>
      <c r="AL444" s="77"/>
      <c r="AM444" s="77"/>
      <c r="AN444" s="77"/>
      <c r="AO444" s="77"/>
      <c r="AP444" s="77"/>
      <c r="AQ444" s="77"/>
      <c r="AR444" s="77"/>
      <c r="AS444" s="77"/>
      <c r="AT444" s="77"/>
      <c r="AU444" s="77"/>
      <c r="AV444" s="77"/>
      <c r="AW444" s="77"/>
      <c r="AX444" s="77"/>
      <c r="AY444" s="77"/>
      <c r="AZ444" s="77"/>
      <c r="BA444" s="77"/>
      <c r="BB444" s="77"/>
      <c r="BC444" s="77"/>
      <c r="BD444" s="77"/>
      <c r="BE444" s="77"/>
    </row>
    <row r="445">
      <c r="A445" s="77"/>
      <c r="B445" s="77"/>
      <c r="C445" s="77"/>
      <c r="D445" s="77"/>
      <c r="E445" s="188"/>
      <c r="F445" s="188"/>
      <c r="G445" s="188"/>
      <c r="H445" s="188"/>
      <c r="I445" s="188"/>
      <c r="J445" s="77"/>
      <c r="K445" s="77"/>
      <c r="L445" s="77"/>
      <c r="M445" s="77"/>
      <c r="N445" s="77"/>
      <c r="O445" s="77"/>
      <c r="P445" s="77"/>
      <c r="Q445" s="77"/>
      <c r="R445" s="77"/>
      <c r="S445" s="77"/>
      <c r="T445" s="77"/>
      <c r="U445" s="77"/>
      <c r="V445" s="77"/>
      <c r="W445" s="77"/>
      <c r="X445" s="77"/>
      <c r="Y445" s="77"/>
      <c r="Z445" s="77"/>
      <c r="AA445" s="77"/>
      <c r="AB445" s="77"/>
      <c r="AC445" s="77"/>
      <c r="AD445" s="227"/>
      <c r="AE445" s="77"/>
      <c r="AF445" s="227"/>
      <c r="AG445" s="77"/>
      <c r="AH445" s="77"/>
      <c r="AI445" s="77"/>
      <c r="AJ445" s="77"/>
      <c r="AK445" s="77"/>
      <c r="AL445" s="77"/>
      <c r="AM445" s="77"/>
      <c r="AN445" s="77"/>
      <c r="AO445" s="77"/>
      <c r="AP445" s="77"/>
      <c r="AQ445" s="77"/>
      <c r="AR445" s="77"/>
      <c r="AS445" s="77"/>
      <c r="AT445" s="77"/>
      <c r="AU445" s="77"/>
      <c r="AV445" s="77"/>
      <c r="AW445" s="77"/>
      <c r="AX445" s="77"/>
      <c r="AY445" s="77"/>
      <c r="AZ445" s="77"/>
      <c r="BA445" s="77"/>
      <c r="BB445" s="77"/>
      <c r="BC445" s="77"/>
      <c r="BD445" s="77"/>
      <c r="BE445" s="77"/>
    </row>
    <row r="446">
      <c r="A446" s="77"/>
      <c r="B446" s="77"/>
      <c r="C446" s="77"/>
      <c r="D446" s="77"/>
      <c r="E446" s="188"/>
      <c r="F446" s="188"/>
      <c r="G446" s="188"/>
      <c r="H446" s="188"/>
      <c r="I446" s="188"/>
      <c r="J446" s="77"/>
      <c r="K446" s="77"/>
      <c r="L446" s="77"/>
      <c r="M446" s="77"/>
      <c r="N446" s="77"/>
      <c r="O446" s="77"/>
      <c r="P446" s="77"/>
      <c r="Q446" s="77"/>
      <c r="R446" s="77"/>
      <c r="S446" s="77"/>
      <c r="T446" s="77"/>
      <c r="U446" s="77"/>
      <c r="V446" s="77"/>
      <c r="W446" s="77"/>
      <c r="X446" s="77"/>
      <c r="Y446" s="77"/>
      <c r="Z446" s="77"/>
      <c r="AA446" s="77"/>
      <c r="AB446" s="77"/>
      <c r="AC446" s="77"/>
      <c r="AD446" s="227"/>
      <c r="AE446" s="77"/>
      <c r="AF446" s="227"/>
      <c r="AG446" s="77"/>
      <c r="AH446" s="77"/>
      <c r="AI446" s="77"/>
      <c r="AJ446" s="77"/>
      <c r="AK446" s="77"/>
      <c r="AL446" s="77"/>
      <c r="AM446" s="77"/>
      <c r="AN446" s="77"/>
      <c r="AO446" s="77"/>
      <c r="AP446" s="77"/>
      <c r="AQ446" s="77"/>
      <c r="AR446" s="77"/>
      <c r="AS446" s="77"/>
      <c r="AT446" s="77"/>
      <c r="AU446" s="77"/>
      <c r="AV446" s="77"/>
      <c r="AW446" s="77"/>
      <c r="AX446" s="77"/>
      <c r="AY446" s="77"/>
      <c r="AZ446" s="77"/>
      <c r="BA446" s="77"/>
      <c r="BB446" s="77"/>
      <c r="BC446" s="77"/>
      <c r="BD446" s="77"/>
      <c r="BE446" s="77"/>
    </row>
    <row r="447">
      <c r="A447" s="77"/>
      <c r="B447" s="77"/>
      <c r="C447" s="77"/>
      <c r="D447" s="77"/>
      <c r="E447" s="188"/>
      <c r="F447" s="188"/>
      <c r="G447" s="188"/>
      <c r="H447" s="188"/>
      <c r="I447" s="188"/>
      <c r="J447" s="77"/>
      <c r="K447" s="77"/>
      <c r="L447" s="77"/>
      <c r="M447" s="77"/>
      <c r="N447" s="77"/>
      <c r="O447" s="77"/>
      <c r="P447" s="77"/>
      <c r="Q447" s="77"/>
      <c r="R447" s="77"/>
      <c r="S447" s="77"/>
      <c r="T447" s="77"/>
      <c r="U447" s="77"/>
      <c r="V447" s="77"/>
      <c r="W447" s="77"/>
      <c r="X447" s="77"/>
      <c r="Y447" s="77"/>
      <c r="Z447" s="77"/>
      <c r="AA447" s="77"/>
      <c r="AB447" s="77"/>
      <c r="AC447" s="77"/>
      <c r="AD447" s="227"/>
      <c r="AE447" s="77"/>
      <c r="AF447" s="227"/>
      <c r="AG447" s="77"/>
      <c r="AH447" s="77"/>
      <c r="AI447" s="77"/>
      <c r="AJ447" s="77"/>
      <c r="AK447" s="77"/>
      <c r="AL447" s="77"/>
      <c r="AM447" s="77"/>
      <c r="AN447" s="77"/>
      <c r="AO447" s="77"/>
      <c r="AP447" s="77"/>
      <c r="AQ447" s="77"/>
      <c r="AR447" s="77"/>
      <c r="AS447" s="77"/>
      <c r="AT447" s="77"/>
      <c r="AU447" s="77"/>
      <c r="AV447" s="77"/>
      <c r="AW447" s="77"/>
      <c r="AX447" s="77"/>
      <c r="AY447" s="77"/>
      <c r="AZ447" s="77"/>
      <c r="BA447" s="77"/>
      <c r="BB447" s="77"/>
      <c r="BC447" s="77"/>
      <c r="BD447" s="77"/>
      <c r="BE447" s="77"/>
    </row>
    <row r="448">
      <c r="A448" s="77"/>
      <c r="B448" s="77"/>
      <c r="C448" s="77"/>
      <c r="D448" s="77"/>
      <c r="E448" s="188"/>
      <c r="F448" s="188"/>
      <c r="G448" s="188"/>
      <c r="H448" s="188"/>
      <c r="I448" s="188"/>
      <c r="J448" s="77"/>
      <c r="K448" s="77"/>
      <c r="L448" s="77"/>
      <c r="M448" s="77"/>
      <c r="N448" s="77"/>
      <c r="O448" s="77"/>
      <c r="P448" s="77"/>
      <c r="Q448" s="77"/>
      <c r="R448" s="77"/>
      <c r="S448" s="77"/>
      <c r="T448" s="77"/>
      <c r="U448" s="77"/>
      <c r="V448" s="77"/>
      <c r="W448" s="77"/>
      <c r="X448" s="77"/>
      <c r="Y448" s="77"/>
      <c r="Z448" s="77"/>
      <c r="AA448" s="77"/>
      <c r="AB448" s="77"/>
      <c r="AC448" s="77"/>
      <c r="AD448" s="227"/>
      <c r="AE448" s="77"/>
      <c r="AF448" s="227"/>
      <c r="AG448" s="77"/>
      <c r="AH448" s="77"/>
      <c r="AI448" s="77"/>
      <c r="AJ448" s="77"/>
      <c r="AK448" s="77"/>
      <c r="AL448" s="77"/>
      <c r="AM448" s="77"/>
      <c r="AN448" s="77"/>
      <c r="AO448" s="77"/>
      <c r="AP448" s="77"/>
      <c r="AQ448" s="77"/>
      <c r="AR448" s="77"/>
      <c r="AS448" s="77"/>
      <c r="AT448" s="77"/>
      <c r="AU448" s="77"/>
      <c r="AV448" s="77"/>
      <c r="AW448" s="77"/>
      <c r="AX448" s="77"/>
      <c r="AY448" s="77"/>
      <c r="AZ448" s="77"/>
      <c r="BA448" s="77"/>
      <c r="BB448" s="77"/>
      <c r="BC448" s="77"/>
      <c r="BD448" s="77"/>
      <c r="BE448" s="77"/>
    </row>
    <row r="449">
      <c r="A449" s="77"/>
      <c r="B449" s="77"/>
      <c r="C449" s="77"/>
      <c r="D449" s="77"/>
      <c r="E449" s="188"/>
      <c r="F449" s="188"/>
      <c r="G449" s="188"/>
      <c r="H449" s="188"/>
      <c r="I449" s="188"/>
      <c r="J449" s="77"/>
      <c r="K449" s="77"/>
      <c r="L449" s="77"/>
      <c r="M449" s="77"/>
      <c r="N449" s="77"/>
      <c r="O449" s="77"/>
      <c r="P449" s="77"/>
      <c r="Q449" s="77"/>
      <c r="R449" s="77"/>
      <c r="S449" s="77"/>
      <c r="T449" s="77"/>
      <c r="U449" s="77"/>
      <c r="V449" s="77"/>
      <c r="W449" s="77"/>
      <c r="X449" s="77"/>
      <c r="Y449" s="77"/>
      <c r="Z449" s="77"/>
      <c r="AA449" s="77"/>
      <c r="AB449" s="77"/>
      <c r="AC449" s="77"/>
      <c r="AD449" s="227"/>
      <c r="AE449" s="77"/>
      <c r="AF449" s="227"/>
      <c r="AG449" s="77"/>
      <c r="AH449" s="77"/>
      <c r="AI449" s="77"/>
      <c r="AJ449" s="77"/>
      <c r="AK449" s="77"/>
      <c r="AL449" s="77"/>
      <c r="AM449" s="77"/>
      <c r="AN449" s="77"/>
      <c r="AO449" s="77"/>
      <c r="AP449" s="77"/>
      <c r="AQ449" s="77"/>
      <c r="AR449" s="77"/>
      <c r="AS449" s="77"/>
      <c r="AT449" s="77"/>
      <c r="AU449" s="77"/>
      <c r="AV449" s="77"/>
      <c r="AW449" s="77"/>
      <c r="AX449" s="77"/>
      <c r="AY449" s="77"/>
      <c r="AZ449" s="77"/>
      <c r="BA449" s="77"/>
      <c r="BB449" s="77"/>
      <c r="BC449" s="77"/>
      <c r="BD449" s="77"/>
      <c r="BE449" s="77"/>
    </row>
    <row r="450">
      <c r="A450" s="77"/>
      <c r="B450" s="77"/>
      <c r="C450" s="77"/>
      <c r="D450" s="77"/>
      <c r="E450" s="188"/>
      <c r="F450" s="188"/>
      <c r="G450" s="188"/>
      <c r="H450" s="188"/>
      <c r="I450" s="188"/>
      <c r="J450" s="77"/>
      <c r="K450" s="77"/>
      <c r="L450" s="77"/>
      <c r="M450" s="77"/>
      <c r="N450" s="77"/>
      <c r="O450" s="77"/>
      <c r="P450" s="77"/>
      <c r="Q450" s="77"/>
      <c r="R450" s="77"/>
      <c r="S450" s="77"/>
      <c r="T450" s="77"/>
      <c r="U450" s="77"/>
      <c r="V450" s="77"/>
      <c r="W450" s="77"/>
      <c r="X450" s="77"/>
      <c r="Y450" s="77"/>
      <c r="Z450" s="77"/>
      <c r="AA450" s="77"/>
      <c r="AB450" s="77"/>
      <c r="AC450" s="77"/>
      <c r="AD450" s="227"/>
      <c r="AE450" s="77"/>
      <c r="AF450" s="227"/>
      <c r="AG450" s="77"/>
      <c r="AH450" s="77"/>
      <c r="AI450" s="77"/>
      <c r="AJ450" s="77"/>
      <c r="AK450" s="77"/>
      <c r="AL450" s="77"/>
      <c r="AM450" s="77"/>
      <c r="AN450" s="77"/>
      <c r="AO450" s="77"/>
      <c r="AP450" s="77"/>
      <c r="AQ450" s="77"/>
      <c r="AR450" s="77"/>
      <c r="AS450" s="77"/>
      <c r="AT450" s="77"/>
      <c r="AU450" s="77"/>
      <c r="AV450" s="77"/>
      <c r="AW450" s="77"/>
      <c r="AX450" s="77"/>
      <c r="AY450" s="77"/>
      <c r="AZ450" s="77"/>
      <c r="BA450" s="77"/>
      <c r="BB450" s="77"/>
      <c r="BC450" s="77"/>
      <c r="BD450" s="77"/>
      <c r="BE450" s="77"/>
    </row>
    <row r="451">
      <c r="A451" s="77"/>
      <c r="B451" s="77"/>
      <c r="C451" s="77"/>
      <c r="D451" s="77"/>
      <c r="E451" s="188"/>
      <c r="F451" s="188"/>
      <c r="G451" s="188"/>
      <c r="H451" s="188"/>
      <c r="I451" s="188"/>
      <c r="J451" s="77"/>
      <c r="K451" s="77"/>
      <c r="L451" s="77"/>
      <c r="M451" s="77"/>
      <c r="N451" s="77"/>
      <c r="O451" s="77"/>
      <c r="P451" s="77"/>
      <c r="Q451" s="77"/>
      <c r="R451" s="77"/>
      <c r="S451" s="77"/>
      <c r="T451" s="77"/>
      <c r="U451" s="77"/>
      <c r="V451" s="77"/>
      <c r="W451" s="77"/>
      <c r="X451" s="77"/>
      <c r="Y451" s="77"/>
      <c r="Z451" s="77"/>
      <c r="AA451" s="77"/>
      <c r="AB451" s="77"/>
      <c r="AC451" s="77"/>
      <c r="AD451" s="227"/>
      <c r="AE451" s="77"/>
      <c r="AF451" s="227"/>
      <c r="AG451" s="77"/>
      <c r="AH451" s="77"/>
      <c r="AI451" s="77"/>
      <c r="AJ451" s="77"/>
      <c r="AK451" s="77"/>
      <c r="AL451" s="77"/>
      <c r="AM451" s="77"/>
      <c r="AN451" s="77"/>
      <c r="AO451" s="77"/>
      <c r="AP451" s="77"/>
      <c r="AQ451" s="77"/>
      <c r="AR451" s="77"/>
      <c r="AS451" s="77"/>
      <c r="AT451" s="77"/>
      <c r="AU451" s="77"/>
      <c r="AV451" s="77"/>
      <c r="AW451" s="77"/>
      <c r="AX451" s="77"/>
      <c r="AY451" s="77"/>
      <c r="AZ451" s="77"/>
      <c r="BA451" s="77"/>
      <c r="BB451" s="77"/>
      <c r="BC451" s="77"/>
      <c r="BD451" s="77"/>
      <c r="BE451" s="77"/>
    </row>
    <row r="452">
      <c r="A452" s="77"/>
      <c r="B452" s="77"/>
      <c r="C452" s="77"/>
      <c r="D452" s="77"/>
      <c r="E452" s="188"/>
      <c r="F452" s="188"/>
      <c r="G452" s="188"/>
      <c r="H452" s="188"/>
      <c r="I452" s="188"/>
      <c r="J452" s="77"/>
      <c r="K452" s="77"/>
      <c r="L452" s="77"/>
      <c r="M452" s="77"/>
      <c r="N452" s="77"/>
      <c r="O452" s="77"/>
      <c r="P452" s="77"/>
      <c r="Q452" s="77"/>
      <c r="R452" s="77"/>
      <c r="S452" s="77"/>
      <c r="T452" s="77"/>
      <c r="U452" s="77"/>
      <c r="V452" s="77"/>
      <c r="W452" s="77"/>
      <c r="X452" s="77"/>
      <c r="Y452" s="77"/>
      <c r="Z452" s="77"/>
      <c r="AA452" s="77"/>
      <c r="AB452" s="77"/>
      <c r="AC452" s="77"/>
      <c r="AD452" s="227"/>
      <c r="AE452" s="77"/>
      <c r="AF452" s="227"/>
      <c r="AG452" s="77"/>
      <c r="AH452" s="77"/>
      <c r="AI452" s="77"/>
      <c r="AJ452" s="77"/>
      <c r="AK452" s="77"/>
      <c r="AL452" s="77"/>
      <c r="AM452" s="77"/>
      <c r="AN452" s="77"/>
      <c r="AO452" s="77"/>
      <c r="AP452" s="77"/>
      <c r="AQ452" s="77"/>
      <c r="AR452" s="77"/>
      <c r="AS452" s="77"/>
      <c r="AT452" s="77"/>
      <c r="AU452" s="77"/>
      <c r="AV452" s="77"/>
      <c r="AW452" s="77"/>
      <c r="AX452" s="77"/>
      <c r="AY452" s="77"/>
      <c r="AZ452" s="77"/>
      <c r="BA452" s="77"/>
      <c r="BB452" s="77"/>
      <c r="BC452" s="77"/>
      <c r="BD452" s="77"/>
      <c r="BE452" s="77"/>
    </row>
    <row r="453">
      <c r="A453" s="77"/>
      <c r="B453" s="77"/>
      <c r="C453" s="77"/>
      <c r="D453" s="77"/>
      <c r="E453" s="188"/>
      <c r="F453" s="188"/>
      <c r="G453" s="188"/>
      <c r="H453" s="188"/>
      <c r="I453" s="188"/>
      <c r="J453" s="77"/>
      <c r="K453" s="77"/>
      <c r="L453" s="77"/>
      <c r="M453" s="77"/>
      <c r="N453" s="77"/>
      <c r="O453" s="77"/>
      <c r="P453" s="77"/>
      <c r="Q453" s="77"/>
      <c r="R453" s="77"/>
      <c r="S453" s="77"/>
      <c r="T453" s="77"/>
      <c r="U453" s="77"/>
      <c r="V453" s="77"/>
      <c r="W453" s="77"/>
      <c r="X453" s="77"/>
      <c r="Y453" s="77"/>
      <c r="Z453" s="77"/>
      <c r="AA453" s="77"/>
      <c r="AB453" s="77"/>
      <c r="AC453" s="77"/>
      <c r="AD453" s="227"/>
      <c r="AE453" s="77"/>
      <c r="AF453" s="227"/>
      <c r="AG453" s="77"/>
      <c r="AH453" s="77"/>
      <c r="AI453" s="77"/>
      <c r="AJ453" s="77"/>
      <c r="AK453" s="77"/>
      <c r="AL453" s="77"/>
      <c r="AM453" s="77"/>
      <c r="AN453" s="77"/>
      <c r="AO453" s="77"/>
      <c r="AP453" s="77"/>
      <c r="AQ453" s="77"/>
      <c r="AR453" s="77"/>
      <c r="AS453" s="77"/>
      <c r="AT453" s="77"/>
      <c r="AU453" s="77"/>
      <c r="AV453" s="77"/>
      <c r="AW453" s="77"/>
      <c r="AX453" s="77"/>
      <c r="AY453" s="77"/>
      <c r="AZ453" s="77"/>
      <c r="BA453" s="77"/>
      <c r="BB453" s="77"/>
      <c r="BC453" s="77"/>
      <c r="BD453" s="77"/>
      <c r="BE453" s="77"/>
    </row>
    <row r="454">
      <c r="A454" s="77"/>
      <c r="B454" s="77"/>
      <c r="C454" s="77"/>
      <c r="D454" s="77"/>
      <c r="E454" s="188"/>
      <c r="F454" s="188"/>
      <c r="G454" s="188"/>
      <c r="H454" s="188"/>
      <c r="I454" s="188"/>
      <c r="J454" s="77"/>
      <c r="K454" s="77"/>
      <c r="L454" s="77"/>
      <c r="M454" s="77"/>
      <c r="N454" s="77"/>
      <c r="O454" s="77"/>
      <c r="P454" s="77"/>
      <c r="Q454" s="77"/>
      <c r="R454" s="77"/>
      <c r="S454" s="77"/>
      <c r="T454" s="77"/>
      <c r="U454" s="77"/>
      <c r="V454" s="77"/>
      <c r="W454" s="77"/>
      <c r="X454" s="77"/>
      <c r="Y454" s="77"/>
      <c r="Z454" s="77"/>
      <c r="AA454" s="77"/>
      <c r="AB454" s="77"/>
      <c r="AC454" s="77"/>
      <c r="AD454" s="227"/>
      <c r="AE454" s="77"/>
      <c r="AF454" s="227"/>
      <c r="AG454" s="77"/>
      <c r="AH454" s="77"/>
      <c r="AI454" s="77"/>
      <c r="AJ454" s="77"/>
      <c r="AK454" s="77"/>
      <c r="AL454" s="77"/>
      <c r="AM454" s="77"/>
      <c r="AN454" s="77"/>
      <c r="AO454" s="77"/>
      <c r="AP454" s="77"/>
      <c r="AQ454" s="77"/>
      <c r="AR454" s="77"/>
      <c r="AS454" s="77"/>
      <c r="AT454" s="77"/>
      <c r="AU454" s="77"/>
      <c r="AV454" s="77"/>
      <c r="AW454" s="77"/>
      <c r="AX454" s="77"/>
      <c r="AY454" s="77"/>
      <c r="AZ454" s="77"/>
      <c r="BA454" s="77"/>
      <c r="BB454" s="77"/>
      <c r="BC454" s="77"/>
      <c r="BD454" s="77"/>
      <c r="BE454" s="77"/>
    </row>
    <row r="455">
      <c r="A455" s="77"/>
      <c r="B455" s="77"/>
      <c r="C455" s="77"/>
      <c r="D455" s="77"/>
      <c r="E455" s="188"/>
      <c r="F455" s="188"/>
      <c r="G455" s="188"/>
      <c r="H455" s="188"/>
      <c r="I455" s="188"/>
      <c r="J455" s="77"/>
      <c r="K455" s="77"/>
      <c r="L455" s="77"/>
      <c r="M455" s="77"/>
      <c r="N455" s="77"/>
      <c r="O455" s="77"/>
      <c r="P455" s="77"/>
      <c r="Q455" s="77"/>
      <c r="R455" s="77"/>
      <c r="S455" s="77"/>
      <c r="T455" s="77"/>
      <c r="U455" s="77"/>
      <c r="V455" s="77"/>
      <c r="W455" s="77"/>
      <c r="X455" s="77"/>
      <c r="Y455" s="77"/>
      <c r="Z455" s="77"/>
      <c r="AA455" s="77"/>
      <c r="AB455" s="77"/>
      <c r="AC455" s="77"/>
      <c r="AD455" s="227"/>
      <c r="AE455" s="77"/>
      <c r="AF455" s="227"/>
      <c r="AG455" s="77"/>
      <c r="AH455" s="77"/>
      <c r="AI455" s="77"/>
      <c r="AJ455" s="77"/>
      <c r="AK455" s="77"/>
      <c r="AL455" s="77"/>
      <c r="AM455" s="77"/>
      <c r="AN455" s="77"/>
      <c r="AO455" s="77"/>
      <c r="AP455" s="77"/>
      <c r="AQ455" s="77"/>
      <c r="AR455" s="77"/>
      <c r="AS455" s="77"/>
      <c r="AT455" s="77"/>
      <c r="AU455" s="77"/>
      <c r="AV455" s="77"/>
      <c r="AW455" s="77"/>
      <c r="AX455" s="77"/>
      <c r="AY455" s="77"/>
      <c r="AZ455" s="77"/>
      <c r="BA455" s="77"/>
      <c r="BB455" s="77"/>
      <c r="BC455" s="77"/>
      <c r="BD455" s="77"/>
      <c r="BE455" s="77"/>
    </row>
    <row r="456">
      <c r="A456" s="77"/>
      <c r="B456" s="77"/>
      <c r="C456" s="77"/>
      <c r="D456" s="77"/>
      <c r="E456" s="188"/>
      <c r="F456" s="188"/>
      <c r="G456" s="188"/>
      <c r="H456" s="188"/>
      <c r="I456" s="188"/>
      <c r="J456" s="77"/>
      <c r="K456" s="77"/>
      <c r="L456" s="77"/>
      <c r="M456" s="77"/>
      <c r="N456" s="77"/>
      <c r="O456" s="77"/>
      <c r="P456" s="77"/>
      <c r="Q456" s="77"/>
      <c r="R456" s="77"/>
      <c r="S456" s="77"/>
      <c r="T456" s="77"/>
      <c r="U456" s="77"/>
      <c r="V456" s="77"/>
      <c r="W456" s="77"/>
      <c r="X456" s="77"/>
      <c r="Y456" s="77"/>
      <c r="Z456" s="77"/>
      <c r="AA456" s="77"/>
      <c r="AB456" s="77"/>
      <c r="AC456" s="77"/>
      <c r="AD456" s="227"/>
      <c r="AE456" s="77"/>
      <c r="AF456" s="227"/>
      <c r="AG456" s="77"/>
      <c r="AH456" s="77"/>
      <c r="AI456" s="77"/>
      <c r="AJ456" s="77"/>
      <c r="AK456" s="77"/>
      <c r="AL456" s="77"/>
      <c r="AM456" s="77"/>
      <c r="AN456" s="77"/>
      <c r="AO456" s="77"/>
      <c r="AP456" s="77"/>
      <c r="AQ456" s="77"/>
      <c r="AR456" s="77"/>
      <c r="AS456" s="77"/>
      <c r="AT456" s="77"/>
      <c r="AU456" s="77"/>
      <c r="AV456" s="77"/>
      <c r="AW456" s="77"/>
      <c r="AX456" s="77"/>
      <c r="AY456" s="77"/>
      <c r="AZ456" s="77"/>
      <c r="BA456" s="77"/>
      <c r="BB456" s="77"/>
      <c r="BC456" s="77"/>
      <c r="BD456" s="77"/>
      <c r="BE456" s="77"/>
    </row>
    <row r="457">
      <c r="A457" s="77"/>
      <c r="B457" s="77"/>
      <c r="C457" s="77"/>
      <c r="D457" s="77"/>
      <c r="E457" s="188"/>
      <c r="F457" s="188"/>
      <c r="G457" s="188"/>
      <c r="H457" s="188"/>
      <c r="I457" s="188"/>
      <c r="J457" s="77"/>
      <c r="K457" s="77"/>
      <c r="L457" s="77"/>
      <c r="M457" s="77"/>
      <c r="N457" s="77"/>
      <c r="O457" s="77"/>
      <c r="P457" s="77"/>
      <c r="Q457" s="77"/>
      <c r="R457" s="77"/>
      <c r="S457" s="77"/>
      <c r="T457" s="77"/>
      <c r="U457" s="77"/>
      <c r="V457" s="77"/>
      <c r="W457" s="77"/>
      <c r="X457" s="77"/>
      <c r="Y457" s="77"/>
      <c r="Z457" s="77"/>
      <c r="AA457" s="77"/>
      <c r="AB457" s="77"/>
      <c r="AC457" s="77"/>
      <c r="AD457" s="227"/>
      <c r="AE457" s="77"/>
      <c r="AF457" s="227"/>
      <c r="AG457" s="77"/>
      <c r="AH457" s="77"/>
      <c r="AI457" s="77"/>
      <c r="AJ457" s="77"/>
      <c r="AK457" s="77"/>
      <c r="AL457" s="77"/>
      <c r="AM457" s="77"/>
      <c r="AN457" s="77"/>
      <c r="AO457" s="77"/>
      <c r="AP457" s="77"/>
      <c r="AQ457" s="77"/>
      <c r="AR457" s="77"/>
      <c r="AS457" s="77"/>
      <c r="AT457" s="77"/>
      <c r="AU457" s="77"/>
      <c r="AV457" s="77"/>
      <c r="AW457" s="77"/>
      <c r="AX457" s="77"/>
      <c r="AY457" s="77"/>
      <c r="AZ457" s="77"/>
      <c r="BA457" s="77"/>
      <c r="BB457" s="77"/>
      <c r="BC457" s="77"/>
      <c r="BD457" s="77"/>
      <c r="BE457" s="77"/>
    </row>
    <row r="458">
      <c r="A458" s="77"/>
      <c r="B458" s="77"/>
      <c r="C458" s="77"/>
      <c r="D458" s="77"/>
      <c r="E458" s="188"/>
      <c r="F458" s="188"/>
      <c r="G458" s="188"/>
      <c r="H458" s="188"/>
      <c r="I458" s="188"/>
      <c r="J458" s="77"/>
      <c r="K458" s="77"/>
      <c r="L458" s="77"/>
      <c r="M458" s="77"/>
      <c r="N458" s="77"/>
      <c r="O458" s="77"/>
      <c r="P458" s="77"/>
      <c r="Q458" s="77"/>
      <c r="R458" s="77"/>
      <c r="S458" s="77"/>
      <c r="T458" s="77"/>
      <c r="U458" s="77"/>
      <c r="V458" s="77"/>
      <c r="W458" s="77"/>
      <c r="X458" s="77"/>
      <c r="Y458" s="77"/>
      <c r="Z458" s="77"/>
      <c r="AA458" s="77"/>
      <c r="AB458" s="77"/>
      <c r="AC458" s="77"/>
      <c r="AD458" s="227"/>
      <c r="AE458" s="77"/>
      <c r="AF458" s="227"/>
      <c r="AG458" s="77"/>
      <c r="AH458" s="77"/>
      <c r="AI458" s="77"/>
      <c r="AJ458" s="77"/>
      <c r="AK458" s="77"/>
      <c r="AL458" s="77"/>
      <c r="AM458" s="77"/>
      <c r="AN458" s="77"/>
      <c r="AO458" s="77"/>
      <c r="AP458" s="77"/>
      <c r="AQ458" s="77"/>
      <c r="AR458" s="77"/>
      <c r="AS458" s="77"/>
      <c r="AT458" s="77"/>
      <c r="AU458" s="77"/>
      <c r="AV458" s="77"/>
      <c r="AW458" s="77"/>
      <c r="AX458" s="77"/>
      <c r="AY458" s="77"/>
      <c r="AZ458" s="77"/>
      <c r="BA458" s="77"/>
      <c r="BB458" s="77"/>
      <c r="BC458" s="77"/>
      <c r="BD458" s="77"/>
      <c r="BE458" s="77"/>
    </row>
    <row r="459">
      <c r="A459" s="77"/>
      <c r="B459" s="77"/>
      <c r="C459" s="77"/>
      <c r="D459" s="77"/>
      <c r="E459" s="188"/>
      <c r="F459" s="188"/>
      <c r="G459" s="188"/>
      <c r="H459" s="188"/>
      <c r="I459" s="188"/>
      <c r="J459" s="77"/>
      <c r="K459" s="77"/>
      <c r="L459" s="77"/>
      <c r="M459" s="77"/>
      <c r="N459" s="77"/>
      <c r="O459" s="77"/>
      <c r="P459" s="77"/>
      <c r="Q459" s="77"/>
      <c r="R459" s="77"/>
      <c r="S459" s="77"/>
      <c r="T459" s="77"/>
      <c r="U459" s="77"/>
      <c r="V459" s="77"/>
      <c r="W459" s="77"/>
      <c r="X459" s="77"/>
      <c r="Y459" s="77"/>
      <c r="Z459" s="77"/>
      <c r="AA459" s="77"/>
      <c r="AB459" s="77"/>
      <c r="AC459" s="77"/>
      <c r="AD459" s="227"/>
      <c r="AE459" s="77"/>
      <c r="AF459" s="227"/>
      <c r="AG459" s="77"/>
      <c r="AH459" s="77"/>
      <c r="AI459" s="77"/>
      <c r="AJ459" s="77"/>
      <c r="AK459" s="77"/>
      <c r="AL459" s="77"/>
      <c r="AM459" s="77"/>
      <c r="AN459" s="77"/>
      <c r="AO459" s="77"/>
      <c r="AP459" s="77"/>
      <c r="AQ459" s="77"/>
      <c r="AR459" s="77"/>
      <c r="AS459" s="77"/>
      <c r="AT459" s="77"/>
      <c r="AU459" s="77"/>
      <c r="AV459" s="77"/>
      <c r="AW459" s="77"/>
      <c r="AX459" s="77"/>
      <c r="AY459" s="77"/>
      <c r="AZ459" s="77"/>
      <c r="BA459" s="77"/>
      <c r="BB459" s="77"/>
      <c r="BC459" s="77"/>
      <c r="BD459" s="77"/>
      <c r="BE459" s="77"/>
    </row>
    <row r="460">
      <c r="A460" s="77"/>
      <c r="B460" s="77"/>
      <c r="C460" s="77"/>
      <c r="D460" s="77"/>
      <c r="E460" s="188"/>
      <c r="F460" s="188"/>
      <c r="G460" s="188"/>
      <c r="H460" s="188"/>
      <c r="I460" s="188"/>
      <c r="J460" s="77"/>
      <c r="K460" s="77"/>
      <c r="L460" s="77"/>
      <c r="M460" s="77"/>
      <c r="N460" s="77"/>
      <c r="O460" s="77"/>
      <c r="P460" s="77"/>
      <c r="Q460" s="77"/>
      <c r="R460" s="77"/>
      <c r="S460" s="77"/>
      <c r="T460" s="77"/>
      <c r="U460" s="77"/>
      <c r="V460" s="77"/>
      <c r="W460" s="77"/>
      <c r="X460" s="77"/>
      <c r="Y460" s="77"/>
      <c r="Z460" s="77"/>
      <c r="AA460" s="77"/>
      <c r="AB460" s="77"/>
      <c r="AC460" s="77"/>
      <c r="AD460" s="227"/>
      <c r="AE460" s="77"/>
      <c r="AF460" s="227"/>
      <c r="AG460" s="77"/>
      <c r="AH460" s="77"/>
      <c r="AI460" s="77"/>
      <c r="AJ460" s="77"/>
      <c r="AK460" s="77"/>
      <c r="AL460" s="77"/>
      <c r="AM460" s="77"/>
      <c r="AN460" s="77"/>
      <c r="AO460" s="77"/>
      <c r="AP460" s="77"/>
      <c r="AQ460" s="77"/>
      <c r="AR460" s="77"/>
      <c r="AS460" s="77"/>
      <c r="AT460" s="77"/>
      <c r="AU460" s="77"/>
      <c r="AV460" s="77"/>
      <c r="AW460" s="77"/>
      <c r="AX460" s="77"/>
      <c r="AY460" s="77"/>
      <c r="AZ460" s="77"/>
      <c r="BA460" s="77"/>
      <c r="BB460" s="77"/>
      <c r="BC460" s="77"/>
      <c r="BD460" s="77"/>
      <c r="BE460" s="77"/>
    </row>
    <row r="461">
      <c r="A461" s="77"/>
      <c r="B461" s="77"/>
      <c r="C461" s="77"/>
      <c r="D461" s="77"/>
      <c r="E461" s="188"/>
      <c r="F461" s="188"/>
      <c r="G461" s="188"/>
      <c r="H461" s="188"/>
      <c r="I461" s="188"/>
      <c r="J461" s="77"/>
      <c r="K461" s="77"/>
      <c r="L461" s="77"/>
      <c r="M461" s="77"/>
      <c r="N461" s="77"/>
      <c r="O461" s="77"/>
      <c r="P461" s="77"/>
      <c r="Q461" s="77"/>
      <c r="R461" s="77"/>
      <c r="S461" s="77"/>
      <c r="T461" s="77"/>
      <c r="U461" s="77"/>
      <c r="V461" s="77"/>
      <c r="W461" s="77"/>
      <c r="X461" s="77"/>
      <c r="Y461" s="77"/>
      <c r="Z461" s="77"/>
      <c r="AA461" s="77"/>
      <c r="AB461" s="77"/>
      <c r="AC461" s="77"/>
      <c r="AD461" s="227"/>
      <c r="AE461" s="77"/>
      <c r="AF461" s="227"/>
      <c r="AG461" s="77"/>
      <c r="AH461" s="77"/>
      <c r="AI461" s="77"/>
      <c r="AJ461" s="77"/>
      <c r="AK461" s="77"/>
      <c r="AL461" s="77"/>
      <c r="AM461" s="77"/>
      <c r="AN461" s="77"/>
      <c r="AO461" s="77"/>
      <c r="AP461" s="77"/>
      <c r="AQ461" s="77"/>
      <c r="AR461" s="77"/>
      <c r="AS461" s="77"/>
      <c r="AT461" s="77"/>
      <c r="AU461" s="77"/>
      <c r="AV461" s="77"/>
      <c r="AW461" s="77"/>
      <c r="AX461" s="77"/>
      <c r="AY461" s="77"/>
      <c r="AZ461" s="77"/>
      <c r="BA461" s="77"/>
      <c r="BB461" s="77"/>
      <c r="BC461" s="77"/>
      <c r="BD461" s="77"/>
      <c r="BE461" s="77"/>
    </row>
    <row r="462">
      <c r="A462" s="77"/>
      <c r="B462" s="77"/>
      <c r="C462" s="77"/>
      <c r="D462" s="77"/>
      <c r="E462" s="188"/>
      <c r="F462" s="188"/>
      <c r="G462" s="188"/>
      <c r="H462" s="188"/>
      <c r="I462" s="188"/>
      <c r="J462" s="77"/>
      <c r="K462" s="77"/>
      <c r="L462" s="77"/>
      <c r="M462" s="77"/>
      <c r="N462" s="77"/>
      <c r="O462" s="77"/>
      <c r="P462" s="77"/>
      <c r="Q462" s="77"/>
      <c r="R462" s="77"/>
      <c r="S462" s="77"/>
      <c r="T462" s="77"/>
      <c r="U462" s="77"/>
      <c r="V462" s="77"/>
      <c r="W462" s="77"/>
      <c r="X462" s="77"/>
      <c r="Y462" s="77"/>
      <c r="Z462" s="77"/>
      <c r="AA462" s="77"/>
      <c r="AB462" s="77"/>
      <c r="AC462" s="77"/>
      <c r="AD462" s="227"/>
      <c r="AE462" s="77"/>
      <c r="AF462" s="227"/>
      <c r="AG462" s="77"/>
      <c r="AH462" s="77"/>
      <c r="AI462" s="77"/>
      <c r="AJ462" s="77"/>
      <c r="AK462" s="77"/>
      <c r="AL462" s="77"/>
      <c r="AM462" s="77"/>
      <c r="AN462" s="77"/>
      <c r="AO462" s="77"/>
      <c r="AP462" s="77"/>
      <c r="AQ462" s="77"/>
      <c r="AR462" s="77"/>
      <c r="AS462" s="77"/>
      <c r="AT462" s="77"/>
      <c r="AU462" s="77"/>
      <c r="AV462" s="77"/>
      <c r="AW462" s="77"/>
      <c r="AX462" s="77"/>
      <c r="AY462" s="77"/>
      <c r="AZ462" s="77"/>
      <c r="BA462" s="77"/>
      <c r="BB462" s="77"/>
      <c r="BC462" s="77"/>
      <c r="BD462" s="77"/>
      <c r="BE462" s="77"/>
    </row>
    <row r="463">
      <c r="A463" s="77"/>
      <c r="B463" s="77"/>
      <c r="C463" s="77"/>
      <c r="D463" s="77"/>
      <c r="E463" s="188"/>
      <c r="F463" s="188"/>
      <c r="G463" s="188"/>
      <c r="H463" s="188"/>
      <c r="I463" s="188"/>
      <c r="J463" s="77"/>
      <c r="K463" s="77"/>
      <c r="L463" s="77"/>
      <c r="M463" s="77"/>
      <c r="N463" s="77"/>
      <c r="O463" s="77"/>
      <c r="P463" s="77"/>
      <c r="Q463" s="77"/>
      <c r="R463" s="77"/>
      <c r="S463" s="77"/>
      <c r="T463" s="77"/>
      <c r="U463" s="77"/>
      <c r="V463" s="77"/>
      <c r="W463" s="77"/>
      <c r="X463" s="77"/>
      <c r="Y463" s="77"/>
      <c r="Z463" s="77"/>
      <c r="AA463" s="77"/>
      <c r="AB463" s="77"/>
      <c r="AC463" s="77"/>
      <c r="AD463" s="227"/>
      <c r="AE463" s="77"/>
      <c r="AF463" s="227"/>
      <c r="AG463" s="77"/>
      <c r="AH463" s="77"/>
      <c r="AI463" s="77"/>
      <c r="AJ463" s="77"/>
      <c r="AK463" s="77"/>
      <c r="AL463" s="77"/>
      <c r="AM463" s="77"/>
      <c r="AN463" s="77"/>
      <c r="AO463" s="77"/>
      <c r="AP463" s="77"/>
      <c r="AQ463" s="77"/>
      <c r="AR463" s="77"/>
      <c r="AS463" s="77"/>
      <c r="AT463" s="77"/>
      <c r="AU463" s="77"/>
      <c r="AV463" s="77"/>
      <c r="AW463" s="77"/>
      <c r="AX463" s="77"/>
      <c r="AY463" s="77"/>
      <c r="AZ463" s="77"/>
      <c r="BA463" s="77"/>
      <c r="BB463" s="77"/>
      <c r="BC463" s="77"/>
      <c r="BD463" s="77"/>
      <c r="BE463" s="77"/>
    </row>
    <row r="464">
      <c r="A464" s="77"/>
      <c r="B464" s="77"/>
      <c r="C464" s="77"/>
      <c r="D464" s="77"/>
      <c r="E464" s="188"/>
      <c r="F464" s="188"/>
      <c r="G464" s="188"/>
      <c r="H464" s="188"/>
      <c r="I464" s="188"/>
      <c r="J464" s="77"/>
      <c r="K464" s="77"/>
      <c r="L464" s="77"/>
      <c r="M464" s="77"/>
      <c r="N464" s="77"/>
      <c r="O464" s="77"/>
      <c r="P464" s="77"/>
      <c r="Q464" s="77"/>
      <c r="R464" s="77"/>
      <c r="S464" s="77"/>
      <c r="T464" s="77"/>
      <c r="U464" s="77"/>
      <c r="V464" s="77"/>
      <c r="W464" s="77"/>
      <c r="X464" s="77"/>
      <c r="Y464" s="77"/>
      <c r="Z464" s="77"/>
      <c r="AA464" s="77"/>
      <c r="AB464" s="77"/>
      <c r="AC464" s="77"/>
      <c r="AD464" s="227"/>
      <c r="AE464" s="77"/>
      <c r="AF464" s="227"/>
      <c r="AG464" s="77"/>
      <c r="AH464" s="77"/>
      <c r="AI464" s="77"/>
      <c r="AJ464" s="77"/>
      <c r="AK464" s="77"/>
      <c r="AL464" s="77"/>
      <c r="AM464" s="77"/>
      <c r="AN464" s="77"/>
      <c r="AO464" s="77"/>
      <c r="AP464" s="77"/>
      <c r="AQ464" s="77"/>
      <c r="AR464" s="77"/>
      <c r="AS464" s="77"/>
      <c r="AT464" s="77"/>
      <c r="AU464" s="77"/>
      <c r="AV464" s="77"/>
      <c r="AW464" s="77"/>
      <c r="AX464" s="77"/>
      <c r="AY464" s="77"/>
      <c r="AZ464" s="77"/>
      <c r="BA464" s="77"/>
      <c r="BB464" s="77"/>
      <c r="BC464" s="77"/>
      <c r="BD464" s="77"/>
      <c r="BE464" s="77"/>
    </row>
    <row r="465">
      <c r="A465" s="77"/>
      <c r="B465" s="77"/>
      <c r="C465" s="77"/>
      <c r="D465" s="77"/>
      <c r="E465" s="188"/>
      <c r="F465" s="188"/>
      <c r="G465" s="188"/>
      <c r="H465" s="188"/>
      <c r="I465" s="188"/>
      <c r="J465" s="77"/>
      <c r="K465" s="77"/>
      <c r="L465" s="77"/>
      <c r="M465" s="77"/>
      <c r="N465" s="77"/>
      <c r="O465" s="77"/>
      <c r="P465" s="77"/>
      <c r="Q465" s="77"/>
      <c r="R465" s="77"/>
      <c r="S465" s="77"/>
      <c r="T465" s="77"/>
      <c r="U465" s="77"/>
      <c r="V465" s="77"/>
      <c r="W465" s="77"/>
      <c r="X465" s="77"/>
      <c r="Y465" s="77"/>
      <c r="Z465" s="77"/>
      <c r="AA465" s="77"/>
      <c r="AB465" s="77"/>
      <c r="AC465" s="77"/>
      <c r="AD465" s="227"/>
      <c r="AE465" s="77"/>
      <c r="AF465" s="227"/>
      <c r="AG465" s="77"/>
      <c r="AH465" s="77"/>
      <c r="AI465" s="77"/>
      <c r="AJ465" s="77"/>
      <c r="AK465" s="77"/>
      <c r="AL465" s="77"/>
      <c r="AM465" s="77"/>
      <c r="AN465" s="77"/>
      <c r="AO465" s="77"/>
      <c r="AP465" s="77"/>
      <c r="AQ465" s="77"/>
      <c r="AR465" s="77"/>
      <c r="AS465" s="77"/>
      <c r="AT465" s="77"/>
      <c r="AU465" s="77"/>
      <c r="AV465" s="77"/>
      <c r="AW465" s="77"/>
      <c r="AX465" s="77"/>
      <c r="AY465" s="77"/>
      <c r="AZ465" s="77"/>
      <c r="BA465" s="77"/>
      <c r="BB465" s="77"/>
      <c r="BC465" s="77"/>
      <c r="BD465" s="77"/>
      <c r="BE465" s="77"/>
    </row>
    <row r="466">
      <c r="A466" s="77"/>
      <c r="B466" s="77"/>
      <c r="C466" s="77"/>
      <c r="D466" s="77"/>
      <c r="E466" s="188"/>
      <c r="F466" s="188"/>
      <c r="G466" s="188"/>
      <c r="H466" s="188"/>
      <c r="I466" s="188"/>
      <c r="J466" s="77"/>
      <c r="K466" s="77"/>
      <c r="L466" s="77"/>
      <c r="M466" s="77"/>
      <c r="N466" s="77"/>
      <c r="O466" s="77"/>
      <c r="P466" s="77"/>
      <c r="Q466" s="77"/>
      <c r="R466" s="77"/>
      <c r="S466" s="77"/>
      <c r="T466" s="77"/>
      <c r="U466" s="77"/>
      <c r="V466" s="77"/>
      <c r="W466" s="77"/>
      <c r="X466" s="77"/>
      <c r="Y466" s="77"/>
      <c r="Z466" s="77"/>
      <c r="AA466" s="77"/>
      <c r="AB466" s="77"/>
      <c r="AC466" s="77"/>
      <c r="AD466" s="227"/>
      <c r="AE466" s="77"/>
      <c r="AF466" s="227"/>
      <c r="AG466" s="77"/>
      <c r="AH466" s="77"/>
      <c r="AI466" s="77"/>
      <c r="AJ466" s="77"/>
      <c r="AK466" s="77"/>
      <c r="AL466" s="77"/>
      <c r="AM466" s="77"/>
      <c r="AN466" s="77"/>
      <c r="AO466" s="77"/>
      <c r="AP466" s="77"/>
      <c r="AQ466" s="77"/>
      <c r="AR466" s="77"/>
      <c r="AS466" s="77"/>
      <c r="AT466" s="77"/>
      <c r="AU466" s="77"/>
      <c r="AV466" s="77"/>
      <c r="AW466" s="77"/>
      <c r="AX466" s="77"/>
      <c r="AY466" s="77"/>
      <c r="AZ466" s="77"/>
      <c r="BA466" s="77"/>
      <c r="BB466" s="77"/>
      <c r="BC466" s="77"/>
      <c r="BD466" s="77"/>
      <c r="BE466" s="77"/>
    </row>
    <row r="467">
      <c r="A467" s="77"/>
      <c r="B467" s="77"/>
      <c r="C467" s="77"/>
      <c r="D467" s="77"/>
      <c r="E467" s="188"/>
      <c r="F467" s="188"/>
      <c r="G467" s="188"/>
      <c r="H467" s="188"/>
      <c r="I467" s="188"/>
      <c r="J467" s="77"/>
      <c r="K467" s="77"/>
      <c r="L467" s="77"/>
      <c r="M467" s="77"/>
      <c r="N467" s="77"/>
      <c r="O467" s="77"/>
      <c r="P467" s="77"/>
      <c r="Q467" s="77"/>
      <c r="R467" s="77"/>
      <c r="S467" s="77"/>
      <c r="T467" s="77"/>
      <c r="U467" s="77"/>
      <c r="V467" s="77"/>
      <c r="W467" s="77"/>
      <c r="X467" s="77"/>
      <c r="Y467" s="77"/>
      <c r="Z467" s="77"/>
      <c r="AA467" s="77"/>
      <c r="AB467" s="77"/>
      <c r="AC467" s="77"/>
      <c r="AD467" s="227"/>
      <c r="AE467" s="77"/>
      <c r="AF467" s="227"/>
      <c r="AG467" s="77"/>
      <c r="AH467" s="77"/>
      <c r="AI467" s="77"/>
      <c r="AJ467" s="77"/>
      <c r="AK467" s="77"/>
      <c r="AL467" s="77"/>
      <c r="AM467" s="77"/>
      <c r="AN467" s="77"/>
      <c r="AO467" s="77"/>
      <c r="AP467" s="77"/>
      <c r="AQ467" s="77"/>
      <c r="AR467" s="77"/>
      <c r="AS467" s="77"/>
      <c r="AT467" s="77"/>
      <c r="AU467" s="77"/>
      <c r="AV467" s="77"/>
      <c r="AW467" s="77"/>
      <c r="AX467" s="77"/>
      <c r="AY467" s="77"/>
      <c r="AZ467" s="77"/>
      <c r="BA467" s="77"/>
      <c r="BB467" s="77"/>
      <c r="BC467" s="77"/>
      <c r="BD467" s="77"/>
      <c r="BE467" s="77"/>
    </row>
    <row r="468">
      <c r="A468" s="77"/>
      <c r="B468" s="77"/>
      <c r="C468" s="77"/>
      <c r="D468" s="77"/>
      <c r="E468" s="188"/>
      <c r="F468" s="188"/>
      <c r="G468" s="188"/>
      <c r="H468" s="188"/>
      <c r="I468" s="188"/>
      <c r="J468" s="77"/>
      <c r="K468" s="77"/>
      <c r="L468" s="77"/>
      <c r="M468" s="77"/>
      <c r="N468" s="77"/>
      <c r="O468" s="77"/>
      <c r="P468" s="77"/>
      <c r="Q468" s="77"/>
      <c r="R468" s="77"/>
      <c r="S468" s="77"/>
      <c r="T468" s="77"/>
      <c r="U468" s="77"/>
      <c r="V468" s="77"/>
      <c r="W468" s="77"/>
      <c r="X468" s="77"/>
      <c r="Y468" s="77"/>
      <c r="Z468" s="77"/>
      <c r="AA468" s="77"/>
      <c r="AB468" s="77"/>
      <c r="AC468" s="77"/>
      <c r="AD468" s="227"/>
      <c r="AE468" s="77"/>
      <c r="AF468" s="227"/>
      <c r="AG468" s="77"/>
      <c r="AH468" s="77"/>
      <c r="AI468" s="77"/>
      <c r="AJ468" s="77"/>
      <c r="AK468" s="77"/>
      <c r="AL468" s="77"/>
      <c r="AM468" s="77"/>
      <c r="AN468" s="77"/>
      <c r="AO468" s="77"/>
      <c r="AP468" s="77"/>
      <c r="AQ468" s="77"/>
      <c r="AR468" s="77"/>
      <c r="AS468" s="77"/>
      <c r="AT468" s="77"/>
      <c r="AU468" s="77"/>
      <c r="AV468" s="77"/>
      <c r="AW468" s="77"/>
      <c r="AX468" s="77"/>
      <c r="AY468" s="77"/>
      <c r="AZ468" s="77"/>
      <c r="BA468" s="77"/>
      <c r="BB468" s="77"/>
      <c r="BC468" s="77"/>
      <c r="BD468" s="77"/>
      <c r="BE468" s="77"/>
    </row>
    <row r="469">
      <c r="A469" s="77"/>
      <c r="B469" s="77"/>
      <c r="C469" s="77"/>
      <c r="D469" s="77"/>
      <c r="E469" s="188"/>
      <c r="F469" s="188"/>
      <c r="G469" s="188"/>
      <c r="H469" s="188"/>
      <c r="I469" s="188"/>
      <c r="J469" s="77"/>
      <c r="K469" s="77"/>
      <c r="L469" s="77"/>
      <c r="M469" s="77"/>
      <c r="N469" s="77"/>
      <c r="O469" s="77"/>
      <c r="P469" s="77"/>
      <c r="Q469" s="77"/>
      <c r="R469" s="77"/>
      <c r="S469" s="77"/>
      <c r="T469" s="77"/>
      <c r="U469" s="77"/>
      <c r="V469" s="77"/>
      <c r="W469" s="77"/>
      <c r="X469" s="77"/>
      <c r="Y469" s="77"/>
      <c r="Z469" s="77"/>
      <c r="AA469" s="77"/>
      <c r="AB469" s="77"/>
      <c r="AC469" s="77"/>
      <c r="AD469" s="227"/>
      <c r="AE469" s="77"/>
      <c r="AF469" s="227"/>
      <c r="AG469" s="77"/>
      <c r="AH469" s="77"/>
      <c r="AI469" s="77"/>
      <c r="AJ469" s="77"/>
      <c r="AK469" s="77"/>
      <c r="AL469" s="77"/>
      <c r="AM469" s="77"/>
      <c r="AN469" s="77"/>
      <c r="AO469" s="77"/>
      <c r="AP469" s="77"/>
      <c r="AQ469" s="77"/>
      <c r="AR469" s="77"/>
      <c r="AS469" s="77"/>
      <c r="AT469" s="77"/>
      <c r="AU469" s="77"/>
      <c r="AV469" s="77"/>
      <c r="AW469" s="77"/>
      <c r="AX469" s="77"/>
      <c r="AY469" s="77"/>
      <c r="AZ469" s="77"/>
      <c r="BA469" s="77"/>
      <c r="BB469" s="77"/>
      <c r="BC469" s="77"/>
      <c r="BD469" s="77"/>
      <c r="BE469" s="77"/>
    </row>
    <row r="470">
      <c r="A470" s="77"/>
      <c r="B470" s="77"/>
      <c r="C470" s="77"/>
      <c r="D470" s="77"/>
      <c r="E470" s="188"/>
      <c r="F470" s="188"/>
      <c r="G470" s="188"/>
      <c r="H470" s="188"/>
      <c r="I470" s="188"/>
      <c r="J470" s="77"/>
      <c r="K470" s="77"/>
      <c r="L470" s="77"/>
      <c r="M470" s="77"/>
      <c r="N470" s="77"/>
      <c r="O470" s="77"/>
      <c r="P470" s="77"/>
      <c r="Q470" s="77"/>
      <c r="R470" s="77"/>
      <c r="S470" s="77"/>
      <c r="T470" s="77"/>
      <c r="U470" s="77"/>
      <c r="V470" s="77"/>
      <c r="W470" s="77"/>
      <c r="X470" s="77"/>
      <c r="Y470" s="77"/>
      <c r="Z470" s="77"/>
      <c r="AA470" s="77"/>
      <c r="AB470" s="77"/>
      <c r="AC470" s="77"/>
      <c r="AD470" s="227"/>
      <c r="AE470" s="77"/>
      <c r="AF470" s="227"/>
      <c r="AG470" s="77"/>
      <c r="AH470" s="77"/>
      <c r="AI470" s="77"/>
      <c r="AJ470" s="77"/>
      <c r="AK470" s="77"/>
      <c r="AL470" s="77"/>
      <c r="AM470" s="77"/>
      <c r="AN470" s="77"/>
      <c r="AO470" s="77"/>
      <c r="AP470" s="77"/>
      <c r="AQ470" s="77"/>
      <c r="AR470" s="77"/>
      <c r="AS470" s="77"/>
      <c r="AT470" s="77"/>
      <c r="AU470" s="77"/>
      <c r="AV470" s="77"/>
      <c r="AW470" s="77"/>
      <c r="AX470" s="77"/>
      <c r="AY470" s="77"/>
      <c r="AZ470" s="77"/>
      <c r="BA470" s="77"/>
      <c r="BB470" s="77"/>
      <c r="BC470" s="77"/>
      <c r="BD470" s="77"/>
      <c r="BE470" s="77"/>
    </row>
    <row r="471">
      <c r="A471" s="77"/>
      <c r="B471" s="77"/>
      <c r="C471" s="77"/>
      <c r="D471" s="77"/>
      <c r="E471" s="188"/>
      <c r="F471" s="188"/>
      <c r="G471" s="188"/>
      <c r="H471" s="188"/>
      <c r="I471" s="188"/>
      <c r="J471" s="77"/>
      <c r="K471" s="77"/>
      <c r="L471" s="77"/>
      <c r="M471" s="77"/>
      <c r="N471" s="77"/>
      <c r="O471" s="77"/>
      <c r="P471" s="77"/>
      <c r="Q471" s="77"/>
      <c r="R471" s="77"/>
      <c r="S471" s="77"/>
      <c r="T471" s="77"/>
      <c r="U471" s="77"/>
      <c r="V471" s="77"/>
      <c r="W471" s="77"/>
      <c r="X471" s="77"/>
      <c r="Y471" s="77"/>
      <c r="Z471" s="77"/>
      <c r="AA471" s="77"/>
      <c r="AB471" s="77"/>
      <c r="AC471" s="77"/>
      <c r="AD471" s="227"/>
      <c r="AE471" s="77"/>
      <c r="AF471" s="227"/>
      <c r="AG471" s="77"/>
      <c r="AH471" s="77"/>
      <c r="AI471" s="77"/>
      <c r="AJ471" s="77"/>
      <c r="AK471" s="77"/>
      <c r="AL471" s="77"/>
      <c r="AM471" s="77"/>
      <c r="AN471" s="77"/>
      <c r="AO471" s="77"/>
      <c r="AP471" s="77"/>
      <c r="AQ471" s="77"/>
      <c r="AR471" s="77"/>
      <c r="AS471" s="77"/>
      <c r="AT471" s="77"/>
      <c r="AU471" s="77"/>
      <c r="AV471" s="77"/>
      <c r="AW471" s="77"/>
      <c r="AX471" s="77"/>
      <c r="AY471" s="77"/>
      <c r="AZ471" s="77"/>
      <c r="BA471" s="77"/>
      <c r="BB471" s="77"/>
      <c r="BC471" s="77"/>
      <c r="BD471" s="77"/>
      <c r="BE471" s="77"/>
    </row>
    <row r="472">
      <c r="A472" s="77"/>
      <c r="B472" s="77"/>
      <c r="C472" s="77"/>
      <c r="D472" s="77"/>
      <c r="E472" s="188"/>
      <c r="F472" s="188"/>
      <c r="G472" s="188"/>
      <c r="H472" s="188"/>
      <c r="I472" s="188"/>
      <c r="J472" s="77"/>
      <c r="K472" s="77"/>
      <c r="L472" s="77"/>
      <c r="M472" s="77"/>
      <c r="N472" s="77"/>
      <c r="O472" s="77"/>
      <c r="P472" s="77"/>
      <c r="Q472" s="77"/>
      <c r="R472" s="77"/>
      <c r="S472" s="77"/>
      <c r="T472" s="77"/>
      <c r="U472" s="77"/>
      <c r="V472" s="77"/>
      <c r="W472" s="77"/>
      <c r="X472" s="77"/>
      <c r="Y472" s="77"/>
      <c r="Z472" s="77"/>
      <c r="AA472" s="77"/>
      <c r="AB472" s="77"/>
      <c r="AC472" s="77"/>
      <c r="AD472" s="227"/>
      <c r="AE472" s="77"/>
      <c r="AF472" s="227"/>
      <c r="AG472" s="77"/>
      <c r="AH472" s="77"/>
      <c r="AI472" s="77"/>
      <c r="AJ472" s="77"/>
      <c r="AK472" s="77"/>
      <c r="AL472" s="77"/>
      <c r="AM472" s="77"/>
      <c r="AN472" s="77"/>
      <c r="AO472" s="77"/>
      <c r="AP472" s="77"/>
      <c r="AQ472" s="77"/>
      <c r="AR472" s="77"/>
      <c r="AS472" s="77"/>
      <c r="AT472" s="77"/>
      <c r="AU472" s="77"/>
      <c r="AV472" s="77"/>
      <c r="AW472" s="77"/>
      <c r="AX472" s="77"/>
      <c r="AY472" s="77"/>
      <c r="AZ472" s="77"/>
      <c r="BA472" s="77"/>
      <c r="BB472" s="77"/>
      <c r="BC472" s="77"/>
      <c r="BD472" s="77"/>
      <c r="BE472" s="77"/>
    </row>
    <row r="473">
      <c r="A473" s="77"/>
      <c r="B473" s="77"/>
      <c r="C473" s="77"/>
      <c r="D473" s="77"/>
      <c r="E473" s="188"/>
      <c r="F473" s="188"/>
      <c r="G473" s="188"/>
      <c r="H473" s="188"/>
      <c r="I473" s="188"/>
      <c r="J473" s="77"/>
      <c r="K473" s="77"/>
      <c r="L473" s="77"/>
      <c r="M473" s="77"/>
      <c r="N473" s="77"/>
      <c r="O473" s="77"/>
      <c r="P473" s="77"/>
      <c r="Q473" s="77"/>
      <c r="R473" s="77"/>
      <c r="S473" s="77"/>
      <c r="T473" s="77"/>
      <c r="U473" s="77"/>
      <c r="V473" s="77"/>
      <c r="W473" s="77"/>
      <c r="X473" s="77"/>
      <c r="Y473" s="77"/>
      <c r="Z473" s="77"/>
      <c r="AA473" s="77"/>
      <c r="AB473" s="77"/>
      <c r="AC473" s="77"/>
      <c r="AD473" s="227"/>
      <c r="AE473" s="77"/>
      <c r="AF473" s="227"/>
      <c r="AG473" s="77"/>
      <c r="AH473" s="77"/>
      <c r="AI473" s="77"/>
      <c r="AJ473" s="77"/>
      <c r="AK473" s="77"/>
      <c r="AL473" s="77"/>
      <c r="AM473" s="77"/>
      <c r="AN473" s="77"/>
      <c r="AO473" s="77"/>
      <c r="AP473" s="77"/>
      <c r="AQ473" s="77"/>
      <c r="AR473" s="77"/>
      <c r="AS473" s="77"/>
      <c r="AT473" s="77"/>
      <c r="AU473" s="77"/>
      <c r="AV473" s="77"/>
      <c r="AW473" s="77"/>
      <c r="AX473" s="77"/>
      <c r="AY473" s="77"/>
      <c r="AZ473" s="77"/>
      <c r="BA473" s="77"/>
      <c r="BB473" s="77"/>
      <c r="BC473" s="77"/>
      <c r="BD473" s="77"/>
      <c r="BE473" s="77"/>
    </row>
    <row r="474">
      <c r="A474" s="77"/>
      <c r="B474" s="77"/>
      <c r="C474" s="77"/>
      <c r="D474" s="77"/>
      <c r="E474" s="188"/>
      <c r="F474" s="188"/>
      <c r="G474" s="188"/>
      <c r="H474" s="188"/>
      <c r="I474" s="188"/>
      <c r="J474" s="77"/>
      <c r="K474" s="77"/>
      <c r="L474" s="77"/>
      <c r="M474" s="77"/>
      <c r="N474" s="77"/>
      <c r="O474" s="77"/>
      <c r="P474" s="77"/>
      <c r="Q474" s="77"/>
      <c r="R474" s="77"/>
      <c r="S474" s="77"/>
      <c r="T474" s="77"/>
      <c r="U474" s="77"/>
      <c r="V474" s="77"/>
      <c r="W474" s="77"/>
      <c r="X474" s="77"/>
      <c r="Y474" s="77"/>
      <c r="Z474" s="77"/>
      <c r="AA474" s="77"/>
      <c r="AB474" s="77"/>
      <c r="AC474" s="77"/>
      <c r="AD474" s="227"/>
      <c r="AE474" s="77"/>
      <c r="AF474" s="227"/>
      <c r="AG474" s="77"/>
      <c r="AH474" s="77"/>
      <c r="AI474" s="77"/>
      <c r="AJ474" s="77"/>
      <c r="AK474" s="77"/>
      <c r="AL474" s="77"/>
      <c r="AM474" s="77"/>
      <c r="AN474" s="77"/>
      <c r="AO474" s="77"/>
      <c r="AP474" s="77"/>
      <c r="AQ474" s="77"/>
      <c r="AR474" s="77"/>
      <c r="AS474" s="77"/>
      <c r="AT474" s="77"/>
      <c r="AU474" s="77"/>
      <c r="AV474" s="77"/>
      <c r="AW474" s="77"/>
      <c r="AX474" s="77"/>
      <c r="AY474" s="77"/>
      <c r="AZ474" s="77"/>
      <c r="BA474" s="77"/>
      <c r="BB474" s="77"/>
      <c r="BC474" s="77"/>
      <c r="BD474" s="77"/>
      <c r="BE474" s="77"/>
    </row>
    <row r="475">
      <c r="A475" s="77"/>
      <c r="B475" s="77"/>
      <c r="C475" s="77"/>
      <c r="D475" s="77"/>
      <c r="E475" s="188"/>
      <c r="F475" s="188"/>
      <c r="G475" s="188"/>
      <c r="H475" s="188"/>
      <c r="I475" s="188"/>
      <c r="J475" s="77"/>
      <c r="K475" s="77"/>
      <c r="L475" s="77"/>
      <c r="M475" s="77"/>
      <c r="N475" s="77"/>
      <c r="O475" s="77"/>
      <c r="P475" s="77"/>
      <c r="Q475" s="77"/>
      <c r="R475" s="77"/>
      <c r="S475" s="77"/>
      <c r="T475" s="77"/>
      <c r="U475" s="77"/>
      <c r="V475" s="77"/>
      <c r="W475" s="77"/>
      <c r="X475" s="77"/>
      <c r="Y475" s="77"/>
      <c r="Z475" s="77"/>
      <c r="AA475" s="77"/>
      <c r="AB475" s="77"/>
      <c r="AC475" s="77"/>
      <c r="AD475" s="227"/>
      <c r="AE475" s="77"/>
      <c r="AF475" s="227"/>
      <c r="AG475" s="77"/>
      <c r="AH475" s="77"/>
      <c r="AI475" s="77"/>
      <c r="AJ475" s="77"/>
      <c r="AK475" s="77"/>
      <c r="AL475" s="77"/>
      <c r="AM475" s="77"/>
      <c r="AN475" s="77"/>
      <c r="AO475" s="77"/>
      <c r="AP475" s="77"/>
      <c r="AQ475" s="77"/>
      <c r="AR475" s="77"/>
      <c r="AS475" s="77"/>
      <c r="AT475" s="77"/>
      <c r="AU475" s="77"/>
      <c r="AV475" s="77"/>
      <c r="AW475" s="77"/>
      <c r="AX475" s="77"/>
      <c r="AY475" s="77"/>
      <c r="AZ475" s="77"/>
      <c r="BA475" s="77"/>
      <c r="BB475" s="77"/>
      <c r="BC475" s="77"/>
      <c r="BD475" s="77"/>
      <c r="BE475" s="77"/>
    </row>
    <row r="476">
      <c r="A476" s="77"/>
      <c r="B476" s="77"/>
      <c r="C476" s="77"/>
      <c r="D476" s="77"/>
      <c r="E476" s="188"/>
      <c r="F476" s="188"/>
      <c r="G476" s="188"/>
      <c r="H476" s="188"/>
      <c r="I476" s="188"/>
      <c r="J476" s="77"/>
      <c r="K476" s="77"/>
      <c r="L476" s="77"/>
      <c r="M476" s="77"/>
      <c r="N476" s="77"/>
      <c r="O476" s="77"/>
      <c r="P476" s="77"/>
      <c r="Q476" s="77"/>
      <c r="R476" s="77"/>
      <c r="S476" s="77"/>
      <c r="T476" s="77"/>
      <c r="U476" s="77"/>
      <c r="V476" s="77"/>
      <c r="W476" s="77"/>
      <c r="X476" s="77"/>
      <c r="Y476" s="77"/>
      <c r="Z476" s="77"/>
      <c r="AA476" s="77"/>
      <c r="AB476" s="77"/>
      <c r="AC476" s="77"/>
      <c r="AD476" s="227"/>
      <c r="AE476" s="77"/>
      <c r="AF476" s="227"/>
      <c r="AG476" s="77"/>
      <c r="AH476" s="77"/>
      <c r="AI476" s="77"/>
      <c r="AJ476" s="77"/>
      <c r="AK476" s="77"/>
      <c r="AL476" s="77"/>
      <c r="AM476" s="77"/>
      <c r="AN476" s="77"/>
      <c r="AO476" s="77"/>
      <c r="AP476" s="77"/>
      <c r="AQ476" s="77"/>
      <c r="AR476" s="77"/>
      <c r="AS476" s="77"/>
      <c r="AT476" s="77"/>
      <c r="AU476" s="77"/>
      <c r="AV476" s="77"/>
      <c r="AW476" s="77"/>
      <c r="AX476" s="77"/>
      <c r="AY476" s="77"/>
      <c r="AZ476" s="77"/>
      <c r="BA476" s="77"/>
      <c r="BB476" s="77"/>
      <c r="BC476" s="77"/>
      <c r="BD476" s="77"/>
      <c r="BE476" s="77"/>
    </row>
    <row r="477">
      <c r="A477" s="77"/>
      <c r="B477" s="77"/>
      <c r="C477" s="77"/>
      <c r="D477" s="77"/>
      <c r="E477" s="188"/>
      <c r="F477" s="188"/>
      <c r="G477" s="188"/>
      <c r="H477" s="188"/>
      <c r="I477" s="188"/>
      <c r="J477" s="77"/>
      <c r="K477" s="77"/>
      <c r="L477" s="77"/>
      <c r="M477" s="77"/>
      <c r="N477" s="77"/>
      <c r="O477" s="77"/>
      <c r="P477" s="77"/>
      <c r="Q477" s="77"/>
      <c r="R477" s="77"/>
      <c r="S477" s="77"/>
      <c r="T477" s="77"/>
      <c r="U477" s="77"/>
      <c r="V477" s="77"/>
      <c r="W477" s="77"/>
      <c r="X477" s="77"/>
      <c r="Y477" s="77"/>
      <c r="Z477" s="77"/>
      <c r="AA477" s="77"/>
      <c r="AB477" s="77"/>
      <c r="AC477" s="77"/>
      <c r="AD477" s="227"/>
      <c r="AE477" s="77"/>
      <c r="AF477" s="227"/>
      <c r="AG477" s="77"/>
      <c r="AH477" s="77"/>
      <c r="AI477" s="77"/>
      <c r="AJ477" s="77"/>
      <c r="AK477" s="77"/>
      <c r="AL477" s="77"/>
      <c r="AM477" s="77"/>
      <c r="AN477" s="77"/>
      <c r="AO477" s="77"/>
      <c r="AP477" s="77"/>
      <c r="AQ477" s="77"/>
      <c r="AR477" s="77"/>
      <c r="AS477" s="77"/>
      <c r="AT477" s="77"/>
      <c r="AU477" s="77"/>
      <c r="AV477" s="77"/>
      <c r="AW477" s="77"/>
      <c r="AX477" s="77"/>
      <c r="AY477" s="77"/>
      <c r="AZ477" s="77"/>
      <c r="BA477" s="77"/>
      <c r="BB477" s="77"/>
      <c r="BC477" s="77"/>
      <c r="BD477" s="77"/>
      <c r="BE477" s="77"/>
    </row>
    <row r="478">
      <c r="A478" s="77"/>
      <c r="B478" s="77"/>
      <c r="C478" s="77"/>
      <c r="D478" s="77"/>
      <c r="E478" s="188"/>
      <c r="F478" s="188"/>
      <c r="G478" s="188"/>
      <c r="H478" s="188"/>
      <c r="I478" s="188"/>
      <c r="J478" s="77"/>
      <c r="K478" s="77"/>
      <c r="L478" s="77"/>
      <c r="M478" s="77"/>
      <c r="N478" s="77"/>
      <c r="O478" s="77"/>
      <c r="P478" s="77"/>
      <c r="Q478" s="77"/>
      <c r="R478" s="77"/>
      <c r="S478" s="77"/>
      <c r="T478" s="77"/>
      <c r="U478" s="77"/>
      <c r="V478" s="77"/>
      <c r="W478" s="77"/>
      <c r="X478" s="77"/>
      <c r="Y478" s="77"/>
      <c r="Z478" s="77"/>
      <c r="AA478" s="77"/>
      <c r="AB478" s="77"/>
      <c r="AC478" s="77"/>
      <c r="AD478" s="227"/>
      <c r="AE478" s="77"/>
      <c r="AF478" s="227"/>
      <c r="AG478" s="77"/>
      <c r="AH478" s="77"/>
      <c r="AI478" s="77"/>
      <c r="AJ478" s="77"/>
      <c r="AK478" s="77"/>
      <c r="AL478" s="77"/>
      <c r="AM478" s="77"/>
      <c r="AN478" s="77"/>
      <c r="AO478" s="77"/>
      <c r="AP478" s="77"/>
      <c r="AQ478" s="77"/>
      <c r="AR478" s="77"/>
      <c r="AS478" s="77"/>
      <c r="AT478" s="77"/>
      <c r="AU478" s="77"/>
      <c r="AV478" s="77"/>
      <c r="AW478" s="77"/>
      <c r="AX478" s="77"/>
      <c r="AY478" s="77"/>
      <c r="AZ478" s="77"/>
      <c r="BA478" s="77"/>
      <c r="BB478" s="77"/>
      <c r="BC478" s="77"/>
      <c r="BD478" s="77"/>
      <c r="BE478" s="77"/>
    </row>
    <row r="479">
      <c r="A479" s="77"/>
      <c r="B479" s="77"/>
      <c r="C479" s="77"/>
      <c r="D479" s="77"/>
      <c r="E479" s="188"/>
      <c r="F479" s="188"/>
      <c r="G479" s="188"/>
      <c r="H479" s="188"/>
      <c r="I479" s="188"/>
      <c r="J479" s="77"/>
      <c r="K479" s="77"/>
      <c r="L479" s="77"/>
      <c r="M479" s="77"/>
      <c r="N479" s="77"/>
      <c r="O479" s="77"/>
      <c r="P479" s="77"/>
      <c r="Q479" s="77"/>
      <c r="R479" s="77"/>
      <c r="S479" s="77"/>
      <c r="T479" s="77"/>
      <c r="U479" s="77"/>
      <c r="V479" s="77"/>
      <c r="W479" s="77"/>
      <c r="X479" s="77"/>
      <c r="Y479" s="77"/>
      <c r="Z479" s="77"/>
      <c r="AA479" s="77"/>
      <c r="AB479" s="77"/>
      <c r="AC479" s="77"/>
      <c r="AD479" s="227"/>
      <c r="AE479" s="77"/>
      <c r="AF479" s="227"/>
      <c r="AG479" s="77"/>
      <c r="AH479" s="77"/>
      <c r="AI479" s="77"/>
      <c r="AJ479" s="77"/>
      <c r="AK479" s="77"/>
      <c r="AL479" s="77"/>
      <c r="AM479" s="77"/>
      <c r="AN479" s="77"/>
      <c r="AO479" s="77"/>
      <c r="AP479" s="77"/>
      <c r="AQ479" s="77"/>
      <c r="AR479" s="77"/>
      <c r="AS479" s="77"/>
      <c r="AT479" s="77"/>
      <c r="AU479" s="77"/>
      <c r="AV479" s="77"/>
      <c r="AW479" s="77"/>
      <c r="AX479" s="77"/>
      <c r="AY479" s="77"/>
      <c r="AZ479" s="77"/>
      <c r="BA479" s="77"/>
      <c r="BB479" s="77"/>
      <c r="BC479" s="77"/>
      <c r="BD479" s="77"/>
      <c r="BE479" s="77"/>
    </row>
    <row r="480">
      <c r="A480" s="77"/>
      <c r="B480" s="77"/>
      <c r="C480" s="77"/>
      <c r="D480" s="77"/>
      <c r="E480" s="188"/>
      <c r="F480" s="188"/>
      <c r="G480" s="188"/>
      <c r="H480" s="188"/>
      <c r="I480" s="188"/>
      <c r="J480" s="77"/>
      <c r="K480" s="77"/>
      <c r="L480" s="77"/>
      <c r="M480" s="77"/>
      <c r="N480" s="77"/>
      <c r="O480" s="77"/>
      <c r="P480" s="77"/>
      <c r="Q480" s="77"/>
      <c r="R480" s="77"/>
      <c r="S480" s="77"/>
      <c r="T480" s="77"/>
      <c r="U480" s="77"/>
      <c r="V480" s="77"/>
      <c r="W480" s="77"/>
      <c r="X480" s="77"/>
      <c r="Y480" s="77"/>
      <c r="Z480" s="77"/>
      <c r="AA480" s="77"/>
      <c r="AB480" s="77"/>
      <c r="AC480" s="77"/>
      <c r="AD480" s="227"/>
      <c r="AE480" s="77"/>
      <c r="AF480" s="227"/>
      <c r="AG480" s="77"/>
      <c r="AH480" s="77"/>
      <c r="AI480" s="77"/>
      <c r="AJ480" s="77"/>
      <c r="AK480" s="77"/>
      <c r="AL480" s="77"/>
      <c r="AM480" s="77"/>
      <c r="AN480" s="77"/>
      <c r="AO480" s="77"/>
      <c r="AP480" s="77"/>
      <c r="AQ480" s="77"/>
      <c r="AR480" s="77"/>
      <c r="AS480" s="77"/>
      <c r="AT480" s="77"/>
      <c r="AU480" s="77"/>
      <c r="AV480" s="77"/>
      <c r="AW480" s="77"/>
      <c r="AX480" s="77"/>
      <c r="AY480" s="77"/>
      <c r="AZ480" s="77"/>
      <c r="BA480" s="77"/>
      <c r="BB480" s="77"/>
      <c r="BC480" s="77"/>
      <c r="BD480" s="77"/>
      <c r="BE480" s="77"/>
    </row>
    <row r="481">
      <c r="A481" s="77"/>
      <c r="B481" s="77"/>
      <c r="C481" s="77"/>
      <c r="D481" s="77"/>
      <c r="E481" s="188"/>
      <c r="F481" s="188"/>
      <c r="G481" s="188"/>
      <c r="H481" s="188"/>
      <c r="I481" s="188"/>
      <c r="J481" s="77"/>
      <c r="K481" s="77"/>
      <c r="L481" s="77"/>
      <c r="M481" s="77"/>
      <c r="N481" s="77"/>
      <c r="O481" s="77"/>
      <c r="P481" s="77"/>
      <c r="Q481" s="77"/>
      <c r="R481" s="77"/>
      <c r="S481" s="77"/>
      <c r="T481" s="77"/>
      <c r="U481" s="77"/>
      <c r="V481" s="77"/>
      <c r="W481" s="77"/>
      <c r="X481" s="77"/>
      <c r="Y481" s="77"/>
      <c r="Z481" s="77"/>
      <c r="AA481" s="77"/>
      <c r="AB481" s="77"/>
      <c r="AC481" s="77"/>
      <c r="AD481" s="227"/>
      <c r="AE481" s="77"/>
      <c r="AF481" s="227"/>
      <c r="AG481" s="77"/>
      <c r="AH481" s="77"/>
      <c r="AI481" s="77"/>
      <c r="AJ481" s="77"/>
      <c r="AK481" s="77"/>
      <c r="AL481" s="77"/>
      <c r="AM481" s="77"/>
      <c r="AN481" s="77"/>
      <c r="AO481" s="77"/>
      <c r="AP481" s="77"/>
      <c r="AQ481" s="77"/>
      <c r="AR481" s="77"/>
      <c r="AS481" s="77"/>
      <c r="AT481" s="77"/>
      <c r="AU481" s="77"/>
      <c r="AV481" s="77"/>
      <c r="AW481" s="77"/>
      <c r="AX481" s="77"/>
      <c r="AY481" s="77"/>
      <c r="AZ481" s="77"/>
      <c r="BA481" s="77"/>
      <c r="BB481" s="77"/>
      <c r="BC481" s="77"/>
      <c r="BD481" s="77"/>
      <c r="BE481" s="77"/>
    </row>
    <row r="482">
      <c r="A482" s="77"/>
      <c r="B482" s="77"/>
      <c r="C482" s="77"/>
      <c r="D482" s="77"/>
      <c r="E482" s="188"/>
      <c r="F482" s="188"/>
      <c r="G482" s="188"/>
      <c r="H482" s="188"/>
      <c r="I482" s="188"/>
      <c r="J482" s="77"/>
      <c r="K482" s="77"/>
      <c r="L482" s="77"/>
      <c r="M482" s="77"/>
      <c r="N482" s="77"/>
      <c r="O482" s="77"/>
      <c r="P482" s="77"/>
      <c r="Q482" s="77"/>
      <c r="R482" s="77"/>
      <c r="S482" s="77"/>
      <c r="T482" s="77"/>
      <c r="U482" s="77"/>
      <c r="V482" s="77"/>
      <c r="W482" s="77"/>
      <c r="X482" s="77"/>
      <c r="Y482" s="77"/>
      <c r="Z482" s="77"/>
      <c r="AA482" s="77"/>
      <c r="AB482" s="77"/>
      <c r="AC482" s="77"/>
      <c r="AD482" s="227"/>
      <c r="AE482" s="77"/>
      <c r="AF482" s="227"/>
      <c r="AG482" s="77"/>
      <c r="AH482" s="77"/>
      <c r="AI482" s="77"/>
      <c r="AJ482" s="77"/>
      <c r="AK482" s="77"/>
      <c r="AL482" s="77"/>
      <c r="AM482" s="77"/>
      <c r="AN482" s="77"/>
      <c r="AO482" s="77"/>
      <c r="AP482" s="77"/>
      <c r="AQ482" s="77"/>
      <c r="AR482" s="77"/>
      <c r="AS482" s="77"/>
      <c r="AT482" s="77"/>
      <c r="AU482" s="77"/>
      <c r="AV482" s="77"/>
      <c r="AW482" s="77"/>
      <c r="AX482" s="77"/>
      <c r="AY482" s="77"/>
      <c r="AZ482" s="77"/>
      <c r="BA482" s="77"/>
      <c r="BB482" s="77"/>
      <c r="BC482" s="77"/>
      <c r="BD482" s="77"/>
      <c r="BE482" s="77"/>
    </row>
    <row r="483">
      <c r="A483" s="77"/>
      <c r="B483" s="77"/>
      <c r="C483" s="77"/>
      <c r="D483" s="77"/>
      <c r="E483" s="188"/>
      <c r="F483" s="188"/>
      <c r="G483" s="188"/>
      <c r="H483" s="188"/>
      <c r="I483" s="188"/>
      <c r="J483" s="77"/>
      <c r="K483" s="77"/>
      <c r="L483" s="77"/>
      <c r="M483" s="77"/>
      <c r="N483" s="77"/>
      <c r="O483" s="77"/>
      <c r="P483" s="77"/>
      <c r="Q483" s="77"/>
      <c r="R483" s="77"/>
      <c r="S483" s="77"/>
      <c r="T483" s="77"/>
      <c r="U483" s="77"/>
      <c r="V483" s="77"/>
      <c r="W483" s="77"/>
      <c r="X483" s="77"/>
      <c r="Y483" s="77"/>
      <c r="Z483" s="77"/>
      <c r="AA483" s="77"/>
      <c r="AB483" s="77"/>
      <c r="AC483" s="77"/>
      <c r="AD483" s="227"/>
      <c r="AE483" s="77"/>
      <c r="AF483" s="227"/>
      <c r="AG483" s="77"/>
      <c r="AH483" s="77"/>
      <c r="AI483" s="77"/>
      <c r="AJ483" s="77"/>
      <c r="AK483" s="77"/>
      <c r="AL483" s="77"/>
      <c r="AM483" s="77"/>
      <c r="AN483" s="77"/>
      <c r="AO483" s="77"/>
      <c r="AP483" s="77"/>
      <c r="AQ483" s="77"/>
      <c r="AR483" s="77"/>
      <c r="AS483" s="77"/>
      <c r="AT483" s="77"/>
      <c r="AU483" s="77"/>
      <c r="AV483" s="77"/>
      <c r="AW483" s="77"/>
      <c r="AX483" s="77"/>
      <c r="AY483" s="77"/>
      <c r="AZ483" s="77"/>
      <c r="BA483" s="77"/>
      <c r="BB483" s="77"/>
      <c r="BC483" s="77"/>
      <c r="BD483" s="77"/>
      <c r="BE483" s="77"/>
    </row>
    <row r="484">
      <c r="A484" s="77"/>
      <c r="B484" s="77"/>
      <c r="C484" s="77"/>
      <c r="D484" s="77"/>
      <c r="E484" s="188"/>
      <c r="F484" s="188"/>
      <c r="G484" s="188"/>
      <c r="H484" s="188"/>
      <c r="I484" s="188"/>
      <c r="J484" s="77"/>
      <c r="K484" s="77"/>
      <c r="L484" s="77"/>
      <c r="M484" s="77"/>
      <c r="N484" s="77"/>
      <c r="O484" s="77"/>
      <c r="P484" s="77"/>
      <c r="Q484" s="77"/>
      <c r="R484" s="77"/>
      <c r="S484" s="77"/>
      <c r="T484" s="77"/>
      <c r="U484" s="77"/>
      <c r="V484" s="77"/>
      <c r="W484" s="77"/>
      <c r="X484" s="77"/>
      <c r="Y484" s="77"/>
      <c r="Z484" s="77"/>
      <c r="AA484" s="77"/>
      <c r="AB484" s="77"/>
      <c r="AC484" s="77"/>
      <c r="AD484" s="227"/>
      <c r="AE484" s="77"/>
      <c r="AF484" s="227"/>
      <c r="AG484" s="77"/>
      <c r="AH484" s="77"/>
      <c r="AI484" s="77"/>
      <c r="AJ484" s="77"/>
      <c r="AK484" s="77"/>
      <c r="AL484" s="77"/>
      <c r="AM484" s="77"/>
      <c r="AN484" s="77"/>
      <c r="AO484" s="77"/>
      <c r="AP484" s="77"/>
      <c r="AQ484" s="77"/>
      <c r="AR484" s="77"/>
      <c r="AS484" s="77"/>
      <c r="AT484" s="77"/>
      <c r="AU484" s="77"/>
      <c r="AV484" s="77"/>
      <c r="AW484" s="77"/>
      <c r="AX484" s="77"/>
      <c r="AY484" s="77"/>
      <c r="AZ484" s="77"/>
      <c r="BA484" s="77"/>
      <c r="BB484" s="77"/>
      <c r="BC484" s="77"/>
      <c r="BD484" s="77"/>
      <c r="BE484" s="77"/>
    </row>
    <row r="485">
      <c r="A485" s="77"/>
      <c r="B485" s="77"/>
      <c r="C485" s="77"/>
      <c r="D485" s="77"/>
      <c r="E485" s="188"/>
      <c r="F485" s="188"/>
      <c r="G485" s="188"/>
      <c r="H485" s="188"/>
      <c r="I485" s="188"/>
      <c r="J485" s="77"/>
      <c r="K485" s="77"/>
      <c r="L485" s="77"/>
      <c r="M485" s="77"/>
      <c r="N485" s="77"/>
      <c r="O485" s="77"/>
      <c r="P485" s="77"/>
      <c r="Q485" s="77"/>
      <c r="R485" s="77"/>
      <c r="S485" s="77"/>
      <c r="T485" s="77"/>
      <c r="U485" s="77"/>
      <c r="V485" s="77"/>
      <c r="W485" s="77"/>
      <c r="X485" s="77"/>
      <c r="Y485" s="77"/>
      <c r="Z485" s="77"/>
      <c r="AA485" s="77"/>
      <c r="AB485" s="77"/>
      <c r="AC485" s="77"/>
      <c r="AD485" s="227"/>
      <c r="AE485" s="77"/>
      <c r="AF485" s="227"/>
      <c r="AG485" s="77"/>
      <c r="AH485" s="77"/>
      <c r="AI485" s="77"/>
      <c r="AJ485" s="77"/>
      <c r="AK485" s="77"/>
      <c r="AL485" s="77"/>
      <c r="AM485" s="77"/>
      <c r="AN485" s="77"/>
      <c r="AO485" s="77"/>
      <c r="AP485" s="77"/>
      <c r="AQ485" s="77"/>
      <c r="AR485" s="77"/>
      <c r="AS485" s="77"/>
      <c r="AT485" s="77"/>
      <c r="AU485" s="77"/>
      <c r="AV485" s="77"/>
      <c r="AW485" s="77"/>
      <c r="AX485" s="77"/>
      <c r="AY485" s="77"/>
      <c r="AZ485" s="77"/>
      <c r="BA485" s="77"/>
      <c r="BB485" s="77"/>
      <c r="BC485" s="77"/>
      <c r="BD485" s="77"/>
      <c r="BE485" s="77"/>
    </row>
    <row r="486">
      <c r="A486" s="77"/>
      <c r="B486" s="77"/>
      <c r="C486" s="77"/>
      <c r="D486" s="77"/>
      <c r="E486" s="188"/>
      <c r="F486" s="188"/>
      <c r="G486" s="188"/>
      <c r="H486" s="188"/>
      <c r="I486" s="188"/>
      <c r="J486" s="77"/>
      <c r="K486" s="77"/>
      <c r="L486" s="77"/>
      <c r="M486" s="77"/>
      <c r="N486" s="77"/>
      <c r="O486" s="77"/>
      <c r="P486" s="77"/>
      <c r="Q486" s="77"/>
      <c r="R486" s="77"/>
      <c r="S486" s="77"/>
      <c r="T486" s="77"/>
      <c r="U486" s="77"/>
      <c r="V486" s="77"/>
      <c r="W486" s="77"/>
      <c r="X486" s="77"/>
      <c r="Y486" s="77"/>
      <c r="Z486" s="77"/>
      <c r="AA486" s="77"/>
      <c r="AB486" s="77"/>
      <c r="AC486" s="77"/>
      <c r="AD486" s="227"/>
      <c r="AE486" s="77"/>
      <c r="AF486" s="227"/>
      <c r="AG486" s="77"/>
      <c r="AH486" s="77"/>
      <c r="AI486" s="77"/>
      <c r="AJ486" s="77"/>
      <c r="AK486" s="77"/>
      <c r="AL486" s="77"/>
      <c r="AM486" s="77"/>
      <c r="AN486" s="77"/>
      <c r="AO486" s="77"/>
      <c r="AP486" s="77"/>
      <c r="AQ486" s="77"/>
      <c r="AR486" s="77"/>
      <c r="AS486" s="77"/>
      <c r="AT486" s="77"/>
      <c r="AU486" s="77"/>
      <c r="AV486" s="77"/>
      <c r="AW486" s="77"/>
      <c r="AX486" s="77"/>
      <c r="AY486" s="77"/>
      <c r="AZ486" s="77"/>
      <c r="BA486" s="77"/>
      <c r="BB486" s="77"/>
      <c r="BC486" s="77"/>
      <c r="BD486" s="77"/>
      <c r="BE486" s="77"/>
    </row>
    <row r="487">
      <c r="A487" s="77"/>
      <c r="B487" s="77"/>
      <c r="C487" s="77"/>
      <c r="D487" s="77"/>
      <c r="E487" s="188"/>
      <c r="F487" s="188"/>
      <c r="G487" s="188"/>
      <c r="H487" s="188"/>
      <c r="I487" s="188"/>
      <c r="J487" s="77"/>
      <c r="K487" s="77"/>
      <c r="L487" s="77"/>
      <c r="M487" s="77"/>
      <c r="N487" s="77"/>
      <c r="O487" s="77"/>
      <c r="P487" s="77"/>
      <c r="Q487" s="77"/>
      <c r="R487" s="77"/>
      <c r="S487" s="77"/>
      <c r="T487" s="77"/>
      <c r="U487" s="77"/>
      <c r="V487" s="77"/>
      <c r="W487" s="77"/>
      <c r="X487" s="77"/>
      <c r="Y487" s="77"/>
      <c r="Z487" s="77"/>
      <c r="AA487" s="77"/>
      <c r="AB487" s="77"/>
      <c r="AC487" s="77"/>
      <c r="AD487" s="227"/>
      <c r="AE487" s="77"/>
      <c r="AF487" s="227"/>
      <c r="AG487" s="77"/>
      <c r="AH487" s="77"/>
      <c r="AI487" s="77"/>
      <c r="AJ487" s="77"/>
      <c r="AK487" s="77"/>
      <c r="AL487" s="77"/>
      <c r="AM487" s="77"/>
      <c r="AN487" s="77"/>
      <c r="AO487" s="77"/>
      <c r="AP487" s="77"/>
      <c r="AQ487" s="77"/>
      <c r="AR487" s="77"/>
      <c r="AS487" s="77"/>
      <c r="AT487" s="77"/>
      <c r="AU487" s="77"/>
      <c r="AV487" s="77"/>
      <c r="AW487" s="77"/>
      <c r="AX487" s="77"/>
      <c r="AY487" s="77"/>
      <c r="AZ487" s="77"/>
      <c r="BA487" s="77"/>
      <c r="BB487" s="77"/>
      <c r="BC487" s="77"/>
      <c r="BD487" s="77"/>
      <c r="BE487" s="77"/>
    </row>
    <row r="488">
      <c r="A488" s="77"/>
      <c r="B488" s="77"/>
      <c r="C488" s="77"/>
      <c r="D488" s="77"/>
      <c r="E488" s="188"/>
      <c r="F488" s="188"/>
      <c r="G488" s="188"/>
      <c r="H488" s="188"/>
      <c r="I488" s="188"/>
      <c r="J488" s="77"/>
      <c r="K488" s="77"/>
      <c r="L488" s="77"/>
      <c r="M488" s="77"/>
      <c r="N488" s="77"/>
      <c r="O488" s="77"/>
      <c r="P488" s="77"/>
      <c r="Q488" s="77"/>
      <c r="R488" s="77"/>
      <c r="S488" s="77"/>
      <c r="T488" s="77"/>
      <c r="U488" s="77"/>
      <c r="V488" s="77"/>
      <c r="W488" s="77"/>
      <c r="X488" s="77"/>
      <c r="Y488" s="77"/>
      <c r="Z488" s="77"/>
      <c r="AA488" s="77"/>
      <c r="AB488" s="77"/>
      <c r="AC488" s="77"/>
      <c r="AD488" s="227"/>
      <c r="AE488" s="77"/>
      <c r="AF488" s="227"/>
      <c r="AG488" s="77"/>
      <c r="AH488" s="77"/>
      <c r="AI488" s="77"/>
      <c r="AJ488" s="77"/>
      <c r="AK488" s="77"/>
      <c r="AL488" s="77"/>
      <c r="AM488" s="77"/>
      <c r="AN488" s="77"/>
      <c r="AO488" s="77"/>
      <c r="AP488" s="77"/>
      <c r="AQ488" s="77"/>
      <c r="AR488" s="77"/>
      <c r="AS488" s="77"/>
      <c r="AT488" s="77"/>
      <c r="AU488" s="77"/>
      <c r="AV488" s="77"/>
      <c r="AW488" s="77"/>
      <c r="AX488" s="77"/>
      <c r="AY488" s="77"/>
      <c r="AZ488" s="77"/>
      <c r="BA488" s="77"/>
      <c r="BB488" s="77"/>
      <c r="BC488" s="77"/>
      <c r="BD488" s="77"/>
      <c r="BE488" s="77"/>
    </row>
    <row r="489">
      <c r="A489" s="77"/>
      <c r="B489" s="77"/>
      <c r="C489" s="77"/>
      <c r="D489" s="77"/>
      <c r="E489" s="188"/>
      <c r="F489" s="188"/>
      <c r="G489" s="188"/>
      <c r="H489" s="188"/>
      <c r="I489" s="188"/>
      <c r="J489" s="77"/>
      <c r="K489" s="77"/>
      <c r="L489" s="77"/>
      <c r="M489" s="77"/>
      <c r="N489" s="77"/>
      <c r="O489" s="77"/>
      <c r="P489" s="77"/>
      <c r="Q489" s="77"/>
      <c r="R489" s="77"/>
      <c r="S489" s="77"/>
      <c r="T489" s="77"/>
      <c r="U489" s="77"/>
      <c r="V489" s="77"/>
      <c r="W489" s="77"/>
      <c r="X489" s="77"/>
      <c r="Y489" s="77"/>
      <c r="Z489" s="77"/>
      <c r="AA489" s="77"/>
      <c r="AB489" s="77"/>
      <c r="AC489" s="77"/>
      <c r="AD489" s="227"/>
      <c r="AE489" s="77"/>
      <c r="AF489" s="227"/>
      <c r="AG489" s="77"/>
      <c r="AH489" s="77"/>
      <c r="AI489" s="77"/>
      <c r="AJ489" s="77"/>
      <c r="AK489" s="77"/>
      <c r="AL489" s="77"/>
      <c r="AM489" s="77"/>
      <c r="AN489" s="77"/>
      <c r="AO489" s="77"/>
      <c r="AP489" s="77"/>
      <c r="AQ489" s="77"/>
      <c r="AR489" s="77"/>
      <c r="AS489" s="77"/>
      <c r="AT489" s="77"/>
      <c r="AU489" s="77"/>
      <c r="AV489" s="77"/>
      <c r="AW489" s="77"/>
      <c r="AX489" s="77"/>
      <c r="AY489" s="77"/>
      <c r="AZ489" s="77"/>
      <c r="BA489" s="77"/>
      <c r="BB489" s="77"/>
      <c r="BC489" s="77"/>
      <c r="BD489" s="77"/>
      <c r="BE489" s="77"/>
    </row>
    <row r="490">
      <c r="A490" s="77"/>
      <c r="B490" s="77"/>
      <c r="C490" s="77"/>
      <c r="D490" s="77"/>
      <c r="E490" s="188"/>
      <c r="F490" s="188"/>
      <c r="G490" s="188"/>
      <c r="H490" s="188"/>
      <c r="I490" s="188"/>
      <c r="J490" s="77"/>
      <c r="K490" s="77"/>
      <c r="L490" s="77"/>
      <c r="M490" s="77"/>
      <c r="N490" s="77"/>
      <c r="O490" s="77"/>
      <c r="P490" s="77"/>
      <c r="Q490" s="77"/>
      <c r="R490" s="77"/>
      <c r="S490" s="77"/>
      <c r="T490" s="77"/>
      <c r="U490" s="77"/>
      <c r="V490" s="77"/>
      <c r="W490" s="77"/>
      <c r="X490" s="77"/>
      <c r="Y490" s="77"/>
      <c r="Z490" s="77"/>
      <c r="AA490" s="77"/>
      <c r="AB490" s="77"/>
      <c r="AC490" s="77"/>
      <c r="AD490" s="227"/>
      <c r="AE490" s="77"/>
      <c r="AF490" s="227"/>
      <c r="AG490" s="77"/>
      <c r="AH490" s="77"/>
      <c r="AI490" s="77"/>
      <c r="AJ490" s="77"/>
      <c r="AK490" s="77"/>
      <c r="AL490" s="77"/>
      <c r="AM490" s="77"/>
      <c r="AN490" s="77"/>
      <c r="AO490" s="77"/>
      <c r="AP490" s="77"/>
      <c r="AQ490" s="77"/>
      <c r="AR490" s="77"/>
      <c r="AS490" s="77"/>
      <c r="AT490" s="77"/>
      <c r="AU490" s="77"/>
      <c r="AV490" s="77"/>
      <c r="AW490" s="77"/>
      <c r="AX490" s="77"/>
      <c r="AY490" s="77"/>
      <c r="AZ490" s="77"/>
      <c r="BA490" s="77"/>
      <c r="BB490" s="77"/>
      <c r="BC490" s="77"/>
      <c r="BD490" s="77"/>
      <c r="BE490" s="77"/>
    </row>
    <row r="491">
      <c r="A491" s="77"/>
      <c r="B491" s="77"/>
      <c r="C491" s="77"/>
      <c r="D491" s="77"/>
      <c r="E491" s="188"/>
      <c r="F491" s="188"/>
      <c r="G491" s="188"/>
      <c r="H491" s="188"/>
      <c r="I491" s="188"/>
      <c r="J491" s="77"/>
      <c r="K491" s="77"/>
      <c r="L491" s="77"/>
      <c r="M491" s="77"/>
      <c r="N491" s="77"/>
      <c r="O491" s="77"/>
      <c r="P491" s="77"/>
      <c r="Q491" s="77"/>
      <c r="R491" s="77"/>
      <c r="S491" s="77"/>
      <c r="T491" s="77"/>
      <c r="U491" s="77"/>
      <c r="V491" s="77"/>
      <c r="W491" s="77"/>
      <c r="X491" s="77"/>
      <c r="Y491" s="77"/>
      <c r="Z491" s="77"/>
      <c r="AA491" s="77"/>
      <c r="AB491" s="77"/>
      <c r="AC491" s="77"/>
      <c r="AD491" s="227"/>
      <c r="AE491" s="77"/>
      <c r="AF491" s="227"/>
      <c r="AG491" s="77"/>
      <c r="AH491" s="77"/>
      <c r="AI491" s="77"/>
      <c r="AJ491" s="77"/>
      <c r="AK491" s="77"/>
      <c r="AL491" s="77"/>
      <c r="AM491" s="77"/>
      <c r="AN491" s="77"/>
      <c r="AO491" s="77"/>
      <c r="AP491" s="77"/>
      <c r="AQ491" s="77"/>
      <c r="AR491" s="77"/>
      <c r="AS491" s="77"/>
      <c r="AT491" s="77"/>
      <c r="AU491" s="77"/>
      <c r="AV491" s="77"/>
      <c r="AW491" s="77"/>
      <c r="AX491" s="77"/>
      <c r="AY491" s="77"/>
      <c r="AZ491" s="77"/>
      <c r="BA491" s="77"/>
      <c r="BB491" s="77"/>
      <c r="BC491" s="77"/>
      <c r="BD491" s="77"/>
      <c r="BE491" s="77"/>
    </row>
    <row r="492">
      <c r="A492" s="77"/>
      <c r="B492" s="77"/>
      <c r="C492" s="77"/>
      <c r="D492" s="77"/>
      <c r="E492" s="188"/>
      <c r="F492" s="188"/>
      <c r="G492" s="188"/>
      <c r="H492" s="188"/>
      <c r="I492" s="188"/>
      <c r="J492" s="77"/>
      <c r="K492" s="77"/>
      <c r="L492" s="77"/>
      <c r="M492" s="77"/>
      <c r="N492" s="77"/>
      <c r="O492" s="77"/>
      <c r="P492" s="77"/>
      <c r="Q492" s="77"/>
      <c r="R492" s="77"/>
      <c r="S492" s="77"/>
      <c r="T492" s="77"/>
      <c r="U492" s="77"/>
      <c r="V492" s="77"/>
      <c r="W492" s="77"/>
      <c r="X492" s="77"/>
      <c r="Y492" s="77"/>
      <c r="Z492" s="77"/>
      <c r="AA492" s="77"/>
      <c r="AB492" s="77"/>
      <c r="AC492" s="77"/>
      <c r="AD492" s="227"/>
      <c r="AE492" s="77"/>
      <c r="AF492" s="227"/>
      <c r="AG492" s="77"/>
      <c r="AH492" s="77"/>
      <c r="AI492" s="77"/>
      <c r="AJ492" s="77"/>
      <c r="AK492" s="77"/>
      <c r="AL492" s="77"/>
      <c r="AM492" s="77"/>
      <c r="AN492" s="77"/>
      <c r="AO492" s="77"/>
      <c r="AP492" s="77"/>
      <c r="AQ492" s="77"/>
      <c r="AR492" s="77"/>
      <c r="AS492" s="77"/>
      <c r="AT492" s="77"/>
      <c r="AU492" s="77"/>
      <c r="AV492" s="77"/>
      <c r="AW492" s="77"/>
      <c r="AX492" s="77"/>
      <c r="AY492" s="77"/>
      <c r="AZ492" s="77"/>
      <c r="BA492" s="77"/>
      <c r="BB492" s="77"/>
      <c r="BC492" s="77"/>
      <c r="BD492" s="77"/>
      <c r="BE492" s="77"/>
    </row>
    <row r="493">
      <c r="A493" s="77"/>
      <c r="B493" s="77"/>
      <c r="C493" s="77"/>
      <c r="D493" s="77"/>
      <c r="E493" s="188"/>
      <c r="F493" s="188"/>
      <c r="G493" s="188"/>
      <c r="H493" s="188"/>
      <c r="I493" s="188"/>
      <c r="J493" s="77"/>
      <c r="K493" s="77"/>
      <c r="L493" s="77"/>
      <c r="M493" s="77"/>
      <c r="N493" s="77"/>
      <c r="O493" s="77"/>
      <c r="P493" s="77"/>
      <c r="Q493" s="77"/>
      <c r="R493" s="77"/>
      <c r="S493" s="77"/>
      <c r="T493" s="77"/>
      <c r="U493" s="77"/>
      <c r="V493" s="77"/>
      <c r="W493" s="77"/>
      <c r="X493" s="77"/>
      <c r="Y493" s="77"/>
      <c r="Z493" s="77"/>
      <c r="AA493" s="77"/>
      <c r="AB493" s="77"/>
      <c r="AC493" s="77"/>
      <c r="AD493" s="227"/>
      <c r="AE493" s="77"/>
      <c r="AF493" s="227"/>
      <c r="AG493" s="77"/>
      <c r="AH493" s="77"/>
      <c r="AI493" s="77"/>
      <c r="AJ493" s="77"/>
      <c r="AK493" s="77"/>
      <c r="AL493" s="77"/>
      <c r="AM493" s="77"/>
      <c r="AN493" s="77"/>
      <c r="AO493" s="77"/>
      <c r="AP493" s="77"/>
      <c r="AQ493" s="77"/>
      <c r="AR493" s="77"/>
      <c r="AS493" s="77"/>
      <c r="AT493" s="77"/>
      <c r="AU493" s="77"/>
      <c r="AV493" s="77"/>
      <c r="AW493" s="77"/>
      <c r="AX493" s="77"/>
      <c r="AY493" s="77"/>
      <c r="AZ493" s="77"/>
      <c r="BA493" s="77"/>
      <c r="BB493" s="77"/>
      <c r="BC493" s="77"/>
      <c r="BD493" s="77"/>
      <c r="BE493" s="77"/>
    </row>
    <row r="494">
      <c r="A494" s="77"/>
      <c r="B494" s="77"/>
      <c r="C494" s="77"/>
      <c r="D494" s="77"/>
      <c r="E494" s="188"/>
      <c r="F494" s="188"/>
      <c r="G494" s="188"/>
      <c r="H494" s="188"/>
      <c r="I494" s="188"/>
      <c r="J494" s="77"/>
      <c r="K494" s="77"/>
      <c r="L494" s="77"/>
      <c r="M494" s="77"/>
      <c r="N494" s="77"/>
      <c r="O494" s="77"/>
      <c r="P494" s="77"/>
      <c r="Q494" s="77"/>
      <c r="R494" s="77"/>
      <c r="S494" s="77"/>
      <c r="T494" s="77"/>
      <c r="U494" s="77"/>
      <c r="V494" s="77"/>
      <c r="W494" s="77"/>
      <c r="X494" s="77"/>
      <c r="Y494" s="77"/>
      <c r="Z494" s="77"/>
      <c r="AA494" s="77"/>
      <c r="AB494" s="77"/>
      <c r="AC494" s="77"/>
      <c r="AD494" s="227"/>
      <c r="AE494" s="77"/>
      <c r="AF494" s="227"/>
      <c r="AG494" s="77"/>
      <c r="AH494" s="77"/>
      <c r="AI494" s="77"/>
      <c r="AJ494" s="77"/>
      <c r="AK494" s="77"/>
      <c r="AL494" s="77"/>
      <c r="AM494" s="77"/>
      <c r="AN494" s="77"/>
      <c r="AO494" s="77"/>
      <c r="AP494" s="77"/>
      <c r="AQ494" s="77"/>
      <c r="AR494" s="77"/>
      <c r="AS494" s="77"/>
      <c r="AT494" s="77"/>
      <c r="AU494" s="77"/>
      <c r="AV494" s="77"/>
      <c r="AW494" s="77"/>
      <c r="AX494" s="77"/>
      <c r="AY494" s="77"/>
      <c r="AZ494" s="77"/>
      <c r="BA494" s="77"/>
      <c r="BB494" s="77"/>
      <c r="BC494" s="77"/>
      <c r="BD494" s="77"/>
      <c r="BE494" s="77"/>
    </row>
    <row r="495">
      <c r="A495" s="77"/>
      <c r="B495" s="77"/>
      <c r="C495" s="77"/>
      <c r="D495" s="77"/>
      <c r="E495" s="188"/>
      <c r="F495" s="188"/>
      <c r="G495" s="188"/>
      <c r="H495" s="188"/>
      <c r="I495" s="188"/>
      <c r="J495" s="77"/>
      <c r="K495" s="77"/>
      <c r="L495" s="77"/>
      <c r="M495" s="77"/>
      <c r="N495" s="77"/>
      <c r="O495" s="77"/>
      <c r="P495" s="77"/>
      <c r="Q495" s="77"/>
      <c r="R495" s="77"/>
      <c r="S495" s="77"/>
      <c r="T495" s="77"/>
      <c r="U495" s="77"/>
      <c r="V495" s="77"/>
      <c r="W495" s="77"/>
      <c r="X495" s="77"/>
      <c r="Y495" s="77"/>
      <c r="Z495" s="77"/>
      <c r="AA495" s="77"/>
      <c r="AB495" s="77"/>
      <c r="AC495" s="77"/>
      <c r="AD495" s="227"/>
      <c r="AE495" s="77"/>
      <c r="AF495" s="227"/>
      <c r="AG495" s="77"/>
      <c r="AH495" s="77"/>
      <c r="AI495" s="77"/>
      <c r="AJ495" s="77"/>
      <c r="AK495" s="77"/>
      <c r="AL495" s="77"/>
      <c r="AM495" s="77"/>
      <c r="AN495" s="77"/>
      <c r="AO495" s="77"/>
      <c r="AP495" s="77"/>
      <c r="AQ495" s="77"/>
      <c r="AR495" s="77"/>
      <c r="AS495" s="77"/>
      <c r="AT495" s="77"/>
      <c r="AU495" s="77"/>
      <c r="AV495" s="77"/>
      <c r="AW495" s="77"/>
      <c r="AX495" s="77"/>
      <c r="AY495" s="77"/>
      <c r="AZ495" s="77"/>
      <c r="BA495" s="77"/>
      <c r="BB495" s="77"/>
      <c r="BC495" s="77"/>
      <c r="BD495" s="77"/>
      <c r="BE495" s="77"/>
    </row>
    <row r="496">
      <c r="A496" s="77"/>
      <c r="B496" s="77"/>
      <c r="C496" s="77"/>
      <c r="D496" s="77"/>
      <c r="E496" s="188"/>
      <c r="F496" s="188"/>
      <c r="G496" s="188"/>
      <c r="H496" s="188"/>
      <c r="I496" s="188"/>
      <c r="J496" s="77"/>
      <c r="K496" s="77"/>
      <c r="L496" s="77"/>
      <c r="M496" s="77"/>
      <c r="N496" s="77"/>
      <c r="O496" s="77"/>
      <c r="P496" s="77"/>
      <c r="Q496" s="77"/>
      <c r="R496" s="77"/>
      <c r="S496" s="77"/>
      <c r="T496" s="77"/>
      <c r="U496" s="77"/>
      <c r="V496" s="77"/>
      <c r="W496" s="77"/>
      <c r="X496" s="77"/>
      <c r="Y496" s="77"/>
      <c r="Z496" s="77"/>
      <c r="AA496" s="77"/>
      <c r="AB496" s="77"/>
      <c r="AC496" s="77"/>
      <c r="AD496" s="227"/>
      <c r="AE496" s="77"/>
      <c r="AF496" s="227"/>
      <c r="AG496" s="77"/>
      <c r="AH496" s="77"/>
      <c r="AI496" s="77"/>
      <c r="AJ496" s="77"/>
      <c r="AK496" s="77"/>
      <c r="AL496" s="77"/>
      <c r="AM496" s="77"/>
      <c r="AN496" s="77"/>
      <c r="AO496" s="77"/>
      <c r="AP496" s="77"/>
      <c r="AQ496" s="77"/>
      <c r="AR496" s="77"/>
      <c r="AS496" s="77"/>
      <c r="AT496" s="77"/>
      <c r="AU496" s="77"/>
      <c r="AV496" s="77"/>
      <c r="AW496" s="77"/>
      <c r="AX496" s="77"/>
      <c r="AY496" s="77"/>
      <c r="AZ496" s="77"/>
      <c r="BA496" s="77"/>
      <c r="BB496" s="77"/>
      <c r="BC496" s="77"/>
      <c r="BD496" s="77"/>
      <c r="BE496" s="77"/>
    </row>
    <row r="497">
      <c r="A497" s="77"/>
      <c r="B497" s="77"/>
      <c r="C497" s="77"/>
      <c r="D497" s="77"/>
      <c r="E497" s="188"/>
      <c r="F497" s="188"/>
      <c r="G497" s="188"/>
      <c r="H497" s="188"/>
      <c r="I497" s="188"/>
      <c r="J497" s="77"/>
      <c r="K497" s="77"/>
      <c r="L497" s="77"/>
      <c r="M497" s="77"/>
      <c r="N497" s="77"/>
      <c r="O497" s="77"/>
      <c r="P497" s="77"/>
      <c r="Q497" s="77"/>
      <c r="R497" s="77"/>
      <c r="S497" s="77"/>
      <c r="T497" s="77"/>
      <c r="U497" s="77"/>
      <c r="V497" s="77"/>
      <c r="W497" s="77"/>
      <c r="X497" s="77"/>
      <c r="Y497" s="77"/>
      <c r="Z497" s="77"/>
      <c r="AA497" s="77"/>
      <c r="AB497" s="77"/>
      <c r="AC497" s="77"/>
      <c r="AD497" s="227"/>
      <c r="AE497" s="77"/>
      <c r="AF497" s="227"/>
      <c r="AG497" s="77"/>
      <c r="AH497" s="77"/>
      <c r="AI497" s="77"/>
      <c r="AJ497" s="77"/>
      <c r="AK497" s="77"/>
      <c r="AL497" s="77"/>
      <c r="AM497" s="77"/>
      <c r="AN497" s="77"/>
      <c r="AO497" s="77"/>
      <c r="AP497" s="77"/>
      <c r="AQ497" s="77"/>
      <c r="AR497" s="77"/>
      <c r="AS497" s="77"/>
      <c r="AT497" s="77"/>
      <c r="AU497" s="77"/>
      <c r="AV497" s="77"/>
      <c r="AW497" s="77"/>
      <c r="AX497" s="77"/>
      <c r="AY497" s="77"/>
      <c r="AZ497" s="77"/>
      <c r="BA497" s="77"/>
      <c r="BB497" s="77"/>
      <c r="BC497" s="77"/>
      <c r="BD497" s="77"/>
      <c r="BE497" s="77"/>
    </row>
    <row r="498">
      <c r="A498" s="77"/>
      <c r="B498" s="77"/>
      <c r="C498" s="77"/>
      <c r="D498" s="77"/>
      <c r="E498" s="188"/>
      <c r="F498" s="188"/>
      <c r="G498" s="188"/>
      <c r="H498" s="188"/>
      <c r="I498" s="188"/>
      <c r="J498" s="77"/>
      <c r="K498" s="77"/>
      <c r="L498" s="77"/>
      <c r="M498" s="77"/>
      <c r="N498" s="77"/>
      <c r="O498" s="77"/>
      <c r="P498" s="77"/>
      <c r="Q498" s="77"/>
      <c r="R498" s="77"/>
      <c r="S498" s="77"/>
      <c r="T498" s="77"/>
      <c r="U498" s="77"/>
      <c r="V498" s="77"/>
      <c r="W498" s="77"/>
      <c r="X498" s="77"/>
      <c r="Y498" s="77"/>
      <c r="Z498" s="77"/>
      <c r="AA498" s="77"/>
      <c r="AB498" s="77"/>
      <c r="AC498" s="77"/>
      <c r="AD498" s="227"/>
      <c r="AE498" s="77"/>
      <c r="AF498" s="227"/>
      <c r="AG498" s="77"/>
      <c r="AH498" s="77"/>
      <c r="AI498" s="77"/>
      <c r="AJ498" s="77"/>
      <c r="AK498" s="77"/>
      <c r="AL498" s="77"/>
      <c r="AM498" s="77"/>
      <c r="AN498" s="77"/>
      <c r="AO498" s="77"/>
      <c r="AP498" s="77"/>
      <c r="AQ498" s="77"/>
      <c r="AR498" s="77"/>
      <c r="AS498" s="77"/>
      <c r="AT498" s="77"/>
      <c r="AU498" s="77"/>
      <c r="AV498" s="77"/>
      <c r="AW498" s="77"/>
      <c r="AX498" s="77"/>
      <c r="AY498" s="77"/>
      <c r="AZ498" s="77"/>
      <c r="BA498" s="77"/>
      <c r="BB498" s="77"/>
      <c r="BC498" s="77"/>
      <c r="BD498" s="77"/>
      <c r="BE498" s="77"/>
    </row>
    <row r="499">
      <c r="A499" s="77"/>
      <c r="B499" s="77"/>
      <c r="C499" s="77"/>
      <c r="D499" s="77"/>
      <c r="E499" s="188"/>
      <c r="F499" s="188"/>
      <c r="G499" s="188"/>
      <c r="H499" s="188"/>
      <c r="I499" s="188"/>
      <c r="J499" s="77"/>
      <c r="K499" s="77"/>
      <c r="L499" s="77"/>
      <c r="M499" s="77"/>
      <c r="N499" s="77"/>
      <c r="O499" s="77"/>
      <c r="P499" s="77"/>
      <c r="Q499" s="77"/>
      <c r="R499" s="77"/>
      <c r="S499" s="77"/>
      <c r="T499" s="77"/>
      <c r="U499" s="77"/>
      <c r="V499" s="77"/>
      <c r="W499" s="77"/>
      <c r="X499" s="77"/>
      <c r="Y499" s="77"/>
      <c r="Z499" s="77"/>
      <c r="AA499" s="77"/>
      <c r="AB499" s="77"/>
      <c r="AC499" s="77"/>
      <c r="AD499" s="227"/>
      <c r="AE499" s="77"/>
      <c r="AF499" s="227"/>
      <c r="AG499" s="77"/>
      <c r="AH499" s="77"/>
      <c r="AI499" s="77"/>
      <c r="AJ499" s="77"/>
      <c r="AK499" s="77"/>
      <c r="AL499" s="77"/>
      <c r="AM499" s="77"/>
      <c r="AN499" s="77"/>
      <c r="AO499" s="77"/>
      <c r="AP499" s="77"/>
      <c r="AQ499" s="77"/>
      <c r="AR499" s="77"/>
      <c r="AS499" s="77"/>
      <c r="AT499" s="77"/>
      <c r="AU499" s="77"/>
      <c r="AV499" s="77"/>
      <c r="AW499" s="77"/>
      <c r="AX499" s="77"/>
      <c r="AY499" s="77"/>
      <c r="AZ499" s="77"/>
      <c r="BA499" s="77"/>
      <c r="BB499" s="77"/>
      <c r="BC499" s="77"/>
      <c r="BD499" s="77"/>
      <c r="BE499" s="77"/>
    </row>
    <row r="500">
      <c r="A500" s="77"/>
      <c r="B500" s="77"/>
      <c r="C500" s="77"/>
      <c r="D500" s="77"/>
      <c r="E500" s="188"/>
      <c r="F500" s="188"/>
      <c r="G500" s="188"/>
      <c r="H500" s="188"/>
      <c r="I500" s="188"/>
      <c r="J500" s="77"/>
      <c r="K500" s="77"/>
      <c r="L500" s="77"/>
      <c r="M500" s="77"/>
      <c r="N500" s="77"/>
      <c r="O500" s="77"/>
      <c r="P500" s="77"/>
      <c r="Q500" s="77"/>
      <c r="R500" s="77"/>
      <c r="S500" s="77"/>
      <c r="T500" s="77"/>
      <c r="U500" s="77"/>
      <c r="V500" s="77"/>
      <c r="W500" s="77"/>
      <c r="X500" s="77"/>
      <c r="Y500" s="77"/>
      <c r="Z500" s="77"/>
      <c r="AA500" s="77"/>
      <c r="AB500" s="77"/>
      <c r="AC500" s="77"/>
      <c r="AD500" s="227"/>
      <c r="AE500" s="77"/>
      <c r="AF500" s="227"/>
      <c r="AG500" s="77"/>
      <c r="AH500" s="77"/>
      <c r="AI500" s="77"/>
      <c r="AJ500" s="77"/>
      <c r="AK500" s="77"/>
      <c r="AL500" s="77"/>
      <c r="AM500" s="77"/>
      <c r="AN500" s="77"/>
      <c r="AO500" s="77"/>
      <c r="AP500" s="77"/>
      <c r="AQ500" s="77"/>
      <c r="AR500" s="77"/>
      <c r="AS500" s="77"/>
      <c r="AT500" s="77"/>
      <c r="AU500" s="77"/>
      <c r="AV500" s="77"/>
      <c r="AW500" s="77"/>
      <c r="AX500" s="77"/>
      <c r="AY500" s="77"/>
      <c r="AZ500" s="77"/>
      <c r="BA500" s="77"/>
      <c r="BB500" s="77"/>
      <c r="BC500" s="77"/>
      <c r="BD500" s="77"/>
      <c r="BE500" s="77"/>
    </row>
    <row r="501">
      <c r="A501" s="77"/>
      <c r="B501" s="77"/>
      <c r="C501" s="77"/>
      <c r="D501" s="77"/>
      <c r="E501" s="188"/>
      <c r="F501" s="188"/>
      <c r="G501" s="188"/>
      <c r="H501" s="188"/>
      <c r="I501" s="188"/>
      <c r="J501" s="77"/>
      <c r="K501" s="77"/>
      <c r="L501" s="77"/>
      <c r="M501" s="77"/>
      <c r="N501" s="77"/>
      <c r="O501" s="77"/>
      <c r="P501" s="77"/>
      <c r="Q501" s="77"/>
      <c r="R501" s="77"/>
      <c r="S501" s="77"/>
      <c r="T501" s="77"/>
      <c r="U501" s="77"/>
      <c r="V501" s="77"/>
      <c r="W501" s="77"/>
      <c r="X501" s="77"/>
      <c r="Y501" s="77"/>
      <c r="Z501" s="77"/>
      <c r="AA501" s="77"/>
      <c r="AB501" s="77"/>
      <c r="AC501" s="77"/>
      <c r="AD501" s="227"/>
      <c r="AE501" s="77"/>
      <c r="AF501" s="227"/>
      <c r="AG501" s="77"/>
      <c r="AH501" s="77"/>
      <c r="AI501" s="77"/>
      <c r="AJ501" s="77"/>
      <c r="AK501" s="77"/>
      <c r="AL501" s="77"/>
      <c r="AM501" s="77"/>
      <c r="AN501" s="77"/>
      <c r="AO501" s="77"/>
      <c r="AP501" s="77"/>
      <c r="AQ501" s="77"/>
      <c r="AR501" s="77"/>
      <c r="AS501" s="77"/>
      <c r="AT501" s="77"/>
      <c r="AU501" s="77"/>
      <c r="AV501" s="77"/>
      <c r="AW501" s="77"/>
      <c r="AX501" s="77"/>
      <c r="AY501" s="77"/>
      <c r="AZ501" s="77"/>
      <c r="BA501" s="77"/>
      <c r="BB501" s="77"/>
      <c r="BC501" s="77"/>
      <c r="BD501" s="77"/>
      <c r="BE501" s="77"/>
    </row>
    <row r="502">
      <c r="A502" s="77"/>
      <c r="B502" s="77"/>
      <c r="C502" s="77"/>
      <c r="D502" s="77"/>
      <c r="E502" s="188"/>
      <c r="F502" s="188"/>
      <c r="G502" s="188"/>
      <c r="H502" s="188"/>
      <c r="I502" s="188"/>
      <c r="J502" s="77"/>
      <c r="K502" s="77"/>
      <c r="L502" s="77"/>
      <c r="M502" s="77"/>
      <c r="N502" s="77"/>
      <c r="O502" s="77"/>
      <c r="P502" s="77"/>
      <c r="Q502" s="77"/>
      <c r="R502" s="77"/>
      <c r="S502" s="77"/>
      <c r="T502" s="77"/>
      <c r="U502" s="77"/>
      <c r="V502" s="77"/>
      <c r="W502" s="77"/>
      <c r="X502" s="77"/>
      <c r="Y502" s="77"/>
      <c r="Z502" s="77"/>
      <c r="AA502" s="77"/>
      <c r="AB502" s="77"/>
      <c r="AC502" s="77"/>
      <c r="AD502" s="227"/>
      <c r="AE502" s="77"/>
      <c r="AF502" s="227"/>
      <c r="AG502" s="77"/>
      <c r="AH502" s="77"/>
      <c r="AI502" s="77"/>
      <c r="AJ502" s="77"/>
      <c r="AK502" s="77"/>
      <c r="AL502" s="77"/>
      <c r="AM502" s="77"/>
      <c r="AN502" s="77"/>
      <c r="AO502" s="77"/>
      <c r="AP502" s="77"/>
      <c r="AQ502" s="77"/>
      <c r="AR502" s="77"/>
      <c r="AS502" s="77"/>
      <c r="AT502" s="77"/>
      <c r="AU502" s="77"/>
      <c r="AV502" s="77"/>
      <c r="AW502" s="77"/>
      <c r="AX502" s="77"/>
      <c r="AY502" s="77"/>
      <c r="AZ502" s="77"/>
      <c r="BA502" s="77"/>
      <c r="BB502" s="77"/>
      <c r="BC502" s="77"/>
      <c r="BD502" s="77"/>
      <c r="BE502" s="77"/>
    </row>
    <row r="503">
      <c r="A503" s="77"/>
      <c r="B503" s="77"/>
      <c r="C503" s="77"/>
      <c r="D503" s="77"/>
      <c r="E503" s="188"/>
      <c r="F503" s="188"/>
      <c r="G503" s="188"/>
      <c r="H503" s="188"/>
      <c r="I503" s="188"/>
      <c r="J503" s="77"/>
      <c r="K503" s="77"/>
      <c r="L503" s="77"/>
      <c r="M503" s="77"/>
      <c r="N503" s="77"/>
      <c r="O503" s="77"/>
      <c r="P503" s="77"/>
      <c r="Q503" s="77"/>
      <c r="R503" s="77"/>
      <c r="S503" s="77"/>
      <c r="T503" s="77"/>
      <c r="U503" s="77"/>
      <c r="V503" s="77"/>
      <c r="W503" s="77"/>
      <c r="X503" s="77"/>
      <c r="Y503" s="77"/>
      <c r="Z503" s="77"/>
      <c r="AA503" s="77"/>
      <c r="AB503" s="77"/>
      <c r="AC503" s="77"/>
      <c r="AD503" s="227"/>
      <c r="AE503" s="77"/>
      <c r="AF503" s="227"/>
      <c r="AG503" s="77"/>
      <c r="AH503" s="77"/>
      <c r="AI503" s="77"/>
      <c r="AJ503" s="77"/>
      <c r="AK503" s="77"/>
      <c r="AL503" s="77"/>
      <c r="AM503" s="77"/>
      <c r="AN503" s="77"/>
      <c r="AO503" s="77"/>
      <c r="AP503" s="77"/>
      <c r="AQ503" s="77"/>
      <c r="AR503" s="77"/>
      <c r="AS503" s="77"/>
      <c r="AT503" s="77"/>
      <c r="AU503" s="77"/>
      <c r="AV503" s="77"/>
      <c r="AW503" s="77"/>
      <c r="AX503" s="77"/>
      <c r="AY503" s="77"/>
      <c r="AZ503" s="77"/>
      <c r="BA503" s="77"/>
      <c r="BB503" s="77"/>
      <c r="BC503" s="77"/>
      <c r="BD503" s="77"/>
      <c r="BE503" s="77"/>
    </row>
    <row r="504">
      <c r="A504" s="77"/>
      <c r="B504" s="77"/>
      <c r="C504" s="77"/>
      <c r="D504" s="77"/>
      <c r="E504" s="188"/>
      <c r="F504" s="188"/>
      <c r="G504" s="188"/>
      <c r="H504" s="188"/>
      <c r="I504" s="188"/>
      <c r="J504" s="77"/>
      <c r="K504" s="77"/>
      <c r="L504" s="77"/>
      <c r="M504" s="77"/>
      <c r="N504" s="77"/>
      <c r="O504" s="77"/>
      <c r="P504" s="77"/>
      <c r="Q504" s="77"/>
      <c r="R504" s="77"/>
      <c r="S504" s="77"/>
      <c r="T504" s="77"/>
      <c r="U504" s="77"/>
      <c r="V504" s="77"/>
      <c r="W504" s="77"/>
      <c r="X504" s="77"/>
      <c r="Y504" s="77"/>
      <c r="Z504" s="77"/>
      <c r="AA504" s="77"/>
      <c r="AB504" s="77"/>
      <c r="AC504" s="77"/>
      <c r="AD504" s="227"/>
      <c r="AE504" s="77"/>
      <c r="AF504" s="227"/>
      <c r="AG504" s="77"/>
      <c r="AH504" s="77"/>
      <c r="AI504" s="77"/>
      <c r="AJ504" s="77"/>
      <c r="AK504" s="77"/>
      <c r="AL504" s="77"/>
      <c r="AM504" s="77"/>
      <c r="AN504" s="77"/>
      <c r="AO504" s="77"/>
      <c r="AP504" s="77"/>
      <c r="AQ504" s="77"/>
      <c r="AR504" s="77"/>
      <c r="AS504" s="77"/>
      <c r="AT504" s="77"/>
      <c r="AU504" s="77"/>
      <c r="AV504" s="77"/>
      <c r="AW504" s="77"/>
      <c r="AX504" s="77"/>
      <c r="AY504" s="77"/>
      <c r="AZ504" s="77"/>
      <c r="BA504" s="77"/>
      <c r="BB504" s="77"/>
      <c r="BC504" s="77"/>
      <c r="BD504" s="77"/>
      <c r="BE504" s="77"/>
    </row>
    <row r="505">
      <c r="A505" s="77"/>
      <c r="B505" s="77"/>
      <c r="C505" s="77"/>
      <c r="D505" s="77"/>
      <c r="E505" s="188"/>
      <c r="F505" s="188"/>
      <c r="G505" s="188"/>
      <c r="H505" s="188"/>
      <c r="I505" s="188"/>
      <c r="J505" s="77"/>
      <c r="K505" s="77"/>
      <c r="L505" s="77"/>
      <c r="M505" s="77"/>
      <c r="N505" s="77"/>
      <c r="O505" s="77"/>
      <c r="P505" s="77"/>
      <c r="Q505" s="77"/>
      <c r="R505" s="77"/>
      <c r="S505" s="77"/>
      <c r="T505" s="77"/>
      <c r="U505" s="77"/>
      <c r="V505" s="77"/>
      <c r="W505" s="77"/>
      <c r="X505" s="77"/>
      <c r="Y505" s="77"/>
      <c r="Z505" s="77"/>
      <c r="AA505" s="77"/>
      <c r="AB505" s="77"/>
      <c r="AC505" s="77"/>
      <c r="AD505" s="227"/>
      <c r="AE505" s="77"/>
      <c r="AF505" s="227"/>
      <c r="AG505" s="77"/>
      <c r="AH505" s="77"/>
      <c r="AI505" s="77"/>
      <c r="AJ505" s="77"/>
      <c r="AK505" s="77"/>
      <c r="AL505" s="77"/>
      <c r="AM505" s="77"/>
      <c r="AN505" s="77"/>
      <c r="AO505" s="77"/>
      <c r="AP505" s="77"/>
      <c r="AQ505" s="77"/>
      <c r="AR505" s="77"/>
      <c r="AS505" s="77"/>
      <c r="AT505" s="77"/>
      <c r="AU505" s="77"/>
      <c r="AV505" s="77"/>
      <c r="AW505" s="77"/>
      <c r="AX505" s="77"/>
      <c r="AY505" s="77"/>
      <c r="AZ505" s="77"/>
      <c r="BA505" s="77"/>
      <c r="BB505" s="77"/>
      <c r="BC505" s="77"/>
      <c r="BD505" s="77"/>
      <c r="BE505" s="77"/>
    </row>
    <row r="506">
      <c r="A506" s="77"/>
      <c r="B506" s="77"/>
      <c r="C506" s="77"/>
      <c r="D506" s="77"/>
      <c r="E506" s="188"/>
      <c r="F506" s="188"/>
      <c r="G506" s="188"/>
      <c r="H506" s="188"/>
      <c r="I506" s="188"/>
      <c r="J506" s="77"/>
      <c r="K506" s="77"/>
      <c r="L506" s="77"/>
      <c r="M506" s="77"/>
      <c r="N506" s="77"/>
      <c r="O506" s="77"/>
      <c r="P506" s="77"/>
      <c r="Q506" s="77"/>
      <c r="R506" s="77"/>
      <c r="S506" s="77"/>
      <c r="T506" s="77"/>
      <c r="U506" s="77"/>
      <c r="V506" s="77"/>
      <c r="W506" s="77"/>
      <c r="X506" s="77"/>
      <c r="Y506" s="77"/>
      <c r="Z506" s="77"/>
      <c r="AA506" s="77"/>
      <c r="AB506" s="77"/>
      <c r="AC506" s="77"/>
      <c r="AD506" s="227"/>
      <c r="AE506" s="77"/>
      <c r="AF506" s="227"/>
      <c r="AG506" s="77"/>
      <c r="AH506" s="77"/>
      <c r="AI506" s="77"/>
      <c r="AJ506" s="77"/>
      <c r="AK506" s="77"/>
      <c r="AL506" s="77"/>
      <c r="AM506" s="77"/>
      <c r="AN506" s="77"/>
      <c r="AO506" s="77"/>
      <c r="AP506" s="77"/>
      <c r="AQ506" s="77"/>
      <c r="AR506" s="77"/>
      <c r="AS506" s="77"/>
      <c r="AT506" s="77"/>
      <c r="AU506" s="77"/>
      <c r="AV506" s="77"/>
      <c r="AW506" s="77"/>
      <c r="AX506" s="77"/>
      <c r="AY506" s="77"/>
      <c r="AZ506" s="77"/>
      <c r="BA506" s="77"/>
      <c r="BB506" s="77"/>
      <c r="BC506" s="77"/>
      <c r="BD506" s="77"/>
      <c r="BE506" s="77"/>
    </row>
    <row r="507">
      <c r="A507" s="77"/>
      <c r="B507" s="77"/>
      <c r="C507" s="77"/>
      <c r="D507" s="77"/>
      <c r="E507" s="188"/>
      <c r="F507" s="188"/>
      <c r="G507" s="188"/>
      <c r="H507" s="188"/>
      <c r="I507" s="188"/>
      <c r="J507" s="77"/>
      <c r="K507" s="77"/>
      <c r="L507" s="77"/>
      <c r="M507" s="77"/>
      <c r="N507" s="77"/>
      <c r="O507" s="77"/>
      <c r="P507" s="77"/>
      <c r="Q507" s="77"/>
      <c r="R507" s="77"/>
      <c r="S507" s="77"/>
      <c r="T507" s="77"/>
      <c r="U507" s="77"/>
      <c r="V507" s="77"/>
      <c r="W507" s="77"/>
      <c r="X507" s="77"/>
      <c r="Y507" s="77"/>
      <c r="Z507" s="77"/>
      <c r="AA507" s="77"/>
      <c r="AB507" s="77"/>
      <c r="AC507" s="77"/>
      <c r="AD507" s="227"/>
      <c r="AE507" s="77"/>
      <c r="AF507" s="227"/>
      <c r="AG507" s="77"/>
      <c r="AH507" s="77"/>
      <c r="AI507" s="77"/>
      <c r="AJ507" s="77"/>
      <c r="AK507" s="77"/>
      <c r="AL507" s="77"/>
      <c r="AM507" s="77"/>
      <c r="AN507" s="77"/>
      <c r="AO507" s="77"/>
      <c r="AP507" s="77"/>
      <c r="AQ507" s="77"/>
      <c r="AR507" s="77"/>
      <c r="AS507" s="77"/>
      <c r="AT507" s="77"/>
      <c r="AU507" s="77"/>
      <c r="AV507" s="77"/>
      <c r="AW507" s="77"/>
      <c r="AX507" s="77"/>
      <c r="AY507" s="77"/>
      <c r="AZ507" s="77"/>
      <c r="BA507" s="77"/>
      <c r="BB507" s="77"/>
      <c r="BC507" s="77"/>
      <c r="BD507" s="77"/>
      <c r="BE507" s="77"/>
    </row>
    <row r="508">
      <c r="A508" s="77"/>
      <c r="B508" s="77"/>
      <c r="C508" s="77"/>
      <c r="D508" s="77"/>
      <c r="E508" s="188"/>
      <c r="F508" s="188"/>
      <c r="G508" s="188"/>
      <c r="H508" s="188"/>
      <c r="I508" s="188"/>
      <c r="J508" s="77"/>
      <c r="K508" s="77"/>
      <c r="L508" s="77"/>
      <c r="M508" s="77"/>
      <c r="N508" s="77"/>
      <c r="O508" s="77"/>
      <c r="P508" s="77"/>
      <c r="Q508" s="77"/>
      <c r="R508" s="77"/>
      <c r="S508" s="77"/>
      <c r="T508" s="77"/>
      <c r="U508" s="77"/>
      <c r="V508" s="77"/>
      <c r="W508" s="77"/>
      <c r="X508" s="77"/>
      <c r="Y508" s="77"/>
      <c r="Z508" s="77"/>
      <c r="AA508" s="77"/>
      <c r="AB508" s="77"/>
      <c r="AC508" s="77"/>
      <c r="AD508" s="227"/>
      <c r="AE508" s="77"/>
      <c r="AF508" s="227"/>
      <c r="AG508" s="77"/>
      <c r="AH508" s="77"/>
      <c r="AI508" s="77"/>
      <c r="AJ508" s="77"/>
      <c r="AK508" s="77"/>
      <c r="AL508" s="77"/>
      <c r="AM508" s="77"/>
      <c r="AN508" s="77"/>
      <c r="AO508" s="77"/>
      <c r="AP508" s="77"/>
      <c r="AQ508" s="77"/>
      <c r="AR508" s="77"/>
      <c r="AS508" s="77"/>
      <c r="AT508" s="77"/>
      <c r="AU508" s="77"/>
      <c r="AV508" s="77"/>
      <c r="AW508" s="77"/>
      <c r="AX508" s="77"/>
      <c r="AY508" s="77"/>
      <c r="AZ508" s="77"/>
      <c r="BA508" s="77"/>
      <c r="BB508" s="77"/>
      <c r="BC508" s="77"/>
      <c r="BD508" s="77"/>
      <c r="BE508" s="77"/>
    </row>
    <row r="509">
      <c r="A509" s="77"/>
      <c r="B509" s="77"/>
      <c r="C509" s="77"/>
      <c r="D509" s="77"/>
      <c r="E509" s="188"/>
      <c r="F509" s="188"/>
      <c r="G509" s="188"/>
      <c r="H509" s="188"/>
      <c r="I509" s="188"/>
      <c r="J509" s="77"/>
      <c r="K509" s="77"/>
      <c r="L509" s="77"/>
      <c r="M509" s="77"/>
      <c r="N509" s="77"/>
      <c r="O509" s="77"/>
      <c r="P509" s="77"/>
      <c r="Q509" s="77"/>
      <c r="R509" s="77"/>
      <c r="S509" s="77"/>
      <c r="T509" s="77"/>
      <c r="U509" s="77"/>
      <c r="V509" s="77"/>
      <c r="W509" s="77"/>
      <c r="X509" s="77"/>
      <c r="Y509" s="77"/>
      <c r="Z509" s="77"/>
      <c r="AA509" s="77"/>
      <c r="AB509" s="77"/>
      <c r="AC509" s="77"/>
      <c r="AD509" s="227"/>
      <c r="AE509" s="77"/>
      <c r="AF509" s="227"/>
      <c r="AG509" s="77"/>
      <c r="AH509" s="77"/>
      <c r="AI509" s="77"/>
      <c r="AJ509" s="77"/>
      <c r="AK509" s="77"/>
      <c r="AL509" s="77"/>
      <c r="AM509" s="77"/>
      <c r="AN509" s="77"/>
      <c r="AO509" s="77"/>
      <c r="AP509" s="77"/>
      <c r="AQ509" s="77"/>
      <c r="AR509" s="77"/>
      <c r="AS509" s="77"/>
      <c r="AT509" s="77"/>
      <c r="AU509" s="77"/>
      <c r="AV509" s="77"/>
      <c r="AW509" s="77"/>
      <c r="AX509" s="77"/>
      <c r="AY509" s="77"/>
      <c r="AZ509" s="77"/>
      <c r="BA509" s="77"/>
      <c r="BB509" s="77"/>
      <c r="BC509" s="77"/>
      <c r="BD509" s="77"/>
      <c r="BE509" s="77"/>
    </row>
    <row r="510">
      <c r="A510" s="77"/>
      <c r="B510" s="77"/>
      <c r="C510" s="77"/>
      <c r="D510" s="77"/>
      <c r="E510" s="188"/>
      <c r="F510" s="188"/>
      <c r="G510" s="188"/>
      <c r="H510" s="188"/>
      <c r="I510" s="188"/>
      <c r="J510" s="77"/>
      <c r="K510" s="77"/>
      <c r="L510" s="77"/>
      <c r="M510" s="77"/>
      <c r="N510" s="77"/>
      <c r="O510" s="77"/>
      <c r="P510" s="77"/>
      <c r="Q510" s="77"/>
      <c r="R510" s="77"/>
      <c r="S510" s="77"/>
      <c r="T510" s="77"/>
      <c r="U510" s="77"/>
      <c r="V510" s="77"/>
      <c r="W510" s="77"/>
      <c r="X510" s="77"/>
      <c r="Y510" s="77"/>
      <c r="Z510" s="77"/>
      <c r="AA510" s="77"/>
      <c r="AB510" s="77"/>
      <c r="AC510" s="77"/>
      <c r="AD510" s="227"/>
      <c r="AE510" s="77"/>
      <c r="AF510" s="227"/>
      <c r="AG510" s="77"/>
      <c r="AH510" s="77"/>
      <c r="AI510" s="77"/>
      <c r="AJ510" s="77"/>
      <c r="AK510" s="77"/>
      <c r="AL510" s="77"/>
      <c r="AM510" s="77"/>
      <c r="AN510" s="77"/>
      <c r="AO510" s="77"/>
      <c r="AP510" s="77"/>
      <c r="AQ510" s="77"/>
      <c r="AR510" s="77"/>
      <c r="AS510" s="77"/>
      <c r="AT510" s="77"/>
      <c r="AU510" s="77"/>
      <c r="AV510" s="77"/>
      <c r="AW510" s="77"/>
      <c r="AX510" s="77"/>
      <c r="AY510" s="77"/>
      <c r="AZ510" s="77"/>
      <c r="BA510" s="77"/>
      <c r="BB510" s="77"/>
      <c r="BC510" s="77"/>
      <c r="BD510" s="77"/>
      <c r="BE510" s="77"/>
    </row>
    <row r="511">
      <c r="A511" s="77"/>
      <c r="B511" s="77"/>
      <c r="C511" s="77"/>
      <c r="D511" s="77"/>
      <c r="E511" s="188"/>
      <c r="F511" s="188"/>
      <c r="G511" s="188"/>
      <c r="H511" s="188"/>
      <c r="I511" s="188"/>
      <c r="J511" s="77"/>
      <c r="K511" s="77"/>
      <c r="L511" s="77"/>
      <c r="M511" s="77"/>
      <c r="N511" s="77"/>
      <c r="O511" s="77"/>
      <c r="P511" s="77"/>
      <c r="Q511" s="77"/>
      <c r="R511" s="77"/>
      <c r="S511" s="77"/>
      <c r="T511" s="77"/>
      <c r="U511" s="77"/>
      <c r="V511" s="77"/>
      <c r="W511" s="77"/>
      <c r="X511" s="77"/>
      <c r="Y511" s="77"/>
      <c r="Z511" s="77"/>
      <c r="AA511" s="77"/>
      <c r="AB511" s="77"/>
      <c r="AC511" s="77"/>
      <c r="AD511" s="227"/>
      <c r="AE511" s="77"/>
      <c r="AF511" s="227"/>
      <c r="AG511" s="77"/>
      <c r="AH511" s="77"/>
      <c r="AI511" s="77"/>
      <c r="AJ511" s="77"/>
      <c r="AK511" s="77"/>
      <c r="AL511" s="77"/>
      <c r="AM511" s="77"/>
      <c r="AN511" s="77"/>
      <c r="AO511" s="77"/>
      <c r="AP511" s="77"/>
      <c r="AQ511" s="77"/>
      <c r="AR511" s="77"/>
      <c r="AS511" s="77"/>
      <c r="AT511" s="77"/>
      <c r="AU511" s="77"/>
      <c r="AV511" s="77"/>
      <c r="AW511" s="77"/>
      <c r="AX511" s="77"/>
      <c r="AY511" s="77"/>
      <c r="AZ511" s="77"/>
      <c r="BA511" s="77"/>
      <c r="BB511" s="77"/>
      <c r="BC511" s="77"/>
      <c r="BD511" s="77"/>
      <c r="BE511" s="77"/>
    </row>
    <row r="512">
      <c r="A512" s="77"/>
      <c r="B512" s="77"/>
      <c r="C512" s="77"/>
      <c r="D512" s="77"/>
      <c r="E512" s="188"/>
      <c r="F512" s="188"/>
      <c r="G512" s="188"/>
      <c r="H512" s="188"/>
      <c r="I512" s="188"/>
      <c r="J512" s="77"/>
      <c r="K512" s="77"/>
      <c r="L512" s="77"/>
      <c r="M512" s="77"/>
      <c r="N512" s="77"/>
      <c r="O512" s="77"/>
      <c r="P512" s="77"/>
      <c r="Q512" s="77"/>
      <c r="R512" s="77"/>
      <c r="S512" s="77"/>
      <c r="T512" s="77"/>
      <c r="U512" s="77"/>
      <c r="V512" s="77"/>
      <c r="W512" s="77"/>
      <c r="X512" s="77"/>
      <c r="Y512" s="77"/>
      <c r="Z512" s="77"/>
      <c r="AA512" s="77"/>
      <c r="AB512" s="77"/>
      <c r="AC512" s="77"/>
      <c r="AD512" s="227"/>
      <c r="AE512" s="77"/>
      <c r="AF512" s="227"/>
      <c r="AG512" s="77"/>
      <c r="AH512" s="77"/>
      <c r="AI512" s="77"/>
      <c r="AJ512" s="77"/>
      <c r="AK512" s="77"/>
      <c r="AL512" s="77"/>
      <c r="AM512" s="77"/>
      <c r="AN512" s="77"/>
      <c r="AO512" s="77"/>
      <c r="AP512" s="77"/>
      <c r="AQ512" s="77"/>
      <c r="AR512" s="77"/>
      <c r="AS512" s="77"/>
      <c r="AT512" s="77"/>
      <c r="AU512" s="77"/>
      <c r="AV512" s="77"/>
      <c r="AW512" s="77"/>
      <c r="AX512" s="77"/>
      <c r="AY512" s="77"/>
      <c r="AZ512" s="77"/>
      <c r="BA512" s="77"/>
      <c r="BB512" s="77"/>
      <c r="BC512" s="77"/>
      <c r="BD512" s="77"/>
      <c r="BE512" s="77"/>
    </row>
    <row r="513">
      <c r="A513" s="77"/>
      <c r="B513" s="77"/>
      <c r="C513" s="77"/>
      <c r="D513" s="77"/>
      <c r="E513" s="188"/>
      <c r="F513" s="188"/>
      <c r="G513" s="188"/>
      <c r="H513" s="188"/>
      <c r="I513" s="188"/>
      <c r="J513" s="77"/>
      <c r="K513" s="77"/>
      <c r="L513" s="77"/>
      <c r="M513" s="77"/>
      <c r="N513" s="77"/>
      <c r="O513" s="77"/>
      <c r="P513" s="77"/>
      <c r="Q513" s="77"/>
      <c r="R513" s="77"/>
      <c r="S513" s="77"/>
      <c r="T513" s="77"/>
      <c r="U513" s="77"/>
      <c r="V513" s="77"/>
      <c r="W513" s="77"/>
      <c r="X513" s="77"/>
      <c r="Y513" s="77"/>
      <c r="Z513" s="77"/>
      <c r="AA513" s="77"/>
      <c r="AB513" s="77"/>
      <c r="AC513" s="77"/>
      <c r="AD513" s="227"/>
      <c r="AE513" s="77"/>
      <c r="AF513" s="227"/>
      <c r="AG513" s="77"/>
      <c r="AH513" s="77"/>
      <c r="AI513" s="77"/>
      <c r="AJ513" s="77"/>
      <c r="AK513" s="77"/>
      <c r="AL513" s="77"/>
      <c r="AM513" s="77"/>
      <c r="AN513" s="77"/>
      <c r="AO513" s="77"/>
      <c r="AP513" s="77"/>
      <c r="AQ513" s="77"/>
      <c r="AR513" s="77"/>
      <c r="AS513" s="77"/>
      <c r="AT513" s="77"/>
      <c r="AU513" s="77"/>
      <c r="AV513" s="77"/>
      <c r="AW513" s="77"/>
      <c r="AX513" s="77"/>
      <c r="AY513" s="77"/>
      <c r="AZ513" s="77"/>
      <c r="BA513" s="77"/>
      <c r="BB513" s="77"/>
      <c r="BC513" s="77"/>
      <c r="BD513" s="77"/>
      <c r="BE513" s="77"/>
    </row>
    <row r="514">
      <c r="A514" s="77"/>
      <c r="B514" s="77"/>
      <c r="C514" s="77"/>
      <c r="D514" s="77"/>
      <c r="E514" s="188"/>
      <c r="F514" s="188"/>
      <c r="G514" s="188"/>
      <c r="H514" s="188"/>
      <c r="I514" s="188"/>
      <c r="J514" s="77"/>
      <c r="K514" s="77"/>
      <c r="L514" s="77"/>
      <c r="M514" s="77"/>
      <c r="N514" s="77"/>
      <c r="O514" s="77"/>
      <c r="P514" s="77"/>
      <c r="Q514" s="77"/>
      <c r="R514" s="77"/>
      <c r="S514" s="77"/>
      <c r="T514" s="77"/>
      <c r="U514" s="77"/>
      <c r="V514" s="77"/>
      <c r="W514" s="77"/>
      <c r="X514" s="77"/>
      <c r="Y514" s="77"/>
      <c r="Z514" s="77"/>
      <c r="AA514" s="77"/>
      <c r="AB514" s="77"/>
      <c r="AC514" s="77"/>
      <c r="AD514" s="227"/>
      <c r="AE514" s="77"/>
      <c r="AF514" s="227"/>
      <c r="AG514" s="77"/>
      <c r="AH514" s="77"/>
      <c r="AI514" s="77"/>
      <c r="AJ514" s="77"/>
      <c r="AK514" s="77"/>
      <c r="AL514" s="77"/>
      <c r="AM514" s="77"/>
      <c r="AN514" s="77"/>
      <c r="AO514" s="77"/>
      <c r="AP514" s="77"/>
      <c r="AQ514" s="77"/>
      <c r="AR514" s="77"/>
      <c r="AS514" s="77"/>
      <c r="AT514" s="77"/>
      <c r="AU514" s="77"/>
      <c r="AV514" s="77"/>
      <c r="AW514" s="77"/>
      <c r="AX514" s="77"/>
      <c r="AY514" s="77"/>
      <c r="AZ514" s="77"/>
      <c r="BA514" s="77"/>
      <c r="BB514" s="77"/>
      <c r="BC514" s="77"/>
      <c r="BD514" s="77"/>
      <c r="BE514" s="77"/>
    </row>
    <row r="515">
      <c r="A515" s="77"/>
      <c r="B515" s="77"/>
      <c r="C515" s="77"/>
      <c r="D515" s="77"/>
      <c r="E515" s="188"/>
      <c r="F515" s="188"/>
      <c r="G515" s="188"/>
      <c r="H515" s="188"/>
      <c r="I515" s="188"/>
      <c r="J515" s="77"/>
      <c r="K515" s="77"/>
      <c r="L515" s="77"/>
      <c r="M515" s="77"/>
      <c r="N515" s="77"/>
      <c r="O515" s="77"/>
      <c r="P515" s="77"/>
      <c r="Q515" s="77"/>
      <c r="R515" s="77"/>
      <c r="S515" s="77"/>
      <c r="T515" s="77"/>
      <c r="U515" s="77"/>
      <c r="V515" s="77"/>
      <c r="W515" s="77"/>
      <c r="X515" s="77"/>
      <c r="Y515" s="77"/>
      <c r="Z515" s="77"/>
      <c r="AA515" s="77"/>
      <c r="AB515" s="77"/>
      <c r="AC515" s="77"/>
      <c r="AD515" s="227"/>
      <c r="AE515" s="77"/>
      <c r="AF515" s="227"/>
      <c r="AG515" s="77"/>
      <c r="AH515" s="77"/>
      <c r="AI515" s="77"/>
      <c r="AJ515" s="77"/>
      <c r="AK515" s="77"/>
      <c r="AL515" s="77"/>
      <c r="AM515" s="77"/>
      <c r="AN515" s="77"/>
      <c r="AO515" s="77"/>
      <c r="AP515" s="77"/>
      <c r="AQ515" s="77"/>
      <c r="AR515" s="77"/>
      <c r="AS515" s="77"/>
      <c r="AT515" s="77"/>
      <c r="AU515" s="77"/>
      <c r="AV515" s="77"/>
      <c r="AW515" s="77"/>
      <c r="AX515" s="77"/>
      <c r="AY515" s="77"/>
      <c r="AZ515" s="77"/>
      <c r="BA515" s="77"/>
      <c r="BB515" s="77"/>
      <c r="BC515" s="77"/>
      <c r="BD515" s="77"/>
      <c r="BE515" s="77"/>
    </row>
    <row r="516">
      <c r="A516" s="77"/>
      <c r="B516" s="77"/>
      <c r="C516" s="77"/>
      <c r="D516" s="77"/>
      <c r="E516" s="188"/>
      <c r="F516" s="188"/>
      <c r="G516" s="188"/>
      <c r="H516" s="188"/>
      <c r="I516" s="188"/>
      <c r="J516" s="77"/>
      <c r="K516" s="77"/>
      <c r="L516" s="77"/>
      <c r="M516" s="77"/>
      <c r="N516" s="77"/>
      <c r="O516" s="77"/>
      <c r="P516" s="77"/>
      <c r="Q516" s="77"/>
      <c r="R516" s="77"/>
      <c r="S516" s="77"/>
      <c r="T516" s="77"/>
      <c r="U516" s="77"/>
      <c r="V516" s="77"/>
      <c r="W516" s="77"/>
      <c r="X516" s="77"/>
      <c r="Y516" s="77"/>
      <c r="Z516" s="77"/>
      <c r="AA516" s="77"/>
      <c r="AB516" s="77"/>
      <c r="AC516" s="77"/>
      <c r="AD516" s="227"/>
      <c r="AE516" s="77"/>
      <c r="AF516" s="227"/>
      <c r="AG516" s="77"/>
      <c r="AH516" s="77"/>
      <c r="AI516" s="77"/>
      <c r="AJ516" s="77"/>
      <c r="AK516" s="77"/>
      <c r="AL516" s="77"/>
      <c r="AM516" s="77"/>
      <c r="AN516" s="77"/>
      <c r="AO516" s="77"/>
      <c r="AP516" s="77"/>
      <c r="AQ516" s="77"/>
      <c r="AR516" s="77"/>
      <c r="AS516" s="77"/>
      <c r="AT516" s="77"/>
      <c r="AU516" s="77"/>
      <c r="AV516" s="77"/>
      <c r="AW516" s="77"/>
      <c r="AX516" s="77"/>
      <c r="AY516" s="77"/>
      <c r="AZ516" s="77"/>
      <c r="BA516" s="77"/>
      <c r="BB516" s="77"/>
      <c r="BC516" s="77"/>
      <c r="BD516" s="77"/>
      <c r="BE516" s="77"/>
    </row>
    <row r="517">
      <c r="A517" s="77"/>
      <c r="B517" s="77"/>
      <c r="C517" s="77"/>
      <c r="D517" s="77"/>
      <c r="E517" s="188"/>
      <c r="F517" s="188"/>
      <c r="G517" s="188"/>
      <c r="H517" s="188"/>
      <c r="I517" s="188"/>
      <c r="J517" s="77"/>
      <c r="K517" s="77"/>
      <c r="L517" s="77"/>
      <c r="M517" s="77"/>
      <c r="N517" s="77"/>
      <c r="O517" s="77"/>
      <c r="P517" s="77"/>
      <c r="Q517" s="77"/>
      <c r="R517" s="77"/>
      <c r="S517" s="77"/>
      <c r="T517" s="77"/>
      <c r="U517" s="77"/>
      <c r="V517" s="77"/>
      <c r="W517" s="77"/>
      <c r="X517" s="77"/>
      <c r="Y517" s="77"/>
      <c r="Z517" s="77"/>
      <c r="AA517" s="77"/>
      <c r="AB517" s="77"/>
      <c r="AC517" s="77"/>
      <c r="AD517" s="227"/>
      <c r="AE517" s="77"/>
      <c r="AF517" s="227"/>
      <c r="AG517" s="77"/>
      <c r="AH517" s="77"/>
      <c r="AI517" s="77"/>
      <c r="AJ517" s="77"/>
      <c r="AK517" s="77"/>
      <c r="AL517" s="77"/>
      <c r="AM517" s="77"/>
      <c r="AN517" s="77"/>
      <c r="AO517" s="77"/>
      <c r="AP517" s="77"/>
      <c r="AQ517" s="77"/>
      <c r="AR517" s="77"/>
      <c r="AS517" s="77"/>
      <c r="AT517" s="77"/>
      <c r="AU517" s="77"/>
      <c r="AV517" s="77"/>
      <c r="AW517" s="77"/>
      <c r="AX517" s="77"/>
      <c r="AY517" s="77"/>
      <c r="AZ517" s="77"/>
      <c r="BA517" s="77"/>
      <c r="BB517" s="77"/>
      <c r="BC517" s="77"/>
      <c r="BD517" s="77"/>
      <c r="BE517" s="77"/>
    </row>
    <row r="518">
      <c r="A518" s="77"/>
      <c r="B518" s="77"/>
      <c r="C518" s="77"/>
      <c r="D518" s="77"/>
      <c r="E518" s="188"/>
      <c r="F518" s="188"/>
      <c r="G518" s="188"/>
      <c r="H518" s="188"/>
      <c r="I518" s="188"/>
      <c r="J518" s="77"/>
      <c r="K518" s="77"/>
      <c r="L518" s="77"/>
      <c r="M518" s="77"/>
      <c r="N518" s="77"/>
      <c r="O518" s="77"/>
      <c r="P518" s="77"/>
      <c r="Q518" s="77"/>
      <c r="R518" s="77"/>
      <c r="S518" s="77"/>
      <c r="T518" s="77"/>
      <c r="U518" s="77"/>
      <c r="V518" s="77"/>
      <c r="W518" s="77"/>
      <c r="X518" s="77"/>
      <c r="Y518" s="77"/>
      <c r="Z518" s="77"/>
      <c r="AA518" s="77"/>
      <c r="AB518" s="77"/>
      <c r="AC518" s="77"/>
      <c r="AD518" s="227"/>
      <c r="AE518" s="77"/>
      <c r="AF518" s="227"/>
      <c r="AG518" s="77"/>
      <c r="AH518" s="77"/>
      <c r="AI518" s="77"/>
      <c r="AJ518" s="77"/>
      <c r="AK518" s="77"/>
      <c r="AL518" s="77"/>
      <c r="AM518" s="77"/>
      <c r="AN518" s="77"/>
      <c r="AO518" s="77"/>
      <c r="AP518" s="77"/>
      <c r="AQ518" s="77"/>
      <c r="AR518" s="77"/>
      <c r="AS518" s="77"/>
      <c r="AT518" s="77"/>
      <c r="AU518" s="77"/>
      <c r="AV518" s="77"/>
      <c r="AW518" s="77"/>
      <c r="AX518" s="77"/>
      <c r="AY518" s="77"/>
      <c r="AZ518" s="77"/>
      <c r="BA518" s="77"/>
      <c r="BB518" s="77"/>
      <c r="BC518" s="77"/>
      <c r="BD518" s="77"/>
      <c r="BE518" s="77"/>
    </row>
    <row r="519">
      <c r="A519" s="77"/>
      <c r="B519" s="77"/>
      <c r="C519" s="77"/>
      <c r="D519" s="77"/>
      <c r="E519" s="188"/>
      <c r="F519" s="188"/>
      <c r="G519" s="188"/>
      <c r="H519" s="188"/>
      <c r="I519" s="188"/>
      <c r="J519" s="77"/>
      <c r="K519" s="77"/>
      <c r="L519" s="77"/>
      <c r="M519" s="77"/>
      <c r="N519" s="77"/>
      <c r="O519" s="77"/>
      <c r="P519" s="77"/>
      <c r="Q519" s="77"/>
      <c r="R519" s="77"/>
      <c r="S519" s="77"/>
      <c r="T519" s="77"/>
      <c r="U519" s="77"/>
      <c r="V519" s="77"/>
      <c r="W519" s="77"/>
      <c r="X519" s="77"/>
      <c r="Y519" s="77"/>
      <c r="Z519" s="77"/>
      <c r="AA519" s="77"/>
      <c r="AB519" s="77"/>
      <c r="AC519" s="77"/>
      <c r="AD519" s="227"/>
      <c r="AE519" s="77"/>
      <c r="AF519" s="227"/>
      <c r="AG519" s="77"/>
      <c r="AH519" s="77"/>
      <c r="AI519" s="77"/>
      <c r="AJ519" s="77"/>
      <c r="AK519" s="77"/>
      <c r="AL519" s="77"/>
      <c r="AM519" s="77"/>
      <c r="AN519" s="77"/>
      <c r="AO519" s="77"/>
      <c r="AP519" s="77"/>
      <c r="AQ519" s="77"/>
      <c r="AR519" s="77"/>
      <c r="AS519" s="77"/>
      <c r="AT519" s="77"/>
      <c r="AU519" s="77"/>
      <c r="AV519" s="77"/>
      <c r="AW519" s="77"/>
      <c r="AX519" s="77"/>
      <c r="AY519" s="77"/>
      <c r="AZ519" s="77"/>
      <c r="BA519" s="77"/>
      <c r="BB519" s="77"/>
      <c r="BC519" s="77"/>
      <c r="BD519" s="77"/>
      <c r="BE519" s="77"/>
    </row>
    <row r="520">
      <c r="A520" s="77"/>
      <c r="B520" s="77"/>
      <c r="C520" s="77"/>
      <c r="D520" s="77"/>
      <c r="E520" s="188"/>
      <c r="F520" s="188"/>
      <c r="G520" s="188"/>
      <c r="H520" s="188"/>
      <c r="I520" s="188"/>
      <c r="J520" s="77"/>
      <c r="K520" s="77"/>
      <c r="L520" s="77"/>
      <c r="M520" s="77"/>
      <c r="N520" s="77"/>
      <c r="O520" s="77"/>
      <c r="P520" s="77"/>
      <c r="Q520" s="77"/>
      <c r="R520" s="77"/>
      <c r="S520" s="77"/>
      <c r="T520" s="77"/>
      <c r="U520" s="77"/>
      <c r="V520" s="77"/>
      <c r="W520" s="77"/>
      <c r="X520" s="77"/>
      <c r="Y520" s="77"/>
      <c r="Z520" s="77"/>
      <c r="AA520" s="77"/>
      <c r="AB520" s="77"/>
      <c r="AC520" s="77"/>
      <c r="AD520" s="227"/>
      <c r="AE520" s="77"/>
      <c r="AF520" s="227"/>
      <c r="AG520" s="77"/>
      <c r="AH520" s="77"/>
      <c r="AI520" s="77"/>
      <c r="AJ520" s="77"/>
      <c r="AK520" s="77"/>
      <c r="AL520" s="77"/>
      <c r="AM520" s="77"/>
      <c r="AN520" s="77"/>
      <c r="AO520" s="77"/>
      <c r="AP520" s="77"/>
      <c r="AQ520" s="77"/>
      <c r="AR520" s="77"/>
      <c r="AS520" s="77"/>
      <c r="AT520" s="77"/>
      <c r="AU520" s="77"/>
      <c r="AV520" s="77"/>
      <c r="AW520" s="77"/>
      <c r="AX520" s="77"/>
      <c r="AY520" s="77"/>
      <c r="AZ520" s="77"/>
      <c r="BA520" s="77"/>
      <c r="BB520" s="77"/>
      <c r="BC520" s="77"/>
      <c r="BD520" s="77"/>
      <c r="BE520" s="77"/>
    </row>
    <row r="521">
      <c r="A521" s="77"/>
      <c r="B521" s="77"/>
      <c r="C521" s="77"/>
      <c r="D521" s="77"/>
      <c r="E521" s="188"/>
      <c r="F521" s="188"/>
      <c r="G521" s="188"/>
      <c r="H521" s="188"/>
      <c r="I521" s="188"/>
      <c r="J521" s="77"/>
      <c r="K521" s="77"/>
      <c r="L521" s="77"/>
      <c r="M521" s="77"/>
      <c r="N521" s="77"/>
      <c r="O521" s="77"/>
      <c r="P521" s="77"/>
      <c r="Q521" s="77"/>
      <c r="R521" s="77"/>
      <c r="S521" s="77"/>
      <c r="T521" s="77"/>
      <c r="U521" s="77"/>
      <c r="V521" s="77"/>
      <c r="W521" s="77"/>
      <c r="X521" s="77"/>
      <c r="Y521" s="77"/>
      <c r="Z521" s="77"/>
      <c r="AA521" s="77"/>
      <c r="AB521" s="77"/>
      <c r="AC521" s="77"/>
      <c r="AD521" s="227"/>
      <c r="AE521" s="77"/>
      <c r="AF521" s="227"/>
      <c r="AG521" s="77"/>
      <c r="AH521" s="77"/>
      <c r="AI521" s="77"/>
      <c r="AJ521" s="77"/>
      <c r="AK521" s="77"/>
      <c r="AL521" s="77"/>
      <c r="AM521" s="77"/>
      <c r="AN521" s="77"/>
      <c r="AO521" s="77"/>
      <c r="AP521" s="77"/>
      <c r="AQ521" s="77"/>
      <c r="AR521" s="77"/>
      <c r="AS521" s="77"/>
      <c r="AT521" s="77"/>
      <c r="AU521" s="77"/>
      <c r="AV521" s="77"/>
      <c r="AW521" s="77"/>
      <c r="AX521" s="77"/>
      <c r="AY521" s="77"/>
      <c r="AZ521" s="77"/>
      <c r="BA521" s="77"/>
      <c r="BB521" s="77"/>
      <c r="BC521" s="77"/>
      <c r="BD521" s="77"/>
      <c r="BE521" s="77"/>
    </row>
    <row r="522">
      <c r="A522" s="77"/>
      <c r="B522" s="77"/>
      <c r="C522" s="77"/>
      <c r="D522" s="77"/>
      <c r="E522" s="188"/>
      <c r="F522" s="188"/>
      <c r="G522" s="188"/>
      <c r="H522" s="188"/>
      <c r="I522" s="188"/>
      <c r="J522" s="77"/>
      <c r="K522" s="77"/>
      <c r="L522" s="77"/>
      <c r="M522" s="77"/>
      <c r="N522" s="77"/>
      <c r="O522" s="77"/>
      <c r="P522" s="77"/>
      <c r="Q522" s="77"/>
      <c r="R522" s="77"/>
      <c r="S522" s="77"/>
      <c r="T522" s="77"/>
      <c r="U522" s="77"/>
      <c r="V522" s="77"/>
      <c r="W522" s="77"/>
      <c r="X522" s="77"/>
      <c r="Y522" s="77"/>
      <c r="Z522" s="77"/>
      <c r="AA522" s="77"/>
      <c r="AB522" s="77"/>
      <c r="AC522" s="77"/>
      <c r="AD522" s="227"/>
      <c r="AE522" s="77"/>
      <c r="AF522" s="227"/>
      <c r="AG522" s="77"/>
      <c r="AH522" s="77"/>
      <c r="AI522" s="77"/>
      <c r="AJ522" s="77"/>
      <c r="AK522" s="77"/>
      <c r="AL522" s="77"/>
      <c r="AM522" s="77"/>
      <c r="AN522" s="77"/>
      <c r="AO522" s="77"/>
      <c r="AP522" s="77"/>
      <c r="AQ522" s="77"/>
      <c r="AR522" s="77"/>
      <c r="AS522" s="77"/>
      <c r="AT522" s="77"/>
      <c r="AU522" s="77"/>
      <c r="AV522" s="77"/>
      <c r="AW522" s="77"/>
      <c r="AX522" s="77"/>
      <c r="AY522" s="77"/>
      <c r="AZ522" s="77"/>
      <c r="BA522" s="77"/>
      <c r="BB522" s="77"/>
      <c r="BC522" s="77"/>
      <c r="BD522" s="77"/>
      <c r="BE522" s="77"/>
    </row>
    <row r="523">
      <c r="A523" s="77"/>
      <c r="B523" s="77"/>
      <c r="C523" s="77"/>
      <c r="D523" s="77"/>
      <c r="E523" s="188"/>
      <c r="F523" s="188"/>
      <c r="G523" s="188"/>
      <c r="H523" s="188"/>
      <c r="I523" s="188"/>
      <c r="J523" s="77"/>
      <c r="K523" s="77"/>
      <c r="L523" s="77"/>
      <c r="M523" s="77"/>
      <c r="N523" s="77"/>
      <c r="O523" s="77"/>
      <c r="P523" s="77"/>
      <c r="Q523" s="77"/>
      <c r="R523" s="77"/>
      <c r="S523" s="77"/>
      <c r="T523" s="77"/>
      <c r="U523" s="77"/>
      <c r="V523" s="77"/>
      <c r="W523" s="77"/>
      <c r="X523" s="77"/>
      <c r="Y523" s="77"/>
      <c r="Z523" s="77"/>
      <c r="AA523" s="77"/>
      <c r="AB523" s="77"/>
      <c r="AC523" s="77"/>
      <c r="AD523" s="227"/>
      <c r="AE523" s="77"/>
      <c r="AF523" s="227"/>
      <c r="AG523" s="77"/>
      <c r="AH523" s="77"/>
      <c r="AI523" s="77"/>
      <c r="AJ523" s="77"/>
      <c r="AK523" s="77"/>
      <c r="AL523" s="77"/>
      <c r="AM523" s="77"/>
      <c r="AN523" s="77"/>
      <c r="AO523" s="77"/>
      <c r="AP523" s="77"/>
      <c r="AQ523" s="77"/>
      <c r="AR523" s="77"/>
      <c r="AS523" s="77"/>
      <c r="AT523" s="77"/>
      <c r="AU523" s="77"/>
      <c r="AV523" s="77"/>
      <c r="AW523" s="77"/>
      <c r="AX523" s="77"/>
      <c r="AY523" s="77"/>
      <c r="AZ523" s="77"/>
      <c r="BA523" s="77"/>
      <c r="BB523" s="77"/>
      <c r="BC523" s="77"/>
      <c r="BD523" s="77"/>
      <c r="BE523" s="77"/>
    </row>
    <row r="524">
      <c r="A524" s="77"/>
      <c r="B524" s="77"/>
      <c r="C524" s="77"/>
      <c r="D524" s="77"/>
      <c r="E524" s="188"/>
      <c r="F524" s="188"/>
      <c r="G524" s="188"/>
      <c r="H524" s="188"/>
      <c r="I524" s="188"/>
      <c r="J524" s="77"/>
      <c r="K524" s="77"/>
      <c r="L524" s="77"/>
      <c r="M524" s="77"/>
      <c r="N524" s="77"/>
      <c r="O524" s="77"/>
      <c r="P524" s="77"/>
      <c r="Q524" s="77"/>
      <c r="R524" s="77"/>
      <c r="S524" s="77"/>
      <c r="T524" s="77"/>
      <c r="U524" s="77"/>
      <c r="V524" s="77"/>
      <c r="W524" s="77"/>
      <c r="X524" s="77"/>
      <c r="Y524" s="77"/>
      <c r="Z524" s="77"/>
      <c r="AA524" s="77"/>
      <c r="AB524" s="77"/>
      <c r="AC524" s="77"/>
      <c r="AD524" s="227"/>
      <c r="AE524" s="77"/>
      <c r="AF524" s="227"/>
      <c r="AG524" s="77"/>
      <c r="AH524" s="77"/>
      <c r="AI524" s="77"/>
      <c r="AJ524" s="77"/>
      <c r="AK524" s="77"/>
      <c r="AL524" s="77"/>
      <c r="AM524" s="77"/>
      <c r="AN524" s="77"/>
      <c r="AO524" s="77"/>
      <c r="AP524" s="77"/>
      <c r="AQ524" s="77"/>
      <c r="AR524" s="77"/>
      <c r="AS524" s="77"/>
      <c r="AT524" s="77"/>
      <c r="AU524" s="77"/>
      <c r="AV524" s="77"/>
      <c r="AW524" s="77"/>
      <c r="AX524" s="77"/>
      <c r="AY524" s="77"/>
      <c r="AZ524" s="77"/>
      <c r="BA524" s="77"/>
      <c r="BB524" s="77"/>
      <c r="BC524" s="77"/>
      <c r="BD524" s="77"/>
      <c r="BE524" s="77"/>
    </row>
    <row r="525">
      <c r="A525" s="77"/>
      <c r="B525" s="77"/>
      <c r="C525" s="77"/>
      <c r="D525" s="77"/>
      <c r="E525" s="188"/>
      <c r="F525" s="188"/>
      <c r="G525" s="188"/>
      <c r="H525" s="188"/>
      <c r="I525" s="188"/>
      <c r="J525" s="77"/>
      <c r="K525" s="77"/>
      <c r="L525" s="77"/>
      <c r="M525" s="77"/>
      <c r="N525" s="77"/>
      <c r="O525" s="77"/>
      <c r="P525" s="77"/>
      <c r="Q525" s="77"/>
      <c r="R525" s="77"/>
      <c r="S525" s="77"/>
      <c r="T525" s="77"/>
      <c r="U525" s="77"/>
      <c r="V525" s="77"/>
      <c r="W525" s="77"/>
      <c r="X525" s="77"/>
      <c r="Y525" s="77"/>
      <c r="Z525" s="77"/>
      <c r="AA525" s="77"/>
      <c r="AB525" s="77"/>
      <c r="AC525" s="77"/>
      <c r="AD525" s="227"/>
      <c r="AE525" s="77"/>
      <c r="AF525" s="227"/>
      <c r="AG525" s="77"/>
      <c r="AH525" s="77"/>
      <c r="AI525" s="77"/>
      <c r="AJ525" s="77"/>
      <c r="AK525" s="77"/>
      <c r="AL525" s="77"/>
      <c r="AM525" s="77"/>
      <c r="AN525" s="77"/>
      <c r="AO525" s="77"/>
      <c r="AP525" s="77"/>
      <c r="AQ525" s="77"/>
      <c r="AR525" s="77"/>
      <c r="AS525" s="77"/>
      <c r="AT525" s="77"/>
      <c r="AU525" s="77"/>
      <c r="AV525" s="77"/>
      <c r="AW525" s="77"/>
      <c r="AX525" s="77"/>
      <c r="AY525" s="77"/>
      <c r="AZ525" s="77"/>
      <c r="BA525" s="77"/>
      <c r="BB525" s="77"/>
      <c r="BC525" s="77"/>
      <c r="BD525" s="77"/>
      <c r="BE525" s="77"/>
    </row>
    <row r="526">
      <c r="A526" s="77"/>
      <c r="B526" s="77"/>
      <c r="C526" s="77"/>
      <c r="D526" s="77"/>
      <c r="E526" s="188"/>
      <c r="F526" s="188"/>
      <c r="G526" s="188"/>
      <c r="H526" s="188"/>
      <c r="I526" s="188"/>
      <c r="J526" s="77"/>
      <c r="K526" s="77"/>
      <c r="L526" s="77"/>
      <c r="M526" s="77"/>
      <c r="N526" s="77"/>
      <c r="O526" s="77"/>
      <c r="P526" s="77"/>
      <c r="Q526" s="77"/>
      <c r="R526" s="77"/>
      <c r="S526" s="77"/>
      <c r="T526" s="77"/>
      <c r="U526" s="77"/>
      <c r="V526" s="77"/>
      <c r="W526" s="77"/>
      <c r="X526" s="77"/>
      <c r="Y526" s="77"/>
      <c r="Z526" s="77"/>
      <c r="AA526" s="77"/>
      <c r="AB526" s="77"/>
      <c r="AC526" s="77"/>
      <c r="AD526" s="227"/>
      <c r="AE526" s="77"/>
      <c r="AF526" s="227"/>
      <c r="AG526" s="77"/>
      <c r="AH526" s="77"/>
      <c r="AI526" s="77"/>
      <c r="AJ526" s="77"/>
      <c r="AK526" s="77"/>
      <c r="AL526" s="77"/>
      <c r="AM526" s="77"/>
      <c r="AN526" s="77"/>
      <c r="AO526" s="77"/>
      <c r="AP526" s="77"/>
      <c r="AQ526" s="77"/>
      <c r="AR526" s="77"/>
      <c r="AS526" s="77"/>
      <c r="AT526" s="77"/>
      <c r="AU526" s="77"/>
      <c r="AV526" s="77"/>
      <c r="AW526" s="77"/>
      <c r="AX526" s="77"/>
      <c r="AY526" s="77"/>
      <c r="AZ526" s="77"/>
      <c r="BA526" s="77"/>
      <c r="BB526" s="77"/>
      <c r="BC526" s="77"/>
      <c r="BD526" s="77"/>
      <c r="BE526" s="77"/>
    </row>
    <row r="527">
      <c r="A527" s="77"/>
      <c r="B527" s="77"/>
      <c r="C527" s="77"/>
      <c r="D527" s="77"/>
      <c r="E527" s="188"/>
      <c r="F527" s="188"/>
      <c r="G527" s="188"/>
      <c r="H527" s="188"/>
      <c r="I527" s="188"/>
      <c r="J527" s="77"/>
      <c r="K527" s="77"/>
      <c r="L527" s="77"/>
      <c r="M527" s="77"/>
      <c r="N527" s="77"/>
      <c r="O527" s="77"/>
      <c r="P527" s="77"/>
      <c r="Q527" s="77"/>
      <c r="R527" s="77"/>
      <c r="S527" s="77"/>
      <c r="T527" s="77"/>
      <c r="U527" s="77"/>
      <c r="V527" s="77"/>
      <c r="W527" s="77"/>
      <c r="X527" s="77"/>
      <c r="Y527" s="77"/>
      <c r="Z527" s="77"/>
      <c r="AA527" s="77"/>
      <c r="AB527" s="77"/>
      <c r="AC527" s="77"/>
      <c r="AD527" s="227"/>
      <c r="AE527" s="77"/>
      <c r="AF527" s="227"/>
      <c r="AG527" s="77"/>
      <c r="AH527" s="77"/>
      <c r="AI527" s="77"/>
      <c r="AJ527" s="77"/>
      <c r="AK527" s="77"/>
      <c r="AL527" s="77"/>
      <c r="AM527" s="77"/>
      <c r="AN527" s="77"/>
      <c r="AO527" s="77"/>
      <c r="AP527" s="77"/>
      <c r="AQ527" s="77"/>
      <c r="AR527" s="77"/>
      <c r="AS527" s="77"/>
      <c r="AT527" s="77"/>
      <c r="AU527" s="77"/>
      <c r="AV527" s="77"/>
      <c r="AW527" s="77"/>
      <c r="AX527" s="77"/>
      <c r="AY527" s="77"/>
      <c r="AZ527" s="77"/>
      <c r="BA527" s="77"/>
      <c r="BB527" s="77"/>
      <c r="BC527" s="77"/>
      <c r="BD527" s="77"/>
      <c r="BE527" s="77"/>
    </row>
    <row r="528">
      <c r="A528" s="77"/>
      <c r="B528" s="77"/>
      <c r="C528" s="77"/>
      <c r="D528" s="77"/>
      <c r="E528" s="188"/>
      <c r="F528" s="188"/>
      <c r="G528" s="188"/>
      <c r="H528" s="188"/>
      <c r="I528" s="188"/>
      <c r="J528" s="77"/>
      <c r="K528" s="77"/>
      <c r="L528" s="77"/>
      <c r="M528" s="77"/>
      <c r="N528" s="77"/>
      <c r="O528" s="77"/>
      <c r="P528" s="77"/>
      <c r="Q528" s="77"/>
      <c r="R528" s="77"/>
      <c r="S528" s="77"/>
      <c r="T528" s="77"/>
      <c r="U528" s="77"/>
      <c r="V528" s="77"/>
      <c r="W528" s="77"/>
      <c r="X528" s="77"/>
      <c r="Y528" s="77"/>
      <c r="Z528" s="77"/>
      <c r="AA528" s="77"/>
      <c r="AB528" s="77"/>
      <c r="AC528" s="77"/>
      <c r="AD528" s="227"/>
      <c r="AE528" s="77"/>
      <c r="AF528" s="227"/>
      <c r="AG528" s="77"/>
      <c r="AH528" s="77"/>
      <c r="AI528" s="77"/>
      <c r="AJ528" s="77"/>
      <c r="AK528" s="77"/>
      <c r="AL528" s="77"/>
      <c r="AM528" s="77"/>
      <c r="AN528" s="77"/>
      <c r="AO528" s="77"/>
      <c r="AP528" s="77"/>
      <c r="AQ528" s="77"/>
      <c r="AR528" s="77"/>
      <c r="AS528" s="77"/>
      <c r="AT528" s="77"/>
      <c r="AU528" s="77"/>
      <c r="AV528" s="77"/>
      <c r="AW528" s="77"/>
      <c r="AX528" s="77"/>
      <c r="AY528" s="77"/>
      <c r="AZ528" s="77"/>
      <c r="BA528" s="77"/>
      <c r="BB528" s="77"/>
      <c r="BC528" s="77"/>
      <c r="BD528" s="77"/>
      <c r="BE528" s="77"/>
    </row>
    <row r="529">
      <c r="A529" s="77"/>
      <c r="B529" s="77"/>
      <c r="C529" s="77"/>
      <c r="D529" s="77"/>
      <c r="E529" s="188"/>
      <c r="F529" s="188"/>
      <c r="G529" s="188"/>
      <c r="H529" s="188"/>
      <c r="I529" s="188"/>
      <c r="J529" s="77"/>
      <c r="K529" s="77"/>
      <c r="L529" s="77"/>
      <c r="M529" s="77"/>
      <c r="N529" s="77"/>
      <c r="O529" s="77"/>
      <c r="P529" s="77"/>
      <c r="Q529" s="77"/>
      <c r="R529" s="77"/>
      <c r="S529" s="77"/>
      <c r="T529" s="77"/>
      <c r="U529" s="77"/>
      <c r="V529" s="77"/>
      <c r="W529" s="77"/>
      <c r="X529" s="77"/>
      <c r="Y529" s="77"/>
      <c r="Z529" s="77"/>
      <c r="AA529" s="77"/>
      <c r="AB529" s="77"/>
      <c r="AC529" s="77"/>
      <c r="AD529" s="227"/>
      <c r="AE529" s="77"/>
      <c r="AF529" s="227"/>
      <c r="AG529" s="77"/>
      <c r="AH529" s="77"/>
      <c r="AI529" s="77"/>
      <c r="AJ529" s="77"/>
      <c r="AK529" s="77"/>
      <c r="AL529" s="77"/>
      <c r="AM529" s="77"/>
      <c r="AN529" s="77"/>
      <c r="AO529" s="77"/>
      <c r="AP529" s="77"/>
      <c r="AQ529" s="77"/>
      <c r="AR529" s="77"/>
      <c r="AS529" s="77"/>
      <c r="AT529" s="77"/>
      <c r="AU529" s="77"/>
      <c r="AV529" s="77"/>
      <c r="AW529" s="77"/>
      <c r="AX529" s="77"/>
      <c r="AY529" s="77"/>
      <c r="AZ529" s="77"/>
      <c r="BA529" s="77"/>
      <c r="BB529" s="77"/>
      <c r="BC529" s="77"/>
      <c r="BD529" s="77"/>
      <c r="BE529" s="77"/>
    </row>
    <row r="530">
      <c r="A530" s="77"/>
      <c r="B530" s="77"/>
      <c r="C530" s="77"/>
      <c r="D530" s="77"/>
      <c r="E530" s="188"/>
      <c r="F530" s="188"/>
      <c r="G530" s="188"/>
      <c r="H530" s="188"/>
      <c r="I530" s="188"/>
      <c r="J530" s="77"/>
      <c r="K530" s="77"/>
      <c r="L530" s="77"/>
      <c r="M530" s="77"/>
      <c r="N530" s="77"/>
      <c r="O530" s="77"/>
      <c r="P530" s="77"/>
      <c r="Q530" s="77"/>
      <c r="R530" s="77"/>
      <c r="S530" s="77"/>
      <c r="T530" s="77"/>
      <c r="U530" s="77"/>
      <c r="V530" s="77"/>
      <c r="W530" s="77"/>
      <c r="X530" s="77"/>
      <c r="Y530" s="77"/>
      <c r="Z530" s="77"/>
      <c r="AA530" s="77"/>
      <c r="AB530" s="77"/>
      <c r="AC530" s="77"/>
      <c r="AD530" s="227"/>
      <c r="AE530" s="77"/>
      <c r="AF530" s="227"/>
      <c r="AG530" s="77"/>
      <c r="AH530" s="77"/>
      <c r="AI530" s="77"/>
      <c r="AJ530" s="77"/>
      <c r="AK530" s="77"/>
      <c r="AL530" s="77"/>
      <c r="AM530" s="77"/>
      <c r="AN530" s="77"/>
      <c r="AO530" s="77"/>
      <c r="AP530" s="77"/>
      <c r="AQ530" s="77"/>
      <c r="AR530" s="77"/>
      <c r="AS530" s="77"/>
      <c r="AT530" s="77"/>
      <c r="AU530" s="77"/>
      <c r="AV530" s="77"/>
      <c r="AW530" s="77"/>
      <c r="AX530" s="77"/>
      <c r="AY530" s="77"/>
      <c r="AZ530" s="77"/>
      <c r="BA530" s="77"/>
      <c r="BB530" s="77"/>
      <c r="BC530" s="77"/>
      <c r="BD530" s="77"/>
      <c r="BE530" s="77"/>
    </row>
    <row r="531">
      <c r="A531" s="77"/>
      <c r="B531" s="77"/>
      <c r="C531" s="77"/>
      <c r="D531" s="77"/>
      <c r="E531" s="188"/>
      <c r="F531" s="188"/>
      <c r="G531" s="188"/>
      <c r="H531" s="188"/>
      <c r="I531" s="188"/>
      <c r="J531" s="77"/>
      <c r="K531" s="77"/>
      <c r="L531" s="77"/>
      <c r="M531" s="77"/>
      <c r="N531" s="77"/>
      <c r="O531" s="77"/>
      <c r="P531" s="77"/>
      <c r="Q531" s="77"/>
      <c r="R531" s="77"/>
      <c r="S531" s="77"/>
      <c r="T531" s="77"/>
      <c r="U531" s="77"/>
      <c r="V531" s="77"/>
      <c r="W531" s="77"/>
      <c r="X531" s="77"/>
      <c r="Y531" s="77"/>
      <c r="Z531" s="77"/>
      <c r="AA531" s="77"/>
      <c r="AB531" s="77"/>
      <c r="AC531" s="77"/>
      <c r="AD531" s="227"/>
      <c r="AE531" s="77"/>
      <c r="AF531" s="227"/>
      <c r="AG531" s="77"/>
      <c r="AH531" s="77"/>
      <c r="AI531" s="77"/>
      <c r="AJ531" s="77"/>
      <c r="AK531" s="77"/>
      <c r="AL531" s="77"/>
      <c r="AM531" s="77"/>
      <c r="AN531" s="77"/>
      <c r="AO531" s="77"/>
      <c r="AP531" s="77"/>
      <c r="AQ531" s="77"/>
      <c r="AR531" s="77"/>
      <c r="AS531" s="77"/>
      <c r="AT531" s="77"/>
      <c r="AU531" s="77"/>
      <c r="AV531" s="77"/>
      <c r="AW531" s="77"/>
      <c r="AX531" s="77"/>
      <c r="AY531" s="77"/>
      <c r="AZ531" s="77"/>
      <c r="BA531" s="77"/>
      <c r="BB531" s="77"/>
      <c r="BC531" s="77"/>
      <c r="BD531" s="77"/>
      <c r="BE531" s="77"/>
    </row>
    <row r="532">
      <c r="A532" s="77"/>
      <c r="B532" s="77"/>
      <c r="C532" s="77"/>
      <c r="D532" s="77"/>
      <c r="E532" s="188"/>
      <c r="F532" s="188"/>
      <c r="G532" s="188"/>
      <c r="H532" s="188"/>
      <c r="I532" s="188"/>
      <c r="J532" s="77"/>
      <c r="K532" s="77"/>
      <c r="L532" s="77"/>
      <c r="M532" s="77"/>
      <c r="N532" s="77"/>
      <c r="O532" s="77"/>
      <c r="P532" s="77"/>
      <c r="Q532" s="77"/>
      <c r="R532" s="77"/>
      <c r="S532" s="77"/>
      <c r="T532" s="77"/>
      <c r="U532" s="77"/>
      <c r="V532" s="77"/>
      <c r="W532" s="77"/>
      <c r="X532" s="77"/>
      <c r="Y532" s="77"/>
      <c r="Z532" s="77"/>
      <c r="AA532" s="77"/>
      <c r="AB532" s="77"/>
      <c r="AC532" s="77"/>
      <c r="AD532" s="227"/>
      <c r="AE532" s="77"/>
      <c r="AF532" s="227"/>
      <c r="AG532" s="77"/>
      <c r="AH532" s="77"/>
      <c r="AI532" s="77"/>
      <c r="AJ532" s="77"/>
      <c r="AK532" s="77"/>
      <c r="AL532" s="77"/>
      <c r="AM532" s="77"/>
      <c r="AN532" s="77"/>
      <c r="AO532" s="77"/>
      <c r="AP532" s="77"/>
      <c r="AQ532" s="77"/>
      <c r="AR532" s="77"/>
      <c r="AS532" s="77"/>
      <c r="AT532" s="77"/>
      <c r="AU532" s="77"/>
      <c r="AV532" s="77"/>
      <c r="AW532" s="77"/>
      <c r="AX532" s="77"/>
      <c r="AY532" s="77"/>
      <c r="AZ532" s="77"/>
      <c r="BA532" s="77"/>
      <c r="BB532" s="77"/>
      <c r="BC532" s="77"/>
      <c r="BD532" s="77"/>
      <c r="BE532" s="77"/>
    </row>
    <row r="533">
      <c r="A533" s="77"/>
      <c r="B533" s="77"/>
      <c r="C533" s="77"/>
      <c r="D533" s="77"/>
      <c r="E533" s="188"/>
      <c r="F533" s="188"/>
      <c r="G533" s="188"/>
      <c r="H533" s="188"/>
      <c r="I533" s="188"/>
      <c r="J533" s="77"/>
      <c r="K533" s="77"/>
      <c r="L533" s="77"/>
      <c r="M533" s="77"/>
      <c r="N533" s="77"/>
      <c r="O533" s="77"/>
      <c r="P533" s="77"/>
      <c r="Q533" s="77"/>
      <c r="R533" s="77"/>
      <c r="S533" s="77"/>
      <c r="T533" s="77"/>
      <c r="U533" s="77"/>
      <c r="V533" s="77"/>
      <c r="W533" s="77"/>
      <c r="X533" s="77"/>
      <c r="Y533" s="77"/>
      <c r="Z533" s="77"/>
      <c r="AA533" s="77"/>
      <c r="AB533" s="77"/>
      <c r="AC533" s="77"/>
      <c r="AD533" s="227"/>
      <c r="AE533" s="77"/>
      <c r="AF533" s="227"/>
      <c r="AG533" s="77"/>
      <c r="AH533" s="77"/>
      <c r="AI533" s="77"/>
      <c r="AJ533" s="77"/>
      <c r="AK533" s="77"/>
      <c r="AL533" s="77"/>
      <c r="AM533" s="77"/>
      <c r="AN533" s="77"/>
      <c r="AO533" s="77"/>
      <c r="AP533" s="77"/>
      <c r="AQ533" s="77"/>
      <c r="AR533" s="77"/>
      <c r="AS533" s="77"/>
      <c r="AT533" s="77"/>
      <c r="AU533" s="77"/>
      <c r="AV533" s="77"/>
      <c r="AW533" s="77"/>
      <c r="AX533" s="77"/>
      <c r="AY533" s="77"/>
      <c r="AZ533" s="77"/>
      <c r="BA533" s="77"/>
      <c r="BB533" s="77"/>
      <c r="BC533" s="77"/>
      <c r="BD533" s="77"/>
      <c r="BE533" s="77"/>
    </row>
    <row r="534">
      <c r="A534" s="77"/>
      <c r="B534" s="77"/>
      <c r="C534" s="77"/>
      <c r="D534" s="77"/>
      <c r="E534" s="188"/>
      <c r="F534" s="188"/>
      <c r="G534" s="188"/>
      <c r="H534" s="188"/>
      <c r="I534" s="188"/>
      <c r="J534" s="77"/>
      <c r="K534" s="77"/>
      <c r="L534" s="77"/>
      <c r="M534" s="77"/>
      <c r="N534" s="77"/>
      <c r="O534" s="77"/>
      <c r="P534" s="77"/>
      <c r="Q534" s="77"/>
      <c r="R534" s="77"/>
      <c r="S534" s="77"/>
      <c r="T534" s="77"/>
      <c r="U534" s="77"/>
      <c r="V534" s="77"/>
      <c r="W534" s="77"/>
      <c r="X534" s="77"/>
      <c r="Y534" s="77"/>
      <c r="Z534" s="77"/>
      <c r="AA534" s="77"/>
      <c r="AB534" s="77"/>
      <c r="AC534" s="77"/>
      <c r="AD534" s="227"/>
      <c r="AE534" s="77"/>
      <c r="AF534" s="227"/>
      <c r="AG534" s="77"/>
      <c r="AH534" s="77"/>
      <c r="AI534" s="77"/>
      <c r="AJ534" s="77"/>
      <c r="AK534" s="77"/>
      <c r="AL534" s="77"/>
      <c r="AM534" s="77"/>
      <c r="AN534" s="77"/>
      <c r="AO534" s="77"/>
      <c r="AP534" s="77"/>
      <c r="AQ534" s="77"/>
      <c r="AR534" s="77"/>
      <c r="AS534" s="77"/>
      <c r="AT534" s="77"/>
      <c r="AU534" s="77"/>
      <c r="AV534" s="77"/>
      <c r="AW534" s="77"/>
      <c r="AX534" s="77"/>
      <c r="AY534" s="77"/>
      <c r="AZ534" s="77"/>
      <c r="BA534" s="77"/>
      <c r="BB534" s="77"/>
      <c r="BC534" s="77"/>
      <c r="BD534" s="77"/>
      <c r="BE534" s="77"/>
    </row>
    <row r="535">
      <c r="A535" s="77"/>
      <c r="B535" s="77"/>
      <c r="C535" s="77"/>
      <c r="D535" s="77"/>
      <c r="E535" s="188"/>
      <c r="F535" s="188"/>
      <c r="G535" s="188"/>
      <c r="H535" s="188"/>
      <c r="I535" s="188"/>
      <c r="J535" s="77"/>
      <c r="K535" s="77"/>
      <c r="L535" s="77"/>
      <c r="M535" s="77"/>
      <c r="N535" s="77"/>
      <c r="O535" s="77"/>
      <c r="P535" s="77"/>
      <c r="Q535" s="77"/>
      <c r="R535" s="77"/>
      <c r="S535" s="77"/>
      <c r="T535" s="77"/>
      <c r="U535" s="77"/>
      <c r="V535" s="77"/>
      <c r="W535" s="77"/>
      <c r="X535" s="77"/>
      <c r="Y535" s="77"/>
      <c r="Z535" s="77"/>
      <c r="AA535" s="77"/>
      <c r="AB535" s="77"/>
      <c r="AC535" s="77"/>
      <c r="AD535" s="227"/>
      <c r="AE535" s="77"/>
      <c r="AF535" s="227"/>
      <c r="AG535" s="77"/>
      <c r="AH535" s="77"/>
      <c r="AI535" s="77"/>
      <c r="AJ535" s="77"/>
      <c r="AK535" s="77"/>
      <c r="AL535" s="77"/>
      <c r="AM535" s="77"/>
      <c r="AN535" s="77"/>
      <c r="AO535" s="77"/>
      <c r="AP535" s="77"/>
      <c r="AQ535" s="77"/>
      <c r="AR535" s="77"/>
      <c r="AS535" s="77"/>
      <c r="AT535" s="77"/>
      <c r="AU535" s="77"/>
      <c r="AV535" s="77"/>
      <c r="AW535" s="77"/>
      <c r="AX535" s="77"/>
      <c r="AY535" s="77"/>
      <c r="AZ535" s="77"/>
      <c r="BA535" s="77"/>
      <c r="BB535" s="77"/>
      <c r="BC535" s="77"/>
      <c r="BD535" s="77"/>
      <c r="BE535" s="77"/>
    </row>
    <row r="536">
      <c r="A536" s="77"/>
      <c r="B536" s="77"/>
      <c r="C536" s="77"/>
      <c r="D536" s="77"/>
      <c r="E536" s="188"/>
      <c r="F536" s="188"/>
      <c r="G536" s="188"/>
      <c r="H536" s="188"/>
      <c r="I536" s="188"/>
      <c r="J536" s="77"/>
      <c r="K536" s="77"/>
      <c r="L536" s="77"/>
      <c r="M536" s="77"/>
      <c r="N536" s="77"/>
      <c r="O536" s="77"/>
      <c r="P536" s="77"/>
      <c r="Q536" s="77"/>
      <c r="R536" s="77"/>
      <c r="S536" s="77"/>
      <c r="T536" s="77"/>
      <c r="U536" s="77"/>
      <c r="V536" s="77"/>
      <c r="W536" s="77"/>
      <c r="X536" s="77"/>
      <c r="Y536" s="77"/>
      <c r="Z536" s="77"/>
      <c r="AA536" s="77"/>
      <c r="AB536" s="77"/>
      <c r="AC536" s="77"/>
      <c r="AD536" s="227"/>
      <c r="AE536" s="77"/>
      <c r="AF536" s="227"/>
      <c r="AG536" s="77"/>
      <c r="AH536" s="77"/>
      <c r="AI536" s="77"/>
      <c r="AJ536" s="77"/>
      <c r="AK536" s="77"/>
      <c r="AL536" s="77"/>
      <c r="AM536" s="77"/>
      <c r="AN536" s="77"/>
      <c r="AO536" s="77"/>
      <c r="AP536" s="77"/>
      <c r="AQ536" s="77"/>
      <c r="AR536" s="77"/>
      <c r="AS536" s="77"/>
      <c r="AT536" s="77"/>
      <c r="AU536" s="77"/>
      <c r="AV536" s="77"/>
      <c r="AW536" s="77"/>
      <c r="AX536" s="77"/>
      <c r="AY536" s="77"/>
      <c r="AZ536" s="77"/>
      <c r="BA536" s="77"/>
      <c r="BB536" s="77"/>
      <c r="BC536" s="77"/>
      <c r="BD536" s="77"/>
      <c r="BE536" s="77"/>
    </row>
    <row r="537">
      <c r="A537" s="77"/>
      <c r="B537" s="77"/>
      <c r="C537" s="77"/>
      <c r="D537" s="77"/>
      <c r="E537" s="188"/>
      <c r="F537" s="188"/>
      <c r="G537" s="188"/>
      <c r="H537" s="188"/>
      <c r="I537" s="188"/>
      <c r="J537" s="77"/>
      <c r="K537" s="77"/>
      <c r="L537" s="77"/>
      <c r="M537" s="77"/>
      <c r="N537" s="77"/>
      <c r="O537" s="77"/>
      <c r="P537" s="77"/>
      <c r="Q537" s="77"/>
      <c r="R537" s="77"/>
      <c r="S537" s="77"/>
      <c r="T537" s="77"/>
      <c r="U537" s="77"/>
      <c r="V537" s="77"/>
      <c r="W537" s="77"/>
      <c r="X537" s="77"/>
      <c r="Y537" s="77"/>
      <c r="Z537" s="77"/>
      <c r="AA537" s="77"/>
      <c r="AB537" s="77"/>
      <c r="AC537" s="77"/>
      <c r="AD537" s="227"/>
      <c r="AE537" s="77"/>
      <c r="AF537" s="227"/>
      <c r="AG537" s="77"/>
      <c r="AH537" s="77"/>
      <c r="AI537" s="77"/>
      <c r="AJ537" s="77"/>
      <c r="AK537" s="77"/>
      <c r="AL537" s="77"/>
      <c r="AM537" s="77"/>
      <c r="AN537" s="77"/>
      <c r="AO537" s="77"/>
      <c r="AP537" s="77"/>
      <c r="AQ537" s="77"/>
      <c r="AR537" s="77"/>
      <c r="AS537" s="77"/>
      <c r="AT537" s="77"/>
      <c r="AU537" s="77"/>
      <c r="AV537" s="77"/>
      <c r="AW537" s="77"/>
      <c r="AX537" s="77"/>
      <c r="AY537" s="77"/>
      <c r="AZ537" s="77"/>
      <c r="BA537" s="77"/>
      <c r="BB537" s="77"/>
      <c r="BC537" s="77"/>
      <c r="BD537" s="77"/>
      <c r="BE537" s="77"/>
    </row>
    <row r="538">
      <c r="A538" s="77"/>
      <c r="B538" s="77"/>
      <c r="C538" s="77"/>
      <c r="D538" s="77"/>
      <c r="E538" s="188"/>
      <c r="F538" s="188"/>
      <c r="G538" s="188"/>
      <c r="H538" s="188"/>
      <c r="I538" s="188"/>
      <c r="J538" s="77"/>
      <c r="K538" s="77"/>
      <c r="L538" s="77"/>
      <c r="M538" s="77"/>
      <c r="N538" s="77"/>
      <c r="O538" s="77"/>
      <c r="P538" s="77"/>
      <c r="Q538" s="77"/>
      <c r="R538" s="77"/>
      <c r="S538" s="77"/>
      <c r="T538" s="77"/>
      <c r="U538" s="77"/>
      <c r="V538" s="77"/>
      <c r="W538" s="77"/>
      <c r="X538" s="77"/>
      <c r="Y538" s="77"/>
      <c r="Z538" s="77"/>
      <c r="AA538" s="77"/>
      <c r="AB538" s="77"/>
      <c r="AC538" s="77"/>
      <c r="AD538" s="227"/>
      <c r="AE538" s="77"/>
      <c r="AF538" s="227"/>
      <c r="AG538" s="77"/>
      <c r="AH538" s="77"/>
      <c r="AI538" s="77"/>
      <c r="AJ538" s="77"/>
      <c r="AK538" s="77"/>
      <c r="AL538" s="77"/>
      <c r="AM538" s="77"/>
      <c r="AN538" s="77"/>
      <c r="AO538" s="77"/>
      <c r="AP538" s="77"/>
      <c r="AQ538" s="77"/>
      <c r="AR538" s="77"/>
      <c r="AS538" s="77"/>
      <c r="AT538" s="77"/>
      <c r="AU538" s="77"/>
      <c r="AV538" s="77"/>
      <c r="AW538" s="77"/>
      <c r="AX538" s="77"/>
      <c r="AY538" s="77"/>
      <c r="AZ538" s="77"/>
      <c r="BA538" s="77"/>
      <c r="BB538" s="77"/>
      <c r="BC538" s="77"/>
      <c r="BD538" s="77"/>
      <c r="BE538" s="77"/>
    </row>
    <row r="539">
      <c r="A539" s="77"/>
      <c r="B539" s="77"/>
      <c r="C539" s="77"/>
      <c r="D539" s="77"/>
      <c r="E539" s="188"/>
      <c r="F539" s="188"/>
      <c r="G539" s="188"/>
      <c r="H539" s="188"/>
      <c r="I539" s="188"/>
      <c r="J539" s="77"/>
      <c r="K539" s="77"/>
      <c r="L539" s="77"/>
      <c r="M539" s="77"/>
      <c r="N539" s="77"/>
      <c r="O539" s="77"/>
      <c r="P539" s="77"/>
      <c r="Q539" s="77"/>
      <c r="R539" s="77"/>
      <c r="S539" s="77"/>
      <c r="T539" s="77"/>
      <c r="U539" s="77"/>
      <c r="V539" s="77"/>
      <c r="W539" s="77"/>
      <c r="X539" s="77"/>
      <c r="Y539" s="77"/>
      <c r="Z539" s="77"/>
      <c r="AA539" s="77"/>
      <c r="AB539" s="77"/>
      <c r="AC539" s="77"/>
      <c r="AD539" s="227"/>
      <c r="AE539" s="77"/>
      <c r="AF539" s="227"/>
      <c r="AG539" s="77"/>
      <c r="AH539" s="77"/>
      <c r="AI539" s="77"/>
      <c r="AJ539" s="77"/>
      <c r="AK539" s="77"/>
      <c r="AL539" s="77"/>
      <c r="AM539" s="77"/>
      <c r="AN539" s="77"/>
      <c r="AO539" s="77"/>
      <c r="AP539" s="77"/>
      <c r="AQ539" s="77"/>
      <c r="AR539" s="77"/>
      <c r="AS539" s="77"/>
      <c r="AT539" s="77"/>
      <c r="AU539" s="77"/>
      <c r="AV539" s="77"/>
      <c r="AW539" s="77"/>
      <c r="AX539" s="77"/>
      <c r="AY539" s="77"/>
      <c r="AZ539" s="77"/>
      <c r="BA539" s="77"/>
      <c r="BB539" s="77"/>
      <c r="BC539" s="77"/>
      <c r="BD539" s="77"/>
      <c r="BE539" s="77"/>
    </row>
    <row r="540">
      <c r="A540" s="77"/>
      <c r="B540" s="77"/>
      <c r="C540" s="77"/>
      <c r="D540" s="77"/>
      <c r="E540" s="188"/>
      <c r="F540" s="188"/>
      <c r="G540" s="188"/>
      <c r="H540" s="188"/>
      <c r="I540" s="188"/>
      <c r="J540" s="77"/>
      <c r="K540" s="77"/>
      <c r="L540" s="77"/>
      <c r="M540" s="77"/>
      <c r="N540" s="77"/>
      <c r="O540" s="77"/>
      <c r="P540" s="77"/>
      <c r="Q540" s="77"/>
      <c r="R540" s="77"/>
      <c r="S540" s="77"/>
      <c r="T540" s="77"/>
      <c r="U540" s="77"/>
      <c r="V540" s="77"/>
      <c r="W540" s="77"/>
      <c r="X540" s="77"/>
      <c r="Y540" s="77"/>
      <c r="Z540" s="77"/>
      <c r="AA540" s="77"/>
      <c r="AB540" s="77"/>
      <c r="AC540" s="77"/>
      <c r="AD540" s="227"/>
      <c r="AE540" s="77"/>
      <c r="AF540" s="227"/>
      <c r="AG540" s="77"/>
      <c r="AH540" s="77"/>
      <c r="AI540" s="77"/>
      <c r="AJ540" s="77"/>
      <c r="AK540" s="77"/>
      <c r="AL540" s="77"/>
      <c r="AM540" s="77"/>
      <c r="AN540" s="77"/>
      <c r="AO540" s="77"/>
      <c r="AP540" s="77"/>
      <c r="AQ540" s="77"/>
      <c r="AR540" s="77"/>
      <c r="AS540" s="77"/>
      <c r="AT540" s="77"/>
      <c r="AU540" s="77"/>
      <c r="AV540" s="77"/>
      <c r="AW540" s="77"/>
      <c r="AX540" s="77"/>
      <c r="AY540" s="77"/>
      <c r="AZ540" s="77"/>
      <c r="BA540" s="77"/>
      <c r="BB540" s="77"/>
      <c r="BC540" s="77"/>
      <c r="BD540" s="77"/>
      <c r="BE540" s="77"/>
    </row>
    <row r="541">
      <c r="A541" s="77"/>
      <c r="B541" s="77"/>
      <c r="C541" s="77"/>
      <c r="D541" s="77"/>
      <c r="E541" s="188"/>
      <c r="F541" s="188"/>
      <c r="G541" s="188"/>
      <c r="H541" s="188"/>
      <c r="I541" s="188"/>
      <c r="J541" s="77"/>
      <c r="K541" s="77"/>
      <c r="L541" s="77"/>
      <c r="M541" s="77"/>
      <c r="N541" s="77"/>
      <c r="O541" s="77"/>
      <c r="P541" s="77"/>
      <c r="Q541" s="77"/>
      <c r="R541" s="77"/>
      <c r="S541" s="77"/>
      <c r="T541" s="77"/>
      <c r="U541" s="77"/>
      <c r="V541" s="77"/>
      <c r="W541" s="77"/>
      <c r="X541" s="77"/>
      <c r="Y541" s="77"/>
      <c r="Z541" s="77"/>
      <c r="AA541" s="77"/>
      <c r="AB541" s="77"/>
      <c r="AC541" s="77"/>
      <c r="AD541" s="227"/>
      <c r="AE541" s="77"/>
      <c r="AF541" s="227"/>
      <c r="AG541" s="77"/>
      <c r="AH541" s="77"/>
      <c r="AI541" s="77"/>
      <c r="AJ541" s="77"/>
      <c r="AK541" s="77"/>
      <c r="AL541" s="77"/>
      <c r="AM541" s="77"/>
      <c r="AN541" s="77"/>
      <c r="AO541" s="77"/>
      <c r="AP541" s="77"/>
      <c r="AQ541" s="77"/>
      <c r="AR541" s="77"/>
      <c r="AS541" s="77"/>
      <c r="AT541" s="77"/>
      <c r="AU541" s="77"/>
      <c r="AV541" s="77"/>
      <c r="AW541" s="77"/>
      <c r="AX541" s="77"/>
      <c r="AY541" s="77"/>
      <c r="AZ541" s="77"/>
      <c r="BA541" s="77"/>
      <c r="BB541" s="77"/>
      <c r="BC541" s="77"/>
      <c r="BD541" s="77"/>
      <c r="BE541" s="77"/>
    </row>
    <row r="542">
      <c r="A542" s="77"/>
      <c r="B542" s="77"/>
      <c r="C542" s="77"/>
      <c r="D542" s="77"/>
      <c r="E542" s="188"/>
      <c r="F542" s="188"/>
      <c r="G542" s="188"/>
      <c r="H542" s="188"/>
      <c r="I542" s="188"/>
      <c r="J542" s="77"/>
      <c r="K542" s="77"/>
      <c r="L542" s="77"/>
      <c r="M542" s="77"/>
      <c r="N542" s="77"/>
      <c r="O542" s="77"/>
      <c r="P542" s="77"/>
      <c r="Q542" s="77"/>
      <c r="R542" s="77"/>
      <c r="S542" s="77"/>
      <c r="T542" s="77"/>
      <c r="U542" s="77"/>
      <c r="V542" s="77"/>
      <c r="W542" s="77"/>
      <c r="X542" s="77"/>
      <c r="Y542" s="77"/>
      <c r="Z542" s="77"/>
      <c r="AA542" s="77"/>
      <c r="AB542" s="77"/>
      <c r="AC542" s="77"/>
      <c r="AD542" s="227"/>
      <c r="AE542" s="77"/>
      <c r="AF542" s="227"/>
      <c r="AG542" s="77"/>
      <c r="AH542" s="77"/>
      <c r="AI542" s="77"/>
      <c r="AJ542" s="77"/>
      <c r="AK542" s="77"/>
      <c r="AL542" s="77"/>
      <c r="AM542" s="77"/>
      <c r="AN542" s="77"/>
      <c r="AO542" s="77"/>
      <c r="AP542" s="77"/>
      <c r="AQ542" s="77"/>
      <c r="AR542" s="77"/>
      <c r="AS542" s="77"/>
      <c r="AT542" s="77"/>
      <c r="AU542" s="77"/>
      <c r="AV542" s="77"/>
      <c r="AW542" s="77"/>
      <c r="AX542" s="77"/>
      <c r="AY542" s="77"/>
      <c r="AZ542" s="77"/>
      <c r="BA542" s="77"/>
      <c r="BB542" s="77"/>
      <c r="BC542" s="77"/>
      <c r="BD542" s="77"/>
      <c r="BE542" s="77"/>
    </row>
    <row r="543">
      <c r="A543" s="77"/>
      <c r="B543" s="77"/>
      <c r="C543" s="77"/>
      <c r="D543" s="77"/>
      <c r="E543" s="188"/>
      <c r="F543" s="188"/>
      <c r="G543" s="188"/>
      <c r="H543" s="188"/>
      <c r="I543" s="188"/>
      <c r="J543" s="77"/>
      <c r="K543" s="77"/>
      <c r="L543" s="77"/>
      <c r="M543" s="77"/>
      <c r="N543" s="77"/>
      <c r="O543" s="77"/>
      <c r="P543" s="77"/>
      <c r="Q543" s="77"/>
      <c r="R543" s="77"/>
      <c r="S543" s="77"/>
      <c r="T543" s="77"/>
      <c r="U543" s="77"/>
      <c r="V543" s="77"/>
      <c r="W543" s="77"/>
      <c r="X543" s="77"/>
      <c r="Y543" s="77"/>
      <c r="Z543" s="77"/>
      <c r="AA543" s="77"/>
      <c r="AB543" s="77"/>
      <c r="AC543" s="77"/>
      <c r="AD543" s="227"/>
      <c r="AE543" s="77"/>
      <c r="AF543" s="227"/>
      <c r="AG543" s="77"/>
      <c r="AH543" s="77"/>
      <c r="AI543" s="77"/>
      <c r="AJ543" s="77"/>
      <c r="AK543" s="77"/>
      <c r="AL543" s="77"/>
      <c r="AM543" s="77"/>
      <c r="AN543" s="77"/>
      <c r="AO543" s="77"/>
      <c r="AP543" s="77"/>
      <c r="AQ543" s="77"/>
      <c r="AR543" s="77"/>
      <c r="AS543" s="77"/>
      <c r="AT543" s="77"/>
      <c r="AU543" s="77"/>
      <c r="AV543" s="77"/>
      <c r="AW543" s="77"/>
      <c r="AX543" s="77"/>
      <c r="AY543" s="77"/>
      <c r="AZ543" s="77"/>
      <c r="BA543" s="77"/>
      <c r="BB543" s="77"/>
      <c r="BC543" s="77"/>
      <c r="BD543" s="77"/>
      <c r="BE543" s="77"/>
    </row>
    <row r="544">
      <c r="A544" s="77"/>
      <c r="B544" s="77"/>
      <c r="C544" s="77"/>
      <c r="D544" s="77"/>
      <c r="E544" s="188"/>
      <c r="F544" s="188"/>
      <c r="G544" s="188"/>
      <c r="H544" s="188"/>
      <c r="I544" s="188"/>
      <c r="J544" s="77"/>
      <c r="K544" s="77"/>
      <c r="L544" s="77"/>
      <c r="M544" s="77"/>
      <c r="N544" s="77"/>
      <c r="O544" s="77"/>
      <c r="P544" s="77"/>
      <c r="Q544" s="77"/>
      <c r="R544" s="77"/>
      <c r="S544" s="77"/>
      <c r="T544" s="77"/>
      <c r="U544" s="77"/>
      <c r="V544" s="77"/>
      <c r="W544" s="77"/>
      <c r="X544" s="77"/>
      <c r="Y544" s="77"/>
      <c r="Z544" s="77"/>
      <c r="AA544" s="77"/>
      <c r="AB544" s="77"/>
      <c r="AC544" s="77"/>
      <c r="AD544" s="227"/>
      <c r="AE544" s="77"/>
      <c r="AF544" s="227"/>
      <c r="AG544" s="77"/>
      <c r="AH544" s="77"/>
      <c r="AI544" s="77"/>
      <c r="AJ544" s="77"/>
      <c r="AK544" s="77"/>
      <c r="AL544" s="77"/>
      <c r="AM544" s="77"/>
      <c r="AN544" s="77"/>
      <c r="AO544" s="77"/>
      <c r="AP544" s="77"/>
      <c r="AQ544" s="77"/>
      <c r="AR544" s="77"/>
      <c r="AS544" s="77"/>
      <c r="AT544" s="77"/>
      <c r="AU544" s="77"/>
      <c r="AV544" s="77"/>
      <c r="AW544" s="77"/>
      <c r="AX544" s="77"/>
      <c r="AY544" s="77"/>
      <c r="AZ544" s="77"/>
      <c r="BA544" s="77"/>
      <c r="BB544" s="77"/>
      <c r="BC544" s="77"/>
      <c r="BD544" s="77"/>
      <c r="BE544" s="77"/>
    </row>
    <row r="545">
      <c r="A545" s="77"/>
      <c r="B545" s="77"/>
      <c r="C545" s="77"/>
      <c r="D545" s="77"/>
      <c r="E545" s="188"/>
      <c r="F545" s="188"/>
      <c r="G545" s="188"/>
      <c r="H545" s="188"/>
      <c r="I545" s="188"/>
      <c r="J545" s="77"/>
      <c r="K545" s="77"/>
      <c r="L545" s="77"/>
      <c r="M545" s="77"/>
      <c r="N545" s="77"/>
      <c r="O545" s="77"/>
      <c r="P545" s="77"/>
      <c r="Q545" s="77"/>
      <c r="R545" s="77"/>
      <c r="S545" s="77"/>
      <c r="T545" s="77"/>
      <c r="U545" s="77"/>
      <c r="V545" s="77"/>
      <c r="W545" s="77"/>
      <c r="X545" s="77"/>
      <c r="Y545" s="77"/>
      <c r="Z545" s="77"/>
      <c r="AA545" s="77"/>
      <c r="AB545" s="77"/>
      <c r="AC545" s="77"/>
      <c r="AD545" s="227"/>
      <c r="AE545" s="77"/>
      <c r="AF545" s="227"/>
      <c r="AG545" s="77"/>
      <c r="AH545" s="77"/>
      <c r="AI545" s="77"/>
      <c r="AJ545" s="77"/>
      <c r="AK545" s="77"/>
      <c r="AL545" s="77"/>
      <c r="AM545" s="77"/>
      <c r="AN545" s="77"/>
      <c r="AO545" s="77"/>
      <c r="AP545" s="77"/>
      <c r="AQ545" s="77"/>
      <c r="AR545" s="77"/>
      <c r="AS545" s="77"/>
      <c r="AT545" s="77"/>
      <c r="AU545" s="77"/>
      <c r="AV545" s="77"/>
      <c r="AW545" s="77"/>
      <c r="AX545" s="77"/>
      <c r="AY545" s="77"/>
      <c r="AZ545" s="77"/>
      <c r="BA545" s="77"/>
      <c r="BB545" s="77"/>
      <c r="BC545" s="77"/>
      <c r="BD545" s="77"/>
      <c r="BE545" s="77"/>
    </row>
    <row r="546">
      <c r="A546" s="77"/>
      <c r="B546" s="77"/>
      <c r="C546" s="77"/>
      <c r="D546" s="77"/>
      <c r="E546" s="188"/>
      <c r="F546" s="188"/>
      <c r="G546" s="188"/>
      <c r="H546" s="188"/>
      <c r="I546" s="188"/>
      <c r="J546" s="77"/>
      <c r="K546" s="77"/>
      <c r="L546" s="77"/>
      <c r="M546" s="77"/>
      <c r="N546" s="77"/>
      <c r="O546" s="77"/>
      <c r="P546" s="77"/>
      <c r="Q546" s="77"/>
      <c r="R546" s="77"/>
      <c r="S546" s="77"/>
      <c r="T546" s="77"/>
      <c r="U546" s="77"/>
      <c r="V546" s="77"/>
      <c r="W546" s="77"/>
      <c r="X546" s="77"/>
      <c r="Y546" s="77"/>
      <c r="Z546" s="77"/>
      <c r="AA546" s="77"/>
      <c r="AB546" s="77"/>
      <c r="AC546" s="77"/>
      <c r="AD546" s="227"/>
      <c r="AE546" s="77"/>
      <c r="AF546" s="227"/>
      <c r="AG546" s="77"/>
      <c r="AH546" s="77"/>
      <c r="AI546" s="77"/>
      <c r="AJ546" s="77"/>
      <c r="AK546" s="77"/>
      <c r="AL546" s="77"/>
      <c r="AM546" s="77"/>
      <c r="AN546" s="77"/>
      <c r="AO546" s="77"/>
      <c r="AP546" s="77"/>
      <c r="AQ546" s="77"/>
      <c r="AR546" s="77"/>
      <c r="AS546" s="77"/>
      <c r="AT546" s="77"/>
      <c r="AU546" s="77"/>
      <c r="AV546" s="77"/>
      <c r="AW546" s="77"/>
      <c r="AX546" s="77"/>
      <c r="AY546" s="77"/>
      <c r="AZ546" s="77"/>
      <c r="BA546" s="77"/>
      <c r="BB546" s="77"/>
      <c r="BC546" s="77"/>
      <c r="BD546" s="77"/>
      <c r="BE546" s="77"/>
    </row>
    <row r="547">
      <c r="A547" s="77"/>
      <c r="B547" s="77"/>
      <c r="C547" s="77"/>
      <c r="D547" s="77"/>
      <c r="E547" s="188"/>
      <c r="F547" s="188"/>
      <c r="G547" s="188"/>
      <c r="H547" s="188"/>
      <c r="I547" s="188"/>
      <c r="J547" s="77"/>
      <c r="K547" s="77"/>
      <c r="L547" s="77"/>
      <c r="M547" s="77"/>
      <c r="N547" s="77"/>
      <c r="O547" s="77"/>
      <c r="P547" s="77"/>
      <c r="Q547" s="77"/>
      <c r="R547" s="77"/>
      <c r="S547" s="77"/>
      <c r="T547" s="77"/>
      <c r="U547" s="77"/>
      <c r="V547" s="77"/>
      <c r="W547" s="77"/>
      <c r="X547" s="77"/>
      <c r="Y547" s="77"/>
      <c r="Z547" s="77"/>
      <c r="AA547" s="77"/>
      <c r="AB547" s="77"/>
      <c r="AC547" s="77"/>
      <c r="AD547" s="227"/>
      <c r="AE547" s="77"/>
      <c r="AF547" s="227"/>
      <c r="AG547" s="77"/>
      <c r="AH547" s="77"/>
      <c r="AI547" s="77"/>
      <c r="AJ547" s="77"/>
      <c r="AK547" s="77"/>
      <c r="AL547" s="77"/>
      <c r="AM547" s="77"/>
      <c r="AN547" s="77"/>
      <c r="AO547" s="77"/>
      <c r="AP547" s="77"/>
      <c r="AQ547" s="77"/>
      <c r="AR547" s="77"/>
      <c r="AS547" s="77"/>
      <c r="AT547" s="77"/>
      <c r="AU547" s="77"/>
      <c r="AV547" s="77"/>
      <c r="AW547" s="77"/>
      <c r="AX547" s="77"/>
      <c r="AY547" s="77"/>
      <c r="AZ547" s="77"/>
      <c r="BA547" s="77"/>
      <c r="BB547" s="77"/>
      <c r="BC547" s="77"/>
      <c r="BD547" s="77"/>
      <c r="BE547" s="77"/>
    </row>
    <row r="548">
      <c r="A548" s="77"/>
      <c r="B548" s="77"/>
      <c r="C548" s="77"/>
      <c r="D548" s="77"/>
      <c r="E548" s="188"/>
      <c r="F548" s="188"/>
      <c r="G548" s="188"/>
      <c r="H548" s="188"/>
      <c r="I548" s="188"/>
      <c r="J548" s="77"/>
      <c r="K548" s="77"/>
      <c r="L548" s="77"/>
      <c r="M548" s="77"/>
      <c r="N548" s="77"/>
      <c r="O548" s="77"/>
      <c r="P548" s="77"/>
      <c r="Q548" s="77"/>
      <c r="R548" s="77"/>
      <c r="S548" s="77"/>
      <c r="T548" s="77"/>
      <c r="U548" s="77"/>
      <c r="V548" s="77"/>
      <c r="W548" s="77"/>
      <c r="X548" s="77"/>
      <c r="Y548" s="77"/>
      <c r="Z548" s="77"/>
      <c r="AA548" s="77"/>
      <c r="AB548" s="77"/>
      <c r="AC548" s="77"/>
      <c r="AD548" s="227"/>
      <c r="AE548" s="77"/>
      <c r="AF548" s="227"/>
      <c r="AG548" s="77"/>
      <c r="AH548" s="77"/>
      <c r="AI548" s="77"/>
      <c r="AJ548" s="77"/>
      <c r="AK548" s="77"/>
      <c r="AL548" s="77"/>
      <c r="AM548" s="77"/>
      <c r="AN548" s="77"/>
      <c r="AO548" s="77"/>
      <c r="AP548" s="77"/>
      <c r="AQ548" s="77"/>
      <c r="AR548" s="77"/>
      <c r="AS548" s="77"/>
      <c r="AT548" s="77"/>
      <c r="AU548" s="77"/>
      <c r="AV548" s="77"/>
      <c r="AW548" s="77"/>
      <c r="AX548" s="77"/>
      <c r="AY548" s="77"/>
      <c r="AZ548" s="77"/>
      <c r="BA548" s="77"/>
      <c r="BB548" s="77"/>
      <c r="BC548" s="77"/>
      <c r="BD548" s="77"/>
      <c r="BE548" s="77"/>
    </row>
    <row r="549">
      <c r="A549" s="77"/>
      <c r="B549" s="77"/>
      <c r="C549" s="77"/>
      <c r="D549" s="77"/>
      <c r="E549" s="188"/>
      <c r="F549" s="188"/>
      <c r="G549" s="188"/>
      <c r="H549" s="188"/>
      <c r="I549" s="188"/>
      <c r="J549" s="77"/>
      <c r="K549" s="77"/>
      <c r="L549" s="77"/>
      <c r="M549" s="77"/>
      <c r="N549" s="77"/>
      <c r="O549" s="77"/>
      <c r="P549" s="77"/>
      <c r="Q549" s="77"/>
      <c r="R549" s="77"/>
      <c r="S549" s="77"/>
      <c r="T549" s="77"/>
      <c r="U549" s="77"/>
      <c r="V549" s="77"/>
      <c r="W549" s="77"/>
      <c r="X549" s="77"/>
      <c r="Y549" s="77"/>
      <c r="Z549" s="77"/>
      <c r="AA549" s="77"/>
      <c r="AB549" s="77"/>
      <c r="AC549" s="77"/>
      <c r="AD549" s="227"/>
      <c r="AE549" s="77"/>
      <c r="AF549" s="227"/>
      <c r="AG549" s="77"/>
      <c r="AH549" s="77"/>
      <c r="AI549" s="77"/>
      <c r="AJ549" s="77"/>
      <c r="AK549" s="77"/>
      <c r="AL549" s="77"/>
      <c r="AM549" s="77"/>
      <c r="AN549" s="77"/>
      <c r="AO549" s="77"/>
      <c r="AP549" s="77"/>
      <c r="AQ549" s="77"/>
      <c r="AR549" s="77"/>
      <c r="AS549" s="77"/>
      <c r="AT549" s="77"/>
      <c r="AU549" s="77"/>
      <c r="AV549" s="77"/>
      <c r="AW549" s="77"/>
      <c r="AX549" s="77"/>
      <c r="AY549" s="77"/>
      <c r="AZ549" s="77"/>
      <c r="BA549" s="77"/>
      <c r="BB549" s="77"/>
      <c r="BC549" s="77"/>
      <c r="BD549" s="77"/>
      <c r="BE549" s="77"/>
    </row>
    <row r="550">
      <c r="A550" s="77"/>
      <c r="B550" s="77"/>
      <c r="C550" s="77"/>
      <c r="D550" s="77"/>
      <c r="E550" s="188"/>
      <c r="F550" s="188"/>
      <c r="G550" s="188"/>
      <c r="H550" s="188"/>
      <c r="I550" s="188"/>
      <c r="J550" s="77"/>
      <c r="K550" s="77"/>
      <c r="L550" s="77"/>
      <c r="M550" s="77"/>
      <c r="N550" s="77"/>
      <c r="O550" s="77"/>
      <c r="P550" s="77"/>
      <c r="Q550" s="77"/>
      <c r="R550" s="77"/>
      <c r="S550" s="77"/>
      <c r="T550" s="77"/>
      <c r="U550" s="77"/>
      <c r="V550" s="77"/>
      <c r="W550" s="77"/>
      <c r="X550" s="77"/>
      <c r="Y550" s="77"/>
      <c r="Z550" s="77"/>
      <c r="AA550" s="77"/>
      <c r="AB550" s="77"/>
      <c r="AC550" s="77"/>
      <c r="AD550" s="227"/>
      <c r="AE550" s="77"/>
      <c r="AF550" s="227"/>
      <c r="AG550" s="77"/>
      <c r="AH550" s="77"/>
      <c r="AI550" s="77"/>
      <c r="AJ550" s="77"/>
      <c r="AK550" s="77"/>
      <c r="AL550" s="77"/>
      <c r="AM550" s="77"/>
      <c r="AN550" s="77"/>
      <c r="AO550" s="77"/>
      <c r="AP550" s="77"/>
      <c r="AQ550" s="77"/>
      <c r="AR550" s="77"/>
      <c r="AS550" s="77"/>
      <c r="AT550" s="77"/>
      <c r="AU550" s="77"/>
      <c r="AV550" s="77"/>
      <c r="AW550" s="77"/>
      <c r="AX550" s="77"/>
      <c r="AY550" s="77"/>
      <c r="AZ550" s="77"/>
      <c r="BA550" s="77"/>
      <c r="BB550" s="77"/>
      <c r="BC550" s="77"/>
      <c r="BD550" s="77"/>
      <c r="BE550" s="77"/>
    </row>
    <row r="551">
      <c r="A551" s="77"/>
      <c r="B551" s="77"/>
      <c r="C551" s="77"/>
      <c r="D551" s="77"/>
      <c r="E551" s="188"/>
      <c r="F551" s="188"/>
      <c r="G551" s="188"/>
      <c r="H551" s="188"/>
      <c r="I551" s="188"/>
      <c r="J551" s="77"/>
      <c r="K551" s="77"/>
      <c r="L551" s="77"/>
      <c r="M551" s="77"/>
      <c r="N551" s="77"/>
      <c r="O551" s="77"/>
      <c r="P551" s="77"/>
      <c r="Q551" s="77"/>
      <c r="R551" s="77"/>
      <c r="S551" s="77"/>
      <c r="T551" s="77"/>
      <c r="U551" s="77"/>
      <c r="V551" s="77"/>
      <c r="W551" s="77"/>
      <c r="X551" s="77"/>
      <c r="Y551" s="77"/>
      <c r="Z551" s="77"/>
      <c r="AA551" s="77"/>
      <c r="AB551" s="77"/>
      <c r="AC551" s="77"/>
      <c r="AD551" s="227"/>
      <c r="AE551" s="77"/>
      <c r="AF551" s="227"/>
      <c r="AG551" s="77"/>
      <c r="AH551" s="77"/>
      <c r="AI551" s="77"/>
      <c r="AJ551" s="77"/>
      <c r="AK551" s="77"/>
      <c r="AL551" s="77"/>
      <c r="AM551" s="77"/>
      <c r="AN551" s="77"/>
      <c r="AO551" s="77"/>
      <c r="AP551" s="77"/>
      <c r="AQ551" s="77"/>
      <c r="AR551" s="77"/>
      <c r="AS551" s="77"/>
      <c r="AT551" s="77"/>
      <c r="AU551" s="77"/>
      <c r="AV551" s="77"/>
      <c r="AW551" s="77"/>
      <c r="AX551" s="77"/>
      <c r="AY551" s="77"/>
      <c r="AZ551" s="77"/>
      <c r="BA551" s="77"/>
      <c r="BB551" s="77"/>
      <c r="BC551" s="77"/>
      <c r="BD551" s="77"/>
      <c r="BE551" s="77"/>
    </row>
    <row r="552">
      <c r="A552" s="77"/>
      <c r="B552" s="77"/>
      <c r="C552" s="77"/>
      <c r="D552" s="77"/>
      <c r="E552" s="188"/>
      <c r="F552" s="188"/>
      <c r="G552" s="188"/>
      <c r="H552" s="188"/>
      <c r="I552" s="188"/>
      <c r="J552" s="77"/>
      <c r="K552" s="77"/>
      <c r="L552" s="77"/>
      <c r="M552" s="77"/>
      <c r="N552" s="77"/>
      <c r="O552" s="77"/>
      <c r="P552" s="77"/>
      <c r="Q552" s="77"/>
      <c r="R552" s="77"/>
      <c r="S552" s="77"/>
      <c r="T552" s="77"/>
      <c r="U552" s="77"/>
      <c r="V552" s="77"/>
      <c r="W552" s="77"/>
      <c r="X552" s="77"/>
      <c r="Y552" s="77"/>
      <c r="Z552" s="77"/>
      <c r="AA552" s="77"/>
      <c r="AB552" s="77"/>
      <c r="AC552" s="77"/>
      <c r="AD552" s="227"/>
      <c r="AE552" s="77"/>
      <c r="AF552" s="227"/>
      <c r="AG552" s="77"/>
      <c r="AH552" s="77"/>
      <c r="AI552" s="77"/>
      <c r="AJ552" s="77"/>
      <c r="AK552" s="77"/>
      <c r="AL552" s="77"/>
      <c r="AM552" s="77"/>
      <c r="AN552" s="77"/>
      <c r="AO552" s="77"/>
      <c r="AP552" s="77"/>
      <c r="AQ552" s="77"/>
      <c r="AR552" s="77"/>
      <c r="AS552" s="77"/>
      <c r="AT552" s="77"/>
      <c r="AU552" s="77"/>
      <c r="AV552" s="77"/>
      <c r="AW552" s="77"/>
      <c r="AX552" s="77"/>
      <c r="AY552" s="77"/>
      <c r="AZ552" s="77"/>
      <c r="BA552" s="77"/>
      <c r="BB552" s="77"/>
      <c r="BC552" s="77"/>
      <c r="BD552" s="77"/>
      <c r="BE552" s="77"/>
    </row>
    <row r="553">
      <c r="A553" s="77"/>
      <c r="B553" s="77"/>
      <c r="C553" s="77"/>
      <c r="D553" s="77"/>
      <c r="E553" s="188"/>
      <c r="F553" s="188"/>
      <c r="G553" s="188"/>
      <c r="H553" s="188"/>
      <c r="I553" s="188"/>
      <c r="J553" s="77"/>
      <c r="K553" s="77"/>
      <c r="L553" s="77"/>
      <c r="M553" s="77"/>
      <c r="N553" s="77"/>
      <c r="O553" s="77"/>
      <c r="P553" s="77"/>
      <c r="Q553" s="77"/>
      <c r="R553" s="77"/>
      <c r="S553" s="77"/>
      <c r="T553" s="77"/>
      <c r="U553" s="77"/>
      <c r="V553" s="77"/>
      <c r="W553" s="77"/>
      <c r="X553" s="77"/>
      <c r="Y553" s="77"/>
      <c r="Z553" s="77"/>
      <c r="AA553" s="77"/>
      <c r="AB553" s="77"/>
      <c r="AC553" s="77"/>
      <c r="AD553" s="227"/>
      <c r="AE553" s="77"/>
      <c r="AF553" s="227"/>
      <c r="AG553" s="77"/>
      <c r="AH553" s="77"/>
      <c r="AI553" s="77"/>
      <c r="AJ553" s="77"/>
      <c r="AK553" s="77"/>
      <c r="AL553" s="77"/>
      <c r="AM553" s="77"/>
      <c r="AN553" s="77"/>
      <c r="AO553" s="77"/>
      <c r="AP553" s="77"/>
      <c r="AQ553" s="77"/>
      <c r="AR553" s="77"/>
      <c r="AS553" s="77"/>
      <c r="AT553" s="77"/>
      <c r="AU553" s="77"/>
      <c r="AV553" s="77"/>
      <c r="AW553" s="77"/>
      <c r="AX553" s="77"/>
      <c r="AY553" s="77"/>
      <c r="AZ553" s="77"/>
      <c r="BA553" s="77"/>
      <c r="BB553" s="77"/>
      <c r="BC553" s="77"/>
      <c r="BD553" s="77"/>
      <c r="BE553" s="77"/>
    </row>
    <row r="554">
      <c r="A554" s="77"/>
      <c r="B554" s="77"/>
      <c r="C554" s="77"/>
      <c r="D554" s="77"/>
      <c r="E554" s="188"/>
      <c r="F554" s="188"/>
      <c r="G554" s="188"/>
      <c r="H554" s="188"/>
      <c r="I554" s="188"/>
      <c r="J554" s="77"/>
      <c r="K554" s="77"/>
      <c r="L554" s="77"/>
      <c r="M554" s="77"/>
      <c r="N554" s="77"/>
      <c r="O554" s="77"/>
      <c r="P554" s="77"/>
      <c r="Q554" s="77"/>
      <c r="R554" s="77"/>
      <c r="S554" s="77"/>
      <c r="T554" s="77"/>
      <c r="U554" s="77"/>
      <c r="V554" s="77"/>
      <c r="W554" s="77"/>
      <c r="X554" s="77"/>
      <c r="Y554" s="77"/>
      <c r="Z554" s="77"/>
      <c r="AA554" s="77"/>
      <c r="AB554" s="77"/>
      <c r="AC554" s="77"/>
      <c r="AD554" s="227"/>
      <c r="AE554" s="77"/>
      <c r="AF554" s="227"/>
      <c r="AG554" s="77"/>
      <c r="AH554" s="77"/>
      <c r="AI554" s="77"/>
      <c r="AJ554" s="77"/>
      <c r="AK554" s="77"/>
      <c r="AL554" s="77"/>
      <c r="AM554" s="77"/>
      <c r="AN554" s="77"/>
      <c r="AO554" s="77"/>
      <c r="AP554" s="77"/>
      <c r="AQ554" s="77"/>
      <c r="AR554" s="77"/>
      <c r="AS554" s="77"/>
      <c r="AT554" s="77"/>
      <c r="AU554" s="77"/>
      <c r="AV554" s="77"/>
      <c r="AW554" s="77"/>
      <c r="AX554" s="77"/>
      <c r="AY554" s="77"/>
      <c r="AZ554" s="77"/>
      <c r="BA554" s="77"/>
      <c r="BB554" s="77"/>
      <c r="BC554" s="77"/>
      <c r="BD554" s="77"/>
      <c r="BE554" s="77"/>
    </row>
    <row r="555">
      <c r="A555" s="77"/>
      <c r="B555" s="77"/>
      <c r="C555" s="77"/>
      <c r="D555" s="77"/>
      <c r="E555" s="188"/>
      <c r="F555" s="188"/>
      <c r="G555" s="188"/>
      <c r="H555" s="188"/>
      <c r="I555" s="188"/>
      <c r="J555" s="77"/>
      <c r="K555" s="77"/>
      <c r="L555" s="77"/>
      <c r="M555" s="77"/>
      <c r="N555" s="77"/>
      <c r="O555" s="77"/>
      <c r="P555" s="77"/>
      <c r="Q555" s="77"/>
      <c r="R555" s="77"/>
      <c r="S555" s="77"/>
      <c r="T555" s="77"/>
      <c r="U555" s="77"/>
      <c r="V555" s="77"/>
      <c r="W555" s="77"/>
      <c r="X555" s="77"/>
      <c r="Y555" s="77"/>
      <c r="Z555" s="77"/>
      <c r="AA555" s="77"/>
      <c r="AB555" s="77"/>
      <c r="AC555" s="77"/>
      <c r="AD555" s="227"/>
      <c r="AE555" s="77"/>
      <c r="AF555" s="227"/>
      <c r="AG555" s="77"/>
      <c r="AH555" s="77"/>
      <c r="AI555" s="77"/>
      <c r="AJ555" s="77"/>
      <c r="AK555" s="77"/>
      <c r="AL555" s="77"/>
      <c r="AM555" s="77"/>
      <c r="AN555" s="77"/>
      <c r="AO555" s="77"/>
      <c r="AP555" s="77"/>
      <c r="AQ555" s="77"/>
      <c r="AR555" s="77"/>
      <c r="AS555" s="77"/>
      <c r="AT555" s="77"/>
      <c r="AU555" s="77"/>
      <c r="AV555" s="77"/>
      <c r="AW555" s="77"/>
      <c r="AX555" s="77"/>
      <c r="AY555" s="77"/>
      <c r="AZ555" s="77"/>
      <c r="BA555" s="77"/>
      <c r="BB555" s="77"/>
      <c r="BC555" s="77"/>
      <c r="BD555" s="77"/>
      <c r="BE555" s="77"/>
    </row>
    <row r="556">
      <c r="A556" s="77"/>
      <c r="B556" s="77"/>
      <c r="C556" s="77"/>
      <c r="D556" s="77"/>
      <c r="E556" s="188"/>
      <c r="F556" s="188"/>
      <c r="G556" s="188"/>
      <c r="H556" s="188"/>
      <c r="I556" s="188"/>
      <c r="J556" s="77"/>
      <c r="K556" s="77"/>
      <c r="L556" s="77"/>
      <c r="M556" s="77"/>
      <c r="N556" s="77"/>
      <c r="O556" s="77"/>
      <c r="P556" s="77"/>
      <c r="Q556" s="77"/>
      <c r="R556" s="77"/>
      <c r="S556" s="77"/>
      <c r="T556" s="77"/>
      <c r="U556" s="77"/>
      <c r="V556" s="77"/>
      <c r="W556" s="77"/>
      <c r="X556" s="77"/>
      <c r="Y556" s="77"/>
      <c r="Z556" s="77"/>
      <c r="AA556" s="77"/>
      <c r="AB556" s="77"/>
      <c r="AC556" s="77"/>
      <c r="AD556" s="227"/>
      <c r="AE556" s="77"/>
      <c r="AF556" s="227"/>
      <c r="AG556" s="77"/>
      <c r="AH556" s="77"/>
      <c r="AI556" s="77"/>
      <c r="AJ556" s="77"/>
      <c r="AK556" s="77"/>
      <c r="AL556" s="77"/>
      <c r="AM556" s="77"/>
      <c r="AN556" s="77"/>
      <c r="AO556" s="77"/>
      <c r="AP556" s="77"/>
      <c r="AQ556" s="77"/>
      <c r="AR556" s="77"/>
      <c r="AS556" s="77"/>
      <c r="AT556" s="77"/>
      <c r="AU556" s="77"/>
      <c r="AV556" s="77"/>
      <c r="AW556" s="77"/>
      <c r="AX556" s="77"/>
      <c r="AY556" s="77"/>
      <c r="AZ556" s="77"/>
      <c r="BA556" s="77"/>
      <c r="BB556" s="77"/>
      <c r="BC556" s="77"/>
      <c r="BD556" s="77"/>
      <c r="BE556" s="77"/>
    </row>
    <row r="557">
      <c r="A557" s="77"/>
      <c r="B557" s="77"/>
      <c r="C557" s="77"/>
      <c r="D557" s="77"/>
      <c r="E557" s="188"/>
      <c r="F557" s="188"/>
      <c r="G557" s="188"/>
      <c r="H557" s="188"/>
      <c r="I557" s="188"/>
      <c r="J557" s="77"/>
      <c r="K557" s="77"/>
      <c r="L557" s="77"/>
      <c r="M557" s="77"/>
      <c r="N557" s="77"/>
      <c r="O557" s="77"/>
      <c r="P557" s="77"/>
      <c r="Q557" s="77"/>
      <c r="R557" s="77"/>
      <c r="S557" s="77"/>
      <c r="T557" s="77"/>
      <c r="U557" s="77"/>
      <c r="V557" s="77"/>
      <c r="W557" s="77"/>
      <c r="X557" s="77"/>
      <c r="Y557" s="77"/>
      <c r="Z557" s="77"/>
      <c r="AA557" s="77"/>
      <c r="AB557" s="77"/>
      <c r="AC557" s="77"/>
      <c r="AD557" s="227"/>
      <c r="AE557" s="77"/>
      <c r="AF557" s="227"/>
      <c r="AG557" s="77"/>
      <c r="AH557" s="77"/>
      <c r="AI557" s="77"/>
      <c r="AJ557" s="77"/>
      <c r="AK557" s="77"/>
      <c r="AL557" s="77"/>
      <c r="AM557" s="77"/>
      <c r="AN557" s="77"/>
      <c r="AO557" s="77"/>
      <c r="AP557" s="77"/>
      <c r="AQ557" s="77"/>
      <c r="AR557" s="77"/>
      <c r="AS557" s="77"/>
      <c r="AT557" s="77"/>
      <c r="AU557" s="77"/>
      <c r="AV557" s="77"/>
      <c r="AW557" s="77"/>
      <c r="AX557" s="77"/>
      <c r="AY557" s="77"/>
      <c r="AZ557" s="77"/>
      <c r="BA557" s="77"/>
      <c r="BB557" s="77"/>
      <c r="BC557" s="77"/>
      <c r="BD557" s="77"/>
      <c r="BE557" s="77"/>
    </row>
    <row r="558">
      <c r="A558" s="77"/>
      <c r="B558" s="77"/>
      <c r="C558" s="77"/>
      <c r="D558" s="77"/>
      <c r="E558" s="188"/>
      <c r="F558" s="188"/>
      <c r="G558" s="188"/>
      <c r="H558" s="188"/>
      <c r="I558" s="188"/>
      <c r="J558" s="77"/>
      <c r="K558" s="77"/>
      <c r="L558" s="77"/>
      <c r="M558" s="77"/>
      <c r="N558" s="77"/>
      <c r="O558" s="77"/>
      <c r="P558" s="77"/>
      <c r="Q558" s="77"/>
      <c r="R558" s="77"/>
      <c r="S558" s="77"/>
      <c r="T558" s="77"/>
      <c r="U558" s="77"/>
      <c r="V558" s="77"/>
      <c r="W558" s="77"/>
      <c r="X558" s="77"/>
      <c r="Y558" s="77"/>
      <c r="Z558" s="77"/>
      <c r="AA558" s="77"/>
      <c r="AB558" s="77"/>
      <c r="AC558" s="77"/>
      <c r="AD558" s="227"/>
      <c r="AE558" s="77"/>
      <c r="AF558" s="227"/>
      <c r="AG558" s="77"/>
      <c r="AH558" s="77"/>
      <c r="AI558" s="77"/>
      <c r="AJ558" s="77"/>
      <c r="AK558" s="77"/>
      <c r="AL558" s="77"/>
      <c r="AM558" s="77"/>
      <c r="AN558" s="77"/>
      <c r="AO558" s="77"/>
      <c r="AP558" s="77"/>
      <c r="AQ558" s="77"/>
      <c r="AR558" s="77"/>
      <c r="AS558" s="77"/>
      <c r="AT558" s="77"/>
      <c r="AU558" s="77"/>
      <c r="AV558" s="77"/>
      <c r="AW558" s="77"/>
      <c r="AX558" s="77"/>
      <c r="AY558" s="77"/>
      <c r="AZ558" s="77"/>
      <c r="BA558" s="77"/>
      <c r="BB558" s="77"/>
      <c r="BC558" s="77"/>
      <c r="BD558" s="77"/>
      <c r="BE558" s="77"/>
    </row>
    <row r="559">
      <c r="A559" s="77"/>
      <c r="B559" s="77"/>
      <c r="C559" s="77"/>
      <c r="D559" s="77"/>
      <c r="E559" s="188"/>
      <c r="F559" s="188"/>
      <c r="G559" s="188"/>
      <c r="H559" s="188"/>
      <c r="I559" s="188"/>
      <c r="J559" s="77"/>
      <c r="K559" s="77"/>
      <c r="L559" s="77"/>
      <c r="M559" s="77"/>
      <c r="N559" s="77"/>
      <c r="O559" s="77"/>
      <c r="P559" s="77"/>
      <c r="Q559" s="77"/>
      <c r="R559" s="77"/>
      <c r="S559" s="77"/>
      <c r="T559" s="77"/>
      <c r="U559" s="77"/>
      <c r="V559" s="77"/>
      <c r="W559" s="77"/>
      <c r="X559" s="77"/>
      <c r="Y559" s="77"/>
      <c r="Z559" s="77"/>
      <c r="AA559" s="77"/>
      <c r="AB559" s="77"/>
      <c r="AC559" s="77"/>
      <c r="AD559" s="227"/>
      <c r="AE559" s="77"/>
      <c r="AF559" s="227"/>
      <c r="AG559" s="77"/>
      <c r="AH559" s="77"/>
      <c r="AI559" s="77"/>
      <c r="AJ559" s="77"/>
      <c r="AK559" s="77"/>
      <c r="AL559" s="77"/>
      <c r="AM559" s="77"/>
      <c r="AN559" s="77"/>
      <c r="AO559" s="77"/>
      <c r="AP559" s="77"/>
      <c r="AQ559" s="77"/>
      <c r="AR559" s="77"/>
      <c r="AS559" s="77"/>
      <c r="AT559" s="77"/>
      <c r="AU559" s="77"/>
      <c r="AV559" s="77"/>
      <c r="AW559" s="77"/>
      <c r="AX559" s="77"/>
      <c r="AY559" s="77"/>
      <c r="AZ559" s="77"/>
      <c r="BA559" s="77"/>
      <c r="BB559" s="77"/>
      <c r="BC559" s="77"/>
      <c r="BD559" s="77"/>
      <c r="BE559" s="77"/>
    </row>
    <row r="560">
      <c r="A560" s="77"/>
      <c r="B560" s="77"/>
      <c r="C560" s="77"/>
      <c r="D560" s="77"/>
      <c r="E560" s="188"/>
      <c r="F560" s="188"/>
      <c r="G560" s="188"/>
      <c r="H560" s="188"/>
      <c r="I560" s="188"/>
      <c r="J560" s="77"/>
      <c r="K560" s="77"/>
      <c r="L560" s="77"/>
      <c r="M560" s="77"/>
      <c r="N560" s="77"/>
      <c r="O560" s="77"/>
      <c r="P560" s="77"/>
      <c r="Q560" s="77"/>
      <c r="R560" s="77"/>
      <c r="S560" s="77"/>
      <c r="T560" s="77"/>
      <c r="U560" s="77"/>
      <c r="V560" s="77"/>
      <c r="W560" s="77"/>
      <c r="X560" s="77"/>
      <c r="Y560" s="77"/>
      <c r="Z560" s="77"/>
      <c r="AA560" s="77"/>
      <c r="AB560" s="77"/>
      <c r="AC560" s="77"/>
      <c r="AD560" s="227"/>
      <c r="AE560" s="77"/>
      <c r="AF560" s="227"/>
      <c r="AG560" s="77"/>
      <c r="AH560" s="77"/>
      <c r="AI560" s="77"/>
      <c r="AJ560" s="77"/>
      <c r="AK560" s="77"/>
      <c r="AL560" s="77"/>
      <c r="AM560" s="77"/>
      <c r="AN560" s="77"/>
      <c r="AO560" s="77"/>
      <c r="AP560" s="77"/>
      <c r="AQ560" s="77"/>
      <c r="AR560" s="77"/>
      <c r="AS560" s="77"/>
      <c r="AT560" s="77"/>
      <c r="AU560" s="77"/>
      <c r="AV560" s="77"/>
      <c r="AW560" s="77"/>
      <c r="AX560" s="77"/>
      <c r="AY560" s="77"/>
      <c r="AZ560" s="77"/>
      <c r="BA560" s="77"/>
      <c r="BB560" s="77"/>
      <c r="BC560" s="77"/>
      <c r="BD560" s="77"/>
      <c r="BE560" s="77"/>
    </row>
    <row r="561">
      <c r="A561" s="77"/>
      <c r="B561" s="77"/>
      <c r="C561" s="77"/>
      <c r="D561" s="77"/>
      <c r="E561" s="188"/>
      <c r="F561" s="188"/>
      <c r="G561" s="188"/>
      <c r="H561" s="188"/>
      <c r="I561" s="188"/>
      <c r="J561" s="77"/>
      <c r="K561" s="77"/>
      <c r="L561" s="77"/>
      <c r="M561" s="77"/>
      <c r="N561" s="77"/>
      <c r="O561" s="77"/>
      <c r="P561" s="77"/>
      <c r="Q561" s="77"/>
      <c r="R561" s="77"/>
      <c r="S561" s="77"/>
      <c r="T561" s="77"/>
      <c r="U561" s="77"/>
      <c r="V561" s="77"/>
      <c r="W561" s="77"/>
      <c r="X561" s="77"/>
      <c r="Y561" s="77"/>
      <c r="Z561" s="77"/>
      <c r="AA561" s="77"/>
      <c r="AB561" s="77"/>
      <c r="AC561" s="77"/>
      <c r="AD561" s="227"/>
      <c r="AE561" s="77"/>
      <c r="AF561" s="227"/>
      <c r="AG561" s="77"/>
      <c r="AH561" s="77"/>
      <c r="AI561" s="77"/>
      <c r="AJ561" s="77"/>
      <c r="AK561" s="77"/>
      <c r="AL561" s="77"/>
      <c r="AM561" s="77"/>
      <c r="AN561" s="77"/>
      <c r="AO561" s="77"/>
      <c r="AP561" s="77"/>
      <c r="AQ561" s="77"/>
      <c r="AR561" s="77"/>
      <c r="AS561" s="77"/>
      <c r="AT561" s="77"/>
      <c r="AU561" s="77"/>
      <c r="AV561" s="77"/>
      <c r="AW561" s="77"/>
      <c r="AX561" s="77"/>
      <c r="AY561" s="77"/>
      <c r="AZ561" s="77"/>
      <c r="BA561" s="77"/>
      <c r="BB561" s="77"/>
      <c r="BC561" s="77"/>
      <c r="BD561" s="77"/>
      <c r="BE561" s="77"/>
    </row>
    <row r="562">
      <c r="A562" s="77"/>
      <c r="B562" s="77"/>
      <c r="C562" s="77"/>
      <c r="D562" s="77"/>
      <c r="E562" s="188"/>
      <c r="F562" s="188"/>
      <c r="G562" s="188"/>
      <c r="H562" s="188"/>
      <c r="I562" s="188"/>
      <c r="J562" s="77"/>
      <c r="K562" s="77"/>
      <c r="L562" s="77"/>
      <c r="M562" s="77"/>
      <c r="N562" s="77"/>
      <c r="O562" s="77"/>
      <c r="P562" s="77"/>
      <c r="Q562" s="77"/>
      <c r="R562" s="77"/>
      <c r="S562" s="77"/>
      <c r="T562" s="77"/>
      <c r="U562" s="77"/>
      <c r="V562" s="77"/>
      <c r="W562" s="77"/>
      <c r="X562" s="77"/>
      <c r="Y562" s="77"/>
      <c r="Z562" s="77"/>
      <c r="AA562" s="77"/>
      <c r="AB562" s="77"/>
      <c r="AC562" s="77"/>
      <c r="AD562" s="227"/>
      <c r="AE562" s="77"/>
      <c r="AF562" s="227"/>
      <c r="AG562" s="77"/>
      <c r="AH562" s="77"/>
      <c r="AI562" s="77"/>
      <c r="AJ562" s="77"/>
      <c r="AK562" s="77"/>
      <c r="AL562" s="77"/>
      <c r="AM562" s="77"/>
      <c r="AN562" s="77"/>
      <c r="AO562" s="77"/>
      <c r="AP562" s="77"/>
      <c r="AQ562" s="77"/>
      <c r="AR562" s="77"/>
      <c r="AS562" s="77"/>
      <c r="AT562" s="77"/>
      <c r="AU562" s="77"/>
      <c r="AV562" s="77"/>
      <c r="AW562" s="77"/>
      <c r="AX562" s="77"/>
      <c r="AY562" s="77"/>
      <c r="AZ562" s="77"/>
      <c r="BA562" s="77"/>
      <c r="BB562" s="77"/>
      <c r="BC562" s="77"/>
      <c r="BD562" s="77"/>
      <c r="BE562" s="77"/>
    </row>
    <row r="563">
      <c r="A563" s="77"/>
      <c r="B563" s="77"/>
      <c r="C563" s="77"/>
      <c r="D563" s="77"/>
      <c r="E563" s="188"/>
      <c r="F563" s="188"/>
      <c r="G563" s="188"/>
      <c r="H563" s="188"/>
      <c r="I563" s="188"/>
      <c r="J563" s="77"/>
      <c r="K563" s="77"/>
      <c r="L563" s="77"/>
      <c r="M563" s="77"/>
      <c r="N563" s="77"/>
      <c r="O563" s="77"/>
      <c r="P563" s="77"/>
      <c r="Q563" s="77"/>
      <c r="R563" s="77"/>
      <c r="S563" s="77"/>
      <c r="T563" s="77"/>
      <c r="U563" s="77"/>
      <c r="V563" s="77"/>
      <c r="W563" s="77"/>
      <c r="X563" s="77"/>
      <c r="Y563" s="77"/>
      <c r="Z563" s="77"/>
      <c r="AA563" s="77"/>
      <c r="AB563" s="77"/>
      <c r="AC563" s="77"/>
      <c r="AD563" s="227"/>
      <c r="AE563" s="77"/>
      <c r="AF563" s="227"/>
      <c r="AG563" s="77"/>
      <c r="AH563" s="77"/>
      <c r="AI563" s="77"/>
      <c r="AJ563" s="77"/>
      <c r="AK563" s="77"/>
      <c r="AL563" s="77"/>
      <c r="AM563" s="77"/>
      <c r="AN563" s="77"/>
      <c r="AO563" s="77"/>
      <c r="AP563" s="77"/>
      <c r="AQ563" s="77"/>
      <c r="AR563" s="77"/>
      <c r="AS563" s="77"/>
      <c r="AT563" s="77"/>
      <c r="AU563" s="77"/>
      <c r="AV563" s="77"/>
      <c r="AW563" s="77"/>
      <c r="AX563" s="77"/>
      <c r="AY563" s="77"/>
      <c r="AZ563" s="77"/>
      <c r="BA563" s="77"/>
      <c r="BB563" s="77"/>
      <c r="BC563" s="77"/>
      <c r="BD563" s="77"/>
      <c r="BE563" s="77"/>
    </row>
    <row r="564">
      <c r="A564" s="77"/>
      <c r="B564" s="77"/>
      <c r="C564" s="77"/>
      <c r="D564" s="77"/>
      <c r="E564" s="188"/>
      <c r="F564" s="188"/>
      <c r="G564" s="188"/>
      <c r="H564" s="188"/>
      <c r="I564" s="188"/>
      <c r="J564" s="77"/>
      <c r="K564" s="77"/>
      <c r="L564" s="77"/>
      <c r="M564" s="77"/>
      <c r="N564" s="77"/>
      <c r="O564" s="77"/>
      <c r="P564" s="77"/>
      <c r="Q564" s="77"/>
      <c r="R564" s="77"/>
      <c r="S564" s="77"/>
      <c r="T564" s="77"/>
      <c r="U564" s="77"/>
      <c r="V564" s="77"/>
      <c r="W564" s="77"/>
      <c r="X564" s="77"/>
      <c r="Y564" s="77"/>
      <c r="Z564" s="77"/>
      <c r="AA564" s="77"/>
      <c r="AB564" s="77"/>
      <c r="AC564" s="77"/>
      <c r="AD564" s="227"/>
      <c r="AE564" s="77"/>
      <c r="AF564" s="227"/>
      <c r="AG564" s="77"/>
      <c r="AH564" s="77"/>
      <c r="AI564" s="77"/>
      <c r="AJ564" s="77"/>
      <c r="AK564" s="77"/>
      <c r="AL564" s="77"/>
      <c r="AM564" s="77"/>
      <c r="AN564" s="77"/>
      <c r="AO564" s="77"/>
      <c r="AP564" s="77"/>
      <c r="AQ564" s="77"/>
      <c r="AR564" s="77"/>
      <c r="AS564" s="77"/>
      <c r="AT564" s="77"/>
      <c r="AU564" s="77"/>
      <c r="AV564" s="77"/>
      <c r="AW564" s="77"/>
      <c r="AX564" s="77"/>
      <c r="AY564" s="77"/>
      <c r="AZ564" s="77"/>
      <c r="BA564" s="77"/>
      <c r="BB564" s="77"/>
      <c r="BC564" s="77"/>
      <c r="BD564" s="77"/>
      <c r="BE564" s="77"/>
    </row>
    <row r="565">
      <c r="A565" s="77"/>
      <c r="B565" s="77"/>
      <c r="C565" s="77"/>
      <c r="D565" s="77"/>
      <c r="E565" s="188"/>
      <c r="F565" s="188"/>
      <c r="G565" s="188"/>
      <c r="H565" s="188"/>
      <c r="I565" s="188"/>
      <c r="J565" s="77"/>
      <c r="K565" s="77"/>
      <c r="L565" s="77"/>
      <c r="M565" s="77"/>
      <c r="N565" s="77"/>
      <c r="O565" s="77"/>
      <c r="P565" s="77"/>
      <c r="Q565" s="77"/>
      <c r="R565" s="77"/>
      <c r="S565" s="77"/>
      <c r="T565" s="77"/>
      <c r="U565" s="77"/>
      <c r="V565" s="77"/>
      <c r="W565" s="77"/>
      <c r="X565" s="77"/>
      <c r="Y565" s="77"/>
      <c r="Z565" s="77"/>
      <c r="AA565" s="77"/>
      <c r="AB565" s="77"/>
      <c r="AC565" s="77"/>
      <c r="AD565" s="227"/>
      <c r="AE565" s="77"/>
      <c r="AF565" s="227"/>
      <c r="AG565" s="77"/>
      <c r="AH565" s="77"/>
      <c r="AI565" s="77"/>
      <c r="AJ565" s="77"/>
      <c r="AK565" s="77"/>
      <c r="AL565" s="77"/>
      <c r="AM565" s="77"/>
      <c r="AN565" s="77"/>
      <c r="AO565" s="77"/>
      <c r="AP565" s="77"/>
      <c r="AQ565" s="77"/>
      <c r="AR565" s="77"/>
      <c r="AS565" s="77"/>
      <c r="AT565" s="77"/>
      <c r="AU565" s="77"/>
      <c r="AV565" s="77"/>
      <c r="AW565" s="77"/>
      <c r="AX565" s="77"/>
      <c r="AY565" s="77"/>
      <c r="AZ565" s="77"/>
      <c r="BA565" s="77"/>
      <c r="BB565" s="77"/>
      <c r="BC565" s="77"/>
      <c r="BD565" s="77"/>
      <c r="BE565" s="77"/>
    </row>
    <row r="566">
      <c r="A566" s="77"/>
      <c r="B566" s="77"/>
      <c r="C566" s="77"/>
      <c r="D566" s="77"/>
      <c r="E566" s="188"/>
      <c r="F566" s="188"/>
      <c r="G566" s="188"/>
      <c r="H566" s="188"/>
      <c r="I566" s="188"/>
      <c r="J566" s="77"/>
      <c r="K566" s="77"/>
      <c r="L566" s="77"/>
      <c r="M566" s="77"/>
      <c r="N566" s="77"/>
      <c r="O566" s="77"/>
      <c r="P566" s="77"/>
      <c r="Q566" s="77"/>
      <c r="R566" s="77"/>
      <c r="S566" s="77"/>
      <c r="T566" s="77"/>
      <c r="U566" s="77"/>
      <c r="V566" s="77"/>
      <c r="W566" s="77"/>
      <c r="X566" s="77"/>
      <c r="Y566" s="77"/>
      <c r="Z566" s="77"/>
      <c r="AA566" s="77"/>
      <c r="AB566" s="77"/>
      <c r="AC566" s="77"/>
      <c r="AD566" s="227"/>
      <c r="AE566" s="77"/>
      <c r="AF566" s="227"/>
      <c r="AG566" s="77"/>
      <c r="AH566" s="77"/>
      <c r="AI566" s="77"/>
      <c r="AJ566" s="77"/>
      <c r="AK566" s="77"/>
      <c r="AL566" s="77"/>
      <c r="AM566" s="77"/>
      <c r="AN566" s="77"/>
      <c r="AO566" s="77"/>
      <c r="AP566" s="77"/>
      <c r="AQ566" s="77"/>
      <c r="AR566" s="77"/>
      <c r="AS566" s="77"/>
      <c r="AT566" s="77"/>
      <c r="AU566" s="77"/>
      <c r="AV566" s="77"/>
      <c r="AW566" s="77"/>
      <c r="AX566" s="77"/>
      <c r="AY566" s="77"/>
      <c r="AZ566" s="77"/>
      <c r="BA566" s="77"/>
      <c r="BB566" s="77"/>
      <c r="BC566" s="77"/>
      <c r="BD566" s="77"/>
      <c r="BE566" s="77"/>
    </row>
    <row r="567">
      <c r="A567" s="77"/>
      <c r="B567" s="77"/>
      <c r="C567" s="77"/>
      <c r="D567" s="77"/>
      <c r="E567" s="188"/>
      <c r="F567" s="188"/>
      <c r="G567" s="188"/>
      <c r="H567" s="188"/>
      <c r="I567" s="188"/>
      <c r="J567" s="77"/>
      <c r="K567" s="77"/>
      <c r="L567" s="77"/>
      <c r="M567" s="77"/>
      <c r="N567" s="77"/>
      <c r="O567" s="77"/>
      <c r="P567" s="77"/>
      <c r="Q567" s="77"/>
      <c r="R567" s="77"/>
      <c r="S567" s="77"/>
      <c r="T567" s="77"/>
      <c r="U567" s="77"/>
      <c r="V567" s="77"/>
      <c r="W567" s="77"/>
      <c r="X567" s="77"/>
      <c r="Y567" s="77"/>
      <c r="Z567" s="77"/>
      <c r="AA567" s="77"/>
      <c r="AB567" s="77"/>
      <c r="AC567" s="77"/>
      <c r="AD567" s="227"/>
      <c r="AE567" s="77"/>
      <c r="AF567" s="227"/>
      <c r="AG567" s="77"/>
      <c r="AH567" s="77"/>
      <c r="AI567" s="77"/>
      <c r="AJ567" s="77"/>
      <c r="AK567" s="77"/>
      <c r="AL567" s="77"/>
      <c r="AM567" s="77"/>
      <c r="AN567" s="77"/>
      <c r="AO567" s="77"/>
      <c r="AP567" s="77"/>
      <c r="AQ567" s="77"/>
      <c r="AR567" s="77"/>
      <c r="AS567" s="77"/>
      <c r="AT567" s="77"/>
      <c r="AU567" s="77"/>
      <c r="AV567" s="77"/>
      <c r="AW567" s="77"/>
      <c r="AX567" s="77"/>
      <c r="AY567" s="77"/>
      <c r="AZ567" s="77"/>
      <c r="BA567" s="77"/>
      <c r="BB567" s="77"/>
      <c r="BC567" s="77"/>
      <c r="BD567" s="77"/>
      <c r="BE567" s="77"/>
    </row>
    <row r="568">
      <c r="A568" s="77"/>
      <c r="B568" s="77"/>
      <c r="C568" s="77"/>
      <c r="D568" s="77"/>
      <c r="E568" s="188"/>
      <c r="F568" s="188"/>
      <c r="G568" s="188"/>
      <c r="H568" s="188"/>
      <c r="I568" s="188"/>
      <c r="J568" s="77"/>
      <c r="K568" s="77"/>
      <c r="L568" s="77"/>
      <c r="M568" s="77"/>
      <c r="N568" s="77"/>
      <c r="O568" s="77"/>
      <c r="P568" s="77"/>
      <c r="Q568" s="77"/>
      <c r="R568" s="77"/>
      <c r="S568" s="77"/>
      <c r="T568" s="77"/>
      <c r="U568" s="77"/>
      <c r="V568" s="77"/>
      <c r="W568" s="77"/>
      <c r="X568" s="77"/>
      <c r="Y568" s="77"/>
      <c r="Z568" s="77"/>
      <c r="AA568" s="77"/>
      <c r="AB568" s="77"/>
      <c r="AC568" s="77"/>
      <c r="AD568" s="227"/>
      <c r="AE568" s="77"/>
      <c r="AF568" s="227"/>
      <c r="AG568" s="77"/>
      <c r="AH568" s="77"/>
      <c r="AI568" s="77"/>
      <c r="AJ568" s="77"/>
      <c r="AK568" s="77"/>
      <c r="AL568" s="77"/>
      <c r="AM568" s="77"/>
      <c r="AN568" s="77"/>
      <c r="AO568" s="77"/>
      <c r="AP568" s="77"/>
      <c r="AQ568" s="77"/>
      <c r="AR568" s="77"/>
      <c r="AS568" s="77"/>
      <c r="AT568" s="77"/>
      <c r="AU568" s="77"/>
      <c r="AV568" s="77"/>
      <c r="AW568" s="77"/>
      <c r="AX568" s="77"/>
      <c r="AY568" s="77"/>
      <c r="AZ568" s="77"/>
      <c r="BA568" s="77"/>
      <c r="BB568" s="77"/>
      <c r="BC568" s="77"/>
      <c r="BD568" s="77"/>
      <c r="BE568" s="77"/>
    </row>
    <row r="569">
      <c r="A569" s="77"/>
      <c r="B569" s="77"/>
      <c r="C569" s="77"/>
      <c r="D569" s="77"/>
      <c r="E569" s="188"/>
      <c r="F569" s="188"/>
      <c r="G569" s="188"/>
      <c r="H569" s="188"/>
      <c r="I569" s="188"/>
      <c r="J569" s="77"/>
      <c r="K569" s="77"/>
      <c r="L569" s="77"/>
      <c r="M569" s="77"/>
      <c r="N569" s="77"/>
      <c r="O569" s="77"/>
      <c r="P569" s="77"/>
      <c r="Q569" s="77"/>
      <c r="R569" s="77"/>
      <c r="S569" s="77"/>
      <c r="T569" s="77"/>
      <c r="U569" s="77"/>
      <c r="V569" s="77"/>
      <c r="W569" s="77"/>
      <c r="X569" s="77"/>
      <c r="Y569" s="77"/>
      <c r="Z569" s="77"/>
      <c r="AA569" s="77"/>
      <c r="AB569" s="77"/>
      <c r="AC569" s="77"/>
      <c r="AD569" s="227"/>
      <c r="AE569" s="77"/>
      <c r="AF569" s="227"/>
      <c r="AG569" s="77"/>
      <c r="AH569" s="77"/>
      <c r="AI569" s="77"/>
      <c r="AJ569" s="77"/>
      <c r="AK569" s="77"/>
      <c r="AL569" s="77"/>
      <c r="AM569" s="77"/>
      <c r="AN569" s="77"/>
      <c r="AO569" s="77"/>
      <c r="AP569" s="77"/>
      <c r="AQ569" s="77"/>
      <c r="AR569" s="77"/>
      <c r="AS569" s="77"/>
      <c r="AT569" s="77"/>
      <c r="AU569" s="77"/>
      <c r="AV569" s="77"/>
      <c r="AW569" s="77"/>
      <c r="AX569" s="77"/>
      <c r="AY569" s="77"/>
      <c r="AZ569" s="77"/>
      <c r="BA569" s="77"/>
      <c r="BB569" s="77"/>
      <c r="BC569" s="77"/>
      <c r="BD569" s="77"/>
      <c r="BE569" s="77"/>
    </row>
    <row r="570">
      <c r="A570" s="77"/>
      <c r="B570" s="77"/>
      <c r="C570" s="77"/>
      <c r="D570" s="77"/>
      <c r="E570" s="188"/>
      <c r="F570" s="188"/>
      <c r="G570" s="188"/>
      <c r="H570" s="188"/>
      <c r="I570" s="188"/>
      <c r="J570" s="77"/>
      <c r="K570" s="77"/>
      <c r="L570" s="77"/>
      <c r="M570" s="77"/>
      <c r="N570" s="77"/>
      <c r="O570" s="77"/>
      <c r="P570" s="77"/>
      <c r="Q570" s="77"/>
      <c r="R570" s="77"/>
      <c r="S570" s="77"/>
      <c r="T570" s="77"/>
      <c r="U570" s="77"/>
      <c r="V570" s="77"/>
      <c r="W570" s="77"/>
      <c r="X570" s="77"/>
      <c r="Y570" s="77"/>
      <c r="Z570" s="77"/>
      <c r="AA570" s="77"/>
      <c r="AB570" s="77"/>
      <c r="AC570" s="77"/>
      <c r="AD570" s="227"/>
      <c r="AE570" s="77"/>
      <c r="AF570" s="227"/>
      <c r="AG570" s="77"/>
      <c r="AH570" s="77"/>
      <c r="AI570" s="77"/>
      <c r="AJ570" s="77"/>
      <c r="AK570" s="77"/>
      <c r="AL570" s="77"/>
      <c r="AM570" s="77"/>
      <c r="AN570" s="77"/>
      <c r="AO570" s="77"/>
      <c r="AP570" s="77"/>
      <c r="AQ570" s="77"/>
      <c r="AR570" s="77"/>
      <c r="AS570" s="77"/>
      <c r="AT570" s="77"/>
      <c r="AU570" s="77"/>
      <c r="AV570" s="77"/>
      <c r="AW570" s="77"/>
      <c r="AX570" s="77"/>
      <c r="AY570" s="77"/>
      <c r="AZ570" s="77"/>
      <c r="BA570" s="77"/>
      <c r="BB570" s="77"/>
      <c r="BC570" s="77"/>
      <c r="BD570" s="77"/>
      <c r="BE570" s="77"/>
    </row>
    <row r="571">
      <c r="A571" s="77"/>
      <c r="B571" s="77"/>
      <c r="C571" s="77"/>
      <c r="D571" s="77"/>
      <c r="E571" s="188"/>
      <c r="F571" s="188"/>
      <c r="G571" s="188"/>
      <c r="H571" s="188"/>
      <c r="I571" s="188"/>
      <c r="J571" s="77"/>
      <c r="K571" s="77"/>
      <c r="L571" s="77"/>
      <c r="M571" s="77"/>
      <c r="N571" s="77"/>
      <c r="O571" s="77"/>
      <c r="P571" s="77"/>
      <c r="Q571" s="77"/>
      <c r="R571" s="77"/>
      <c r="S571" s="77"/>
      <c r="T571" s="77"/>
      <c r="U571" s="77"/>
      <c r="V571" s="77"/>
      <c r="W571" s="77"/>
      <c r="X571" s="77"/>
      <c r="Y571" s="77"/>
      <c r="Z571" s="77"/>
      <c r="AA571" s="77"/>
      <c r="AB571" s="77"/>
      <c r="AC571" s="77"/>
      <c r="AD571" s="227"/>
      <c r="AE571" s="77"/>
      <c r="AF571" s="227"/>
      <c r="AG571" s="77"/>
      <c r="AH571" s="77"/>
      <c r="AI571" s="77"/>
      <c r="AJ571" s="77"/>
      <c r="AK571" s="77"/>
      <c r="AL571" s="77"/>
      <c r="AM571" s="77"/>
      <c r="AN571" s="77"/>
      <c r="AO571" s="77"/>
      <c r="AP571" s="77"/>
      <c r="AQ571" s="77"/>
      <c r="AR571" s="77"/>
      <c r="AS571" s="77"/>
      <c r="AT571" s="77"/>
      <c r="AU571" s="77"/>
      <c r="AV571" s="77"/>
      <c r="AW571" s="77"/>
      <c r="AX571" s="77"/>
      <c r="AY571" s="77"/>
      <c r="AZ571" s="77"/>
      <c r="BA571" s="77"/>
      <c r="BB571" s="77"/>
      <c r="BC571" s="77"/>
      <c r="BD571" s="77"/>
      <c r="BE571" s="77"/>
    </row>
    <row r="572">
      <c r="A572" s="77"/>
      <c r="B572" s="77"/>
      <c r="C572" s="77"/>
      <c r="D572" s="77"/>
      <c r="E572" s="188"/>
      <c r="F572" s="188"/>
      <c r="G572" s="188"/>
      <c r="H572" s="188"/>
      <c r="I572" s="188"/>
      <c r="J572" s="77"/>
      <c r="K572" s="77"/>
      <c r="L572" s="77"/>
      <c r="M572" s="77"/>
      <c r="N572" s="77"/>
      <c r="O572" s="77"/>
      <c r="P572" s="77"/>
      <c r="Q572" s="77"/>
      <c r="R572" s="77"/>
      <c r="S572" s="77"/>
      <c r="T572" s="77"/>
      <c r="U572" s="77"/>
      <c r="V572" s="77"/>
      <c r="W572" s="77"/>
      <c r="X572" s="77"/>
      <c r="Y572" s="77"/>
      <c r="Z572" s="77"/>
      <c r="AA572" s="77"/>
      <c r="AB572" s="77"/>
      <c r="AC572" s="77"/>
      <c r="AD572" s="227"/>
      <c r="AE572" s="77"/>
      <c r="AF572" s="227"/>
      <c r="AG572" s="77"/>
      <c r="AH572" s="77"/>
      <c r="AI572" s="77"/>
      <c r="AJ572" s="77"/>
      <c r="AK572" s="77"/>
      <c r="AL572" s="77"/>
      <c r="AM572" s="77"/>
      <c r="AN572" s="77"/>
      <c r="AO572" s="77"/>
      <c r="AP572" s="77"/>
      <c r="AQ572" s="77"/>
      <c r="AR572" s="77"/>
      <c r="AS572" s="77"/>
      <c r="AT572" s="77"/>
      <c r="AU572" s="77"/>
      <c r="AV572" s="77"/>
      <c r="AW572" s="77"/>
      <c r="AX572" s="77"/>
      <c r="AY572" s="77"/>
      <c r="AZ572" s="77"/>
      <c r="BA572" s="77"/>
      <c r="BB572" s="77"/>
      <c r="BC572" s="77"/>
      <c r="BD572" s="77"/>
      <c r="BE572" s="77"/>
    </row>
    <row r="573">
      <c r="A573" s="77"/>
      <c r="B573" s="77"/>
      <c r="C573" s="77"/>
      <c r="D573" s="77"/>
      <c r="E573" s="188"/>
      <c r="F573" s="188"/>
      <c r="G573" s="188"/>
      <c r="H573" s="188"/>
      <c r="I573" s="188"/>
      <c r="J573" s="77"/>
      <c r="K573" s="77"/>
      <c r="L573" s="77"/>
      <c r="M573" s="77"/>
      <c r="N573" s="77"/>
      <c r="O573" s="77"/>
      <c r="P573" s="77"/>
      <c r="Q573" s="77"/>
      <c r="R573" s="77"/>
      <c r="S573" s="77"/>
      <c r="T573" s="77"/>
      <c r="U573" s="77"/>
      <c r="V573" s="77"/>
      <c r="W573" s="77"/>
      <c r="X573" s="77"/>
      <c r="Y573" s="77"/>
      <c r="Z573" s="77"/>
      <c r="AA573" s="77"/>
      <c r="AB573" s="77"/>
      <c r="AC573" s="77"/>
      <c r="AD573" s="227"/>
      <c r="AE573" s="77"/>
      <c r="AF573" s="227"/>
      <c r="AG573" s="77"/>
      <c r="AH573" s="77"/>
      <c r="AI573" s="77"/>
      <c r="AJ573" s="77"/>
      <c r="AK573" s="77"/>
      <c r="AL573" s="77"/>
      <c r="AM573" s="77"/>
      <c r="AN573" s="77"/>
      <c r="AO573" s="77"/>
      <c r="AP573" s="77"/>
      <c r="AQ573" s="77"/>
      <c r="AR573" s="77"/>
      <c r="AS573" s="77"/>
      <c r="AT573" s="77"/>
      <c r="AU573" s="77"/>
      <c r="AV573" s="77"/>
      <c r="AW573" s="77"/>
      <c r="AX573" s="77"/>
      <c r="AY573" s="77"/>
      <c r="AZ573" s="77"/>
      <c r="BA573" s="77"/>
      <c r="BB573" s="77"/>
      <c r="BC573" s="77"/>
      <c r="BD573" s="77"/>
      <c r="BE573" s="77"/>
    </row>
    <row r="574">
      <c r="A574" s="77"/>
      <c r="B574" s="77"/>
      <c r="C574" s="77"/>
      <c r="D574" s="77"/>
      <c r="E574" s="188"/>
      <c r="F574" s="188"/>
      <c r="G574" s="188"/>
      <c r="H574" s="188"/>
      <c r="I574" s="188"/>
      <c r="J574" s="77"/>
      <c r="K574" s="77"/>
      <c r="L574" s="77"/>
      <c r="M574" s="77"/>
      <c r="N574" s="77"/>
      <c r="O574" s="77"/>
      <c r="P574" s="77"/>
      <c r="Q574" s="77"/>
      <c r="R574" s="77"/>
      <c r="S574" s="77"/>
      <c r="T574" s="77"/>
      <c r="U574" s="77"/>
      <c r="V574" s="77"/>
      <c r="W574" s="77"/>
      <c r="X574" s="77"/>
      <c r="Y574" s="77"/>
      <c r="Z574" s="77"/>
      <c r="AA574" s="77"/>
      <c r="AB574" s="77"/>
      <c r="AC574" s="77"/>
      <c r="AD574" s="227"/>
      <c r="AE574" s="77"/>
      <c r="AF574" s="227"/>
      <c r="AG574" s="77"/>
      <c r="AH574" s="77"/>
      <c r="AI574" s="77"/>
      <c r="AJ574" s="77"/>
      <c r="AK574" s="77"/>
      <c r="AL574" s="77"/>
      <c r="AM574" s="77"/>
      <c r="AN574" s="77"/>
      <c r="AO574" s="77"/>
      <c r="AP574" s="77"/>
      <c r="AQ574" s="77"/>
      <c r="AR574" s="77"/>
      <c r="AS574" s="77"/>
      <c r="AT574" s="77"/>
      <c r="AU574" s="77"/>
      <c r="AV574" s="77"/>
      <c r="AW574" s="77"/>
      <c r="AX574" s="77"/>
      <c r="AY574" s="77"/>
      <c r="AZ574" s="77"/>
      <c r="BA574" s="77"/>
      <c r="BB574" s="77"/>
      <c r="BC574" s="77"/>
      <c r="BD574" s="77"/>
      <c r="BE574" s="77"/>
    </row>
    <row r="575">
      <c r="A575" s="77"/>
      <c r="B575" s="77"/>
      <c r="C575" s="77"/>
      <c r="D575" s="77"/>
      <c r="E575" s="188"/>
      <c r="F575" s="188"/>
      <c r="G575" s="188"/>
      <c r="H575" s="188"/>
      <c r="I575" s="188"/>
      <c r="J575" s="77"/>
      <c r="K575" s="77"/>
      <c r="L575" s="77"/>
      <c r="M575" s="77"/>
      <c r="N575" s="77"/>
      <c r="O575" s="77"/>
      <c r="P575" s="77"/>
      <c r="Q575" s="77"/>
      <c r="R575" s="77"/>
      <c r="S575" s="77"/>
      <c r="T575" s="77"/>
      <c r="U575" s="77"/>
      <c r="V575" s="77"/>
      <c r="W575" s="77"/>
      <c r="X575" s="77"/>
      <c r="Y575" s="77"/>
      <c r="Z575" s="77"/>
      <c r="AA575" s="77"/>
      <c r="AB575" s="77"/>
      <c r="AC575" s="77"/>
      <c r="AD575" s="227"/>
      <c r="AE575" s="77"/>
      <c r="AF575" s="227"/>
      <c r="AG575" s="77"/>
      <c r="AH575" s="77"/>
      <c r="AI575" s="77"/>
      <c r="AJ575" s="77"/>
      <c r="AK575" s="77"/>
      <c r="AL575" s="77"/>
      <c r="AM575" s="77"/>
      <c r="AN575" s="77"/>
      <c r="AO575" s="77"/>
      <c r="AP575" s="77"/>
      <c r="AQ575" s="77"/>
      <c r="AR575" s="77"/>
      <c r="AS575" s="77"/>
      <c r="AT575" s="77"/>
      <c r="AU575" s="77"/>
      <c r="AV575" s="77"/>
      <c r="AW575" s="77"/>
      <c r="AX575" s="77"/>
      <c r="AY575" s="77"/>
      <c r="AZ575" s="77"/>
      <c r="BA575" s="77"/>
      <c r="BB575" s="77"/>
      <c r="BC575" s="77"/>
      <c r="BD575" s="77"/>
      <c r="BE575" s="77"/>
    </row>
    <row r="576">
      <c r="A576" s="77"/>
      <c r="B576" s="77"/>
      <c r="C576" s="77"/>
      <c r="D576" s="77"/>
      <c r="E576" s="188"/>
      <c r="F576" s="188"/>
      <c r="G576" s="188"/>
      <c r="H576" s="188"/>
      <c r="I576" s="188"/>
      <c r="J576" s="77"/>
      <c r="K576" s="77"/>
      <c r="L576" s="77"/>
      <c r="M576" s="77"/>
      <c r="N576" s="77"/>
      <c r="O576" s="77"/>
      <c r="P576" s="77"/>
      <c r="Q576" s="77"/>
      <c r="R576" s="77"/>
      <c r="S576" s="77"/>
      <c r="T576" s="77"/>
      <c r="U576" s="77"/>
      <c r="V576" s="77"/>
      <c r="W576" s="77"/>
      <c r="X576" s="77"/>
      <c r="Y576" s="77"/>
      <c r="Z576" s="77"/>
      <c r="AA576" s="77"/>
      <c r="AB576" s="77"/>
      <c r="AC576" s="77"/>
      <c r="AD576" s="227"/>
      <c r="AE576" s="77"/>
      <c r="AF576" s="227"/>
      <c r="AG576" s="77"/>
      <c r="AH576" s="77"/>
      <c r="AI576" s="77"/>
      <c r="AJ576" s="77"/>
      <c r="AK576" s="77"/>
      <c r="AL576" s="77"/>
      <c r="AM576" s="77"/>
      <c r="AN576" s="77"/>
      <c r="AO576" s="77"/>
      <c r="AP576" s="77"/>
      <c r="AQ576" s="77"/>
      <c r="AR576" s="77"/>
      <c r="AS576" s="77"/>
      <c r="AT576" s="77"/>
      <c r="AU576" s="77"/>
      <c r="AV576" s="77"/>
      <c r="AW576" s="77"/>
      <c r="AX576" s="77"/>
      <c r="AY576" s="77"/>
      <c r="AZ576" s="77"/>
      <c r="BA576" s="77"/>
      <c r="BB576" s="77"/>
      <c r="BC576" s="77"/>
      <c r="BD576" s="77"/>
      <c r="BE576" s="77"/>
    </row>
    <row r="577">
      <c r="A577" s="77"/>
      <c r="B577" s="77"/>
      <c r="C577" s="77"/>
      <c r="D577" s="77"/>
      <c r="E577" s="188"/>
      <c r="F577" s="188"/>
      <c r="G577" s="188"/>
      <c r="H577" s="188"/>
      <c r="I577" s="188"/>
      <c r="J577" s="77"/>
      <c r="K577" s="77"/>
      <c r="L577" s="77"/>
      <c r="M577" s="77"/>
      <c r="N577" s="77"/>
      <c r="O577" s="77"/>
      <c r="P577" s="77"/>
      <c r="Q577" s="77"/>
      <c r="R577" s="77"/>
      <c r="S577" s="77"/>
      <c r="T577" s="77"/>
      <c r="U577" s="77"/>
      <c r="V577" s="77"/>
      <c r="W577" s="77"/>
      <c r="X577" s="77"/>
      <c r="Y577" s="77"/>
      <c r="Z577" s="77"/>
      <c r="AA577" s="77"/>
      <c r="AB577" s="77"/>
      <c r="AC577" s="77"/>
      <c r="AD577" s="227"/>
      <c r="AE577" s="77"/>
      <c r="AF577" s="227"/>
      <c r="AG577" s="77"/>
      <c r="AH577" s="77"/>
      <c r="AI577" s="77"/>
      <c r="AJ577" s="77"/>
      <c r="AK577" s="77"/>
      <c r="AL577" s="77"/>
      <c r="AM577" s="77"/>
      <c r="AN577" s="77"/>
      <c r="AO577" s="77"/>
      <c r="AP577" s="77"/>
      <c r="AQ577" s="77"/>
      <c r="AR577" s="77"/>
      <c r="AS577" s="77"/>
      <c r="AT577" s="77"/>
      <c r="AU577" s="77"/>
      <c r="AV577" s="77"/>
      <c r="AW577" s="77"/>
      <c r="AX577" s="77"/>
      <c r="AY577" s="77"/>
      <c r="AZ577" s="77"/>
      <c r="BA577" s="77"/>
      <c r="BB577" s="77"/>
      <c r="BC577" s="77"/>
      <c r="BD577" s="77"/>
      <c r="BE577" s="77"/>
    </row>
    <row r="578">
      <c r="A578" s="77"/>
      <c r="B578" s="77"/>
      <c r="C578" s="77"/>
      <c r="D578" s="77"/>
      <c r="E578" s="188"/>
      <c r="F578" s="188"/>
      <c r="G578" s="188"/>
      <c r="H578" s="188"/>
      <c r="I578" s="188"/>
      <c r="J578" s="77"/>
      <c r="K578" s="77"/>
      <c r="L578" s="77"/>
      <c r="M578" s="77"/>
      <c r="N578" s="77"/>
      <c r="O578" s="77"/>
      <c r="P578" s="77"/>
      <c r="Q578" s="77"/>
      <c r="R578" s="77"/>
      <c r="S578" s="77"/>
      <c r="T578" s="77"/>
      <c r="U578" s="77"/>
      <c r="V578" s="77"/>
      <c r="W578" s="77"/>
      <c r="X578" s="77"/>
      <c r="Y578" s="77"/>
      <c r="Z578" s="77"/>
      <c r="AA578" s="77"/>
      <c r="AB578" s="77"/>
      <c r="AC578" s="77"/>
      <c r="AD578" s="227"/>
      <c r="AE578" s="77"/>
      <c r="AF578" s="227"/>
      <c r="AG578" s="77"/>
      <c r="AH578" s="77"/>
      <c r="AI578" s="77"/>
      <c r="AJ578" s="77"/>
      <c r="AK578" s="77"/>
      <c r="AL578" s="77"/>
      <c r="AM578" s="77"/>
      <c r="AN578" s="77"/>
      <c r="AO578" s="77"/>
      <c r="AP578" s="77"/>
      <c r="AQ578" s="77"/>
      <c r="AR578" s="77"/>
      <c r="AS578" s="77"/>
      <c r="AT578" s="77"/>
      <c r="AU578" s="77"/>
      <c r="AV578" s="77"/>
      <c r="AW578" s="77"/>
      <c r="AX578" s="77"/>
      <c r="AY578" s="77"/>
      <c r="AZ578" s="77"/>
      <c r="BA578" s="77"/>
      <c r="BB578" s="77"/>
      <c r="BC578" s="77"/>
      <c r="BD578" s="77"/>
      <c r="BE578" s="77"/>
    </row>
    <row r="579">
      <c r="A579" s="77"/>
      <c r="B579" s="77"/>
      <c r="C579" s="77"/>
      <c r="D579" s="77"/>
      <c r="E579" s="188"/>
      <c r="F579" s="188"/>
      <c r="G579" s="188"/>
      <c r="H579" s="188"/>
      <c r="I579" s="188"/>
      <c r="J579" s="77"/>
      <c r="K579" s="77"/>
      <c r="L579" s="77"/>
      <c r="M579" s="77"/>
      <c r="N579" s="77"/>
      <c r="O579" s="77"/>
      <c r="P579" s="77"/>
      <c r="Q579" s="77"/>
      <c r="R579" s="77"/>
      <c r="S579" s="77"/>
      <c r="T579" s="77"/>
      <c r="U579" s="77"/>
      <c r="V579" s="77"/>
      <c r="W579" s="77"/>
      <c r="X579" s="77"/>
      <c r="Y579" s="77"/>
      <c r="Z579" s="77"/>
      <c r="AA579" s="77"/>
      <c r="AB579" s="77"/>
      <c r="AC579" s="77"/>
      <c r="AD579" s="227"/>
      <c r="AE579" s="77"/>
      <c r="AF579" s="227"/>
      <c r="AG579" s="77"/>
      <c r="AH579" s="77"/>
      <c r="AI579" s="77"/>
      <c r="AJ579" s="77"/>
      <c r="AK579" s="77"/>
      <c r="AL579" s="77"/>
      <c r="AM579" s="77"/>
      <c r="AN579" s="77"/>
      <c r="AO579" s="77"/>
      <c r="AP579" s="77"/>
      <c r="AQ579" s="77"/>
      <c r="AR579" s="77"/>
      <c r="AS579" s="77"/>
      <c r="AT579" s="77"/>
      <c r="AU579" s="77"/>
      <c r="AV579" s="77"/>
      <c r="AW579" s="77"/>
      <c r="AX579" s="77"/>
      <c r="AY579" s="77"/>
      <c r="AZ579" s="77"/>
      <c r="BA579" s="77"/>
      <c r="BB579" s="77"/>
      <c r="BC579" s="77"/>
      <c r="BD579" s="77"/>
      <c r="BE579" s="77"/>
    </row>
    <row r="580">
      <c r="A580" s="77"/>
      <c r="B580" s="77"/>
      <c r="C580" s="77"/>
      <c r="D580" s="77"/>
      <c r="E580" s="188"/>
      <c r="F580" s="188"/>
      <c r="G580" s="188"/>
      <c r="H580" s="188"/>
      <c r="I580" s="188"/>
      <c r="J580" s="77"/>
      <c r="K580" s="77"/>
      <c r="L580" s="77"/>
      <c r="M580" s="77"/>
      <c r="N580" s="77"/>
      <c r="O580" s="77"/>
      <c r="P580" s="77"/>
      <c r="Q580" s="77"/>
      <c r="R580" s="77"/>
      <c r="S580" s="77"/>
      <c r="T580" s="77"/>
      <c r="U580" s="77"/>
      <c r="V580" s="77"/>
      <c r="W580" s="77"/>
      <c r="X580" s="77"/>
      <c r="Y580" s="77"/>
      <c r="Z580" s="77"/>
      <c r="AA580" s="77"/>
      <c r="AB580" s="77"/>
      <c r="AC580" s="77"/>
      <c r="AD580" s="227"/>
      <c r="AE580" s="77"/>
      <c r="AF580" s="227"/>
      <c r="AG580" s="77"/>
      <c r="AH580" s="77"/>
      <c r="AI580" s="77"/>
      <c r="AJ580" s="77"/>
      <c r="AK580" s="77"/>
      <c r="AL580" s="77"/>
      <c r="AM580" s="77"/>
      <c r="AN580" s="77"/>
      <c r="AO580" s="77"/>
      <c r="AP580" s="77"/>
      <c r="AQ580" s="77"/>
      <c r="AR580" s="77"/>
      <c r="AS580" s="77"/>
      <c r="AT580" s="77"/>
      <c r="AU580" s="77"/>
      <c r="AV580" s="77"/>
      <c r="AW580" s="77"/>
      <c r="AX580" s="77"/>
      <c r="AY580" s="77"/>
      <c r="AZ580" s="77"/>
      <c r="BA580" s="77"/>
      <c r="BB580" s="77"/>
      <c r="BC580" s="77"/>
      <c r="BD580" s="77"/>
      <c r="BE580" s="77"/>
    </row>
    <row r="581">
      <c r="A581" s="77"/>
      <c r="B581" s="77"/>
      <c r="C581" s="77"/>
      <c r="D581" s="77"/>
      <c r="E581" s="188"/>
      <c r="F581" s="188"/>
      <c r="G581" s="188"/>
      <c r="H581" s="188"/>
      <c r="I581" s="188"/>
      <c r="J581" s="77"/>
      <c r="K581" s="77"/>
      <c r="L581" s="77"/>
      <c r="M581" s="77"/>
      <c r="N581" s="77"/>
      <c r="O581" s="77"/>
      <c r="P581" s="77"/>
      <c r="Q581" s="77"/>
      <c r="R581" s="77"/>
      <c r="S581" s="77"/>
      <c r="T581" s="77"/>
      <c r="U581" s="77"/>
      <c r="V581" s="77"/>
      <c r="W581" s="77"/>
      <c r="X581" s="77"/>
      <c r="Y581" s="77"/>
      <c r="Z581" s="77"/>
      <c r="AA581" s="77"/>
      <c r="AB581" s="77"/>
      <c r="AC581" s="77"/>
      <c r="AD581" s="227"/>
      <c r="AE581" s="77"/>
      <c r="AF581" s="227"/>
      <c r="AG581" s="77"/>
      <c r="AH581" s="77"/>
      <c r="AI581" s="77"/>
      <c r="AJ581" s="77"/>
      <c r="AK581" s="77"/>
      <c r="AL581" s="77"/>
      <c r="AM581" s="77"/>
      <c r="AN581" s="77"/>
      <c r="AO581" s="77"/>
      <c r="AP581" s="77"/>
      <c r="AQ581" s="77"/>
      <c r="AR581" s="77"/>
      <c r="AS581" s="77"/>
      <c r="AT581" s="77"/>
      <c r="AU581" s="77"/>
      <c r="AV581" s="77"/>
      <c r="AW581" s="77"/>
      <c r="AX581" s="77"/>
      <c r="AY581" s="77"/>
      <c r="AZ581" s="77"/>
      <c r="BA581" s="77"/>
      <c r="BB581" s="77"/>
      <c r="BC581" s="77"/>
      <c r="BD581" s="77"/>
      <c r="BE581" s="77"/>
    </row>
    <row r="582">
      <c r="A582" s="77"/>
      <c r="B582" s="77"/>
      <c r="C582" s="77"/>
      <c r="D582" s="77"/>
      <c r="E582" s="188"/>
      <c r="F582" s="188"/>
      <c r="G582" s="188"/>
      <c r="H582" s="188"/>
      <c r="I582" s="188"/>
      <c r="J582" s="77"/>
      <c r="K582" s="77"/>
      <c r="L582" s="77"/>
      <c r="M582" s="77"/>
      <c r="N582" s="77"/>
      <c r="O582" s="77"/>
      <c r="P582" s="77"/>
      <c r="Q582" s="77"/>
      <c r="R582" s="77"/>
      <c r="S582" s="77"/>
      <c r="T582" s="77"/>
      <c r="U582" s="77"/>
      <c r="V582" s="77"/>
      <c r="W582" s="77"/>
      <c r="X582" s="77"/>
      <c r="Y582" s="77"/>
      <c r="Z582" s="77"/>
      <c r="AA582" s="77"/>
      <c r="AB582" s="77"/>
      <c r="AC582" s="77"/>
      <c r="AD582" s="227"/>
      <c r="AE582" s="77"/>
      <c r="AF582" s="227"/>
      <c r="AG582" s="77"/>
      <c r="AH582" s="77"/>
      <c r="AI582" s="77"/>
      <c r="AJ582" s="77"/>
      <c r="AK582" s="77"/>
      <c r="AL582" s="77"/>
      <c r="AM582" s="77"/>
      <c r="AN582" s="77"/>
      <c r="AO582" s="77"/>
      <c r="AP582" s="77"/>
      <c r="AQ582" s="77"/>
      <c r="AR582" s="77"/>
      <c r="AS582" s="77"/>
      <c r="AT582" s="77"/>
      <c r="AU582" s="77"/>
      <c r="AV582" s="77"/>
      <c r="AW582" s="77"/>
      <c r="AX582" s="77"/>
      <c r="AY582" s="77"/>
      <c r="AZ582" s="77"/>
      <c r="BA582" s="77"/>
      <c r="BB582" s="77"/>
      <c r="BC582" s="77"/>
      <c r="BD582" s="77"/>
      <c r="BE582" s="77"/>
    </row>
    <row r="583">
      <c r="A583" s="77"/>
      <c r="B583" s="77"/>
      <c r="C583" s="77"/>
      <c r="D583" s="77"/>
      <c r="E583" s="188"/>
      <c r="F583" s="188"/>
      <c r="G583" s="188"/>
      <c r="H583" s="188"/>
      <c r="I583" s="188"/>
      <c r="J583" s="77"/>
      <c r="K583" s="77"/>
      <c r="L583" s="77"/>
      <c r="M583" s="77"/>
      <c r="N583" s="77"/>
      <c r="O583" s="77"/>
      <c r="P583" s="77"/>
      <c r="Q583" s="77"/>
      <c r="R583" s="77"/>
      <c r="S583" s="77"/>
      <c r="T583" s="77"/>
      <c r="U583" s="77"/>
      <c r="V583" s="77"/>
      <c r="W583" s="77"/>
      <c r="X583" s="77"/>
      <c r="Y583" s="77"/>
      <c r="Z583" s="77"/>
      <c r="AA583" s="77"/>
      <c r="AB583" s="77"/>
      <c r="AC583" s="77"/>
      <c r="AD583" s="227"/>
      <c r="AE583" s="77"/>
      <c r="AF583" s="227"/>
      <c r="AG583" s="77"/>
      <c r="AH583" s="77"/>
      <c r="AI583" s="77"/>
      <c r="AJ583" s="77"/>
      <c r="AK583" s="77"/>
      <c r="AL583" s="77"/>
      <c r="AM583" s="77"/>
      <c r="AN583" s="77"/>
      <c r="AO583" s="77"/>
      <c r="AP583" s="77"/>
      <c r="AQ583" s="77"/>
      <c r="AR583" s="77"/>
      <c r="AS583" s="77"/>
      <c r="AT583" s="77"/>
      <c r="AU583" s="77"/>
      <c r="AV583" s="77"/>
      <c r="AW583" s="77"/>
      <c r="AX583" s="77"/>
      <c r="AY583" s="77"/>
      <c r="AZ583" s="77"/>
      <c r="BA583" s="77"/>
      <c r="BB583" s="77"/>
      <c r="BC583" s="77"/>
      <c r="BD583" s="77"/>
      <c r="BE583" s="77"/>
    </row>
    <row r="584">
      <c r="A584" s="77"/>
      <c r="B584" s="77"/>
      <c r="C584" s="77"/>
      <c r="D584" s="77"/>
      <c r="E584" s="188"/>
      <c r="F584" s="188"/>
      <c r="G584" s="188"/>
      <c r="H584" s="188"/>
      <c r="I584" s="188"/>
      <c r="J584" s="77"/>
      <c r="K584" s="77"/>
      <c r="L584" s="77"/>
      <c r="M584" s="77"/>
      <c r="N584" s="77"/>
      <c r="O584" s="77"/>
      <c r="P584" s="77"/>
      <c r="Q584" s="77"/>
      <c r="R584" s="77"/>
      <c r="S584" s="77"/>
      <c r="T584" s="77"/>
      <c r="U584" s="77"/>
      <c r="V584" s="77"/>
      <c r="W584" s="77"/>
      <c r="X584" s="77"/>
      <c r="Y584" s="77"/>
      <c r="Z584" s="77"/>
      <c r="AA584" s="77"/>
      <c r="AB584" s="77"/>
      <c r="AC584" s="77"/>
      <c r="AD584" s="227"/>
      <c r="AE584" s="77"/>
      <c r="AF584" s="227"/>
      <c r="AG584" s="77"/>
      <c r="AH584" s="77"/>
      <c r="AI584" s="77"/>
      <c r="AJ584" s="77"/>
      <c r="AK584" s="77"/>
      <c r="AL584" s="77"/>
      <c r="AM584" s="77"/>
      <c r="AN584" s="77"/>
      <c r="AO584" s="77"/>
      <c r="AP584" s="77"/>
      <c r="AQ584" s="77"/>
      <c r="AR584" s="77"/>
      <c r="AS584" s="77"/>
      <c r="AT584" s="77"/>
      <c r="AU584" s="77"/>
      <c r="AV584" s="77"/>
      <c r="AW584" s="77"/>
      <c r="AX584" s="77"/>
      <c r="AY584" s="77"/>
      <c r="AZ584" s="77"/>
      <c r="BA584" s="77"/>
      <c r="BB584" s="77"/>
      <c r="BC584" s="77"/>
      <c r="BD584" s="77"/>
      <c r="BE584" s="77"/>
    </row>
    <row r="585">
      <c r="A585" s="77"/>
      <c r="B585" s="77"/>
      <c r="C585" s="77"/>
      <c r="D585" s="77"/>
      <c r="E585" s="188"/>
      <c r="F585" s="188"/>
      <c r="G585" s="188"/>
      <c r="H585" s="188"/>
      <c r="I585" s="188"/>
      <c r="J585" s="77"/>
      <c r="K585" s="77"/>
      <c r="L585" s="77"/>
      <c r="M585" s="77"/>
      <c r="N585" s="77"/>
      <c r="O585" s="77"/>
      <c r="P585" s="77"/>
      <c r="Q585" s="77"/>
      <c r="R585" s="77"/>
      <c r="S585" s="77"/>
      <c r="T585" s="77"/>
      <c r="U585" s="77"/>
      <c r="V585" s="77"/>
      <c r="W585" s="77"/>
      <c r="X585" s="77"/>
      <c r="Y585" s="77"/>
      <c r="Z585" s="77"/>
      <c r="AA585" s="77"/>
      <c r="AB585" s="77"/>
      <c r="AC585" s="77"/>
      <c r="AD585" s="227"/>
      <c r="AE585" s="77"/>
      <c r="AF585" s="227"/>
      <c r="AG585" s="77"/>
      <c r="AH585" s="77"/>
      <c r="AI585" s="77"/>
      <c r="AJ585" s="77"/>
      <c r="AK585" s="77"/>
      <c r="AL585" s="77"/>
      <c r="AM585" s="77"/>
      <c r="AN585" s="77"/>
      <c r="AO585" s="77"/>
      <c r="AP585" s="77"/>
      <c r="AQ585" s="77"/>
      <c r="AR585" s="77"/>
      <c r="AS585" s="77"/>
      <c r="AT585" s="77"/>
      <c r="AU585" s="77"/>
      <c r="AV585" s="77"/>
      <c r="AW585" s="77"/>
      <c r="AX585" s="77"/>
      <c r="AY585" s="77"/>
      <c r="AZ585" s="77"/>
      <c r="BA585" s="77"/>
      <c r="BB585" s="77"/>
      <c r="BC585" s="77"/>
      <c r="BD585" s="77"/>
      <c r="BE585" s="77"/>
    </row>
    <row r="586">
      <c r="A586" s="77"/>
      <c r="B586" s="77"/>
      <c r="C586" s="77"/>
      <c r="D586" s="77"/>
      <c r="E586" s="188"/>
      <c r="F586" s="188"/>
      <c r="G586" s="188"/>
      <c r="H586" s="188"/>
      <c r="I586" s="188"/>
      <c r="J586" s="77"/>
      <c r="K586" s="77"/>
      <c r="L586" s="77"/>
      <c r="M586" s="77"/>
      <c r="N586" s="77"/>
      <c r="O586" s="77"/>
      <c r="P586" s="77"/>
      <c r="Q586" s="77"/>
      <c r="R586" s="77"/>
      <c r="S586" s="77"/>
      <c r="T586" s="77"/>
      <c r="U586" s="77"/>
      <c r="V586" s="77"/>
      <c r="W586" s="77"/>
      <c r="X586" s="77"/>
      <c r="Y586" s="77"/>
      <c r="Z586" s="77"/>
      <c r="AA586" s="77"/>
      <c r="AB586" s="77"/>
      <c r="AC586" s="77"/>
      <c r="AD586" s="227"/>
      <c r="AE586" s="77"/>
      <c r="AF586" s="227"/>
      <c r="AG586" s="77"/>
      <c r="AH586" s="77"/>
      <c r="AI586" s="77"/>
      <c r="AJ586" s="77"/>
      <c r="AK586" s="77"/>
      <c r="AL586" s="77"/>
      <c r="AM586" s="77"/>
      <c r="AN586" s="77"/>
      <c r="AO586" s="77"/>
      <c r="AP586" s="77"/>
      <c r="AQ586" s="77"/>
      <c r="AR586" s="77"/>
      <c r="AS586" s="77"/>
      <c r="AT586" s="77"/>
      <c r="AU586" s="77"/>
      <c r="AV586" s="77"/>
      <c r="AW586" s="77"/>
      <c r="AX586" s="77"/>
      <c r="AY586" s="77"/>
      <c r="AZ586" s="77"/>
      <c r="BA586" s="77"/>
      <c r="BB586" s="77"/>
      <c r="BC586" s="77"/>
      <c r="BD586" s="77"/>
      <c r="BE586" s="77"/>
    </row>
    <row r="587">
      <c r="A587" s="77"/>
      <c r="B587" s="77"/>
      <c r="C587" s="77"/>
      <c r="D587" s="77"/>
      <c r="E587" s="188"/>
      <c r="F587" s="188"/>
      <c r="G587" s="188"/>
      <c r="H587" s="188"/>
      <c r="I587" s="188"/>
      <c r="J587" s="77"/>
      <c r="K587" s="77"/>
      <c r="L587" s="77"/>
      <c r="M587" s="77"/>
      <c r="N587" s="77"/>
      <c r="O587" s="77"/>
      <c r="P587" s="77"/>
      <c r="Q587" s="77"/>
      <c r="R587" s="77"/>
      <c r="S587" s="77"/>
      <c r="T587" s="77"/>
      <c r="U587" s="77"/>
      <c r="V587" s="77"/>
      <c r="W587" s="77"/>
      <c r="X587" s="77"/>
      <c r="Y587" s="77"/>
      <c r="Z587" s="77"/>
      <c r="AA587" s="77"/>
      <c r="AB587" s="77"/>
      <c r="AC587" s="77"/>
      <c r="AD587" s="227"/>
      <c r="AE587" s="77"/>
      <c r="AF587" s="227"/>
      <c r="AG587" s="77"/>
      <c r="AH587" s="77"/>
      <c r="AI587" s="77"/>
      <c r="AJ587" s="77"/>
      <c r="AK587" s="77"/>
      <c r="AL587" s="77"/>
      <c r="AM587" s="77"/>
      <c r="AN587" s="77"/>
      <c r="AO587" s="77"/>
      <c r="AP587" s="77"/>
      <c r="AQ587" s="77"/>
      <c r="AR587" s="77"/>
      <c r="AS587" s="77"/>
      <c r="AT587" s="77"/>
      <c r="AU587" s="77"/>
      <c r="AV587" s="77"/>
      <c r="AW587" s="77"/>
      <c r="AX587" s="77"/>
      <c r="AY587" s="77"/>
      <c r="AZ587" s="77"/>
      <c r="BA587" s="77"/>
      <c r="BB587" s="77"/>
      <c r="BC587" s="77"/>
      <c r="BD587" s="77"/>
      <c r="BE587" s="77"/>
    </row>
    <row r="588">
      <c r="A588" s="77"/>
      <c r="B588" s="77"/>
      <c r="C588" s="77"/>
      <c r="D588" s="77"/>
      <c r="E588" s="188"/>
      <c r="F588" s="188"/>
      <c r="G588" s="188"/>
      <c r="H588" s="188"/>
      <c r="I588" s="188"/>
      <c r="J588" s="77"/>
      <c r="K588" s="77"/>
      <c r="L588" s="77"/>
      <c r="M588" s="77"/>
      <c r="N588" s="77"/>
      <c r="O588" s="77"/>
      <c r="P588" s="77"/>
      <c r="Q588" s="77"/>
      <c r="R588" s="77"/>
      <c r="S588" s="77"/>
      <c r="T588" s="77"/>
      <c r="U588" s="77"/>
      <c r="V588" s="77"/>
      <c r="W588" s="77"/>
      <c r="X588" s="77"/>
      <c r="Y588" s="77"/>
      <c r="Z588" s="77"/>
      <c r="AA588" s="77"/>
      <c r="AB588" s="77"/>
      <c r="AC588" s="77"/>
      <c r="AD588" s="227"/>
      <c r="AE588" s="77"/>
      <c r="AF588" s="227"/>
      <c r="AG588" s="77"/>
      <c r="AH588" s="77"/>
      <c r="AI588" s="77"/>
      <c r="AJ588" s="77"/>
      <c r="AK588" s="77"/>
      <c r="AL588" s="77"/>
      <c r="AM588" s="77"/>
      <c r="AN588" s="77"/>
      <c r="AO588" s="77"/>
      <c r="AP588" s="77"/>
      <c r="AQ588" s="77"/>
      <c r="AR588" s="77"/>
      <c r="AS588" s="77"/>
      <c r="AT588" s="77"/>
      <c r="AU588" s="77"/>
      <c r="AV588" s="77"/>
      <c r="AW588" s="77"/>
      <c r="AX588" s="77"/>
      <c r="AY588" s="77"/>
      <c r="AZ588" s="77"/>
      <c r="BA588" s="77"/>
      <c r="BB588" s="77"/>
      <c r="BC588" s="77"/>
      <c r="BD588" s="77"/>
      <c r="BE588" s="77"/>
    </row>
    <row r="589">
      <c r="A589" s="77"/>
      <c r="B589" s="77"/>
      <c r="C589" s="77"/>
      <c r="D589" s="77"/>
      <c r="E589" s="188"/>
      <c r="F589" s="188"/>
      <c r="G589" s="188"/>
      <c r="H589" s="188"/>
      <c r="I589" s="188"/>
      <c r="J589" s="77"/>
      <c r="K589" s="77"/>
      <c r="L589" s="77"/>
      <c r="M589" s="77"/>
      <c r="N589" s="77"/>
      <c r="O589" s="77"/>
      <c r="P589" s="77"/>
      <c r="Q589" s="77"/>
      <c r="R589" s="77"/>
      <c r="S589" s="77"/>
      <c r="T589" s="77"/>
      <c r="U589" s="77"/>
      <c r="V589" s="77"/>
      <c r="W589" s="77"/>
      <c r="X589" s="77"/>
      <c r="Y589" s="77"/>
      <c r="Z589" s="77"/>
      <c r="AA589" s="77"/>
      <c r="AB589" s="77"/>
      <c r="AC589" s="77"/>
      <c r="AD589" s="227"/>
      <c r="AE589" s="77"/>
      <c r="AF589" s="227"/>
      <c r="AG589" s="77"/>
      <c r="AH589" s="77"/>
      <c r="AI589" s="77"/>
      <c r="AJ589" s="77"/>
      <c r="AK589" s="77"/>
      <c r="AL589" s="77"/>
      <c r="AM589" s="77"/>
      <c r="AN589" s="77"/>
      <c r="AO589" s="77"/>
      <c r="AP589" s="77"/>
      <c r="AQ589" s="77"/>
      <c r="AR589" s="77"/>
      <c r="AS589" s="77"/>
      <c r="AT589" s="77"/>
      <c r="AU589" s="77"/>
      <c r="AV589" s="77"/>
      <c r="AW589" s="77"/>
      <c r="AX589" s="77"/>
      <c r="AY589" s="77"/>
      <c r="AZ589" s="77"/>
      <c r="BA589" s="77"/>
      <c r="BB589" s="77"/>
      <c r="BC589" s="77"/>
      <c r="BD589" s="77"/>
      <c r="BE589" s="77"/>
    </row>
    <row r="590">
      <c r="A590" s="77"/>
      <c r="B590" s="77"/>
      <c r="C590" s="77"/>
      <c r="D590" s="77"/>
      <c r="E590" s="188"/>
      <c r="F590" s="188"/>
      <c r="G590" s="188"/>
      <c r="H590" s="188"/>
      <c r="I590" s="188"/>
      <c r="J590" s="77"/>
      <c r="K590" s="77"/>
      <c r="L590" s="77"/>
      <c r="M590" s="77"/>
      <c r="N590" s="77"/>
      <c r="O590" s="77"/>
      <c r="P590" s="77"/>
      <c r="Q590" s="77"/>
      <c r="R590" s="77"/>
      <c r="S590" s="77"/>
      <c r="T590" s="77"/>
      <c r="U590" s="77"/>
      <c r="V590" s="77"/>
      <c r="W590" s="77"/>
      <c r="X590" s="77"/>
      <c r="Y590" s="77"/>
      <c r="Z590" s="77"/>
      <c r="AA590" s="77"/>
      <c r="AB590" s="77"/>
      <c r="AC590" s="77"/>
      <c r="AD590" s="227"/>
      <c r="AE590" s="77"/>
      <c r="AF590" s="227"/>
      <c r="AG590" s="77"/>
      <c r="AH590" s="77"/>
      <c r="AI590" s="77"/>
      <c r="AJ590" s="77"/>
      <c r="AK590" s="77"/>
      <c r="AL590" s="77"/>
      <c r="AM590" s="77"/>
      <c r="AN590" s="77"/>
      <c r="AO590" s="77"/>
      <c r="AP590" s="77"/>
      <c r="AQ590" s="77"/>
      <c r="AR590" s="77"/>
      <c r="AS590" s="77"/>
      <c r="AT590" s="77"/>
      <c r="AU590" s="77"/>
      <c r="AV590" s="77"/>
      <c r="AW590" s="77"/>
      <c r="AX590" s="77"/>
      <c r="AY590" s="77"/>
      <c r="AZ590" s="77"/>
      <c r="BA590" s="77"/>
      <c r="BB590" s="77"/>
      <c r="BC590" s="77"/>
      <c r="BD590" s="77"/>
      <c r="BE590" s="77"/>
    </row>
    <row r="591">
      <c r="A591" s="77"/>
      <c r="B591" s="77"/>
      <c r="C591" s="77"/>
      <c r="D591" s="77"/>
      <c r="E591" s="188"/>
      <c r="F591" s="188"/>
      <c r="G591" s="188"/>
      <c r="H591" s="188"/>
      <c r="I591" s="188"/>
      <c r="J591" s="77"/>
      <c r="K591" s="77"/>
      <c r="L591" s="77"/>
      <c r="M591" s="77"/>
      <c r="N591" s="77"/>
      <c r="O591" s="77"/>
      <c r="P591" s="77"/>
      <c r="Q591" s="77"/>
      <c r="R591" s="77"/>
      <c r="S591" s="77"/>
      <c r="T591" s="77"/>
      <c r="U591" s="77"/>
      <c r="V591" s="77"/>
      <c r="W591" s="77"/>
      <c r="X591" s="77"/>
      <c r="Y591" s="77"/>
      <c r="Z591" s="77"/>
      <c r="AA591" s="77"/>
      <c r="AB591" s="77"/>
      <c r="AC591" s="77"/>
      <c r="AD591" s="227"/>
      <c r="AE591" s="77"/>
      <c r="AF591" s="227"/>
      <c r="AG591" s="77"/>
      <c r="AH591" s="77"/>
      <c r="AI591" s="77"/>
      <c r="AJ591" s="77"/>
      <c r="AK591" s="77"/>
      <c r="AL591" s="77"/>
      <c r="AM591" s="77"/>
      <c r="AN591" s="77"/>
      <c r="AO591" s="77"/>
      <c r="AP591" s="77"/>
      <c r="AQ591" s="77"/>
      <c r="AR591" s="77"/>
      <c r="AS591" s="77"/>
      <c r="AT591" s="77"/>
      <c r="AU591" s="77"/>
      <c r="AV591" s="77"/>
      <c r="AW591" s="77"/>
      <c r="AX591" s="77"/>
      <c r="AY591" s="77"/>
      <c r="AZ591" s="77"/>
      <c r="BA591" s="77"/>
      <c r="BB591" s="77"/>
      <c r="BC591" s="77"/>
      <c r="BD591" s="77"/>
      <c r="BE591" s="77"/>
    </row>
    <row r="592">
      <c r="A592" s="77"/>
      <c r="B592" s="77"/>
      <c r="C592" s="77"/>
      <c r="D592" s="77"/>
      <c r="E592" s="188"/>
      <c r="F592" s="188"/>
      <c r="G592" s="188"/>
      <c r="H592" s="188"/>
      <c r="I592" s="188"/>
      <c r="J592" s="77"/>
      <c r="K592" s="77"/>
      <c r="L592" s="77"/>
      <c r="M592" s="77"/>
      <c r="N592" s="77"/>
      <c r="O592" s="77"/>
      <c r="P592" s="77"/>
      <c r="Q592" s="77"/>
      <c r="R592" s="77"/>
      <c r="S592" s="77"/>
      <c r="T592" s="77"/>
      <c r="U592" s="77"/>
      <c r="V592" s="77"/>
      <c r="W592" s="77"/>
      <c r="X592" s="77"/>
      <c r="Y592" s="77"/>
      <c r="Z592" s="77"/>
      <c r="AA592" s="77"/>
      <c r="AB592" s="77"/>
      <c r="AC592" s="77"/>
      <c r="AD592" s="227"/>
      <c r="AE592" s="77"/>
      <c r="AF592" s="227"/>
      <c r="AG592" s="77"/>
      <c r="AH592" s="77"/>
      <c r="AI592" s="77"/>
      <c r="AJ592" s="77"/>
      <c r="AK592" s="77"/>
      <c r="AL592" s="77"/>
      <c r="AM592" s="77"/>
      <c r="AN592" s="77"/>
      <c r="AO592" s="77"/>
      <c r="AP592" s="77"/>
      <c r="AQ592" s="77"/>
      <c r="AR592" s="77"/>
      <c r="AS592" s="77"/>
      <c r="AT592" s="77"/>
      <c r="AU592" s="77"/>
      <c r="AV592" s="77"/>
      <c r="AW592" s="77"/>
      <c r="AX592" s="77"/>
      <c r="AY592" s="77"/>
      <c r="AZ592" s="77"/>
      <c r="BA592" s="77"/>
      <c r="BB592" s="77"/>
      <c r="BC592" s="77"/>
      <c r="BD592" s="77"/>
      <c r="BE592" s="77"/>
    </row>
    <row r="593">
      <c r="A593" s="77"/>
      <c r="B593" s="77"/>
      <c r="C593" s="77"/>
      <c r="D593" s="77"/>
      <c r="E593" s="188"/>
      <c r="F593" s="188"/>
      <c r="G593" s="188"/>
      <c r="H593" s="188"/>
      <c r="I593" s="188"/>
      <c r="J593" s="77"/>
      <c r="K593" s="77"/>
      <c r="L593" s="77"/>
      <c r="M593" s="77"/>
      <c r="N593" s="77"/>
      <c r="O593" s="77"/>
      <c r="P593" s="77"/>
      <c r="Q593" s="77"/>
      <c r="R593" s="77"/>
      <c r="S593" s="77"/>
      <c r="T593" s="77"/>
      <c r="U593" s="77"/>
      <c r="V593" s="77"/>
      <c r="W593" s="77"/>
      <c r="X593" s="77"/>
      <c r="Y593" s="77"/>
      <c r="Z593" s="77"/>
      <c r="AA593" s="77"/>
      <c r="AB593" s="77"/>
      <c r="AC593" s="77"/>
      <c r="AD593" s="227"/>
      <c r="AE593" s="77"/>
      <c r="AF593" s="227"/>
      <c r="AG593" s="77"/>
      <c r="AH593" s="77"/>
      <c r="AI593" s="77"/>
      <c r="AJ593" s="77"/>
      <c r="AK593" s="77"/>
      <c r="AL593" s="77"/>
      <c r="AM593" s="77"/>
      <c r="AN593" s="77"/>
      <c r="AO593" s="77"/>
      <c r="AP593" s="77"/>
      <c r="AQ593" s="77"/>
      <c r="AR593" s="77"/>
      <c r="AS593" s="77"/>
      <c r="AT593" s="77"/>
      <c r="AU593" s="77"/>
      <c r="AV593" s="77"/>
      <c r="AW593" s="77"/>
      <c r="AX593" s="77"/>
      <c r="AY593" s="77"/>
      <c r="AZ593" s="77"/>
      <c r="BA593" s="77"/>
      <c r="BB593" s="77"/>
      <c r="BC593" s="77"/>
      <c r="BD593" s="77"/>
      <c r="BE593" s="77"/>
    </row>
    <row r="594">
      <c r="A594" s="77"/>
      <c r="B594" s="77"/>
      <c r="C594" s="77"/>
      <c r="D594" s="77"/>
      <c r="E594" s="188"/>
      <c r="F594" s="188"/>
      <c r="G594" s="188"/>
      <c r="H594" s="188"/>
      <c r="I594" s="188"/>
      <c r="J594" s="77"/>
      <c r="K594" s="77"/>
      <c r="L594" s="77"/>
      <c r="M594" s="77"/>
      <c r="N594" s="77"/>
      <c r="O594" s="77"/>
      <c r="P594" s="77"/>
      <c r="Q594" s="77"/>
      <c r="R594" s="77"/>
      <c r="S594" s="77"/>
      <c r="T594" s="77"/>
      <c r="U594" s="77"/>
      <c r="V594" s="77"/>
      <c r="W594" s="77"/>
      <c r="X594" s="77"/>
      <c r="Y594" s="77"/>
      <c r="Z594" s="77"/>
      <c r="AA594" s="77"/>
      <c r="AB594" s="77"/>
      <c r="AC594" s="77"/>
      <c r="AD594" s="227"/>
      <c r="AE594" s="77"/>
      <c r="AF594" s="227"/>
      <c r="AG594" s="77"/>
      <c r="AH594" s="77"/>
      <c r="AI594" s="77"/>
      <c r="AJ594" s="77"/>
      <c r="AK594" s="77"/>
      <c r="AL594" s="77"/>
      <c r="AM594" s="77"/>
      <c r="AN594" s="77"/>
      <c r="AO594" s="77"/>
      <c r="AP594" s="77"/>
      <c r="AQ594" s="77"/>
      <c r="AR594" s="77"/>
      <c r="AS594" s="77"/>
      <c r="AT594" s="77"/>
      <c r="AU594" s="77"/>
      <c r="AV594" s="77"/>
      <c r="AW594" s="77"/>
      <c r="AX594" s="77"/>
      <c r="AY594" s="77"/>
      <c r="AZ594" s="77"/>
      <c r="BA594" s="77"/>
      <c r="BB594" s="77"/>
      <c r="BC594" s="77"/>
      <c r="BD594" s="77"/>
      <c r="BE594" s="77"/>
    </row>
    <row r="595">
      <c r="A595" s="77"/>
      <c r="B595" s="77"/>
      <c r="C595" s="77"/>
      <c r="D595" s="77"/>
      <c r="E595" s="188"/>
      <c r="F595" s="188"/>
      <c r="G595" s="188"/>
      <c r="H595" s="188"/>
      <c r="I595" s="188"/>
      <c r="J595" s="77"/>
      <c r="K595" s="77"/>
      <c r="L595" s="77"/>
      <c r="M595" s="77"/>
      <c r="N595" s="77"/>
      <c r="O595" s="77"/>
      <c r="P595" s="77"/>
      <c r="Q595" s="77"/>
      <c r="R595" s="77"/>
      <c r="S595" s="77"/>
      <c r="T595" s="77"/>
      <c r="U595" s="77"/>
      <c r="V595" s="77"/>
      <c r="W595" s="77"/>
      <c r="X595" s="77"/>
      <c r="Y595" s="77"/>
      <c r="Z595" s="77"/>
      <c r="AA595" s="77"/>
      <c r="AB595" s="77"/>
      <c r="AC595" s="77"/>
      <c r="AD595" s="227"/>
      <c r="AE595" s="77"/>
      <c r="AF595" s="227"/>
      <c r="AG595" s="77"/>
      <c r="AH595" s="77"/>
      <c r="AI595" s="77"/>
      <c r="AJ595" s="77"/>
      <c r="AK595" s="77"/>
      <c r="AL595" s="77"/>
      <c r="AM595" s="77"/>
      <c r="AN595" s="77"/>
      <c r="AO595" s="77"/>
      <c r="AP595" s="77"/>
      <c r="AQ595" s="77"/>
      <c r="AR595" s="77"/>
      <c r="AS595" s="77"/>
      <c r="AT595" s="77"/>
      <c r="AU595" s="77"/>
      <c r="AV595" s="77"/>
      <c r="AW595" s="77"/>
      <c r="AX595" s="77"/>
      <c r="AY595" s="77"/>
      <c r="AZ595" s="77"/>
      <c r="BA595" s="77"/>
      <c r="BB595" s="77"/>
      <c r="BC595" s="77"/>
      <c r="BD595" s="77"/>
      <c r="BE595" s="77"/>
    </row>
    <row r="596">
      <c r="A596" s="77"/>
      <c r="B596" s="77"/>
      <c r="C596" s="77"/>
      <c r="D596" s="77"/>
      <c r="E596" s="188"/>
      <c r="F596" s="188"/>
      <c r="G596" s="188"/>
      <c r="H596" s="188"/>
      <c r="I596" s="188"/>
      <c r="J596" s="77"/>
      <c r="K596" s="77"/>
      <c r="L596" s="77"/>
      <c r="M596" s="77"/>
      <c r="N596" s="77"/>
      <c r="O596" s="77"/>
      <c r="P596" s="77"/>
      <c r="Q596" s="77"/>
      <c r="R596" s="77"/>
      <c r="S596" s="77"/>
      <c r="T596" s="77"/>
      <c r="U596" s="77"/>
      <c r="V596" s="77"/>
      <c r="W596" s="77"/>
      <c r="X596" s="77"/>
      <c r="Y596" s="77"/>
      <c r="Z596" s="77"/>
      <c r="AA596" s="77"/>
      <c r="AB596" s="77"/>
      <c r="AC596" s="77"/>
      <c r="AD596" s="227"/>
      <c r="AE596" s="77"/>
      <c r="AF596" s="227"/>
      <c r="AG596" s="77"/>
      <c r="AH596" s="77"/>
      <c r="AI596" s="77"/>
      <c r="AJ596" s="77"/>
      <c r="AK596" s="77"/>
      <c r="AL596" s="77"/>
      <c r="AM596" s="77"/>
      <c r="AN596" s="77"/>
      <c r="AO596" s="77"/>
      <c r="AP596" s="77"/>
      <c r="AQ596" s="77"/>
      <c r="AR596" s="77"/>
      <c r="AS596" s="77"/>
      <c r="AT596" s="77"/>
      <c r="AU596" s="77"/>
      <c r="AV596" s="77"/>
      <c r="AW596" s="77"/>
      <c r="AX596" s="77"/>
      <c r="AY596" s="77"/>
      <c r="AZ596" s="77"/>
      <c r="BA596" s="77"/>
      <c r="BB596" s="77"/>
      <c r="BC596" s="77"/>
      <c r="BD596" s="77"/>
      <c r="BE596" s="77"/>
    </row>
    <row r="597">
      <c r="A597" s="77"/>
      <c r="B597" s="77"/>
      <c r="C597" s="77"/>
      <c r="D597" s="77"/>
      <c r="E597" s="188"/>
      <c r="F597" s="188"/>
      <c r="G597" s="188"/>
      <c r="H597" s="188"/>
      <c r="I597" s="188"/>
      <c r="J597" s="77"/>
      <c r="K597" s="77"/>
      <c r="L597" s="77"/>
      <c r="M597" s="77"/>
      <c r="N597" s="77"/>
      <c r="O597" s="77"/>
      <c r="P597" s="77"/>
      <c r="Q597" s="77"/>
      <c r="R597" s="77"/>
      <c r="S597" s="77"/>
      <c r="T597" s="77"/>
      <c r="U597" s="77"/>
      <c r="V597" s="77"/>
      <c r="W597" s="77"/>
      <c r="X597" s="77"/>
      <c r="Y597" s="77"/>
      <c r="Z597" s="77"/>
      <c r="AA597" s="77"/>
      <c r="AB597" s="77"/>
      <c r="AC597" s="77"/>
      <c r="AD597" s="227"/>
      <c r="AE597" s="77"/>
      <c r="AF597" s="227"/>
      <c r="AG597" s="77"/>
      <c r="AH597" s="77"/>
      <c r="AI597" s="77"/>
      <c r="AJ597" s="77"/>
      <c r="AK597" s="77"/>
      <c r="AL597" s="77"/>
      <c r="AM597" s="77"/>
      <c r="AN597" s="77"/>
      <c r="AO597" s="77"/>
      <c r="AP597" s="77"/>
      <c r="AQ597" s="77"/>
      <c r="AR597" s="77"/>
      <c r="AS597" s="77"/>
      <c r="AT597" s="77"/>
      <c r="AU597" s="77"/>
      <c r="AV597" s="77"/>
      <c r="AW597" s="77"/>
      <c r="AX597" s="77"/>
      <c r="AY597" s="77"/>
      <c r="AZ597" s="77"/>
      <c r="BA597" s="77"/>
      <c r="BB597" s="77"/>
      <c r="BC597" s="77"/>
      <c r="BD597" s="77"/>
      <c r="BE597" s="77"/>
    </row>
    <row r="598">
      <c r="A598" s="77"/>
      <c r="B598" s="77"/>
      <c r="C598" s="77"/>
      <c r="D598" s="77"/>
      <c r="E598" s="188"/>
      <c r="F598" s="188"/>
      <c r="G598" s="188"/>
      <c r="H598" s="188"/>
      <c r="I598" s="188"/>
      <c r="J598" s="77"/>
      <c r="K598" s="77"/>
      <c r="L598" s="77"/>
      <c r="M598" s="77"/>
      <c r="N598" s="77"/>
      <c r="O598" s="77"/>
      <c r="P598" s="77"/>
      <c r="Q598" s="77"/>
      <c r="R598" s="77"/>
      <c r="S598" s="77"/>
      <c r="T598" s="77"/>
      <c r="U598" s="77"/>
      <c r="V598" s="77"/>
      <c r="W598" s="77"/>
      <c r="X598" s="77"/>
      <c r="Y598" s="77"/>
      <c r="Z598" s="77"/>
      <c r="AA598" s="77"/>
      <c r="AB598" s="77"/>
      <c r="AC598" s="77"/>
      <c r="AD598" s="227"/>
      <c r="AE598" s="77"/>
      <c r="AF598" s="227"/>
      <c r="AG598" s="77"/>
      <c r="AH598" s="77"/>
      <c r="AI598" s="77"/>
      <c r="AJ598" s="77"/>
      <c r="AK598" s="77"/>
      <c r="AL598" s="77"/>
      <c r="AM598" s="77"/>
      <c r="AN598" s="77"/>
      <c r="AO598" s="77"/>
      <c r="AP598" s="77"/>
      <c r="AQ598" s="77"/>
      <c r="AR598" s="77"/>
      <c r="AS598" s="77"/>
      <c r="AT598" s="77"/>
      <c r="AU598" s="77"/>
      <c r="AV598" s="77"/>
      <c r="AW598" s="77"/>
      <c r="AX598" s="77"/>
      <c r="AY598" s="77"/>
      <c r="AZ598" s="77"/>
      <c r="BA598" s="77"/>
      <c r="BB598" s="77"/>
      <c r="BC598" s="77"/>
      <c r="BD598" s="77"/>
      <c r="BE598" s="77"/>
    </row>
    <row r="599">
      <c r="A599" s="77"/>
      <c r="B599" s="77"/>
      <c r="C599" s="77"/>
      <c r="D599" s="77"/>
      <c r="E599" s="188"/>
      <c r="F599" s="188"/>
      <c r="G599" s="188"/>
      <c r="H599" s="188"/>
      <c r="I599" s="188"/>
      <c r="J599" s="77"/>
      <c r="K599" s="77"/>
      <c r="L599" s="77"/>
      <c r="M599" s="77"/>
      <c r="N599" s="77"/>
      <c r="O599" s="77"/>
      <c r="P599" s="77"/>
      <c r="Q599" s="77"/>
      <c r="R599" s="77"/>
      <c r="S599" s="77"/>
      <c r="T599" s="77"/>
      <c r="U599" s="77"/>
      <c r="V599" s="77"/>
      <c r="W599" s="77"/>
      <c r="X599" s="77"/>
      <c r="Y599" s="77"/>
      <c r="Z599" s="77"/>
      <c r="AA599" s="77"/>
      <c r="AB599" s="77"/>
      <c r="AC599" s="77"/>
      <c r="AD599" s="227"/>
      <c r="AE599" s="77"/>
      <c r="AF599" s="227"/>
      <c r="AG599" s="77"/>
      <c r="AH599" s="77"/>
      <c r="AI599" s="77"/>
      <c r="AJ599" s="77"/>
      <c r="AK599" s="77"/>
      <c r="AL599" s="77"/>
      <c r="AM599" s="77"/>
      <c r="AN599" s="77"/>
      <c r="AO599" s="77"/>
      <c r="AP599" s="77"/>
      <c r="AQ599" s="77"/>
      <c r="AR599" s="77"/>
      <c r="AS599" s="77"/>
      <c r="AT599" s="77"/>
      <c r="AU599" s="77"/>
      <c r="AV599" s="77"/>
      <c r="AW599" s="77"/>
      <c r="AX599" s="77"/>
      <c r="AY599" s="77"/>
      <c r="AZ599" s="77"/>
      <c r="BA599" s="77"/>
      <c r="BB599" s="77"/>
      <c r="BC599" s="77"/>
      <c r="BD599" s="77"/>
      <c r="BE599" s="77"/>
    </row>
    <row r="600">
      <c r="A600" s="77"/>
      <c r="B600" s="77"/>
      <c r="C600" s="77"/>
      <c r="D600" s="77"/>
      <c r="E600" s="188"/>
      <c r="F600" s="188"/>
      <c r="G600" s="188"/>
      <c r="H600" s="188"/>
      <c r="I600" s="188"/>
      <c r="J600" s="77"/>
      <c r="K600" s="77"/>
      <c r="L600" s="77"/>
      <c r="M600" s="77"/>
      <c r="N600" s="77"/>
      <c r="O600" s="77"/>
      <c r="P600" s="77"/>
      <c r="Q600" s="77"/>
      <c r="R600" s="77"/>
      <c r="S600" s="77"/>
      <c r="T600" s="77"/>
      <c r="U600" s="77"/>
      <c r="V600" s="77"/>
      <c r="W600" s="77"/>
      <c r="X600" s="77"/>
      <c r="Y600" s="77"/>
      <c r="Z600" s="77"/>
      <c r="AA600" s="77"/>
      <c r="AB600" s="77"/>
      <c r="AC600" s="77"/>
      <c r="AD600" s="227"/>
      <c r="AE600" s="77"/>
      <c r="AF600" s="227"/>
      <c r="AG600" s="77"/>
      <c r="AH600" s="77"/>
      <c r="AI600" s="77"/>
      <c r="AJ600" s="77"/>
      <c r="AK600" s="77"/>
      <c r="AL600" s="77"/>
      <c r="AM600" s="77"/>
      <c r="AN600" s="77"/>
      <c r="AO600" s="77"/>
      <c r="AP600" s="77"/>
      <c r="AQ600" s="77"/>
      <c r="AR600" s="77"/>
      <c r="AS600" s="77"/>
      <c r="AT600" s="77"/>
      <c r="AU600" s="77"/>
      <c r="AV600" s="77"/>
      <c r="AW600" s="77"/>
      <c r="AX600" s="77"/>
      <c r="AY600" s="77"/>
      <c r="AZ600" s="77"/>
      <c r="BA600" s="77"/>
      <c r="BB600" s="77"/>
      <c r="BC600" s="77"/>
      <c r="BD600" s="77"/>
      <c r="BE600" s="77"/>
    </row>
    <row r="601">
      <c r="A601" s="77"/>
      <c r="B601" s="77"/>
      <c r="C601" s="77"/>
      <c r="D601" s="77"/>
      <c r="E601" s="188"/>
      <c r="F601" s="188"/>
      <c r="G601" s="188"/>
      <c r="H601" s="188"/>
      <c r="I601" s="188"/>
      <c r="J601" s="77"/>
      <c r="K601" s="77"/>
      <c r="L601" s="77"/>
      <c r="M601" s="77"/>
      <c r="N601" s="77"/>
      <c r="O601" s="77"/>
      <c r="P601" s="77"/>
      <c r="Q601" s="77"/>
      <c r="R601" s="77"/>
      <c r="S601" s="77"/>
      <c r="T601" s="77"/>
      <c r="U601" s="77"/>
      <c r="V601" s="77"/>
      <c r="W601" s="77"/>
      <c r="X601" s="77"/>
      <c r="Y601" s="77"/>
      <c r="Z601" s="77"/>
      <c r="AA601" s="77"/>
      <c r="AB601" s="77"/>
      <c r="AC601" s="77"/>
      <c r="AD601" s="227"/>
      <c r="AE601" s="77"/>
      <c r="AF601" s="227"/>
      <c r="AG601" s="77"/>
      <c r="AH601" s="77"/>
      <c r="AI601" s="77"/>
      <c r="AJ601" s="77"/>
      <c r="AK601" s="77"/>
      <c r="AL601" s="77"/>
      <c r="AM601" s="77"/>
      <c r="AN601" s="77"/>
      <c r="AO601" s="77"/>
      <c r="AP601" s="77"/>
      <c r="AQ601" s="77"/>
      <c r="AR601" s="77"/>
      <c r="AS601" s="77"/>
      <c r="AT601" s="77"/>
      <c r="AU601" s="77"/>
      <c r="AV601" s="77"/>
      <c r="AW601" s="77"/>
      <c r="AX601" s="77"/>
      <c r="AY601" s="77"/>
      <c r="AZ601" s="77"/>
      <c r="BA601" s="77"/>
      <c r="BB601" s="77"/>
      <c r="BC601" s="77"/>
      <c r="BD601" s="77"/>
      <c r="BE601" s="77"/>
    </row>
    <row r="602">
      <c r="A602" s="77"/>
      <c r="B602" s="77"/>
      <c r="C602" s="77"/>
      <c r="D602" s="77"/>
      <c r="E602" s="188"/>
      <c r="F602" s="188"/>
      <c r="G602" s="188"/>
      <c r="H602" s="188"/>
      <c r="I602" s="188"/>
      <c r="J602" s="77"/>
      <c r="K602" s="77"/>
      <c r="L602" s="77"/>
      <c r="M602" s="77"/>
      <c r="N602" s="77"/>
      <c r="O602" s="77"/>
      <c r="P602" s="77"/>
      <c r="Q602" s="77"/>
      <c r="R602" s="77"/>
      <c r="S602" s="77"/>
      <c r="T602" s="77"/>
      <c r="U602" s="77"/>
      <c r="V602" s="77"/>
      <c r="W602" s="77"/>
      <c r="X602" s="77"/>
      <c r="Y602" s="77"/>
      <c r="Z602" s="77"/>
      <c r="AA602" s="77"/>
      <c r="AB602" s="77"/>
      <c r="AC602" s="77"/>
      <c r="AD602" s="227"/>
      <c r="AE602" s="77"/>
      <c r="AF602" s="227"/>
      <c r="AG602" s="77"/>
      <c r="AH602" s="77"/>
      <c r="AI602" s="77"/>
      <c r="AJ602" s="77"/>
      <c r="AK602" s="77"/>
      <c r="AL602" s="77"/>
      <c r="AM602" s="77"/>
      <c r="AN602" s="77"/>
      <c r="AO602" s="77"/>
      <c r="AP602" s="77"/>
      <c r="AQ602" s="77"/>
      <c r="AR602" s="77"/>
      <c r="AS602" s="77"/>
      <c r="AT602" s="77"/>
      <c r="AU602" s="77"/>
      <c r="AV602" s="77"/>
      <c r="AW602" s="77"/>
      <c r="AX602" s="77"/>
      <c r="AY602" s="77"/>
      <c r="AZ602" s="77"/>
      <c r="BA602" s="77"/>
      <c r="BB602" s="77"/>
      <c r="BC602" s="77"/>
      <c r="BD602" s="77"/>
      <c r="BE602" s="77"/>
    </row>
    <row r="603">
      <c r="A603" s="77"/>
      <c r="B603" s="77"/>
      <c r="C603" s="77"/>
      <c r="D603" s="77"/>
      <c r="E603" s="188"/>
      <c r="F603" s="188"/>
      <c r="G603" s="188"/>
      <c r="H603" s="188"/>
      <c r="I603" s="188"/>
      <c r="J603" s="77"/>
      <c r="K603" s="77"/>
      <c r="L603" s="77"/>
      <c r="M603" s="77"/>
      <c r="N603" s="77"/>
      <c r="O603" s="77"/>
      <c r="P603" s="77"/>
      <c r="Q603" s="77"/>
      <c r="R603" s="77"/>
      <c r="S603" s="77"/>
      <c r="T603" s="77"/>
      <c r="U603" s="77"/>
      <c r="V603" s="77"/>
      <c r="W603" s="77"/>
      <c r="X603" s="77"/>
      <c r="Y603" s="77"/>
      <c r="Z603" s="77"/>
      <c r="AA603" s="77"/>
      <c r="AB603" s="77"/>
      <c r="AC603" s="77"/>
      <c r="AD603" s="227"/>
      <c r="AE603" s="77"/>
      <c r="AF603" s="227"/>
      <c r="AG603" s="77"/>
      <c r="AH603" s="77"/>
      <c r="AI603" s="77"/>
      <c r="AJ603" s="77"/>
      <c r="AK603" s="77"/>
      <c r="AL603" s="77"/>
      <c r="AM603" s="77"/>
      <c r="AN603" s="77"/>
      <c r="AO603" s="77"/>
      <c r="AP603" s="77"/>
      <c r="AQ603" s="77"/>
      <c r="AR603" s="77"/>
      <c r="AS603" s="77"/>
      <c r="AT603" s="77"/>
      <c r="AU603" s="77"/>
      <c r="AV603" s="77"/>
      <c r="AW603" s="77"/>
      <c r="AX603" s="77"/>
      <c r="AY603" s="77"/>
      <c r="AZ603" s="77"/>
      <c r="BA603" s="77"/>
      <c r="BB603" s="77"/>
      <c r="BC603" s="77"/>
      <c r="BD603" s="77"/>
      <c r="BE603" s="77"/>
    </row>
    <row r="604">
      <c r="A604" s="77"/>
      <c r="B604" s="77"/>
      <c r="C604" s="77"/>
      <c r="D604" s="77"/>
      <c r="E604" s="188"/>
      <c r="F604" s="188"/>
      <c r="G604" s="188"/>
      <c r="H604" s="188"/>
      <c r="I604" s="188"/>
      <c r="J604" s="77"/>
      <c r="K604" s="77"/>
      <c r="L604" s="77"/>
      <c r="M604" s="77"/>
      <c r="N604" s="77"/>
      <c r="O604" s="77"/>
      <c r="P604" s="77"/>
      <c r="Q604" s="77"/>
      <c r="R604" s="77"/>
      <c r="S604" s="77"/>
      <c r="T604" s="77"/>
      <c r="U604" s="77"/>
      <c r="V604" s="77"/>
      <c r="W604" s="77"/>
      <c r="X604" s="77"/>
      <c r="Y604" s="77"/>
      <c r="Z604" s="77"/>
      <c r="AA604" s="77"/>
      <c r="AB604" s="77"/>
      <c r="AC604" s="77"/>
      <c r="AD604" s="227"/>
      <c r="AE604" s="77"/>
      <c r="AF604" s="227"/>
      <c r="AG604" s="77"/>
      <c r="AH604" s="77"/>
      <c r="AI604" s="77"/>
      <c r="AJ604" s="77"/>
      <c r="AK604" s="77"/>
      <c r="AL604" s="77"/>
      <c r="AM604" s="77"/>
      <c r="AN604" s="77"/>
      <c r="AO604" s="77"/>
      <c r="AP604" s="77"/>
      <c r="AQ604" s="77"/>
      <c r="AR604" s="77"/>
      <c r="AS604" s="77"/>
      <c r="AT604" s="77"/>
      <c r="AU604" s="77"/>
      <c r="AV604" s="77"/>
      <c r="AW604" s="77"/>
      <c r="AX604" s="77"/>
      <c r="AY604" s="77"/>
      <c r="AZ604" s="77"/>
      <c r="BA604" s="77"/>
      <c r="BB604" s="77"/>
      <c r="BC604" s="77"/>
      <c r="BD604" s="77"/>
      <c r="BE604" s="77"/>
    </row>
    <row r="605">
      <c r="A605" s="77"/>
      <c r="B605" s="77"/>
      <c r="C605" s="77"/>
      <c r="D605" s="77"/>
      <c r="E605" s="188"/>
      <c r="F605" s="188"/>
      <c r="G605" s="188"/>
      <c r="H605" s="188"/>
      <c r="I605" s="188"/>
      <c r="J605" s="77"/>
      <c r="K605" s="77"/>
      <c r="L605" s="77"/>
      <c r="M605" s="77"/>
      <c r="N605" s="77"/>
      <c r="O605" s="77"/>
      <c r="P605" s="77"/>
      <c r="Q605" s="77"/>
      <c r="R605" s="77"/>
      <c r="S605" s="77"/>
      <c r="T605" s="77"/>
      <c r="U605" s="77"/>
      <c r="V605" s="77"/>
      <c r="W605" s="77"/>
      <c r="X605" s="77"/>
      <c r="Y605" s="77"/>
      <c r="Z605" s="77"/>
      <c r="AA605" s="77"/>
      <c r="AB605" s="77"/>
      <c r="AC605" s="77"/>
      <c r="AD605" s="227"/>
      <c r="AE605" s="77"/>
      <c r="AF605" s="227"/>
      <c r="AG605" s="77"/>
      <c r="AH605" s="77"/>
      <c r="AI605" s="77"/>
      <c r="AJ605" s="77"/>
      <c r="AK605" s="77"/>
      <c r="AL605" s="77"/>
      <c r="AM605" s="77"/>
      <c r="AN605" s="77"/>
      <c r="AO605" s="77"/>
      <c r="AP605" s="77"/>
      <c r="AQ605" s="77"/>
      <c r="AR605" s="77"/>
      <c r="AS605" s="77"/>
      <c r="AT605" s="77"/>
      <c r="AU605" s="77"/>
      <c r="AV605" s="77"/>
      <c r="AW605" s="77"/>
      <c r="AX605" s="77"/>
      <c r="AY605" s="77"/>
      <c r="AZ605" s="77"/>
      <c r="BA605" s="77"/>
      <c r="BB605" s="77"/>
      <c r="BC605" s="77"/>
      <c r="BD605" s="77"/>
      <c r="BE605" s="77"/>
    </row>
    <row r="606">
      <c r="A606" s="77"/>
      <c r="B606" s="77"/>
      <c r="C606" s="77"/>
      <c r="D606" s="77"/>
      <c r="E606" s="188"/>
      <c r="F606" s="188"/>
      <c r="G606" s="188"/>
      <c r="H606" s="188"/>
      <c r="I606" s="188"/>
      <c r="J606" s="77"/>
      <c r="K606" s="77"/>
      <c r="L606" s="77"/>
      <c r="M606" s="77"/>
      <c r="N606" s="77"/>
      <c r="O606" s="77"/>
      <c r="P606" s="77"/>
      <c r="Q606" s="77"/>
      <c r="R606" s="77"/>
      <c r="S606" s="77"/>
      <c r="T606" s="77"/>
      <c r="U606" s="77"/>
      <c r="V606" s="77"/>
      <c r="W606" s="77"/>
      <c r="X606" s="77"/>
      <c r="Y606" s="77"/>
      <c r="Z606" s="77"/>
      <c r="AA606" s="77"/>
      <c r="AB606" s="77"/>
      <c r="AC606" s="77"/>
      <c r="AD606" s="227"/>
      <c r="AE606" s="77"/>
      <c r="AF606" s="227"/>
      <c r="AG606" s="77"/>
      <c r="AH606" s="77"/>
      <c r="AI606" s="77"/>
      <c r="AJ606" s="77"/>
      <c r="AK606" s="77"/>
      <c r="AL606" s="77"/>
      <c r="AM606" s="77"/>
      <c r="AN606" s="77"/>
      <c r="AO606" s="77"/>
      <c r="AP606" s="77"/>
      <c r="AQ606" s="77"/>
      <c r="AR606" s="77"/>
      <c r="AS606" s="77"/>
      <c r="AT606" s="77"/>
      <c r="AU606" s="77"/>
      <c r="AV606" s="77"/>
      <c r="AW606" s="77"/>
      <c r="AX606" s="77"/>
      <c r="AY606" s="77"/>
      <c r="AZ606" s="77"/>
      <c r="BA606" s="77"/>
      <c r="BB606" s="77"/>
      <c r="BC606" s="77"/>
      <c r="BD606" s="77"/>
      <c r="BE606" s="77"/>
    </row>
    <row r="607">
      <c r="A607" s="77"/>
      <c r="B607" s="77"/>
      <c r="C607" s="77"/>
      <c r="D607" s="77"/>
      <c r="E607" s="188"/>
      <c r="F607" s="188"/>
      <c r="G607" s="188"/>
      <c r="H607" s="188"/>
      <c r="I607" s="188"/>
      <c r="J607" s="77"/>
      <c r="K607" s="77"/>
      <c r="L607" s="77"/>
      <c r="M607" s="77"/>
      <c r="N607" s="77"/>
      <c r="O607" s="77"/>
      <c r="P607" s="77"/>
      <c r="Q607" s="77"/>
      <c r="R607" s="77"/>
      <c r="S607" s="77"/>
      <c r="T607" s="77"/>
      <c r="U607" s="77"/>
      <c r="V607" s="77"/>
      <c r="W607" s="77"/>
      <c r="X607" s="77"/>
      <c r="Y607" s="77"/>
      <c r="Z607" s="77"/>
      <c r="AA607" s="77"/>
      <c r="AB607" s="77"/>
      <c r="AC607" s="77"/>
      <c r="AD607" s="227"/>
      <c r="AE607" s="77"/>
      <c r="AF607" s="227"/>
      <c r="AG607" s="77"/>
      <c r="AH607" s="77"/>
      <c r="AI607" s="77"/>
      <c r="AJ607" s="77"/>
      <c r="AK607" s="77"/>
      <c r="AL607" s="77"/>
      <c r="AM607" s="77"/>
      <c r="AN607" s="77"/>
      <c r="AO607" s="77"/>
      <c r="AP607" s="77"/>
      <c r="AQ607" s="77"/>
      <c r="AR607" s="77"/>
      <c r="AS607" s="77"/>
      <c r="AT607" s="77"/>
      <c r="AU607" s="77"/>
      <c r="AV607" s="77"/>
      <c r="AW607" s="77"/>
      <c r="AX607" s="77"/>
      <c r="AY607" s="77"/>
      <c r="AZ607" s="77"/>
      <c r="BA607" s="77"/>
      <c r="BB607" s="77"/>
      <c r="BC607" s="77"/>
      <c r="BD607" s="77"/>
      <c r="BE607" s="77"/>
    </row>
    <row r="608">
      <c r="A608" s="77"/>
      <c r="B608" s="77"/>
      <c r="C608" s="77"/>
      <c r="D608" s="77"/>
      <c r="E608" s="188"/>
      <c r="F608" s="188"/>
      <c r="G608" s="188"/>
      <c r="H608" s="188"/>
      <c r="I608" s="188"/>
      <c r="J608" s="77"/>
      <c r="K608" s="77"/>
      <c r="L608" s="77"/>
      <c r="M608" s="77"/>
      <c r="N608" s="77"/>
      <c r="O608" s="77"/>
      <c r="P608" s="77"/>
      <c r="Q608" s="77"/>
      <c r="R608" s="77"/>
      <c r="S608" s="77"/>
      <c r="T608" s="77"/>
      <c r="U608" s="77"/>
      <c r="V608" s="77"/>
      <c r="W608" s="77"/>
      <c r="X608" s="77"/>
      <c r="Y608" s="77"/>
      <c r="Z608" s="77"/>
      <c r="AA608" s="77"/>
      <c r="AB608" s="77"/>
      <c r="AC608" s="77"/>
      <c r="AD608" s="227"/>
      <c r="AE608" s="77"/>
      <c r="AF608" s="227"/>
      <c r="AG608" s="77"/>
      <c r="AH608" s="77"/>
      <c r="AI608" s="77"/>
      <c r="AJ608" s="77"/>
      <c r="AK608" s="77"/>
      <c r="AL608" s="77"/>
      <c r="AM608" s="77"/>
      <c r="AN608" s="77"/>
      <c r="AO608" s="77"/>
      <c r="AP608" s="77"/>
      <c r="AQ608" s="77"/>
      <c r="AR608" s="77"/>
      <c r="AS608" s="77"/>
      <c r="AT608" s="77"/>
      <c r="AU608" s="77"/>
      <c r="AV608" s="77"/>
      <c r="AW608" s="77"/>
      <c r="AX608" s="77"/>
      <c r="AY608" s="77"/>
      <c r="AZ608" s="77"/>
      <c r="BA608" s="77"/>
      <c r="BB608" s="77"/>
      <c r="BC608" s="77"/>
      <c r="BD608" s="77"/>
      <c r="BE608" s="77"/>
    </row>
    <row r="609">
      <c r="A609" s="77"/>
      <c r="B609" s="77"/>
      <c r="C609" s="77"/>
      <c r="D609" s="77"/>
      <c r="E609" s="188"/>
      <c r="F609" s="188"/>
      <c r="G609" s="188"/>
      <c r="H609" s="188"/>
      <c r="I609" s="188"/>
      <c r="J609" s="77"/>
      <c r="K609" s="77"/>
      <c r="L609" s="77"/>
      <c r="M609" s="77"/>
      <c r="N609" s="77"/>
      <c r="O609" s="77"/>
      <c r="P609" s="77"/>
      <c r="Q609" s="77"/>
      <c r="R609" s="77"/>
      <c r="S609" s="77"/>
      <c r="T609" s="77"/>
      <c r="U609" s="77"/>
      <c r="V609" s="77"/>
      <c r="W609" s="77"/>
      <c r="X609" s="77"/>
      <c r="Y609" s="77"/>
      <c r="Z609" s="77"/>
      <c r="AA609" s="77"/>
      <c r="AB609" s="77"/>
      <c r="AC609" s="77"/>
      <c r="AD609" s="227"/>
      <c r="AE609" s="77"/>
      <c r="AF609" s="227"/>
      <c r="AG609" s="77"/>
      <c r="AH609" s="77"/>
      <c r="AI609" s="77"/>
      <c r="AJ609" s="77"/>
      <c r="AK609" s="77"/>
      <c r="AL609" s="77"/>
      <c r="AM609" s="77"/>
      <c r="AN609" s="77"/>
      <c r="AO609" s="77"/>
      <c r="AP609" s="77"/>
      <c r="AQ609" s="77"/>
      <c r="AR609" s="77"/>
      <c r="AS609" s="77"/>
      <c r="AT609" s="77"/>
      <c r="AU609" s="77"/>
      <c r="AV609" s="77"/>
      <c r="AW609" s="77"/>
      <c r="AX609" s="77"/>
      <c r="AY609" s="77"/>
      <c r="AZ609" s="77"/>
      <c r="BA609" s="77"/>
      <c r="BB609" s="77"/>
      <c r="BC609" s="77"/>
      <c r="BD609" s="77"/>
      <c r="BE609" s="77"/>
    </row>
    <row r="610">
      <c r="A610" s="77"/>
      <c r="B610" s="77"/>
      <c r="C610" s="77"/>
      <c r="D610" s="77"/>
      <c r="E610" s="188"/>
      <c r="F610" s="188"/>
      <c r="G610" s="188"/>
      <c r="H610" s="188"/>
      <c r="I610" s="188"/>
      <c r="J610" s="77"/>
      <c r="K610" s="77"/>
      <c r="L610" s="77"/>
      <c r="M610" s="77"/>
      <c r="N610" s="77"/>
      <c r="O610" s="77"/>
      <c r="P610" s="77"/>
      <c r="Q610" s="77"/>
      <c r="R610" s="77"/>
      <c r="S610" s="77"/>
      <c r="T610" s="77"/>
      <c r="U610" s="77"/>
      <c r="V610" s="77"/>
      <c r="W610" s="77"/>
      <c r="X610" s="77"/>
      <c r="Y610" s="77"/>
      <c r="Z610" s="77"/>
      <c r="AA610" s="77"/>
      <c r="AB610" s="77"/>
      <c r="AC610" s="77"/>
      <c r="AD610" s="227"/>
      <c r="AE610" s="77"/>
      <c r="AF610" s="227"/>
      <c r="AG610" s="77"/>
      <c r="AH610" s="77"/>
      <c r="AI610" s="77"/>
      <c r="AJ610" s="77"/>
      <c r="AK610" s="77"/>
      <c r="AL610" s="77"/>
      <c r="AM610" s="77"/>
      <c r="AN610" s="77"/>
      <c r="AO610" s="77"/>
      <c r="AP610" s="77"/>
      <c r="AQ610" s="77"/>
      <c r="AR610" s="77"/>
      <c r="AS610" s="77"/>
      <c r="AT610" s="77"/>
      <c r="AU610" s="77"/>
      <c r="AV610" s="77"/>
      <c r="AW610" s="77"/>
      <c r="AX610" s="77"/>
      <c r="AY610" s="77"/>
      <c r="AZ610" s="77"/>
      <c r="BA610" s="77"/>
      <c r="BB610" s="77"/>
      <c r="BC610" s="77"/>
      <c r="BD610" s="77"/>
      <c r="BE610" s="77"/>
    </row>
    <row r="611">
      <c r="A611" s="77"/>
      <c r="B611" s="77"/>
      <c r="C611" s="77"/>
      <c r="D611" s="77"/>
      <c r="E611" s="188"/>
      <c r="F611" s="188"/>
      <c r="G611" s="188"/>
      <c r="H611" s="188"/>
      <c r="I611" s="188"/>
      <c r="J611" s="77"/>
      <c r="K611" s="77"/>
      <c r="L611" s="77"/>
      <c r="M611" s="77"/>
      <c r="N611" s="77"/>
      <c r="O611" s="77"/>
      <c r="P611" s="77"/>
      <c r="Q611" s="77"/>
      <c r="R611" s="77"/>
      <c r="S611" s="77"/>
      <c r="T611" s="77"/>
      <c r="U611" s="77"/>
      <c r="V611" s="77"/>
      <c r="W611" s="77"/>
      <c r="X611" s="77"/>
      <c r="Y611" s="77"/>
      <c r="Z611" s="77"/>
      <c r="AA611" s="77"/>
      <c r="AB611" s="77"/>
      <c r="AC611" s="77"/>
      <c r="AD611" s="227"/>
      <c r="AE611" s="77"/>
      <c r="AF611" s="227"/>
      <c r="AG611" s="77"/>
      <c r="AH611" s="77"/>
      <c r="AI611" s="77"/>
      <c r="AJ611" s="77"/>
      <c r="AK611" s="77"/>
      <c r="AL611" s="77"/>
      <c r="AM611" s="77"/>
      <c r="AN611" s="77"/>
      <c r="AO611" s="77"/>
      <c r="AP611" s="77"/>
      <c r="AQ611" s="77"/>
      <c r="AR611" s="77"/>
      <c r="AS611" s="77"/>
      <c r="AT611" s="77"/>
      <c r="AU611" s="77"/>
      <c r="AV611" s="77"/>
      <c r="AW611" s="77"/>
      <c r="AX611" s="77"/>
      <c r="AY611" s="77"/>
      <c r="AZ611" s="77"/>
      <c r="BA611" s="77"/>
      <c r="BB611" s="77"/>
      <c r="BC611" s="77"/>
      <c r="BD611" s="77"/>
      <c r="BE611" s="77"/>
    </row>
    <row r="612">
      <c r="A612" s="77"/>
      <c r="B612" s="77"/>
      <c r="C612" s="77"/>
      <c r="D612" s="77"/>
      <c r="E612" s="188"/>
      <c r="F612" s="188"/>
      <c r="G612" s="188"/>
      <c r="H612" s="188"/>
      <c r="I612" s="188"/>
      <c r="J612" s="77"/>
      <c r="K612" s="77"/>
      <c r="L612" s="77"/>
      <c r="M612" s="77"/>
      <c r="N612" s="77"/>
      <c r="O612" s="77"/>
      <c r="P612" s="77"/>
      <c r="Q612" s="77"/>
      <c r="R612" s="77"/>
      <c r="S612" s="77"/>
      <c r="T612" s="77"/>
      <c r="U612" s="77"/>
      <c r="V612" s="77"/>
      <c r="W612" s="77"/>
      <c r="X612" s="77"/>
      <c r="Y612" s="77"/>
      <c r="Z612" s="77"/>
      <c r="AA612" s="77"/>
      <c r="AB612" s="77"/>
      <c r="AC612" s="77"/>
      <c r="AD612" s="227"/>
      <c r="AE612" s="77"/>
      <c r="AF612" s="227"/>
      <c r="AG612" s="77"/>
      <c r="AH612" s="77"/>
      <c r="AI612" s="77"/>
      <c r="AJ612" s="77"/>
      <c r="AK612" s="77"/>
      <c r="AL612" s="77"/>
      <c r="AM612" s="77"/>
      <c r="AN612" s="77"/>
      <c r="AO612" s="77"/>
      <c r="AP612" s="77"/>
      <c r="AQ612" s="77"/>
      <c r="AR612" s="77"/>
      <c r="AS612" s="77"/>
      <c r="AT612" s="77"/>
      <c r="AU612" s="77"/>
      <c r="AV612" s="77"/>
      <c r="AW612" s="77"/>
      <c r="AX612" s="77"/>
      <c r="AY612" s="77"/>
      <c r="AZ612" s="77"/>
      <c r="BA612" s="77"/>
      <c r="BB612" s="77"/>
      <c r="BC612" s="77"/>
      <c r="BD612" s="77"/>
      <c r="BE612" s="77"/>
    </row>
    <row r="613">
      <c r="A613" s="77"/>
      <c r="B613" s="77"/>
      <c r="C613" s="77"/>
      <c r="D613" s="77"/>
      <c r="E613" s="188"/>
      <c r="F613" s="188"/>
      <c r="G613" s="188"/>
      <c r="H613" s="188"/>
      <c r="I613" s="188"/>
      <c r="J613" s="77"/>
      <c r="K613" s="77"/>
      <c r="L613" s="77"/>
      <c r="M613" s="77"/>
      <c r="N613" s="77"/>
      <c r="O613" s="77"/>
      <c r="P613" s="77"/>
      <c r="Q613" s="77"/>
      <c r="R613" s="77"/>
      <c r="S613" s="77"/>
      <c r="T613" s="77"/>
      <c r="U613" s="77"/>
      <c r="V613" s="77"/>
      <c r="W613" s="77"/>
      <c r="X613" s="77"/>
      <c r="Y613" s="77"/>
      <c r="Z613" s="77"/>
      <c r="AA613" s="77"/>
      <c r="AB613" s="77"/>
      <c r="AC613" s="77"/>
      <c r="AD613" s="227"/>
      <c r="AE613" s="77"/>
      <c r="AF613" s="227"/>
      <c r="AG613" s="77"/>
      <c r="AH613" s="77"/>
      <c r="AI613" s="77"/>
      <c r="AJ613" s="77"/>
      <c r="AK613" s="77"/>
      <c r="AL613" s="77"/>
      <c r="AM613" s="77"/>
      <c r="AN613" s="77"/>
      <c r="AO613" s="77"/>
      <c r="AP613" s="77"/>
      <c r="AQ613" s="77"/>
      <c r="AR613" s="77"/>
      <c r="AS613" s="77"/>
      <c r="AT613" s="77"/>
      <c r="AU613" s="77"/>
      <c r="AV613" s="77"/>
      <c r="AW613" s="77"/>
      <c r="AX613" s="77"/>
      <c r="AY613" s="77"/>
      <c r="AZ613" s="77"/>
      <c r="BA613" s="77"/>
      <c r="BB613" s="77"/>
      <c r="BC613" s="77"/>
      <c r="BD613" s="77"/>
      <c r="BE613" s="77"/>
    </row>
    <row r="614">
      <c r="A614" s="77"/>
      <c r="B614" s="77"/>
      <c r="C614" s="77"/>
      <c r="D614" s="77"/>
      <c r="E614" s="188"/>
      <c r="F614" s="188"/>
      <c r="G614" s="188"/>
      <c r="H614" s="188"/>
      <c r="I614" s="188"/>
      <c r="J614" s="77"/>
      <c r="K614" s="77"/>
      <c r="L614" s="77"/>
      <c r="M614" s="77"/>
      <c r="N614" s="77"/>
      <c r="O614" s="77"/>
      <c r="P614" s="77"/>
      <c r="Q614" s="77"/>
      <c r="R614" s="77"/>
      <c r="S614" s="77"/>
      <c r="T614" s="77"/>
      <c r="U614" s="77"/>
      <c r="V614" s="77"/>
      <c r="W614" s="77"/>
      <c r="X614" s="77"/>
      <c r="Y614" s="77"/>
      <c r="Z614" s="77"/>
      <c r="AA614" s="77"/>
      <c r="AB614" s="77"/>
      <c r="AC614" s="77"/>
      <c r="AD614" s="227"/>
      <c r="AE614" s="77"/>
      <c r="AF614" s="227"/>
      <c r="AG614" s="77"/>
      <c r="AH614" s="77"/>
      <c r="AI614" s="77"/>
      <c r="AJ614" s="77"/>
      <c r="AK614" s="77"/>
      <c r="AL614" s="77"/>
      <c r="AM614" s="77"/>
      <c r="AN614" s="77"/>
      <c r="AO614" s="77"/>
      <c r="AP614" s="77"/>
      <c r="AQ614" s="77"/>
      <c r="AR614" s="77"/>
      <c r="AS614" s="77"/>
      <c r="AT614" s="77"/>
      <c r="AU614" s="77"/>
      <c r="AV614" s="77"/>
      <c r="AW614" s="77"/>
      <c r="AX614" s="77"/>
      <c r="AY614" s="77"/>
      <c r="AZ614" s="77"/>
      <c r="BA614" s="77"/>
      <c r="BB614" s="77"/>
      <c r="BC614" s="77"/>
      <c r="BD614" s="77"/>
      <c r="BE614" s="77"/>
    </row>
    <row r="615">
      <c r="A615" s="77"/>
      <c r="B615" s="77"/>
      <c r="C615" s="77"/>
      <c r="D615" s="77"/>
      <c r="E615" s="188"/>
      <c r="F615" s="188"/>
      <c r="G615" s="188"/>
      <c r="H615" s="188"/>
      <c r="I615" s="188"/>
      <c r="J615" s="77"/>
      <c r="K615" s="77"/>
      <c r="L615" s="77"/>
      <c r="M615" s="77"/>
      <c r="N615" s="77"/>
      <c r="O615" s="77"/>
      <c r="P615" s="77"/>
      <c r="Q615" s="77"/>
      <c r="R615" s="77"/>
      <c r="S615" s="77"/>
      <c r="T615" s="77"/>
      <c r="U615" s="77"/>
      <c r="V615" s="77"/>
      <c r="W615" s="77"/>
      <c r="X615" s="77"/>
      <c r="Y615" s="77"/>
      <c r="Z615" s="77"/>
      <c r="AA615" s="77"/>
      <c r="AB615" s="77"/>
      <c r="AC615" s="77"/>
      <c r="AD615" s="227"/>
      <c r="AE615" s="77"/>
      <c r="AF615" s="227"/>
      <c r="AG615" s="77"/>
      <c r="AH615" s="77"/>
      <c r="AI615" s="77"/>
      <c r="AJ615" s="77"/>
      <c r="AK615" s="77"/>
      <c r="AL615" s="77"/>
      <c r="AM615" s="77"/>
      <c r="AN615" s="77"/>
      <c r="AO615" s="77"/>
      <c r="AP615" s="77"/>
      <c r="AQ615" s="77"/>
      <c r="AR615" s="77"/>
      <c r="AS615" s="77"/>
      <c r="AT615" s="77"/>
      <c r="AU615" s="77"/>
      <c r="AV615" s="77"/>
      <c r="AW615" s="77"/>
      <c r="AX615" s="77"/>
      <c r="AY615" s="77"/>
      <c r="AZ615" s="77"/>
      <c r="BA615" s="77"/>
      <c r="BB615" s="77"/>
      <c r="BC615" s="77"/>
      <c r="BD615" s="77"/>
      <c r="BE615" s="77"/>
    </row>
    <row r="616">
      <c r="A616" s="77"/>
      <c r="B616" s="77"/>
      <c r="C616" s="77"/>
      <c r="D616" s="77"/>
      <c r="E616" s="188"/>
      <c r="F616" s="188"/>
      <c r="G616" s="188"/>
      <c r="H616" s="188"/>
      <c r="I616" s="188"/>
      <c r="J616" s="77"/>
      <c r="K616" s="77"/>
      <c r="L616" s="77"/>
      <c r="M616" s="77"/>
      <c r="N616" s="77"/>
      <c r="O616" s="77"/>
      <c r="P616" s="77"/>
      <c r="Q616" s="77"/>
      <c r="R616" s="77"/>
      <c r="S616" s="77"/>
      <c r="T616" s="77"/>
      <c r="U616" s="77"/>
      <c r="V616" s="77"/>
      <c r="W616" s="77"/>
      <c r="X616" s="77"/>
      <c r="Y616" s="77"/>
      <c r="Z616" s="77"/>
      <c r="AA616" s="77"/>
      <c r="AB616" s="77"/>
      <c r="AC616" s="77"/>
      <c r="AD616" s="227"/>
      <c r="AE616" s="77"/>
      <c r="AF616" s="227"/>
      <c r="AG616" s="77"/>
      <c r="AH616" s="77"/>
      <c r="AI616" s="77"/>
      <c r="AJ616" s="77"/>
      <c r="AK616" s="77"/>
      <c r="AL616" s="77"/>
      <c r="AM616" s="77"/>
      <c r="AN616" s="77"/>
      <c r="AO616" s="77"/>
      <c r="AP616" s="77"/>
      <c r="AQ616" s="77"/>
      <c r="AR616" s="77"/>
      <c r="AS616" s="77"/>
      <c r="AT616" s="77"/>
      <c r="AU616" s="77"/>
      <c r="AV616" s="77"/>
      <c r="AW616" s="77"/>
      <c r="AX616" s="77"/>
      <c r="AY616" s="77"/>
      <c r="AZ616" s="77"/>
      <c r="BA616" s="77"/>
      <c r="BB616" s="77"/>
      <c r="BC616" s="77"/>
      <c r="BD616" s="77"/>
      <c r="BE616" s="77"/>
    </row>
    <row r="617">
      <c r="A617" s="77"/>
      <c r="B617" s="77"/>
      <c r="C617" s="77"/>
      <c r="D617" s="77"/>
      <c r="E617" s="188"/>
      <c r="F617" s="188"/>
      <c r="G617" s="188"/>
      <c r="H617" s="188"/>
      <c r="I617" s="188"/>
      <c r="J617" s="77"/>
      <c r="K617" s="77"/>
      <c r="L617" s="77"/>
      <c r="M617" s="77"/>
      <c r="N617" s="77"/>
      <c r="O617" s="77"/>
      <c r="P617" s="77"/>
      <c r="Q617" s="77"/>
      <c r="R617" s="77"/>
      <c r="S617" s="77"/>
      <c r="T617" s="77"/>
      <c r="U617" s="77"/>
      <c r="V617" s="77"/>
      <c r="W617" s="77"/>
      <c r="X617" s="77"/>
      <c r="Y617" s="77"/>
      <c r="Z617" s="77"/>
      <c r="AA617" s="77"/>
      <c r="AB617" s="77"/>
      <c r="AC617" s="77"/>
      <c r="AD617" s="227"/>
      <c r="AE617" s="77"/>
      <c r="AF617" s="227"/>
      <c r="AG617" s="77"/>
      <c r="AH617" s="77"/>
      <c r="AI617" s="77"/>
      <c r="AJ617" s="77"/>
      <c r="AK617" s="77"/>
      <c r="AL617" s="77"/>
      <c r="AM617" s="77"/>
      <c r="AN617" s="77"/>
      <c r="AO617" s="77"/>
      <c r="AP617" s="77"/>
      <c r="AQ617" s="77"/>
      <c r="AR617" s="77"/>
      <c r="AS617" s="77"/>
      <c r="AT617" s="77"/>
      <c r="AU617" s="77"/>
      <c r="AV617" s="77"/>
      <c r="AW617" s="77"/>
      <c r="AX617" s="77"/>
      <c r="AY617" s="77"/>
      <c r="AZ617" s="77"/>
      <c r="BA617" s="77"/>
      <c r="BB617" s="77"/>
      <c r="BC617" s="77"/>
      <c r="BD617" s="77"/>
      <c r="BE617" s="77"/>
    </row>
    <row r="618">
      <c r="A618" s="77"/>
      <c r="B618" s="77"/>
      <c r="C618" s="77"/>
      <c r="D618" s="77"/>
      <c r="E618" s="188"/>
      <c r="F618" s="188"/>
      <c r="G618" s="188"/>
      <c r="H618" s="188"/>
      <c r="I618" s="188"/>
      <c r="J618" s="77"/>
      <c r="K618" s="77"/>
      <c r="L618" s="77"/>
      <c r="M618" s="77"/>
      <c r="N618" s="77"/>
      <c r="O618" s="77"/>
      <c r="P618" s="77"/>
      <c r="Q618" s="77"/>
      <c r="R618" s="77"/>
      <c r="S618" s="77"/>
      <c r="T618" s="77"/>
      <c r="U618" s="77"/>
      <c r="V618" s="77"/>
      <c r="W618" s="77"/>
      <c r="X618" s="77"/>
      <c r="Y618" s="77"/>
      <c r="Z618" s="77"/>
      <c r="AA618" s="77"/>
      <c r="AB618" s="77"/>
      <c r="AC618" s="77"/>
      <c r="AD618" s="227"/>
      <c r="AE618" s="77"/>
      <c r="AF618" s="227"/>
      <c r="AG618" s="77"/>
      <c r="AH618" s="77"/>
      <c r="AI618" s="77"/>
      <c r="AJ618" s="77"/>
      <c r="AK618" s="77"/>
      <c r="AL618" s="77"/>
      <c r="AM618" s="77"/>
      <c r="AN618" s="77"/>
      <c r="AO618" s="77"/>
      <c r="AP618" s="77"/>
      <c r="AQ618" s="77"/>
      <c r="AR618" s="77"/>
      <c r="AS618" s="77"/>
      <c r="AT618" s="77"/>
      <c r="AU618" s="77"/>
      <c r="AV618" s="77"/>
      <c r="AW618" s="77"/>
      <c r="AX618" s="77"/>
      <c r="AY618" s="77"/>
      <c r="AZ618" s="77"/>
      <c r="BA618" s="77"/>
      <c r="BB618" s="77"/>
      <c r="BC618" s="77"/>
      <c r="BD618" s="77"/>
      <c r="BE618" s="77"/>
    </row>
    <row r="619">
      <c r="A619" s="77"/>
      <c r="B619" s="77"/>
      <c r="C619" s="77"/>
      <c r="D619" s="77"/>
      <c r="E619" s="188"/>
      <c r="F619" s="188"/>
      <c r="G619" s="188"/>
      <c r="H619" s="188"/>
      <c r="I619" s="188"/>
      <c r="J619" s="77"/>
      <c r="K619" s="77"/>
      <c r="L619" s="77"/>
      <c r="M619" s="77"/>
      <c r="N619" s="77"/>
      <c r="O619" s="77"/>
      <c r="P619" s="77"/>
      <c r="Q619" s="77"/>
      <c r="R619" s="77"/>
      <c r="S619" s="77"/>
      <c r="T619" s="77"/>
      <c r="U619" s="77"/>
      <c r="V619" s="77"/>
      <c r="W619" s="77"/>
      <c r="X619" s="77"/>
      <c r="Y619" s="77"/>
      <c r="Z619" s="77"/>
      <c r="AA619" s="77"/>
      <c r="AB619" s="77"/>
      <c r="AC619" s="77"/>
      <c r="AD619" s="227"/>
      <c r="AE619" s="77"/>
      <c r="AF619" s="227"/>
      <c r="AG619" s="77"/>
      <c r="AH619" s="77"/>
      <c r="AI619" s="77"/>
      <c r="AJ619" s="77"/>
      <c r="AK619" s="77"/>
      <c r="AL619" s="77"/>
      <c r="AM619" s="77"/>
      <c r="AN619" s="77"/>
      <c r="AO619" s="77"/>
      <c r="AP619" s="77"/>
      <c r="AQ619" s="77"/>
      <c r="AR619" s="77"/>
      <c r="AS619" s="77"/>
      <c r="AT619" s="77"/>
      <c r="AU619" s="77"/>
      <c r="AV619" s="77"/>
      <c r="AW619" s="77"/>
      <c r="AX619" s="77"/>
      <c r="AY619" s="77"/>
      <c r="AZ619" s="77"/>
      <c r="BA619" s="77"/>
      <c r="BB619" s="77"/>
      <c r="BC619" s="77"/>
      <c r="BD619" s="77"/>
      <c r="BE619" s="77"/>
    </row>
    <row r="620">
      <c r="A620" s="77"/>
      <c r="B620" s="77"/>
      <c r="C620" s="77"/>
      <c r="D620" s="77"/>
      <c r="E620" s="188"/>
      <c r="F620" s="188"/>
      <c r="G620" s="188"/>
      <c r="H620" s="188"/>
      <c r="I620" s="188"/>
      <c r="J620" s="77"/>
      <c r="K620" s="77"/>
      <c r="L620" s="77"/>
      <c r="M620" s="77"/>
      <c r="N620" s="77"/>
      <c r="O620" s="77"/>
      <c r="P620" s="77"/>
      <c r="Q620" s="77"/>
      <c r="R620" s="77"/>
      <c r="S620" s="77"/>
      <c r="T620" s="77"/>
      <c r="U620" s="77"/>
      <c r="V620" s="77"/>
      <c r="W620" s="77"/>
      <c r="X620" s="77"/>
      <c r="Y620" s="77"/>
      <c r="Z620" s="77"/>
      <c r="AA620" s="77"/>
      <c r="AB620" s="77"/>
      <c r="AC620" s="77"/>
      <c r="AD620" s="227"/>
      <c r="AE620" s="77"/>
      <c r="AF620" s="227"/>
      <c r="AG620" s="77"/>
      <c r="AH620" s="77"/>
      <c r="AI620" s="77"/>
      <c r="AJ620" s="77"/>
      <c r="AK620" s="77"/>
      <c r="AL620" s="77"/>
      <c r="AM620" s="77"/>
      <c r="AN620" s="77"/>
      <c r="AO620" s="77"/>
      <c r="AP620" s="77"/>
      <c r="AQ620" s="77"/>
      <c r="AR620" s="77"/>
      <c r="AS620" s="77"/>
      <c r="AT620" s="77"/>
      <c r="AU620" s="77"/>
      <c r="AV620" s="77"/>
      <c r="AW620" s="77"/>
      <c r="AX620" s="77"/>
      <c r="AY620" s="77"/>
      <c r="AZ620" s="77"/>
      <c r="BA620" s="77"/>
      <c r="BB620" s="77"/>
      <c r="BC620" s="77"/>
      <c r="BD620" s="77"/>
      <c r="BE620" s="77"/>
    </row>
    <row r="621">
      <c r="A621" s="77"/>
      <c r="B621" s="77"/>
      <c r="C621" s="77"/>
      <c r="D621" s="77"/>
      <c r="E621" s="188"/>
      <c r="F621" s="188"/>
      <c r="G621" s="188"/>
      <c r="H621" s="188"/>
      <c r="I621" s="188"/>
      <c r="J621" s="77"/>
      <c r="K621" s="77"/>
      <c r="L621" s="77"/>
      <c r="M621" s="77"/>
      <c r="N621" s="77"/>
      <c r="O621" s="77"/>
      <c r="P621" s="77"/>
      <c r="Q621" s="77"/>
      <c r="R621" s="77"/>
      <c r="S621" s="77"/>
      <c r="T621" s="77"/>
      <c r="U621" s="77"/>
      <c r="V621" s="77"/>
      <c r="W621" s="77"/>
      <c r="X621" s="77"/>
      <c r="Y621" s="77"/>
      <c r="Z621" s="77"/>
      <c r="AA621" s="77"/>
      <c r="AB621" s="77"/>
      <c r="AC621" s="77"/>
      <c r="AD621" s="227"/>
      <c r="AE621" s="77"/>
      <c r="AF621" s="227"/>
      <c r="AG621" s="77"/>
      <c r="AH621" s="77"/>
      <c r="AI621" s="77"/>
      <c r="AJ621" s="77"/>
      <c r="AK621" s="77"/>
      <c r="AL621" s="77"/>
      <c r="AM621" s="77"/>
      <c r="AN621" s="77"/>
      <c r="AO621" s="77"/>
      <c r="AP621" s="77"/>
      <c r="AQ621" s="77"/>
      <c r="AR621" s="77"/>
      <c r="AS621" s="77"/>
      <c r="AT621" s="77"/>
      <c r="AU621" s="77"/>
      <c r="AV621" s="77"/>
      <c r="AW621" s="77"/>
      <c r="AX621" s="77"/>
      <c r="AY621" s="77"/>
      <c r="AZ621" s="77"/>
      <c r="BA621" s="77"/>
      <c r="BB621" s="77"/>
      <c r="BC621" s="77"/>
      <c r="BD621" s="77"/>
      <c r="BE621" s="77"/>
    </row>
    <row r="622">
      <c r="A622" s="77"/>
      <c r="B622" s="77"/>
      <c r="C622" s="77"/>
      <c r="D622" s="77"/>
      <c r="E622" s="188"/>
      <c r="F622" s="188"/>
      <c r="G622" s="188"/>
      <c r="H622" s="188"/>
      <c r="I622" s="188"/>
      <c r="J622" s="77"/>
      <c r="K622" s="77"/>
      <c r="L622" s="77"/>
      <c r="M622" s="77"/>
      <c r="N622" s="77"/>
      <c r="O622" s="77"/>
      <c r="P622" s="77"/>
      <c r="Q622" s="77"/>
      <c r="R622" s="77"/>
      <c r="S622" s="77"/>
      <c r="T622" s="77"/>
      <c r="U622" s="77"/>
      <c r="V622" s="77"/>
      <c r="W622" s="77"/>
      <c r="X622" s="77"/>
      <c r="Y622" s="77"/>
      <c r="Z622" s="77"/>
      <c r="AA622" s="77"/>
      <c r="AB622" s="77"/>
      <c r="AC622" s="77"/>
      <c r="AD622" s="227"/>
      <c r="AE622" s="77"/>
      <c r="AF622" s="227"/>
      <c r="AG622" s="77"/>
      <c r="AH622" s="77"/>
      <c r="AI622" s="77"/>
      <c r="AJ622" s="77"/>
      <c r="AK622" s="77"/>
      <c r="AL622" s="77"/>
      <c r="AM622" s="77"/>
      <c r="AN622" s="77"/>
      <c r="AO622" s="77"/>
      <c r="AP622" s="77"/>
      <c r="AQ622" s="77"/>
      <c r="AR622" s="77"/>
      <c r="AS622" s="77"/>
      <c r="AT622" s="77"/>
      <c r="AU622" s="77"/>
      <c r="AV622" s="77"/>
      <c r="AW622" s="77"/>
      <c r="AX622" s="77"/>
      <c r="AY622" s="77"/>
      <c r="AZ622" s="77"/>
      <c r="BA622" s="77"/>
      <c r="BB622" s="77"/>
      <c r="BC622" s="77"/>
      <c r="BD622" s="77"/>
      <c r="BE622" s="77"/>
    </row>
    <row r="623">
      <c r="A623" s="77"/>
      <c r="B623" s="77"/>
      <c r="C623" s="77"/>
      <c r="D623" s="77"/>
      <c r="E623" s="188"/>
      <c r="F623" s="188"/>
      <c r="G623" s="188"/>
      <c r="H623" s="188"/>
      <c r="I623" s="188"/>
      <c r="J623" s="77"/>
      <c r="K623" s="77"/>
      <c r="L623" s="77"/>
      <c r="M623" s="77"/>
      <c r="N623" s="77"/>
      <c r="O623" s="77"/>
      <c r="P623" s="77"/>
      <c r="Q623" s="77"/>
      <c r="R623" s="77"/>
      <c r="S623" s="77"/>
      <c r="T623" s="77"/>
      <c r="U623" s="77"/>
      <c r="V623" s="77"/>
      <c r="W623" s="77"/>
      <c r="X623" s="77"/>
      <c r="Y623" s="77"/>
      <c r="Z623" s="77"/>
      <c r="AA623" s="77"/>
      <c r="AB623" s="77"/>
      <c r="AC623" s="77"/>
      <c r="AD623" s="227"/>
      <c r="AE623" s="77"/>
      <c r="AF623" s="227"/>
      <c r="AG623" s="77"/>
      <c r="AH623" s="77"/>
      <c r="AI623" s="77"/>
      <c r="AJ623" s="77"/>
      <c r="AK623" s="77"/>
      <c r="AL623" s="77"/>
      <c r="AM623" s="77"/>
      <c r="AN623" s="77"/>
      <c r="AO623" s="77"/>
      <c r="AP623" s="77"/>
      <c r="AQ623" s="77"/>
      <c r="AR623" s="77"/>
      <c r="AS623" s="77"/>
      <c r="AT623" s="77"/>
      <c r="AU623" s="77"/>
      <c r="AV623" s="77"/>
      <c r="AW623" s="77"/>
      <c r="AX623" s="77"/>
      <c r="AY623" s="77"/>
      <c r="AZ623" s="77"/>
      <c r="BA623" s="77"/>
      <c r="BB623" s="77"/>
      <c r="BC623" s="77"/>
      <c r="BD623" s="77"/>
      <c r="BE623" s="77"/>
    </row>
    <row r="624">
      <c r="A624" s="77"/>
      <c r="B624" s="77"/>
      <c r="C624" s="77"/>
      <c r="D624" s="77"/>
      <c r="E624" s="188"/>
      <c r="F624" s="188"/>
      <c r="G624" s="188"/>
      <c r="H624" s="188"/>
      <c r="I624" s="188"/>
      <c r="J624" s="77"/>
      <c r="K624" s="77"/>
      <c r="L624" s="77"/>
      <c r="M624" s="77"/>
      <c r="N624" s="77"/>
      <c r="O624" s="77"/>
      <c r="P624" s="77"/>
      <c r="Q624" s="77"/>
      <c r="R624" s="77"/>
      <c r="S624" s="77"/>
      <c r="T624" s="77"/>
      <c r="U624" s="77"/>
      <c r="V624" s="77"/>
      <c r="W624" s="77"/>
      <c r="X624" s="77"/>
      <c r="Y624" s="77"/>
      <c r="Z624" s="77"/>
      <c r="AA624" s="77"/>
      <c r="AB624" s="77"/>
      <c r="AC624" s="77"/>
      <c r="AD624" s="227"/>
      <c r="AE624" s="77"/>
      <c r="AF624" s="227"/>
      <c r="AG624" s="77"/>
      <c r="AH624" s="77"/>
      <c r="AI624" s="77"/>
      <c r="AJ624" s="77"/>
      <c r="AK624" s="77"/>
      <c r="AL624" s="77"/>
      <c r="AM624" s="77"/>
      <c r="AN624" s="77"/>
      <c r="AO624" s="77"/>
      <c r="AP624" s="77"/>
      <c r="AQ624" s="77"/>
      <c r="AR624" s="77"/>
      <c r="AS624" s="77"/>
      <c r="AT624" s="77"/>
      <c r="AU624" s="77"/>
      <c r="AV624" s="77"/>
      <c r="AW624" s="77"/>
      <c r="AX624" s="77"/>
      <c r="AY624" s="77"/>
      <c r="AZ624" s="77"/>
      <c r="BA624" s="77"/>
      <c r="BB624" s="77"/>
      <c r="BC624" s="77"/>
      <c r="BD624" s="77"/>
      <c r="BE624" s="77"/>
    </row>
    <row r="625">
      <c r="A625" s="77"/>
      <c r="B625" s="77"/>
      <c r="C625" s="77"/>
      <c r="D625" s="77"/>
      <c r="E625" s="188"/>
      <c r="F625" s="188"/>
      <c r="G625" s="188"/>
      <c r="H625" s="188"/>
      <c r="I625" s="188"/>
      <c r="J625" s="77"/>
      <c r="K625" s="77"/>
      <c r="L625" s="77"/>
      <c r="M625" s="77"/>
      <c r="N625" s="77"/>
      <c r="O625" s="77"/>
      <c r="P625" s="77"/>
      <c r="Q625" s="77"/>
      <c r="R625" s="77"/>
      <c r="S625" s="77"/>
      <c r="T625" s="77"/>
      <c r="U625" s="77"/>
      <c r="V625" s="77"/>
      <c r="W625" s="77"/>
      <c r="X625" s="77"/>
      <c r="Y625" s="77"/>
      <c r="Z625" s="77"/>
      <c r="AA625" s="77"/>
      <c r="AB625" s="77"/>
      <c r="AC625" s="77"/>
      <c r="AD625" s="227"/>
      <c r="AE625" s="77"/>
      <c r="AF625" s="227"/>
      <c r="AG625" s="77"/>
      <c r="AH625" s="77"/>
      <c r="AI625" s="77"/>
      <c r="AJ625" s="77"/>
      <c r="AK625" s="77"/>
      <c r="AL625" s="77"/>
      <c r="AM625" s="77"/>
      <c r="AN625" s="77"/>
      <c r="AO625" s="77"/>
      <c r="AP625" s="77"/>
      <c r="AQ625" s="77"/>
      <c r="AR625" s="77"/>
      <c r="AS625" s="77"/>
      <c r="AT625" s="77"/>
      <c r="AU625" s="77"/>
      <c r="AV625" s="77"/>
      <c r="AW625" s="77"/>
      <c r="AX625" s="77"/>
      <c r="AY625" s="77"/>
      <c r="AZ625" s="77"/>
      <c r="BA625" s="77"/>
      <c r="BB625" s="77"/>
      <c r="BC625" s="77"/>
      <c r="BD625" s="77"/>
      <c r="BE625" s="77"/>
    </row>
    <row r="626">
      <c r="A626" s="77"/>
      <c r="B626" s="77"/>
      <c r="C626" s="77"/>
      <c r="D626" s="77"/>
      <c r="E626" s="188"/>
      <c r="F626" s="188"/>
      <c r="G626" s="188"/>
      <c r="H626" s="188"/>
      <c r="I626" s="188"/>
      <c r="J626" s="77"/>
      <c r="K626" s="77"/>
      <c r="L626" s="77"/>
      <c r="M626" s="77"/>
      <c r="N626" s="77"/>
      <c r="O626" s="77"/>
      <c r="P626" s="77"/>
      <c r="Q626" s="77"/>
      <c r="R626" s="77"/>
      <c r="S626" s="77"/>
      <c r="T626" s="77"/>
      <c r="U626" s="77"/>
      <c r="V626" s="77"/>
      <c r="W626" s="77"/>
      <c r="X626" s="77"/>
      <c r="Y626" s="77"/>
      <c r="Z626" s="77"/>
      <c r="AA626" s="77"/>
      <c r="AB626" s="77"/>
      <c r="AC626" s="77"/>
      <c r="AD626" s="227"/>
      <c r="AE626" s="77"/>
      <c r="AF626" s="227"/>
      <c r="AG626" s="77"/>
      <c r="AH626" s="77"/>
      <c r="AI626" s="77"/>
      <c r="AJ626" s="77"/>
      <c r="AK626" s="77"/>
      <c r="AL626" s="77"/>
      <c r="AM626" s="77"/>
      <c r="AN626" s="77"/>
      <c r="AO626" s="77"/>
      <c r="AP626" s="77"/>
      <c r="AQ626" s="77"/>
      <c r="AR626" s="77"/>
      <c r="AS626" s="77"/>
      <c r="AT626" s="77"/>
      <c r="AU626" s="77"/>
      <c r="AV626" s="77"/>
      <c r="AW626" s="77"/>
      <c r="AX626" s="77"/>
      <c r="AY626" s="77"/>
      <c r="AZ626" s="77"/>
      <c r="BA626" s="77"/>
      <c r="BB626" s="77"/>
      <c r="BC626" s="77"/>
      <c r="BD626" s="77"/>
      <c r="BE626" s="77"/>
    </row>
    <row r="627">
      <c r="A627" s="77"/>
      <c r="B627" s="77"/>
      <c r="C627" s="77"/>
      <c r="D627" s="77"/>
      <c r="E627" s="188"/>
      <c r="F627" s="188"/>
      <c r="G627" s="188"/>
      <c r="H627" s="188"/>
      <c r="I627" s="188"/>
      <c r="J627" s="77"/>
      <c r="K627" s="77"/>
      <c r="L627" s="77"/>
      <c r="M627" s="77"/>
      <c r="N627" s="77"/>
      <c r="O627" s="77"/>
      <c r="P627" s="77"/>
      <c r="Q627" s="77"/>
      <c r="R627" s="77"/>
      <c r="S627" s="77"/>
      <c r="T627" s="77"/>
      <c r="U627" s="77"/>
      <c r="V627" s="77"/>
      <c r="W627" s="77"/>
      <c r="X627" s="77"/>
      <c r="Y627" s="77"/>
      <c r="Z627" s="77"/>
      <c r="AA627" s="77"/>
      <c r="AB627" s="77"/>
      <c r="AC627" s="77"/>
      <c r="AD627" s="227"/>
      <c r="AE627" s="77"/>
      <c r="AF627" s="227"/>
      <c r="AG627" s="77"/>
      <c r="AH627" s="77"/>
      <c r="AI627" s="77"/>
      <c r="AJ627" s="77"/>
      <c r="AK627" s="77"/>
      <c r="AL627" s="77"/>
      <c r="AM627" s="77"/>
      <c r="AN627" s="77"/>
      <c r="AO627" s="77"/>
      <c r="AP627" s="77"/>
      <c r="AQ627" s="77"/>
      <c r="AR627" s="77"/>
      <c r="AS627" s="77"/>
      <c r="AT627" s="77"/>
      <c r="AU627" s="77"/>
      <c r="AV627" s="77"/>
      <c r="AW627" s="77"/>
      <c r="AX627" s="77"/>
      <c r="AY627" s="77"/>
      <c r="AZ627" s="77"/>
      <c r="BA627" s="77"/>
      <c r="BB627" s="77"/>
      <c r="BC627" s="77"/>
      <c r="BD627" s="77"/>
      <c r="BE627" s="77"/>
    </row>
    <row r="628">
      <c r="A628" s="77"/>
      <c r="B628" s="77"/>
      <c r="C628" s="77"/>
      <c r="D628" s="77"/>
      <c r="E628" s="188"/>
      <c r="F628" s="188"/>
      <c r="G628" s="188"/>
      <c r="H628" s="188"/>
      <c r="I628" s="188"/>
      <c r="J628" s="77"/>
      <c r="K628" s="77"/>
      <c r="L628" s="77"/>
      <c r="M628" s="77"/>
      <c r="N628" s="77"/>
      <c r="O628" s="77"/>
      <c r="P628" s="77"/>
      <c r="Q628" s="77"/>
      <c r="R628" s="77"/>
      <c r="S628" s="77"/>
      <c r="T628" s="77"/>
      <c r="U628" s="77"/>
      <c r="V628" s="77"/>
      <c r="W628" s="77"/>
      <c r="X628" s="77"/>
      <c r="Y628" s="77"/>
      <c r="Z628" s="77"/>
      <c r="AA628" s="77"/>
      <c r="AB628" s="77"/>
      <c r="AC628" s="77"/>
      <c r="AD628" s="227"/>
      <c r="AE628" s="77"/>
      <c r="AF628" s="227"/>
      <c r="AG628" s="77"/>
      <c r="AH628" s="77"/>
      <c r="AI628" s="77"/>
      <c r="AJ628" s="77"/>
      <c r="AK628" s="77"/>
      <c r="AL628" s="77"/>
      <c r="AM628" s="77"/>
      <c r="AN628" s="77"/>
      <c r="AO628" s="77"/>
      <c r="AP628" s="77"/>
      <c r="AQ628" s="77"/>
      <c r="AR628" s="77"/>
      <c r="AS628" s="77"/>
      <c r="AT628" s="77"/>
      <c r="AU628" s="77"/>
      <c r="AV628" s="77"/>
      <c r="AW628" s="77"/>
      <c r="AX628" s="77"/>
      <c r="AY628" s="77"/>
      <c r="AZ628" s="77"/>
      <c r="BA628" s="77"/>
      <c r="BB628" s="77"/>
      <c r="BC628" s="77"/>
      <c r="BD628" s="77"/>
      <c r="BE628" s="77"/>
    </row>
    <row r="629">
      <c r="A629" s="77"/>
      <c r="B629" s="77"/>
      <c r="C629" s="77"/>
      <c r="D629" s="77"/>
      <c r="E629" s="188"/>
      <c r="F629" s="188"/>
      <c r="G629" s="188"/>
      <c r="H629" s="188"/>
      <c r="I629" s="188"/>
      <c r="J629" s="77"/>
      <c r="K629" s="77"/>
      <c r="L629" s="77"/>
      <c r="M629" s="77"/>
      <c r="N629" s="77"/>
      <c r="O629" s="77"/>
      <c r="P629" s="77"/>
      <c r="Q629" s="77"/>
      <c r="R629" s="77"/>
      <c r="S629" s="77"/>
      <c r="T629" s="77"/>
      <c r="U629" s="77"/>
      <c r="V629" s="77"/>
      <c r="W629" s="77"/>
      <c r="X629" s="77"/>
      <c r="Y629" s="77"/>
      <c r="Z629" s="77"/>
      <c r="AA629" s="77"/>
      <c r="AB629" s="77"/>
      <c r="AC629" s="77"/>
      <c r="AD629" s="227"/>
      <c r="AE629" s="77"/>
      <c r="AF629" s="227"/>
      <c r="AG629" s="77"/>
      <c r="AH629" s="77"/>
      <c r="AI629" s="77"/>
      <c r="AJ629" s="77"/>
      <c r="AK629" s="77"/>
      <c r="AL629" s="77"/>
      <c r="AM629" s="77"/>
      <c r="AN629" s="77"/>
      <c r="AO629" s="77"/>
      <c r="AP629" s="77"/>
      <c r="AQ629" s="77"/>
      <c r="AR629" s="77"/>
      <c r="AS629" s="77"/>
      <c r="AT629" s="77"/>
      <c r="AU629" s="77"/>
      <c r="AV629" s="77"/>
      <c r="AW629" s="77"/>
      <c r="AX629" s="77"/>
      <c r="AY629" s="77"/>
      <c r="AZ629" s="77"/>
      <c r="BA629" s="77"/>
      <c r="BB629" s="77"/>
      <c r="BC629" s="77"/>
      <c r="BD629" s="77"/>
      <c r="BE629" s="77"/>
    </row>
    <row r="630">
      <c r="A630" s="77"/>
      <c r="B630" s="77"/>
      <c r="C630" s="77"/>
      <c r="D630" s="77"/>
      <c r="E630" s="188"/>
      <c r="F630" s="188"/>
      <c r="G630" s="188"/>
      <c r="H630" s="188"/>
      <c r="I630" s="188"/>
      <c r="J630" s="77"/>
      <c r="K630" s="77"/>
      <c r="L630" s="77"/>
      <c r="M630" s="77"/>
      <c r="N630" s="77"/>
      <c r="O630" s="77"/>
      <c r="P630" s="77"/>
      <c r="Q630" s="77"/>
      <c r="R630" s="77"/>
      <c r="S630" s="77"/>
      <c r="T630" s="77"/>
      <c r="U630" s="77"/>
      <c r="V630" s="77"/>
      <c r="W630" s="77"/>
      <c r="X630" s="77"/>
      <c r="Y630" s="77"/>
      <c r="Z630" s="77"/>
      <c r="AA630" s="77"/>
      <c r="AB630" s="77"/>
      <c r="AC630" s="77"/>
      <c r="AD630" s="227"/>
      <c r="AE630" s="77"/>
      <c r="AF630" s="227"/>
      <c r="AG630" s="77"/>
      <c r="AH630" s="77"/>
      <c r="AI630" s="77"/>
      <c r="AJ630" s="77"/>
      <c r="AK630" s="77"/>
      <c r="AL630" s="77"/>
      <c r="AM630" s="77"/>
      <c r="AN630" s="77"/>
      <c r="AO630" s="77"/>
      <c r="AP630" s="77"/>
      <c r="AQ630" s="77"/>
      <c r="AR630" s="77"/>
      <c r="AS630" s="77"/>
      <c r="AT630" s="77"/>
      <c r="AU630" s="77"/>
      <c r="AV630" s="77"/>
      <c r="AW630" s="77"/>
      <c r="AX630" s="77"/>
      <c r="AY630" s="77"/>
      <c r="AZ630" s="77"/>
      <c r="BA630" s="77"/>
      <c r="BB630" s="77"/>
      <c r="BC630" s="77"/>
      <c r="BD630" s="77"/>
      <c r="BE630" s="77"/>
    </row>
    <row r="631">
      <c r="A631" s="77"/>
      <c r="B631" s="77"/>
      <c r="C631" s="77"/>
      <c r="D631" s="77"/>
      <c r="E631" s="188"/>
      <c r="F631" s="188"/>
      <c r="G631" s="188"/>
      <c r="H631" s="188"/>
      <c r="I631" s="188"/>
      <c r="J631" s="77"/>
      <c r="K631" s="77"/>
      <c r="L631" s="77"/>
      <c r="M631" s="77"/>
      <c r="N631" s="77"/>
      <c r="O631" s="77"/>
      <c r="P631" s="77"/>
      <c r="Q631" s="77"/>
      <c r="R631" s="77"/>
      <c r="S631" s="77"/>
      <c r="T631" s="77"/>
      <c r="U631" s="77"/>
      <c r="V631" s="77"/>
      <c r="W631" s="77"/>
      <c r="X631" s="77"/>
      <c r="Y631" s="77"/>
      <c r="Z631" s="77"/>
      <c r="AA631" s="77"/>
      <c r="AB631" s="77"/>
      <c r="AC631" s="77"/>
      <c r="AD631" s="227"/>
      <c r="AE631" s="77"/>
      <c r="AF631" s="227"/>
      <c r="AG631" s="77"/>
      <c r="AH631" s="77"/>
      <c r="AI631" s="77"/>
      <c r="AJ631" s="77"/>
      <c r="AK631" s="77"/>
      <c r="AL631" s="77"/>
      <c r="AM631" s="77"/>
      <c r="AN631" s="77"/>
      <c r="AO631" s="77"/>
      <c r="AP631" s="77"/>
      <c r="AQ631" s="77"/>
      <c r="AR631" s="77"/>
      <c r="AS631" s="77"/>
      <c r="AT631" s="77"/>
      <c r="AU631" s="77"/>
      <c r="AV631" s="77"/>
      <c r="AW631" s="77"/>
      <c r="AX631" s="77"/>
      <c r="AY631" s="77"/>
      <c r="AZ631" s="77"/>
      <c r="BA631" s="77"/>
      <c r="BB631" s="77"/>
      <c r="BC631" s="77"/>
      <c r="BD631" s="77"/>
      <c r="BE631" s="77"/>
    </row>
    <row r="632">
      <c r="A632" s="77"/>
      <c r="B632" s="77"/>
      <c r="C632" s="77"/>
      <c r="D632" s="77"/>
      <c r="E632" s="188"/>
      <c r="F632" s="188"/>
      <c r="G632" s="188"/>
      <c r="H632" s="188"/>
      <c r="I632" s="188"/>
      <c r="J632" s="77"/>
      <c r="K632" s="77"/>
      <c r="L632" s="77"/>
      <c r="M632" s="77"/>
      <c r="N632" s="77"/>
      <c r="O632" s="77"/>
      <c r="P632" s="77"/>
      <c r="Q632" s="77"/>
      <c r="R632" s="77"/>
      <c r="S632" s="77"/>
      <c r="T632" s="77"/>
      <c r="U632" s="77"/>
      <c r="V632" s="77"/>
      <c r="W632" s="77"/>
      <c r="X632" s="77"/>
      <c r="Y632" s="77"/>
      <c r="Z632" s="77"/>
      <c r="AA632" s="77"/>
      <c r="AB632" s="77"/>
      <c r="AC632" s="77"/>
      <c r="AD632" s="227"/>
      <c r="AE632" s="77"/>
      <c r="AF632" s="227"/>
      <c r="AG632" s="77"/>
      <c r="AH632" s="77"/>
      <c r="AI632" s="77"/>
      <c r="AJ632" s="77"/>
      <c r="AK632" s="77"/>
      <c r="AL632" s="77"/>
      <c r="AM632" s="77"/>
      <c r="AN632" s="77"/>
      <c r="AO632" s="77"/>
      <c r="AP632" s="77"/>
      <c r="AQ632" s="77"/>
      <c r="AR632" s="77"/>
      <c r="AS632" s="77"/>
      <c r="AT632" s="77"/>
      <c r="AU632" s="77"/>
      <c r="AV632" s="77"/>
      <c r="AW632" s="77"/>
      <c r="AX632" s="77"/>
      <c r="AY632" s="77"/>
      <c r="AZ632" s="77"/>
      <c r="BA632" s="77"/>
      <c r="BB632" s="77"/>
      <c r="BC632" s="77"/>
      <c r="BD632" s="77"/>
      <c r="BE632" s="77"/>
    </row>
    <row r="633">
      <c r="A633" s="77"/>
      <c r="B633" s="77"/>
      <c r="C633" s="77"/>
      <c r="D633" s="77"/>
      <c r="E633" s="188"/>
      <c r="F633" s="188"/>
      <c r="G633" s="188"/>
      <c r="H633" s="188"/>
      <c r="I633" s="188"/>
      <c r="J633" s="77"/>
      <c r="K633" s="77"/>
      <c r="L633" s="77"/>
      <c r="M633" s="77"/>
      <c r="N633" s="77"/>
      <c r="O633" s="77"/>
      <c r="P633" s="77"/>
      <c r="Q633" s="77"/>
      <c r="R633" s="77"/>
      <c r="S633" s="77"/>
      <c r="T633" s="77"/>
      <c r="U633" s="77"/>
      <c r="V633" s="77"/>
      <c r="W633" s="77"/>
      <c r="X633" s="77"/>
      <c r="Y633" s="77"/>
      <c r="Z633" s="77"/>
      <c r="AA633" s="77"/>
      <c r="AB633" s="77"/>
      <c r="AC633" s="77"/>
      <c r="AD633" s="227"/>
      <c r="AE633" s="77"/>
      <c r="AF633" s="227"/>
      <c r="AG633" s="77"/>
      <c r="AH633" s="77"/>
      <c r="AI633" s="77"/>
      <c r="AJ633" s="77"/>
      <c r="AK633" s="77"/>
      <c r="AL633" s="77"/>
      <c r="AM633" s="77"/>
      <c r="AN633" s="77"/>
      <c r="AO633" s="77"/>
      <c r="AP633" s="77"/>
      <c r="AQ633" s="77"/>
      <c r="AR633" s="77"/>
      <c r="AS633" s="77"/>
      <c r="AT633" s="77"/>
      <c r="AU633" s="77"/>
      <c r="AV633" s="77"/>
      <c r="AW633" s="77"/>
      <c r="AX633" s="77"/>
      <c r="AY633" s="77"/>
      <c r="AZ633" s="77"/>
      <c r="BA633" s="77"/>
      <c r="BB633" s="77"/>
      <c r="BC633" s="77"/>
      <c r="BD633" s="77"/>
      <c r="BE633" s="77"/>
    </row>
    <row r="634">
      <c r="A634" s="77"/>
      <c r="B634" s="77"/>
      <c r="C634" s="77"/>
      <c r="D634" s="77"/>
      <c r="E634" s="188"/>
      <c r="F634" s="188"/>
      <c r="G634" s="188"/>
      <c r="H634" s="188"/>
      <c r="I634" s="188"/>
      <c r="J634" s="77"/>
      <c r="K634" s="77"/>
      <c r="L634" s="77"/>
      <c r="M634" s="77"/>
      <c r="N634" s="77"/>
      <c r="O634" s="77"/>
      <c r="P634" s="77"/>
      <c r="Q634" s="77"/>
      <c r="R634" s="77"/>
      <c r="S634" s="77"/>
      <c r="T634" s="77"/>
      <c r="U634" s="77"/>
      <c r="V634" s="77"/>
      <c r="W634" s="77"/>
      <c r="X634" s="77"/>
      <c r="Y634" s="77"/>
      <c r="Z634" s="77"/>
      <c r="AA634" s="77"/>
      <c r="AB634" s="77"/>
      <c r="AC634" s="77"/>
      <c r="AD634" s="227"/>
      <c r="AE634" s="77"/>
      <c r="AF634" s="227"/>
      <c r="AG634" s="77"/>
      <c r="AH634" s="77"/>
      <c r="AI634" s="77"/>
      <c r="AJ634" s="77"/>
      <c r="AK634" s="77"/>
      <c r="AL634" s="77"/>
      <c r="AM634" s="77"/>
      <c r="AN634" s="77"/>
      <c r="AO634" s="77"/>
      <c r="AP634" s="77"/>
      <c r="AQ634" s="77"/>
      <c r="AR634" s="77"/>
      <c r="AS634" s="77"/>
      <c r="AT634" s="77"/>
      <c r="AU634" s="77"/>
      <c r="AV634" s="77"/>
      <c r="AW634" s="77"/>
      <c r="AX634" s="77"/>
      <c r="AY634" s="77"/>
      <c r="AZ634" s="77"/>
      <c r="BA634" s="77"/>
      <c r="BB634" s="77"/>
      <c r="BC634" s="77"/>
      <c r="BD634" s="77"/>
      <c r="BE634" s="77"/>
    </row>
    <row r="635">
      <c r="A635" s="77"/>
      <c r="B635" s="77"/>
      <c r="C635" s="77"/>
      <c r="D635" s="77"/>
      <c r="E635" s="188"/>
      <c r="F635" s="188"/>
      <c r="G635" s="188"/>
      <c r="H635" s="188"/>
      <c r="I635" s="188"/>
      <c r="J635" s="77"/>
      <c r="K635" s="77"/>
      <c r="L635" s="77"/>
      <c r="M635" s="77"/>
      <c r="N635" s="77"/>
      <c r="O635" s="77"/>
      <c r="P635" s="77"/>
      <c r="Q635" s="77"/>
      <c r="R635" s="77"/>
      <c r="S635" s="77"/>
      <c r="T635" s="77"/>
      <c r="U635" s="77"/>
      <c r="V635" s="77"/>
      <c r="W635" s="77"/>
      <c r="X635" s="77"/>
      <c r="Y635" s="77"/>
      <c r="Z635" s="77"/>
      <c r="AA635" s="77"/>
      <c r="AB635" s="77"/>
      <c r="AC635" s="77"/>
      <c r="AD635" s="227"/>
      <c r="AE635" s="77"/>
      <c r="AF635" s="227"/>
      <c r="AG635" s="77"/>
      <c r="AH635" s="77"/>
      <c r="AI635" s="77"/>
      <c r="AJ635" s="77"/>
      <c r="AK635" s="77"/>
      <c r="AL635" s="77"/>
      <c r="AM635" s="77"/>
      <c r="AN635" s="77"/>
      <c r="AO635" s="77"/>
      <c r="AP635" s="77"/>
      <c r="AQ635" s="77"/>
      <c r="AR635" s="77"/>
      <c r="AS635" s="77"/>
      <c r="AT635" s="77"/>
      <c r="AU635" s="77"/>
      <c r="AV635" s="77"/>
      <c r="AW635" s="77"/>
      <c r="AX635" s="77"/>
      <c r="AY635" s="77"/>
      <c r="AZ635" s="77"/>
      <c r="BA635" s="77"/>
      <c r="BB635" s="77"/>
      <c r="BC635" s="77"/>
      <c r="BD635" s="77"/>
      <c r="BE635" s="77"/>
    </row>
    <row r="636">
      <c r="A636" s="77"/>
      <c r="B636" s="77"/>
      <c r="C636" s="77"/>
      <c r="D636" s="77"/>
      <c r="E636" s="188"/>
      <c r="F636" s="188"/>
      <c r="G636" s="188"/>
      <c r="H636" s="188"/>
      <c r="I636" s="188"/>
      <c r="J636" s="77"/>
      <c r="K636" s="77"/>
      <c r="L636" s="77"/>
      <c r="M636" s="77"/>
      <c r="N636" s="77"/>
      <c r="O636" s="77"/>
      <c r="P636" s="77"/>
      <c r="Q636" s="77"/>
      <c r="R636" s="77"/>
      <c r="S636" s="77"/>
      <c r="T636" s="77"/>
      <c r="U636" s="77"/>
      <c r="V636" s="77"/>
      <c r="W636" s="77"/>
      <c r="X636" s="77"/>
      <c r="Y636" s="77"/>
      <c r="Z636" s="77"/>
      <c r="AA636" s="77"/>
      <c r="AB636" s="77"/>
      <c r="AC636" s="77"/>
      <c r="AD636" s="227"/>
      <c r="AE636" s="77"/>
      <c r="AF636" s="227"/>
      <c r="AG636" s="77"/>
      <c r="AH636" s="77"/>
      <c r="AI636" s="77"/>
      <c r="AJ636" s="77"/>
      <c r="AK636" s="77"/>
      <c r="AL636" s="77"/>
      <c r="AM636" s="77"/>
      <c r="AN636" s="77"/>
      <c r="AO636" s="77"/>
      <c r="AP636" s="77"/>
      <c r="AQ636" s="77"/>
      <c r="AR636" s="77"/>
      <c r="AS636" s="77"/>
      <c r="AT636" s="77"/>
      <c r="AU636" s="77"/>
      <c r="AV636" s="77"/>
      <c r="AW636" s="77"/>
      <c r="AX636" s="77"/>
      <c r="AY636" s="77"/>
      <c r="AZ636" s="77"/>
      <c r="BA636" s="77"/>
      <c r="BB636" s="77"/>
      <c r="BC636" s="77"/>
      <c r="BD636" s="77"/>
      <c r="BE636" s="77"/>
    </row>
    <row r="637">
      <c r="A637" s="77"/>
      <c r="B637" s="77"/>
      <c r="C637" s="77"/>
      <c r="D637" s="77"/>
      <c r="E637" s="188"/>
      <c r="F637" s="188"/>
      <c r="G637" s="188"/>
      <c r="H637" s="188"/>
      <c r="I637" s="188"/>
      <c r="J637" s="77"/>
      <c r="K637" s="77"/>
      <c r="L637" s="77"/>
      <c r="M637" s="77"/>
      <c r="N637" s="77"/>
      <c r="O637" s="77"/>
      <c r="P637" s="77"/>
      <c r="Q637" s="77"/>
      <c r="R637" s="77"/>
      <c r="S637" s="77"/>
      <c r="T637" s="77"/>
      <c r="U637" s="77"/>
      <c r="V637" s="77"/>
      <c r="W637" s="77"/>
      <c r="X637" s="77"/>
      <c r="Y637" s="77"/>
      <c r="Z637" s="77"/>
      <c r="AA637" s="77"/>
      <c r="AB637" s="77"/>
      <c r="AC637" s="77"/>
      <c r="AD637" s="227"/>
      <c r="AE637" s="77"/>
      <c r="AF637" s="227"/>
      <c r="AG637" s="77"/>
      <c r="AH637" s="77"/>
      <c r="AI637" s="77"/>
      <c r="AJ637" s="77"/>
      <c r="AK637" s="77"/>
      <c r="AL637" s="77"/>
      <c r="AM637" s="77"/>
      <c r="AN637" s="77"/>
      <c r="AO637" s="77"/>
      <c r="AP637" s="77"/>
      <c r="AQ637" s="77"/>
      <c r="AR637" s="77"/>
      <c r="AS637" s="77"/>
      <c r="AT637" s="77"/>
      <c r="AU637" s="77"/>
      <c r="AV637" s="77"/>
      <c r="AW637" s="77"/>
      <c r="AX637" s="77"/>
      <c r="AY637" s="77"/>
      <c r="AZ637" s="77"/>
      <c r="BA637" s="77"/>
      <c r="BB637" s="77"/>
      <c r="BC637" s="77"/>
      <c r="BD637" s="77"/>
      <c r="BE637" s="77"/>
    </row>
    <row r="638">
      <c r="A638" s="77"/>
      <c r="B638" s="77"/>
      <c r="C638" s="77"/>
      <c r="D638" s="77"/>
      <c r="E638" s="188"/>
      <c r="F638" s="188"/>
      <c r="G638" s="188"/>
      <c r="H638" s="188"/>
      <c r="I638" s="188"/>
      <c r="J638" s="77"/>
      <c r="K638" s="77"/>
      <c r="L638" s="77"/>
      <c r="M638" s="77"/>
      <c r="N638" s="77"/>
      <c r="O638" s="77"/>
      <c r="P638" s="77"/>
      <c r="Q638" s="77"/>
      <c r="R638" s="77"/>
      <c r="S638" s="77"/>
      <c r="T638" s="77"/>
      <c r="U638" s="77"/>
      <c r="V638" s="77"/>
      <c r="W638" s="77"/>
      <c r="X638" s="77"/>
      <c r="Y638" s="77"/>
      <c r="Z638" s="77"/>
      <c r="AA638" s="77"/>
      <c r="AB638" s="77"/>
      <c r="AC638" s="77"/>
      <c r="AD638" s="227"/>
      <c r="AE638" s="77"/>
      <c r="AF638" s="227"/>
      <c r="AG638" s="77"/>
      <c r="AH638" s="77"/>
      <c r="AI638" s="77"/>
      <c r="AJ638" s="77"/>
      <c r="AK638" s="77"/>
      <c r="AL638" s="77"/>
      <c r="AM638" s="77"/>
      <c r="AN638" s="77"/>
      <c r="AO638" s="77"/>
      <c r="AP638" s="77"/>
      <c r="AQ638" s="77"/>
      <c r="AR638" s="77"/>
      <c r="AS638" s="77"/>
      <c r="AT638" s="77"/>
      <c r="AU638" s="77"/>
      <c r="AV638" s="77"/>
      <c r="AW638" s="77"/>
      <c r="AX638" s="77"/>
      <c r="AY638" s="77"/>
      <c r="AZ638" s="77"/>
      <c r="BA638" s="77"/>
      <c r="BB638" s="77"/>
      <c r="BC638" s="77"/>
      <c r="BD638" s="77"/>
      <c r="BE638" s="77"/>
    </row>
    <row r="639">
      <c r="A639" s="77"/>
      <c r="B639" s="77"/>
      <c r="C639" s="77"/>
      <c r="D639" s="77"/>
      <c r="E639" s="188"/>
      <c r="F639" s="188"/>
      <c r="G639" s="188"/>
      <c r="H639" s="188"/>
      <c r="I639" s="188"/>
      <c r="J639" s="77"/>
      <c r="K639" s="77"/>
      <c r="L639" s="77"/>
      <c r="M639" s="77"/>
      <c r="N639" s="77"/>
      <c r="O639" s="77"/>
      <c r="P639" s="77"/>
      <c r="Q639" s="77"/>
      <c r="R639" s="77"/>
      <c r="S639" s="77"/>
      <c r="T639" s="77"/>
      <c r="U639" s="77"/>
      <c r="V639" s="77"/>
      <c r="W639" s="77"/>
      <c r="X639" s="77"/>
      <c r="Y639" s="77"/>
      <c r="Z639" s="77"/>
      <c r="AA639" s="77"/>
      <c r="AB639" s="77"/>
      <c r="AC639" s="77"/>
      <c r="AD639" s="227"/>
      <c r="AE639" s="77"/>
      <c r="AF639" s="227"/>
      <c r="AG639" s="77"/>
      <c r="AH639" s="77"/>
      <c r="AI639" s="77"/>
      <c r="AJ639" s="77"/>
      <c r="AK639" s="77"/>
      <c r="AL639" s="77"/>
      <c r="AM639" s="77"/>
      <c r="AN639" s="77"/>
      <c r="AO639" s="77"/>
      <c r="AP639" s="77"/>
      <c r="AQ639" s="77"/>
      <c r="AR639" s="77"/>
      <c r="AS639" s="77"/>
      <c r="AT639" s="77"/>
      <c r="AU639" s="77"/>
      <c r="AV639" s="77"/>
      <c r="AW639" s="77"/>
      <c r="AX639" s="77"/>
      <c r="AY639" s="77"/>
      <c r="AZ639" s="77"/>
      <c r="BA639" s="77"/>
      <c r="BB639" s="77"/>
      <c r="BC639" s="77"/>
      <c r="BD639" s="77"/>
      <c r="BE639" s="77"/>
    </row>
    <row r="640">
      <c r="A640" s="77"/>
      <c r="B640" s="77"/>
      <c r="C640" s="77"/>
      <c r="D640" s="77"/>
      <c r="E640" s="188"/>
      <c r="F640" s="188"/>
      <c r="G640" s="188"/>
      <c r="H640" s="188"/>
      <c r="I640" s="188"/>
      <c r="J640" s="77"/>
      <c r="K640" s="77"/>
      <c r="L640" s="77"/>
      <c r="M640" s="77"/>
      <c r="N640" s="77"/>
      <c r="O640" s="77"/>
      <c r="P640" s="77"/>
      <c r="Q640" s="77"/>
      <c r="R640" s="77"/>
      <c r="S640" s="77"/>
      <c r="T640" s="77"/>
      <c r="U640" s="77"/>
      <c r="V640" s="77"/>
      <c r="W640" s="77"/>
      <c r="X640" s="77"/>
      <c r="Y640" s="77"/>
      <c r="Z640" s="77"/>
      <c r="AA640" s="77"/>
      <c r="AB640" s="77"/>
      <c r="AC640" s="77"/>
      <c r="AD640" s="227"/>
      <c r="AE640" s="77"/>
      <c r="AF640" s="227"/>
      <c r="AG640" s="77"/>
      <c r="AH640" s="77"/>
      <c r="AI640" s="77"/>
      <c r="AJ640" s="77"/>
      <c r="AK640" s="77"/>
      <c r="AL640" s="77"/>
      <c r="AM640" s="77"/>
      <c r="AN640" s="77"/>
      <c r="AO640" s="77"/>
      <c r="AP640" s="77"/>
      <c r="AQ640" s="77"/>
      <c r="AR640" s="77"/>
      <c r="AS640" s="77"/>
      <c r="AT640" s="77"/>
      <c r="AU640" s="77"/>
      <c r="AV640" s="77"/>
      <c r="AW640" s="77"/>
      <c r="AX640" s="77"/>
      <c r="AY640" s="77"/>
      <c r="AZ640" s="77"/>
      <c r="BA640" s="77"/>
      <c r="BB640" s="77"/>
      <c r="BC640" s="77"/>
      <c r="BD640" s="77"/>
      <c r="BE640" s="77"/>
    </row>
    <row r="641">
      <c r="A641" s="77"/>
      <c r="B641" s="77"/>
      <c r="C641" s="77"/>
      <c r="D641" s="77"/>
      <c r="E641" s="188"/>
      <c r="F641" s="188"/>
      <c r="G641" s="188"/>
      <c r="H641" s="188"/>
      <c r="I641" s="188"/>
      <c r="J641" s="77"/>
      <c r="K641" s="77"/>
      <c r="L641" s="77"/>
      <c r="M641" s="77"/>
      <c r="N641" s="77"/>
      <c r="O641" s="77"/>
      <c r="P641" s="77"/>
      <c r="Q641" s="77"/>
      <c r="R641" s="77"/>
      <c r="S641" s="77"/>
      <c r="T641" s="77"/>
      <c r="U641" s="77"/>
      <c r="V641" s="77"/>
      <c r="W641" s="77"/>
      <c r="X641" s="77"/>
      <c r="Y641" s="77"/>
      <c r="Z641" s="77"/>
      <c r="AA641" s="77"/>
      <c r="AB641" s="77"/>
      <c r="AC641" s="77"/>
      <c r="AD641" s="227"/>
      <c r="AE641" s="77"/>
      <c r="AF641" s="227"/>
      <c r="AG641" s="77"/>
      <c r="AH641" s="77"/>
      <c r="AI641" s="77"/>
      <c r="AJ641" s="77"/>
      <c r="AK641" s="77"/>
      <c r="AL641" s="77"/>
      <c r="AM641" s="77"/>
      <c r="AN641" s="77"/>
      <c r="AO641" s="77"/>
      <c r="AP641" s="77"/>
      <c r="AQ641" s="77"/>
      <c r="AR641" s="77"/>
      <c r="AS641" s="77"/>
      <c r="AT641" s="77"/>
      <c r="AU641" s="77"/>
      <c r="AV641" s="77"/>
      <c r="AW641" s="77"/>
      <c r="AX641" s="77"/>
      <c r="AY641" s="77"/>
      <c r="AZ641" s="77"/>
      <c r="BA641" s="77"/>
      <c r="BB641" s="77"/>
      <c r="BC641" s="77"/>
      <c r="BD641" s="77"/>
      <c r="BE641" s="77"/>
    </row>
    <row r="642">
      <c r="A642" s="77"/>
      <c r="B642" s="77"/>
      <c r="C642" s="77"/>
      <c r="D642" s="77"/>
      <c r="E642" s="188"/>
      <c r="F642" s="188"/>
      <c r="G642" s="188"/>
      <c r="H642" s="188"/>
      <c r="I642" s="188"/>
      <c r="J642" s="77"/>
      <c r="K642" s="77"/>
      <c r="L642" s="77"/>
      <c r="M642" s="77"/>
      <c r="N642" s="77"/>
      <c r="O642" s="77"/>
      <c r="P642" s="77"/>
      <c r="Q642" s="77"/>
      <c r="R642" s="77"/>
      <c r="S642" s="77"/>
      <c r="T642" s="77"/>
      <c r="U642" s="77"/>
      <c r="V642" s="77"/>
      <c r="W642" s="77"/>
      <c r="X642" s="77"/>
      <c r="Y642" s="77"/>
      <c r="Z642" s="77"/>
      <c r="AA642" s="77"/>
      <c r="AB642" s="77"/>
      <c r="AC642" s="77"/>
      <c r="AD642" s="227"/>
      <c r="AE642" s="77"/>
      <c r="AF642" s="227"/>
      <c r="AG642" s="77"/>
      <c r="AH642" s="77"/>
      <c r="AI642" s="77"/>
      <c r="AJ642" s="77"/>
      <c r="AK642" s="77"/>
      <c r="AL642" s="77"/>
      <c r="AM642" s="77"/>
      <c r="AN642" s="77"/>
      <c r="AO642" s="77"/>
      <c r="AP642" s="77"/>
      <c r="AQ642" s="77"/>
      <c r="AR642" s="77"/>
      <c r="AS642" s="77"/>
      <c r="AT642" s="77"/>
      <c r="AU642" s="77"/>
      <c r="AV642" s="77"/>
      <c r="AW642" s="77"/>
      <c r="AX642" s="77"/>
      <c r="AY642" s="77"/>
      <c r="AZ642" s="77"/>
      <c r="BA642" s="77"/>
      <c r="BB642" s="77"/>
      <c r="BC642" s="77"/>
      <c r="BD642" s="77"/>
      <c r="BE642" s="77"/>
    </row>
    <row r="643">
      <c r="A643" s="77"/>
      <c r="B643" s="77"/>
      <c r="C643" s="77"/>
      <c r="D643" s="77"/>
      <c r="E643" s="188"/>
      <c r="F643" s="188"/>
      <c r="G643" s="188"/>
      <c r="H643" s="188"/>
      <c r="I643" s="188"/>
      <c r="J643" s="77"/>
      <c r="K643" s="77"/>
      <c r="L643" s="77"/>
      <c r="M643" s="77"/>
      <c r="N643" s="77"/>
      <c r="O643" s="77"/>
      <c r="P643" s="77"/>
      <c r="Q643" s="77"/>
      <c r="R643" s="77"/>
      <c r="S643" s="77"/>
      <c r="T643" s="77"/>
      <c r="U643" s="77"/>
      <c r="V643" s="77"/>
      <c r="W643" s="77"/>
      <c r="X643" s="77"/>
      <c r="Y643" s="77"/>
      <c r="Z643" s="77"/>
      <c r="AA643" s="77"/>
      <c r="AB643" s="77"/>
      <c r="AC643" s="77"/>
      <c r="AD643" s="227"/>
      <c r="AE643" s="77"/>
      <c r="AF643" s="227"/>
      <c r="AG643" s="77"/>
      <c r="AH643" s="77"/>
      <c r="AI643" s="77"/>
      <c r="AJ643" s="77"/>
      <c r="AK643" s="77"/>
      <c r="AL643" s="77"/>
      <c r="AM643" s="77"/>
      <c r="AN643" s="77"/>
      <c r="AO643" s="77"/>
      <c r="AP643" s="77"/>
      <c r="AQ643" s="77"/>
      <c r="AR643" s="77"/>
      <c r="AS643" s="77"/>
      <c r="AT643" s="77"/>
      <c r="AU643" s="77"/>
      <c r="AV643" s="77"/>
      <c r="AW643" s="77"/>
      <c r="AX643" s="77"/>
      <c r="AY643" s="77"/>
      <c r="AZ643" s="77"/>
      <c r="BA643" s="77"/>
      <c r="BB643" s="77"/>
      <c r="BC643" s="77"/>
      <c r="BD643" s="77"/>
      <c r="BE643" s="77"/>
    </row>
    <row r="644">
      <c r="A644" s="77"/>
      <c r="B644" s="77"/>
      <c r="C644" s="77"/>
      <c r="D644" s="77"/>
      <c r="E644" s="188"/>
      <c r="F644" s="188"/>
      <c r="G644" s="188"/>
      <c r="H644" s="188"/>
      <c r="I644" s="188"/>
      <c r="J644" s="77"/>
      <c r="K644" s="77"/>
      <c r="L644" s="77"/>
      <c r="M644" s="77"/>
      <c r="N644" s="77"/>
      <c r="O644" s="77"/>
      <c r="P644" s="77"/>
      <c r="Q644" s="77"/>
      <c r="R644" s="77"/>
      <c r="S644" s="77"/>
      <c r="T644" s="77"/>
      <c r="U644" s="77"/>
      <c r="V644" s="77"/>
      <c r="W644" s="77"/>
      <c r="X644" s="77"/>
      <c r="Y644" s="77"/>
      <c r="Z644" s="77"/>
      <c r="AA644" s="77"/>
      <c r="AB644" s="77"/>
      <c r="AC644" s="77"/>
      <c r="AD644" s="227"/>
      <c r="AE644" s="77"/>
      <c r="AF644" s="227"/>
      <c r="AG644" s="77"/>
      <c r="AH644" s="77"/>
      <c r="AI644" s="77"/>
      <c r="AJ644" s="77"/>
      <c r="AK644" s="77"/>
      <c r="AL644" s="77"/>
      <c r="AM644" s="77"/>
      <c r="AN644" s="77"/>
      <c r="AO644" s="77"/>
      <c r="AP644" s="77"/>
      <c r="AQ644" s="77"/>
      <c r="AR644" s="77"/>
      <c r="AS644" s="77"/>
      <c r="AT644" s="77"/>
      <c r="AU644" s="77"/>
      <c r="AV644" s="77"/>
      <c r="AW644" s="77"/>
      <c r="AX644" s="77"/>
      <c r="AY644" s="77"/>
      <c r="AZ644" s="77"/>
      <c r="BA644" s="77"/>
      <c r="BB644" s="77"/>
      <c r="BC644" s="77"/>
      <c r="BD644" s="77"/>
      <c r="BE644" s="77"/>
    </row>
    <row r="645">
      <c r="A645" s="77"/>
      <c r="B645" s="77"/>
      <c r="C645" s="77"/>
      <c r="D645" s="77"/>
      <c r="E645" s="188"/>
      <c r="F645" s="188"/>
      <c r="G645" s="188"/>
      <c r="H645" s="188"/>
      <c r="I645" s="188"/>
      <c r="J645" s="77"/>
      <c r="K645" s="77"/>
      <c r="L645" s="77"/>
      <c r="M645" s="77"/>
      <c r="N645" s="77"/>
      <c r="O645" s="77"/>
      <c r="P645" s="77"/>
      <c r="Q645" s="77"/>
      <c r="R645" s="77"/>
      <c r="S645" s="77"/>
      <c r="T645" s="77"/>
      <c r="U645" s="77"/>
      <c r="V645" s="77"/>
      <c r="W645" s="77"/>
      <c r="X645" s="77"/>
      <c r="Y645" s="77"/>
      <c r="Z645" s="77"/>
      <c r="AA645" s="77"/>
      <c r="AB645" s="77"/>
      <c r="AC645" s="77"/>
      <c r="AD645" s="227"/>
      <c r="AE645" s="77"/>
      <c r="AF645" s="227"/>
      <c r="AG645" s="77"/>
      <c r="AH645" s="77"/>
      <c r="AI645" s="77"/>
      <c r="AJ645" s="77"/>
      <c r="AK645" s="77"/>
      <c r="AL645" s="77"/>
      <c r="AM645" s="77"/>
      <c r="AN645" s="77"/>
      <c r="AO645" s="77"/>
      <c r="AP645" s="77"/>
      <c r="AQ645" s="77"/>
      <c r="AR645" s="77"/>
      <c r="AS645" s="77"/>
      <c r="AT645" s="77"/>
      <c r="AU645" s="77"/>
      <c r="AV645" s="77"/>
      <c r="AW645" s="77"/>
      <c r="AX645" s="77"/>
      <c r="AY645" s="77"/>
      <c r="AZ645" s="77"/>
      <c r="BA645" s="77"/>
      <c r="BB645" s="77"/>
      <c r="BC645" s="77"/>
      <c r="BD645" s="77"/>
      <c r="BE645" s="77"/>
    </row>
    <row r="646">
      <c r="A646" s="77"/>
      <c r="B646" s="77"/>
      <c r="C646" s="77"/>
      <c r="D646" s="77"/>
      <c r="E646" s="188"/>
      <c r="F646" s="188"/>
      <c r="G646" s="188"/>
      <c r="H646" s="188"/>
      <c r="I646" s="188"/>
      <c r="J646" s="77"/>
      <c r="K646" s="77"/>
      <c r="L646" s="77"/>
      <c r="M646" s="77"/>
      <c r="N646" s="77"/>
      <c r="O646" s="77"/>
      <c r="P646" s="77"/>
      <c r="Q646" s="77"/>
      <c r="R646" s="77"/>
      <c r="S646" s="77"/>
      <c r="T646" s="77"/>
      <c r="U646" s="77"/>
      <c r="V646" s="77"/>
      <c r="W646" s="77"/>
      <c r="X646" s="77"/>
      <c r="Y646" s="77"/>
      <c r="Z646" s="77"/>
      <c r="AA646" s="77"/>
      <c r="AB646" s="77"/>
      <c r="AC646" s="77"/>
      <c r="AD646" s="227"/>
      <c r="AE646" s="77"/>
      <c r="AF646" s="227"/>
      <c r="AG646" s="77"/>
      <c r="AH646" s="77"/>
      <c r="AI646" s="77"/>
      <c r="AJ646" s="77"/>
      <c r="AK646" s="77"/>
      <c r="AL646" s="77"/>
      <c r="AM646" s="77"/>
      <c r="AN646" s="77"/>
      <c r="AO646" s="77"/>
      <c r="AP646" s="77"/>
      <c r="AQ646" s="77"/>
      <c r="AR646" s="77"/>
      <c r="AS646" s="77"/>
      <c r="AT646" s="77"/>
      <c r="AU646" s="77"/>
      <c r="AV646" s="77"/>
      <c r="AW646" s="77"/>
      <c r="AX646" s="77"/>
      <c r="AY646" s="77"/>
      <c r="AZ646" s="77"/>
      <c r="BA646" s="77"/>
      <c r="BB646" s="77"/>
      <c r="BC646" s="77"/>
      <c r="BD646" s="77"/>
      <c r="BE646" s="77"/>
    </row>
    <row r="647">
      <c r="A647" s="77"/>
      <c r="B647" s="77"/>
      <c r="C647" s="77"/>
      <c r="D647" s="77"/>
      <c r="E647" s="188"/>
      <c r="F647" s="188"/>
      <c r="G647" s="188"/>
      <c r="H647" s="188"/>
      <c r="I647" s="188"/>
      <c r="J647" s="77"/>
      <c r="K647" s="77"/>
      <c r="L647" s="77"/>
      <c r="M647" s="77"/>
      <c r="N647" s="77"/>
      <c r="O647" s="77"/>
      <c r="P647" s="77"/>
      <c r="Q647" s="77"/>
      <c r="R647" s="77"/>
      <c r="S647" s="77"/>
      <c r="T647" s="77"/>
      <c r="U647" s="77"/>
      <c r="V647" s="77"/>
      <c r="W647" s="77"/>
      <c r="X647" s="77"/>
      <c r="Y647" s="77"/>
      <c r="Z647" s="77"/>
      <c r="AA647" s="77"/>
      <c r="AB647" s="77"/>
      <c r="AC647" s="77"/>
      <c r="AD647" s="227"/>
      <c r="AE647" s="77"/>
      <c r="AF647" s="227"/>
      <c r="AG647" s="77"/>
      <c r="AH647" s="77"/>
      <c r="AI647" s="77"/>
      <c r="AJ647" s="77"/>
      <c r="AK647" s="77"/>
      <c r="AL647" s="77"/>
      <c r="AM647" s="77"/>
      <c r="AN647" s="77"/>
      <c r="AO647" s="77"/>
      <c r="AP647" s="77"/>
      <c r="AQ647" s="77"/>
      <c r="AR647" s="77"/>
      <c r="AS647" s="77"/>
      <c r="AT647" s="77"/>
      <c r="AU647" s="77"/>
      <c r="AV647" s="77"/>
      <c r="AW647" s="77"/>
      <c r="AX647" s="77"/>
      <c r="AY647" s="77"/>
      <c r="AZ647" s="77"/>
      <c r="BA647" s="77"/>
      <c r="BB647" s="77"/>
      <c r="BC647" s="77"/>
      <c r="BD647" s="77"/>
      <c r="BE647" s="77"/>
    </row>
    <row r="648">
      <c r="A648" s="77"/>
      <c r="B648" s="77"/>
      <c r="C648" s="77"/>
      <c r="D648" s="77"/>
      <c r="E648" s="188"/>
      <c r="F648" s="188"/>
      <c r="G648" s="188"/>
      <c r="H648" s="188"/>
      <c r="I648" s="188"/>
      <c r="J648" s="77"/>
      <c r="K648" s="77"/>
      <c r="L648" s="77"/>
      <c r="M648" s="77"/>
      <c r="N648" s="77"/>
      <c r="O648" s="77"/>
      <c r="P648" s="77"/>
      <c r="Q648" s="77"/>
      <c r="R648" s="77"/>
      <c r="S648" s="77"/>
      <c r="T648" s="77"/>
      <c r="U648" s="77"/>
      <c r="V648" s="77"/>
      <c r="W648" s="77"/>
      <c r="X648" s="77"/>
      <c r="Y648" s="77"/>
      <c r="Z648" s="77"/>
      <c r="AA648" s="77"/>
      <c r="AB648" s="77"/>
      <c r="AC648" s="77"/>
      <c r="AD648" s="227"/>
      <c r="AE648" s="77"/>
      <c r="AF648" s="227"/>
      <c r="AG648" s="77"/>
      <c r="AH648" s="77"/>
      <c r="AI648" s="77"/>
      <c r="AJ648" s="77"/>
      <c r="AK648" s="77"/>
      <c r="AL648" s="77"/>
      <c r="AM648" s="77"/>
      <c r="AN648" s="77"/>
      <c r="AO648" s="77"/>
      <c r="AP648" s="77"/>
      <c r="AQ648" s="77"/>
      <c r="AR648" s="77"/>
      <c r="AS648" s="77"/>
      <c r="AT648" s="77"/>
      <c r="AU648" s="77"/>
      <c r="AV648" s="77"/>
      <c r="AW648" s="77"/>
      <c r="AX648" s="77"/>
      <c r="AY648" s="77"/>
      <c r="AZ648" s="77"/>
      <c r="BA648" s="77"/>
      <c r="BB648" s="77"/>
      <c r="BC648" s="77"/>
      <c r="BD648" s="77"/>
      <c r="BE648" s="77"/>
    </row>
    <row r="649">
      <c r="A649" s="77"/>
      <c r="B649" s="77"/>
      <c r="C649" s="77"/>
      <c r="D649" s="77"/>
      <c r="E649" s="188"/>
      <c r="F649" s="188"/>
      <c r="G649" s="188"/>
      <c r="H649" s="188"/>
      <c r="I649" s="188"/>
      <c r="J649" s="77"/>
      <c r="K649" s="77"/>
      <c r="L649" s="77"/>
      <c r="M649" s="77"/>
      <c r="N649" s="77"/>
      <c r="O649" s="77"/>
      <c r="P649" s="77"/>
      <c r="Q649" s="77"/>
      <c r="R649" s="77"/>
      <c r="S649" s="77"/>
      <c r="T649" s="77"/>
      <c r="U649" s="77"/>
      <c r="V649" s="77"/>
      <c r="W649" s="77"/>
      <c r="X649" s="77"/>
      <c r="Y649" s="77"/>
      <c r="Z649" s="77"/>
      <c r="AA649" s="77"/>
      <c r="AB649" s="77"/>
      <c r="AC649" s="77"/>
      <c r="AD649" s="227"/>
      <c r="AE649" s="77"/>
      <c r="AF649" s="227"/>
      <c r="AG649" s="77"/>
      <c r="AH649" s="77"/>
      <c r="AI649" s="77"/>
      <c r="AJ649" s="77"/>
      <c r="AK649" s="77"/>
      <c r="AL649" s="77"/>
      <c r="AM649" s="77"/>
      <c r="AN649" s="77"/>
      <c r="AO649" s="77"/>
      <c r="AP649" s="77"/>
      <c r="AQ649" s="77"/>
      <c r="AR649" s="77"/>
      <c r="AS649" s="77"/>
      <c r="AT649" s="77"/>
      <c r="AU649" s="77"/>
      <c r="AV649" s="77"/>
      <c r="AW649" s="77"/>
      <c r="AX649" s="77"/>
      <c r="AY649" s="77"/>
      <c r="AZ649" s="77"/>
      <c r="BA649" s="77"/>
      <c r="BB649" s="77"/>
      <c r="BC649" s="77"/>
      <c r="BD649" s="77"/>
      <c r="BE649" s="77"/>
    </row>
    <row r="650">
      <c r="A650" s="77"/>
      <c r="B650" s="77"/>
      <c r="C650" s="77"/>
      <c r="D650" s="77"/>
      <c r="E650" s="188"/>
      <c r="F650" s="188"/>
      <c r="G650" s="188"/>
      <c r="H650" s="188"/>
      <c r="I650" s="188"/>
      <c r="J650" s="77"/>
      <c r="K650" s="77"/>
      <c r="L650" s="77"/>
      <c r="M650" s="77"/>
      <c r="N650" s="77"/>
      <c r="O650" s="77"/>
      <c r="P650" s="77"/>
      <c r="Q650" s="77"/>
      <c r="R650" s="77"/>
      <c r="S650" s="77"/>
      <c r="T650" s="77"/>
      <c r="U650" s="77"/>
      <c r="V650" s="77"/>
      <c r="W650" s="77"/>
      <c r="X650" s="77"/>
      <c r="Y650" s="77"/>
      <c r="Z650" s="77"/>
      <c r="AA650" s="77"/>
      <c r="AB650" s="77"/>
      <c r="AC650" s="77"/>
      <c r="AD650" s="227"/>
      <c r="AE650" s="77"/>
      <c r="AF650" s="227"/>
      <c r="AG650" s="77"/>
      <c r="AH650" s="77"/>
      <c r="AI650" s="77"/>
      <c r="AJ650" s="77"/>
      <c r="AK650" s="77"/>
      <c r="AL650" s="77"/>
      <c r="AM650" s="77"/>
      <c r="AN650" s="77"/>
      <c r="AO650" s="77"/>
      <c r="AP650" s="77"/>
      <c r="AQ650" s="77"/>
      <c r="AR650" s="77"/>
      <c r="AS650" s="77"/>
      <c r="AT650" s="77"/>
      <c r="AU650" s="77"/>
      <c r="AV650" s="77"/>
      <c r="AW650" s="77"/>
      <c r="AX650" s="77"/>
      <c r="AY650" s="77"/>
      <c r="AZ650" s="77"/>
      <c r="BA650" s="77"/>
      <c r="BB650" s="77"/>
      <c r="BC650" s="77"/>
      <c r="BD650" s="77"/>
      <c r="BE650" s="77"/>
    </row>
    <row r="651">
      <c r="A651" s="77"/>
      <c r="B651" s="77"/>
      <c r="C651" s="77"/>
      <c r="D651" s="77"/>
      <c r="E651" s="188"/>
      <c r="F651" s="188"/>
      <c r="G651" s="188"/>
      <c r="H651" s="188"/>
      <c r="I651" s="188"/>
      <c r="J651" s="77"/>
      <c r="K651" s="77"/>
      <c r="L651" s="77"/>
      <c r="M651" s="77"/>
      <c r="N651" s="77"/>
      <c r="O651" s="77"/>
      <c r="P651" s="77"/>
      <c r="Q651" s="77"/>
      <c r="R651" s="77"/>
      <c r="S651" s="77"/>
      <c r="T651" s="77"/>
      <c r="U651" s="77"/>
      <c r="V651" s="77"/>
      <c r="W651" s="77"/>
      <c r="X651" s="77"/>
      <c r="Y651" s="77"/>
      <c r="Z651" s="77"/>
      <c r="AA651" s="77"/>
      <c r="AB651" s="77"/>
      <c r="AC651" s="77"/>
      <c r="AD651" s="227"/>
      <c r="AE651" s="77"/>
      <c r="AF651" s="227"/>
      <c r="AG651" s="77"/>
      <c r="AH651" s="77"/>
      <c r="AI651" s="77"/>
      <c r="AJ651" s="77"/>
      <c r="AK651" s="77"/>
      <c r="AL651" s="77"/>
      <c r="AM651" s="77"/>
      <c r="AN651" s="77"/>
      <c r="AO651" s="77"/>
      <c r="AP651" s="77"/>
      <c r="AQ651" s="77"/>
      <c r="AR651" s="77"/>
      <c r="AS651" s="77"/>
      <c r="AT651" s="77"/>
      <c r="AU651" s="77"/>
      <c r="AV651" s="77"/>
      <c r="AW651" s="77"/>
      <c r="AX651" s="77"/>
      <c r="AY651" s="77"/>
      <c r="AZ651" s="77"/>
      <c r="BA651" s="77"/>
      <c r="BB651" s="77"/>
      <c r="BC651" s="77"/>
      <c r="BD651" s="77"/>
      <c r="BE651" s="77"/>
    </row>
    <row r="652">
      <c r="A652" s="77"/>
      <c r="B652" s="77"/>
      <c r="C652" s="77"/>
      <c r="D652" s="77"/>
      <c r="E652" s="188"/>
      <c r="F652" s="188"/>
      <c r="G652" s="188"/>
      <c r="H652" s="188"/>
      <c r="I652" s="188"/>
      <c r="J652" s="77"/>
      <c r="K652" s="77"/>
      <c r="L652" s="77"/>
      <c r="M652" s="77"/>
      <c r="N652" s="77"/>
      <c r="O652" s="77"/>
      <c r="P652" s="77"/>
      <c r="Q652" s="77"/>
      <c r="R652" s="77"/>
      <c r="S652" s="77"/>
      <c r="T652" s="77"/>
      <c r="U652" s="77"/>
      <c r="V652" s="77"/>
      <c r="W652" s="77"/>
      <c r="X652" s="77"/>
      <c r="Y652" s="77"/>
      <c r="Z652" s="77"/>
      <c r="AA652" s="77"/>
      <c r="AB652" s="77"/>
      <c r="AC652" s="77"/>
      <c r="AD652" s="227"/>
      <c r="AE652" s="77"/>
      <c r="AF652" s="227"/>
      <c r="AG652" s="77"/>
      <c r="AH652" s="77"/>
      <c r="AI652" s="77"/>
      <c r="AJ652" s="77"/>
      <c r="AK652" s="77"/>
      <c r="AL652" s="77"/>
      <c r="AM652" s="77"/>
      <c r="AN652" s="77"/>
      <c r="AO652" s="77"/>
      <c r="AP652" s="77"/>
      <c r="AQ652" s="77"/>
      <c r="AR652" s="77"/>
      <c r="AS652" s="77"/>
      <c r="AT652" s="77"/>
      <c r="AU652" s="77"/>
      <c r="AV652" s="77"/>
      <c r="AW652" s="77"/>
      <c r="AX652" s="77"/>
      <c r="AY652" s="77"/>
      <c r="AZ652" s="77"/>
      <c r="BA652" s="77"/>
      <c r="BB652" s="77"/>
      <c r="BC652" s="77"/>
      <c r="BD652" s="77"/>
      <c r="BE652" s="77"/>
    </row>
    <row r="653">
      <c r="A653" s="77"/>
      <c r="B653" s="77"/>
      <c r="C653" s="77"/>
      <c r="D653" s="77"/>
      <c r="E653" s="188"/>
      <c r="F653" s="188"/>
      <c r="G653" s="188"/>
      <c r="H653" s="188"/>
      <c r="I653" s="188"/>
      <c r="J653" s="77"/>
      <c r="K653" s="77"/>
      <c r="L653" s="77"/>
      <c r="M653" s="77"/>
      <c r="N653" s="77"/>
      <c r="O653" s="77"/>
      <c r="P653" s="77"/>
      <c r="Q653" s="77"/>
      <c r="R653" s="77"/>
      <c r="S653" s="77"/>
      <c r="T653" s="77"/>
      <c r="U653" s="77"/>
      <c r="V653" s="77"/>
      <c r="W653" s="77"/>
      <c r="X653" s="77"/>
      <c r="Y653" s="77"/>
      <c r="Z653" s="77"/>
      <c r="AA653" s="77"/>
      <c r="AB653" s="77"/>
      <c r="AC653" s="77"/>
      <c r="AD653" s="227"/>
      <c r="AE653" s="77"/>
      <c r="AF653" s="227"/>
      <c r="AG653" s="77"/>
      <c r="AH653" s="77"/>
      <c r="AI653" s="77"/>
      <c r="AJ653" s="77"/>
      <c r="AK653" s="77"/>
      <c r="AL653" s="77"/>
      <c r="AM653" s="77"/>
      <c r="AN653" s="77"/>
      <c r="AO653" s="77"/>
      <c r="AP653" s="77"/>
      <c r="AQ653" s="77"/>
      <c r="AR653" s="77"/>
      <c r="AS653" s="77"/>
      <c r="AT653" s="77"/>
      <c r="AU653" s="77"/>
      <c r="AV653" s="77"/>
      <c r="AW653" s="77"/>
      <c r="AX653" s="77"/>
      <c r="AY653" s="77"/>
      <c r="AZ653" s="77"/>
      <c r="BA653" s="77"/>
      <c r="BB653" s="77"/>
      <c r="BC653" s="77"/>
      <c r="BD653" s="77"/>
      <c r="BE653" s="77"/>
    </row>
    <row r="654">
      <c r="A654" s="77"/>
      <c r="B654" s="77"/>
      <c r="C654" s="77"/>
      <c r="D654" s="77"/>
      <c r="E654" s="188"/>
      <c r="F654" s="188"/>
      <c r="G654" s="188"/>
      <c r="H654" s="188"/>
      <c r="I654" s="188"/>
      <c r="J654" s="77"/>
      <c r="K654" s="77"/>
      <c r="L654" s="77"/>
      <c r="M654" s="77"/>
      <c r="N654" s="77"/>
      <c r="O654" s="77"/>
      <c r="P654" s="77"/>
      <c r="Q654" s="77"/>
      <c r="R654" s="77"/>
      <c r="S654" s="77"/>
      <c r="T654" s="77"/>
      <c r="U654" s="77"/>
      <c r="V654" s="77"/>
      <c r="W654" s="77"/>
      <c r="X654" s="77"/>
      <c r="Y654" s="77"/>
      <c r="Z654" s="77"/>
      <c r="AA654" s="77"/>
      <c r="AB654" s="77"/>
      <c r="AC654" s="77"/>
      <c r="AD654" s="227"/>
      <c r="AE654" s="77"/>
      <c r="AF654" s="227"/>
      <c r="AG654" s="77"/>
      <c r="AH654" s="77"/>
      <c r="AI654" s="77"/>
      <c r="AJ654" s="77"/>
      <c r="AK654" s="77"/>
      <c r="AL654" s="77"/>
      <c r="AM654" s="77"/>
      <c r="AN654" s="77"/>
      <c r="AO654" s="77"/>
      <c r="AP654" s="77"/>
      <c r="AQ654" s="77"/>
      <c r="AR654" s="77"/>
      <c r="AS654" s="77"/>
      <c r="AT654" s="77"/>
      <c r="AU654" s="77"/>
      <c r="AV654" s="77"/>
      <c r="AW654" s="77"/>
      <c r="AX654" s="77"/>
      <c r="AY654" s="77"/>
      <c r="AZ654" s="77"/>
      <c r="BA654" s="77"/>
      <c r="BB654" s="77"/>
      <c r="BC654" s="77"/>
      <c r="BD654" s="77"/>
      <c r="BE654" s="77"/>
    </row>
    <row r="655">
      <c r="A655" s="77"/>
      <c r="B655" s="77"/>
      <c r="C655" s="77"/>
      <c r="D655" s="77"/>
      <c r="E655" s="188"/>
      <c r="F655" s="188"/>
      <c r="G655" s="188"/>
      <c r="H655" s="188"/>
      <c r="I655" s="188"/>
      <c r="J655" s="77"/>
      <c r="K655" s="77"/>
      <c r="L655" s="77"/>
      <c r="M655" s="77"/>
      <c r="N655" s="77"/>
      <c r="O655" s="77"/>
      <c r="P655" s="77"/>
      <c r="Q655" s="77"/>
      <c r="R655" s="77"/>
      <c r="S655" s="77"/>
      <c r="T655" s="77"/>
      <c r="U655" s="77"/>
      <c r="V655" s="77"/>
      <c r="W655" s="77"/>
      <c r="X655" s="77"/>
      <c r="Y655" s="77"/>
      <c r="Z655" s="77"/>
      <c r="AA655" s="77"/>
      <c r="AB655" s="77"/>
      <c r="AC655" s="77"/>
      <c r="AD655" s="227"/>
      <c r="AE655" s="77"/>
      <c r="AF655" s="227"/>
      <c r="AG655" s="77"/>
      <c r="AH655" s="77"/>
      <c r="AI655" s="77"/>
      <c r="AJ655" s="77"/>
      <c r="AK655" s="77"/>
      <c r="AL655" s="77"/>
      <c r="AM655" s="77"/>
      <c r="AN655" s="77"/>
      <c r="AO655" s="77"/>
      <c r="AP655" s="77"/>
      <c r="AQ655" s="77"/>
      <c r="AR655" s="77"/>
      <c r="AS655" s="77"/>
      <c r="AT655" s="77"/>
      <c r="AU655" s="77"/>
      <c r="AV655" s="77"/>
      <c r="AW655" s="77"/>
      <c r="AX655" s="77"/>
      <c r="AY655" s="77"/>
      <c r="AZ655" s="77"/>
      <c r="BA655" s="77"/>
      <c r="BB655" s="77"/>
      <c r="BC655" s="77"/>
      <c r="BD655" s="77"/>
      <c r="BE655" s="77"/>
    </row>
    <row r="656">
      <c r="A656" s="77"/>
      <c r="B656" s="77"/>
      <c r="C656" s="77"/>
      <c r="D656" s="77"/>
      <c r="E656" s="188"/>
      <c r="F656" s="188"/>
      <c r="G656" s="188"/>
      <c r="H656" s="188"/>
      <c r="I656" s="188"/>
      <c r="J656" s="77"/>
      <c r="K656" s="77"/>
      <c r="L656" s="77"/>
      <c r="M656" s="77"/>
      <c r="N656" s="77"/>
      <c r="O656" s="77"/>
      <c r="P656" s="77"/>
      <c r="Q656" s="77"/>
      <c r="R656" s="77"/>
      <c r="S656" s="77"/>
      <c r="T656" s="77"/>
      <c r="U656" s="77"/>
      <c r="V656" s="77"/>
      <c r="W656" s="77"/>
      <c r="X656" s="77"/>
      <c r="Y656" s="77"/>
      <c r="Z656" s="77"/>
      <c r="AA656" s="77"/>
      <c r="AB656" s="77"/>
      <c r="AC656" s="77"/>
      <c r="AD656" s="227"/>
      <c r="AE656" s="77"/>
      <c r="AF656" s="227"/>
      <c r="AG656" s="77"/>
      <c r="AH656" s="77"/>
      <c r="AI656" s="77"/>
      <c r="AJ656" s="77"/>
      <c r="AK656" s="77"/>
      <c r="AL656" s="77"/>
      <c r="AM656" s="77"/>
      <c r="AN656" s="77"/>
      <c r="AO656" s="77"/>
      <c r="AP656" s="77"/>
      <c r="AQ656" s="77"/>
      <c r="AR656" s="77"/>
      <c r="AS656" s="77"/>
      <c r="AT656" s="77"/>
      <c r="AU656" s="77"/>
      <c r="AV656" s="77"/>
      <c r="AW656" s="77"/>
      <c r="AX656" s="77"/>
      <c r="AY656" s="77"/>
      <c r="AZ656" s="77"/>
      <c r="BA656" s="77"/>
      <c r="BB656" s="77"/>
      <c r="BC656" s="77"/>
      <c r="BD656" s="77"/>
      <c r="BE656" s="77"/>
    </row>
    <row r="657">
      <c r="A657" s="77"/>
      <c r="B657" s="77"/>
      <c r="C657" s="77"/>
      <c r="D657" s="77"/>
      <c r="E657" s="188"/>
      <c r="F657" s="188"/>
      <c r="G657" s="188"/>
      <c r="H657" s="188"/>
      <c r="I657" s="188"/>
      <c r="J657" s="77"/>
      <c r="K657" s="77"/>
      <c r="L657" s="77"/>
      <c r="M657" s="77"/>
      <c r="N657" s="77"/>
      <c r="O657" s="77"/>
      <c r="P657" s="77"/>
      <c r="Q657" s="77"/>
      <c r="R657" s="77"/>
      <c r="S657" s="77"/>
      <c r="T657" s="77"/>
      <c r="U657" s="77"/>
      <c r="V657" s="77"/>
      <c r="W657" s="77"/>
      <c r="X657" s="77"/>
      <c r="Y657" s="77"/>
      <c r="Z657" s="77"/>
      <c r="AA657" s="77"/>
      <c r="AB657" s="77"/>
      <c r="AC657" s="77"/>
      <c r="AD657" s="227"/>
      <c r="AE657" s="77"/>
      <c r="AF657" s="227"/>
      <c r="AG657" s="77"/>
      <c r="AH657" s="77"/>
      <c r="AI657" s="77"/>
      <c r="AJ657" s="77"/>
      <c r="AK657" s="77"/>
      <c r="AL657" s="77"/>
      <c r="AM657" s="77"/>
      <c r="AN657" s="77"/>
      <c r="AO657" s="77"/>
      <c r="AP657" s="77"/>
      <c r="AQ657" s="77"/>
      <c r="AR657" s="77"/>
      <c r="AS657" s="77"/>
      <c r="AT657" s="77"/>
      <c r="AU657" s="77"/>
      <c r="AV657" s="77"/>
      <c r="AW657" s="77"/>
      <c r="AX657" s="77"/>
      <c r="AY657" s="77"/>
      <c r="AZ657" s="77"/>
      <c r="BA657" s="77"/>
      <c r="BB657" s="77"/>
      <c r="BC657" s="77"/>
      <c r="BD657" s="77"/>
      <c r="BE657" s="77"/>
    </row>
    <row r="658">
      <c r="A658" s="77"/>
      <c r="B658" s="77"/>
      <c r="C658" s="77"/>
      <c r="D658" s="77"/>
      <c r="E658" s="188"/>
      <c r="F658" s="188"/>
      <c r="G658" s="188"/>
      <c r="H658" s="188"/>
      <c r="I658" s="188"/>
      <c r="J658" s="77"/>
      <c r="K658" s="77"/>
      <c r="L658" s="77"/>
      <c r="M658" s="77"/>
      <c r="N658" s="77"/>
      <c r="O658" s="77"/>
      <c r="P658" s="77"/>
      <c r="Q658" s="77"/>
      <c r="R658" s="77"/>
      <c r="S658" s="77"/>
      <c r="T658" s="77"/>
      <c r="U658" s="77"/>
      <c r="V658" s="77"/>
      <c r="W658" s="77"/>
      <c r="X658" s="77"/>
      <c r="Y658" s="77"/>
      <c r="Z658" s="77"/>
      <c r="AA658" s="77"/>
      <c r="AB658" s="77"/>
      <c r="AC658" s="77"/>
      <c r="AD658" s="227"/>
      <c r="AE658" s="77"/>
      <c r="AF658" s="227"/>
      <c r="AG658" s="77"/>
      <c r="AH658" s="77"/>
      <c r="AI658" s="77"/>
      <c r="AJ658" s="77"/>
      <c r="AK658" s="77"/>
      <c r="AL658" s="77"/>
      <c r="AM658" s="77"/>
      <c r="AN658" s="77"/>
      <c r="AO658" s="77"/>
      <c r="AP658" s="77"/>
      <c r="AQ658" s="77"/>
      <c r="AR658" s="77"/>
      <c r="AS658" s="77"/>
      <c r="AT658" s="77"/>
      <c r="AU658" s="77"/>
      <c r="AV658" s="77"/>
      <c r="AW658" s="77"/>
      <c r="AX658" s="77"/>
      <c r="AY658" s="77"/>
      <c r="AZ658" s="77"/>
      <c r="BA658" s="77"/>
      <c r="BB658" s="77"/>
      <c r="BC658" s="77"/>
      <c r="BD658" s="77"/>
      <c r="BE658" s="77"/>
    </row>
    <row r="659">
      <c r="A659" s="77"/>
      <c r="B659" s="77"/>
      <c r="C659" s="77"/>
      <c r="D659" s="77"/>
      <c r="E659" s="188"/>
      <c r="F659" s="188"/>
      <c r="G659" s="188"/>
      <c r="H659" s="188"/>
      <c r="I659" s="188"/>
      <c r="J659" s="77"/>
      <c r="K659" s="77"/>
      <c r="L659" s="77"/>
      <c r="M659" s="77"/>
      <c r="N659" s="77"/>
      <c r="O659" s="77"/>
      <c r="P659" s="77"/>
      <c r="Q659" s="77"/>
      <c r="R659" s="77"/>
      <c r="S659" s="77"/>
      <c r="T659" s="77"/>
      <c r="U659" s="77"/>
      <c r="V659" s="77"/>
      <c r="W659" s="77"/>
      <c r="X659" s="77"/>
      <c r="Y659" s="77"/>
      <c r="Z659" s="77"/>
      <c r="AA659" s="77"/>
      <c r="AB659" s="77"/>
      <c r="AC659" s="77"/>
      <c r="AD659" s="227"/>
      <c r="AE659" s="77"/>
      <c r="AF659" s="227"/>
      <c r="AG659" s="77"/>
      <c r="AH659" s="77"/>
      <c r="AI659" s="77"/>
      <c r="AJ659" s="77"/>
      <c r="AK659" s="77"/>
      <c r="AL659" s="77"/>
      <c r="AM659" s="77"/>
      <c r="AN659" s="77"/>
      <c r="AO659" s="77"/>
      <c r="AP659" s="77"/>
      <c r="AQ659" s="77"/>
      <c r="AR659" s="77"/>
      <c r="AS659" s="77"/>
      <c r="AT659" s="77"/>
      <c r="AU659" s="77"/>
      <c r="AV659" s="77"/>
      <c r="AW659" s="77"/>
      <c r="AX659" s="77"/>
      <c r="AY659" s="77"/>
      <c r="AZ659" s="77"/>
      <c r="BA659" s="77"/>
      <c r="BB659" s="77"/>
      <c r="BC659" s="77"/>
      <c r="BD659" s="77"/>
      <c r="BE659" s="77"/>
    </row>
    <row r="660">
      <c r="A660" s="77"/>
      <c r="B660" s="77"/>
      <c r="C660" s="77"/>
      <c r="D660" s="77"/>
      <c r="E660" s="188"/>
      <c r="F660" s="188"/>
      <c r="G660" s="188"/>
      <c r="H660" s="188"/>
      <c r="I660" s="188"/>
      <c r="J660" s="77"/>
      <c r="K660" s="77"/>
      <c r="L660" s="77"/>
      <c r="M660" s="77"/>
      <c r="N660" s="77"/>
      <c r="O660" s="77"/>
      <c r="P660" s="77"/>
      <c r="Q660" s="77"/>
      <c r="R660" s="77"/>
      <c r="S660" s="77"/>
      <c r="T660" s="77"/>
      <c r="U660" s="77"/>
      <c r="V660" s="77"/>
      <c r="W660" s="77"/>
      <c r="X660" s="77"/>
      <c r="Y660" s="77"/>
      <c r="Z660" s="77"/>
      <c r="AA660" s="77"/>
      <c r="AB660" s="77"/>
      <c r="AC660" s="77"/>
      <c r="AD660" s="227"/>
      <c r="AE660" s="77"/>
      <c r="AF660" s="227"/>
      <c r="AG660" s="77"/>
      <c r="AH660" s="77"/>
      <c r="AI660" s="77"/>
      <c r="AJ660" s="77"/>
      <c r="AK660" s="77"/>
      <c r="AL660" s="77"/>
      <c r="AM660" s="77"/>
      <c r="AN660" s="77"/>
      <c r="AO660" s="77"/>
      <c r="AP660" s="77"/>
      <c r="AQ660" s="77"/>
      <c r="AR660" s="77"/>
      <c r="AS660" s="77"/>
      <c r="AT660" s="77"/>
      <c r="AU660" s="77"/>
      <c r="AV660" s="77"/>
      <c r="AW660" s="77"/>
      <c r="AX660" s="77"/>
      <c r="AY660" s="77"/>
      <c r="AZ660" s="77"/>
      <c r="BA660" s="77"/>
      <c r="BB660" s="77"/>
      <c r="BC660" s="77"/>
      <c r="BD660" s="77"/>
      <c r="BE660" s="77"/>
    </row>
    <row r="661">
      <c r="A661" s="77"/>
      <c r="B661" s="77"/>
      <c r="C661" s="77"/>
      <c r="D661" s="77"/>
      <c r="E661" s="188"/>
      <c r="F661" s="188"/>
      <c r="G661" s="188"/>
      <c r="H661" s="188"/>
      <c r="I661" s="188"/>
      <c r="J661" s="77"/>
      <c r="K661" s="77"/>
      <c r="L661" s="77"/>
      <c r="M661" s="77"/>
      <c r="N661" s="77"/>
      <c r="O661" s="77"/>
      <c r="P661" s="77"/>
      <c r="Q661" s="77"/>
      <c r="R661" s="77"/>
      <c r="S661" s="77"/>
      <c r="T661" s="77"/>
      <c r="U661" s="77"/>
      <c r="V661" s="77"/>
      <c r="W661" s="77"/>
      <c r="X661" s="77"/>
      <c r="Y661" s="77"/>
      <c r="Z661" s="77"/>
      <c r="AA661" s="77"/>
      <c r="AB661" s="77"/>
      <c r="AC661" s="77"/>
      <c r="AD661" s="227"/>
      <c r="AE661" s="77"/>
      <c r="AF661" s="227"/>
      <c r="AG661" s="77"/>
      <c r="AH661" s="77"/>
      <c r="AI661" s="77"/>
      <c r="AJ661" s="77"/>
      <c r="AK661" s="77"/>
      <c r="AL661" s="77"/>
      <c r="AM661" s="77"/>
      <c r="AN661" s="77"/>
      <c r="AO661" s="77"/>
      <c r="AP661" s="77"/>
      <c r="AQ661" s="77"/>
      <c r="AR661" s="77"/>
      <c r="AS661" s="77"/>
      <c r="AT661" s="77"/>
      <c r="AU661" s="77"/>
      <c r="AV661" s="77"/>
      <c r="AW661" s="77"/>
      <c r="AX661" s="77"/>
      <c r="AY661" s="77"/>
      <c r="AZ661" s="77"/>
      <c r="BA661" s="77"/>
      <c r="BB661" s="77"/>
      <c r="BC661" s="77"/>
      <c r="BD661" s="77"/>
      <c r="BE661" s="77"/>
    </row>
    <row r="662">
      <c r="A662" s="77"/>
      <c r="B662" s="77"/>
      <c r="C662" s="77"/>
      <c r="D662" s="77"/>
      <c r="E662" s="188"/>
      <c r="F662" s="188"/>
      <c r="G662" s="188"/>
      <c r="H662" s="188"/>
      <c r="I662" s="188"/>
      <c r="J662" s="77"/>
      <c r="K662" s="77"/>
      <c r="L662" s="77"/>
      <c r="M662" s="77"/>
      <c r="N662" s="77"/>
      <c r="O662" s="77"/>
      <c r="P662" s="77"/>
      <c r="Q662" s="77"/>
      <c r="R662" s="77"/>
      <c r="S662" s="77"/>
      <c r="T662" s="77"/>
      <c r="U662" s="77"/>
      <c r="V662" s="77"/>
      <c r="W662" s="77"/>
      <c r="X662" s="77"/>
      <c r="Y662" s="77"/>
      <c r="Z662" s="77"/>
      <c r="AA662" s="77"/>
      <c r="AB662" s="77"/>
      <c r="AC662" s="77"/>
      <c r="AD662" s="227"/>
      <c r="AE662" s="77"/>
      <c r="AF662" s="227"/>
      <c r="AG662" s="77"/>
      <c r="AH662" s="77"/>
      <c r="AI662" s="77"/>
      <c r="AJ662" s="77"/>
      <c r="AK662" s="77"/>
      <c r="AL662" s="77"/>
      <c r="AM662" s="77"/>
      <c r="AN662" s="77"/>
      <c r="AO662" s="77"/>
      <c r="AP662" s="77"/>
      <c r="AQ662" s="77"/>
      <c r="AR662" s="77"/>
      <c r="AS662" s="77"/>
      <c r="AT662" s="77"/>
      <c r="AU662" s="77"/>
      <c r="AV662" s="77"/>
      <c r="AW662" s="77"/>
      <c r="AX662" s="77"/>
      <c r="AY662" s="77"/>
      <c r="AZ662" s="77"/>
      <c r="BA662" s="77"/>
      <c r="BB662" s="77"/>
      <c r="BC662" s="77"/>
      <c r="BD662" s="77"/>
      <c r="BE662" s="77"/>
    </row>
    <row r="663">
      <c r="A663" s="77"/>
      <c r="B663" s="77"/>
      <c r="C663" s="77"/>
      <c r="D663" s="77"/>
      <c r="E663" s="188"/>
      <c r="F663" s="188"/>
      <c r="G663" s="188"/>
      <c r="H663" s="188"/>
      <c r="I663" s="188"/>
      <c r="J663" s="77"/>
      <c r="K663" s="77"/>
      <c r="L663" s="77"/>
      <c r="M663" s="77"/>
      <c r="N663" s="77"/>
      <c r="O663" s="77"/>
      <c r="P663" s="77"/>
      <c r="Q663" s="77"/>
      <c r="R663" s="77"/>
      <c r="S663" s="77"/>
      <c r="T663" s="77"/>
      <c r="U663" s="77"/>
      <c r="V663" s="77"/>
      <c r="W663" s="77"/>
      <c r="X663" s="77"/>
      <c r="Y663" s="77"/>
      <c r="Z663" s="77"/>
      <c r="AA663" s="77"/>
      <c r="AB663" s="77"/>
      <c r="AC663" s="77"/>
      <c r="AD663" s="227"/>
      <c r="AE663" s="77"/>
      <c r="AF663" s="227"/>
      <c r="AG663" s="77"/>
      <c r="AH663" s="77"/>
      <c r="AI663" s="77"/>
      <c r="AJ663" s="77"/>
      <c r="AK663" s="77"/>
      <c r="AL663" s="77"/>
      <c r="AM663" s="77"/>
      <c r="AN663" s="77"/>
      <c r="AO663" s="77"/>
      <c r="AP663" s="77"/>
      <c r="AQ663" s="77"/>
      <c r="AR663" s="77"/>
      <c r="AS663" s="77"/>
      <c r="AT663" s="77"/>
      <c r="AU663" s="77"/>
      <c r="AV663" s="77"/>
      <c r="AW663" s="77"/>
      <c r="AX663" s="77"/>
      <c r="AY663" s="77"/>
      <c r="AZ663" s="77"/>
      <c r="BA663" s="77"/>
      <c r="BB663" s="77"/>
      <c r="BC663" s="77"/>
      <c r="BD663" s="77"/>
      <c r="BE663" s="77"/>
    </row>
    <row r="664">
      <c r="A664" s="77"/>
      <c r="B664" s="77"/>
      <c r="C664" s="77"/>
      <c r="D664" s="77"/>
      <c r="E664" s="188"/>
      <c r="F664" s="188"/>
      <c r="G664" s="188"/>
      <c r="H664" s="188"/>
      <c r="I664" s="188"/>
      <c r="J664" s="77"/>
      <c r="K664" s="77"/>
      <c r="L664" s="77"/>
      <c r="M664" s="77"/>
      <c r="N664" s="77"/>
      <c r="O664" s="77"/>
      <c r="P664" s="77"/>
      <c r="Q664" s="77"/>
      <c r="R664" s="77"/>
      <c r="S664" s="77"/>
      <c r="T664" s="77"/>
      <c r="U664" s="77"/>
      <c r="V664" s="77"/>
      <c r="W664" s="77"/>
      <c r="X664" s="77"/>
      <c r="Y664" s="77"/>
      <c r="Z664" s="77"/>
      <c r="AA664" s="77"/>
      <c r="AB664" s="77"/>
      <c r="AC664" s="77"/>
      <c r="AD664" s="227"/>
      <c r="AE664" s="77"/>
      <c r="AF664" s="227"/>
      <c r="AG664" s="77"/>
      <c r="AH664" s="77"/>
      <c r="AI664" s="77"/>
      <c r="AJ664" s="77"/>
      <c r="AK664" s="77"/>
      <c r="AL664" s="77"/>
      <c r="AM664" s="77"/>
      <c r="AN664" s="77"/>
      <c r="AO664" s="77"/>
      <c r="AP664" s="77"/>
      <c r="AQ664" s="77"/>
      <c r="AR664" s="77"/>
      <c r="AS664" s="77"/>
      <c r="AT664" s="77"/>
      <c r="AU664" s="77"/>
      <c r="AV664" s="77"/>
      <c r="AW664" s="77"/>
      <c r="AX664" s="77"/>
      <c r="AY664" s="77"/>
      <c r="AZ664" s="77"/>
      <c r="BA664" s="77"/>
      <c r="BB664" s="77"/>
      <c r="BC664" s="77"/>
      <c r="BD664" s="77"/>
      <c r="BE664" s="77"/>
    </row>
    <row r="665">
      <c r="A665" s="77"/>
      <c r="B665" s="77"/>
      <c r="C665" s="77"/>
      <c r="D665" s="77"/>
      <c r="E665" s="188"/>
      <c r="F665" s="188"/>
      <c r="G665" s="188"/>
      <c r="H665" s="188"/>
      <c r="I665" s="188"/>
      <c r="J665" s="77"/>
      <c r="K665" s="77"/>
      <c r="L665" s="77"/>
      <c r="M665" s="77"/>
      <c r="N665" s="77"/>
      <c r="O665" s="77"/>
      <c r="P665" s="77"/>
      <c r="Q665" s="77"/>
      <c r="R665" s="77"/>
      <c r="S665" s="77"/>
      <c r="T665" s="77"/>
      <c r="U665" s="77"/>
      <c r="V665" s="77"/>
      <c r="W665" s="77"/>
      <c r="X665" s="77"/>
      <c r="Y665" s="77"/>
      <c r="Z665" s="77"/>
      <c r="AA665" s="77"/>
      <c r="AB665" s="77"/>
      <c r="AC665" s="77"/>
      <c r="AD665" s="227"/>
      <c r="AE665" s="77"/>
      <c r="AF665" s="227"/>
      <c r="AG665" s="77"/>
      <c r="AH665" s="77"/>
      <c r="AI665" s="77"/>
      <c r="AJ665" s="77"/>
      <c r="AK665" s="77"/>
      <c r="AL665" s="77"/>
      <c r="AM665" s="77"/>
      <c r="AN665" s="77"/>
      <c r="AO665" s="77"/>
      <c r="AP665" s="77"/>
      <c r="AQ665" s="77"/>
      <c r="AR665" s="77"/>
      <c r="AS665" s="77"/>
      <c r="AT665" s="77"/>
      <c r="AU665" s="77"/>
      <c r="AV665" s="77"/>
      <c r="AW665" s="77"/>
      <c r="AX665" s="77"/>
      <c r="AY665" s="77"/>
      <c r="AZ665" s="77"/>
      <c r="BA665" s="77"/>
      <c r="BB665" s="77"/>
      <c r="BC665" s="77"/>
      <c r="BD665" s="77"/>
      <c r="BE665" s="77"/>
    </row>
    <row r="666">
      <c r="A666" s="77"/>
      <c r="B666" s="77"/>
      <c r="C666" s="77"/>
      <c r="D666" s="77"/>
      <c r="E666" s="188"/>
      <c r="F666" s="188"/>
      <c r="G666" s="188"/>
      <c r="H666" s="188"/>
      <c r="I666" s="188"/>
      <c r="J666" s="77"/>
      <c r="K666" s="77"/>
      <c r="L666" s="77"/>
      <c r="M666" s="77"/>
      <c r="N666" s="77"/>
      <c r="O666" s="77"/>
      <c r="P666" s="77"/>
      <c r="Q666" s="77"/>
      <c r="R666" s="77"/>
      <c r="S666" s="77"/>
      <c r="T666" s="77"/>
      <c r="U666" s="77"/>
      <c r="V666" s="77"/>
      <c r="W666" s="77"/>
      <c r="X666" s="77"/>
      <c r="Y666" s="77"/>
      <c r="Z666" s="77"/>
      <c r="AA666" s="77"/>
      <c r="AB666" s="77"/>
      <c r="AC666" s="77"/>
      <c r="AD666" s="227"/>
      <c r="AE666" s="77"/>
      <c r="AF666" s="227"/>
      <c r="AG666" s="77"/>
      <c r="AH666" s="77"/>
      <c r="AI666" s="77"/>
      <c r="AJ666" s="77"/>
      <c r="AK666" s="77"/>
      <c r="AL666" s="77"/>
      <c r="AM666" s="77"/>
      <c r="AN666" s="77"/>
      <c r="AO666" s="77"/>
      <c r="AP666" s="77"/>
      <c r="AQ666" s="77"/>
      <c r="AR666" s="77"/>
      <c r="AS666" s="77"/>
      <c r="AT666" s="77"/>
      <c r="AU666" s="77"/>
      <c r="AV666" s="77"/>
      <c r="AW666" s="77"/>
      <c r="AX666" s="77"/>
      <c r="AY666" s="77"/>
      <c r="AZ666" s="77"/>
      <c r="BA666" s="77"/>
      <c r="BB666" s="77"/>
      <c r="BC666" s="77"/>
      <c r="BD666" s="77"/>
      <c r="BE666" s="77"/>
    </row>
    <row r="667">
      <c r="A667" s="77"/>
      <c r="B667" s="77"/>
      <c r="C667" s="77"/>
      <c r="D667" s="77"/>
      <c r="E667" s="188"/>
      <c r="F667" s="188"/>
      <c r="G667" s="188"/>
      <c r="H667" s="188"/>
      <c r="I667" s="188"/>
      <c r="J667" s="77"/>
      <c r="K667" s="77"/>
      <c r="L667" s="77"/>
      <c r="M667" s="77"/>
      <c r="N667" s="77"/>
      <c r="O667" s="77"/>
      <c r="P667" s="77"/>
      <c r="Q667" s="77"/>
      <c r="R667" s="77"/>
      <c r="S667" s="77"/>
      <c r="T667" s="77"/>
      <c r="U667" s="77"/>
      <c r="V667" s="77"/>
      <c r="W667" s="77"/>
      <c r="X667" s="77"/>
      <c r="Y667" s="77"/>
      <c r="Z667" s="77"/>
      <c r="AA667" s="77"/>
      <c r="AB667" s="77"/>
      <c r="AC667" s="77"/>
      <c r="AD667" s="227"/>
      <c r="AE667" s="77"/>
      <c r="AF667" s="227"/>
      <c r="AG667" s="77"/>
      <c r="AH667" s="77"/>
      <c r="AI667" s="77"/>
      <c r="AJ667" s="77"/>
      <c r="AK667" s="77"/>
      <c r="AL667" s="77"/>
      <c r="AM667" s="77"/>
      <c r="AN667" s="77"/>
      <c r="AO667" s="77"/>
      <c r="AP667" s="77"/>
      <c r="AQ667" s="77"/>
      <c r="AR667" s="77"/>
      <c r="AS667" s="77"/>
      <c r="AT667" s="77"/>
      <c r="AU667" s="77"/>
      <c r="AV667" s="77"/>
      <c r="AW667" s="77"/>
      <c r="AX667" s="77"/>
      <c r="AY667" s="77"/>
      <c r="AZ667" s="77"/>
      <c r="BA667" s="77"/>
      <c r="BB667" s="77"/>
      <c r="BC667" s="77"/>
      <c r="BD667" s="77"/>
      <c r="BE667" s="77"/>
    </row>
    <row r="668">
      <c r="A668" s="77"/>
      <c r="B668" s="77"/>
      <c r="C668" s="77"/>
      <c r="D668" s="77"/>
      <c r="E668" s="188"/>
      <c r="F668" s="188"/>
      <c r="G668" s="188"/>
      <c r="H668" s="188"/>
      <c r="I668" s="188"/>
      <c r="J668" s="77"/>
      <c r="K668" s="77"/>
      <c r="L668" s="77"/>
      <c r="M668" s="77"/>
      <c r="N668" s="77"/>
      <c r="O668" s="77"/>
      <c r="P668" s="77"/>
      <c r="Q668" s="77"/>
      <c r="R668" s="77"/>
      <c r="S668" s="77"/>
      <c r="T668" s="77"/>
      <c r="U668" s="77"/>
      <c r="V668" s="77"/>
      <c r="W668" s="77"/>
      <c r="X668" s="77"/>
      <c r="Y668" s="77"/>
      <c r="Z668" s="77"/>
      <c r="AA668" s="77"/>
      <c r="AB668" s="77"/>
      <c r="AC668" s="77"/>
      <c r="AD668" s="227"/>
      <c r="AE668" s="77"/>
      <c r="AF668" s="227"/>
      <c r="AG668" s="77"/>
      <c r="AH668" s="77"/>
      <c r="AI668" s="77"/>
      <c r="AJ668" s="77"/>
      <c r="AK668" s="77"/>
      <c r="AL668" s="77"/>
      <c r="AM668" s="77"/>
      <c r="AN668" s="77"/>
      <c r="AO668" s="77"/>
      <c r="AP668" s="77"/>
      <c r="AQ668" s="77"/>
      <c r="AR668" s="77"/>
      <c r="AS668" s="77"/>
      <c r="AT668" s="77"/>
      <c r="AU668" s="77"/>
      <c r="AV668" s="77"/>
      <c r="AW668" s="77"/>
      <c r="AX668" s="77"/>
      <c r="AY668" s="77"/>
      <c r="AZ668" s="77"/>
      <c r="BA668" s="77"/>
      <c r="BB668" s="77"/>
      <c r="BC668" s="77"/>
      <c r="BD668" s="77"/>
      <c r="BE668" s="77"/>
    </row>
    <row r="669">
      <c r="A669" s="77"/>
      <c r="B669" s="77"/>
      <c r="C669" s="77"/>
      <c r="D669" s="77"/>
      <c r="E669" s="188"/>
      <c r="F669" s="188"/>
      <c r="G669" s="188"/>
      <c r="H669" s="188"/>
      <c r="I669" s="188"/>
      <c r="J669" s="77"/>
      <c r="K669" s="77"/>
      <c r="L669" s="77"/>
      <c r="M669" s="77"/>
      <c r="N669" s="77"/>
      <c r="O669" s="77"/>
      <c r="P669" s="77"/>
      <c r="Q669" s="77"/>
      <c r="R669" s="77"/>
      <c r="S669" s="77"/>
      <c r="T669" s="77"/>
      <c r="U669" s="77"/>
      <c r="V669" s="77"/>
      <c r="W669" s="77"/>
      <c r="X669" s="77"/>
      <c r="Y669" s="77"/>
      <c r="Z669" s="77"/>
      <c r="AA669" s="77"/>
      <c r="AB669" s="77"/>
      <c r="AC669" s="77"/>
      <c r="AD669" s="227"/>
      <c r="AE669" s="77"/>
      <c r="AF669" s="227"/>
      <c r="AG669" s="77"/>
      <c r="AH669" s="77"/>
      <c r="AI669" s="77"/>
      <c r="AJ669" s="77"/>
      <c r="AK669" s="77"/>
      <c r="AL669" s="77"/>
      <c r="AM669" s="77"/>
      <c r="AN669" s="77"/>
      <c r="AO669" s="77"/>
      <c r="AP669" s="77"/>
      <c r="AQ669" s="77"/>
      <c r="AR669" s="77"/>
      <c r="AS669" s="77"/>
      <c r="AT669" s="77"/>
      <c r="AU669" s="77"/>
      <c r="AV669" s="77"/>
      <c r="AW669" s="77"/>
      <c r="AX669" s="77"/>
      <c r="AY669" s="77"/>
      <c r="AZ669" s="77"/>
      <c r="BA669" s="77"/>
      <c r="BB669" s="77"/>
      <c r="BC669" s="77"/>
      <c r="BD669" s="77"/>
      <c r="BE669" s="77"/>
    </row>
    <row r="670">
      <c r="A670" s="77"/>
      <c r="B670" s="77"/>
      <c r="C670" s="77"/>
      <c r="D670" s="77"/>
      <c r="E670" s="188"/>
      <c r="F670" s="188"/>
      <c r="G670" s="188"/>
      <c r="H670" s="188"/>
      <c r="I670" s="188"/>
      <c r="J670" s="77"/>
      <c r="K670" s="77"/>
      <c r="L670" s="77"/>
      <c r="M670" s="77"/>
      <c r="N670" s="77"/>
      <c r="O670" s="77"/>
      <c r="P670" s="77"/>
      <c r="Q670" s="77"/>
      <c r="R670" s="77"/>
      <c r="S670" s="77"/>
      <c r="T670" s="77"/>
      <c r="U670" s="77"/>
      <c r="V670" s="77"/>
      <c r="W670" s="77"/>
      <c r="X670" s="77"/>
      <c r="Y670" s="77"/>
      <c r="Z670" s="77"/>
      <c r="AA670" s="77"/>
      <c r="AB670" s="77"/>
      <c r="AC670" s="77"/>
      <c r="AD670" s="227"/>
      <c r="AE670" s="77"/>
      <c r="AF670" s="227"/>
      <c r="AG670" s="77"/>
      <c r="AH670" s="77"/>
      <c r="AI670" s="77"/>
      <c r="AJ670" s="77"/>
      <c r="AK670" s="77"/>
      <c r="AL670" s="77"/>
      <c r="AM670" s="77"/>
      <c r="AN670" s="77"/>
      <c r="AO670" s="77"/>
      <c r="AP670" s="77"/>
      <c r="AQ670" s="77"/>
      <c r="AR670" s="77"/>
      <c r="AS670" s="77"/>
      <c r="AT670" s="77"/>
      <c r="AU670" s="77"/>
      <c r="AV670" s="77"/>
      <c r="AW670" s="77"/>
      <c r="AX670" s="77"/>
      <c r="AY670" s="77"/>
      <c r="AZ670" s="77"/>
      <c r="BA670" s="77"/>
      <c r="BB670" s="77"/>
      <c r="BC670" s="77"/>
      <c r="BD670" s="77"/>
      <c r="BE670" s="77"/>
    </row>
    <row r="671">
      <c r="A671" s="77"/>
      <c r="B671" s="77"/>
      <c r="C671" s="77"/>
      <c r="D671" s="77"/>
      <c r="E671" s="188"/>
      <c r="F671" s="188"/>
      <c r="G671" s="188"/>
      <c r="H671" s="188"/>
      <c r="I671" s="188"/>
      <c r="J671" s="77"/>
      <c r="K671" s="77"/>
      <c r="L671" s="77"/>
      <c r="M671" s="77"/>
      <c r="N671" s="77"/>
      <c r="O671" s="77"/>
      <c r="P671" s="77"/>
      <c r="Q671" s="77"/>
      <c r="R671" s="77"/>
      <c r="S671" s="77"/>
      <c r="T671" s="77"/>
      <c r="U671" s="77"/>
      <c r="V671" s="77"/>
      <c r="W671" s="77"/>
      <c r="X671" s="77"/>
      <c r="Y671" s="77"/>
      <c r="Z671" s="77"/>
      <c r="AA671" s="77"/>
      <c r="AB671" s="77"/>
      <c r="AC671" s="77"/>
      <c r="AD671" s="227"/>
      <c r="AE671" s="77"/>
      <c r="AF671" s="227"/>
      <c r="AG671" s="77"/>
      <c r="AH671" s="77"/>
      <c r="AI671" s="77"/>
      <c r="AJ671" s="77"/>
      <c r="AK671" s="77"/>
      <c r="AL671" s="77"/>
      <c r="AM671" s="77"/>
      <c r="AN671" s="77"/>
      <c r="AO671" s="77"/>
      <c r="AP671" s="77"/>
      <c r="AQ671" s="77"/>
      <c r="AR671" s="77"/>
      <c r="AS671" s="77"/>
      <c r="AT671" s="77"/>
      <c r="AU671" s="77"/>
      <c r="AV671" s="77"/>
      <c r="AW671" s="77"/>
      <c r="AX671" s="77"/>
      <c r="AY671" s="77"/>
      <c r="AZ671" s="77"/>
      <c r="BA671" s="77"/>
      <c r="BB671" s="77"/>
      <c r="BC671" s="77"/>
      <c r="BD671" s="77"/>
      <c r="BE671" s="77"/>
    </row>
    <row r="672">
      <c r="A672" s="77"/>
      <c r="B672" s="77"/>
      <c r="C672" s="77"/>
      <c r="D672" s="77"/>
      <c r="E672" s="188"/>
      <c r="F672" s="188"/>
      <c r="G672" s="188"/>
      <c r="H672" s="188"/>
      <c r="I672" s="188"/>
      <c r="J672" s="77"/>
      <c r="K672" s="77"/>
      <c r="L672" s="77"/>
      <c r="M672" s="77"/>
      <c r="N672" s="77"/>
      <c r="O672" s="77"/>
      <c r="P672" s="77"/>
      <c r="Q672" s="77"/>
      <c r="R672" s="77"/>
      <c r="S672" s="77"/>
      <c r="T672" s="77"/>
      <c r="U672" s="77"/>
      <c r="V672" s="77"/>
      <c r="W672" s="77"/>
      <c r="X672" s="77"/>
      <c r="Y672" s="77"/>
      <c r="Z672" s="77"/>
      <c r="AA672" s="77"/>
      <c r="AB672" s="77"/>
      <c r="AC672" s="77"/>
      <c r="AD672" s="227"/>
      <c r="AE672" s="77"/>
      <c r="AF672" s="227"/>
      <c r="AG672" s="77"/>
      <c r="AH672" s="77"/>
      <c r="AI672" s="77"/>
      <c r="AJ672" s="77"/>
      <c r="AK672" s="77"/>
      <c r="AL672" s="77"/>
      <c r="AM672" s="77"/>
      <c r="AN672" s="77"/>
      <c r="AO672" s="77"/>
      <c r="AP672" s="77"/>
      <c r="AQ672" s="77"/>
      <c r="AR672" s="77"/>
      <c r="AS672" s="77"/>
      <c r="AT672" s="77"/>
      <c r="AU672" s="77"/>
      <c r="AV672" s="77"/>
      <c r="AW672" s="77"/>
      <c r="AX672" s="77"/>
      <c r="AY672" s="77"/>
      <c r="AZ672" s="77"/>
      <c r="BA672" s="77"/>
      <c r="BB672" s="77"/>
      <c r="BC672" s="77"/>
      <c r="BD672" s="77"/>
      <c r="BE672" s="77"/>
    </row>
    <row r="673">
      <c r="A673" s="77"/>
      <c r="B673" s="77"/>
      <c r="C673" s="77"/>
      <c r="D673" s="77"/>
      <c r="E673" s="188"/>
      <c r="F673" s="188"/>
      <c r="G673" s="188"/>
      <c r="H673" s="188"/>
      <c r="I673" s="188"/>
      <c r="J673" s="77"/>
      <c r="K673" s="77"/>
      <c r="L673" s="77"/>
      <c r="M673" s="77"/>
      <c r="N673" s="77"/>
      <c r="O673" s="77"/>
      <c r="P673" s="77"/>
      <c r="Q673" s="77"/>
      <c r="R673" s="77"/>
      <c r="S673" s="77"/>
      <c r="T673" s="77"/>
      <c r="U673" s="77"/>
      <c r="V673" s="77"/>
      <c r="W673" s="77"/>
      <c r="X673" s="77"/>
      <c r="Y673" s="77"/>
      <c r="Z673" s="77"/>
      <c r="AA673" s="77"/>
      <c r="AB673" s="77"/>
      <c r="AC673" s="77"/>
      <c r="AD673" s="227"/>
      <c r="AE673" s="77"/>
      <c r="AF673" s="227"/>
      <c r="AG673" s="77"/>
      <c r="AH673" s="77"/>
      <c r="AI673" s="77"/>
      <c r="AJ673" s="77"/>
      <c r="AK673" s="77"/>
      <c r="AL673" s="77"/>
      <c r="AM673" s="77"/>
      <c r="AN673" s="77"/>
      <c r="AO673" s="77"/>
      <c r="AP673" s="77"/>
      <c r="AQ673" s="77"/>
      <c r="AR673" s="77"/>
      <c r="AS673" s="77"/>
      <c r="AT673" s="77"/>
      <c r="AU673" s="77"/>
      <c r="AV673" s="77"/>
      <c r="AW673" s="77"/>
      <c r="AX673" s="77"/>
      <c r="AY673" s="77"/>
      <c r="AZ673" s="77"/>
      <c r="BA673" s="77"/>
      <c r="BB673" s="77"/>
      <c r="BC673" s="77"/>
      <c r="BD673" s="77"/>
      <c r="BE673" s="77"/>
    </row>
    <row r="674">
      <c r="A674" s="77"/>
      <c r="B674" s="77"/>
      <c r="C674" s="77"/>
      <c r="D674" s="77"/>
      <c r="E674" s="188"/>
      <c r="F674" s="188"/>
      <c r="G674" s="188"/>
      <c r="H674" s="188"/>
      <c r="I674" s="188"/>
      <c r="J674" s="77"/>
      <c r="K674" s="77"/>
      <c r="L674" s="77"/>
      <c r="M674" s="77"/>
      <c r="N674" s="77"/>
      <c r="O674" s="77"/>
      <c r="P674" s="77"/>
      <c r="Q674" s="77"/>
      <c r="R674" s="77"/>
      <c r="S674" s="77"/>
      <c r="T674" s="77"/>
      <c r="U674" s="77"/>
      <c r="V674" s="77"/>
      <c r="W674" s="77"/>
      <c r="X674" s="77"/>
      <c r="Y674" s="77"/>
      <c r="Z674" s="77"/>
      <c r="AA674" s="77"/>
      <c r="AB674" s="77"/>
      <c r="AC674" s="77"/>
      <c r="AD674" s="227"/>
      <c r="AE674" s="77"/>
      <c r="AF674" s="227"/>
      <c r="AG674" s="77"/>
      <c r="AH674" s="77"/>
      <c r="AI674" s="77"/>
      <c r="AJ674" s="77"/>
      <c r="AK674" s="77"/>
      <c r="AL674" s="77"/>
      <c r="AM674" s="77"/>
      <c r="AN674" s="77"/>
      <c r="AO674" s="77"/>
      <c r="AP674" s="77"/>
      <c r="AQ674" s="77"/>
      <c r="AR674" s="77"/>
      <c r="AS674" s="77"/>
      <c r="AT674" s="77"/>
      <c r="AU674" s="77"/>
      <c r="AV674" s="77"/>
      <c r="AW674" s="77"/>
      <c r="AX674" s="77"/>
      <c r="AY674" s="77"/>
      <c r="AZ674" s="77"/>
      <c r="BA674" s="77"/>
      <c r="BB674" s="77"/>
      <c r="BC674" s="77"/>
      <c r="BD674" s="77"/>
      <c r="BE674" s="77"/>
    </row>
    <row r="675">
      <c r="A675" s="77"/>
      <c r="B675" s="77"/>
      <c r="C675" s="77"/>
      <c r="D675" s="77"/>
      <c r="E675" s="188"/>
      <c r="F675" s="188"/>
      <c r="G675" s="188"/>
      <c r="H675" s="188"/>
      <c r="I675" s="188"/>
      <c r="J675" s="77"/>
      <c r="K675" s="77"/>
      <c r="L675" s="77"/>
      <c r="M675" s="77"/>
      <c r="N675" s="77"/>
      <c r="O675" s="77"/>
      <c r="P675" s="77"/>
      <c r="Q675" s="77"/>
      <c r="R675" s="77"/>
      <c r="S675" s="77"/>
      <c r="T675" s="77"/>
      <c r="U675" s="77"/>
      <c r="V675" s="77"/>
      <c r="W675" s="77"/>
      <c r="X675" s="77"/>
      <c r="Y675" s="77"/>
      <c r="Z675" s="77"/>
      <c r="AA675" s="77"/>
      <c r="AB675" s="77"/>
      <c r="AC675" s="77"/>
      <c r="AD675" s="227"/>
      <c r="AE675" s="77"/>
      <c r="AF675" s="227"/>
      <c r="AG675" s="77"/>
      <c r="AH675" s="77"/>
      <c r="AI675" s="77"/>
      <c r="AJ675" s="77"/>
      <c r="AK675" s="77"/>
      <c r="AL675" s="77"/>
      <c r="AM675" s="77"/>
      <c r="AN675" s="77"/>
      <c r="AO675" s="77"/>
      <c r="AP675" s="77"/>
      <c r="AQ675" s="77"/>
      <c r="AR675" s="77"/>
      <c r="AS675" s="77"/>
      <c r="AT675" s="77"/>
      <c r="AU675" s="77"/>
      <c r="AV675" s="77"/>
      <c r="AW675" s="77"/>
      <c r="AX675" s="77"/>
      <c r="AY675" s="77"/>
      <c r="AZ675" s="77"/>
      <c r="BA675" s="77"/>
      <c r="BB675" s="77"/>
      <c r="BC675" s="77"/>
      <c r="BD675" s="77"/>
      <c r="BE675" s="77"/>
    </row>
    <row r="676">
      <c r="A676" s="77"/>
      <c r="B676" s="77"/>
      <c r="C676" s="77"/>
      <c r="D676" s="77"/>
      <c r="E676" s="188"/>
      <c r="F676" s="188"/>
      <c r="G676" s="188"/>
      <c r="H676" s="188"/>
      <c r="I676" s="188"/>
      <c r="J676" s="77"/>
      <c r="K676" s="77"/>
      <c r="L676" s="77"/>
      <c r="M676" s="77"/>
      <c r="N676" s="77"/>
      <c r="O676" s="77"/>
      <c r="P676" s="77"/>
      <c r="Q676" s="77"/>
      <c r="R676" s="77"/>
      <c r="S676" s="77"/>
      <c r="T676" s="77"/>
      <c r="U676" s="77"/>
      <c r="V676" s="77"/>
      <c r="W676" s="77"/>
      <c r="X676" s="77"/>
      <c r="Y676" s="77"/>
      <c r="Z676" s="77"/>
      <c r="AA676" s="77"/>
      <c r="AB676" s="77"/>
      <c r="AC676" s="77"/>
      <c r="AD676" s="227"/>
      <c r="AE676" s="77"/>
      <c r="AF676" s="227"/>
      <c r="AG676" s="77"/>
      <c r="AH676" s="77"/>
      <c r="AI676" s="77"/>
      <c r="AJ676" s="77"/>
      <c r="AK676" s="77"/>
      <c r="AL676" s="77"/>
      <c r="AM676" s="77"/>
      <c r="AN676" s="77"/>
      <c r="AO676" s="77"/>
      <c r="AP676" s="77"/>
      <c r="AQ676" s="77"/>
      <c r="AR676" s="77"/>
      <c r="AS676" s="77"/>
      <c r="AT676" s="77"/>
      <c r="AU676" s="77"/>
      <c r="AV676" s="77"/>
      <c r="AW676" s="77"/>
      <c r="AX676" s="77"/>
      <c r="AY676" s="77"/>
      <c r="AZ676" s="77"/>
      <c r="BA676" s="77"/>
      <c r="BB676" s="77"/>
      <c r="BC676" s="77"/>
      <c r="BD676" s="77"/>
      <c r="BE676" s="77"/>
    </row>
    <row r="677">
      <c r="A677" s="77"/>
      <c r="B677" s="77"/>
      <c r="C677" s="77"/>
      <c r="D677" s="77"/>
      <c r="E677" s="188"/>
      <c r="F677" s="188"/>
      <c r="G677" s="188"/>
      <c r="H677" s="188"/>
      <c r="I677" s="188"/>
      <c r="J677" s="77"/>
      <c r="K677" s="77"/>
      <c r="L677" s="77"/>
      <c r="M677" s="77"/>
      <c r="N677" s="77"/>
      <c r="O677" s="77"/>
      <c r="P677" s="77"/>
      <c r="Q677" s="77"/>
      <c r="R677" s="77"/>
      <c r="S677" s="77"/>
      <c r="T677" s="77"/>
      <c r="U677" s="77"/>
      <c r="V677" s="77"/>
      <c r="W677" s="77"/>
      <c r="X677" s="77"/>
      <c r="Y677" s="77"/>
      <c r="Z677" s="77"/>
      <c r="AA677" s="77"/>
      <c r="AB677" s="77"/>
      <c r="AC677" s="77"/>
      <c r="AD677" s="227"/>
      <c r="AE677" s="77"/>
      <c r="AF677" s="227"/>
      <c r="AG677" s="77"/>
      <c r="AH677" s="77"/>
      <c r="AI677" s="77"/>
      <c r="AJ677" s="77"/>
      <c r="AK677" s="77"/>
      <c r="AL677" s="77"/>
      <c r="AM677" s="77"/>
      <c r="AN677" s="77"/>
      <c r="AO677" s="77"/>
      <c r="AP677" s="77"/>
      <c r="AQ677" s="77"/>
      <c r="AR677" s="77"/>
      <c r="AS677" s="77"/>
      <c r="AT677" s="77"/>
      <c r="AU677" s="77"/>
      <c r="AV677" s="77"/>
      <c r="AW677" s="77"/>
      <c r="AX677" s="77"/>
      <c r="AY677" s="77"/>
      <c r="AZ677" s="77"/>
      <c r="BA677" s="77"/>
      <c r="BB677" s="77"/>
      <c r="BC677" s="77"/>
      <c r="BD677" s="77"/>
      <c r="BE677" s="77"/>
    </row>
    <row r="678">
      <c r="A678" s="77"/>
      <c r="B678" s="77"/>
      <c r="C678" s="77"/>
      <c r="D678" s="77"/>
      <c r="E678" s="188"/>
      <c r="F678" s="188"/>
      <c r="G678" s="188"/>
      <c r="H678" s="188"/>
      <c r="I678" s="188"/>
      <c r="J678" s="77"/>
      <c r="K678" s="77"/>
      <c r="L678" s="77"/>
      <c r="M678" s="77"/>
      <c r="N678" s="77"/>
      <c r="O678" s="77"/>
      <c r="P678" s="77"/>
      <c r="Q678" s="77"/>
      <c r="R678" s="77"/>
      <c r="S678" s="77"/>
      <c r="T678" s="77"/>
      <c r="U678" s="77"/>
      <c r="V678" s="77"/>
      <c r="W678" s="77"/>
      <c r="X678" s="77"/>
      <c r="Y678" s="77"/>
      <c r="Z678" s="77"/>
      <c r="AA678" s="77"/>
      <c r="AB678" s="77"/>
      <c r="AC678" s="77"/>
      <c r="AD678" s="227"/>
      <c r="AE678" s="77"/>
      <c r="AF678" s="227"/>
      <c r="AG678" s="77"/>
      <c r="AH678" s="77"/>
      <c r="AI678" s="77"/>
      <c r="AJ678" s="77"/>
      <c r="AK678" s="77"/>
      <c r="AL678" s="77"/>
      <c r="AM678" s="77"/>
      <c r="AN678" s="77"/>
      <c r="AO678" s="77"/>
      <c r="AP678" s="77"/>
      <c r="AQ678" s="77"/>
      <c r="AR678" s="77"/>
      <c r="AS678" s="77"/>
      <c r="AT678" s="77"/>
      <c r="AU678" s="77"/>
      <c r="AV678" s="77"/>
      <c r="AW678" s="77"/>
      <c r="AX678" s="77"/>
      <c r="AY678" s="77"/>
      <c r="AZ678" s="77"/>
      <c r="BA678" s="77"/>
      <c r="BB678" s="77"/>
      <c r="BC678" s="77"/>
      <c r="BD678" s="77"/>
      <c r="BE678" s="77"/>
    </row>
    <row r="679">
      <c r="A679" s="77"/>
      <c r="B679" s="77"/>
      <c r="C679" s="77"/>
      <c r="D679" s="77"/>
      <c r="E679" s="188"/>
      <c r="F679" s="188"/>
      <c r="G679" s="188"/>
      <c r="H679" s="188"/>
      <c r="I679" s="188"/>
      <c r="J679" s="77"/>
      <c r="K679" s="77"/>
      <c r="L679" s="77"/>
      <c r="M679" s="77"/>
      <c r="N679" s="77"/>
      <c r="O679" s="77"/>
      <c r="P679" s="77"/>
      <c r="Q679" s="77"/>
      <c r="R679" s="77"/>
      <c r="S679" s="77"/>
      <c r="T679" s="77"/>
      <c r="U679" s="77"/>
      <c r="V679" s="77"/>
      <c r="W679" s="77"/>
      <c r="X679" s="77"/>
      <c r="Y679" s="77"/>
      <c r="Z679" s="77"/>
      <c r="AA679" s="77"/>
      <c r="AB679" s="77"/>
      <c r="AC679" s="77"/>
      <c r="AD679" s="227"/>
      <c r="AE679" s="77"/>
      <c r="AF679" s="227"/>
      <c r="AG679" s="77"/>
      <c r="AH679" s="77"/>
      <c r="AI679" s="77"/>
      <c r="AJ679" s="77"/>
      <c r="AK679" s="77"/>
      <c r="AL679" s="77"/>
      <c r="AM679" s="77"/>
      <c r="AN679" s="77"/>
      <c r="AO679" s="77"/>
      <c r="AP679" s="77"/>
      <c r="AQ679" s="77"/>
      <c r="AR679" s="77"/>
      <c r="AS679" s="77"/>
      <c r="AT679" s="77"/>
      <c r="AU679" s="77"/>
      <c r="AV679" s="77"/>
      <c r="AW679" s="77"/>
      <c r="AX679" s="77"/>
      <c r="AY679" s="77"/>
      <c r="AZ679" s="77"/>
      <c r="BA679" s="77"/>
      <c r="BB679" s="77"/>
      <c r="BC679" s="77"/>
      <c r="BD679" s="77"/>
      <c r="BE679" s="77"/>
    </row>
    <row r="680">
      <c r="A680" s="77"/>
      <c r="B680" s="77"/>
      <c r="C680" s="77"/>
      <c r="D680" s="77"/>
      <c r="E680" s="188"/>
      <c r="F680" s="188"/>
      <c r="G680" s="188"/>
      <c r="H680" s="188"/>
      <c r="I680" s="188"/>
      <c r="J680" s="77"/>
      <c r="K680" s="77"/>
      <c r="L680" s="77"/>
      <c r="M680" s="77"/>
      <c r="N680" s="77"/>
      <c r="O680" s="77"/>
      <c r="P680" s="77"/>
      <c r="Q680" s="77"/>
      <c r="R680" s="77"/>
      <c r="S680" s="77"/>
      <c r="T680" s="77"/>
      <c r="U680" s="77"/>
      <c r="V680" s="77"/>
      <c r="W680" s="77"/>
      <c r="X680" s="77"/>
      <c r="Y680" s="77"/>
      <c r="Z680" s="77"/>
      <c r="AA680" s="77"/>
      <c r="AB680" s="77"/>
      <c r="AC680" s="77"/>
      <c r="AD680" s="227"/>
      <c r="AE680" s="77"/>
      <c r="AF680" s="227"/>
      <c r="AG680" s="77"/>
      <c r="AH680" s="77"/>
      <c r="AI680" s="77"/>
      <c r="AJ680" s="77"/>
      <c r="AK680" s="77"/>
      <c r="AL680" s="77"/>
      <c r="AM680" s="77"/>
      <c r="AN680" s="77"/>
      <c r="AO680" s="77"/>
      <c r="AP680" s="77"/>
      <c r="AQ680" s="77"/>
      <c r="AR680" s="77"/>
      <c r="AS680" s="77"/>
      <c r="AT680" s="77"/>
      <c r="AU680" s="77"/>
      <c r="AV680" s="77"/>
      <c r="AW680" s="77"/>
      <c r="AX680" s="77"/>
      <c r="AY680" s="77"/>
      <c r="AZ680" s="77"/>
      <c r="BA680" s="77"/>
      <c r="BB680" s="77"/>
      <c r="BC680" s="77"/>
      <c r="BD680" s="77"/>
      <c r="BE680" s="77"/>
    </row>
    <row r="681">
      <c r="A681" s="77"/>
      <c r="B681" s="77"/>
      <c r="C681" s="77"/>
      <c r="D681" s="77"/>
      <c r="E681" s="188"/>
      <c r="F681" s="188"/>
      <c r="G681" s="188"/>
      <c r="H681" s="188"/>
      <c r="I681" s="188"/>
      <c r="J681" s="77"/>
      <c r="K681" s="77"/>
      <c r="L681" s="77"/>
      <c r="M681" s="77"/>
      <c r="N681" s="77"/>
      <c r="O681" s="77"/>
      <c r="P681" s="77"/>
      <c r="Q681" s="77"/>
      <c r="R681" s="77"/>
      <c r="S681" s="77"/>
      <c r="T681" s="77"/>
      <c r="U681" s="77"/>
      <c r="V681" s="77"/>
      <c r="W681" s="77"/>
      <c r="X681" s="77"/>
      <c r="Y681" s="77"/>
      <c r="Z681" s="77"/>
      <c r="AA681" s="77"/>
      <c r="AB681" s="77"/>
      <c r="AC681" s="77"/>
      <c r="AD681" s="227"/>
      <c r="AE681" s="77"/>
      <c r="AF681" s="227"/>
      <c r="AG681" s="77"/>
      <c r="AH681" s="77"/>
      <c r="AI681" s="77"/>
      <c r="AJ681" s="77"/>
      <c r="AK681" s="77"/>
      <c r="AL681" s="77"/>
      <c r="AM681" s="77"/>
      <c r="AN681" s="77"/>
      <c r="AO681" s="77"/>
      <c r="AP681" s="77"/>
      <c r="AQ681" s="77"/>
      <c r="AR681" s="77"/>
      <c r="AS681" s="77"/>
      <c r="AT681" s="77"/>
      <c r="AU681" s="77"/>
      <c r="AV681" s="77"/>
      <c r="AW681" s="77"/>
      <c r="AX681" s="77"/>
      <c r="AY681" s="77"/>
      <c r="AZ681" s="77"/>
      <c r="BA681" s="77"/>
      <c r="BB681" s="77"/>
      <c r="BC681" s="77"/>
      <c r="BD681" s="77"/>
      <c r="BE681" s="77"/>
    </row>
    <row r="682">
      <c r="A682" s="77"/>
      <c r="B682" s="77"/>
      <c r="C682" s="77"/>
      <c r="D682" s="77"/>
      <c r="E682" s="188"/>
      <c r="F682" s="188"/>
      <c r="G682" s="188"/>
      <c r="H682" s="188"/>
      <c r="I682" s="188"/>
      <c r="J682" s="77"/>
      <c r="K682" s="77"/>
      <c r="L682" s="77"/>
      <c r="M682" s="77"/>
      <c r="N682" s="77"/>
      <c r="O682" s="77"/>
      <c r="P682" s="77"/>
      <c r="Q682" s="77"/>
      <c r="R682" s="77"/>
      <c r="S682" s="77"/>
      <c r="T682" s="77"/>
      <c r="U682" s="77"/>
      <c r="V682" s="77"/>
      <c r="W682" s="77"/>
      <c r="X682" s="77"/>
      <c r="Y682" s="77"/>
      <c r="Z682" s="77"/>
      <c r="AA682" s="77"/>
      <c r="AB682" s="77"/>
      <c r="AC682" s="77"/>
      <c r="AD682" s="227"/>
      <c r="AE682" s="77"/>
      <c r="AF682" s="227"/>
      <c r="AG682" s="77"/>
      <c r="AH682" s="77"/>
      <c r="AI682" s="77"/>
      <c r="AJ682" s="77"/>
      <c r="AK682" s="77"/>
      <c r="AL682" s="77"/>
      <c r="AM682" s="77"/>
      <c r="AN682" s="77"/>
      <c r="AO682" s="77"/>
      <c r="AP682" s="77"/>
      <c r="AQ682" s="77"/>
      <c r="AR682" s="77"/>
      <c r="AS682" s="77"/>
      <c r="AT682" s="77"/>
      <c r="AU682" s="77"/>
      <c r="AV682" s="77"/>
      <c r="AW682" s="77"/>
      <c r="AX682" s="77"/>
      <c r="AY682" s="77"/>
      <c r="AZ682" s="77"/>
      <c r="BA682" s="77"/>
      <c r="BB682" s="77"/>
      <c r="BC682" s="77"/>
      <c r="BD682" s="77"/>
      <c r="BE682" s="77"/>
    </row>
    <row r="683">
      <c r="A683" s="77"/>
      <c r="B683" s="77"/>
      <c r="C683" s="77"/>
      <c r="D683" s="77"/>
      <c r="E683" s="188"/>
      <c r="F683" s="188"/>
      <c r="G683" s="188"/>
      <c r="H683" s="188"/>
      <c r="I683" s="188"/>
      <c r="J683" s="77"/>
      <c r="K683" s="77"/>
      <c r="L683" s="77"/>
      <c r="M683" s="77"/>
      <c r="N683" s="77"/>
      <c r="O683" s="77"/>
      <c r="P683" s="77"/>
      <c r="Q683" s="77"/>
      <c r="R683" s="77"/>
      <c r="S683" s="77"/>
      <c r="T683" s="77"/>
      <c r="U683" s="77"/>
      <c r="V683" s="77"/>
      <c r="W683" s="77"/>
      <c r="X683" s="77"/>
      <c r="Y683" s="77"/>
      <c r="Z683" s="77"/>
      <c r="AA683" s="77"/>
      <c r="AB683" s="77"/>
      <c r="AC683" s="77"/>
      <c r="AD683" s="227"/>
      <c r="AE683" s="77"/>
      <c r="AF683" s="227"/>
      <c r="AG683" s="77"/>
      <c r="AH683" s="77"/>
      <c r="AI683" s="77"/>
      <c r="AJ683" s="77"/>
      <c r="AK683" s="77"/>
      <c r="AL683" s="77"/>
      <c r="AM683" s="77"/>
      <c r="AN683" s="77"/>
      <c r="AO683" s="77"/>
      <c r="AP683" s="77"/>
      <c r="AQ683" s="77"/>
      <c r="AR683" s="77"/>
      <c r="AS683" s="77"/>
      <c r="AT683" s="77"/>
      <c r="AU683" s="77"/>
      <c r="AV683" s="77"/>
      <c r="AW683" s="77"/>
      <c r="AX683" s="77"/>
      <c r="AY683" s="77"/>
      <c r="AZ683" s="77"/>
      <c r="BA683" s="77"/>
      <c r="BB683" s="77"/>
      <c r="BC683" s="77"/>
      <c r="BD683" s="77"/>
      <c r="BE683" s="77"/>
    </row>
    <row r="684">
      <c r="A684" s="77"/>
      <c r="B684" s="77"/>
      <c r="C684" s="77"/>
      <c r="D684" s="77"/>
      <c r="E684" s="188"/>
      <c r="F684" s="188"/>
      <c r="G684" s="188"/>
      <c r="H684" s="188"/>
      <c r="I684" s="188"/>
      <c r="J684" s="77"/>
      <c r="K684" s="77"/>
      <c r="L684" s="77"/>
      <c r="M684" s="77"/>
      <c r="N684" s="77"/>
      <c r="O684" s="77"/>
      <c r="P684" s="77"/>
      <c r="Q684" s="77"/>
      <c r="R684" s="77"/>
      <c r="S684" s="77"/>
      <c r="T684" s="77"/>
      <c r="U684" s="77"/>
      <c r="V684" s="77"/>
      <c r="W684" s="77"/>
      <c r="X684" s="77"/>
      <c r="Y684" s="77"/>
      <c r="Z684" s="77"/>
      <c r="AA684" s="77"/>
      <c r="AB684" s="77"/>
      <c r="AC684" s="77"/>
      <c r="AD684" s="227"/>
      <c r="AE684" s="77"/>
      <c r="AF684" s="227"/>
      <c r="AG684" s="77"/>
      <c r="AH684" s="77"/>
      <c r="AI684" s="77"/>
      <c r="AJ684" s="77"/>
      <c r="AK684" s="77"/>
      <c r="AL684" s="77"/>
      <c r="AM684" s="77"/>
      <c r="AN684" s="77"/>
      <c r="AO684" s="77"/>
      <c r="AP684" s="77"/>
      <c r="AQ684" s="77"/>
      <c r="AR684" s="77"/>
      <c r="AS684" s="77"/>
      <c r="AT684" s="77"/>
      <c r="AU684" s="77"/>
      <c r="AV684" s="77"/>
      <c r="AW684" s="77"/>
      <c r="AX684" s="77"/>
      <c r="AY684" s="77"/>
      <c r="AZ684" s="77"/>
      <c r="BA684" s="77"/>
      <c r="BB684" s="77"/>
      <c r="BC684" s="77"/>
      <c r="BD684" s="77"/>
      <c r="BE684" s="77"/>
    </row>
    <row r="685">
      <c r="A685" s="77"/>
      <c r="B685" s="77"/>
      <c r="C685" s="77"/>
      <c r="D685" s="77"/>
      <c r="E685" s="188"/>
      <c r="F685" s="188"/>
      <c r="G685" s="188"/>
      <c r="H685" s="188"/>
      <c r="I685" s="188"/>
      <c r="J685" s="77"/>
      <c r="K685" s="77"/>
      <c r="L685" s="77"/>
      <c r="M685" s="77"/>
      <c r="N685" s="77"/>
      <c r="O685" s="77"/>
      <c r="P685" s="77"/>
      <c r="Q685" s="77"/>
      <c r="R685" s="77"/>
      <c r="S685" s="77"/>
      <c r="T685" s="77"/>
      <c r="U685" s="77"/>
      <c r="V685" s="77"/>
      <c r="W685" s="77"/>
      <c r="X685" s="77"/>
      <c r="Y685" s="77"/>
      <c r="Z685" s="77"/>
      <c r="AA685" s="77"/>
      <c r="AB685" s="77"/>
      <c r="AC685" s="77"/>
      <c r="AD685" s="227"/>
      <c r="AE685" s="77"/>
      <c r="AF685" s="227"/>
      <c r="AG685" s="77"/>
      <c r="AH685" s="77"/>
      <c r="AI685" s="77"/>
      <c r="AJ685" s="77"/>
      <c r="AK685" s="77"/>
      <c r="AL685" s="77"/>
      <c r="AM685" s="77"/>
      <c r="AN685" s="77"/>
      <c r="AO685" s="77"/>
      <c r="AP685" s="77"/>
      <c r="AQ685" s="77"/>
      <c r="AR685" s="77"/>
      <c r="AS685" s="77"/>
      <c r="AT685" s="77"/>
      <c r="AU685" s="77"/>
      <c r="AV685" s="77"/>
      <c r="AW685" s="77"/>
      <c r="AX685" s="77"/>
      <c r="AY685" s="77"/>
      <c r="AZ685" s="77"/>
      <c r="BA685" s="77"/>
      <c r="BB685" s="77"/>
      <c r="BC685" s="77"/>
      <c r="BD685" s="77"/>
      <c r="BE685" s="77"/>
    </row>
    <row r="686">
      <c r="A686" s="77"/>
      <c r="B686" s="77"/>
      <c r="C686" s="77"/>
      <c r="D686" s="77"/>
      <c r="E686" s="188"/>
      <c r="F686" s="188"/>
      <c r="G686" s="188"/>
      <c r="H686" s="188"/>
      <c r="I686" s="188"/>
      <c r="J686" s="77"/>
      <c r="K686" s="77"/>
      <c r="L686" s="77"/>
      <c r="M686" s="77"/>
      <c r="N686" s="77"/>
      <c r="O686" s="77"/>
      <c r="P686" s="77"/>
      <c r="Q686" s="77"/>
      <c r="R686" s="77"/>
      <c r="S686" s="77"/>
      <c r="T686" s="77"/>
      <c r="U686" s="77"/>
      <c r="V686" s="77"/>
      <c r="W686" s="77"/>
      <c r="X686" s="77"/>
      <c r="Y686" s="77"/>
      <c r="Z686" s="77"/>
      <c r="AA686" s="77"/>
      <c r="AB686" s="77"/>
      <c r="AC686" s="77"/>
      <c r="AD686" s="227"/>
      <c r="AE686" s="77"/>
      <c r="AF686" s="227"/>
      <c r="AG686" s="77"/>
      <c r="AH686" s="77"/>
      <c r="AI686" s="77"/>
      <c r="AJ686" s="77"/>
      <c r="AK686" s="77"/>
      <c r="AL686" s="77"/>
      <c r="AM686" s="77"/>
      <c r="AN686" s="77"/>
      <c r="AO686" s="77"/>
      <c r="AP686" s="77"/>
      <c r="AQ686" s="77"/>
      <c r="AR686" s="77"/>
      <c r="AS686" s="77"/>
      <c r="AT686" s="77"/>
      <c r="AU686" s="77"/>
      <c r="AV686" s="77"/>
      <c r="AW686" s="77"/>
      <c r="AX686" s="77"/>
      <c r="AY686" s="77"/>
      <c r="AZ686" s="77"/>
      <c r="BA686" s="77"/>
      <c r="BB686" s="77"/>
      <c r="BC686" s="77"/>
      <c r="BD686" s="77"/>
      <c r="BE686" s="77"/>
    </row>
    <row r="687">
      <c r="A687" s="77"/>
      <c r="B687" s="77"/>
      <c r="C687" s="77"/>
      <c r="D687" s="77"/>
      <c r="E687" s="188"/>
      <c r="F687" s="188"/>
      <c r="G687" s="188"/>
      <c r="H687" s="188"/>
      <c r="I687" s="188"/>
      <c r="J687" s="77"/>
      <c r="K687" s="77"/>
      <c r="L687" s="77"/>
      <c r="M687" s="77"/>
      <c r="N687" s="77"/>
      <c r="O687" s="77"/>
      <c r="P687" s="77"/>
      <c r="Q687" s="77"/>
      <c r="R687" s="77"/>
      <c r="S687" s="77"/>
      <c r="T687" s="77"/>
      <c r="U687" s="77"/>
      <c r="V687" s="77"/>
      <c r="W687" s="77"/>
      <c r="X687" s="77"/>
      <c r="Y687" s="77"/>
      <c r="Z687" s="77"/>
      <c r="AA687" s="77"/>
      <c r="AB687" s="77"/>
      <c r="AC687" s="77"/>
      <c r="AD687" s="227"/>
      <c r="AE687" s="77"/>
      <c r="AF687" s="227"/>
      <c r="AG687" s="77"/>
      <c r="AH687" s="77"/>
      <c r="AI687" s="77"/>
      <c r="AJ687" s="77"/>
      <c r="AK687" s="77"/>
      <c r="AL687" s="77"/>
      <c r="AM687" s="77"/>
      <c r="AN687" s="77"/>
      <c r="AO687" s="77"/>
      <c r="AP687" s="77"/>
      <c r="AQ687" s="77"/>
      <c r="AR687" s="77"/>
      <c r="AS687" s="77"/>
      <c r="AT687" s="77"/>
      <c r="AU687" s="77"/>
      <c r="AV687" s="77"/>
      <c r="AW687" s="77"/>
      <c r="AX687" s="77"/>
      <c r="AY687" s="77"/>
      <c r="AZ687" s="77"/>
      <c r="BA687" s="77"/>
      <c r="BB687" s="77"/>
      <c r="BC687" s="77"/>
      <c r="BD687" s="77"/>
      <c r="BE687" s="77"/>
    </row>
    <row r="688">
      <c r="A688" s="77"/>
      <c r="B688" s="77"/>
      <c r="C688" s="77"/>
      <c r="D688" s="77"/>
      <c r="E688" s="188"/>
      <c r="F688" s="188"/>
      <c r="G688" s="188"/>
      <c r="H688" s="188"/>
      <c r="I688" s="188"/>
      <c r="J688" s="77"/>
      <c r="K688" s="77"/>
      <c r="L688" s="77"/>
      <c r="M688" s="77"/>
      <c r="N688" s="77"/>
      <c r="O688" s="77"/>
      <c r="P688" s="77"/>
      <c r="Q688" s="77"/>
      <c r="R688" s="77"/>
      <c r="S688" s="77"/>
      <c r="T688" s="77"/>
      <c r="U688" s="77"/>
      <c r="V688" s="77"/>
      <c r="W688" s="77"/>
      <c r="X688" s="77"/>
      <c r="Y688" s="77"/>
      <c r="Z688" s="77"/>
      <c r="AA688" s="77"/>
      <c r="AB688" s="77"/>
      <c r="AC688" s="77"/>
      <c r="AD688" s="227"/>
      <c r="AE688" s="77"/>
      <c r="AF688" s="227"/>
      <c r="AG688" s="77"/>
      <c r="AH688" s="77"/>
      <c r="AI688" s="77"/>
      <c r="AJ688" s="77"/>
      <c r="AK688" s="77"/>
      <c r="AL688" s="77"/>
      <c r="AM688" s="77"/>
      <c r="AN688" s="77"/>
      <c r="AO688" s="77"/>
      <c r="AP688" s="77"/>
      <c r="AQ688" s="77"/>
      <c r="AR688" s="77"/>
      <c r="AS688" s="77"/>
      <c r="AT688" s="77"/>
      <c r="AU688" s="77"/>
      <c r="AV688" s="77"/>
      <c r="AW688" s="77"/>
      <c r="AX688" s="77"/>
      <c r="AY688" s="77"/>
      <c r="AZ688" s="77"/>
      <c r="BA688" s="77"/>
      <c r="BB688" s="77"/>
      <c r="BC688" s="77"/>
      <c r="BD688" s="77"/>
      <c r="BE688" s="77"/>
    </row>
    <row r="689">
      <c r="A689" s="77"/>
      <c r="B689" s="77"/>
      <c r="C689" s="77"/>
      <c r="D689" s="77"/>
      <c r="E689" s="188"/>
      <c r="F689" s="188"/>
      <c r="G689" s="188"/>
      <c r="H689" s="188"/>
      <c r="I689" s="188"/>
      <c r="J689" s="77"/>
      <c r="K689" s="77"/>
      <c r="L689" s="77"/>
      <c r="M689" s="77"/>
      <c r="N689" s="77"/>
      <c r="O689" s="77"/>
      <c r="P689" s="77"/>
      <c r="Q689" s="77"/>
      <c r="R689" s="77"/>
      <c r="S689" s="77"/>
      <c r="T689" s="77"/>
      <c r="U689" s="77"/>
      <c r="V689" s="77"/>
      <c r="W689" s="77"/>
      <c r="X689" s="77"/>
      <c r="Y689" s="77"/>
      <c r="Z689" s="77"/>
      <c r="AA689" s="77"/>
      <c r="AB689" s="77"/>
      <c r="AC689" s="77"/>
      <c r="AD689" s="227"/>
      <c r="AE689" s="77"/>
      <c r="AF689" s="227"/>
      <c r="AG689" s="77"/>
      <c r="AH689" s="77"/>
      <c r="AI689" s="77"/>
      <c r="AJ689" s="77"/>
      <c r="AK689" s="77"/>
      <c r="AL689" s="77"/>
      <c r="AM689" s="77"/>
      <c r="AN689" s="77"/>
      <c r="AO689" s="77"/>
      <c r="AP689" s="77"/>
      <c r="AQ689" s="77"/>
      <c r="AR689" s="77"/>
      <c r="AS689" s="77"/>
      <c r="AT689" s="77"/>
      <c r="AU689" s="77"/>
      <c r="AV689" s="77"/>
      <c r="AW689" s="77"/>
      <c r="AX689" s="77"/>
      <c r="AY689" s="77"/>
      <c r="AZ689" s="77"/>
      <c r="BA689" s="77"/>
      <c r="BB689" s="77"/>
      <c r="BC689" s="77"/>
      <c r="BD689" s="77"/>
      <c r="BE689" s="77"/>
    </row>
    <row r="690">
      <c r="A690" s="77"/>
      <c r="B690" s="77"/>
      <c r="C690" s="77"/>
      <c r="D690" s="77"/>
      <c r="E690" s="188"/>
      <c r="F690" s="188"/>
      <c r="G690" s="188"/>
      <c r="H690" s="188"/>
      <c r="I690" s="188"/>
      <c r="J690" s="77"/>
      <c r="K690" s="77"/>
      <c r="L690" s="77"/>
      <c r="M690" s="77"/>
      <c r="N690" s="77"/>
      <c r="O690" s="77"/>
      <c r="P690" s="77"/>
      <c r="Q690" s="77"/>
      <c r="R690" s="77"/>
      <c r="S690" s="77"/>
      <c r="T690" s="77"/>
      <c r="U690" s="77"/>
      <c r="V690" s="77"/>
      <c r="W690" s="77"/>
      <c r="X690" s="77"/>
      <c r="Y690" s="77"/>
      <c r="Z690" s="77"/>
      <c r="AA690" s="77"/>
      <c r="AB690" s="77"/>
      <c r="AC690" s="77"/>
      <c r="AD690" s="227"/>
      <c r="AE690" s="77"/>
      <c r="AF690" s="227"/>
      <c r="AG690" s="77"/>
      <c r="AH690" s="77"/>
      <c r="AI690" s="77"/>
      <c r="AJ690" s="77"/>
      <c r="AK690" s="77"/>
      <c r="AL690" s="77"/>
      <c r="AM690" s="77"/>
      <c r="AN690" s="77"/>
      <c r="AO690" s="77"/>
      <c r="AP690" s="77"/>
      <c r="AQ690" s="77"/>
      <c r="AR690" s="77"/>
      <c r="AS690" s="77"/>
      <c r="AT690" s="77"/>
      <c r="AU690" s="77"/>
      <c r="AV690" s="77"/>
      <c r="AW690" s="77"/>
      <c r="AX690" s="77"/>
      <c r="AY690" s="77"/>
      <c r="AZ690" s="77"/>
      <c r="BA690" s="77"/>
      <c r="BB690" s="77"/>
      <c r="BC690" s="77"/>
      <c r="BD690" s="77"/>
      <c r="BE690" s="77"/>
    </row>
    <row r="691">
      <c r="A691" s="77"/>
      <c r="B691" s="77"/>
      <c r="C691" s="77"/>
      <c r="D691" s="77"/>
      <c r="E691" s="188"/>
      <c r="F691" s="188"/>
      <c r="G691" s="188"/>
      <c r="H691" s="188"/>
      <c r="I691" s="188"/>
      <c r="J691" s="77"/>
      <c r="K691" s="77"/>
      <c r="L691" s="77"/>
      <c r="M691" s="77"/>
      <c r="N691" s="77"/>
      <c r="O691" s="77"/>
      <c r="P691" s="77"/>
      <c r="Q691" s="77"/>
      <c r="R691" s="77"/>
      <c r="S691" s="77"/>
      <c r="T691" s="77"/>
      <c r="U691" s="77"/>
      <c r="V691" s="77"/>
      <c r="W691" s="77"/>
      <c r="X691" s="77"/>
      <c r="Y691" s="77"/>
      <c r="Z691" s="77"/>
      <c r="AA691" s="77"/>
      <c r="AB691" s="77"/>
      <c r="AC691" s="77"/>
      <c r="AD691" s="227"/>
      <c r="AE691" s="77"/>
      <c r="AF691" s="227"/>
      <c r="AG691" s="77"/>
      <c r="AH691" s="77"/>
      <c r="AI691" s="77"/>
      <c r="AJ691" s="77"/>
      <c r="AK691" s="77"/>
      <c r="AL691" s="77"/>
      <c r="AM691" s="77"/>
      <c r="AN691" s="77"/>
      <c r="AO691" s="77"/>
      <c r="AP691" s="77"/>
      <c r="AQ691" s="77"/>
      <c r="AR691" s="77"/>
      <c r="AS691" s="77"/>
      <c r="AT691" s="77"/>
      <c r="AU691" s="77"/>
      <c r="AV691" s="77"/>
      <c r="AW691" s="77"/>
      <c r="AX691" s="77"/>
      <c r="AY691" s="77"/>
      <c r="AZ691" s="77"/>
      <c r="BA691" s="77"/>
      <c r="BB691" s="77"/>
      <c r="BC691" s="77"/>
      <c r="BD691" s="77"/>
      <c r="BE691" s="77"/>
    </row>
    <row r="692">
      <c r="A692" s="77"/>
      <c r="B692" s="77"/>
      <c r="C692" s="77"/>
      <c r="D692" s="77"/>
      <c r="E692" s="188"/>
      <c r="F692" s="188"/>
      <c r="G692" s="188"/>
      <c r="H692" s="188"/>
      <c r="I692" s="188"/>
      <c r="J692" s="77"/>
      <c r="K692" s="77"/>
      <c r="L692" s="77"/>
      <c r="M692" s="77"/>
      <c r="N692" s="77"/>
      <c r="O692" s="77"/>
      <c r="P692" s="77"/>
      <c r="Q692" s="77"/>
      <c r="R692" s="77"/>
      <c r="S692" s="77"/>
      <c r="T692" s="77"/>
      <c r="U692" s="77"/>
      <c r="V692" s="77"/>
      <c r="W692" s="77"/>
      <c r="X692" s="77"/>
      <c r="Y692" s="77"/>
      <c r="Z692" s="77"/>
      <c r="AA692" s="77"/>
      <c r="AB692" s="77"/>
      <c r="AC692" s="77"/>
      <c r="AD692" s="227"/>
      <c r="AE692" s="77"/>
      <c r="AF692" s="227"/>
      <c r="AG692" s="77"/>
      <c r="AH692" s="77"/>
      <c r="AI692" s="77"/>
      <c r="AJ692" s="77"/>
      <c r="AK692" s="77"/>
      <c r="AL692" s="77"/>
      <c r="AM692" s="77"/>
      <c r="AN692" s="77"/>
      <c r="AO692" s="77"/>
      <c r="AP692" s="77"/>
      <c r="AQ692" s="77"/>
      <c r="AR692" s="77"/>
      <c r="AS692" s="77"/>
      <c r="AT692" s="77"/>
      <c r="AU692" s="77"/>
      <c r="AV692" s="77"/>
      <c r="AW692" s="77"/>
      <c r="AX692" s="77"/>
      <c r="AY692" s="77"/>
      <c r="AZ692" s="77"/>
      <c r="BA692" s="77"/>
      <c r="BB692" s="77"/>
      <c r="BC692" s="77"/>
      <c r="BD692" s="77"/>
      <c r="BE692" s="77"/>
    </row>
    <row r="693">
      <c r="A693" s="77"/>
      <c r="B693" s="77"/>
      <c r="C693" s="77"/>
      <c r="D693" s="77"/>
      <c r="E693" s="188"/>
      <c r="F693" s="188"/>
      <c r="G693" s="188"/>
      <c r="H693" s="188"/>
      <c r="I693" s="188"/>
      <c r="J693" s="77"/>
      <c r="K693" s="77"/>
      <c r="L693" s="77"/>
      <c r="M693" s="77"/>
      <c r="N693" s="77"/>
      <c r="O693" s="77"/>
      <c r="P693" s="77"/>
      <c r="Q693" s="77"/>
      <c r="R693" s="77"/>
      <c r="S693" s="77"/>
      <c r="T693" s="77"/>
      <c r="U693" s="77"/>
      <c r="V693" s="77"/>
      <c r="W693" s="77"/>
      <c r="X693" s="77"/>
      <c r="Y693" s="77"/>
      <c r="Z693" s="77"/>
      <c r="AA693" s="77"/>
      <c r="AB693" s="77"/>
      <c r="AC693" s="77"/>
      <c r="AD693" s="227"/>
      <c r="AE693" s="77"/>
      <c r="AF693" s="227"/>
      <c r="AG693" s="77"/>
      <c r="AH693" s="77"/>
      <c r="AI693" s="77"/>
      <c r="AJ693" s="77"/>
      <c r="AK693" s="77"/>
      <c r="AL693" s="77"/>
      <c r="AM693" s="77"/>
      <c r="AN693" s="77"/>
      <c r="AO693" s="77"/>
      <c r="AP693" s="77"/>
      <c r="AQ693" s="77"/>
      <c r="AR693" s="77"/>
      <c r="AS693" s="77"/>
      <c r="AT693" s="77"/>
      <c r="AU693" s="77"/>
      <c r="AV693" s="77"/>
      <c r="AW693" s="77"/>
      <c r="AX693" s="77"/>
      <c r="AY693" s="77"/>
      <c r="AZ693" s="77"/>
      <c r="BA693" s="77"/>
      <c r="BB693" s="77"/>
      <c r="BC693" s="77"/>
      <c r="BD693" s="77"/>
      <c r="BE693" s="77"/>
    </row>
    <row r="694">
      <c r="A694" s="77"/>
      <c r="B694" s="77"/>
      <c r="C694" s="77"/>
      <c r="D694" s="77"/>
      <c r="E694" s="188"/>
      <c r="F694" s="188"/>
      <c r="G694" s="188"/>
      <c r="H694" s="188"/>
      <c r="I694" s="188"/>
      <c r="J694" s="77"/>
      <c r="K694" s="77"/>
      <c r="L694" s="77"/>
      <c r="M694" s="77"/>
      <c r="N694" s="77"/>
      <c r="O694" s="77"/>
      <c r="P694" s="77"/>
      <c r="Q694" s="77"/>
      <c r="R694" s="77"/>
      <c r="S694" s="77"/>
      <c r="T694" s="77"/>
      <c r="U694" s="77"/>
      <c r="V694" s="77"/>
      <c r="W694" s="77"/>
      <c r="X694" s="77"/>
      <c r="Y694" s="77"/>
      <c r="Z694" s="77"/>
      <c r="AA694" s="77"/>
      <c r="AB694" s="77"/>
      <c r="AC694" s="77"/>
      <c r="AD694" s="227"/>
      <c r="AE694" s="77"/>
      <c r="AF694" s="227"/>
      <c r="AG694" s="77"/>
      <c r="AH694" s="77"/>
      <c r="AI694" s="77"/>
      <c r="AJ694" s="77"/>
      <c r="AK694" s="77"/>
      <c r="AL694" s="77"/>
      <c r="AM694" s="77"/>
      <c r="AN694" s="77"/>
      <c r="AO694" s="77"/>
      <c r="AP694" s="77"/>
      <c r="AQ694" s="77"/>
      <c r="AR694" s="77"/>
      <c r="AS694" s="77"/>
      <c r="AT694" s="77"/>
      <c r="AU694" s="77"/>
      <c r="AV694" s="77"/>
      <c r="AW694" s="77"/>
      <c r="AX694" s="77"/>
      <c r="AY694" s="77"/>
      <c r="AZ694" s="77"/>
      <c r="BA694" s="77"/>
      <c r="BB694" s="77"/>
      <c r="BC694" s="77"/>
      <c r="BD694" s="77"/>
      <c r="BE694" s="77"/>
    </row>
    <row r="695">
      <c r="A695" s="77"/>
      <c r="B695" s="77"/>
      <c r="C695" s="77"/>
      <c r="D695" s="77"/>
      <c r="E695" s="188"/>
      <c r="F695" s="188"/>
      <c r="G695" s="188"/>
      <c r="H695" s="188"/>
      <c r="I695" s="188"/>
      <c r="J695" s="77"/>
      <c r="K695" s="77"/>
      <c r="L695" s="77"/>
      <c r="M695" s="77"/>
      <c r="N695" s="77"/>
      <c r="O695" s="77"/>
      <c r="P695" s="77"/>
      <c r="Q695" s="77"/>
      <c r="R695" s="77"/>
      <c r="S695" s="77"/>
      <c r="T695" s="77"/>
      <c r="U695" s="77"/>
      <c r="V695" s="77"/>
      <c r="W695" s="77"/>
      <c r="X695" s="77"/>
      <c r="Y695" s="77"/>
      <c r="Z695" s="77"/>
      <c r="AA695" s="77"/>
      <c r="AB695" s="77"/>
      <c r="AC695" s="77"/>
      <c r="AD695" s="227"/>
      <c r="AE695" s="77"/>
      <c r="AF695" s="227"/>
      <c r="AG695" s="77"/>
      <c r="AH695" s="77"/>
      <c r="AI695" s="77"/>
      <c r="AJ695" s="77"/>
      <c r="AK695" s="77"/>
      <c r="AL695" s="77"/>
      <c r="AM695" s="77"/>
      <c r="AN695" s="77"/>
      <c r="AO695" s="77"/>
      <c r="AP695" s="77"/>
      <c r="AQ695" s="77"/>
      <c r="AR695" s="77"/>
      <c r="AS695" s="77"/>
      <c r="AT695" s="77"/>
      <c r="AU695" s="77"/>
      <c r="AV695" s="77"/>
      <c r="AW695" s="77"/>
      <c r="AX695" s="77"/>
      <c r="AY695" s="77"/>
      <c r="AZ695" s="77"/>
      <c r="BA695" s="77"/>
      <c r="BB695" s="77"/>
      <c r="BC695" s="77"/>
      <c r="BD695" s="77"/>
      <c r="BE695" s="77"/>
    </row>
    <row r="696">
      <c r="A696" s="77"/>
      <c r="B696" s="77"/>
      <c r="C696" s="77"/>
      <c r="D696" s="77"/>
      <c r="E696" s="188"/>
      <c r="F696" s="188"/>
      <c r="G696" s="188"/>
      <c r="H696" s="188"/>
      <c r="I696" s="188"/>
      <c r="J696" s="77"/>
      <c r="K696" s="77"/>
      <c r="L696" s="77"/>
      <c r="M696" s="77"/>
      <c r="N696" s="77"/>
      <c r="O696" s="77"/>
      <c r="P696" s="77"/>
      <c r="Q696" s="77"/>
      <c r="R696" s="77"/>
      <c r="S696" s="77"/>
      <c r="T696" s="77"/>
      <c r="U696" s="77"/>
      <c r="V696" s="77"/>
      <c r="W696" s="77"/>
      <c r="X696" s="77"/>
      <c r="Y696" s="77"/>
      <c r="Z696" s="77"/>
      <c r="AA696" s="77"/>
      <c r="AB696" s="77"/>
      <c r="AC696" s="77"/>
      <c r="AD696" s="227"/>
      <c r="AE696" s="77"/>
      <c r="AF696" s="227"/>
      <c r="AG696" s="77"/>
      <c r="AH696" s="77"/>
      <c r="AI696" s="77"/>
      <c r="AJ696" s="77"/>
      <c r="AK696" s="77"/>
      <c r="AL696" s="77"/>
      <c r="AM696" s="77"/>
      <c r="AN696" s="77"/>
      <c r="AO696" s="77"/>
      <c r="AP696" s="77"/>
      <c r="AQ696" s="77"/>
      <c r="AR696" s="77"/>
      <c r="AS696" s="77"/>
      <c r="AT696" s="77"/>
      <c r="AU696" s="77"/>
      <c r="AV696" s="77"/>
      <c r="AW696" s="77"/>
      <c r="AX696" s="77"/>
      <c r="AY696" s="77"/>
      <c r="AZ696" s="77"/>
      <c r="BA696" s="77"/>
      <c r="BB696" s="77"/>
      <c r="BC696" s="77"/>
      <c r="BD696" s="77"/>
      <c r="BE696" s="77"/>
    </row>
    <row r="697">
      <c r="A697" s="77"/>
      <c r="B697" s="77"/>
      <c r="C697" s="77"/>
      <c r="D697" s="77"/>
      <c r="E697" s="188"/>
      <c r="F697" s="188"/>
      <c r="G697" s="188"/>
      <c r="H697" s="188"/>
      <c r="I697" s="188"/>
      <c r="J697" s="77"/>
      <c r="K697" s="77"/>
      <c r="L697" s="77"/>
      <c r="M697" s="77"/>
      <c r="N697" s="77"/>
      <c r="O697" s="77"/>
      <c r="P697" s="77"/>
      <c r="Q697" s="77"/>
      <c r="R697" s="77"/>
      <c r="S697" s="77"/>
      <c r="T697" s="77"/>
      <c r="U697" s="77"/>
      <c r="V697" s="77"/>
      <c r="W697" s="77"/>
      <c r="X697" s="77"/>
      <c r="Y697" s="77"/>
      <c r="Z697" s="77"/>
      <c r="AA697" s="77"/>
      <c r="AB697" s="77"/>
      <c r="AC697" s="77"/>
      <c r="AD697" s="227"/>
      <c r="AE697" s="77"/>
      <c r="AF697" s="227"/>
      <c r="AG697" s="77"/>
      <c r="AH697" s="77"/>
      <c r="AI697" s="77"/>
      <c r="AJ697" s="77"/>
      <c r="AK697" s="77"/>
      <c r="AL697" s="77"/>
      <c r="AM697" s="77"/>
      <c r="AN697" s="77"/>
      <c r="AO697" s="77"/>
      <c r="AP697" s="77"/>
      <c r="AQ697" s="77"/>
      <c r="AR697" s="77"/>
      <c r="AS697" s="77"/>
      <c r="AT697" s="77"/>
      <c r="AU697" s="77"/>
      <c r="AV697" s="77"/>
      <c r="AW697" s="77"/>
      <c r="AX697" s="77"/>
      <c r="AY697" s="77"/>
      <c r="AZ697" s="77"/>
      <c r="BA697" s="77"/>
      <c r="BB697" s="77"/>
      <c r="BC697" s="77"/>
      <c r="BD697" s="77"/>
      <c r="BE697" s="77"/>
    </row>
    <row r="698">
      <c r="A698" s="77"/>
      <c r="B698" s="77"/>
      <c r="C698" s="77"/>
      <c r="D698" s="77"/>
      <c r="E698" s="188"/>
      <c r="F698" s="188"/>
      <c r="G698" s="188"/>
      <c r="H698" s="188"/>
      <c r="I698" s="188"/>
      <c r="J698" s="77"/>
      <c r="K698" s="77"/>
      <c r="L698" s="77"/>
      <c r="M698" s="77"/>
      <c r="N698" s="77"/>
      <c r="O698" s="77"/>
      <c r="P698" s="77"/>
      <c r="Q698" s="77"/>
      <c r="R698" s="77"/>
      <c r="S698" s="77"/>
      <c r="T698" s="77"/>
      <c r="U698" s="77"/>
      <c r="V698" s="77"/>
      <c r="W698" s="77"/>
      <c r="X698" s="77"/>
      <c r="Y698" s="77"/>
      <c r="Z698" s="77"/>
      <c r="AA698" s="77"/>
      <c r="AB698" s="77"/>
      <c r="AC698" s="77"/>
      <c r="AD698" s="227"/>
      <c r="AE698" s="77"/>
      <c r="AF698" s="227"/>
      <c r="AG698" s="77"/>
      <c r="AH698" s="77"/>
      <c r="AI698" s="77"/>
      <c r="AJ698" s="77"/>
      <c r="AK698" s="77"/>
      <c r="AL698" s="77"/>
      <c r="AM698" s="77"/>
      <c r="AN698" s="77"/>
      <c r="AO698" s="77"/>
      <c r="AP698" s="77"/>
      <c r="AQ698" s="77"/>
      <c r="AR698" s="77"/>
      <c r="AS698" s="77"/>
      <c r="AT698" s="77"/>
      <c r="AU698" s="77"/>
      <c r="AV698" s="77"/>
      <c r="AW698" s="77"/>
      <c r="AX698" s="77"/>
      <c r="AY698" s="77"/>
      <c r="AZ698" s="77"/>
      <c r="BA698" s="77"/>
      <c r="BB698" s="77"/>
      <c r="BC698" s="77"/>
      <c r="BD698" s="77"/>
      <c r="BE698" s="77"/>
    </row>
    <row r="699">
      <c r="A699" s="77"/>
      <c r="B699" s="77"/>
      <c r="C699" s="77"/>
      <c r="D699" s="77"/>
      <c r="E699" s="188"/>
      <c r="F699" s="188"/>
      <c r="G699" s="188"/>
      <c r="H699" s="188"/>
      <c r="I699" s="188"/>
      <c r="J699" s="77"/>
      <c r="K699" s="77"/>
      <c r="L699" s="77"/>
      <c r="M699" s="77"/>
      <c r="N699" s="77"/>
      <c r="O699" s="77"/>
      <c r="P699" s="77"/>
      <c r="Q699" s="77"/>
      <c r="R699" s="77"/>
      <c r="S699" s="77"/>
      <c r="T699" s="77"/>
      <c r="U699" s="77"/>
      <c r="V699" s="77"/>
      <c r="W699" s="77"/>
      <c r="X699" s="77"/>
      <c r="Y699" s="77"/>
      <c r="Z699" s="77"/>
      <c r="AA699" s="77"/>
      <c r="AB699" s="77"/>
      <c r="AC699" s="77"/>
      <c r="AD699" s="227"/>
      <c r="AE699" s="77"/>
      <c r="AF699" s="227"/>
      <c r="AG699" s="77"/>
      <c r="AH699" s="77"/>
      <c r="AI699" s="77"/>
      <c r="AJ699" s="77"/>
      <c r="AK699" s="77"/>
      <c r="AL699" s="77"/>
      <c r="AM699" s="77"/>
      <c r="AN699" s="77"/>
      <c r="AO699" s="77"/>
      <c r="AP699" s="77"/>
      <c r="AQ699" s="77"/>
      <c r="AR699" s="77"/>
      <c r="AS699" s="77"/>
      <c r="AT699" s="77"/>
      <c r="AU699" s="77"/>
      <c r="AV699" s="77"/>
      <c r="AW699" s="77"/>
      <c r="AX699" s="77"/>
      <c r="AY699" s="77"/>
      <c r="AZ699" s="77"/>
      <c r="BA699" s="77"/>
      <c r="BB699" s="77"/>
      <c r="BC699" s="77"/>
      <c r="BD699" s="77"/>
      <c r="BE699" s="77"/>
    </row>
    <row r="700">
      <c r="A700" s="77"/>
      <c r="B700" s="77"/>
      <c r="C700" s="77"/>
      <c r="D700" s="77"/>
      <c r="E700" s="188"/>
      <c r="F700" s="188"/>
      <c r="G700" s="188"/>
      <c r="H700" s="188"/>
      <c r="I700" s="188"/>
      <c r="J700" s="77"/>
      <c r="K700" s="77"/>
      <c r="L700" s="77"/>
      <c r="M700" s="77"/>
      <c r="N700" s="77"/>
      <c r="O700" s="77"/>
      <c r="P700" s="77"/>
      <c r="Q700" s="77"/>
      <c r="R700" s="77"/>
      <c r="S700" s="77"/>
      <c r="T700" s="77"/>
      <c r="U700" s="77"/>
      <c r="V700" s="77"/>
      <c r="W700" s="77"/>
      <c r="X700" s="77"/>
      <c r="Y700" s="77"/>
      <c r="Z700" s="77"/>
      <c r="AA700" s="77"/>
      <c r="AB700" s="77"/>
      <c r="AC700" s="77"/>
      <c r="AD700" s="227"/>
      <c r="AE700" s="77"/>
      <c r="AF700" s="227"/>
      <c r="AG700" s="77"/>
      <c r="AH700" s="77"/>
      <c r="AI700" s="77"/>
      <c r="AJ700" s="77"/>
      <c r="AK700" s="77"/>
      <c r="AL700" s="77"/>
      <c r="AM700" s="77"/>
      <c r="AN700" s="77"/>
      <c r="AO700" s="77"/>
      <c r="AP700" s="77"/>
      <c r="AQ700" s="77"/>
      <c r="AR700" s="77"/>
      <c r="AS700" s="77"/>
      <c r="AT700" s="77"/>
      <c r="AU700" s="77"/>
      <c r="AV700" s="77"/>
      <c r="AW700" s="77"/>
      <c r="AX700" s="77"/>
      <c r="AY700" s="77"/>
      <c r="AZ700" s="77"/>
      <c r="BA700" s="77"/>
      <c r="BB700" s="77"/>
      <c r="BC700" s="77"/>
      <c r="BD700" s="77"/>
      <c r="BE700" s="77"/>
    </row>
    <row r="701">
      <c r="A701" s="77"/>
      <c r="B701" s="77"/>
      <c r="C701" s="77"/>
      <c r="D701" s="77"/>
      <c r="E701" s="188"/>
      <c r="F701" s="188"/>
      <c r="G701" s="188"/>
      <c r="H701" s="188"/>
      <c r="I701" s="188"/>
      <c r="J701" s="77"/>
      <c r="K701" s="77"/>
      <c r="L701" s="77"/>
      <c r="M701" s="77"/>
      <c r="N701" s="77"/>
      <c r="O701" s="77"/>
      <c r="P701" s="77"/>
      <c r="Q701" s="77"/>
      <c r="R701" s="77"/>
      <c r="S701" s="77"/>
      <c r="T701" s="77"/>
      <c r="U701" s="77"/>
      <c r="V701" s="77"/>
      <c r="W701" s="77"/>
      <c r="X701" s="77"/>
      <c r="Y701" s="77"/>
      <c r="Z701" s="77"/>
      <c r="AA701" s="77"/>
      <c r="AB701" s="77"/>
      <c r="AC701" s="77"/>
      <c r="AD701" s="227"/>
      <c r="AE701" s="77"/>
      <c r="AF701" s="227"/>
      <c r="AG701" s="77"/>
      <c r="AH701" s="77"/>
      <c r="AI701" s="77"/>
      <c r="AJ701" s="77"/>
      <c r="AK701" s="77"/>
      <c r="AL701" s="77"/>
      <c r="AM701" s="77"/>
      <c r="AN701" s="77"/>
      <c r="AO701" s="77"/>
      <c r="AP701" s="77"/>
      <c r="AQ701" s="77"/>
      <c r="AR701" s="77"/>
      <c r="AS701" s="77"/>
      <c r="AT701" s="77"/>
      <c r="AU701" s="77"/>
      <c r="AV701" s="77"/>
      <c r="AW701" s="77"/>
      <c r="AX701" s="77"/>
      <c r="AY701" s="77"/>
      <c r="AZ701" s="77"/>
      <c r="BA701" s="77"/>
      <c r="BB701" s="77"/>
      <c r="BC701" s="77"/>
      <c r="BD701" s="77"/>
      <c r="BE701" s="77"/>
    </row>
    <row r="702">
      <c r="A702" s="77"/>
      <c r="B702" s="77"/>
      <c r="C702" s="77"/>
      <c r="D702" s="77"/>
      <c r="E702" s="188"/>
      <c r="F702" s="188"/>
      <c r="G702" s="188"/>
      <c r="H702" s="188"/>
      <c r="I702" s="188"/>
      <c r="J702" s="77"/>
      <c r="K702" s="77"/>
      <c r="L702" s="77"/>
      <c r="M702" s="77"/>
      <c r="N702" s="77"/>
      <c r="O702" s="77"/>
      <c r="P702" s="77"/>
      <c r="Q702" s="77"/>
      <c r="R702" s="77"/>
      <c r="S702" s="77"/>
      <c r="T702" s="77"/>
      <c r="U702" s="77"/>
      <c r="V702" s="77"/>
      <c r="W702" s="77"/>
      <c r="X702" s="77"/>
      <c r="Y702" s="77"/>
      <c r="Z702" s="77"/>
      <c r="AA702" s="77"/>
      <c r="AB702" s="77"/>
      <c r="AC702" s="77"/>
      <c r="AD702" s="227"/>
      <c r="AE702" s="77"/>
      <c r="AF702" s="227"/>
      <c r="AG702" s="77"/>
      <c r="AH702" s="77"/>
      <c r="AI702" s="77"/>
      <c r="AJ702" s="77"/>
      <c r="AK702" s="77"/>
      <c r="AL702" s="77"/>
      <c r="AM702" s="77"/>
      <c r="AN702" s="77"/>
      <c r="AO702" s="77"/>
      <c r="AP702" s="77"/>
      <c r="AQ702" s="77"/>
      <c r="AR702" s="77"/>
      <c r="AS702" s="77"/>
      <c r="AT702" s="77"/>
      <c r="AU702" s="77"/>
      <c r="AV702" s="77"/>
      <c r="AW702" s="77"/>
      <c r="AX702" s="77"/>
      <c r="AY702" s="77"/>
      <c r="AZ702" s="77"/>
      <c r="BA702" s="77"/>
      <c r="BB702" s="77"/>
      <c r="BC702" s="77"/>
      <c r="BD702" s="77"/>
      <c r="BE702" s="77"/>
    </row>
    <row r="703">
      <c r="A703" s="77"/>
      <c r="B703" s="77"/>
      <c r="C703" s="77"/>
      <c r="D703" s="77"/>
      <c r="E703" s="188"/>
      <c r="F703" s="188"/>
      <c r="G703" s="188"/>
      <c r="H703" s="188"/>
      <c r="I703" s="188"/>
      <c r="J703" s="77"/>
      <c r="K703" s="77"/>
      <c r="L703" s="77"/>
      <c r="M703" s="77"/>
      <c r="N703" s="77"/>
      <c r="O703" s="77"/>
      <c r="P703" s="77"/>
      <c r="Q703" s="77"/>
      <c r="R703" s="77"/>
      <c r="S703" s="77"/>
      <c r="T703" s="77"/>
      <c r="U703" s="77"/>
      <c r="V703" s="77"/>
      <c r="W703" s="77"/>
      <c r="X703" s="77"/>
      <c r="Y703" s="77"/>
      <c r="Z703" s="77"/>
      <c r="AA703" s="77"/>
      <c r="AB703" s="77"/>
      <c r="AC703" s="77"/>
      <c r="AD703" s="227"/>
      <c r="AE703" s="77"/>
      <c r="AF703" s="227"/>
      <c r="AG703" s="77"/>
      <c r="AH703" s="77"/>
      <c r="AI703" s="77"/>
      <c r="AJ703" s="77"/>
      <c r="AK703" s="77"/>
      <c r="AL703" s="77"/>
      <c r="AM703" s="77"/>
      <c r="AN703" s="77"/>
      <c r="AO703" s="77"/>
      <c r="AP703" s="77"/>
      <c r="AQ703" s="77"/>
      <c r="AR703" s="77"/>
      <c r="AS703" s="77"/>
      <c r="AT703" s="77"/>
      <c r="AU703" s="77"/>
      <c r="AV703" s="77"/>
      <c r="AW703" s="77"/>
      <c r="AX703" s="77"/>
      <c r="AY703" s="77"/>
      <c r="AZ703" s="77"/>
      <c r="BA703" s="77"/>
      <c r="BB703" s="77"/>
      <c r="BC703" s="77"/>
      <c r="BD703" s="77"/>
      <c r="BE703" s="77"/>
    </row>
    <row r="704">
      <c r="A704" s="77"/>
      <c r="B704" s="77"/>
      <c r="C704" s="77"/>
      <c r="D704" s="77"/>
      <c r="E704" s="188"/>
      <c r="F704" s="188"/>
      <c r="G704" s="188"/>
      <c r="H704" s="188"/>
      <c r="I704" s="188"/>
      <c r="J704" s="77"/>
      <c r="K704" s="77"/>
      <c r="L704" s="77"/>
      <c r="M704" s="77"/>
      <c r="N704" s="77"/>
      <c r="O704" s="77"/>
      <c r="P704" s="77"/>
      <c r="Q704" s="77"/>
      <c r="R704" s="77"/>
      <c r="S704" s="77"/>
      <c r="T704" s="77"/>
      <c r="U704" s="77"/>
      <c r="V704" s="77"/>
      <c r="W704" s="77"/>
      <c r="X704" s="77"/>
      <c r="Y704" s="77"/>
      <c r="Z704" s="77"/>
      <c r="AA704" s="77"/>
      <c r="AB704" s="77"/>
      <c r="AC704" s="77"/>
      <c r="AD704" s="227"/>
      <c r="AE704" s="77"/>
      <c r="AF704" s="227"/>
      <c r="AG704" s="77"/>
      <c r="AH704" s="77"/>
      <c r="AI704" s="77"/>
      <c r="AJ704" s="77"/>
      <c r="AK704" s="77"/>
      <c r="AL704" s="77"/>
      <c r="AM704" s="77"/>
      <c r="AN704" s="77"/>
      <c r="AO704" s="77"/>
      <c r="AP704" s="77"/>
      <c r="AQ704" s="77"/>
      <c r="AR704" s="77"/>
      <c r="AS704" s="77"/>
      <c r="AT704" s="77"/>
      <c r="AU704" s="77"/>
      <c r="AV704" s="77"/>
      <c r="AW704" s="77"/>
      <c r="AX704" s="77"/>
      <c r="AY704" s="77"/>
      <c r="AZ704" s="77"/>
      <c r="BA704" s="77"/>
      <c r="BB704" s="77"/>
      <c r="BC704" s="77"/>
      <c r="BD704" s="77"/>
      <c r="BE704" s="77"/>
    </row>
    <row r="705">
      <c r="A705" s="77"/>
      <c r="B705" s="77"/>
      <c r="C705" s="77"/>
      <c r="D705" s="77"/>
      <c r="E705" s="188"/>
      <c r="F705" s="188"/>
      <c r="G705" s="188"/>
      <c r="H705" s="188"/>
      <c r="I705" s="188"/>
      <c r="J705" s="77"/>
      <c r="K705" s="77"/>
      <c r="L705" s="77"/>
      <c r="M705" s="77"/>
      <c r="N705" s="77"/>
      <c r="O705" s="77"/>
      <c r="P705" s="77"/>
      <c r="Q705" s="77"/>
      <c r="R705" s="77"/>
      <c r="S705" s="77"/>
      <c r="T705" s="77"/>
      <c r="U705" s="77"/>
      <c r="V705" s="77"/>
      <c r="W705" s="77"/>
      <c r="X705" s="77"/>
      <c r="Y705" s="77"/>
      <c r="Z705" s="77"/>
      <c r="AA705" s="77"/>
      <c r="AB705" s="77"/>
      <c r="AC705" s="77"/>
      <c r="AD705" s="227"/>
      <c r="AE705" s="77"/>
      <c r="AF705" s="227"/>
      <c r="AG705" s="77"/>
      <c r="AH705" s="77"/>
      <c r="AI705" s="77"/>
      <c r="AJ705" s="77"/>
      <c r="AK705" s="77"/>
      <c r="AL705" s="77"/>
      <c r="AM705" s="77"/>
      <c r="AN705" s="77"/>
      <c r="AO705" s="77"/>
      <c r="AP705" s="77"/>
      <c r="AQ705" s="77"/>
      <c r="AR705" s="77"/>
      <c r="AS705" s="77"/>
      <c r="AT705" s="77"/>
      <c r="AU705" s="77"/>
      <c r="AV705" s="77"/>
      <c r="AW705" s="77"/>
      <c r="AX705" s="77"/>
      <c r="AY705" s="77"/>
      <c r="AZ705" s="77"/>
      <c r="BA705" s="77"/>
      <c r="BB705" s="77"/>
      <c r="BC705" s="77"/>
      <c r="BD705" s="77"/>
      <c r="BE705" s="77"/>
    </row>
    <row r="706">
      <c r="A706" s="77"/>
      <c r="B706" s="77"/>
      <c r="C706" s="77"/>
      <c r="D706" s="77"/>
      <c r="E706" s="188"/>
      <c r="F706" s="188"/>
      <c r="G706" s="188"/>
      <c r="H706" s="188"/>
      <c r="I706" s="188"/>
      <c r="J706" s="77"/>
      <c r="K706" s="77"/>
      <c r="L706" s="77"/>
      <c r="M706" s="77"/>
      <c r="N706" s="77"/>
      <c r="O706" s="77"/>
      <c r="P706" s="77"/>
      <c r="Q706" s="77"/>
      <c r="R706" s="77"/>
      <c r="S706" s="77"/>
      <c r="T706" s="77"/>
      <c r="U706" s="77"/>
      <c r="V706" s="77"/>
      <c r="W706" s="77"/>
      <c r="X706" s="77"/>
      <c r="Y706" s="77"/>
      <c r="Z706" s="77"/>
      <c r="AA706" s="77"/>
      <c r="AB706" s="77"/>
      <c r="AC706" s="77"/>
      <c r="AD706" s="227"/>
      <c r="AE706" s="77"/>
      <c r="AF706" s="227"/>
      <c r="AG706" s="77"/>
      <c r="AH706" s="77"/>
      <c r="AI706" s="77"/>
      <c r="AJ706" s="77"/>
      <c r="AK706" s="77"/>
      <c r="AL706" s="77"/>
      <c r="AM706" s="77"/>
      <c r="AN706" s="77"/>
      <c r="AO706" s="77"/>
      <c r="AP706" s="77"/>
      <c r="AQ706" s="77"/>
      <c r="AR706" s="77"/>
      <c r="AS706" s="77"/>
      <c r="AT706" s="77"/>
      <c r="AU706" s="77"/>
      <c r="AV706" s="77"/>
      <c r="AW706" s="77"/>
      <c r="AX706" s="77"/>
      <c r="AY706" s="77"/>
      <c r="AZ706" s="77"/>
      <c r="BA706" s="77"/>
      <c r="BB706" s="77"/>
      <c r="BC706" s="77"/>
      <c r="BD706" s="77"/>
      <c r="BE706" s="77"/>
    </row>
    <row r="707">
      <c r="A707" s="77"/>
      <c r="B707" s="77"/>
      <c r="C707" s="77"/>
      <c r="D707" s="77"/>
      <c r="E707" s="188"/>
      <c r="F707" s="188"/>
      <c r="G707" s="188"/>
      <c r="H707" s="188"/>
      <c r="I707" s="188"/>
      <c r="J707" s="77"/>
      <c r="K707" s="77"/>
      <c r="L707" s="77"/>
      <c r="M707" s="77"/>
      <c r="N707" s="77"/>
      <c r="O707" s="77"/>
      <c r="P707" s="77"/>
      <c r="Q707" s="77"/>
      <c r="R707" s="77"/>
      <c r="S707" s="77"/>
      <c r="T707" s="77"/>
      <c r="U707" s="77"/>
      <c r="V707" s="77"/>
      <c r="W707" s="77"/>
      <c r="X707" s="77"/>
      <c r="Y707" s="77"/>
      <c r="Z707" s="77"/>
      <c r="AA707" s="77"/>
      <c r="AB707" s="77"/>
      <c r="AC707" s="77"/>
      <c r="AD707" s="227"/>
      <c r="AE707" s="77"/>
      <c r="AF707" s="227"/>
      <c r="AG707" s="77"/>
      <c r="AH707" s="77"/>
      <c r="AI707" s="77"/>
      <c r="AJ707" s="77"/>
      <c r="AK707" s="77"/>
      <c r="AL707" s="77"/>
      <c r="AM707" s="77"/>
      <c r="AN707" s="77"/>
      <c r="AO707" s="77"/>
      <c r="AP707" s="77"/>
      <c r="AQ707" s="77"/>
      <c r="AR707" s="77"/>
      <c r="AS707" s="77"/>
      <c r="AT707" s="77"/>
      <c r="AU707" s="77"/>
      <c r="AV707" s="77"/>
      <c r="AW707" s="77"/>
      <c r="AX707" s="77"/>
      <c r="AY707" s="77"/>
      <c r="AZ707" s="77"/>
      <c r="BA707" s="77"/>
      <c r="BB707" s="77"/>
      <c r="BC707" s="77"/>
      <c r="BD707" s="77"/>
      <c r="BE707" s="77"/>
    </row>
    <row r="708">
      <c r="A708" s="77"/>
      <c r="B708" s="77"/>
      <c r="C708" s="77"/>
      <c r="D708" s="77"/>
      <c r="E708" s="188"/>
      <c r="F708" s="188"/>
      <c r="G708" s="188"/>
      <c r="H708" s="188"/>
      <c r="I708" s="188"/>
      <c r="J708" s="77"/>
      <c r="K708" s="77"/>
      <c r="L708" s="77"/>
      <c r="M708" s="77"/>
      <c r="N708" s="77"/>
      <c r="O708" s="77"/>
      <c r="P708" s="77"/>
      <c r="Q708" s="77"/>
      <c r="R708" s="77"/>
      <c r="S708" s="77"/>
      <c r="T708" s="77"/>
      <c r="U708" s="77"/>
      <c r="V708" s="77"/>
      <c r="W708" s="77"/>
      <c r="X708" s="77"/>
      <c r="Y708" s="77"/>
      <c r="Z708" s="77"/>
      <c r="AA708" s="77"/>
      <c r="AB708" s="77"/>
      <c r="AC708" s="77"/>
      <c r="AD708" s="227"/>
      <c r="AE708" s="77"/>
      <c r="AF708" s="227"/>
      <c r="AG708" s="77"/>
      <c r="AH708" s="77"/>
      <c r="AI708" s="77"/>
      <c r="AJ708" s="77"/>
      <c r="AK708" s="77"/>
      <c r="AL708" s="77"/>
      <c r="AM708" s="77"/>
      <c r="AN708" s="77"/>
      <c r="AO708" s="77"/>
      <c r="AP708" s="77"/>
      <c r="AQ708" s="77"/>
      <c r="AR708" s="77"/>
      <c r="AS708" s="77"/>
      <c r="AT708" s="77"/>
      <c r="AU708" s="77"/>
      <c r="AV708" s="77"/>
      <c r="AW708" s="77"/>
      <c r="AX708" s="77"/>
      <c r="AY708" s="77"/>
      <c r="AZ708" s="77"/>
      <c r="BA708" s="77"/>
      <c r="BB708" s="77"/>
      <c r="BC708" s="77"/>
      <c r="BD708" s="77"/>
      <c r="BE708" s="77"/>
    </row>
    <row r="709">
      <c r="A709" s="77"/>
      <c r="B709" s="77"/>
      <c r="C709" s="77"/>
      <c r="D709" s="77"/>
      <c r="E709" s="188"/>
      <c r="F709" s="188"/>
      <c r="G709" s="188"/>
      <c r="H709" s="188"/>
      <c r="I709" s="188"/>
      <c r="J709" s="77"/>
      <c r="K709" s="77"/>
      <c r="L709" s="77"/>
      <c r="M709" s="77"/>
      <c r="N709" s="77"/>
      <c r="O709" s="77"/>
      <c r="P709" s="77"/>
      <c r="Q709" s="77"/>
      <c r="R709" s="77"/>
      <c r="S709" s="77"/>
      <c r="T709" s="77"/>
      <c r="U709" s="77"/>
      <c r="V709" s="77"/>
      <c r="W709" s="77"/>
      <c r="X709" s="77"/>
      <c r="Y709" s="77"/>
      <c r="Z709" s="77"/>
      <c r="AA709" s="77"/>
      <c r="AB709" s="77"/>
      <c r="AC709" s="77"/>
      <c r="AD709" s="227"/>
      <c r="AE709" s="77"/>
      <c r="AF709" s="227"/>
      <c r="AG709" s="77"/>
      <c r="AH709" s="77"/>
      <c r="AI709" s="77"/>
      <c r="AJ709" s="77"/>
      <c r="AK709" s="77"/>
      <c r="AL709" s="77"/>
      <c r="AM709" s="77"/>
      <c r="AN709" s="77"/>
      <c r="AO709" s="77"/>
      <c r="AP709" s="77"/>
      <c r="AQ709" s="77"/>
      <c r="AR709" s="77"/>
      <c r="AS709" s="77"/>
      <c r="AT709" s="77"/>
      <c r="AU709" s="77"/>
      <c r="AV709" s="77"/>
      <c r="AW709" s="77"/>
      <c r="AX709" s="77"/>
      <c r="AY709" s="77"/>
      <c r="AZ709" s="77"/>
      <c r="BA709" s="77"/>
      <c r="BB709" s="77"/>
      <c r="BC709" s="77"/>
      <c r="BD709" s="77"/>
      <c r="BE709" s="77"/>
    </row>
    <row r="710">
      <c r="A710" s="77"/>
      <c r="B710" s="77"/>
      <c r="C710" s="77"/>
      <c r="D710" s="77"/>
      <c r="E710" s="188"/>
      <c r="F710" s="188"/>
      <c r="G710" s="188"/>
      <c r="H710" s="188"/>
      <c r="I710" s="188"/>
      <c r="J710" s="77"/>
      <c r="K710" s="77"/>
      <c r="L710" s="77"/>
      <c r="M710" s="77"/>
      <c r="N710" s="77"/>
      <c r="O710" s="77"/>
      <c r="P710" s="77"/>
      <c r="Q710" s="77"/>
      <c r="R710" s="77"/>
      <c r="S710" s="77"/>
      <c r="T710" s="77"/>
      <c r="U710" s="77"/>
      <c r="V710" s="77"/>
      <c r="W710" s="77"/>
      <c r="X710" s="77"/>
      <c r="Y710" s="77"/>
      <c r="Z710" s="77"/>
      <c r="AA710" s="77"/>
      <c r="AB710" s="77"/>
      <c r="AC710" s="77"/>
      <c r="AD710" s="227"/>
      <c r="AE710" s="77"/>
      <c r="AF710" s="227"/>
      <c r="AG710" s="77"/>
      <c r="AH710" s="77"/>
      <c r="AI710" s="77"/>
      <c r="AJ710" s="77"/>
      <c r="AK710" s="77"/>
      <c r="AL710" s="77"/>
      <c r="AM710" s="77"/>
      <c r="AN710" s="77"/>
      <c r="AO710" s="77"/>
      <c r="AP710" s="77"/>
      <c r="AQ710" s="77"/>
      <c r="AR710" s="77"/>
      <c r="AS710" s="77"/>
      <c r="AT710" s="77"/>
      <c r="AU710" s="77"/>
      <c r="AV710" s="77"/>
      <c r="AW710" s="77"/>
      <c r="AX710" s="77"/>
      <c r="AY710" s="77"/>
      <c r="AZ710" s="77"/>
      <c r="BA710" s="77"/>
      <c r="BB710" s="77"/>
      <c r="BC710" s="77"/>
      <c r="BD710" s="77"/>
      <c r="BE710" s="77"/>
    </row>
    <row r="711">
      <c r="A711" s="77"/>
      <c r="B711" s="77"/>
      <c r="C711" s="77"/>
      <c r="D711" s="77"/>
      <c r="E711" s="188"/>
      <c r="F711" s="188"/>
      <c r="G711" s="188"/>
      <c r="H711" s="188"/>
      <c r="I711" s="188"/>
      <c r="J711" s="77"/>
      <c r="K711" s="77"/>
      <c r="L711" s="77"/>
      <c r="M711" s="77"/>
      <c r="N711" s="77"/>
      <c r="O711" s="77"/>
      <c r="P711" s="77"/>
      <c r="Q711" s="77"/>
      <c r="R711" s="77"/>
      <c r="S711" s="77"/>
      <c r="T711" s="77"/>
      <c r="U711" s="77"/>
      <c r="V711" s="77"/>
      <c r="W711" s="77"/>
      <c r="X711" s="77"/>
      <c r="Y711" s="77"/>
      <c r="Z711" s="77"/>
      <c r="AA711" s="77"/>
      <c r="AB711" s="77"/>
      <c r="AC711" s="77"/>
      <c r="AD711" s="227"/>
      <c r="AE711" s="77"/>
      <c r="AF711" s="227"/>
      <c r="AG711" s="77"/>
      <c r="AH711" s="77"/>
      <c r="AI711" s="77"/>
      <c r="AJ711" s="77"/>
      <c r="AK711" s="77"/>
      <c r="AL711" s="77"/>
      <c r="AM711" s="77"/>
      <c r="AN711" s="77"/>
      <c r="AO711" s="77"/>
      <c r="AP711" s="77"/>
      <c r="AQ711" s="77"/>
      <c r="AR711" s="77"/>
      <c r="AS711" s="77"/>
      <c r="AT711" s="77"/>
      <c r="AU711" s="77"/>
      <c r="AV711" s="77"/>
      <c r="AW711" s="77"/>
      <c r="AX711" s="77"/>
      <c r="AY711" s="77"/>
      <c r="AZ711" s="77"/>
      <c r="BA711" s="77"/>
      <c r="BB711" s="77"/>
      <c r="BC711" s="77"/>
      <c r="BD711" s="77"/>
      <c r="BE711" s="77"/>
    </row>
    <row r="712">
      <c r="A712" s="77"/>
      <c r="B712" s="77"/>
      <c r="C712" s="77"/>
      <c r="D712" s="77"/>
      <c r="E712" s="188"/>
      <c r="F712" s="188"/>
      <c r="G712" s="188"/>
      <c r="H712" s="188"/>
      <c r="I712" s="188"/>
      <c r="J712" s="77"/>
      <c r="K712" s="77"/>
      <c r="L712" s="77"/>
      <c r="M712" s="77"/>
      <c r="N712" s="77"/>
      <c r="O712" s="77"/>
      <c r="P712" s="77"/>
      <c r="Q712" s="77"/>
      <c r="R712" s="77"/>
      <c r="S712" s="77"/>
      <c r="T712" s="77"/>
      <c r="U712" s="77"/>
      <c r="V712" s="77"/>
      <c r="W712" s="77"/>
      <c r="X712" s="77"/>
      <c r="Y712" s="77"/>
      <c r="Z712" s="77"/>
      <c r="AA712" s="77"/>
      <c r="AB712" s="77"/>
      <c r="AC712" s="77"/>
      <c r="AD712" s="227"/>
      <c r="AE712" s="77"/>
      <c r="AF712" s="227"/>
      <c r="AG712" s="77"/>
      <c r="AH712" s="77"/>
      <c r="AI712" s="77"/>
      <c r="AJ712" s="77"/>
      <c r="AK712" s="77"/>
      <c r="AL712" s="77"/>
      <c r="AM712" s="77"/>
      <c r="AN712" s="77"/>
      <c r="AO712" s="77"/>
      <c r="AP712" s="77"/>
      <c r="AQ712" s="77"/>
      <c r="AR712" s="77"/>
      <c r="AS712" s="77"/>
      <c r="AT712" s="77"/>
      <c r="AU712" s="77"/>
      <c r="AV712" s="77"/>
      <c r="AW712" s="77"/>
      <c r="AX712" s="77"/>
      <c r="AY712" s="77"/>
      <c r="AZ712" s="77"/>
      <c r="BA712" s="77"/>
      <c r="BB712" s="77"/>
      <c r="BC712" s="77"/>
      <c r="BD712" s="77"/>
      <c r="BE712" s="77"/>
    </row>
    <row r="713">
      <c r="A713" s="77"/>
      <c r="B713" s="77"/>
      <c r="C713" s="77"/>
      <c r="D713" s="77"/>
      <c r="E713" s="188"/>
      <c r="F713" s="188"/>
      <c r="G713" s="188"/>
      <c r="H713" s="188"/>
      <c r="I713" s="188"/>
      <c r="J713" s="77"/>
      <c r="K713" s="77"/>
      <c r="L713" s="77"/>
      <c r="M713" s="77"/>
      <c r="N713" s="77"/>
      <c r="O713" s="77"/>
      <c r="P713" s="77"/>
      <c r="Q713" s="77"/>
      <c r="R713" s="77"/>
      <c r="S713" s="77"/>
      <c r="T713" s="77"/>
      <c r="U713" s="77"/>
      <c r="V713" s="77"/>
      <c r="W713" s="77"/>
      <c r="X713" s="77"/>
      <c r="Y713" s="77"/>
      <c r="Z713" s="77"/>
      <c r="AA713" s="77"/>
      <c r="AB713" s="77"/>
      <c r="AC713" s="77"/>
      <c r="AD713" s="227"/>
      <c r="AE713" s="77"/>
      <c r="AF713" s="227"/>
      <c r="AG713" s="77"/>
      <c r="AH713" s="77"/>
      <c r="AI713" s="77"/>
      <c r="AJ713" s="77"/>
      <c r="AK713" s="77"/>
      <c r="AL713" s="77"/>
      <c r="AM713" s="77"/>
      <c r="AN713" s="77"/>
      <c r="AO713" s="77"/>
      <c r="AP713" s="77"/>
      <c r="AQ713" s="77"/>
      <c r="AR713" s="77"/>
      <c r="AS713" s="77"/>
      <c r="AT713" s="77"/>
      <c r="AU713" s="77"/>
      <c r="AV713" s="77"/>
      <c r="AW713" s="77"/>
      <c r="AX713" s="77"/>
      <c r="AY713" s="77"/>
      <c r="AZ713" s="77"/>
      <c r="BA713" s="77"/>
      <c r="BB713" s="77"/>
      <c r="BC713" s="77"/>
      <c r="BD713" s="77"/>
      <c r="BE713" s="77"/>
    </row>
    <row r="714">
      <c r="A714" s="77"/>
      <c r="B714" s="77"/>
      <c r="C714" s="77"/>
      <c r="D714" s="77"/>
      <c r="E714" s="188"/>
      <c r="F714" s="188"/>
      <c r="G714" s="188"/>
      <c r="H714" s="188"/>
      <c r="I714" s="188"/>
      <c r="J714" s="77"/>
      <c r="K714" s="77"/>
      <c r="L714" s="77"/>
      <c r="M714" s="77"/>
      <c r="N714" s="77"/>
      <c r="O714" s="77"/>
      <c r="P714" s="77"/>
      <c r="Q714" s="77"/>
      <c r="R714" s="77"/>
      <c r="S714" s="77"/>
      <c r="T714" s="77"/>
      <c r="U714" s="77"/>
      <c r="V714" s="77"/>
      <c r="W714" s="77"/>
      <c r="X714" s="77"/>
      <c r="Y714" s="77"/>
      <c r="Z714" s="77"/>
      <c r="AA714" s="77"/>
      <c r="AB714" s="77"/>
      <c r="AC714" s="77"/>
      <c r="AD714" s="227"/>
      <c r="AE714" s="77"/>
      <c r="AF714" s="227"/>
      <c r="AG714" s="77"/>
      <c r="AH714" s="77"/>
      <c r="AI714" s="77"/>
      <c r="AJ714" s="77"/>
      <c r="AK714" s="77"/>
      <c r="AL714" s="77"/>
      <c r="AM714" s="77"/>
      <c r="AN714" s="77"/>
      <c r="AO714" s="77"/>
      <c r="AP714" s="77"/>
      <c r="AQ714" s="77"/>
      <c r="AR714" s="77"/>
      <c r="AS714" s="77"/>
      <c r="AT714" s="77"/>
      <c r="AU714" s="77"/>
      <c r="AV714" s="77"/>
      <c r="AW714" s="77"/>
      <c r="AX714" s="77"/>
      <c r="AY714" s="77"/>
      <c r="AZ714" s="77"/>
      <c r="BA714" s="77"/>
      <c r="BB714" s="77"/>
      <c r="BC714" s="77"/>
      <c r="BD714" s="77"/>
      <c r="BE714" s="77"/>
    </row>
    <row r="715">
      <c r="A715" s="77"/>
      <c r="B715" s="77"/>
      <c r="C715" s="77"/>
      <c r="D715" s="77"/>
      <c r="E715" s="188"/>
      <c r="F715" s="188"/>
      <c r="G715" s="188"/>
      <c r="H715" s="188"/>
      <c r="I715" s="188"/>
      <c r="J715" s="77"/>
      <c r="K715" s="77"/>
      <c r="L715" s="77"/>
      <c r="M715" s="77"/>
      <c r="N715" s="77"/>
      <c r="O715" s="77"/>
      <c r="P715" s="77"/>
      <c r="Q715" s="77"/>
      <c r="R715" s="77"/>
      <c r="S715" s="77"/>
      <c r="T715" s="77"/>
      <c r="U715" s="77"/>
      <c r="V715" s="77"/>
      <c r="W715" s="77"/>
      <c r="X715" s="77"/>
      <c r="Y715" s="77"/>
      <c r="Z715" s="77"/>
      <c r="AA715" s="77"/>
      <c r="AB715" s="77"/>
      <c r="AC715" s="77"/>
      <c r="AD715" s="227"/>
      <c r="AE715" s="77"/>
      <c r="AF715" s="227"/>
      <c r="AG715" s="77"/>
      <c r="AH715" s="77"/>
      <c r="AI715" s="77"/>
      <c r="AJ715" s="77"/>
      <c r="AK715" s="77"/>
      <c r="AL715" s="77"/>
      <c r="AM715" s="77"/>
      <c r="AN715" s="77"/>
      <c r="AO715" s="77"/>
      <c r="AP715" s="77"/>
      <c r="AQ715" s="77"/>
      <c r="AR715" s="77"/>
      <c r="AS715" s="77"/>
      <c r="AT715" s="77"/>
      <c r="AU715" s="77"/>
      <c r="AV715" s="77"/>
      <c r="AW715" s="77"/>
      <c r="AX715" s="77"/>
      <c r="AY715" s="77"/>
      <c r="AZ715" s="77"/>
      <c r="BA715" s="77"/>
      <c r="BB715" s="77"/>
      <c r="BC715" s="77"/>
      <c r="BD715" s="77"/>
      <c r="BE715" s="77"/>
    </row>
    <row r="716">
      <c r="A716" s="77"/>
      <c r="B716" s="77"/>
      <c r="C716" s="77"/>
      <c r="D716" s="77"/>
      <c r="E716" s="188"/>
      <c r="F716" s="188"/>
      <c r="G716" s="188"/>
      <c r="H716" s="188"/>
      <c r="I716" s="188"/>
      <c r="J716" s="77"/>
      <c r="K716" s="77"/>
      <c r="L716" s="77"/>
      <c r="M716" s="77"/>
      <c r="N716" s="77"/>
      <c r="O716" s="77"/>
      <c r="P716" s="77"/>
      <c r="Q716" s="77"/>
      <c r="R716" s="77"/>
      <c r="S716" s="77"/>
      <c r="T716" s="77"/>
      <c r="U716" s="77"/>
      <c r="V716" s="77"/>
      <c r="W716" s="77"/>
      <c r="X716" s="77"/>
      <c r="Y716" s="77"/>
      <c r="Z716" s="77"/>
      <c r="AA716" s="77"/>
      <c r="AB716" s="77"/>
      <c r="AC716" s="77"/>
      <c r="AD716" s="227"/>
      <c r="AE716" s="77"/>
      <c r="AF716" s="227"/>
      <c r="AG716" s="77"/>
      <c r="AH716" s="77"/>
      <c r="AI716" s="77"/>
      <c r="AJ716" s="77"/>
      <c r="AK716" s="77"/>
      <c r="AL716" s="77"/>
      <c r="AM716" s="77"/>
      <c r="AN716" s="77"/>
      <c r="AO716" s="77"/>
      <c r="AP716" s="77"/>
      <c r="AQ716" s="77"/>
      <c r="AR716" s="77"/>
      <c r="AS716" s="77"/>
      <c r="AT716" s="77"/>
      <c r="AU716" s="77"/>
      <c r="AV716" s="77"/>
      <c r="AW716" s="77"/>
      <c r="AX716" s="77"/>
      <c r="AY716" s="77"/>
      <c r="AZ716" s="77"/>
      <c r="BA716" s="77"/>
      <c r="BB716" s="77"/>
      <c r="BC716" s="77"/>
      <c r="BD716" s="77"/>
      <c r="BE716" s="77"/>
    </row>
    <row r="717">
      <c r="A717" s="77"/>
      <c r="B717" s="77"/>
      <c r="C717" s="77"/>
      <c r="D717" s="77"/>
      <c r="E717" s="188"/>
      <c r="F717" s="188"/>
      <c r="G717" s="188"/>
      <c r="H717" s="188"/>
      <c r="I717" s="188"/>
      <c r="J717" s="77"/>
      <c r="K717" s="77"/>
      <c r="L717" s="77"/>
      <c r="M717" s="77"/>
      <c r="N717" s="77"/>
      <c r="O717" s="77"/>
      <c r="P717" s="77"/>
      <c r="Q717" s="77"/>
      <c r="R717" s="77"/>
      <c r="S717" s="77"/>
      <c r="T717" s="77"/>
      <c r="U717" s="77"/>
      <c r="V717" s="77"/>
      <c r="W717" s="77"/>
      <c r="X717" s="77"/>
      <c r="Y717" s="77"/>
      <c r="Z717" s="77"/>
      <c r="AA717" s="77"/>
      <c r="AB717" s="77"/>
      <c r="AC717" s="77"/>
      <c r="AD717" s="227"/>
      <c r="AE717" s="77"/>
      <c r="AF717" s="227"/>
      <c r="AG717" s="77"/>
      <c r="AH717" s="77"/>
      <c r="AI717" s="77"/>
      <c r="AJ717" s="77"/>
      <c r="AK717" s="77"/>
      <c r="AL717" s="77"/>
      <c r="AM717" s="77"/>
      <c r="AN717" s="77"/>
      <c r="AO717" s="77"/>
      <c r="AP717" s="77"/>
      <c r="AQ717" s="77"/>
      <c r="AR717" s="77"/>
      <c r="AS717" s="77"/>
      <c r="AT717" s="77"/>
      <c r="AU717" s="77"/>
      <c r="AV717" s="77"/>
      <c r="AW717" s="77"/>
      <c r="AX717" s="77"/>
      <c r="AY717" s="77"/>
      <c r="AZ717" s="77"/>
      <c r="BA717" s="77"/>
      <c r="BB717" s="77"/>
      <c r="BC717" s="77"/>
      <c r="BD717" s="77"/>
      <c r="BE717" s="77"/>
    </row>
    <row r="718">
      <c r="A718" s="77"/>
      <c r="B718" s="77"/>
      <c r="C718" s="77"/>
      <c r="D718" s="77"/>
      <c r="E718" s="188"/>
      <c r="F718" s="188"/>
      <c r="G718" s="188"/>
      <c r="H718" s="188"/>
      <c r="I718" s="188"/>
      <c r="J718" s="77"/>
      <c r="K718" s="77"/>
      <c r="L718" s="77"/>
      <c r="M718" s="77"/>
      <c r="N718" s="77"/>
      <c r="O718" s="77"/>
      <c r="P718" s="77"/>
      <c r="Q718" s="77"/>
      <c r="R718" s="77"/>
      <c r="S718" s="77"/>
      <c r="T718" s="77"/>
      <c r="U718" s="77"/>
      <c r="V718" s="77"/>
      <c r="W718" s="77"/>
      <c r="X718" s="77"/>
      <c r="Y718" s="77"/>
      <c r="Z718" s="77"/>
      <c r="AA718" s="77"/>
      <c r="AB718" s="77"/>
      <c r="AC718" s="77"/>
      <c r="AD718" s="227"/>
      <c r="AE718" s="77"/>
      <c r="AF718" s="227"/>
      <c r="AG718" s="77"/>
      <c r="AH718" s="77"/>
      <c r="AI718" s="77"/>
      <c r="AJ718" s="77"/>
      <c r="AK718" s="77"/>
      <c r="AL718" s="77"/>
      <c r="AM718" s="77"/>
      <c r="AN718" s="77"/>
      <c r="AO718" s="77"/>
      <c r="AP718" s="77"/>
      <c r="AQ718" s="77"/>
      <c r="AR718" s="77"/>
      <c r="AS718" s="77"/>
      <c r="AT718" s="77"/>
      <c r="AU718" s="77"/>
      <c r="AV718" s="77"/>
      <c r="AW718" s="77"/>
      <c r="AX718" s="77"/>
      <c r="AY718" s="77"/>
      <c r="AZ718" s="77"/>
      <c r="BA718" s="77"/>
      <c r="BB718" s="77"/>
      <c r="BC718" s="77"/>
      <c r="BD718" s="77"/>
      <c r="BE718" s="77"/>
    </row>
    <row r="719">
      <c r="A719" s="77"/>
      <c r="B719" s="77"/>
      <c r="C719" s="77"/>
      <c r="D719" s="77"/>
      <c r="E719" s="188"/>
      <c r="F719" s="188"/>
      <c r="G719" s="188"/>
      <c r="H719" s="188"/>
      <c r="I719" s="188"/>
      <c r="J719" s="77"/>
      <c r="K719" s="77"/>
      <c r="L719" s="77"/>
      <c r="M719" s="77"/>
      <c r="N719" s="77"/>
      <c r="O719" s="77"/>
      <c r="P719" s="77"/>
      <c r="Q719" s="77"/>
      <c r="R719" s="77"/>
      <c r="S719" s="77"/>
      <c r="T719" s="77"/>
      <c r="U719" s="77"/>
      <c r="V719" s="77"/>
      <c r="W719" s="77"/>
      <c r="X719" s="77"/>
      <c r="Y719" s="77"/>
      <c r="Z719" s="77"/>
      <c r="AA719" s="77"/>
      <c r="AB719" s="77"/>
      <c r="AC719" s="77"/>
      <c r="AD719" s="227"/>
      <c r="AE719" s="77"/>
      <c r="AF719" s="227"/>
      <c r="AG719" s="77"/>
      <c r="AH719" s="77"/>
      <c r="AI719" s="77"/>
      <c r="AJ719" s="77"/>
      <c r="AK719" s="77"/>
      <c r="AL719" s="77"/>
      <c r="AM719" s="77"/>
      <c r="AN719" s="77"/>
      <c r="AO719" s="77"/>
      <c r="AP719" s="77"/>
      <c r="AQ719" s="77"/>
      <c r="AR719" s="77"/>
      <c r="AS719" s="77"/>
      <c r="AT719" s="77"/>
      <c r="AU719" s="77"/>
      <c r="AV719" s="77"/>
      <c r="AW719" s="77"/>
      <c r="AX719" s="77"/>
      <c r="AY719" s="77"/>
      <c r="AZ719" s="77"/>
      <c r="BA719" s="77"/>
      <c r="BB719" s="77"/>
      <c r="BC719" s="77"/>
      <c r="BD719" s="77"/>
      <c r="BE719" s="77"/>
    </row>
    <row r="720">
      <c r="A720" s="77"/>
      <c r="B720" s="77"/>
      <c r="C720" s="77"/>
      <c r="D720" s="77"/>
      <c r="E720" s="188"/>
      <c r="F720" s="188"/>
      <c r="G720" s="188"/>
      <c r="H720" s="188"/>
      <c r="I720" s="188"/>
      <c r="J720" s="77"/>
      <c r="K720" s="77"/>
      <c r="L720" s="77"/>
      <c r="M720" s="77"/>
      <c r="N720" s="77"/>
      <c r="O720" s="77"/>
      <c r="P720" s="77"/>
      <c r="Q720" s="77"/>
      <c r="R720" s="77"/>
      <c r="S720" s="77"/>
      <c r="T720" s="77"/>
      <c r="U720" s="77"/>
      <c r="V720" s="77"/>
      <c r="W720" s="77"/>
      <c r="X720" s="77"/>
      <c r="Y720" s="77"/>
      <c r="Z720" s="77"/>
      <c r="AA720" s="77"/>
      <c r="AB720" s="77"/>
      <c r="AC720" s="77"/>
      <c r="AD720" s="227"/>
      <c r="AE720" s="77"/>
      <c r="AF720" s="227"/>
      <c r="AG720" s="77"/>
      <c r="AH720" s="77"/>
      <c r="AI720" s="77"/>
      <c r="AJ720" s="77"/>
      <c r="AK720" s="77"/>
      <c r="AL720" s="77"/>
      <c r="AM720" s="77"/>
      <c r="AN720" s="77"/>
      <c r="AO720" s="77"/>
      <c r="AP720" s="77"/>
      <c r="AQ720" s="77"/>
      <c r="AR720" s="77"/>
      <c r="AS720" s="77"/>
      <c r="AT720" s="77"/>
      <c r="AU720" s="77"/>
      <c r="AV720" s="77"/>
      <c r="AW720" s="77"/>
      <c r="AX720" s="77"/>
      <c r="AY720" s="77"/>
      <c r="AZ720" s="77"/>
      <c r="BA720" s="77"/>
      <c r="BB720" s="77"/>
      <c r="BC720" s="77"/>
      <c r="BD720" s="77"/>
      <c r="BE720" s="77"/>
    </row>
    <row r="721">
      <c r="A721" s="77"/>
      <c r="B721" s="77"/>
      <c r="C721" s="77"/>
      <c r="D721" s="77"/>
      <c r="E721" s="188"/>
      <c r="F721" s="188"/>
      <c r="G721" s="188"/>
      <c r="H721" s="188"/>
      <c r="I721" s="188"/>
      <c r="J721" s="77"/>
      <c r="K721" s="77"/>
      <c r="L721" s="77"/>
      <c r="M721" s="77"/>
      <c r="N721" s="77"/>
      <c r="O721" s="77"/>
      <c r="P721" s="77"/>
      <c r="Q721" s="77"/>
      <c r="R721" s="77"/>
      <c r="S721" s="77"/>
      <c r="T721" s="77"/>
      <c r="U721" s="77"/>
      <c r="V721" s="77"/>
      <c r="W721" s="77"/>
      <c r="X721" s="77"/>
      <c r="Y721" s="77"/>
      <c r="Z721" s="77"/>
      <c r="AA721" s="77"/>
      <c r="AB721" s="77"/>
      <c r="AC721" s="77"/>
      <c r="AD721" s="227"/>
      <c r="AE721" s="77"/>
      <c r="AF721" s="227"/>
      <c r="AG721" s="77"/>
      <c r="AH721" s="77"/>
      <c r="AI721" s="77"/>
      <c r="AJ721" s="77"/>
      <c r="AK721" s="77"/>
      <c r="AL721" s="77"/>
      <c r="AM721" s="77"/>
      <c r="AN721" s="77"/>
      <c r="AO721" s="77"/>
      <c r="AP721" s="77"/>
      <c r="AQ721" s="77"/>
      <c r="AR721" s="77"/>
      <c r="AS721" s="77"/>
      <c r="AT721" s="77"/>
      <c r="AU721" s="77"/>
      <c r="AV721" s="77"/>
      <c r="AW721" s="77"/>
      <c r="AX721" s="77"/>
      <c r="AY721" s="77"/>
      <c r="AZ721" s="77"/>
      <c r="BA721" s="77"/>
      <c r="BB721" s="77"/>
      <c r="BC721" s="77"/>
      <c r="BD721" s="77"/>
      <c r="BE721" s="77"/>
    </row>
    <row r="722">
      <c r="A722" s="77"/>
      <c r="B722" s="77"/>
      <c r="C722" s="77"/>
      <c r="D722" s="77"/>
      <c r="E722" s="188"/>
      <c r="F722" s="188"/>
      <c r="G722" s="188"/>
      <c r="H722" s="188"/>
      <c r="I722" s="188"/>
      <c r="J722" s="77"/>
      <c r="K722" s="77"/>
      <c r="L722" s="77"/>
      <c r="M722" s="77"/>
      <c r="N722" s="77"/>
      <c r="O722" s="77"/>
      <c r="P722" s="77"/>
      <c r="Q722" s="77"/>
      <c r="R722" s="77"/>
      <c r="S722" s="77"/>
      <c r="T722" s="77"/>
      <c r="U722" s="77"/>
      <c r="V722" s="77"/>
      <c r="W722" s="77"/>
      <c r="X722" s="77"/>
      <c r="Y722" s="77"/>
      <c r="Z722" s="77"/>
      <c r="AA722" s="77"/>
      <c r="AB722" s="77"/>
      <c r="AC722" s="77"/>
      <c r="AD722" s="227"/>
      <c r="AE722" s="77"/>
      <c r="AF722" s="227"/>
      <c r="AG722" s="77"/>
      <c r="AH722" s="77"/>
      <c r="AI722" s="77"/>
      <c r="AJ722" s="77"/>
      <c r="AK722" s="77"/>
      <c r="AL722" s="77"/>
      <c r="AM722" s="77"/>
      <c r="AN722" s="77"/>
      <c r="AO722" s="77"/>
      <c r="AP722" s="77"/>
      <c r="AQ722" s="77"/>
      <c r="AR722" s="77"/>
      <c r="AS722" s="77"/>
      <c r="AT722" s="77"/>
      <c r="AU722" s="77"/>
      <c r="AV722" s="77"/>
      <c r="AW722" s="77"/>
      <c r="AX722" s="77"/>
      <c r="AY722" s="77"/>
      <c r="AZ722" s="77"/>
      <c r="BA722" s="77"/>
      <c r="BB722" s="77"/>
      <c r="BC722" s="77"/>
      <c r="BD722" s="77"/>
      <c r="BE722" s="77"/>
    </row>
    <row r="723">
      <c r="A723" s="77"/>
      <c r="B723" s="77"/>
      <c r="C723" s="77"/>
      <c r="D723" s="77"/>
      <c r="E723" s="188"/>
      <c r="F723" s="188"/>
      <c r="G723" s="188"/>
      <c r="H723" s="188"/>
      <c r="I723" s="188"/>
      <c r="J723" s="77"/>
      <c r="K723" s="77"/>
      <c r="L723" s="77"/>
      <c r="M723" s="77"/>
      <c r="N723" s="77"/>
      <c r="O723" s="77"/>
      <c r="P723" s="77"/>
      <c r="Q723" s="77"/>
      <c r="R723" s="77"/>
      <c r="S723" s="77"/>
      <c r="T723" s="77"/>
      <c r="U723" s="77"/>
      <c r="V723" s="77"/>
      <c r="W723" s="77"/>
      <c r="X723" s="77"/>
      <c r="Y723" s="77"/>
      <c r="Z723" s="77"/>
      <c r="AA723" s="77"/>
      <c r="AB723" s="77"/>
      <c r="AC723" s="77"/>
      <c r="AD723" s="227"/>
      <c r="AE723" s="77"/>
      <c r="AF723" s="227"/>
      <c r="AG723" s="77"/>
      <c r="AH723" s="77"/>
      <c r="AI723" s="77"/>
      <c r="AJ723" s="77"/>
      <c r="AK723" s="77"/>
      <c r="AL723" s="77"/>
      <c r="AM723" s="77"/>
      <c r="AN723" s="77"/>
      <c r="AO723" s="77"/>
      <c r="AP723" s="77"/>
      <c r="AQ723" s="77"/>
      <c r="AR723" s="77"/>
      <c r="AS723" s="77"/>
      <c r="AT723" s="77"/>
      <c r="AU723" s="77"/>
      <c r="AV723" s="77"/>
      <c r="AW723" s="77"/>
      <c r="AX723" s="77"/>
      <c r="AY723" s="77"/>
      <c r="AZ723" s="77"/>
      <c r="BA723" s="77"/>
      <c r="BB723" s="77"/>
      <c r="BC723" s="77"/>
      <c r="BD723" s="77"/>
      <c r="BE723" s="77"/>
    </row>
    <row r="724">
      <c r="A724" s="77"/>
      <c r="B724" s="77"/>
      <c r="C724" s="77"/>
      <c r="D724" s="77"/>
      <c r="E724" s="188"/>
      <c r="F724" s="188"/>
      <c r="G724" s="188"/>
      <c r="H724" s="188"/>
      <c r="I724" s="188"/>
      <c r="J724" s="77"/>
      <c r="K724" s="77"/>
      <c r="L724" s="77"/>
      <c r="M724" s="77"/>
      <c r="N724" s="77"/>
      <c r="O724" s="77"/>
      <c r="P724" s="77"/>
      <c r="Q724" s="77"/>
      <c r="R724" s="77"/>
      <c r="S724" s="77"/>
      <c r="T724" s="77"/>
      <c r="U724" s="77"/>
      <c r="V724" s="77"/>
      <c r="W724" s="77"/>
      <c r="X724" s="77"/>
      <c r="Y724" s="77"/>
      <c r="Z724" s="77"/>
      <c r="AA724" s="77"/>
      <c r="AB724" s="77"/>
      <c r="AC724" s="77"/>
      <c r="AD724" s="227"/>
      <c r="AE724" s="77"/>
      <c r="AF724" s="227"/>
      <c r="AG724" s="77"/>
      <c r="AH724" s="77"/>
      <c r="AI724" s="77"/>
      <c r="AJ724" s="77"/>
      <c r="AK724" s="77"/>
      <c r="AL724" s="77"/>
      <c r="AM724" s="77"/>
      <c r="AN724" s="77"/>
      <c r="AO724" s="77"/>
      <c r="AP724" s="77"/>
      <c r="AQ724" s="77"/>
      <c r="AR724" s="77"/>
      <c r="AS724" s="77"/>
      <c r="AT724" s="77"/>
      <c r="AU724" s="77"/>
      <c r="AV724" s="77"/>
      <c r="AW724" s="77"/>
      <c r="AX724" s="77"/>
      <c r="AY724" s="77"/>
      <c r="AZ724" s="77"/>
      <c r="BA724" s="77"/>
      <c r="BB724" s="77"/>
      <c r="BC724" s="77"/>
      <c r="BD724" s="77"/>
      <c r="BE724" s="77"/>
    </row>
    <row r="725">
      <c r="A725" s="77"/>
      <c r="B725" s="77"/>
      <c r="C725" s="77"/>
      <c r="D725" s="77"/>
      <c r="E725" s="188"/>
      <c r="F725" s="188"/>
      <c r="G725" s="188"/>
      <c r="H725" s="188"/>
      <c r="I725" s="188"/>
      <c r="J725" s="77"/>
      <c r="K725" s="77"/>
      <c r="L725" s="77"/>
      <c r="M725" s="77"/>
      <c r="N725" s="77"/>
      <c r="O725" s="77"/>
      <c r="P725" s="77"/>
      <c r="Q725" s="77"/>
      <c r="R725" s="77"/>
      <c r="S725" s="77"/>
      <c r="T725" s="77"/>
      <c r="U725" s="77"/>
      <c r="V725" s="77"/>
      <c r="W725" s="77"/>
      <c r="X725" s="77"/>
      <c r="Y725" s="77"/>
      <c r="Z725" s="77"/>
      <c r="AA725" s="77"/>
      <c r="AB725" s="77"/>
      <c r="AC725" s="77"/>
      <c r="AD725" s="227"/>
      <c r="AE725" s="77"/>
      <c r="AF725" s="227"/>
      <c r="AG725" s="77"/>
      <c r="AH725" s="77"/>
      <c r="AI725" s="77"/>
      <c r="AJ725" s="77"/>
      <c r="AK725" s="77"/>
      <c r="AL725" s="77"/>
      <c r="AM725" s="77"/>
      <c r="AN725" s="77"/>
      <c r="AO725" s="77"/>
      <c r="AP725" s="77"/>
      <c r="AQ725" s="77"/>
      <c r="AR725" s="77"/>
      <c r="AS725" s="77"/>
      <c r="AT725" s="77"/>
      <c r="AU725" s="77"/>
      <c r="AV725" s="77"/>
      <c r="AW725" s="77"/>
      <c r="AX725" s="77"/>
      <c r="AY725" s="77"/>
      <c r="AZ725" s="77"/>
      <c r="BA725" s="77"/>
      <c r="BB725" s="77"/>
      <c r="BC725" s="77"/>
      <c r="BD725" s="77"/>
      <c r="BE725" s="77"/>
    </row>
    <row r="726">
      <c r="A726" s="77"/>
      <c r="B726" s="77"/>
      <c r="C726" s="77"/>
      <c r="D726" s="77"/>
      <c r="E726" s="188"/>
      <c r="F726" s="188"/>
      <c r="G726" s="188"/>
      <c r="H726" s="188"/>
      <c r="I726" s="188"/>
      <c r="J726" s="77"/>
      <c r="K726" s="77"/>
      <c r="L726" s="77"/>
      <c r="M726" s="77"/>
      <c r="N726" s="77"/>
      <c r="O726" s="77"/>
      <c r="P726" s="77"/>
      <c r="Q726" s="77"/>
      <c r="R726" s="77"/>
      <c r="S726" s="77"/>
      <c r="T726" s="77"/>
      <c r="U726" s="77"/>
      <c r="V726" s="77"/>
      <c r="W726" s="77"/>
      <c r="X726" s="77"/>
      <c r="Y726" s="77"/>
      <c r="Z726" s="77"/>
      <c r="AA726" s="77"/>
      <c r="AB726" s="77"/>
      <c r="AC726" s="77"/>
      <c r="AD726" s="227"/>
      <c r="AE726" s="77"/>
      <c r="AF726" s="227"/>
      <c r="AG726" s="77"/>
      <c r="AH726" s="77"/>
      <c r="AI726" s="77"/>
      <c r="AJ726" s="77"/>
      <c r="AK726" s="77"/>
      <c r="AL726" s="77"/>
      <c r="AM726" s="77"/>
      <c r="AN726" s="77"/>
      <c r="AO726" s="77"/>
      <c r="AP726" s="77"/>
      <c r="AQ726" s="77"/>
      <c r="AR726" s="77"/>
      <c r="AS726" s="77"/>
      <c r="AT726" s="77"/>
      <c r="AU726" s="77"/>
      <c r="AV726" s="77"/>
      <c r="AW726" s="77"/>
      <c r="AX726" s="77"/>
      <c r="AY726" s="77"/>
      <c r="AZ726" s="77"/>
      <c r="BA726" s="77"/>
      <c r="BB726" s="77"/>
      <c r="BC726" s="77"/>
      <c r="BD726" s="77"/>
      <c r="BE726" s="77"/>
    </row>
    <row r="727">
      <c r="A727" s="77"/>
      <c r="B727" s="77"/>
      <c r="C727" s="77"/>
      <c r="D727" s="77"/>
      <c r="E727" s="188"/>
      <c r="F727" s="188"/>
      <c r="G727" s="188"/>
      <c r="H727" s="188"/>
      <c r="I727" s="188"/>
      <c r="J727" s="77"/>
      <c r="K727" s="77"/>
      <c r="L727" s="77"/>
      <c r="M727" s="77"/>
      <c r="N727" s="77"/>
      <c r="O727" s="77"/>
      <c r="P727" s="77"/>
      <c r="Q727" s="77"/>
      <c r="R727" s="77"/>
      <c r="S727" s="77"/>
      <c r="T727" s="77"/>
      <c r="U727" s="77"/>
      <c r="V727" s="77"/>
      <c r="W727" s="77"/>
      <c r="X727" s="77"/>
      <c r="Y727" s="77"/>
      <c r="Z727" s="77"/>
      <c r="AA727" s="77"/>
      <c r="AB727" s="77"/>
      <c r="AC727" s="77"/>
      <c r="AD727" s="227"/>
      <c r="AE727" s="77"/>
      <c r="AF727" s="227"/>
      <c r="AG727" s="77"/>
      <c r="AH727" s="77"/>
      <c r="AI727" s="77"/>
      <c r="AJ727" s="77"/>
      <c r="AK727" s="77"/>
      <c r="AL727" s="77"/>
      <c r="AM727" s="77"/>
      <c r="AN727" s="77"/>
      <c r="AO727" s="77"/>
      <c r="AP727" s="77"/>
      <c r="AQ727" s="77"/>
      <c r="AR727" s="77"/>
      <c r="AS727" s="77"/>
      <c r="AT727" s="77"/>
      <c r="AU727" s="77"/>
      <c r="AV727" s="77"/>
      <c r="AW727" s="77"/>
      <c r="AX727" s="77"/>
      <c r="AY727" s="77"/>
      <c r="AZ727" s="77"/>
      <c r="BA727" s="77"/>
      <c r="BB727" s="77"/>
      <c r="BC727" s="77"/>
      <c r="BD727" s="77"/>
      <c r="BE727" s="77"/>
    </row>
    <row r="728">
      <c r="A728" s="77"/>
      <c r="B728" s="77"/>
      <c r="C728" s="77"/>
      <c r="D728" s="77"/>
      <c r="E728" s="188"/>
      <c r="F728" s="188"/>
      <c r="G728" s="188"/>
      <c r="H728" s="188"/>
      <c r="I728" s="188"/>
      <c r="J728" s="77"/>
      <c r="K728" s="77"/>
      <c r="L728" s="77"/>
      <c r="M728" s="77"/>
      <c r="N728" s="77"/>
      <c r="O728" s="77"/>
      <c r="P728" s="77"/>
      <c r="Q728" s="77"/>
      <c r="R728" s="77"/>
      <c r="S728" s="77"/>
      <c r="T728" s="77"/>
      <c r="U728" s="77"/>
      <c r="V728" s="77"/>
      <c r="W728" s="77"/>
      <c r="X728" s="77"/>
      <c r="Y728" s="77"/>
      <c r="Z728" s="77"/>
      <c r="AA728" s="77"/>
      <c r="AB728" s="77"/>
      <c r="AC728" s="77"/>
      <c r="AD728" s="227"/>
      <c r="AE728" s="77"/>
      <c r="AF728" s="227"/>
      <c r="AG728" s="77"/>
      <c r="AH728" s="77"/>
      <c r="AI728" s="77"/>
      <c r="AJ728" s="77"/>
      <c r="AK728" s="77"/>
      <c r="AL728" s="77"/>
      <c r="AM728" s="77"/>
      <c r="AN728" s="77"/>
      <c r="AO728" s="77"/>
      <c r="AP728" s="77"/>
      <c r="AQ728" s="77"/>
      <c r="AR728" s="77"/>
      <c r="AS728" s="77"/>
      <c r="AT728" s="77"/>
      <c r="AU728" s="77"/>
      <c r="AV728" s="77"/>
      <c r="AW728" s="77"/>
      <c r="AX728" s="77"/>
      <c r="AY728" s="77"/>
      <c r="AZ728" s="77"/>
      <c r="BA728" s="77"/>
      <c r="BB728" s="77"/>
      <c r="BC728" s="77"/>
      <c r="BD728" s="77"/>
      <c r="BE728" s="77"/>
    </row>
    <row r="729">
      <c r="A729" s="77"/>
      <c r="B729" s="77"/>
      <c r="C729" s="77"/>
      <c r="D729" s="77"/>
      <c r="E729" s="188"/>
      <c r="F729" s="188"/>
      <c r="G729" s="188"/>
      <c r="H729" s="188"/>
      <c r="I729" s="188"/>
      <c r="J729" s="77"/>
      <c r="K729" s="77"/>
      <c r="L729" s="77"/>
      <c r="M729" s="77"/>
      <c r="N729" s="77"/>
      <c r="O729" s="77"/>
      <c r="P729" s="77"/>
      <c r="Q729" s="77"/>
      <c r="R729" s="77"/>
      <c r="S729" s="77"/>
      <c r="T729" s="77"/>
      <c r="U729" s="77"/>
      <c r="V729" s="77"/>
      <c r="W729" s="77"/>
      <c r="X729" s="77"/>
      <c r="Y729" s="77"/>
      <c r="Z729" s="77"/>
      <c r="AA729" s="77"/>
      <c r="AB729" s="77"/>
      <c r="AC729" s="77"/>
      <c r="AD729" s="227"/>
      <c r="AE729" s="77"/>
      <c r="AF729" s="227"/>
      <c r="AG729" s="77"/>
      <c r="AH729" s="77"/>
      <c r="AI729" s="77"/>
      <c r="AJ729" s="77"/>
      <c r="AK729" s="77"/>
      <c r="AL729" s="77"/>
      <c r="AM729" s="77"/>
      <c r="AN729" s="77"/>
      <c r="AO729" s="77"/>
      <c r="AP729" s="77"/>
      <c r="AQ729" s="77"/>
      <c r="AR729" s="77"/>
      <c r="AS729" s="77"/>
      <c r="AT729" s="77"/>
      <c r="AU729" s="77"/>
      <c r="AV729" s="77"/>
      <c r="AW729" s="77"/>
      <c r="AX729" s="77"/>
      <c r="AY729" s="77"/>
      <c r="AZ729" s="77"/>
      <c r="BA729" s="77"/>
      <c r="BB729" s="77"/>
      <c r="BC729" s="77"/>
      <c r="BD729" s="77"/>
      <c r="BE729" s="77"/>
    </row>
    <row r="730">
      <c r="A730" s="77"/>
      <c r="B730" s="77"/>
      <c r="C730" s="77"/>
      <c r="D730" s="77"/>
      <c r="E730" s="188"/>
      <c r="F730" s="188"/>
      <c r="G730" s="188"/>
      <c r="H730" s="188"/>
      <c r="I730" s="188"/>
      <c r="J730" s="77"/>
      <c r="K730" s="77"/>
      <c r="L730" s="77"/>
      <c r="M730" s="77"/>
      <c r="N730" s="77"/>
      <c r="O730" s="77"/>
      <c r="P730" s="77"/>
      <c r="Q730" s="77"/>
      <c r="R730" s="77"/>
      <c r="S730" s="77"/>
      <c r="T730" s="77"/>
      <c r="U730" s="77"/>
      <c r="V730" s="77"/>
      <c r="W730" s="77"/>
      <c r="X730" s="77"/>
      <c r="Y730" s="77"/>
      <c r="Z730" s="77"/>
      <c r="AA730" s="77"/>
      <c r="AB730" s="77"/>
      <c r="AC730" s="77"/>
      <c r="AD730" s="227"/>
      <c r="AE730" s="77"/>
      <c r="AF730" s="227"/>
      <c r="AG730" s="77"/>
      <c r="AH730" s="77"/>
      <c r="AI730" s="77"/>
      <c r="AJ730" s="77"/>
      <c r="AK730" s="77"/>
      <c r="AL730" s="77"/>
      <c r="AM730" s="77"/>
      <c r="AN730" s="77"/>
      <c r="AO730" s="77"/>
      <c r="AP730" s="77"/>
      <c r="AQ730" s="77"/>
      <c r="AR730" s="77"/>
      <c r="AS730" s="77"/>
      <c r="AT730" s="77"/>
      <c r="AU730" s="77"/>
      <c r="AV730" s="77"/>
      <c r="AW730" s="77"/>
      <c r="AX730" s="77"/>
      <c r="AY730" s="77"/>
      <c r="AZ730" s="77"/>
      <c r="BA730" s="77"/>
      <c r="BB730" s="77"/>
      <c r="BC730" s="77"/>
      <c r="BD730" s="77"/>
      <c r="BE730" s="77"/>
    </row>
    <row r="731">
      <c r="A731" s="77"/>
      <c r="B731" s="77"/>
      <c r="C731" s="77"/>
      <c r="D731" s="77"/>
      <c r="E731" s="188"/>
      <c r="F731" s="188"/>
      <c r="G731" s="188"/>
      <c r="H731" s="188"/>
      <c r="I731" s="188"/>
      <c r="J731" s="77"/>
      <c r="K731" s="77"/>
      <c r="L731" s="77"/>
      <c r="M731" s="77"/>
      <c r="N731" s="77"/>
      <c r="O731" s="77"/>
      <c r="P731" s="77"/>
      <c r="Q731" s="77"/>
      <c r="R731" s="77"/>
      <c r="S731" s="77"/>
      <c r="T731" s="77"/>
      <c r="U731" s="77"/>
      <c r="V731" s="77"/>
      <c r="W731" s="77"/>
      <c r="X731" s="77"/>
      <c r="Y731" s="77"/>
      <c r="Z731" s="77"/>
      <c r="AA731" s="77"/>
      <c r="AB731" s="77"/>
      <c r="AC731" s="77"/>
      <c r="AD731" s="227"/>
      <c r="AE731" s="77"/>
      <c r="AF731" s="227"/>
      <c r="AG731" s="77"/>
      <c r="AH731" s="77"/>
      <c r="AI731" s="77"/>
      <c r="AJ731" s="77"/>
      <c r="AK731" s="77"/>
      <c r="AL731" s="77"/>
      <c r="AM731" s="77"/>
      <c r="AN731" s="77"/>
      <c r="AO731" s="77"/>
      <c r="AP731" s="77"/>
      <c r="AQ731" s="77"/>
      <c r="AR731" s="77"/>
      <c r="AS731" s="77"/>
      <c r="AT731" s="77"/>
      <c r="AU731" s="77"/>
      <c r="AV731" s="77"/>
      <c r="AW731" s="77"/>
      <c r="AX731" s="77"/>
      <c r="AY731" s="77"/>
      <c r="AZ731" s="77"/>
      <c r="BA731" s="77"/>
      <c r="BB731" s="77"/>
      <c r="BC731" s="77"/>
      <c r="BD731" s="77"/>
      <c r="BE731" s="77"/>
    </row>
    <row r="732">
      <c r="A732" s="77"/>
      <c r="B732" s="77"/>
      <c r="C732" s="77"/>
      <c r="D732" s="77"/>
      <c r="E732" s="188"/>
      <c r="F732" s="188"/>
      <c r="G732" s="188"/>
      <c r="H732" s="188"/>
      <c r="I732" s="188"/>
      <c r="J732" s="77"/>
      <c r="K732" s="77"/>
      <c r="L732" s="77"/>
      <c r="M732" s="77"/>
      <c r="N732" s="77"/>
      <c r="O732" s="77"/>
      <c r="P732" s="77"/>
      <c r="Q732" s="77"/>
      <c r="R732" s="77"/>
      <c r="S732" s="77"/>
      <c r="T732" s="77"/>
      <c r="U732" s="77"/>
      <c r="V732" s="77"/>
      <c r="W732" s="77"/>
      <c r="X732" s="77"/>
      <c r="Y732" s="77"/>
      <c r="Z732" s="77"/>
      <c r="AA732" s="77"/>
      <c r="AB732" s="77"/>
      <c r="AC732" s="77"/>
      <c r="AD732" s="227"/>
      <c r="AE732" s="77"/>
      <c r="AF732" s="227"/>
      <c r="AG732" s="77"/>
      <c r="AH732" s="77"/>
      <c r="AI732" s="77"/>
      <c r="AJ732" s="77"/>
      <c r="AK732" s="77"/>
      <c r="AL732" s="77"/>
      <c r="AM732" s="77"/>
      <c r="AN732" s="77"/>
      <c r="AO732" s="77"/>
      <c r="AP732" s="77"/>
      <c r="AQ732" s="77"/>
      <c r="AR732" s="77"/>
      <c r="AS732" s="77"/>
      <c r="AT732" s="77"/>
      <c r="AU732" s="77"/>
      <c r="AV732" s="77"/>
      <c r="AW732" s="77"/>
      <c r="AX732" s="77"/>
      <c r="AY732" s="77"/>
      <c r="AZ732" s="77"/>
      <c r="BA732" s="77"/>
      <c r="BB732" s="77"/>
      <c r="BC732" s="77"/>
      <c r="BD732" s="77"/>
      <c r="BE732" s="77"/>
    </row>
    <row r="733">
      <c r="A733" s="77"/>
      <c r="B733" s="77"/>
      <c r="C733" s="77"/>
      <c r="D733" s="77"/>
      <c r="E733" s="188"/>
      <c r="F733" s="188"/>
      <c r="G733" s="188"/>
      <c r="H733" s="188"/>
      <c r="I733" s="188"/>
      <c r="J733" s="77"/>
      <c r="K733" s="77"/>
      <c r="L733" s="77"/>
      <c r="M733" s="77"/>
      <c r="N733" s="77"/>
      <c r="O733" s="77"/>
      <c r="P733" s="77"/>
      <c r="Q733" s="77"/>
      <c r="R733" s="77"/>
      <c r="S733" s="77"/>
      <c r="T733" s="77"/>
      <c r="U733" s="77"/>
      <c r="V733" s="77"/>
      <c r="W733" s="77"/>
      <c r="X733" s="77"/>
      <c r="Y733" s="77"/>
      <c r="Z733" s="77"/>
      <c r="AA733" s="77"/>
      <c r="AB733" s="77"/>
      <c r="AC733" s="77"/>
      <c r="AD733" s="227"/>
      <c r="AE733" s="77"/>
      <c r="AF733" s="227"/>
      <c r="AG733" s="77"/>
      <c r="AH733" s="77"/>
      <c r="AI733" s="77"/>
      <c r="AJ733" s="77"/>
      <c r="AK733" s="77"/>
      <c r="AL733" s="77"/>
      <c r="AM733" s="77"/>
      <c r="AN733" s="77"/>
      <c r="AO733" s="77"/>
      <c r="AP733" s="77"/>
      <c r="AQ733" s="77"/>
      <c r="AR733" s="77"/>
      <c r="AS733" s="77"/>
      <c r="AT733" s="77"/>
      <c r="AU733" s="77"/>
      <c r="AV733" s="77"/>
      <c r="AW733" s="77"/>
      <c r="AX733" s="77"/>
      <c r="AY733" s="77"/>
      <c r="AZ733" s="77"/>
      <c r="BA733" s="77"/>
      <c r="BB733" s="77"/>
      <c r="BC733" s="77"/>
      <c r="BD733" s="77"/>
      <c r="BE733" s="77"/>
    </row>
    <row r="734">
      <c r="A734" s="77"/>
      <c r="B734" s="77"/>
      <c r="C734" s="77"/>
      <c r="D734" s="77"/>
      <c r="E734" s="188"/>
      <c r="F734" s="188"/>
      <c r="G734" s="188"/>
      <c r="H734" s="188"/>
      <c r="I734" s="188"/>
      <c r="J734" s="77"/>
      <c r="K734" s="77"/>
      <c r="L734" s="77"/>
      <c r="M734" s="77"/>
      <c r="N734" s="77"/>
      <c r="O734" s="77"/>
      <c r="P734" s="77"/>
      <c r="Q734" s="77"/>
      <c r="R734" s="77"/>
      <c r="S734" s="77"/>
      <c r="T734" s="77"/>
      <c r="U734" s="77"/>
      <c r="V734" s="77"/>
      <c r="W734" s="77"/>
      <c r="X734" s="77"/>
      <c r="Y734" s="77"/>
      <c r="Z734" s="77"/>
      <c r="AA734" s="77"/>
      <c r="AB734" s="77"/>
      <c r="AC734" s="77"/>
      <c r="AD734" s="227"/>
      <c r="AE734" s="77"/>
      <c r="AF734" s="227"/>
      <c r="AG734" s="77"/>
      <c r="AH734" s="77"/>
      <c r="AI734" s="77"/>
      <c r="AJ734" s="77"/>
      <c r="AK734" s="77"/>
      <c r="AL734" s="77"/>
      <c r="AM734" s="77"/>
      <c r="AN734" s="77"/>
      <c r="AO734" s="77"/>
      <c r="AP734" s="77"/>
      <c r="AQ734" s="77"/>
      <c r="AR734" s="77"/>
      <c r="AS734" s="77"/>
      <c r="AT734" s="77"/>
      <c r="AU734" s="77"/>
      <c r="AV734" s="77"/>
      <c r="AW734" s="77"/>
      <c r="AX734" s="77"/>
      <c r="AY734" s="77"/>
      <c r="AZ734" s="77"/>
      <c r="BA734" s="77"/>
      <c r="BB734" s="77"/>
      <c r="BC734" s="77"/>
      <c r="BD734" s="77"/>
      <c r="BE734" s="77"/>
    </row>
    <row r="735">
      <c r="A735" s="77"/>
      <c r="B735" s="77"/>
      <c r="C735" s="77"/>
      <c r="D735" s="77"/>
      <c r="E735" s="188"/>
      <c r="F735" s="188"/>
      <c r="G735" s="188"/>
      <c r="H735" s="188"/>
      <c r="I735" s="188"/>
      <c r="J735" s="77"/>
      <c r="K735" s="77"/>
      <c r="L735" s="77"/>
      <c r="M735" s="77"/>
      <c r="N735" s="77"/>
      <c r="O735" s="77"/>
      <c r="P735" s="77"/>
      <c r="Q735" s="77"/>
      <c r="R735" s="77"/>
      <c r="S735" s="77"/>
      <c r="T735" s="77"/>
      <c r="U735" s="77"/>
      <c r="V735" s="77"/>
      <c r="W735" s="77"/>
      <c r="X735" s="77"/>
      <c r="Y735" s="77"/>
      <c r="Z735" s="77"/>
      <c r="AA735" s="77"/>
      <c r="AB735" s="77"/>
      <c r="AC735" s="77"/>
      <c r="AD735" s="227"/>
      <c r="AE735" s="77"/>
      <c r="AF735" s="227"/>
      <c r="AG735" s="77"/>
      <c r="AH735" s="77"/>
      <c r="AI735" s="77"/>
      <c r="AJ735" s="77"/>
      <c r="AK735" s="77"/>
      <c r="AL735" s="77"/>
      <c r="AM735" s="77"/>
      <c r="AN735" s="77"/>
      <c r="AO735" s="77"/>
      <c r="AP735" s="77"/>
      <c r="AQ735" s="77"/>
      <c r="AR735" s="77"/>
      <c r="AS735" s="77"/>
      <c r="AT735" s="77"/>
      <c r="AU735" s="77"/>
      <c r="AV735" s="77"/>
      <c r="AW735" s="77"/>
      <c r="AX735" s="77"/>
      <c r="AY735" s="77"/>
      <c r="AZ735" s="77"/>
      <c r="BA735" s="77"/>
      <c r="BB735" s="77"/>
      <c r="BC735" s="77"/>
      <c r="BD735" s="77"/>
      <c r="BE735" s="77"/>
    </row>
    <row r="736">
      <c r="A736" s="77"/>
      <c r="B736" s="77"/>
      <c r="C736" s="77"/>
      <c r="D736" s="77"/>
      <c r="E736" s="188"/>
      <c r="F736" s="188"/>
      <c r="G736" s="188"/>
      <c r="H736" s="188"/>
      <c r="I736" s="188"/>
      <c r="J736" s="77"/>
      <c r="K736" s="77"/>
      <c r="L736" s="77"/>
      <c r="M736" s="77"/>
      <c r="N736" s="77"/>
      <c r="O736" s="77"/>
      <c r="P736" s="77"/>
      <c r="Q736" s="77"/>
      <c r="R736" s="77"/>
      <c r="S736" s="77"/>
      <c r="T736" s="77"/>
      <c r="U736" s="77"/>
      <c r="V736" s="77"/>
      <c r="W736" s="77"/>
      <c r="X736" s="77"/>
      <c r="Y736" s="77"/>
      <c r="Z736" s="77"/>
      <c r="AA736" s="77"/>
      <c r="AB736" s="77"/>
      <c r="AC736" s="77"/>
      <c r="AD736" s="227"/>
      <c r="AE736" s="77"/>
      <c r="AF736" s="227"/>
      <c r="AG736" s="77"/>
      <c r="AH736" s="77"/>
      <c r="AI736" s="77"/>
      <c r="AJ736" s="77"/>
      <c r="AK736" s="77"/>
      <c r="AL736" s="77"/>
      <c r="AM736" s="77"/>
      <c r="AN736" s="77"/>
      <c r="AO736" s="77"/>
      <c r="AP736" s="77"/>
      <c r="AQ736" s="77"/>
      <c r="AR736" s="77"/>
      <c r="AS736" s="77"/>
      <c r="AT736" s="77"/>
      <c r="AU736" s="77"/>
      <c r="AV736" s="77"/>
      <c r="AW736" s="77"/>
      <c r="AX736" s="77"/>
      <c r="AY736" s="77"/>
      <c r="AZ736" s="77"/>
      <c r="BA736" s="77"/>
      <c r="BB736" s="77"/>
      <c r="BC736" s="77"/>
      <c r="BD736" s="77"/>
      <c r="BE736" s="77"/>
    </row>
    <row r="737">
      <c r="A737" s="77"/>
      <c r="B737" s="77"/>
      <c r="C737" s="77"/>
      <c r="D737" s="77"/>
      <c r="E737" s="188"/>
      <c r="F737" s="188"/>
      <c r="G737" s="188"/>
      <c r="H737" s="188"/>
      <c r="I737" s="188"/>
      <c r="J737" s="77"/>
      <c r="K737" s="77"/>
      <c r="L737" s="77"/>
      <c r="M737" s="77"/>
      <c r="N737" s="77"/>
      <c r="O737" s="77"/>
      <c r="P737" s="77"/>
      <c r="Q737" s="77"/>
      <c r="R737" s="77"/>
      <c r="S737" s="77"/>
      <c r="T737" s="77"/>
      <c r="U737" s="77"/>
      <c r="V737" s="77"/>
      <c r="W737" s="77"/>
      <c r="X737" s="77"/>
      <c r="Y737" s="77"/>
      <c r="Z737" s="77"/>
      <c r="AA737" s="77"/>
      <c r="AB737" s="77"/>
      <c r="AC737" s="77"/>
      <c r="AD737" s="227"/>
      <c r="AE737" s="77"/>
      <c r="AF737" s="227"/>
      <c r="AG737" s="77"/>
      <c r="AH737" s="77"/>
      <c r="AI737" s="77"/>
      <c r="AJ737" s="77"/>
      <c r="AK737" s="77"/>
      <c r="AL737" s="77"/>
      <c r="AM737" s="77"/>
      <c r="AN737" s="77"/>
      <c r="AO737" s="77"/>
      <c r="AP737" s="77"/>
      <c r="AQ737" s="77"/>
      <c r="AR737" s="77"/>
      <c r="AS737" s="77"/>
      <c r="AT737" s="77"/>
      <c r="AU737" s="77"/>
      <c r="AV737" s="77"/>
      <c r="AW737" s="77"/>
      <c r="AX737" s="77"/>
      <c r="AY737" s="77"/>
      <c r="AZ737" s="77"/>
      <c r="BA737" s="77"/>
      <c r="BB737" s="77"/>
      <c r="BC737" s="77"/>
      <c r="BD737" s="77"/>
      <c r="BE737" s="77"/>
    </row>
    <row r="738">
      <c r="A738" s="77"/>
      <c r="B738" s="77"/>
      <c r="C738" s="77"/>
      <c r="D738" s="77"/>
      <c r="E738" s="188"/>
      <c r="F738" s="188"/>
      <c r="G738" s="188"/>
      <c r="H738" s="188"/>
      <c r="I738" s="188"/>
      <c r="J738" s="77"/>
      <c r="K738" s="77"/>
      <c r="L738" s="77"/>
      <c r="M738" s="77"/>
      <c r="N738" s="77"/>
      <c r="O738" s="77"/>
      <c r="P738" s="77"/>
      <c r="Q738" s="77"/>
      <c r="R738" s="77"/>
      <c r="S738" s="77"/>
      <c r="T738" s="77"/>
      <c r="U738" s="77"/>
      <c r="V738" s="77"/>
      <c r="W738" s="77"/>
      <c r="X738" s="77"/>
      <c r="Y738" s="77"/>
      <c r="Z738" s="77"/>
      <c r="AA738" s="77"/>
      <c r="AB738" s="77"/>
      <c r="AC738" s="77"/>
      <c r="AD738" s="227"/>
      <c r="AE738" s="77"/>
      <c r="AF738" s="227"/>
      <c r="AG738" s="77"/>
      <c r="AH738" s="77"/>
      <c r="AI738" s="77"/>
      <c r="AJ738" s="77"/>
      <c r="AK738" s="77"/>
      <c r="AL738" s="77"/>
      <c r="AM738" s="77"/>
      <c r="AN738" s="77"/>
      <c r="AO738" s="77"/>
      <c r="AP738" s="77"/>
      <c r="AQ738" s="77"/>
      <c r="AR738" s="77"/>
      <c r="AS738" s="77"/>
      <c r="AT738" s="77"/>
      <c r="AU738" s="77"/>
      <c r="AV738" s="77"/>
      <c r="AW738" s="77"/>
      <c r="AX738" s="77"/>
      <c r="AY738" s="77"/>
      <c r="AZ738" s="77"/>
      <c r="BA738" s="77"/>
      <c r="BB738" s="77"/>
      <c r="BC738" s="77"/>
      <c r="BD738" s="77"/>
      <c r="BE738" s="77"/>
    </row>
    <row r="739">
      <c r="A739" s="77"/>
      <c r="B739" s="77"/>
      <c r="C739" s="77"/>
      <c r="D739" s="77"/>
      <c r="E739" s="188"/>
      <c r="F739" s="188"/>
      <c r="G739" s="188"/>
      <c r="H739" s="188"/>
      <c r="I739" s="188"/>
      <c r="J739" s="77"/>
      <c r="K739" s="77"/>
      <c r="L739" s="77"/>
      <c r="M739" s="77"/>
      <c r="N739" s="77"/>
      <c r="O739" s="77"/>
      <c r="P739" s="77"/>
      <c r="Q739" s="77"/>
      <c r="R739" s="77"/>
      <c r="S739" s="77"/>
      <c r="T739" s="77"/>
      <c r="U739" s="77"/>
      <c r="V739" s="77"/>
      <c r="W739" s="77"/>
      <c r="X739" s="77"/>
      <c r="Y739" s="77"/>
      <c r="Z739" s="77"/>
      <c r="AA739" s="77"/>
      <c r="AB739" s="77"/>
      <c r="AC739" s="77"/>
      <c r="AD739" s="227"/>
      <c r="AE739" s="77"/>
      <c r="AF739" s="227"/>
      <c r="AG739" s="77"/>
      <c r="AH739" s="77"/>
      <c r="AI739" s="77"/>
      <c r="AJ739" s="77"/>
      <c r="AK739" s="77"/>
      <c r="AL739" s="77"/>
      <c r="AM739" s="77"/>
      <c r="AN739" s="77"/>
      <c r="AO739" s="77"/>
      <c r="AP739" s="77"/>
      <c r="AQ739" s="77"/>
      <c r="AR739" s="77"/>
      <c r="AS739" s="77"/>
      <c r="AT739" s="77"/>
      <c r="AU739" s="77"/>
      <c r="AV739" s="77"/>
      <c r="AW739" s="77"/>
      <c r="AX739" s="77"/>
      <c r="AY739" s="77"/>
      <c r="AZ739" s="77"/>
      <c r="BA739" s="77"/>
      <c r="BB739" s="77"/>
      <c r="BC739" s="77"/>
      <c r="BD739" s="77"/>
      <c r="BE739" s="77"/>
    </row>
    <row r="740">
      <c r="A740" s="77"/>
      <c r="B740" s="77"/>
      <c r="C740" s="77"/>
      <c r="D740" s="77"/>
      <c r="E740" s="188"/>
      <c r="F740" s="188"/>
      <c r="G740" s="188"/>
      <c r="H740" s="188"/>
      <c r="I740" s="188"/>
      <c r="J740" s="77"/>
      <c r="K740" s="77"/>
      <c r="L740" s="77"/>
      <c r="M740" s="77"/>
      <c r="N740" s="77"/>
      <c r="O740" s="77"/>
      <c r="P740" s="77"/>
      <c r="Q740" s="77"/>
      <c r="R740" s="77"/>
      <c r="S740" s="77"/>
      <c r="T740" s="77"/>
      <c r="U740" s="77"/>
      <c r="V740" s="77"/>
      <c r="W740" s="77"/>
      <c r="X740" s="77"/>
      <c r="Y740" s="77"/>
      <c r="Z740" s="77"/>
      <c r="AA740" s="77"/>
      <c r="AB740" s="77"/>
      <c r="AC740" s="77"/>
      <c r="AD740" s="227"/>
      <c r="AE740" s="77"/>
      <c r="AF740" s="227"/>
      <c r="AG740" s="77"/>
      <c r="AH740" s="77"/>
      <c r="AI740" s="77"/>
      <c r="AJ740" s="77"/>
      <c r="AK740" s="77"/>
      <c r="AL740" s="77"/>
      <c r="AM740" s="77"/>
      <c r="AN740" s="77"/>
      <c r="AO740" s="77"/>
      <c r="AP740" s="77"/>
      <c r="AQ740" s="77"/>
      <c r="AR740" s="77"/>
      <c r="AS740" s="77"/>
      <c r="AT740" s="77"/>
      <c r="AU740" s="77"/>
      <c r="AV740" s="77"/>
      <c r="AW740" s="77"/>
      <c r="AX740" s="77"/>
      <c r="AY740" s="77"/>
      <c r="AZ740" s="77"/>
      <c r="BA740" s="77"/>
      <c r="BB740" s="77"/>
      <c r="BC740" s="77"/>
      <c r="BD740" s="77"/>
      <c r="BE740" s="77"/>
    </row>
    <row r="741">
      <c r="A741" s="77"/>
      <c r="B741" s="77"/>
      <c r="C741" s="77"/>
      <c r="D741" s="77"/>
      <c r="E741" s="188"/>
      <c r="F741" s="188"/>
      <c r="G741" s="188"/>
      <c r="H741" s="188"/>
      <c r="I741" s="188"/>
      <c r="J741" s="77"/>
      <c r="K741" s="77"/>
      <c r="L741" s="77"/>
      <c r="M741" s="77"/>
      <c r="N741" s="77"/>
      <c r="O741" s="77"/>
      <c r="P741" s="77"/>
      <c r="Q741" s="77"/>
      <c r="R741" s="77"/>
      <c r="S741" s="77"/>
      <c r="T741" s="77"/>
      <c r="U741" s="77"/>
      <c r="V741" s="77"/>
      <c r="W741" s="77"/>
      <c r="X741" s="77"/>
      <c r="Y741" s="77"/>
      <c r="Z741" s="77"/>
      <c r="AA741" s="77"/>
      <c r="AB741" s="77"/>
      <c r="AC741" s="77"/>
      <c r="AD741" s="227"/>
      <c r="AE741" s="77"/>
      <c r="AF741" s="227"/>
      <c r="AG741" s="77"/>
      <c r="AH741" s="77"/>
      <c r="AI741" s="77"/>
      <c r="AJ741" s="77"/>
      <c r="AK741" s="77"/>
      <c r="AL741" s="77"/>
      <c r="AM741" s="77"/>
      <c r="AN741" s="77"/>
      <c r="AO741" s="77"/>
      <c r="AP741" s="77"/>
      <c r="AQ741" s="77"/>
      <c r="AR741" s="77"/>
      <c r="AS741" s="77"/>
      <c r="AT741" s="77"/>
      <c r="AU741" s="77"/>
      <c r="AV741" s="77"/>
      <c r="AW741" s="77"/>
      <c r="AX741" s="77"/>
      <c r="AY741" s="77"/>
      <c r="AZ741" s="77"/>
      <c r="BA741" s="77"/>
      <c r="BB741" s="77"/>
      <c r="BC741" s="77"/>
      <c r="BD741" s="77"/>
      <c r="BE741" s="77"/>
    </row>
    <row r="742">
      <c r="A742" s="77"/>
      <c r="B742" s="77"/>
      <c r="C742" s="77"/>
      <c r="D742" s="77"/>
      <c r="E742" s="188"/>
      <c r="F742" s="188"/>
      <c r="G742" s="188"/>
      <c r="H742" s="188"/>
      <c r="I742" s="188"/>
      <c r="J742" s="77"/>
      <c r="K742" s="77"/>
      <c r="L742" s="77"/>
      <c r="M742" s="77"/>
      <c r="N742" s="77"/>
      <c r="O742" s="77"/>
      <c r="P742" s="77"/>
      <c r="Q742" s="77"/>
      <c r="R742" s="77"/>
      <c r="S742" s="77"/>
      <c r="T742" s="77"/>
      <c r="U742" s="77"/>
      <c r="V742" s="77"/>
      <c r="W742" s="77"/>
      <c r="X742" s="77"/>
      <c r="Y742" s="77"/>
      <c r="Z742" s="77"/>
      <c r="AA742" s="77"/>
      <c r="AB742" s="77"/>
      <c r="AC742" s="77"/>
      <c r="AD742" s="227"/>
      <c r="AE742" s="77"/>
      <c r="AF742" s="227"/>
      <c r="AG742" s="77"/>
      <c r="AH742" s="77"/>
      <c r="AI742" s="77"/>
      <c r="AJ742" s="77"/>
      <c r="AK742" s="77"/>
      <c r="AL742" s="77"/>
      <c r="AM742" s="77"/>
      <c r="AN742" s="77"/>
      <c r="AO742" s="77"/>
      <c r="AP742" s="77"/>
      <c r="AQ742" s="77"/>
      <c r="AR742" s="77"/>
      <c r="AS742" s="77"/>
      <c r="AT742" s="77"/>
      <c r="AU742" s="77"/>
      <c r="AV742" s="77"/>
      <c r="AW742" s="77"/>
      <c r="AX742" s="77"/>
      <c r="AY742" s="77"/>
      <c r="AZ742" s="77"/>
      <c r="BA742" s="77"/>
      <c r="BB742" s="77"/>
      <c r="BC742" s="77"/>
      <c r="BD742" s="77"/>
      <c r="BE742" s="77"/>
    </row>
    <row r="743">
      <c r="A743" s="77"/>
      <c r="B743" s="77"/>
      <c r="C743" s="77"/>
      <c r="D743" s="77"/>
      <c r="E743" s="188"/>
      <c r="F743" s="188"/>
      <c r="G743" s="188"/>
      <c r="H743" s="188"/>
      <c r="I743" s="188"/>
      <c r="J743" s="77"/>
      <c r="K743" s="77"/>
      <c r="L743" s="77"/>
      <c r="M743" s="77"/>
      <c r="N743" s="77"/>
      <c r="O743" s="77"/>
      <c r="P743" s="77"/>
      <c r="Q743" s="77"/>
      <c r="R743" s="77"/>
      <c r="S743" s="77"/>
      <c r="T743" s="77"/>
      <c r="U743" s="77"/>
      <c r="V743" s="77"/>
      <c r="W743" s="77"/>
      <c r="X743" s="77"/>
      <c r="Y743" s="77"/>
      <c r="Z743" s="77"/>
      <c r="AA743" s="77"/>
      <c r="AB743" s="77"/>
      <c r="AC743" s="77"/>
      <c r="AD743" s="227"/>
      <c r="AE743" s="77"/>
      <c r="AF743" s="227"/>
      <c r="AG743" s="77"/>
      <c r="AH743" s="77"/>
      <c r="AI743" s="77"/>
      <c r="AJ743" s="77"/>
      <c r="AK743" s="77"/>
      <c r="AL743" s="77"/>
      <c r="AM743" s="77"/>
      <c r="AN743" s="77"/>
      <c r="AO743" s="77"/>
      <c r="AP743" s="77"/>
      <c r="AQ743" s="77"/>
      <c r="AR743" s="77"/>
      <c r="AS743" s="77"/>
      <c r="AT743" s="77"/>
      <c r="AU743" s="77"/>
      <c r="AV743" s="77"/>
      <c r="AW743" s="77"/>
      <c r="AX743" s="77"/>
      <c r="AY743" s="77"/>
      <c r="AZ743" s="77"/>
      <c r="BA743" s="77"/>
      <c r="BB743" s="77"/>
      <c r="BC743" s="77"/>
      <c r="BD743" s="77"/>
      <c r="BE743" s="77"/>
    </row>
    <row r="744">
      <c r="A744" s="77"/>
      <c r="B744" s="77"/>
      <c r="C744" s="77"/>
      <c r="D744" s="77"/>
      <c r="E744" s="188"/>
      <c r="F744" s="188"/>
      <c r="G744" s="188"/>
      <c r="H744" s="188"/>
      <c r="I744" s="188"/>
      <c r="J744" s="77"/>
      <c r="K744" s="77"/>
      <c r="L744" s="77"/>
      <c r="M744" s="77"/>
      <c r="N744" s="77"/>
      <c r="O744" s="77"/>
      <c r="P744" s="77"/>
      <c r="Q744" s="77"/>
      <c r="R744" s="77"/>
      <c r="S744" s="77"/>
      <c r="T744" s="77"/>
      <c r="U744" s="77"/>
      <c r="V744" s="77"/>
      <c r="W744" s="77"/>
      <c r="X744" s="77"/>
      <c r="Y744" s="77"/>
      <c r="Z744" s="77"/>
      <c r="AA744" s="77"/>
      <c r="AB744" s="77"/>
      <c r="AC744" s="77"/>
      <c r="AD744" s="227"/>
      <c r="AE744" s="77"/>
      <c r="AF744" s="227"/>
      <c r="AG744" s="77"/>
      <c r="AH744" s="77"/>
      <c r="AI744" s="77"/>
      <c r="AJ744" s="77"/>
      <c r="AK744" s="77"/>
      <c r="AL744" s="77"/>
      <c r="AM744" s="77"/>
      <c r="AN744" s="77"/>
      <c r="AO744" s="77"/>
      <c r="AP744" s="77"/>
      <c r="AQ744" s="77"/>
      <c r="AR744" s="77"/>
      <c r="AS744" s="77"/>
      <c r="AT744" s="77"/>
      <c r="AU744" s="77"/>
      <c r="AV744" s="77"/>
      <c r="AW744" s="77"/>
      <c r="AX744" s="77"/>
      <c r="AY744" s="77"/>
      <c r="AZ744" s="77"/>
      <c r="BA744" s="77"/>
      <c r="BB744" s="77"/>
      <c r="BC744" s="77"/>
      <c r="BD744" s="77"/>
      <c r="BE744" s="77"/>
    </row>
    <row r="745">
      <c r="A745" s="77"/>
      <c r="B745" s="77"/>
      <c r="C745" s="77"/>
      <c r="D745" s="77"/>
      <c r="E745" s="188"/>
      <c r="F745" s="188"/>
      <c r="G745" s="188"/>
      <c r="H745" s="188"/>
      <c r="I745" s="188"/>
      <c r="J745" s="77"/>
      <c r="K745" s="77"/>
      <c r="L745" s="77"/>
      <c r="M745" s="77"/>
      <c r="N745" s="77"/>
      <c r="O745" s="77"/>
      <c r="P745" s="77"/>
      <c r="Q745" s="77"/>
      <c r="R745" s="77"/>
      <c r="S745" s="77"/>
      <c r="T745" s="77"/>
      <c r="U745" s="77"/>
      <c r="V745" s="77"/>
      <c r="W745" s="77"/>
      <c r="X745" s="77"/>
      <c r="Y745" s="77"/>
      <c r="Z745" s="77"/>
      <c r="AA745" s="77"/>
      <c r="AB745" s="77"/>
      <c r="AC745" s="77"/>
      <c r="AD745" s="227"/>
      <c r="AE745" s="77"/>
      <c r="AF745" s="227"/>
      <c r="AG745" s="77"/>
      <c r="AH745" s="77"/>
      <c r="AI745" s="77"/>
      <c r="AJ745" s="77"/>
      <c r="AK745" s="77"/>
      <c r="AL745" s="77"/>
      <c r="AM745" s="77"/>
      <c r="AN745" s="77"/>
      <c r="AO745" s="77"/>
      <c r="AP745" s="77"/>
      <c r="AQ745" s="77"/>
      <c r="AR745" s="77"/>
      <c r="AS745" s="77"/>
      <c r="AT745" s="77"/>
      <c r="AU745" s="77"/>
      <c r="AV745" s="77"/>
      <c r="AW745" s="77"/>
      <c r="AX745" s="77"/>
      <c r="AY745" s="77"/>
      <c r="AZ745" s="77"/>
      <c r="BA745" s="77"/>
      <c r="BB745" s="77"/>
      <c r="BC745" s="77"/>
      <c r="BD745" s="77"/>
      <c r="BE745" s="77"/>
    </row>
    <row r="746">
      <c r="A746" s="77"/>
      <c r="B746" s="77"/>
      <c r="C746" s="77"/>
      <c r="D746" s="77"/>
      <c r="E746" s="188"/>
      <c r="F746" s="188"/>
      <c r="G746" s="188"/>
      <c r="H746" s="188"/>
      <c r="I746" s="188"/>
      <c r="J746" s="77"/>
      <c r="K746" s="77"/>
      <c r="L746" s="77"/>
      <c r="M746" s="77"/>
      <c r="N746" s="77"/>
      <c r="O746" s="77"/>
      <c r="P746" s="77"/>
      <c r="Q746" s="77"/>
      <c r="R746" s="77"/>
      <c r="S746" s="77"/>
      <c r="T746" s="77"/>
      <c r="U746" s="77"/>
      <c r="V746" s="77"/>
      <c r="W746" s="77"/>
      <c r="X746" s="77"/>
      <c r="Y746" s="77"/>
      <c r="Z746" s="77"/>
      <c r="AA746" s="77"/>
      <c r="AB746" s="77"/>
      <c r="AC746" s="77"/>
      <c r="AD746" s="227"/>
      <c r="AE746" s="77"/>
      <c r="AF746" s="227"/>
      <c r="AG746" s="77"/>
      <c r="AH746" s="77"/>
      <c r="AI746" s="77"/>
      <c r="AJ746" s="77"/>
      <c r="AK746" s="77"/>
      <c r="AL746" s="77"/>
      <c r="AM746" s="77"/>
      <c r="AN746" s="77"/>
      <c r="AO746" s="77"/>
      <c r="AP746" s="77"/>
      <c r="AQ746" s="77"/>
      <c r="AR746" s="77"/>
      <c r="AS746" s="77"/>
      <c r="AT746" s="77"/>
      <c r="AU746" s="77"/>
      <c r="AV746" s="77"/>
      <c r="AW746" s="77"/>
      <c r="AX746" s="77"/>
      <c r="AY746" s="77"/>
      <c r="AZ746" s="77"/>
      <c r="BA746" s="77"/>
      <c r="BB746" s="77"/>
      <c r="BC746" s="77"/>
      <c r="BD746" s="77"/>
      <c r="BE746" s="77"/>
    </row>
    <row r="747">
      <c r="A747" s="77"/>
      <c r="B747" s="77"/>
      <c r="C747" s="77"/>
      <c r="D747" s="77"/>
      <c r="E747" s="188"/>
      <c r="F747" s="188"/>
      <c r="G747" s="188"/>
      <c r="H747" s="188"/>
      <c r="I747" s="188"/>
      <c r="J747" s="77"/>
      <c r="K747" s="77"/>
      <c r="L747" s="77"/>
      <c r="M747" s="77"/>
      <c r="N747" s="77"/>
      <c r="O747" s="77"/>
      <c r="P747" s="77"/>
      <c r="Q747" s="77"/>
      <c r="R747" s="77"/>
      <c r="S747" s="77"/>
      <c r="T747" s="77"/>
      <c r="U747" s="77"/>
      <c r="V747" s="77"/>
      <c r="W747" s="77"/>
      <c r="X747" s="77"/>
      <c r="Y747" s="77"/>
      <c r="Z747" s="77"/>
      <c r="AA747" s="77"/>
      <c r="AB747" s="77"/>
      <c r="AC747" s="77"/>
      <c r="AD747" s="227"/>
      <c r="AE747" s="77"/>
      <c r="AF747" s="227"/>
      <c r="AG747" s="77"/>
      <c r="AH747" s="77"/>
      <c r="AI747" s="77"/>
      <c r="AJ747" s="77"/>
      <c r="AK747" s="77"/>
      <c r="AL747" s="77"/>
      <c r="AM747" s="77"/>
      <c r="AN747" s="77"/>
      <c r="AO747" s="77"/>
      <c r="AP747" s="77"/>
      <c r="AQ747" s="77"/>
      <c r="AR747" s="77"/>
      <c r="AS747" s="77"/>
      <c r="AT747" s="77"/>
      <c r="AU747" s="77"/>
      <c r="AV747" s="77"/>
      <c r="AW747" s="77"/>
      <c r="AX747" s="77"/>
      <c r="AY747" s="77"/>
      <c r="AZ747" s="77"/>
      <c r="BA747" s="77"/>
      <c r="BB747" s="77"/>
      <c r="BC747" s="77"/>
      <c r="BD747" s="77"/>
      <c r="BE747" s="77"/>
    </row>
    <row r="748">
      <c r="A748" s="77"/>
      <c r="B748" s="77"/>
      <c r="C748" s="77"/>
      <c r="D748" s="77"/>
      <c r="E748" s="188"/>
      <c r="F748" s="188"/>
      <c r="G748" s="188"/>
      <c r="H748" s="188"/>
      <c r="I748" s="188"/>
      <c r="J748" s="77"/>
      <c r="K748" s="77"/>
      <c r="L748" s="77"/>
      <c r="M748" s="77"/>
      <c r="N748" s="77"/>
      <c r="O748" s="77"/>
      <c r="P748" s="77"/>
      <c r="Q748" s="77"/>
      <c r="R748" s="77"/>
      <c r="S748" s="77"/>
      <c r="T748" s="77"/>
      <c r="U748" s="77"/>
      <c r="V748" s="77"/>
      <c r="W748" s="77"/>
      <c r="X748" s="77"/>
      <c r="Y748" s="77"/>
      <c r="Z748" s="77"/>
      <c r="AA748" s="77"/>
      <c r="AB748" s="77"/>
      <c r="AC748" s="77"/>
      <c r="AD748" s="227"/>
      <c r="AE748" s="77"/>
      <c r="AF748" s="227"/>
      <c r="AG748" s="77"/>
      <c r="AH748" s="77"/>
      <c r="AI748" s="77"/>
      <c r="AJ748" s="77"/>
      <c r="AK748" s="77"/>
      <c r="AL748" s="77"/>
      <c r="AM748" s="77"/>
      <c r="AN748" s="77"/>
      <c r="AO748" s="77"/>
      <c r="AP748" s="77"/>
      <c r="AQ748" s="77"/>
      <c r="AR748" s="77"/>
      <c r="AS748" s="77"/>
      <c r="AT748" s="77"/>
      <c r="AU748" s="77"/>
      <c r="AV748" s="77"/>
      <c r="AW748" s="77"/>
      <c r="AX748" s="77"/>
      <c r="AY748" s="77"/>
      <c r="AZ748" s="77"/>
      <c r="BA748" s="77"/>
      <c r="BB748" s="77"/>
      <c r="BC748" s="77"/>
      <c r="BD748" s="77"/>
      <c r="BE748" s="77"/>
    </row>
    <row r="749">
      <c r="A749" s="77"/>
      <c r="B749" s="77"/>
      <c r="C749" s="77"/>
      <c r="D749" s="77"/>
      <c r="E749" s="188"/>
      <c r="F749" s="188"/>
      <c r="G749" s="188"/>
      <c r="H749" s="188"/>
      <c r="I749" s="188"/>
      <c r="J749" s="77"/>
      <c r="K749" s="77"/>
      <c r="L749" s="77"/>
      <c r="M749" s="77"/>
      <c r="N749" s="77"/>
      <c r="O749" s="77"/>
      <c r="P749" s="77"/>
      <c r="Q749" s="77"/>
      <c r="R749" s="77"/>
      <c r="S749" s="77"/>
      <c r="T749" s="77"/>
      <c r="U749" s="77"/>
      <c r="V749" s="77"/>
      <c r="W749" s="77"/>
      <c r="X749" s="77"/>
      <c r="Y749" s="77"/>
      <c r="Z749" s="77"/>
      <c r="AA749" s="77"/>
      <c r="AB749" s="77"/>
      <c r="AC749" s="77"/>
      <c r="AD749" s="227"/>
      <c r="AE749" s="77"/>
      <c r="AF749" s="227"/>
      <c r="AG749" s="77"/>
      <c r="AH749" s="77"/>
      <c r="AI749" s="77"/>
      <c r="AJ749" s="77"/>
      <c r="AK749" s="77"/>
      <c r="AL749" s="77"/>
      <c r="AM749" s="77"/>
      <c r="AN749" s="77"/>
      <c r="AO749" s="77"/>
      <c r="AP749" s="77"/>
      <c r="AQ749" s="77"/>
      <c r="AR749" s="77"/>
      <c r="AS749" s="77"/>
      <c r="AT749" s="77"/>
      <c r="AU749" s="77"/>
      <c r="AV749" s="77"/>
      <c r="AW749" s="77"/>
      <c r="AX749" s="77"/>
      <c r="AY749" s="77"/>
      <c r="AZ749" s="77"/>
      <c r="BA749" s="77"/>
      <c r="BB749" s="77"/>
      <c r="BC749" s="77"/>
      <c r="BD749" s="77"/>
      <c r="BE749" s="77"/>
    </row>
    <row r="750">
      <c r="A750" s="77"/>
      <c r="B750" s="77"/>
      <c r="C750" s="77"/>
      <c r="D750" s="77"/>
      <c r="E750" s="188"/>
      <c r="F750" s="188"/>
      <c r="G750" s="188"/>
      <c r="H750" s="188"/>
      <c r="I750" s="188"/>
      <c r="J750" s="77"/>
      <c r="K750" s="77"/>
      <c r="L750" s="77"/>
      <c r="M750" s="77"/>
      <c r="N750" s="77"/>
      <c r="O750" s="77"/>
      <c r="P750" s="77"/>
      <c r="Q750" s="77"/>
      <c r="R750" s="77"/>
      <c r="S750" s="77"/>
      <c r="T750" s="77"/>
      <c r="U750" s="77"/>
      <c r="V750" s="77"/>
      <c r="W750" s="77"/>
      <c r="X750" s="77"/>
      <c r="Y750" s="77"/>
      <c r="Z750" s="77"/>
      <c r="AA750" s="77"/>
      <c r="AB750" s="77"/>
      <c r="AC750" s="77"/>
      <c r="AD750" s="227"/>
      <c r="AE750" s="77"/>
      <c r="AF750" s="227"/>
      <c r="AG750" s="77"/>
      <c r="AH750" s="77"/>
      <c r="AI750" s="77"/>
      <c r="AJ750" s="77"/>
      <c r="AK750" s="77"/>
      <c r="AL750" s="77"/>
      <c r="AM750" s="77"/>
      <c r="AN750" s="77"/>
      <c r="AO750" s="77"/>
      <c r="AP750" s="77"/>
      <c r="AQ750" s="77"/>
      <c r="AR750" s="77"/>
      <c r="AS750" s="77"/>
      <c r="AT750" s="77"/>
      <c r="AU750" s="77"/>
      <c r="AV750" s="77"/>
      <c r="AW750" s="77"/>
      <c r="AX750" s="77"/>
      <c r="AY750" s="77"/>
      <c r="AZ750" s="77"/>
      <c r="BA750" s="77"/>
      <c r="BB750" s="77"/>
      <c r="BC750" s="77"/>
      <c r="BD750" s="77"/>
      <c r="BE750" s="77"/>
    </row>
    <row r="751">
      <c r="A751" s="77"/>
      <c r="B751" s="77"/>
      <c r="C751" s="77"/>
      <c r="D751" s="77"/>
      <c r="E751" s="188"/>
      <c r="F751" s="188"/>
      <c r="G751" s="188"/>
      <c r="H751" s="188"/>
      <c r="I751" s="188"/>
      <c r="J751" s="77"/>
      <c r="K751" s="77"/>
      <c r="L751" s="77"/>
      <c r="M751" s="77"/>
      <c r="N751" s="77"/>
      <c r="O751" s="77"/>
      <c r="P751" s="77"/>
      <c r="Q751" s="77"/>
      <c r="R751" s="77"/>
      <c r="S751" s="77"/>
      <c r="T751" s="77"/>
      <c r="U751" s="77"/>
      <c r="V751" s="77"/>
      <c r="W751" s="77"/>
      <c r="X751" s="77"/>
      <c r="Y751" s="77"/>
      <c r="Z751" s="77"/>
      <c r="AA751" s="77"/>
      <c r="AB751" s="77"/>
      <c r="AC751" s="77"/>
      <c r="AD751" s="227"/>
      <c r="AE751" s="77"/>
      <c r="AF751" s="227"/>
      <c r="AG751" s="77"/>
      <c r="AH751" s="77"/>
      <c r="AI751" s="77"/>
      <c r="AJ751" s="77"/>
      <c r="AK751" s="77"/>
      <c r="AL751" s="77"/>
      <c r="AM751" s="77"/>
      <c r="AN751" s="77"/>
      <c r="AO751" s="77"/>
      <c r="AP751" s="77"/>
      <c r="AQ751" s="77"/>
      <c r="AR751" s="77"/>
      <c r="AS751" s="77"/>
      <c r="AT751" s="77"/>
      <c r="AU751" s="77"/>
      <c r="AV751" s="77"/>
      <c r="AW751" s="77"/>
      <c r="AX751" s="77"/>
      <c r="AY751" s="77"/>
      <c r="AZ751" s="77"/>
      <c r="BA751" s="77"/>
      <c r="BB751" s="77"/>
      <c r="BC751" s="77"/>
      <c r="BD751" s="77"/>
      <c r="BE751" s="77"/>
    </row>
    <row r="752">
      <c r="A752" s="77"/>
      <c r="B752" s="77"/>
      <c r="C752" s="77"/>
      <c r="D752" s="77"/>
      <c r="E752" s="188"/>
      <c r="F752" s="188"/>
      <c r="G752" s="188"/>
      <c r="H752" s="188"/>
      <c r="I752" s="188"/>
      <c r="J752" s="77"/>
      <c r="K752" s="77"/>
      <c r="L752" s="77"/>
      <c r="M752" s="77"/>
      <c r="N752" s="77"/>
      <c r="O752" s="77"/>
      <c r="P752" s="77"/>
      <c r="Q752" s="77"/>
      <c r="R752" s="77"/>
      <c r="S752" s="77"/>
      <c r="T752" s="77"/>
      <c r="U752" s="77"/>
      <c r="V752" s="77"/>
      <c r="W752" s="77"/>
      <c r="X752" s="77"/>
      <c r="Y752" s="77"/>
      <c r="Z752" s="77"/>
      <c r="AA752" s="77"/>
      <c r="AB752" s="77"/>
      <c r="AC752" s="77"/>
      <c r="AD752" s="227"/>
      <c r="AE752" s="77"/>
      <c r="AF752" s="227"/>
      <c r="AG752" s="77"/>
      <c r="AH752" s="77"/>
      <c r="AI752" s="77"/>
      <c r="AJ752" s="77"/>
      <c r="AK752" s="77"/>
      <c r="AL752" s="77"/>
      <c r="AM752" s="77"/>
      <c r="AN752" s="77"/>
      <c r="AO752" s="77"/>
      <c r="AP752" s="77"/>
      <c r="AQ752" s="77"/>
      <c r="AR752" s="77"/>
      <c r="AS752" s="77"/>
      <c r="AT752" s="77"/>
      <c r="AU752" s="77"/>
      <c r="AV752" s="77"/>
      <c r="AW752" s="77"/>
      <c r="AX752" s="77"/>
      <c r="AY752" s="77"/>
      <c r="AZ752" s="77"/>
      <c r="BA752" s="77"/>
      <c r="BB752" s="77"/>
      <c r="BC752" s="77"/>
      <c r="BD752" s="77"/>
      <c r="BE752" s="77"/>
    </row>
    <row r="753">
      <c r="A753" s="77"/>
      <c r="B753" s="77"/>
      <c r="C753" s="77"/>
      <c r="D753" s="77"/>
      <c r="E753" s="188"/>
      <c r="F753" s="188"/>
      <c r="G753" s="188"/>
      <c r="H753" s="188"/>
      <c r="I753" s="188"/>
      <c r="J753" s="77"/>
      <c r="K753" s="77"/>
      <c r="L753" s="77"/>
      <c r="M753" s="77"/>
      <c r="N753" s="77"/>
      <c r="O753" s="77"/>
      <c r="P753" s="77"/>
      <c r="Q753" s="77"/>
      <c r="R753" s="77"/>
      <c r="S753" s="77"/>
      <c r="T753" s="77"/>
      <c r="U753" s="77"/>
      <c r="V753" s="77"/>
      <c r="W753" s="77"/>
      <c r="X753" s="77"/>
      <c r="Y753" s="77"/>
      <c r="Z753" s="77"/>
      <c r="AA753" s="77"/>
      <c r="AB753" s="77"/>
      <c r="AC753" s="77"/>
      <c r="AD753" s="227"/>
      <c r="AE753" s="77"/>
      <c r="AF753" s="227"/>
      <c r="AG753" s="77"/>
      <c r="AH753" s="77"/>
      <c r="AI753" s="77"/>
      <c r="AJ753" s="77"/>
      <c r="AK753" s="77"/>
      <c r="AL753" s="77"/>
      <c r="AM753" s="77"/>
      <c r="AN753" s="77"/>
      <c r="AO753" s="77"/>
      <c r="AP753" s="77"/>
      <c r="AQ753" s="77"/>
      <c r="AR753" s="77"/>
      <c r="AS753" s="77"/>
      <c r="AT753" s="77"/>
      <c r="AU753" s="77"/>
      <c r="AV753" s="77"/>
      <c r="AW753" s="77"/>
      <c r="AX753" s="77"/>
      <c r="AY753" s="77"/>
      <c r="AZ753" s="77"/>
      <c r="BA753" s="77"/>
      <c r="BB753" s="77"/>
      <c r="BC753" s="77"/>
      <c r="BD753" s="77"/>
      <c r="BE753" s="77"/>
    </row>
    <row r="754">
      <c r="A754" s="77"/>
      <c r="B754" s="77"/>
      <c r="C754" s="77"/>
      <c r="D754" s="77"/>
      <c r="E754" s="188"/>
      <c r="F754" s="188"/>
      <c r="G754" s="188"/>
      <c r="H754" s="188"/>
      <c r="I754" s="188"/>
      <c r="J754" s="77"/>
      <c r="K754" s="77"/>
      <c r="L754" s="77"/>
      <c r="M754" s="77"/>
      <c r="N754" s="77"/>
      <c r="O754" s="77"/>
      <c r="P754" s="77"/>
      <c r="Q754" s="77"/>
      <c r="R754" s="77"/>
      <c r="S754" s="77"/>
      <c r="T754" s="77"/>
      <c r="U754" s="77"/>
      <c r="V754" s="77"/>
      <c r="W754" s="77"/>
      <c r="X754" s="77"/>
      <c r="Y754" s="77"/>
      <c r="Z754" s="77"/>
      <c r="AA754" s="77"/>
      <c r="AB754" s="77"/>
      <c r="AC754" s="77"/>
      <c r="AD754" s="227"/>
      <c r="AE754" s="77"/>
      <c r="AF754" s="227"/>
      <c r="AG754" s="77"/>
      <c r="AH754" s="77"/>
      <c r="AI754" s="77"/>
      <c r="AJ754" s="77"/>
      <c r="AK754" s="77"/>
      <c r="AL754" s="77"/>
      <c r="AM754" s="77"/>
      <c r="AN754" s="77"/>
      <c r="AO754" s="77"/>
      <c r="AP754" s="77"/>
      <c r="AQ754" s="77"/>
      <c r="AR754" s="77"/>
      <c r="AS754" s="77"/>
      <c r="AT754" s="77"/>
      <c r="AU754" s="77"/>
      <c r="AV754" s="77"/>
      <c r="AW754" s="77"/>
      <c r="AX754" s="77"/>
      <c r="AY754" s="77"/>
      <c r="AZ754" s="77"/>
      <c r="BA754" s="77"/>
      <c r="BB754" s="77"/>
      <c r="BC754" s="77"/>
      <c r="BD754" s="77"/>
      <c r="BE754" s="77"/>
    </row>
    <row r="755">
      <c r="A755" s="77"/>
      <c r="B755" s="77"/>
      <c r="C755" s="77"/>
      <c r="D755" s="77"/>
      <c r="E755" s="188"/>
      <c r="F755" s="188"/>
      <c r="G755" s="188"/>
      <c r="H755" s="188"/>
      <c r="I755" s="188"/>
      <c r="J755" s="77"/>
      <c r="K755" s="77"/>
      <c r="L755" s="77"/>
      <c r="M755" s="77"/>
      <c r="N755" s="77"/>
      <c r="O755" s="77"/>
      <c r="P755" s="77"/>
      <c r="Q755" s="77"/>
      <c r="R755" s="77"/>
      <c r="S755" s="77"/>
      <c r="T755" s="77"/>
      <c r="U755" s="77"/>
      <c r="V755" s="77"/>
      <c r="W755" s="77"/>
      <c r="X755" s="77"/>
      <c r="Y755" s="77"/>
      <c r="Z755" s="77"/>
      <c r="AA755" s="77"/>
      <c r="AB755" s="77"/>
      <c r="AC755" s="77"/>
      <c r="AD755" s="227"/>
      <c r="AE755" s="77"/>
      <c r="AF755" s="227"/>
      <c r="AG755" s="77"/>
      <c r="AH755" s="77"/>
      <c r="AI755" s="77"/>
      <c r="AJ755" s="77"/>
      <c r="AK755" s="77"/>
      <c r="AL755" s="77"/>
      <c r="AM755" s="77"/>
      <c r="AN755" s="77"/>
      <c r="AO755" s="77"/>
      <c r="AP755" s="77"/>
      <c r="AQ755" s="77"/>
      <c r="AR755" s="77"/>
      <c r="AS755" s="77"/>
      <c r="AT755" s="77"/>
      <c r="AU755" s="77"/>
      <c r="AV755" s="77"/>
      <c r="AW755" s="77"/>
      <c r="AX755" s="77"/>
      <c r="AY755" s="77"/>
      <c r="AZ755" s="77"/>
      <c r="BA755" s="77"/>
      <c r="BB755" s="77"/>
      <c r="BC755" s="77"/>
      <c r="BD755" s="77"/>
      <c r="BE755" s="77"/>
    </row>
    <row r="756">
      <c r="A756" s="77"/>
      <c r="B756" s="77"/>
      <c r="C756" s="77"/>
      <c r="D756" s="77"/>
      <c r="E756" s="188"/>
      <c r="F756" s="188"/>
      <c r="G756" s="188"/>
      <c r="H756" s="188"/>
      <c r="I756" s="188"/>
      <c r="J756" s="77"/>
      <c r="K756" s="77"/>
      <c r="L756" s="77"/>
      <c r="M756" s="77"/>
      <c r="N756" s="77"/>
      <c r="O756" s="77"/>
      <c r="P756" s="77"/>
      <c r="Q756" s="77"/>
      <c r="R756" s="77"/>
      <c r="S756" s="77"/>
      <c r="T756" s="77"/>
      <c r="U756" s="77"/>
      <c r="V756" s="77"/>
      <c r="W756" s="77"/>
      <c r="X756" s="77"/>
      <c r="Y756" s="77"/>
      <c r="Z756" s="77"/>
      <c r="AA756" s="77"/>
      <c r="AB756" s="77"/>
      <c r="AC756" s="77"/>
      <c r="AD756" s="227"/>
      <c r="AE756" s="77"/>
      <c r="AF756" s="227"/>
      <c r="AG756" s="77"/>
      <c r="AH756" s="77"/>
      <c r="AI756" s="77"/>
      <c r="AJ756" s="77"/>
      <c r="AK756" s="77"/>
      <c r="AL756" s="77"/>
      <c r="AM756" s="77"/>
      <c r="AN756" s="77"/>
      <c r="AO756" s="77"/>
      <c r="AP756" s="77"/>
      <c r="AQ756" s="77"/>
      <c r="AR756" s="77"/>
      <c r="AS756" s="77"/>
      <c r="AT756" s="77"/>
      <c r="AU756" s="77"/>
      <c r="AV756" s="77"/>
      <c r="AW756" s="77"/>
      <c r="AX756" s="77"/>
      <c r="AY756" s="77"/>
      <c r="AZ756" s="77"/>
      <c r="BA756" s="77"/>
      <c r="BB756" s="77"/>
      <c r="BC756" s="77"/>
      <c r="BD756" s="77"/>
      <c r="BE756" s="77"/>
    </row>
    <row r="757">
      <c r="A757" s="77"/>
      <c r="B757" s="77"/>
      <c r="C757" s="77"/>
      <c r="D757" s="77"/>
      <c r="E757" s="188"/>
      <c r="F757" s="188"/>
      <c r="G757" s="188"/>
      <c r="H757" s="188"/>
      <c r="I757" s="188"/>
      <c r="J757" s="77"/>
      <c r="K757" s="77"/>
      <c r="L757" s="77"/>
      <c r="M757" s="77"/>
      <c r="N757" s="77"/>
      <c r="O757" s="77"/>
      <c r="P757" s="77"/>
      <c r="Q757" s="77"/>
      <c r="R757" s="77"/>
      <c r="S757" s="77"/>
      <c r="T757" s="77"/>
      <c r="U757" s="77"/>
      <c r="V757" s="77"/>
      <c r="W757" s="77"/>
      <c r="X757" s="77"/>
      <c r="Y757" s="77"/>
      <c r="Z757" s="77"/>
      <c r="AA757" s="77"/>
      <c r="AB757" s="77"/>
      <c r="AC757" s="77"/>
      <c r="AD757" s="227"/>
      <c r="AE757" s="77"/>
      <c r="AF757" s="227"/>
      <c r="AG757" s="77"/>
      <c r="AH757" s="77"/>
      <c r="AI757" s="77"/>
      <c r="AJ757" s="77"/>
      <c r="AK757" s="77"/>
      <c r="AL757" s="77"/>
      <c r="AM757" s="77"/>
      <c r="AN757" s="77"/>
      <c r="AO757" s="77"/>
      <c r="AP757" s="77"/>
      <c r="AQ757" s="77"/>
      <c r="AR757" s="77"/>
      <c r="AS757" s="77"/>
      <c r="AT757" s="77"/>
      <c r="AU757" s="77"/>
      <c r="AV757" s="77"/>
      <c r="AW757" s="77"/>
      <c r="AX757" s="77"/>
      <c r="AY757" s="77"/>
      <c r="AZ757" s="77"/>
      <c r="BA757" s="77"/>
      <c r="BB757" s="77"/>
      <c r="BC757" s="77"/>
      <c r="BD757" s="77"/>
      <c r="BE757" s="77"/>
    </row>
    <row r="758">
      <c r="A758" s="77"/>
      <c r="B758" s="77"/>
      <c r="C758" s="77"/>
      <c r="D758" s="77"/>
      <c r="E758" s="188"/>
      <c r="F758" s="188"/>
      <c r="G758" s="188"/>
      <c r="H758" s="188"/>
      <c r="I758" s="188"/>
      <c r="J758" s="77"/>
      <c r="K758" s="77"/>
      <c r="L758" s="77"/>
      <c r="M758" s="77"/>
      <c r="N758" s="77"/>
      <c r="O758" s="77"/>
      <c r="P758" s="77"/>
      <c r="Q758" s="77"/>
      <c r="R758" s="77"/>
      <c r="S758" s="77"/>
      <c r="T758" s="77"/>
      <c r="U758" s="77"/>
      <c r="V758" s="77"/>
      <c r="W758" s="77"/>
      <c r="X758" s="77"/>
      <c r="Y758" s="77"/>
      <c r="Z758" s="77"/>
      <c r="AA758" s="77"/>
      <c r="AB758" s="77"/>
      <c r="AC758" s="77"/>
      <c r="AD758" s="227"/>
      <c r="AE758" s="77"/>
      <c r="AF758" s="227"/>
      <c r="AG758" s="77"/>
      <c r="AH758" s="77"/>
      <c r="AI758" s="77"/>
      <c r="AJ758" s="77"/>
      <c r="AK758" s="77"/>
      <c r="AL758" s="77"/>
      <c r="AM758" s="77"/>
      <c r="AN758" s="77"/>
      <c r="AO758" s="77"/>
      <c r="AP758" s="77"/>
      <c r="AQ758" s="77"/>
      <c r="AR758" s="77"/>
      <c r="AS758" s="77"/>
      <c r="AT758" s="77"/>
      <c r="AU758" s="77"/>
      <c r="AV758" s="77"/>
      <c r="AW758" s="77"/>
      <c r="AX758" s="77"/>
      <c r="AY758" s="77"/>
      <c r="AZ758" s="77"/>
      <c r="BA758" s="77"/>
      <c r="BB758" s="77"/>
      <c r="BC758" s="77"/>
      <c r="BD758" s="77"/>
      <c r="BE758" s="77"/>
    </row>
    <row r="759">
      <c r="A759" s="77"/>
      <c r="B759" s="77"/>
      <c r="C759" s="77"/>
      <c r="D759" s="77"/>
      <c r="E759" s="188"/>
      <c r="F759" s="188"/>
      <c r="G759" s="188"/>
      <c r="H759" s="188"/>
      <c r="I759" s="188"/>
      <c r="J759" s="77"/>
      <c r="K759" s="77"/>
      <c r="L759" s="77"/>
      <c r="M759" s="77"/>
      <c r="N759" s="77"/>
      <c r="O759" s="77"/>
      <c r="P759" s="77"/>
      <c r="Q759" s="77"/>
      <c r="R759" s="77"/>
      <c r="S759" s="77"/>
      <c r="T759" s="77"/>
      <c r="U759" s="77"/>
      <c r="V759" s="77"/>
      <c r="W759" s="77"/>
      <c r="X759" s="77"/>
      <c r="Y759" s="77"/>
      <c r="Z759" s="77"/>
      <c r="AA759" s="77"/>
      <c r="AB759" s="77"/>
      <c r="AC759" s="77"/>
      <c r="AD759" s="227"/>
      <c r="AE759" s="77"/>
      <c r="AF759" s="227"/>
      <c r="AG759" s="77"/>
      <c r="AH759" s="77"/>
      <c r="AI759" s="77"/>
      <c r="AJ759" s="77"/>
      <c r="AK759" s="77"/>
      <c r="AL759" s="77"/>
      <c r="AM759" s="77"/>
      <c r="AN759" s="77"/>
      <c r="AO759" s="77"/>
      <c r="AP759" s="77"/>
      <c r="AQ759" s="77"/>
      <c r="AR759" s="77"/>
      <c r="AS759" s="77"/>
      <c r="AT759" s="77"/>
      <c r="AU759" s="77"/>
      <c r="AV759" s="77"/>
      <c r="AW759" s="77"/>
      <c r="AX759" s="77"/>
      <c r="AY759" s="77"/>
      <c r="AZ759" s="77"/>
      <c r="BA759" s="77"/>
      <c r="BB759" s="77"/>
      <c r="BC759" s="77"/>
      <c r="BD759" s="77"/>
      <c r="BE759" s="77"/>
    </row>
    <row r="760">
      <c r="A760" s="77"/>
      <c r="B760" s="77"/>
      <c r="C760" s="77"/>
      <c r="D760" s="77"/>
      <c r="E760" s="188"/>
      <c r="F760" s="188"/>
      <c r="G760" s="188"/>
      <c r="H760" s="188"/>
      <c r="I760" s="188"/>
      <c r="J760" s="77"/>
      <c r="K760" s="77"/>
      <c r="L760" s="77"/>
      <c r="M760" s="77"/>
      <c r="N760" s="77"/>
      <c r="O760" s="77"/>
      <c r="P760" s="77"/>
      <c r="Q760" s="77"/>
      <c r="R760" s="77"/>
      <c r="S760" s="77"/>
      <c r="T760" s="77"/>
      <c r="U760" s="77"/>
      <c r="V760" s="77"/>
      <c r="W760" s="77"/>
      <c r="X760" s="77"/>
      <c r="Y760" s="77"/>
      <c r="Z760" s="77"/>
      <c r="AA760" s="77"/>
      <c r="AB760" s="77"/>
      <c r="AC760" s="77"/>
      <c r="AD760" s="227"/>
      <c r="AE760" s="77"/>
      <c r="AF760" s="227"/>
      <c r="AG760" s="77"/>
      <c r="AH760" s="77"/>
      <c r="AI760" s="77"/>
      <c r="AJ760" s="77"/>
      <c r="AK760" s="77"/>
      <c r="AL760" s="77"/>
      <c r="AM760" s="77"/>
      <c r="AN760" s="77"/>
      <c r="AO760" s="77"/>
      <c r="AP760" s="77"/>
      <c r="AQ760" s="77"/>
      <c r="AR760" s="77"/>
      <c r="AS760" s="77"/>
      <c r="AT760" s="77"/>
      <c r="AU760" s="77"/>
      <c r="AV760" s="77"/>
      <c r="AW760" s="77"/>
      <c r="AX760" s="77"/>
      <c r="AY760" s="77"/>
      <c r="AZ760" s="77"/>
      <c r="BA760" s="77"/>
      <c r="BB760" s="77"/>
      <c r="BC760" s="77"/>
      <c r="BD760" s="77"/>
      <c r="BE760" s="77"/>
    </row>
    <row r="761">
      <c r="A761" s="77"/>
      <c r="B761" s="77"/>
      <c r="C761" s="77"/>
      <c r="D761" s="77"/>
      <c r="E761" s="188"/>
      <c r="F761" s="188"/>
      <c r="G761" s="188"/>
      <c r="H761" s="188"/>
      <c r="I761" s="188"/>
      <c r="J761" s="77"/>
      <c r="K761" s="77"/>
      <c r="L761" s="77"/>
      <c r="M761" s="77"/>
      <c r="N761" s="77"/>
      <c r="O761" s="77"/>
      <c r="P761" s="77"/>
      <c r="Q761" s="77"/>
      <c r="R761" s="77"/>
      <c r="S761" s="77"/>
      <c r="T761" s="77"/>
      <c r="U761" s="77"/>
      <c r="V761" s="77"/>
      <c r="W761" s="77"/>
      <c r="X761" s="77"/>
      <c r="Y761" s="77"/>
      <c r="Z761" s="77"/>
      <c r="AA761" s="77"/>
      <c r="AB761" s="77"/>
      <c r="AC761" s="77"/>
      <c r="AD761" s="227"/>
      <c r="AE761" s="77"/>
      <c r="AF761" s="227"/>
      <c r="AG761" s="77"/>
      <c r="AH761" s="77"/>
      <c r="AI761" s="77"/>
      <c r="AJ761" s="77"/>
      <c r="AK761" s="77"/>
      <c r="AL761" s="77"/>
      <c r="AM761" s="77"/>
      <c r="AN761" s="77"/>
      <c r="AO761" s="77"/>
      <c r="AP761" s="77"/>
      <c r="AQ761" s="77"/>
      <c r="AR761" s="77"/>
      <c r="AS761" s="77"/>
      <c r="AT761" s="77"/>
      <c r="AU761" s="77"/>
      <c r="AV761" s="77"/>
      <c r="AW761" s="77"/>
      <c r="AX761" s="77"/>
      <c r="AY761" s="77"/>
      <c r="AZ761" s="77"/>
      <c r="BA761" s="77"/>
      <c r="BB761" s="77"/>
      <c r="BC761" s="77"/>
      <c r="BD761" s="77"/>
      <c r="BE761" s="77"/>
    </row>
    <row r="762">
      <c r="A762" s="77"/>
      <c r="B762" s="77"/>
      <c r="C762" s="77"/>
      <c r="D762" s="77"/>
      <c r="E762" s="188"/>
      <c r="F762" s="188"/>
      <c r="G762" s="188"/>
      <c r="H762" s="188"/>
      <c r="I762" s="188"/>
      <c r="J762" s="77"/>
      <c r="K762" s="77"/>
      <c r="L762" s="77"/>
      <c r="M762" s="77"/>
      <c r="N762" s="77"/>
      <c r="O762" s="77"/>
      <c r="P762" s="77"/>
      <c r="Q762" s="77"/>
      <c r="R762" s="77"/>
      <c r="S762" s="77"/>
      <c r="T762" s="77"/>
      <c r="U762" s="77"/>
      <c r="V762" s="77"/>
      <c r="W762" s="77"/>
      <c r="X762" s="77"/>
      <c r="Y762" s="77"/>
      <c r="Z762" s="77"/>
      <c r="AA762" s="77"/>
      <c r="AB762" s="77"/>
      <c r="AC762" s="77"/>
      <c r="AD762" s="227"/>
      <c r="AE762" s="77"/>
      <c r="AF762" s="227"/>
      <c r="AG762" s="77"/>
      <c r="AH762" s="77"/>
      <c r="AI762" s="77"/>
      <c r="AJ762" s="77"/>
      <c r="AK762" s="77"/>
      <c r="AL762" s="77"/>
      <c r="AM762" s="77"/>
      <c r="AN762" s="77"/>
      <c r="AO762" s="77"/>
      <c r="AP762" s="77"/>
      <c r="AQ762" s="77"/>
      <c r="AR762" s="77"/>
      <c r="AS762" s="77"/>
      <c r="AT762" s="77"/>
      <c r="AU762" s="77"/>
      <c r="AV762" s="77"/>
      <c r="AW762" s="77"/>
      <c r="AX762" s="77"/>
      <c r="AY762" s="77"/>
      <c r="AZ762" s="77"/>
      <c r="BA762" s="77"/>
      <c r="BB762" s="77"/>
      <c r="BC762" s="77"/>
      <c r="BD762" s="77"/>
      <c r="BE762" s="77"/>
    </row>
    <row r="763">
      <c r="A763" s="77"/>
      <c r="B763" s="77"/>
      <c r="C763" s="77"/>
      <c r="D763" s="77"/>
      <c r="E763" s="188"/>
      <c r="F763" s="188"/>
      <c r="G763" s="188"/>
      <c r="H763" s="188"/>
      <c r="I763" s="188"/>
      <c r="J763" s="77"/>
      <c r="K763" s="77"/>
      <c r="L763" s="77"/>
      <c r="M763" s="77"/>
      <c r="N763" s="77"/>
      <c r="O763" s="77"/>
      <c r="P763" s="77"/>
      <c r="Q763" s="77"/>
      <c r="R763" s="77"/>
      <c r="S763" s="77"/>
      <c r="T763" s="77"/>
      <c r="U763" s="77"/>
      <c r="V763" s="77"/>
      <c r="W763" s="77"/>
      <c r="X763" s="77"/>
      <c r="Y763" s="77"/>
      <c r="Z763" s="77"/>
      <c r="AA763" s="77"/>
      <c r="AB763" s="77"/>
      <c r="AC763" s="77"/>
      <c r="AD763" s="227"/>
      <c r="AE763" s="77"/>
      <c r="AF763" s="227"/>
      <c r="AG763" s="77"/>
      <c r="AH763" s="77"/>
      <c r="AI763" s="77"/>
      <c r="AJ763" s="77"/>
      <c r="AK763" s="77"/>
      <c r="AL763" s="77"/>
      <c r="AM763" s="77"/>
      <c r="AN763" s="77"/>
      <c r="AO763" s="77"/>
      <c r="AP763" s="77"/>
      <c r="AQ763" s="77"/>
      <c r="AR763" s="77"/>
      <c r="AS763" s="77"/>
      <c r="AT763" s="77"/>
      <c r="AU763" s="77"/>
      <c r="AV763" s="77"/>
      <c r="AW763" s="77"/>
      <c r="AX763" s="77"/>
      <c r="AY763" s="77"/>
      <c r="AZ763" s="77"/>
      <c r="BA763" s="77"/>
      <c r="BB763" s="77"/>
      <c r="BC763" s="77"/>
      <c r="BD763" s="77"/>
      <c r="BE763" s="77"/>
    </row>
    <row r="764">
      <c r="A764" s="77"/>
      <c r="B764" s="77"/>
      <c r="C764" s="77"/>
      <c r="D764" s="77"/>
      <c r="E764" s="188"/>
      <c r="F764" s="188"/>
      <c r="G764" s="188"/>
      <c r="H764" s="188"/>
      <c r="I764" s="188"/>
      <c r="J764" s="77"/>
      <c r="K764" s="77"/>
      <c r="L764" s="77"/>
      <c r="M764" s="77"/>
      <c r="N764" s="77"/>
      <c r="O764" s="77"/>
      <c r="P764" s="77"/>
      <c r="Q764" s="77"/>
      <c r="R764" s="77"/>
      <c r="S764" s="77"/>
      <c r="T764" s="77"/>
      <c r="U764" s="77"/>
      <c r="V764" s="77"/>
      <c r="W764" s="77"/>
      <c r="X764" s="77"/>
      <c r="Y764" s="77"/>
      <c r="Z764" s="77"/>
      <c r="AA764" s="77"/>
      <c r="AB764" s="77"/>
      <c r="AC764" s="77"/>
      <c r="AD764" s="227"/>
      <c r="AE764" s="77"/>
      <c r="AF764" s="227"/>
      <c r="AG764" s="77"/>
      <c r="AH764" s="77"/>
      <c r="AI764" s="77"/>
      <c r="AJ764" s="77"/>
      <c r="AK764" s="77"/>
      <c r="AL764" s="77"/>
      <c r="AM764" s="77"/>
      <c r="AN764" s="77"/>
      <c r="AO764" s="77"/>
      <c r="AP764" s="77"/>
      <c r="AQ764" s="77"/>
      <c r="AR764" s="77"/>
      <c r="AS764" s="77"/>
      <c r="AT764" s="77"/>
      <c r="AU764" s="77"/>
      <c r="AV764" s="77"/>
      <c r="AW764" s="77"/>
      <c r="AX764" s="77"/>
      <c r="AY764" s="77"/>
      <c r="AZ764" s="77"/>
      <c r="BA764" s="77"/>
      <c r="BB764" s="77"/>
      <c r="BC764" s="77"/>
      <c r="BD764" s="77"/>
      <c r="BE764" s="77"/>
    </row>
    <row r="765">
      <c r="A765" s="77"/>
      <c r="B765" s="77"/>
      <c r="C765" s="77"/>
      <c r="D765" s="77"/>
      <c r="E765" s="188"/>
      <c r="F765" s="188"/>
      <c r="G765" s="188"/>
      <c r="H765" s="188"/>
      <c r="I765" s="188"/>
      <c r="J765" s="77"/>
      <c r="K765" s="77"/>
      <c r="L765" s="77"/>
      <c r="M765" s="77"/>
      <c r="N765" s="77"/>
      <c r="O765" s="77"/>
      <c r="P765" s="77"/>
      <c r="Q765" s="77"/>
      <c r="R765" s="77"/>
      <c r="S765" s="77"/>
      <c r="T765" s="77"/>
      <c r="U765" s="77"/>
      <c r="V765" s="77"/>
      <c r="W765" s="77"/>
      <c r="X765" s="77"/>
      <c r="Y765" s="77"/>
      <c r="Z765" s="77"/>
      <c r="AA765" s="77"/>
      <c r="AB765" s="77"/>
      <c r="AC765" s="77"/>
      <c r="AD765" s="227"/>
      <c r="AE765" s="77"/>
      <c r="AF765" s="227"/>
      <c r="AG765" s="77"/>
      <c r="AH765" s="77"/>
      <c r="AI765" s="77"/>
      <c r="AJ765" s="77"/>
      <c r="AK765" s="77"/>
      <c r="AL765" s="77"/>
      <c r="AM765" s="77"/>
      <c r="AN765" s="77"/>
      <c r="AO765" s="77"/>
      <c r="AP765" s="77"/>
      <c r="AQ765" s="77"/>
      <c r="AR765" s="77"/>
      <c r="AS765" s="77"/>
      <c r="AT765" s="77"/>
      <c r="AU765" s="77"/>
      <c r="AV765" s="77"/>
      <c r="AW765" s="77"/>
      <c r="AX765" s="77"/>
      <c r="AY765" s="77"/>
      <c r="AZ765" s="77"/>
      <c r="BA765" s="77"/>
      <c r="BB765" s="77"/>
      <c r="BC765" s="77"/>
      <c r="BD765" s="77"/>
      <c r="BE765" s="77"/>
    </row>
    <row r="766">
      <c r="A766" s="77"/>
      <c r="B766" s="77"/>
      <c r="C766" s="77"/>
      <c r="D766" s="77"/>
      <c r="E766" s="188"/>
      <c r="F766" s="188"/>
      <c r="G766" s="188"/>
      <c r="H766" s="188"/>
      <c r="I766" s="188"/>
      <c r="J766" s="77"/>
      <c r="K766" s="77"/>
      <c r="L766" s="77"/>
      <c r="M766" s="77"/>
      <c r="N766" s="77"/>
      <c r="O766" s="77"/>
      <c r="P766" s="77"/>
      <c r="Q766" s="77"/>
      <c r="R766" s="77"/>
      <c r="S766" s="77"/>
      <c r="T766" s="77"/>
      <c r="U766" s="77"/>
      <c r="V766" s="77"/>
      <c r="W766" s="77"/>
      <c r="X766" s="77"/>
      <c r="Y766" s="77"/>
      <c r="Z766" s="77"/>
      <c r="AA766" s="77"/>
      <c r="AB766" s="77"/>
      <c r="AC766" s="77"/>
      <c r="AD766" s="227"/>
      <c r="AE766" s="77"/>
      <c r="AF766" s="227"/>
      <c r="AG766" s="77"/>
      <c r="AH766" s="77"/>
      <c r="AI766" s="77"/>
      <c r="AJ766" s="77"/>
      <c r="AK766" s="77"/>
      <c r="AL766" s="77"/>
      <c r="AM766" s="77"/>
      <c r="AN766" s="77"/>
      <c r="AO766" s="77"/>
      <c r="AP766" s="77"/>
      <c r="AQ766" s="77"/>
      <c r="AR766" s="77"/>
      <c r="AS766" s="77"/>
      <c r="AT766" s="77"/>
      <c r="AU766" s="77"/>
      <c r="AV766" s="77"/>
      <c r="AW766" s="77"/>
      <c r="AX766" s="77"/>
      <c r="AY766" s="77"/>
      <c r="AZ766" s="77"/>
      <c r="BA766" s="77"/>
      <c r="BB766" s="77"/>
      <c r="BC766" s="77"/>
      <c r="BD766" s="77"/>
      <c r="BE766" s="77"/>
    </row>
    <row r="767">
      <c r="A767" s="77"/>
      <c r="B767" s="77"/>
      <c r="C767" s="77"/>
      <c r="D767" s="77"/>
      <c r="E767" s="188"/>
      <c r="F767" s="188"/>
      <c r="G767" s="188"/>
      <c r="H767" s="188"/>
      <c r="I767" s="188"/>
      <c r="J767" s="77"/>
      <c r="K767" s="77"/>
      <c r="L767" s="77"/>
      <c r="M767" s="77"/>
      <c r="N767" s="77"/>
      <c r="O767" s="77"/>
      <c r="P767" s="77"/>
      <c r="Q767" s="77"/>
      <c r="R767" s="77"/>
      <c r="S767" s="77"/>
      <c r="T767" s="77"/>
      <c r="U767" s="77"/>
      <c r="V767" s="77"/>
      <c r="W767" s="77"/>
      <c r="X767" s="77"/>
      <c r="Y767" s="77"/>
      <c r="Z767" s="77"/>
      <c r="AA767" s="77"/>
      <c r="AB767" s="77"/>
      <c r="AC767" s="77"/>
      <c r="AD767" s="227"/>
      <c r="AE767" s="77"/>
      <c r="AF767" s="227"/>
      <c r="AG767" s="77"/>
      <c r="AH767" s="77"/>
      <c r="AI767" s="77"/>
      <c r="AJ767" s="77"/>
      <c r="AK767" s="77"/>
      <c r="AL767" s="77"/>
      <c r="AM767" s="77"/>
      <c r="AN767" s="77"/>
      <c r="AO767" s="77"/>
      <c r="AP767" s="77"/>
      <c r="AQ767" s="77"/>
      <c r="AR767" s="77"/>
      <c r="AS767" s="77"/>
      <c r="AT767" s="77"/>
      <c r="AU767" s="77"/>
      <c r="AV767" s="77"/>
      <c r="AW767" s="77"/>
      <c r="AX767" s="77"/>
      <c r="AY767" s="77"/>
      <c r="AZ767" s="77"/>
      <c r="BA767" s="77"/>
      <c r="BB767" s="77"/>
      <c r="BC767" s="77"/>
      <c r="BD767" s="77"/>
      <c r="BE767" s="77"/>
    </row>
    <row r="768">
      <c r="A768" s="77"/>
      <c r="B768" s="77"/>
      <c r="C768" s="77"/>
      <c r="D768" s="77"/>
      <c r="E768" s="188"/>
      <c r="F768" s="188"/>
      <c r="G768" s="188"/>
      <c r="H768" s="188"/>
      <c r="I768" s="188"/>
      <c r="J768" s="77"/>
      <c r="K768" s="77"/>
      <c r="L768" s="77"/>
      <c r="M768" s="77"/>
      <c r="N768" s="77"/>
      <c r="O768" s="77"/>
      <c r="P768" s="77"/>
      <c r="Q768" s="77"/>
      <c r="R768" s="77"/>
      <c r="S768" s="77"/>
      <c r="T768" s="77"/>
      <c r="U768" s="77"/>
      <c r="V768" s="77"/>
      <c r="W768" s="77"/>
      <c r="X768" s="77"/>
      <c r="Y768" s="77"/>
      <c r="Z768" s="77"/>
      <c r="AA768" s="77"/>
      <c r="AB768" s="77"/>
      <c r="AC768" s="77"/>
      <c r="AD768" s="227"/>
      <c r="AE768" s="77"/>
      <c r="AF768" s="227"/>
      <c r="AG768" s="77"/>
      <c r="AH768" s="77"/>
      <c r="AI768" s="77"/>
      <c r="AJ768" s="77"/>
      <c r="AK768" s="77"/>
      <c r="AL768" s="77"/>
      <c r="AM768" s="77"/>
      <c r="AN768" s="77"/>
      <c r="AO768" s="77"/>
      <c r="AP768" s="77"/>
      <c r="AQ768" s="77"/>
      <c r="AR768" s="77"/>
      <c r="AS768" s="77"/>
      <c r="AT768" s="77"/>
      <c r="AU768" s="77"/>
      <c r="AV768" s="77"/>
      <c r="AW768" s="77"/>
      <c r="AX768" s="77"/>
      <c r="AY768" s="77"/>
      <c r="AZ768" s="77"/>
      <c r="BA768" s="77"/>
      <c r="BB768" s="77"/>
      <c r="BC768" s="77"/>
      <c r="BD768" s="77"/>
      <c r="BE768" s="77"/>
    </row>
    <row r="769">
      <c r="A769" s="77"/>
      <c r="B769" s="77"/>
      <c r="C769" s="77"/>
      <c r="D769" s="77"/>
      <c r="E769" s="188"/>
      <c r="F769" s="188"/>
      <c r="G769" s="188"/>
      <c r="H769" s="188"/>
      <c r="I769" s="188"/>
      <c r="J769" s="77"/>
      <c r="K769" s="77"/>
      <c r="L769" s="77"/>
      <c r="M769" s="77"/>
      <c r="N769" s="77"/>
      <c r="O769" s="77"/>
      <c r="P769" s="77"/>
      <c r="Q769" s="77"/>
      <c r="R769" s="77"/>
      <c r="S769" s="77"/>
      <c r="T769" s="77"/>
      <c r="U769" s="77"/>
      <c r="V769" s="77"/>
      <c r="W769" s="77"/>
      <c r="X769" s="77"/>
      <c r="Y769" s="77"/>
      <c r="Z769" s="77"/>
      <c r="AA769" s="77"/>
      <c r="AB769" s="77"/>
      <c r="AC769" s="77"/>
      <c r="AD769" s="227"/>
      <c r="AE769" s="77"/>
      <c r="AF769" s="227"/>
      <c r="AG769" s="77"/>
      <c r="AH769" s="77"/>
      <c r="AI769" s="77"/>
      <c r="AJ769" s="77"/>
      <c r="AK769" s="77"/>
      <c r="AL769" s="77"/>
      <c r="AM769" s="77"/>
      <c r="AN769" s="77"/>
      <c r="AO769" s="77"/>
      <c r="AP769" s="77"/>
      <c r="AQ769" s="77"/>
      <c r="AR769" s="77"/>
      <c r="AS769" s="77"/>
      <c r="AT769" s="77"/>
      <c r="AU769" s="77"/>
      <c r="AV769" s="77"/>
      <c r="AW769" s="77"/>
      <c r="AX769" s="77"/>
      <c r="AY769" s="77"/>
      <c r="AZ769" s="77"/>
      <c r="BA769" s="77"/>
      <c r="BB769" s="77"/>
      <c r="BC769" s="77"/>
      <c r="BD769" s="77"/>
      <c r="BE769" s="77"/>
    </row>
    <row r="770">
      <c r="A770" s="77"/>
      <c r="B770" s="77"/>
      <c r="C770" s="77"/>
      <c r="D770" s="77"/>
      <c r="E770" s="188"/>
      <c r="F770" s="188"/>
      <c r="G770" s="188"/>
      <c r="H770" s="188"/>
      <c r="I770" s="188"/>
      <c r="J770" s="77"/>
      <c r="K770" s="77"/>
      <c r="L770" s="77"/>
      <c r="M770" s="77"/>
      <c r="N770" s="77"/>
      <c r="O770" s="77"/>
      <c r="P770" s="77"/>
      <c r="Q770" s="77"/>
      <c r="R770" s="77"/>
      <c r="S770" s="77"/>
      <c r="T770" s="77"/>
      <c r="U770" s="77"/>
      <c r="V770" s="77"/>
      <c r="W770" s="77"/>
      <c r="X770" s="77"/>
      <c r="Y770" s="77"/>
      <c r="Z770" s="77"/>
      <c r="AA770" s="77"/>
      <c r="AB770" s="77"/>
      <c r="AC770" s="77"/>
      <c r="AD770" s="227"/>
      <c r="AE770" s="77"/>
      <c r="AF770" s="227"/>
      <c r="AG770" s="77"/>
      <c r="AH770" s="77"/>
      <c r="AI770" s="77"/>
      <c r="AJ770" s="77"/>
      <c r="AK770" s="77"/>
      <c r="AL770" s="77"/>
      <c r="AM770" s="77"/>
      <c r="AN770" s="77"/>
      <c r="AO770" s="77"/>
      <c r="AP770" s="77"/>
      <c r="AQ770" s="77"/>
      <c r="AR770" s="77"/>
      <c r="AS770" s="77"/>
      <c r="AT770" s="77"/>
      <c r="AU770" s="77"/>
      <c r="AV770" s="77"/>
      <c r="AW770" s="77"/>
      <c r="AX770" s="77"/>
      <c r="AY770" s="77"/>
      <c r="AZ770" s="77"/>
      <c r="BA770" s="77"/>
      <c r="BB770" s="77"/>
      <c r="BC770" s="77"/>
      <c r="BD770" s="77"/>
      <c r="BE770" s="77"/>
    </row>
    <row r="771">
      <c r="A771" s="77"/>
      <c r="B771" s="77"/>
      <c r="C771" s="77"/>
      <c r="D771" s="77"/>
      <c r="E771" s="188"/>
      <c r="F771" s="188"/>
      <c r="G771" s="188"/>
      <c r="H771" s="188"/>
      <c r="I771" s="188"/>
      <c r="J771" s="77"/>
      <c r="K771" s="77"/>
      <c r="L771" s="77"/>
      <c r="M771" s="77"/>
      <c r="N771" s="77"/>
      <c r="O771" s="77"/>
      <c r="P771" s="77"/>
      <c r="Q771" s="77"/>
      <c r="R771" s="77"/>
      <c r="S771" s="77"/>
      <c r="T771" s="77"/>
      <c r="U771" s="77"/>
      <c r="V771" s="77"/>
      <c r="W771" s="77"/>
      <c r="X771" s="77"/>
      <c r="Y771" s="77"/>
      <c r="Z771" s="77"/>
      <c r="AA771" s="77"/>
      <c r="AB771" s="77"/>
      <c r="AC771" s="77"/>
      <c r="AD771" s="227"/>
      <c r="AE771" s="77"/>
      <c r="AF771" s="227"/>
      <c r="AG771" s="77"/>
      <c r="AH771" s="77"/>
      <c r="AI771" s="77"/>
      <c r="AJ771" s="77"/>
      <c r="AK771" s="77"/>
      <c r="AL771" s="77"/>
      <c r="AM771" s="77"/>
      <c r="AN771" s="77"/>
      <c r="AO771" s="77"/>
      <c r="AP771" s="77"/>
      <c r="AQ771" s="77"/>
      <c r="AR771" s="77"/>
      <c r="AS771" s="77"/>
      <c r="AT771" s="77"/>
      <c r="AU771" s="77"/>
      <c r="AV771" s="77"/>
      <c r="AW771" s="77"/>
      <c r="AX771" s="77"/>
      <c r="AY771" s="77"/>
      <c r="AZ771" s="77"/>
      <c r="BA771" s="77"/>
      <c r="BB771" s="77"/>
      <c r="BC771" s="77"/>
      <c r="BD771" s="77"/>
      <c r="BE771" s="77"/>
    </row>
    <row r="772">
      <c r="A772" s="77"/>
      <c r="B772" s="77"/>
      <c r="C772" s="77"/>
      <c r="D772" s="77"/>
      <c r="E772" s="188"/>
      <c r="F772" s="188"/>
      <c r="G772" s="188"/>
      <c r="H772" s="188"/>
      <c r="I772" s="188"/>
      <c r="J772" s="77"/>
      <c r="K772" s="77"/>
      <c r="L772" s="77"/>
      <c r="M772" s="77"/>
      <c r="N772" s="77"/>
      <c r="O772" s="77"/>
      <c r="P772" s="77"/>
      <c r="Q772" s="77"/>
      <c r="R772" s="77"/>
      <c r="S772" s="77"/>
      <c r="T772" s="77"/>
      <c r="U772" s="77"/>
      <c r="V772" s="77"/>
      <c r="W772" s="77"/>
      <c r="X772" s="77"/>
      <c r="Y772" s="77"/>
      <c r="Z772" s="77"/>
      <c r="AA772" s="77"/>
      <c r="AB772" s="77"/>
      <c r="AC772" s="77"/>
      <c r="AD772" s="227"/>
      <c r="AE772" s="77"/>
      <c r="AF772" s="227"/>
      <c r="AG772" s="77"/>
      <c r="AH772" s="77"/>
      <c r="AI772" s="77"/>
      <c r="AJ772" s="77"/>
      <c r="AK772" s="77"/>
      <c r="AL772" s="77"/>
      <c r="AM772" s="77"/>
      <c r="AN772" s="77"/>
      <c r="AO772" s="77"/>
      <c r="AP772" s="77"/>
      <c r="AQ772" s="77"/>
      <c r="AR772" s="77"/>
      <c r="AS772" s="77"/>
      <c r="AT772" s="77"/>
      <c r="AU772" s="77"/>
      <c r="AV772" s="77"/>
      <c r="AW772" s="77"/>
      <c r="AX772" s="77"/>
      <c r="AY772" s="77"/>
      <c r="AZ772" s="77"/>
      <c r="BA772" s="77"/>
      <c r="BB772" s="77"/>
      <c r="BC772" s="77"/>
      <c r="BD772" s="77"/>
      <c r="BE772" s="77"/>
    </row>
    <row r="773">
      <c r="A773" s="77"/>
      <c r="B773" s="77"/>
      <c r="C773" s="77"/>
      <c r="D773" s="77"/>
      <c r="E773" s="188"/>
      <c r="F773" s="188"/>
      <c r="G773" s="188"/>
      <c r="H773" s="188"/>
      <c r="I773" s="188"/>
      <c r="J773" s="77"/>
      <c r="K773" s="77"/>
      <c r="L773" s="77"/>
      <c r="M773" s="77"/>
      <c r="N773" s="77"/>
      <c r="O773" s="77"/>
      <c r="P773" s="77"/>
      <c r="Q773" s="77"/>
      <c r="R773" s="77"/>
      <c r="S773" s="77"/>
      <c r="T773" s="77"/>
      <c r="U773" s="77"/>
      <c r="V773" s="77"/>
      <c r="W773" s="77"/>
      <c r="X773" s="77"/>
      <c r="Y773" s="77"/>
      <c r="Z773" s="77"/>
      <c r="AA773" s="77"/>
      <c r="AB773" s="77"/>
      <c r="AC773" s="77"/>
      <c r="AD773" s="227"/>
      <c r="AE773" s="77"/>
      <c r="AF773" s="227"/>
      <c r="AG773" s="77"/>
      <c r="AH773" s="77"/>
      <c r="AI773" s="77"/>
      <c r="AJ773" s="77"/>
      <c r="AK773" s="77"/>
      <c r="AL773" s="77"/>
      <c r="AM773" s="77"/>
      <c r="AN773" s="77"/>
      <c r="AO773" s="77"/>
      <c r="AP773" s="77"/>
      <c r="AQ773" s="77"/>
      <c r="AR773" s="77"/>
      <c r="AS773" s="77"/>
      <c r="AT773" s="77"/>
      <c r="AU773" s="77"/>
      <c r="AV773" s="77"/>
      <c r="AW773" s="77"/>
      <c r="AX773" s="77"/>
      <c r="AY773" s="77"/>
      <c r="AZ773" s="77"/>
      <c r="BA773" s="77"/>
      <c r="BB773" s="77"/>
      <c r="BC773" s="77"/>
      <c r="BD773" s="77"/>
      <c r="BE773" s="77"/>
    </row>
    <row r="774">
      <c r="A774" s="77"/>
      <c r="B774" s="77"/>
      <c r="C774" s="77"/>
      <c r="D774" s="77"/>
      <c r="E774" s="188"/>
      <c r="F774" s="188"/>
      <c r="G774" s="188"/>
      <c r="H774" s="188"/>
      <c r="I774" s="188"/>
      <c r="J774" s="77"/>
      <c r="K774" s="77"/>
      <c r="L774" s="77"/>
      <c r="M774" s="77"/>
      <c r="N774" s="77"/>
      <c r="O774" s="77"/>
      <c r="P774" s="77"/>
      <c r="Q774" s="77"/>
      <c r="R774" s="77"/>
      <c r="S774" s="77"/>
      <c r="T774" s="77"/>
      <c r="U774" s="77"/>
      <c r="V774" s="77"/>
      <c r="W774" s="77"/>
      <c r="X774" s="77"/>
      <c r="Y774" s="77"/>
      <c r="Z774" s="77"/>
      <c r="AA774" s="77"/>
      <c r="AB774" s="77"/>
      <c r="AC774" s="77"/>
      <c r="AD774" s="227"/>
      <c r="AE774" s="77"/>
      <c r="AF774" s="227"/>
      <c r="AG774" s="77"/>
      <c r="AH774" s="77"/>
      <c r="AI774" s="77"/>
      <c r="AJ774" s="77"/>
      <c r="AK774" s="77"/>
      <c r="AL774" s="77"/>
      <c r="AM774" s="77"/>
      <c r="AN774" s="77"/>
      <c r="AO774" s="77"/>
      <c r="AP774" s="77"/>
      <c r="AQ774" s="77"/>
      <c r="AR774" s="77"/>
      <c r="AS774" s="77"/>
      <c r="AT774" s="77"/>
      <c r="AU774" s="77"/>
      <c r="AV774" s="77"/>
      <c r="AW774" s="77"/>
      <c r="AX774" s="77"/>
      <c r="AY774" s="77"/>
      <c r="AZ774" s="77"/>
      <c r="BA774" s="77"/>
      <c r="BB774" s="77"/>
      <c r="BC774" s="77"/>
      <c r="BD774" s="77"/>
      <c r="BE774" s="77"/>
    </row>
    <row r="775">
      <c r="A775" s="77"/>
      <c r="B775" s="77"/>
      <c r="C775" s="77"/>
      <c r="D775" s="77"/>
      <c r="E775" s="188"/>
      <c r="F775" s="188"/>
      <c r="G775" s="188"/>
      <c r="H775" s="188"/>
      <c r="I775" s="188"/>
      <c r="J775" s="77"/>
      <c r="K775" s="77"/>
      <c r="L775" s="77"/>
      <c r="M775" s="77"/>
      <c r="N775" s="77"/>
      <c r="O775" s="77"/>
      <c r="P775" s="77"/>
      <c r="Q775" s="77"/>
      <c r="R775" s="77"/>
      <c r="S775" s="77"/>
      <c r="T775" s="77"/>
      <c r="U775" s="77"/>
      <c r="V775" s="77"/>
      <c r="W775" s="77"/>
      <c r="X775" s="77"/>
      <c r="Y775" s="77"/>
      <c r="Z775" s="77"/>
      <c r="AA775" s="77"/>
      <c r="AB775" s="77"/>
      <c r="AC775" s="77"/>
      <c r="AD775" s="227"/>
      <c r="AE775" s="77"/>
      <c r="AF775" s="227"/>
      <c r="AG775" s="77"/>
      <c r="AH775" s="77"/>
      <c r="AI775" s="77"/>
      <c r="AJ775" s="77"/>
      <c r="AK775" s="77"/>
      <c r="AL775" s="77"/>
      <c r="AM775" s="77"/>
      <c r="AN775" s="77"/>
      <c r="AO775" s="77"/>
      <c r="AP775" s="77"/>
      <c r="AQ775" s="77"/>
      <c r="AR775" s="77"/>
      <c r="AS775" s="77"/>
      <c r="AT775" s="77"/>
      <c r="AU775" s="77"/>
      <c r="AV775" s="77"/>
      <c r="AW775" s="77"/>
      <c r="AX775" s="77"/>
      <c r="AY775" s="77"/>
      <c r="AZ775" s="77"/>
      <c r="BA775" s="77"/>
      <c r="BB775" s="77"/>
      <c r="BC775" s="77"/>
      <c r="BD775" s="77"/>
      <c r="BE775" s="77"/>
    </row>
    <row r="776">
      <c r="A776" s="77"/>
      <c r="B776" s="77"/>
      <c r="C776" s="77"/>
      <c r="D776" s="77"/>
      <c r="E776" s="188"/>
      <c r="F776" s="188"/>
      <c r="G776" s="188"/>
      <c r="H776" s="188"/>
      <c r="I776" s="188"/>
      <c r="J776" s="77"/>
      <c r="K776" s="77"/>
      <c r="L776" s="77"/>
      <c r="M776" s="77"/>
      <c r="N776" s="77"/>
      <c r="O776" s="77"/>
      <c r="P776" s="77"/>
      <c r="Q776" s="77"/>
      <c r="R776" s="77"/>
      <c r="S776" s="77"/>
      <c r="T776" s="77"/>
      <c r="U776" s="77"/>
      <c r="V776" s="77"/>
      <c r="W776" s="77"/>
      <c r="X776" s="77"/>
      <c r="Y776" s="77"/>
      <c r="Z776" s="77"/>
      <c r="AA776" s="77"/>
      <c r="AB776" s="77"/>
      <c r="AC776" s="77"/>
      <c r="AD776" s="227"/>
      <c r="AE776" s="77"/>
      <c r="AF776" s="227"/>
      <c r="AG776" s="77"/>
      <c r="AH776" s="77"/>
      <c r="AI776" s="77"/>
      <c r="AJ776" s="77"/>
      <c r="AK776" s="77"/>
      <c r="AL776" s="77"/>
      <c r="AM776" s="77"/>
      <c r="AN776" s="77"/>
      <c r="AO776" s="77"/>
      <c r="AP776" s="77"/>
      <c r="AQ776" s="77"/>
      <c r="AR776" s="77"/>
      <c r="AS776" s="77"/>
      <c r="AT776" s="77"/>
      <c r="AU776" s="77"/>
      <c r="AV776" s="77"/>
      <c r="AW776" s="77"/>
      <c r="AX776" s="77"/>
      <c r="AY776" s="77"/>
      <c r="AZ776" s="77"/>
      <c r="BA776" s="77"/>
      <c r="BB776" s="77"/>
      <c r="BC776" s="77"/>
      <c r="BD776" s="77"/>
      <c r="BE776" s="77"/>
    </row>
    <row r="777">
      <c r="A777" s="77"/>
      <c r="B777" s="77"/>
      <c r="C777" s="77"/>
      <c r="D777" s="77"/>
      <c r="E777" s="188"/>
      <c r="F777" s="188"/>
      <c r="G777" s="188"/>
      <c r="H777" s="188"/>
      <c r="I777" s="188"/>
      <c r="J777" s="77"/>
      <c r="K777" s="77"/>
      <c r="L777" s="77"/>
      <c r="M777" s="77"/>
      <c r="N777" s="77"/>
      <c r="O777" s="77"/>
      <c r="P777" s="77"/>
      <c r="Q777" s="77"/>
      <c r="R777" s="77"/>
      <c r="S777" s="77"/>
      <c r="T777" s="77"/>
      <c r="U777" s="77"/>
      <c r="V777" s="77"/>
      <c r="W777" s="77"/>
      <c r="X777" s="77"/>
      <c r="Y777" s="77"/>
      <c r="Z777" s="77"/>
      <c r="AA777" s="77"/>
      <c r="AB777" s="77"/>
      <c r="AC777" s="77"/>
      <c r="AD777" s="227"/>
      <c r="AE777" s="77"/>
      <c r="AF777" s="227"/>
      <c r="AG777" s="77"/>
      <c r="AH777" s="77"/>
      <c r="AI777" s="77"/>
      <c r="AJ777" s="77"/>
      <c r="AK777" s="77"/>
      <c r="AL777" s="77"/>
      <c r="AM777" s="77"/>
      <c r="AN777" s="77"/>
      <c r="AO777" s="77"/>
      <c r="AP777" s="77"/>
      <c r="AQ777" s="77"/>
      <c r="AR777" s="77"/>
      <c r="AS777" s="77"/>
      <c r="AT777" s="77"/>
      <c r="AU777" s="77"/>
      <c r="AV777" s="77"/>
      <c r="AW777" s="77"/>
      <c r="AX777" s="77"/>
      <c r="AY777" s="77"/>
      <c r="AZ777" s="77"/>
      <c r="BA777" s="77"/>
      <c r="BB777" s="77"/>
      <c r="BC777" s="77"/>
      <c r="BD777" s="77"/>
      <c r="BE777" s="77"/>
    </row>
    <row r="778">
      <c r="A778" s="77"/>
      <c r="B778" s="77"/>
      <c r="C778" s="77"/>
      <c r="D778" s="77"/>
      <c r="E778" s="188"/>
      <c r="F778" s="188"/>
      <c r="G778" s="188"/>
      <c r="H778" s="188"/>
      <c r="I778" s="188"/>
      <c r="J778" s="77"/>
      <c r="K778" s="77"/>
      <c r="L778" s="77"/>
      <c r="M778" s="77"/>
      <c r="N778" s="77"/>
      <c r="O778" s="77"/>
      <c r="P778" s="77"/>
      <c r="Q778" s="77"/>
      <c r="R778" s="77"/>
      <c r="S778" s="77"/>
      <c r="T778" s="77"/>
      <c r="U778" s="77"/>
      <c r="V778" s="77"/>
      <c r="W778" s="77"/>
      <c r="X778" s="77"/>
      <c r="Y778" s="77"/>
      <c r="Z778" s="77"/>
      <c r="AA778" s="77"/>
      <c r="AB778" s="77"/>
      <c r="AC778" s="77"/>
      <c r="AD778" s="227"/>
      <c r="AE778" s="77"/>
      <c r="AF778" s="227"/>
      <c r="AG778" s="77"/>
      <c r="AH778" s="77"/>
      <c r="AI778" s="77"/>
      <c r="AJ778" s="77"/>
      <c r="AK778" s="77"/>
      <c r="AL778" s="77"/>
      <c r="AM778" s="77"/>
      <c r="AN778" s="77"/>
      <c r="AO778" s="77"/>
      <c r="AP778" s="77"/>
      <c r="AQ778" s="77"/>
      <c r="AR778" s="77"/>
      <c r="AS778" s="77"/>
      <c r="AT778" s="77"/>
      <c r="AU778" s="77"/>
      <c r="AV778" s="77"/>
      <c r="AW778" s="77"/>
      <c r="AX778" s="77"/>
      <c r="AY778" s="77"/>
      <c r="AZ778" s="77"/>
      <c r="BA778" s="77"/>
      <c r="BB778" s="77"/>
      <c r="BC778" s="77"/>
      <c r="BD778" s="77"/>
      <c r="BE778" s="77"/>
    </row>
    <row r="779">
      <c r="A779" s="77"/>
      <c r="B779" s="77"/>
      <c r="C779" s="77"/>
      <c r="D779" s="77"/>
      <c r="E779" s="188"/>
      <c r="F779" s="188"/>
      <c r="G779" s="188"/>
      <c r="H779" s="188"/>
      <c r="I779" s="188"/>
      <c r="J779" s="77"/>
      <c r="K779" s="77"/>
      <c r="L779" s="77"/>
      <c r="M779" s="77"/>
      <c r="N779" s="77"/>
      <c r="O779" s="77"/>
      <c r="P779" s="77"/>
      <c r="Q779" s="77"/>
      <c r="R779" s="77"/>
      <c r="S779" s="77"/>
      <c r="T779" s="77"/>
      <c r="U779" s="77"/>
      <c r="V779" s="77"/>
      <c r="W779" s="77"/>
      <c r="X779" s="77"/>
      <c r="Y779" s="77"/>
      <c r="Z779" s="77"/>
      <c r="AA779" s="77"/>
      <c r="AB779" s="77"/>
      <c r="AC779" s="77"/>
      <c r="AD779" s="227"/>
      <c r="AE779" s="77"/>
      <c r="AF779" s="227"/>
      <c r="AG779" s="77"/>
      <c r="AH779" s="77"/>
      <c r="AI779" s="77"/>
      <c r="AJ779" s="77"/>
      <c r="AK779" s="77"/>
      <c r="AL779" s="77"/>
      <c r="AM779" s="77"/>
      <c r="AN779" s="77"/>
      <c r="AO779" s="77"/>
      <c r="AP779" s="77"/>
      <c r="AQ779" s="77"/>
      <c r="AR779" s="77"/>
      <c r="AS779" s="77"/>
      <c r="AT779" s="77"/>
      <c r="AU779" s="77"/>
      <c r="AV779" s="77"/>
      <c r="AW779" s="77"/>
      <c r="AX779" s="77"/>
      <c r="AY779" s="77"/>
      <c r="AZ779" s="77"/>
      <c r="BA779" s="77"/>
      <c r="BB779" s="77"/>
      <c r="BC779" s="77"/>
      <c r="BD779" s="77"/>
      <c r="BE779" s="77"/>
    </row>
    <row r="780">
      <c r="A780" s="77"/>
      <c r="B780" s="77"/>
      <c r="C780" s="77"/>
      <c r="D780" s="77"/>
      <c r="E780" s="188"/>
      <c r="F780" s="188"/>
      <c r="G780" s="188"/>
      <c r="H780" s="188"/>
      <c r="I780" s="188"/>
      <c r="J780" s="77"/>
      <c r="K780" s="77"/>
      <c r="L780" s="77"/>
      <c r="M780" s="77"/>
      <c r="N780" s="77"/>
      <c r="O780" s="77"/>
      <c r="P780" s="77"/>
      <c r="Q780" s="77"/>
      <c r="R780" s="77"/>
      <c r="S780" s="77"/>
      <c r="T780" s="77"/>
      <c r="U780" s="77"/>
      <c r="V780" s="77"/>
      <c r="W780" s="77"/>
      <c r="X780" s="77"/>
      <c r="Y780" s="77"/>
      <c r="Z780" s="77"/>
      <c r="AA780" s="77"/>
      <c r="AB780" s="77"/>
      <c r="AC780" s="77"/>
      <c r="AD780" s="227"/>
      <c r="AE780" s="77"/>
      <c r="AF780" s="227"/>
      <c r="AG780" s="77"/>
      <c r="AH780" s="77"/>
      <c r="AI780" s="77"/>
      <c r="AJ780" s="77"/>
      <c r="AK780" s="77"/>
      <c r="AL780" s="77"/>
      <c r="AM780" s="77"/>
      <c r="AN780" s="77"/>
      <c r="AO780" s="77"/>
      <c r="AP780" s="77"/>
      <c r="AQ780" s="77"/>
      <c r="AR780" s="77"/>
      <c r="AS780" s="77"/>
      <c r="AT780" s="77"/>
      <c r="AU780" s="77"/>
      <c r="AV780" s="77"/>
      <c r="AW780" s="77"/>
      <c r="AX780" s="77"/>
      <c r="AY780" s="77"/>
      <c r="AZ780" s="77"/>
      <c r="BA780" s="77"/>
      <c r="BB780" s="77"/>
      <c r="BC780" s="77"/>
      <c r="BD780" s="77"/>
      <c r="BE780" s="77"/>
    </row>
    <row r="781">
      <c r="A781" s="77"/>
      <c r="B781" s="77"/>
      <c r="C781" s="77"/>
      <c r="D781" s="77"/>
      <c r="E781" s="188"/>
      <c r="F781" s="188"/>
      <c r="G781" s="188"/>
      <c r="H781" s="188"/>
      <c r="I781" s="188"/>
      <c r="J781" s="77"/>
      <c r="K781" s="77"/>
      <c r="L781" s="77"/>
      <c r="M781" s="77"/>
      <c r="N781" s="77"/>
      <c r="O781" s="77"/>
      <c r="P781" s="77"/>
      <c r="Q781" s="77"/>
      <c r="R781" s="77"/>
      <c r="S781" s="77"/>
      <c r="T781" s="77"/>
      <c r="U781" s="77"/>
      <c r="V781" s="77"/>
      <c r="W781" s="77"/>
      <c r="X781" s="77"/>
      <c r="Y781" s="77"/>
      <c r="Z781" s="77"/>
      <c r="AA781" s="77"/>
      <c r="AB781" s="77"/>
      <c r="AC781" s="77"/>
      <c r="AD781" s="227"/>
      <c r="AE781" s="77"/>
      <c r="AF781" s="227"/>
      <c r="AG781" s="77"/>
      <c r="AH781" s="77"/>
      <c r="AI781" s="77"/>
      <c r="AJ781" s="77"/>
      <c r="AK781" s="77"/>
      <c r="AL781" s="77"/>
      <c r="AM781" s="77"/>
      <c r="AN781" s="77"/>
      <c r="AO781" s="77"/>
      <c r="AP781" s="77"/>
      <c r="AQ781" s="77"/>
      <c r="AR781" s="77"/>
      <c r="AS781" s="77"/>
      <c r="AT781" s="77"/>
      <c r="AU781" s="77"/>
      <c r="AV781" s="77"/>
      <c r="AW781" s="77"/>
      <c r="AX781" s="77"/>
      <c r="AY781" s="77"/>
      <c r="AZ781" s="77"/>
      <c r="BA781" s="77"/>
      <c r="BB781" s="77"/>
      <c r="BC781" s="77"/>
      <c r="BD781" s="77"/>
      <c r="BE781" s="77"/>
    </row>
    <row r="782">
      <c r="A782" s="77"/>
      <c r="B782" s="77"/>
      <c r="C782" s="77"/>
      <c r="D782" s="77"/>
      <c r="E782" s="188"/>
      <c r="F782" s="188"/>
      <c r="G782" s="188"/>
      <c r="H782" s="188"/>
      <c r="I782" s="188"/>
      <c r="J782" s="77"/>
      <c r="K782" s="77"/>
      <c r="L782" s="77"/>
      <c r="M782" s="77"/>
      <c r="N782" s="77"/>
      <c r="O782" s="77"/>
      <c r="P782" s="77"/>
      <c r="Q782" s="77"/>
      <c r="R782" s="77"/>
      <c r="S782" s="77"/>
      <c r="T782" s="77"/>
      <c r="U782" s="77"/>
      <c r="V782" s="77"/>
      <c r="W782" s="77"/>
      <c r="X782" s="77"/>
      <c r="Y782" s="77"/>
      <c r="Z782" s="77"/>
      <c r="AA782" s="77"/>
      <c r="AB782" s="77"/>
      <c r="AC782" s="77"/>
      <c r="AD782" s="227"/>
      <c r="AE782" s="77"/>
      <c r="AF782" s="227"/>
      <c r="AG782" s="77"/>
      <c r="AH782" s="77"/>
      <c r="AI782" s="77"/>
      <c r="AJ782" s="77"/>
      <c r="AK782" s="77"/>
      <c r="AL782" s="77"/>
      <c r="AM782" s="77"/>
      <c r="AN782" s="77"/>
      <c r="AO782" s="77"/>
      <c r="AP782" s="77"/>
      <c r="AQ782" s="77"/>
      <c r="AR782" s="77"/>
      <c r="AS782" s="77"/>
      <c r="AT782" s="77"/>
      <c r="AU782" s="77"/>
      <c r="AV782" s="77"/>
      <c r="AW782" s="77"/>
      <c r="AX782" s="77"/>
      <c r="AY782" s="77"/>
      <c r="AZ782" s="77"/>
      <c r="BA782" s="77"/>
      <c r="BB782" s="77"/>
      <c r="BC782" s="77"/>
      <c r="BD782" s="77"/>
      <c r="BE782" s="77"/>
    </row>
    <row r="783">
      <c r="A783" s="77"/>
      <c r="B783" s="77"/>
      <c r="C783" s="77"/>
      <c r="D783" s="77"/>
      <c r="E783" s="188"/>
      <c r="F783" s="188"/>
      <c r="G783" s="188"/>
      <c r="H783" s="188"/>
      <c r="I783" s="188"/>
      <c r="J783" s="77"/>
      <c r="K783" s="77"/>
      <c r="L783" s="77"/>
      <c r="M783" s="77"/>
      <c r="N783" s="77"/>
      <c r="O783" s="77"/>
      <c r="P783" s="77"/>
      <c r="Q783" s="77"/>
      <c r="R783" s="77"/>
      <c r="S783" s="77"/>
      <c r="T783" s="77"/>
      <c r="U783" s="77"/>
      <c r="V783" s="77"/>
      <c r="W783" s="77"/>
      <c r="X783" s="77"/>
      <c r="Y783" s="77"/>
      <c r="Z783" s="77"/>
      <c r="AA783" s="77"/>
      <c r="AB783" s="77"/>
      <c r="AC783" s="77"/>
      <c r="AD783" s="227"/>
      <c r="AE783" s="77"/>
      <c r="AF783" s="227"/>
      <c r="AG783" s="77"/>
      <c r="AH783" s="77"/>
      <c r="AI783" s="77"/>
      <c r="AJ783" s="77"/>
      <c r="AK783" s="77"/>
      <c r="AL783" s="77"/>
      <c r="AM783" s="77"/>
      <c r="AN783" s="77"/>
      <c r="AO783" s="77"/>
      <c r="AP783" s="77"/>
      <c r="AQ783" s="77"/>
      <c r="AR783" s="77"/>
      <c r="AS783" s="77"/>
      <c r="AT783" s="77"/>
      <c r="AU783" s="77"/>
      <c r="AV783" s="77"/>
      <c r="AW783" s="77"/>
      <c r="AX783" s="77"/>
      <c r="AY783" s="77"/>
      <c r="AZ783" s="77"/>
      <c r="BA783" s="77"/>
      <c r="BB783" s="77"/>
      <c r="BC783" s="77"/>
      <c r="BD783" s="77"/>
      <c r="BE783" s="77"/>
    </row>
    <row r="784">
      <c r="A784" s="77"/>
      <c r="B784" s="77"/>
      <c r="C784" s="77"/>
      <c r="D784" s="77"/>
      <c r="E784" s="188"/>
      <c r="F784" s="188"/>
      <c r="G784" s="188"/>
      <c r="H784" s="188"/>
      <c r="I784" s="188"/>
      <c r="J784" s="77"/>
      <c r="K784" s="77"/>
      <c r="L784" s="77"/>
      <c r="M784" s="77"/>
      <c r="N784" s="77"/>
      <c r="O784" s="77"/>
      <c r="P784" s="77"/>
      <c r="Q784" s="77"/>
      <c r="R784" s="77"/>
      <c r="S784" s="77"/>
      <c r="T784" s="77"/>
      <c r="U784" s="77"/>
      <c r="V784" s="77"/>
      <c r="W784" s="77"/>
      <c r="X784" s="77"/>
      <c r="Y784" s="77"/>
      <c r="Z784" s="77"/>
      <c r="AA784" s="77"/>
      <c r="AB784" s="77"/>
      <c r="AC784" s="77"/>
      <c r="AD784" s="227"/>
      <c r="AE784" s="77"/>
      <c r="AF784" s="227"/>
      <c r="AG784" s="77"/>
      <c r="AH784" s="77"/>
      <c r="AI784" s="77"/>
      <c r="AJ784" s="77"/>
      <c r="AK784" s="77"/>
      <c r="AL784" s="77"/>
      <c r="AM784" s="77"/>
      <c r="AN784" s="77"/>
      <c r="AO784" s="77"/>
      <c r="AP784" s="77"/>
      <c r="AQ784" s="77"/>
      <c r="AR784" s="77"/>
      <c r="AS784" s="77"/>
      <c r="AT784" s="77"/>
      <c r="AU784" s="77"/>
      <c r="AV784" s="77"/>
      <c r="AW784" s="77"/>
      <c r="AX784" s="77"/>
      <c r="AY784" s="77"/>
      <c r="AZ784" s="77"/>
      <c r="BA784" s="77"/>
      <c r="BB784" s="77"/>
      <c r="BC784" s="77"/>
      <c r="BD784" s="77"/>
      <c r="BE784" s="77"/>
    </row>
    <row r="785">
      <c r="A785" s="77"/>
      <c r="B785" s="77"/>
      <c r="C785" s="77"/>
      <c r="D785" s="77"/>
      <c r="E785" s="188"/>
      <c r="F785" s="188"/>
      <c r="G785" s="188"/>
      <c r="H785" s="188"/>
      <c r="I785" s="188"/>
      <c r="J785" s="77"/>
      <c r="K785" s="77"/>
      <c r="L785" s="77"/>
      <c r="M785" s="77"/>
      <c r="N785" s="77"/>
      <c r="O785" s="77"/>
      <c r="P785" s="77"/>
      <c r="Q785" s="77"/>
      <c r="R785" s="77"/>
      <c r="S785" s="77"/>
      <c r="T785" s="77"/>
      <c r="U785" s="77"/>
      <c r="V785" s="77"/>
      <c r="W785" s="77"/>
      <c r="X785" s="77"/>
      <c r="Y785" s="77"/>
      <c r="Z785" s="77"/>
      <c r="AA785" s="77"/>
      <c r="AB785" s="77"/>
      <c r="AC785" s="77"/>
      <c r="AD785" s="227"/>
      <c r="AE785" s="77"/>
      <c r="AF785" s="227"/>
      <c r="AG785" s="77"/>
      <c r="AH785" s="77"/>
      <c r="AI785" s="77"/>
      <c r="AJ785" s="77"/>
      <c r="AK785" s="77"/>
      <c r="AL785" s="77"/>
      <c r="AM785" s="77"/>
      <c r="AN785" s="77"/>
      <c r="AO785" s="77"/>
      <c r="AP785" s="77"/>
      <c r="AQ785" s="77"/>
      <c r="AR785" s="77"/>
      <c r="AS785" s="77"/>
      <c r="AT785" s="77"/>
      <c r="AU785" s="77"/>
      <c r="AV785" s="77"/>
      <c r="AW785" s="77"/>
      <c r="AX785" s="77"/>
      <c r="AY785" s="77"/>
      <c r="AZ785" s="77"/>
      <c r="BA785" s="77"/>
      <c r="BB785" s="77"/>
      <c r="BC785" s="77"/>
      <c r="BD785" s="77"/>
      <c r="BE785" s="77"/>
    </row>
    <row r="786">
      <c r="A786" s="77"/>
      <c r="B786" s="77"/>
      <c r="C786" s="77"/>
      <c r="D786" s="77"/>
      <c r="E786" s="188"/>
      <c r="F786" s="188"/>
      <c r="G786" s="188"/>
      <c r="H786" s="188"/>
      <c r="I786" s="188"/>
      <c r="J786" s="77"/>
      <c r="K786" s="77"/>
      <c r="L786" s="77"/>
      <c r="M786" s="77"/>
      <c r="N786" s="77"/>
      <c r="O786" s="77"/>
      <c r="P786" s="77"/>
      <c r="Q786" s="77"/>
      <c r="R786" s="77"/>
      <c r="S786" s="77"/>
      <c r="T786" s="77"/>
      <c r="U786" s="77"/>
      <c r="V786" s="77"/>
      <c r="W786" s="77"/>
      <c r="X786" s="77"/>
      <c r="Y786" s="77"/>
      <c r="Z786" s="77"/>
      <c r="AA786" s="77"/>
      <c r="AB786" s="77"/>
      <c r="AC786" s="77"/>
      <c r="AD786" s="227"/>
      <c r="AE786" s="77"/>
      <c r="AF786" s="227"/>
      <c r="AG786" s="77"/>
      <c r="AH786" s="77"/>
      <c r="AI786" s="77"/>
      <c r="AJ786" s="77"/>
      <c r="AK786" s="77"/>
      <c r="AL786" s="77"/>
      <c r="AM786" s="77"/>
      <c r="AN786" s="77"/>
      <c r="AO786" s="77"/>
      <c r="AP786" s="77"/>
      <c r="AQ786" s="77"/>
      <c r="AR786" s="77"/>
      <c r="AS786" s="77"/>
      <c r="AT786" s="77"/>
      <c r="AU786" s="77"/>
      <c r="AV786" s="77"/>
      <c r="AW786" s="77"/>
      <c r="AX786" s="77"/>
      <c r="AY786" s="77"/>
      <c r="AZ786" s="77"/>
      <c r="BA786" s="77"/>
      <c r="BB786" s="77"/>
      <c r="BC786" s="77"/>
      <c r="BD786" s="77"/>
      <c r="BE786" s="77"/>
    </row>
    <row r="787">
      <c r="A787" s="77"/>
      <c r="B787" s="77"/>
      <c r="C787" s="77"/>
      <c r="D787" s="77"/>
      <c r="E787" s="188"/>
      <c r="F787" s="188"/>
      <c r="G787" s="188"/>
      <c r="H787" s="188"/>
      <c r="I787" s="188"/>
      <c r="J787" s="77"/>
      <c r="K787" s="77"/>
      <c r="L787" s="77"/>
      <c r="M787" s="77"/>
      <c r="N787" s="77"/>
      <c r="O787" s="77"/>
      <c r="P787" s="77"/>
      <c r="Q787" s="77"/>
      <c r="R787" s="77"/>
      <c r="S787" s="77"/>
      <c r="T787" s="77"/>
      <c r="U787" s="77"/>
      <c r="V787" s="77"/>
      <c r="W787" s="77"/>
      <c r="X787" s="77"/>
      <c r="Y787" s="77"/>
      <c r="Z787" s="77"/>
      <c r="AA787" s="77"/>
      <c r="AB787" s="77"/>
      <c r="AC787" s="77"/>
      <c r="AD787" s="227"/>
      <c r="AE787" s="77"/>
      <c r="AF787" s="227"/>
      <c r="AG787" s="77"/>
      <c r="AH787" s="77"/>
      <c r="AI787" s="77"/>
      <c r="AJ787" s="77"/>
      <c r="AK787" s="77"/>
      <c r="AL787" s="77"/>
      <c r="AM787" s="77"/>
      <c r="AN787" s="77"/>
      <c r="AO787" s="77"/>
      <c r="AP787" s="77"/>
      <c r="AQ787" s="77"/>
      <c r="AR787" s="77"/>
      <c r="AS787" s="77"/>
      <c r="AT787" s="77"/>
      <c r="AU787" s="77"/>
      <c r="AV787" s="77"/>
      <c r="AW787" s="77"/>
      <c r="AX787" s="77"/>
      <c r="AY787" s="77"/>
      <c r="AZ787" s="77"/>
      <c r="BA787" s="77"/>
      <c r="BB787" s="77"/>
      <c r="BC787" s="77"/>
      <c r="BD787" s="77"/>
      <c r="BE787" s="77"/>
    </row>
    <row r="788">
      <c r="A788" s="77"/>
      <c r="B788" s="77"/>
      <c r="C788" s="77"/>
      <c r="D788" s="77"/>
      <c r="E788" s="188"/>
      <c r="F788" s="188"/>
      <c r="G788" s="188"/>
      <c r="H788" s="188"/>
      <c r="I788" s="188"/>
      <c r="J788" s="77"/>
      <c r="K788" s="77"/>
      <c r="L788" s="77"/>
      <c r="M788" s="77"/>
      <c r="N788" s="77"/>
      <c r="O788" s="77"/>
      <c r="P788" s="77"/>
      <c r="Q788" s="77"/>
      <c r="R788" s="77"/>
      <c r="S788" s="77"/>
      <c r="T788" s="77"/>
      <c r="U788" s="77"/>
      <c r="V788" s="77"/>
      <c r="W788" s="77"/>
      <c r="X788" s="77"/>
      <c r="Y788" s="77"/>
      <c r="Z788" s="77"/>
      <c r="AA788" s="77"/>
      <c r="AB788" s="77"/>
      <c r="AC788" s="77"/>
      <c r="AD788" s="227"/>
      <c r="AE788" s="77"/>
      <c r="AF788" s="227"/>
      <c r="AG788" s="77"/>
      <c r="AH788" s="77"/>
      <c r="AI788" s="77"/>
      <c r="AJ788" s="77"/>
      <c r="AK788" s="77"/>
      <c r="AL788" s="77"/>
      <c r="AM788" s="77"/>
      <c r="AN788" s="77"/>
      <c r="AO788" s="77"/>
      <c r="AP788" s="77"/>
      <c r="AQ788" s="77"/>
      <c r="AR788" s="77"/>
      <c r="AS788" s="77"/>
      <c r="AT788" s="77"/>
      <c r="AU788" s="77"/>
      <c r="AV788" s="77"/>
      <c r="AW788" s="77"/>
      <c r="AX788" s="77"/>
      <c r="AY788" s="77"/>
      <c r="AZ788" s="77"/>
      <c r="BA788" s="77"/>
      <c r="BB788" s="77"/>
      <c r="BC788" s="77"/>
      <c r="BD788" s="77"/>
      <c r="BE788" s="77"/>
    </row>
    <row r="789">
      <c r="A789" s="77"/>
      <c r="B789" s="77"/>
      <c r="C789" s="77"/>
      <c r="D789" s="77"/>
      <c r="E789" s="188"/>
      <c r="F789" s="188"/>
      <c r="G789" s="188"/>
      <c r="H789" s="188"/>
      <c r="I789" s="188"/>
      <c r="J789" s="77"/>
      <c r="K789" s="77"/>
      <c r="L789" s="77"/>
      <c r="M789" s="77"/>
      <c r="N789" s="77"/>
      <c r="O789" s="77"/>
      <c r="P789" s="77"/>
      <c r="Q789" s="77"/>
      <c r="R789" s="77"/>
      <c r="S789" s="77"/>
      <c r="T789" s="77"/>
      <c r="U789" s="77"/>
      <c r="V789" s="77"/>
      <c r="W789" s="77"/>
      <c r="X789" s="77"/>
      <c r="Y789" s="77"/>
      <c r="Z789" s="77"/>
      <c r="AA789" s="77"/>
      <c r="AB789" s="77"/>
      <c r="AC789" s="77"/>
      <c r="AD789" s="227"/>
      <c r="AE789" s="77"/>
      <c r="AF789" s="227"/>
      <c r="AG789" s="77"/>
      <c r="AH789" s="77"/>
      <c r="AI789" s="77"/>
      <c r="AJ789" s="77"/>
      <c r="AK789" s="77"/>
      <c r="AL789" s="77"/>
      <c r="AM789" s="77"/>
      <c r="AN789" s="77"/>
      <c r="AO789" s="77"/>
      <c r="AP789" s="77"/>
      <c r="AQ789" s="77"/>
      <c r="AR789" s="77"/>
      <c r="AS789" s="77"/>
      <c r="AT789" s="77"/>
      <c r="AU789" s="77"/>
      <c r="AV789" s="77"/>
      <c r="AW789" s="77"/>
      <c r="AX789" s="77"/>
      <c r="AY789" s="77"/>
      <c r="AZ789" s="77"/>
      <c r="BA789" s="77"/>
      <c r="BB789" s="77"/>
      <c r="BC789" s="77"/>
      <c r="BD789" s="77"/>
      <c r="BE789" s="77"/>
    </row>
    <row r="790">
      <c r="A790" s="77"/>
      <c r="B790" s="77"/>
      <c r="C790" s="77"/>
      <c r="D790" s="77"/>
      <c r="E790" s="188"/>
      <c r="F790" s="188"/>
      <c r="G790" s="188"/>
      <c r="H790" s="188"/>
      <c r="I790" s="188"/>
      <c r="J790" s="77"/>
      <c r="K790" s="77"/>
      <c r="L790" s="77"/>
      <c r="M790" s="77"/>
      <c r="N790" s="77"/>
      <c r="O790" s="77"/>
      <c r="P790" s="77"/>
      <c r="Q790" s="77"/>
      <c r="R790" s="77"/>
      <c r="S790" s="77"/>
      <c r="T790" s="77"/>
      <c r="U790" s="77"/>
      <c r="V790" s="77"/>
      <c r="W790" s="77"/>
      <c r="X790" s="77"/>
      <c r="Y790" s="77"/>
      <c r="Z790" s="77"/>
      <c r="AA790" s="77"/>
      <c r="AB790" s="77"/>
      <c r="AC790" s="77"/>
      <c r="AD790" s="227"/>
      <c r="AE790" s="77"/>
      <c r="AF790" s="227"/>
      <c r="AG790" s="77"/>
      <c r="AH790" s="77"/>
      <c r="AI790" s="77"/>
      <c r="AJ790" s="77"/>
      <c r="AK790" s="77"/>
      <c r="AL790" s="77"/>
      <c r="AM790" s="77"/>
      <c r="AN790" s="77"/>
      <c r="AO790" s="77"/>
      <c r="AP790" s="77"/>
      <c r="AQ790" s="77"/>
      <c r="AR790" s="77"/>
      <c r="AS790" s="77"/>
      <c r="AT790" s="77"/>
      <c r="AU790" s="77"/>
      <c r="AV790" s="77"/>
      <c r="AW790" s="77"/>
      <c r="AX790" s="77"/>
      <c r="AY790" s="77"/>
      <c r="AZ790" s="77"/>
      <c r="BA790" s="77"/>
      <c r="BB790" s="77"/>
      <c r="BC790" s="77"/>
      <c r="BD790" s="77"/>
      <c r="BE790" s="77"/>
    </row>
    <row r="791">
      <c r="A791" s="77"/>
      <c r="B791" s="77"/>
      <c r="C791" s="77"/>
      <c r="D791" s="77"/>
      <c r="E791" s="188"/>
      <c r="F791" s="188"/>
      <c r="G791" s="188"/>
      <c r="H791" s="188"/>
      <c r="I791" s="188"/>
      <c r="J791" s="77"/>
      <c r="K791" s="77"/>
      <c r="L791" s="77"/>
      <c r="M791" s="77"/>
      <c r="N791" s="77"/>
      <c r="O791" s="77"/>
      <c r="P791" s="77"/>
      <c r="Q791" s="77"/>
      <c r="R791" s="77"/>
      <c r="S791" s="77"/>
      <c r="T791" s="77"/>
      <c r="U791" s="77"/>
      <c r="V791" s="77"/>
      <c r="W791" s="77"/>
      <c r="X791" s="77"/>
      <c r="Y791" s="77"/>
      <c r="Z791" s="77"/>
      <c r="AA791" s="77"/>
      <c r="AB791" s="77"/>
      <c r="AC791" s="77"/>
      <c r="AD791" s="227"/>
      <c r="AE791" s="77"/>
      <c r="AF791" s="227"/>
      <c r="AG791" s="77"/>
      <c r="AH791" s="77"/>
      <c r="AI791" s="77"/>
      <c r="AJ791" s="77"/>
      <c r="AK791" s="77"/>
      <c r="AL791" s="77"/>
      <c r="AM791" s="77"/>
      <c r="AN791" s="77"/>
      <c r="AO791" s="77"/>
      <c r="AP791" s="77"/>
      <c r="AQ791" s="77"/>
      <c r="AR791" s="77"/>
      <c r="AS791" s="77"/>
      <c r="AT791" s="77"/>
      <c r="AU791" s="77"/>
      <c r="AV791" s="77"/>
      <c r="AW791" s="77"/>
      <c r="AX791" s="77"/>
      <c r="AY791" s="77"/>
      <c r="AZ791" s="77"/>
      <c r="BA791" s="77"/>
      <c r="BB791" s="77"/>
      <c r="BC791" s="77"/>
      <c r="BD791" s="77"/>
      <c r="BE791" s="77"/>
    </row>
    <row r="792">
      <c r="A792" s="77"/>
      <c r="B792" s="77"/>
      <c r="C792" s="77"/>
      <c r="D792" s="77"/>
      <c r="E792" s="188"/>
      <c r="F792" s="188"/>
      <c r="G792" s="188"/>
      <c r="H792" s="188"/>
      <c r="I792" s="188"/>
      <c r="J792" s="77"/>
      <c r="K792" s="77"/>
      <c r="L792" s="77"/>
      <c r="M792" s="77"/>
      <c r="N792" s="77"/>
      <c r="O792" s="77"/>
      <c r="P792" s="77"/>
      <c r="Q792" s="77"/>
      <c r="R792" s="77"/>
      <c r="S792" s="77"/>
      <c r="T792" s="77"/>
      <c r="U792" s="77"/>
      <c r="V792" s="77"/>
      <c r="W792" s="77"/>
      <c r="X792" s="77"/>
      <c r="Y792" s="77"/>
      <c r="Z792" s="77"/>
      <c r="AA792" s="77"/>
      <c r="AB792" s="77"/>
      <c r="AC792" s="77"/>
      <c r="AD792" s="227"/>
      <c r="AE792" s="77"/>
      <c r="AF792" s="227"/>
      <c r="AG792" s="77"/>
      <c r="AH792" s="77"/>
      <c r="AI792" s="77"/>
      <c r="AJ792" s="77"/>
      <c r="AK792" s="77"/>
      <c r="AL792" s="77"/>
      <c r="AM792" s="77"/>
      <c r="AN792" s="77"/>
      <c r="AO792" s="77"/>
      <c r="AP792" s="77"/>
      <c r="AQ792" s="77"/>
      <c r="AR792" s="77"/>
      <c r="AS792" s="77"/>
      <c r="AT792" s="77"/>
      <c r="AU792" s="77"/>
      <c r="AV792" s="77"/>
      <c r="AW792" s="77"/>
      <c r="AX792" s="77"/>
      <c r="AY792" s="77"/>
      <c r="AZ792" s="77"/>
      <c r="BA792" s="77"/>
      <c r="BB792" s="77"/>
      <c r="BC792" s="77"/>
      <c r="BD792" s="77"/>
      <c r="BE792" s="77"/>
    </row>
    <row r="793">
      <c r="A793" s="77"/>
      <c r="B793" s="77"/>
      <c r="C793" s="77"/>
      <c r="D793" s="77"/>
      <c r="E793" s="188"/>
      <c r="F793" s="188"/>
      <c r="G793" s="188"/>
      <c r="H793" s="188"/>
      <c r="I793" s="188"/>
      <c r="J793" s="77"/>
      <c r="K793" s="77"/>
      <c r="L793" s="77"/>
      <c r="M793" s="77"/>
      <c r="N793" s="77"/>
      <c r="O793" s="77"/>
      <c r="P793" s="77"/>
      <c r="Q793" s="77"/>
      <c r="R793" s="77"/>
      <c r="S793" s="77"/>
      <c r="T793" s="77"/>
      <c r="U793" s="77"/>
      <c r="V793" s="77"/>
      <c r="W793" s="77"/>
      <c r="X793" s="77"/>
      <c r="Y793" s="77"/>
      <c r="Z793" s="77"/>
      <c r="AA793" s="77"/>
      <c r="AB793" s="77"/>
      <c r="AC793" s="77"/>
      <c r="AD793" s="227"/>
      <c r="AE793" s="77"/>
      <c r="AF793" s="227"/>
      <c r="AG793" s="77"/>
      <c r="AH793" s="77"/>
      <c r="AI793" s="77"/>
      <c r="AJ793" s="77"/>
      <c r="AK793" s="77"/>
      <c r="AL793" s="77"/>
      <c r="AM793" s="77"/>
      <c r="AN793" s="77"/>
      <c r="AO793" s="77"/>
      <c r="AP793" s="77"/>
      <c r="AQ793" s="77"/>
      <c r="AR793" s="77"/>
      <c r="AS793" s="77"/>
      <c r="AT793" s="77"/>
      <c r="AU793" s="77"/>
      <c r="AV793" s="77"/>
      <c r="AW793" s="77"/>
      <c r="AX793" s="77"/>
      <c r="AY793" s="77"/>
      <c r="AZ793" s="77"/>
      <c r="BA793" s="77"/>
      <c r="BB793" s="77"/>
      <c r="BC793" s="77"/>
      <c r="BD793" s="77"/>
      <c r="BE793" s="77"/>
    </row>
    <row r="794">
      <c r="A794" s="77"/>
      <c r="B794" s="77"/>
      <c r="C794" s="77"/>
      <c r="D794" s="77"/>
      <c r="E794" s="188"/>
      <c r="F794" s="188"/>
      <c r="G794" s="188"/>
      <c r="H794" s="188"/>
      <c r="I794" s="188"/>
      <c r="J794" s="77"/>
      <c r="K794" s="77"/>
      <c r="L794" s="77"/>
      <c r="M794" s="77"/>
      <c r="N794" s="77"/>
      <c r="O794" s="77"/>
      <c r="P794" s="77"/>
      <c r="Q794" s="77"/>
      <c r="R794" s="77"/>
      <c r="S794" s="77"/>
      <c r="T794" s="77"/>
      <c r="U794" s="77"/>
      <c r="V794" s="77"/>
      <c r="W794" s="77"/>
      <c r="X794" s="77"/>
      <c r="Y794" s="77"/>
      <c r="Z794" s="77"/>
      <c r="AA794" s="77"/>
      <c r="AB794" s="77"/>
      <c r="AC794" s="77"/>
      <c r="AD794" s="227"/>
      <c r="AE794" s="77"/>
      <c r="AF794" s="227"/>
      <c r="AG794" s="77"/>
      <c r="AH794" s="77"/>
      <c r="AI794" s="77"/>
      <c r="AJ794" s="77"/>
      <c r="AK794" s="77"/>
      <c r="AL794" s="77"/>
      <c r="AM794" s="77"/>
      <c r="AN794" s="77"/>
      <c r="AO794" s="77"/>
      <c r="AP794" s="77"/>
      <c r="AQ794" s="77"/>
      <c r="AR794" s="77"/>
      <c r="AS794" s="77"/>
      <c r="AT794" s="77"/>
      <c r="AU794" s="77"/>
      <c r="AV794" s="77"/>
      <c r="AW794" s="77"/>
      <c r="AX794" s="77"/>
      <c r="AY794" s="77"/>
      <c r="AZ794" s="77"/>
      <c r="BA794" s="77"/>
      <c r="BB794" s="77"/>
      <c r="BC794" s="77"/>
      <c r="BD794" s="77"/>
      <c r="BE794" s="77"/>
    </row>
    <row r="795">
      <c r="A795" s="77"/>
      <c r="B795" s="77"/>
      <c r="C795" s="77"/>
      <c r="D795" s="77"/>
      <c r="E795" s="188"/>
      <c r="F795" s="188"/>
      <c r="G795" s="188"/>
      <c r="H795" s="188"/>
      <c r="I795" s="188"/>
      <c r="J795" s="77"/>
      <c r="K795" s="77"/>
      <c r="L795" s="77"/>
      <c r="M795" s="77"/>
      <c r="N795" s="77"/>
      <c r="O795" s="77"/>
      <c r="P795" s="77"/>
      <c r="Q795" s="77"/>
      <c r="R795" s="77"/>
      <c r="S795" s="77"/>
      <c r="T795" s="77"/>
      <c r="U795" s="77"/>
      <c r="V795" s="77"/>
      <c r="W795" s="77"/>
      <c r="X795" s="77"/>
      <c r="Y795" s="77"/>
      <c r="Z795" s="77"/>
      <c r="AA795" s="77"/>
      <c r="AB795" s="77"/>
      <c r="AC795" s="77"/>
      <c r="AD795" s="227"/>
      <c r="AE795" s="77"/>
      <c r="AF795" s="227"/>
      <c r="AG795" s="77"/>
      <c r="AH795" s="77"/>
      <c r="AI795" s="77"/>
      <c r="AJ795" s="77"/>
      <c r="AK795" s="77"/>
      <c r="AL795" s="77"/>
      <c r="AM795" s="77"/>
      <c r="AN795" s="77"/>
      <c r="AO795" s="77"/>
      <c r="AP795" s="77"/>
      <c r="AQ795" s="77"/>
      <c r="AR795" s="77"/>
      <c r="AS795" s="77"/>
      <c r="AT795" s="77"/>
      <c r="AU795" s="77"/>
      <c r="AV795" s="77"/>
      <c r="AW795" s="77"/>
      <c r="AX795" s="77"/>
      <c r="AY795" s="77"/>
      <c r="AZ795" s="77"/>
      <c r="BA795" s="77"/>
      <c r="BB795" s="77"/>
      <c r="BC795" s="77"/>
      <c r="BD795" s="77"/>
      <c r="BE795" s="77"/>
    </row>
    <row r="796">
      <c r="A796" s="77"/>
      <c r="B796" s="77"/>
      <c r="C796" s="77"/>
      <c r="D796" s="77"/>
      <c r="E796" s="188"/>
      <c r="F796" s="188"/>
      <c r="G796" s="188"/>
      <c r="H796" s="188"/>
      <c r="I796" s="188"/>
      <c r="J796" s="77"/>
      <c r="K796" s="77"/>
      <c r="L796" s="77"/>
      <c r="M796" s="77"/>
      <c r="N796" s="77"/>
      <c r="O796" s="77"/>
      <c r="P796" s="77"/>
      <c r="Q796" s="77"/>
      <c r="R796" s="77"/>
      <c r="S796" s="77"/>
      <c r="T796" s="77"/>
      <c r="U796" s="77"/>
      <c r="V796" s="77"/>
      <c r="W796" s="77"/>
      <c r="X796" s="77"/>
      <c r="Y796" s="77"/>
      <c r="Z796" s="77"/>
      <c r="AA796" s="77"/>
      <c r="AB796" s="77"/>
      <c r="AC796" s="77"/>
      <c r="AD796" s="227"/>
      <c r="AE796" s="77"/>
      <c r="AF796" s="227"/>
      <c r="AG796" s="77"/>
      <c r="AH796" s="77"/>
      <c r="AI796" s="77"/>
      <c r="AJ796" s="77"/>
      <c r="AK796" s="77"/>
      <c r="AL796" s="77"/>
      <c r="AM796" s="77"/>
      <c r="AN796" s="77"/>
      <c r="AO796" s="77"/>
      <c r="AP796" s="77"/>
      <c r="AQ796" s="77"/>
      <c r="AR796" s="77"/>
      <c r="AS796" s="77"/>
      <c r="AT796" s="77"/>
      <c r="AU796" s="77"/>
      <c r="AV796" s="77"/>
      <c r="AW796" s="77"/>
      <c r="AX796" s="77"/>
      <c r="AY796" s="77"/>
      <c r="AZ796" s="77"/>
      <c r="BA796" s="77"/>
      <c r="BB796" s="77"/>
      <c r="BC796" s="77"/>
      <c r="BD796" s="77"/>
      <c r="BE796" s="77"/>
    </row>
    <row r="797">
      <c r="A797" s="77"/>
      <c r="B797" s="77"/>
      <c r="C797" s="77"/>
      <c r="D797" s="77"/>
      <c r="E797" s="188"/>
      <c r="F797" s="188"/>
      <c r="G797" s="188"/>
      <c r="H797" s="188"/>
      <c r="I797" s="188"/>
      <c r="J797" s="77"/>
      <c r="K797" s="77"/>
      <c r="L797" s="77"/>
      <c r="M797" s="77"/>
      <c r="N797" s="77"/>
      <c r="O797" s="77"/>
      <c r="P797" s="77"/>
      <c r="Q797" s="77"/>
      <c r="R797" s="77"/>
      <c r="S797" s="77"/>
      <c r="T797" s="77"/>
      <c r="U797" s="77"/>
      <c r="V797" s="77"/>
      <c r="W797" s="77"/>
      <c r="X797" s="77"/>
      <c r="Y797" s="77"/>
      <c r="Z797" s="77"/>
      <c r="AA797" s="77"/>
      <c r="AB797" s="77"/>
      <c r="AC797" s="77"/>
      <c r="AD797" s="227"/>
      <c r="AE797" s="77"/>
      <c r="AF797" s="227"/>
      <c r="AG797" s="77"/>
      <c r="AH797" s="77"/>
      <c r="AI797" s="77"/>
      <c r="AJ797" s="77"/>
      <c r="AK797" s="77"/>
      <c r="AL797" s="77"/>
      <c r="AM797" s="77"/>
      <c r="AN797" s="77"/>
      <c r="AO797" s="77"/>
      <c r="AP797" s="77"/>
      <c r="AQ797" s="77"/>
      <c r="AR797" s="77"/>
      <c r="AS797" s="77"/>
      <c r="AT797" s="77"/>
      <c r="AU797" s="77"/>
      <c r="AV797" s="77"/>
      <c r="AW797" s="77"/>
      <c r="AX797" s="77"/>
      <c r="AY797" s="77"/>
      <c r="AZ797" s="77"/>
      <c r="BA797" s="77"/>
      <c r="BB797" s="77"/>
      <c r="BC797" s="77"/>
      <c r="BD797" s="77"/>
      <c r="BE797" s="77"/>
    </row>
    <row r="798">
      <c r="A798" s="77"/>
      <c r="B798" s="77"/>
      <c r="C798" s="77"/>
      <c r="D798" s="77"/>
      <c r="E798" s="188"/>
      <c r="F798" s="188"/>
      <c r="G798" s="188"/>
      <c r="H798" s="188"/>
      <c r="I798" s="188"/>
      <c r="J798" s="77"/>
      <c r="K798" s="77"/>
      <c r="L798" s="77"/>
      <c r="M798" s="77"/>
      <c r="N798" s="77"/>
      <c r="O798" s="77"/>
      <c r="P798" s="77"/>
      <c r="Q798" s="77"/>
      <c r="R798" s="77"/>
      <c r="S798" s="77"/>
      <c r="T798" s="77"/>
      <c r="U798" s="77"/>
      <c r="V798" s="77"/>
      <c r="W798" s="77"/>
      <c r="X798" s="77"/>
      <c r="Y798" s="77"/>
      <c r="Z798" s="77"/>
      <c r="AA798" s="77"/>
      <c r="AB798" s="77"/>
      <c r="AC798" s="77"/>
      <c r="AD798" s="227"/>
      <c r="AE798" s="77"/>
      <c r="AF798" s="227"/>
      <c r="AG798" s="77"/>
      <c r="AH798" s="77"/>
      <c r="AI798" s="77"/>
      <c r="AJ798" s="77"/>
      <c r="AK798" s="77"/>
      <c r="AL798" s="77"/>
      <c r="AM798" s="77"/>
      <c r="AN798" s="77"/>
      <c r="AO798" s="77"/>
      <c r="AP798" s="77"/>
      <c r="AQ798" s="77"/>
      <c r="AR798" s="77"/>
      <c r="AS798" s="77"/>
      <c r="AT798" s="77"/>
      <c r="AU798" s="77"/>
      <c r="AV798" s="77"/>
      <c r="AW798" s="77"/>
      <c r="AX798" s="77"/>
      <c r="AY798" s="77"/>
      <c r="AZ798" s="77"/>
      <c r="BA798" s="77"/>
      <c r="BB798" s="77"/>
      <c r="BC798" s="77"/>
      <c r="BD798" s="77"/>
      <c r="BE798" s="77"/>
    </row>
    <row r="799">
      <c r="A799" s="77"/>
      <c r="B799" s="77"/>
      <c r="C799" s="77"/>
      <c r="D799" s="77"/>
      <c r="E799" s="188"/>
      <c r="F799" s="188"/>
      <c r="G799" s="188"/>
      <c r="H799" s="188"/>
      <c r="I799" s="188"/>
      <c r="J799" s="77"/>
      <c r="K799" s="77"/>
      <c r="L799" s="77"/>
      <c r="M799" s="77"/>
      <c r="N799" s="77"/>
      <c r="O799" s="77"/>
      <c r="P799" s="77"/>
      <c r="Q799" s="77"/>
      <c r="R799" s="77"/>
      <c r="S799" s="77"/>
      <c r="T799" s="77"/>
      <c r="U799" s="77"/>
      <c r="V799" s="77"/>
      <c r="W799" s="77"/>
      <c r="X799" s="77"/>
      <c r="Y799" s="77"/>
      <c r="Z799" s="77"/>
      <c r="AA799" s="77"/>
      <c r="AB799" s="77"/>
      <c r="AC799" s="77"/>
      <c r="AD799" s="227"/>
      <c r="AE799" s="77"/>
      <c r="AF799" s="227"/>
      <c r="AG799" s="77"/>
      <c r="AH799" s="77"/>
      <c r="AI799" s="77"/>
      <c r="AJ799" s="77"/>
      <c r="AK799" s="77"/>
      <c r="AL799" s="77"/>
      <c r="AM799" s="77"/>
      <c r="AN799" s="77"/>
      <c r="AO799" s="77"/>
      <c r="AP799" s="77"/>
      <c r="AQ799" s="77"/>
      <c r="AR799" s="77"/>
      <c r="AS799" s="77"/>
      <c r="AT799" s="77"/>
      <c r="AU799" s="77"/>
      <c r="AV799" s="77"/>
      <c r="AW799" s="77"/>
      <c r="AX799" s="77"/>
      <c r="AY799" s="77"/>
      <c r="AZ799" s="77"/>
      <c r="BA799" s="77"/>
      <c r="BB799" s="77"/>
      <c r="BC799" s="77"/>
      <c r="BD799" s="77"/>
      <c r="BE799" s="77"/>
    </row>
    <row r="800">
      <c r="A800" s="77"/>
      <c r="B800" s="77"/>
      <c r="C800" s="77"/>
      <c r="D800" s="77"/>
      <c r="E800" s="188"/>
      <c r="F800" s="188"/>
      <c r="G800" s="188"/>
      <c r="H800" s="188"/>
      <c r="I800" s="188"/>
      <c r="J800" s="77"/>
      <c r="K800" s="77"/>
      <c r="L800" s="77"/>
      <c r="M800" s="77"/>
      <c r="N800" s="77"/>
      <c r="O800" s="77"/>
      <c r="P800" s="77"/>
      <c r="Q800" s="77"/>
      <c r="R800" s="77"/>
      <c r="S800" s="77"/>
      <c r="T800" s="77"/>
      <c r="U800" s="77"/>
      <c r="V800" s="77"/>
      <c r="W800" s="77"/>
      <c r="X800" s="77"/>
      <c r="Y800" s="77"/>
      <c r="Z800" s="77"/>
      <c r="AA800" s="77"/>
      <c r="AB800" s="77"/>
      <c r="AC800" s="77"/>
      <c r="AD800" s="227"/>
      <c r="AE800" s="77"/>
      <c r="AF800" s="227"/>
      <c r="AG800" s="77"/>
      <c r="AH800" s="77"/>
      <c r="AI800" s="77"/>
      <c r="AJ800" s="77"/>
      <c r="AK800" s="77"/>
      <c r="AL800" s="77"/>
      <c r="AM800" s="77"/>
      <c r="AN800" s="77"/>
      <c r="AO800" s="77"/>
      <c r="AP800" s="77"/>
      <c r="AQ800" s="77"/>
      <c r="AR800" s="77"/>
      <c r="AS800" s="77"/>
      <c r="AT800" s="77"/>
      <c r="AU800" s="77"/>
      <c r="AV800" s="77"/>
      <c r="AW800" s="77"/>
      <c r="AX800" s="77"/>
      <c r="AY800" s="77"/>
      <c r="AZ800" s="77"/>
      <c r="BA800" s="77"/>
      <c r="BB800" s="77"/>
      <c r="BC800" s="77"/>
      <c r="BD800" s="77"/>
      <c r="BE800" s="77"/>
    </row>
    <row r="801">
      <c r="A801" s="77"/>
      <c r="B801" s="77"/>
      <c r="C801" s="77"/>
      <c r="D801" s="77"/>
      <c r="E801" s="188"/>
      <c r="F801" s="188"/>
      <c r="G801" s="188"/>
      <c r="H801" s="188"/>
      <c r="I801" s="188"/>
      <c r="J801" s="77"/>
      <c r="K801" s="77"/>
      <c r="L801" s="77"/>
      <c r="M801" s="77"/>
      <c r="N801" s="77"/>
      <c r="O801" s="77"/>
      <c r="P801" s="77"/>
      <c r="Q801" s="77"/>
      <c r="R801" s="77"/>
      <c r="S801" s="77"/>
      <c r="T801" s="77"/>
      <c r="U801" s="77"/>
      <c r="V801" s="77"/>
      <c r="W801" s="77"/>
      <c r="X801" s="77"/>
      <c r="Y801" s="77"/>
      <c r="Z801" s="77"/>
      <c r="AA801" s="77"/>
      <c r="AB801" s="77"/>
      <c r="AC801" s="77"/>
      <c r="AD801" s="227"/>
      <c r="AE801" s="77"/>
      <c r="AF801" s="227"/>
      <c r="AG801" s="77"/>
      <c r="AH801" s="77"/>
      <c r="AI801" s="77"/>
      <c r="AJ801" s="77"/>
      <c r="AK801" s="77"/>
      <c r="AL801" s="77"/>
      <c r="AM801" s="77"/>
      <c r="AN801" s="77"/>
      <c r="AO801" s="77"/>
      <c r="AP801" s="77"/>
      <c r="AQ801" s="77"/>
      <c r="AR801" s="77"/>
      <c r="AS801" s="77"/>
      <c r="AT801" s="77"/>
      <c r="AU801" s="77"/>
      <c r="AV801" s="77"/>
      <c r="AW801" s="77"/>
      <c r="AX801" s="77"/>
      <c r="AY801" s="77"/>
      <c r="AZ801" s="77"/>
      <c r="BA801" s="77"/>
      <c r="BB801" s="77"/>
      <c r="BC801" s="77"/>
      <c r="BD801" s="77"/>
      <c r="BE801" s="77"/>
    </row>
    <row r="802">
      <c r="A802" s="77"/>
      <c r="B802" s="77"/>
      <c r="C802" s="77"/>
      <c r="D802" s="77"/>
      <c r="E802" s="188"/>
      <c r="F802" s="188"/>
      <c r="G802" s="188"/>
      <c r="H802" s="188"/>
      <c r="I802" s="188"/>
      <c r="J802" s="77"/>
      <c r="K802" s="77"/>
      <c r="L802" s="77"/>
      <c r="M802" s="77"/>
      <c r="N802" s="77"/>
      <c r="O802" s="77"/>
      <c r="P802" s="77"/>
      <c r="Q802" s="77"/>
      <c r="R802" s="77"/>
      <c r="S802" s="77"/>
      <c r="T802" s="77"/>
      <c r="U802" s="77"/>
      <c r="V802" s="77"/>
      <c r="W802" s="77"/>
      <c r="X802" s="77"/>
      <c r="Y802" s="77"/>
      <c r="Z802" s="77"/>
      <c r="AA802" s="77"/>
      <c r="AB802" s="77"/>
      <c r="AC802" s="77"/>
      <c r="AD802" s="227"/>
      <c r="AE802" s="77"/>
      <c r="AF802" s="227"/>
      <c r="AG802" s="77"/>
      <c r="AH802" s="77"/>
      <c r="AI802" s="77"/>
      <c r="AJ802" s="77"/>
      <c r="AK802" s="77"/>
      <c r="AL802" s="77"/>
      <c r="AM802" s="77"/>
      <c r="AN802" s="77"/>
      <c r="AO802" s="77"/>
      <c r="AP802" s="77"/>
      <c r="AQ802" s="77"/>
      <c r="AR802" s="77"/>
      <c r="AS802" s="77"/>
      <c r="AT802" s="77"/>
      <c r="AU802" s="77"/>
      <c r="AV802" s="77"/>
      <c r="AW802" s="77"/>
      <c r="AX802" s="77"/>
      <c r="AY802" s="77"/>
      <c r="AZ802" s="77"/>
      <c r="BA802" s="77"/>
      <c r="BB802" s="77"/>
      <c r="BC802" s="77"/>
      <c r="BD802" s="77"/>
      <c r="BE802" s="77"/>
    </row>
    <row r="803">
      <c r="A803" s="77"/>
      <c r="B803" s="77"/>
      <c r="C803" s="77"/>
      <c r="D803" s="77"/>
      <c r="E803" s="188"/>
      <c r="F803" s="188"/>
      <c r="G803" s="188"/>
      <c r="H803" s="188"/>
      <c r="I803" s="188"/>
      <c r="J803" s="77"/>
      <c r="K803" s="77"/>
      <c r="L803" s="77"/>
      <c r="M803" s="77"/>
      <c r="N803" s="77"/>
      <c r="O803" s="77"/>
      <c r="P803" s="77"/>
      <c r="Q803" s="77"/>
      <c r="R803" s="77"/>
      <c r="S803" s="77"/>
      <c r="T803" s="77"/>
      <c r="U803" s="77"/>
      <c r="V803" s="77"/>
      <c r="W803" s="77"/>
      <c r="X803" s="77"/>
      <c r="Y803" s="77"/>
      <c r="Z803" s="77"/>
      <c r="AA803" s="77"/>
      <c r="AB803" s="77"/>
      <c r="AC803" s="77"/>
      <c r="AD803" s="227"/>
      <c r="AE803" s="77"/>
      <c r="AF803" s="227"/>
      <c r="AG803" s="77"/>
      <c r="AH803" s="77"/>
      <c r="AI803" s="77"/>
      <c r="AJ803" s="77"/>
      <c r="AK803" s="77"/>
      <c r="AL803" s="77"/>
      <c r="AM803" s="77"/>
      <c r="AN803" s="77"/>
      <c r="AO803" s="77"/>
      <c r="AP803" s="77"/>
      <c r="AQ803" s="77"/>
      <c r="AR803" s="77"/>
      <c r="AS803" s="77"/>
      <c r="AT803" s="77"/>
      <c r="AU803" s="77"/>
      <c r="AV803" s="77"/>
      <c r="AW803" s="77"/>
      <c r="AX803" s="77"/>
      <c r="AY803" s="77"/>
      <c r="AZ803" s="77"/>
      <c r="BA803" s="77"/>
      <c r="BB803" s="77"/>
      <c r="BC803" s="77"/>
      <c r="BD803" s="77"/>
      <c r="BE803" s="77"/>
    </row>
    <row r="804">
      <c r="A804" s="77"/>
      <c r="B804" s="77"/>
      <c r="C804" s="77"/>
      <c r="D804" s="77"/>
      <c r="E804" s="188"/>
      <c r="F804" s="188"/>
      <c r="G804" s="188"/>
      <c r="H804" s="188"/>
      <c r="I804" s="188"/>
      <c r="J804" s="77"/>
      <c r="K804" s="77"/>
      <c r="L804" s="77"/>
      <c r="M804" s="77"/>
      <c r="N804" s="77"/>
      <c r="O804" s="77"/>
      <c r="P804" s="77"/>
      <c r="Q804" s="77"/>
      <c r="R804" s="77"/>
      <c r="S804" s="77"/>
      <c r="T804" s="77"/>
      <c r="U804" s="77"/>
      <c r="V804" s="77"/>
      <c r="W804" s="77"/>
      <c r="X804" s="77"/>
      <c r="Y804" s="77"/>
      <c r="Z804" s="77"/>
      <c r="AA804" s="77"/>
      <c r="AB804" s="77"/>
      <c r="AC804" s="77"/>
      <c r="AD804" s="227"/>
      <c r="AE804" s="77"/>
      <c r="AF804" s="227"/>
      <c r="AG804" s="77"/>
      <c r="AH804" s="77"/>
      <c r="AI804" s="77"/>
      <c r="AJ804" s="77"/>
      <c r="AK804" s="77"/>
      <c r="AL804" s="77"/>
      <c r="AM804" s="77"/>
      <c r="AN804" s="77"/>
      <c r="AO804" s="77"/>
      <c r="AP804" s="77"/>
      <c r="AQ804" s="77"/>
      <c r="AR804" s="77"/>
      <c r="AS804" s="77"/>
      <c r="AT804" s="77"/>
      <c r="AU804" s="77"/>
      <c r="AV804" s="77"/>
      <c r="AW804" s="77"/>
      <c r="AX804" s="77"/>
      <c r="AY804" s="77"/>
      <c r="AZ804" s="77"/>
      <c r="BA804" s="77"/>
      <c r="BB804" s="77"/>
      <c r="BC804" s="77"/>
      <c r="BD804" s="77"/>
      <c r="BE804" s="77"/>
    </row>
    <row r="805">
      <c r="A805" s="77"/>
      <c r="B805" s="77"/>
      <c r="C805" s="77"/>
      <c r="D805" s="77"/>
      <c r="E805" s="188"/>
      <c r="F805" s="188"/>
      <c r="G805" s="188"/>
      <c r="H805" s="188"/>
      <c r="I805" s="188"/>
      <c r="J805" s="77"/>
      <c r="K805" s="77"/>
      <c r="L805" s="77"/>
      <c r="M805" s="77"/>
      <c r="N805" s="77"/>
      <c r="O805" s="77"/>
      <c r="P805" s="77"/>
      <c r="Q805" s="77"/>
      <c r="R805" s="77"/>
      <c r="S805" s="77"/>
      <c r="T805" s="77"/>
      <c r="U805" s="77"/>
      <c r="V805" s="77"/>
      <c r="W805" s="77"/>
      <c r="X805" s="77"/>
      <c r="Y805" s="77"/>
      <c r="Z805" s="77"/>
      <c r="AA805" s="77"/>
      <c r="AB805" s="77"/>
      <c r="AC805" s="77"/>
      <c r="AD805" s="227"/>
      <c r="AE805" s="77"/>
      <c r="AF805" s="227"/>
      <c r="AG805" s="77"/>
      <c r="AH805" s="77"/>
      <c r="AI805" s="77"/>
      <c r="AJ805" s="77"/>
      <c r="AK805" s="77"/>
      <c r="AL805" s="77"/>
      <c r="AM805" s="77"/>
      <c r="AN805" s="77"/>
      <c r="AO805" s="77"/>
      <c r="AP805" s="77"/>
      <c r="AQ805" s="77"/>
      <c r="AR805" s="77"/>
      <c r="AS805" s="77"/>
      <c r="AT805" s="77"/>
      <c r="AU805" s="77"/>
      <c r="AV805" s="77"/>
      <c r="AW805" s="77"/>
      <c r="AX805" s="77"/>
      <c r="AY805" s="77"/>
      <c r="AZ805" s="77"/>
      <c r="BA805" s="77"/>
      <c r="BB805" s="77"/>
      <c r="BC805" s="77"/>
      <c r="BD805" s="77"/>
      <c r="BE805" s="77"/>
    </row>
    <row r="806">
      <c r="A806" s="77"/>
      <c r="B806" s="77"/>
      <c r="C806" s="77"/>
      <c r="D806" s="77"/>
      <c r="E806" s="188"/>
      <c r="F806" s="188"/>
      <c r="G806" s="188"/>
      <c r="H806" s="188"/>
      <c r="I806" s="188"/>
      <c r="J806" s="77"/>
      <c r="K806" s="77"/>
      <c r="L806" s="77"/>
      <c r="M806" s="77"/>
      <c r="N806" s="77"/>
      <c r="O806" s="77"/>
      <c r="P806" s="77"/>
      <c r="Q806" s="77"/>
      <c r="R806" s="77"/>
      <c r="S806" s="77"/>
      <c r="T806" s="77"/>
      <c r="U806" s="77"/>
      <c r="V806" s="77"/>
      <c r="W806" s="77"/>
      <c r="X806" s="77"/>
      <c r="Y806" s="77"/>
      <c r="Z806" s="77"/>
      <c r="AA806" s="77"/>
      <c r="AB806" s="77"/>
      <c r="AC806" s="77"/>
      <c r="AD806" s="227"/>
      <c r="AE806" s="77"/>
      <c r="AF806" s="227"/>
      <c r="AG806" s="77"/>
      <c r="AH806" s="77"/>
      <c r="AI806" s="77"/>
      <c r="AJ806" s="77"/>
      <c r="AK806" s="77"/>
      <c r="AL806" s="77"/>
      <c r="AM806" s="77"/>
      <c r="AN806" s="77"/>
      <c r="AO806" s="77"/>
      <c r="AP806" s="77"/>
      <c r="AQ806" s="77"/>
      <c r="AR806" s="77"/>
      <c r="AS806" s="77"/>
      <c r="AT806" s="77"/>
      <c r="AU806" s="77"/>
      <c r="AV806" s="77"/>
      <c r="AW806" s="77"/>
      <c r="AX806" s="77"/>
      <c r="AY806" s="77"/>
      <c r="AZ806" s="77"/>
      <c r="BA806" s="77"/>
      <c r="BB806" s="77"/>
      <c r="BC806" s="77"/>
      <c r="BD806" s="77"/>
      <c r="BE806" s="77"/>
    </row>
    <row r="807">
      <c r="A807" s="77"/>
      <c r="B807" s="77"/>
      <c r="C807" s="77"/>
      <c r="D807" s="77"/>
      <c r="E807" s="188"/>
      <c r="F807" s="188"/>
      <c r="G807" s="188"/>
      <c r="H807" s="188"/>
      <c r="I807" s="188"/>
      <c r="J807" s="77"/>
      <c r="K807" s="77"/>
      <c r="L807" s="77"/>
      <c r="M807" s="77"/>
      <c r="N807" s="77"/>
      <c r="O807" s="77"/>
      <c r="P807" s="77"/>
      <c r="Q807" s="77"/>
      <c r="R807" s="77"/>
      <c r="S807" s="77"/>
      <c r="T807" s="77"/>
      <c r="U807" s="77"/>
      <c r="V807" s="77"/>
      <c r="W807" s="77"/>
      <c r="X807" s="77"/>
      <c r="Y807" s="77"/>
      <c r="Z807" s="77"/>
      <c r="AA807" s="77"/>
      <c r="AB807" s="77"/>
      <c r="AC807" s="77"/>
      <c r="AD807" s="227"/>
      <c r="AE807" s="77"/>
      <c r="AF807" s="227"/>
      <c r="AG807" s="77"/>
      <c r="AH807" s="77"/>
      <c r="AI807" s="77"/>
      <c r="AJ807" s="77"/>
      <c r="AK807" s="77"/>
      <c r="AL807" s="77"/>
      <c r="AM807" s="77"/>
      <c r="AN807" s="77"/>
      <c r="AO807" s="77"/>
      <c r="AP807" s="77"/>
      <c r="AQ807" s="77"/>
      <c r="AR807" s="77"/>
      <c r="AS807" s="77"/>
      <c r="AT807" s="77"/>
      <c r="AU807" s="77"/>
      <c r="AV807" s="77"/>
      <c r="AW807" s="77"/>
      <c r="AX807" s="77"/>
      <c r="AY807" s="77"/>
      <c r="AZ807" s="77"/>
      <c r="BA807" s="77"/>
      <c r="BB807" s="77"/>
      <c r="BC807" s="77"/>
      <c r="BD807" s="77"/>
      <c r="BE807" s="77"/>
    </row>
    <row r="808">
      <c r="A808" s="77"/>
      <c r="B808" s="77"/>
      <c r="C808" s="77"/>
      <c r="D808" s="77"/>
      <c r="E808" s="188"/>
      <c r="F808" s="188"/>
      <c r="G808" s="188"/>
      <c r="H808" s="188"/>
      <c r="I808" s="188"/>
      <c r="J808" s="77"/>
      <c r="K808" s="77"/>
      <c r="L808" s="77"/>
      <c r="M808" s="77"/>
      <c r="N808" s="77"/>
      <c r="O808" s="77"/>
      <c r="P808" s="77"/>
      <c r="Q808" s="77"/>
      <c r="R808" s="77"/>
      <c r="S808" s="77"/>
      <c r="T808" s="77"/>
      <c r="U808" s="77"/>
      <c r="V808" s="77"/>
      <c r="W808" s="77"/>
      <c r="X808" s="77"/>
      <c r="Y808" s="77"/>
      <c r="Z808" s="77"/>
      <c r="AA808" s="77"/>
      <c r="AB808" s="77"/>
      <c r="AC808" s="77"/>
      <c r="AD808" s="227"/>
      <c r="AE808" s="77"/>
      <c r="AF808" s="227"/>
      <c r="AG808" s="77"/>
      <c r="AH808" s="77"/>
      <c r="AI808" s="77"/>
      <c r="AJ808" s="77"/>
      <c r="AK808" s="77"/>
      <c r="AL808" s="77"/>
      <c r="AM808" s="77"/>
      <c r="AN808" s="77"/>
      <c r="AO808" s="77"/>
      <c r="AP808" s="77"/>
      <c r="AQ808" s="77"/>
      <c r="AR808" s="77"/>
      <c r="AS808" s="77"/>
      <c r="AT808" s="77"/>
      <c r="AU808" s="77"/>
      <c r="AV808" s="77"/>
      <c r="AW808" s="77"/>
      <c r="AX808" s="77"/>
      <c r="AY808" s="77"/>
      <c r="AZ808" s="77"/>
      <c r="BA808" s="77"/>
      <c r="BB808" s="77"/>
      <c r="BC808" s="77"/>
      <c r="BD808" s="77"/>
      <c r="BE808" s="77"/>
    </row>
    <row r="809">
      <c r="A809" s="77"/>
      <c r="B809" s="77"/>
      <c r="C809" s="77"/>
      <c r="D809" s="77"/>
      <c r="E809" s="188"/>
      <c r="F809" s="188"/>
      <c r="G809" s="188"/>
      <c r="H809" s="188"/>
      <c r="I809" s="188"/>
      <c r="J809" s="77"/>
      <c r="K809" s="77"/>
      <c r="L809" s="77"/>
      <c r="M809" s="77"/>
      <c r="N809" s="77"/>
      <c r="O809" s="77"/>
      <c r="P809" s="77"/>
      <c r="Q809" s="77"/>
      <c r="R809" s="77"/>
      <c r="S809" s="77"/>
      <c r="T809" s="77"/>
      <c r="U809" s="77"/>
      <c r="V809" s="77"/>
      <c r="W809" s="77"/>
      <c r="X809" s="77"/>
      <c r="Y809" s="77"/>
      <c r="Z809" s="77"/>
      <c r="AA809" s="77"/>
      <c r="AB809" s="77"/>
      <c r="AC809" s="77"/>
      <c r="AD809" s="227"/>
      <c r="AE809" s="77"/>
      <c r="AF809" s="227"/>
      <c r="AG809" s="77"/>
      <c r="AH809" s="77"/>
      <c r="AI809" s="77"/>
      <c r="AJ809" s="77"/>
      <c r="AK809" s="77"/>
      <c r="AL809" s="77"/>
      <c r="AM809" s="77"/>
      <c r="AN809" s="77"/>
      <c r="AO809" s="77"/>
      <c r="AP809" s="77"/>
      <c r="AQ809" s="77"/>
      <c r="AR809" s="77"/>
      <c r="AS809" s="77"/>
      <c r="AT809" s="77"/>
      <c r="AU809" s="77"/>
      <c r="AV809" s="77"/>
      <c r="AW809" s="77"/>
      <c r="AX809" s="77"/>
      <c r="AY809" s="77"/>
      <c r="AZ809" s="77"/>
      <c r="BA809" s="77"/>
      <c r="BB809" s="77"/>
      <c r="BC809" s="77"/>
      <c r="BD809" s="77"/>
      <c r="BE809" s="77"/>
    </row>
    <row r="810">
      <c r="A810" s="77"/>
      <c r="B810" s="77"/>
      <c r="C810" s="77"/>
      <c r="D810" s="77"/>
      <c r="E810" s="188"/>
      <c r="F810" s="188"/>
      <c r="G810" s="188"/>
      <c r="H810" s="188"/>
      <c r="I810" s="188"/>
      <c r="J810" s="77"/>
      <c r="K810" s="77"/>
      <c r="L810" s="77"/>
      <c r="M810" s="77"/>
      <c r="N810" s="77"/>
      <c r="O810" s="77"/>
      <c r="P810" s="77"/>
      <c r="Q810" s="77"/>
      <c r="R810" s="77"/>
      <c r="S810" s="77"/>
      <c r="T810" s="77"/>
      <c r="U810" s="77"/>
      <c r="V810" s="77"/>
      <c r="W810" s="77"/>
      <c r="X810" s="77"/>
      <c r="Y810" s="77"/>
      <c r="Z810" s="77"/>
      <c r="AA810" s="77"/>
      <c r="AB810" s="77"/>
      <c r="AC810" s="77"/>
      <c r="AD810" s="227"/>
      <c r="AE810" s="77"/>
      <c r="AF810" s="227"/>
      <c r="AG810" s="77"/>
      <c r="AH810" s="77"/>
      <c r="AI810" s="77"/>
      <c r="AJ810" s="77"/>
      <c r="AK810" s="77"/>
      <c r="AL810" s="77"/>
      <c r="AM810" s="77"/>
      <c r="AN810" s="77"/>
      <c r="AO810" s="77"/>
      <c r="AP810" s="77"/>
      <c r="AQ810" s="77"/>
      <c r="AR810" s="77"/>
      <c r="AS810" s="77"/>
      <c r="AT810" s="77"/>
      <c r="AU810" s="77"/>
      <c r="AV810" s="77"/>
      <c r="AW810" s="77"/>
      <c r="AX810" s="77"/>
      <c r="AY810" s="77"/>
      <c r="AZ810" s="77"/>
      <c r="BA810" s="77"/>
      <c r="BB810" s="77"/>
      <c r="BC810" s="77"/>
      <c r="BD810" s="77"/>
      <c r="BE810" s="77"/>
    </row>
    <row r="811">
      <c r="A811" s="77"/>
      <c r="B811" s="77"/>
      <c r="C811" s="77"/>
      <c r="D811" s="77"/>
      <c r="E811" s="188"/>
      <c r="F811" s="188"/>
      <c r="G811" s="188"/>
      <c r="H811" s="188"/>
      <c r="I811" s="188"/>
      <c r="J811" s="77"/>
      <c r="K811" s="77"/>
      <c r="L811" s="77"/>
      <c r="M811" s="77"/>
      <c r="N811" s="77"/>
      <c r="O811" s="77"/>
      <c r="P811" s="77"/>
      <c r="Q811" s="77"/>
      <c r="R811" s="77"/>
      <c r="S811" s="77"/>
      <c r="T811" s="77"/>
      <c r="U811" s="77"/>
      <c r="V811" s="77"/>
      <c r="W811" s="77"/>
      <c r="X811" s="77"/>
      <c r="Y811" s="77"/>
      <c r="Z811" s="77"/>
      <c r="AA811" s="77"/>
      <c r="AB811" s="77"/>
      <c r="AC811" s="77"/>
      <c r="AD811" s="227"/>
      <c r="AE811" s="77"/>
      <c r="AF811" s="227"/>
      <c r="AG811" s="77"/>
      <c r="AH811" s="77"/>
      <c r="AI811" s="77"/>
      <c r="AJ811" s="77"/>
      <c r="AK811" s="77"/>
      <c r="AL811" s="77"/>
      <c r="AM811" s="77"/>
      <c r="AN811" s="77"/>
      <c r="AO811" s="77"/>
      <c r="AP811" s="77"/>
      <c r="AQ811" s="77"/>
      <c r="AR811" s="77"/>
      <c r="AS811" s="77"/>
      <c r="AT811" s="77"/>
      <c r="AU811" s="77"/>
      <c r="AV811" s="77"/>
      <c r="AW811" s="77"/>
      <c r="AX811" s="77"/>
      <c r="AY811" s="77"/>
      <c r="AZ811" s="77"/>
      <c r="BA811" s="77"/>
      <c r="BB811" s="77"/>
      <c r="BC811" s="77"/>
      <c r="BD811" s="77"/>
      <c r="BE811" s="77"/>
    </row>
    <row r="812">
      <c r="A812" s="77"/>
      <c r="B812" s="77"/>
      <c r="C812" s="77"/>
      <c r="D812" s="77"/>
      <c r="E812" s="188"/>
      <c r="F812" s="188"/>
      <c r="G812" s="188"/>
      <c r="H812" s="188"/>
      <c r="I812" s="188"/>
      <c r="J812" s="77"/>
      <c r="K812" s="77"/>
      <c r="L812" s="77"/>
      <c r="M812" s="77"/>
      <c r="N812" s="77"/>
      <c r="O812" s="77"/>
      <c r="P812" s="77"/>
      <c r="Q812" s="77"/>
      <c r="R812" s="77"/>
      <c r="S812" s="77"/>
      <c r="T812" s="77"/>
      <c r="U812" s="77"/>
      <c r="V812" s="77"/>
      <c r="W812" s="77"/>
      <c r="X812" s="77"/>
      <c r="Y812" s="77"/>
      <c r="Z812" s="77"/>
      <c r="AA812" s="77"/>
      <c r="AB812" s="77"/>
      <c r="AC812" s="77"/>
      <c r="AD812" s="227"/>
      <c r="AE812" s="77"/>
      <c r="AF812" s="227"/>
      <c r="AG812" s="77"/>
      <c r="AH812" s="77"/>
      <c r="AI812" s="77"/>
      <c r="AJ812" s="77"/>
      <c r="AK812" s="77"/>
      <c r="AL812" s="77"/>
      <c r="AM812" s="77"/>
      <c r="AN812" s="77"/>
      <c r="AO812" s="77"/>
      <c r="AP812" s="77"/>
      <c r="AQ812" s="77"/>
      <c r="AR812" s="77"/>
      <c r="AS812" s="77"/>
      <c r="AT812" s="77"/>
      <c r="AU812" s="77"/>
      <c r="AV812" s="77"/>
      <c r="AW812" s="77"/>
      <c r="AX812" s="77"/>
      <c r="AY812" s="77"/>
      <c r="AZ812" s="77"/>
      <c r="BA812" s="77"/>
      <c r="BB812" s="77"/>
      <c r="BC812" s="77"/>
      <c r="BD812" s="77"/>
      <c r="BE812" s="77"/>
    </row>
    <row r="813">
      <c r="A813" s="77"/>
      <c r="B813" s="77"/>
      <c r="C813" s="77"/>
      <c r="D813" s="77"/>
      <c r="E813" s="188"/>
      <c r="F813" s="188"/>
      <c r="G813" s="188"/>
      <c r="H813" s="188"/>
      <c r="I813" s="188"/>
      <c r="J813" s="77"/>
      <c r="K813" s="77"/>
      <c r="L813" s="77"/>
      <c r="M813" s="77"/>
      <c r="N813" s="77"/>
      <c r="O813" s="77"/>
      <c r="P813" s="77"/>
      <c r="Q813" s="77"/>
      <c r="R813" s="77"/>
      <c r="S813" s="77"/>
      <c r="T813" s="77"/>
      <c r="U813" s="77"/>
      <c r="V813" s="77"/>
      <c r="W813" s="77"/>
      <c r="X813" s="77"/>
      <c r="Y813" s="77"/>
      <c r="Z813" s="77"/>
      <c r="AA813" s="77"/>
      <c r="AB813" s="77"/>
      <c r="AC813" s="77"/>
      <c r="AD813" s="227"/>
      <c r="AE813" s="77"/>
      <c r="AF813" s="227"/>
      <c r="AG813" s="77"/>
      <c r="AH813" s="77"/>
      <c r="AI813" s="77"/>
      <c r="AJ813" s="77"/>
      <c r="AK813" s="77"/>
      <c r="AL813" s="77"/>
      <c r="AM813" s="77"/>
      <c r="AN813" s="77"/>
      <c r="AO813" s="77"/>
      <c r="AP813" s="77"/>
      <c r="AQ813" s="77"/>
      <c r="AR813" s="77"/>
      <c r="AS813" s="77"/>
      <c r="AT813" s="77"/>
      <c r="AU813" s="77"/>
      <c r="AV813" s="77"/>
      <c r="AW813" s="77"/>
      <c r="AX813" s="77"/>
      <c r="AY813" s="77"/>
      <c r="AZ813" s="77"/>
      <c r="BA813" s="77"/>
      <c r="BB813" s="77"/>
      <c r="BC813" s="77"/>
      <c r="BD813" s="77"/>
      <c r="BE813" s="77"/>
    </row>
    <row r="814">
      <c r="A814" s="77"/>
      <c r="B814" s="77"/>
      <c r="C814" s="77"/>
      <c r="D814" s="77"/>
      <c r="E814" s="188"/>
      <c r="F814" s="188"/>
      <c r="G814" s="188"/>
      <c r="H814" s="188"/>
      <c r="I814" s="188"/>
      <c r="J814" s="77"/>
      <c r="K814" s="77"/>
      <c r="L814" s="77"/>
      <c r="M814" s="77"/>
      <c r="N814" s="77"/>
      <c r="O814" s="77"/>
      <c r="P814" s="77"/>
      <c r="Q814" s="77"/>
      <c r="R814" s="77"/>
      <c r="S814" s="77"/>
      <c r="T814" s="77"/>
      <c r="U814" s="77"/>
      <c r="V814" s="77"/>
      <c r="W814" s="77"/>
      <c r="X814" s="77"/>
      <c r="Y814" s="77"/>
      <c r="Z814" s="77"/>
      <c r="AA814" s="77"/>
      <c r="AB814" s="77"/>
      <c r="AC814" s="77"/>
      <c r="AD814" s="227"/>
      <c r="AE814" s="77"/>
      <c r="AF814" s="227"/>
      <c r="AG814" s="77"/>
      <c r="AH814" s="77"/>
      <c r="AI814" s="77"/>
      <c r="AJ814" s="77"/>
      <c r="AK814" s="77"/>
      <c r="AL814" s="77"/>
      <c r="AM814" s="77"/>
      <c r="AN814" s="77"/>
      <c r="AO814" s="77"/>
      <c r="AP814" s="77"/>
      <c r="AQ814" s="77"/>
      <c r="AR814" s="77"/>
      <c r="AS814" s="77"/>
      <c r="AT814" s="77"/>
      <c r="AU814" s="77"/>
      <c r="AV814" s="77"/>
      <c r="AW814" s="77"/>
      <c r="AX814" s="77"/>
      <c r="AY814" s="77"/>
      <c r="AZ814" s="77"/>
      <c r="BA814" s="77"/>
      <c r="BB814" s="77"/>
      <c r="BC814" s="77"/>
      <c r="BD814" s="77"/>
      <c r="BE814" s="77"/>
    </row>
    <row r="815">
      <c r="A815" s="77"/>
      <c r="B815" s="77"/>
      <c r="C815" s="77"/>
      <c r="D815" s="77"/>
      <c r="E815" s="188"/>
      <c r="F815" s="188"/>
      <c r="G815" s="188"/>
      <c r="H815" s="188"/>
      <c r="I815" s="188"/>
      <c r="J815" s="77"/>
      <c r="K815" s="77"/>
      <c r="L815" s="77"/>
      <c r="M815" s="77"/>
      <c r="N815" s="77"/>
      <c r="O815" s="77"/>
      <c r="P815" s="77"/>
      <c r="Q815" s="77"/>
      <c r="R815" s="77"/>
      <c r="S815" s="77"/>
      <c r="T815" s="77"/>
      <c r="U815" s="77"/>
      <c r="V815" s="77"/>
      <c r="W815" s="77"/>
      <c r="X815" s="77"/>
      <c r="Y815" s="77"/>
      <c r="Z815" s="77"/>
      <c r="AA815" s="77"/>
      <c r="AB815" s="77"/>
      <c r="AC815" s="77"/>
      <c r="AD815" s="227"/>
      <c r="AE815" s="77"/>
      <c r="AF815" s="227"/>
      <c r="AG815" s="77"/>
      <c r="AH815" s="77"/>
      <c r="AI815" s="77"/>
      <c r="AJ815" s="77"/>
      <c r="AK815" s="77"/>
      <c r="AL815" s="77"/>
      <c r="AM815" s="77"/>
      <c r="AN815" s="77"/>
      <c r="AO815" s="77"/>
      <c r="AP815" s="77"/>
      <c r="AQ815" s="77"/>
      <c r="AR815" s="77"/>
      <c r="AS815" s="77"/>
      <c r="AT815" s="77"/>
      <c r="AU815" s="77"/>
      <c r="AV815" s="77"/>
      <c r="AW815" s="77"/>
      <c r="AX815" s="77"/>
      <c r="AY815" s="77"/>
      <c r="AZ815" s="77"/>
      <c r="BA815" s="77"/>
      <c r="BB815" s="77"/>
      <c r="BC815" s="77"/>
      <c r="BD815" s="77"/>
      <c r="BE815" s="77"/>
    </row>
    <row r="816">
      <c r="A816" s="77"/>
      <c r="B816" s="77"/>
      <c r="C816" s="77"/>
      <c r="D816" s="77"/>
      <c r="E816" s="188"/>
      <c r="F816" s="188"/>
      <c r="G816" s="188"/>
      <c r="H816" s="188"/>
      <c r="I816" s="188"/>
      <c r="J816" s="77"/>
      <c r="K816" s="77"/>
      <c r="L816" s="77"/>
      <c r="M816" s="77"/>
      <c r="N816" s="77"/>
      <c r="O816" s="77"/>
      <c r="P816" s="77"/>
      <c r="Q816" s="77"/>
      <c r="R816" s="77"/>
      <c r="S816" s="77"/>
      <c r="T816" s="77"/>
      <c r="U816" s="77"/>
      <c r="V816" s="77"/>
      <c r="W816" s="77"/>
      <c r="X816" s="77"/>
      <c r="Y816" s="77"/>
      <c r="Z816" s="77"/>
      <c r="AA816" s="77"/>
      <c r="AB816" s="77"/>
      <c r="AC816" s="77"/>
      <c r="AD816" s="227"/>
      <c r="AE816" s="77"/>
      <c r="AF816" s="227"/>
      <c r="AG816" s="77"/>
      <c r="AH816" s="77"/>
      <c r="AI816" s="77"/>
      <c r="AJ816" s="77"/>
      <c r="AK816" s="77"/>
      <c r="AL816" s="77"/>
      <c r="AM816" s="77"/>
      <c r="AN816" s="77"/>
      <c r="AO816" s="77"/>
      <c r="AP816" s="77"/>
      <c r="AQ816" s="77"/>
      <c r="AR816" s="77"/>
      <c r="AS816" s="77"/>
      <c r="AT816" s="77"/>
      <c r="AU816" s="77"/>
      <c r="AV816" s="77"/>
      <c r="AW816" s="77"/>
      <c r="AX816" s="77"/>
      <c r="AY816" s="77"/>
      <c r="AZ816" s="77"/>
      <c r="BA816" s="77"/>
      <c r="BB816" s="77"/>
      <c r="BC816" s="77"/>
      <c r="BD816" s="77"/>
      <c r="BE816" s="77"/>
    </row>
    <row r="817">
      <c r="A817" s="77"/>
      <c r="B817" s="77"/>
      <c r="C817" s="77"/>
      <c r="D817" s="77"/>
      <c r="E817" s="188"/>
      <c r="F817" s="188"/>
      <c r="G817" s="188"/>
      <c r="H817" s="188"/>
      <c r="I817" s="188"/>
      <c r="J817" s="77"/>
      <c r="K817" s="77"/>
      <c r="L817" s="77"/>
      <c r="M817" s="77"/>
      <c r="N817" s="77"/>
      <c r="O817" s="77"/>
      <c r="P817" s="77"/>
      <c r="Q817" s="77"/>
      <c r="R817" s="77"/>
      <c r="S817" s="77"/>
      <c r="T817" s="77"/>
      <c r="U817" s="77"/>
      <c r="V817" s="77"/>
      <c r="W817" s="77"/>
      <c r="X817" s="77"/>
      <c r="Y817" s="77"/>
      <c r="Z817" s="77"/>
      <c r="AA817" s="77"/>
      <c r="AB817" s="77"/>
      <c r="AC817" s="77"/>
      <c r="AD817" s="227"/>
      <c r="AE817" s="77"/>
      <c r="AF817" s="227"/>
      <c r="AG817" s="77"/>
      <c r="AH817" s="77"/>
      <c r="AI817" s="77"/>
      <c r="AJ817" s="77"/>
      <c r="AK817" s="77"/>
      <c r="AL817" s="77"/>
      <c r="AM817" s="77"/>
      <c r="AN817" s="77"/>
      <c r="AO817" s="77"/>
      <c r="AP817" s="77"/>
      <c r="AQ817" s="77"/>
      <c r="AR817" s="77"/>
      <c r="AS817" s="77"/>
      <c r="AT817" s="77"/>
      <c r="AU817" s="77"/>
      <c r="AV817" s="77"/>
      <c r="AW817" s="77"/>
      <c r="AX817" s="77"/>
      <c r="AY817" s="77"/>
      <c r="AZ817" s="77"/>
      <c r="BA817" s="77"/>
      <c r="BB817" s="77"/>
      <c r="BC817" s="77"/>
      <c r="BD817" s="77"/>
      <c r="BE817" s="77"/>
    </row>
    <row r="818">
      <c r="A818" s="77"/>
      <c r="B818" s="77"/>
      <c r="C818" s="77"/>
      <c r="D818" s="77"/>
      <c r="E818" s="188"/>
      <c r="F818" s="188"/>
      <c r="G818" s="188"/>
      <c r="H818" s="188"/>
      <c r="I818" s="188"/>
      <c r="J818" s="77"/>
      <c r="K818" s="77"/>
      <c r="L818" s="77"/>
      <c r="M818" s="77"/>
      <c r="N818" s="77"/>
      <c r="O818" s="77"/>
      <c r="P818" s="77"/>
      <c r="Q818" s="77"/>
      <c r="R818" s="77"/>
      <c r="S818" s="77"/>
      <c r="T818" s="77"/>
      <c r="U818" s="77"/>
      <c r="V818" s="77"/>
      <c r="W818" s="77"/>
      <c r="X818" s="77"/>
      <c r="Y818" s="77"/>
      <c r="Z818" s="77"/>
      <c r="AA818" s="77"/>
      <c r="AB818" s="77"/>
      <c r="AC818" s="77"/>
      <c r="AD818" s="227"/>
      <c r="AE818" s="77"/>
      <c r="AF818" s="227"/>
      <c r="AG818" s="77"/>
      <c r="AH818" s="77"/>
      <c r="AI818" s="77"/>
      <c r="AJ818" s="77"/>
      <c r="AK818" s="77"/>
      <c r="AL818" s="77"/>
      <c r="AM818" s="77"/>
      <c r="AN818" s="77"/>
      <c r="AO818" s="77"/>
      <c r="AP818" s="77"/>
      <c r="AQ818" s="77"/>
      <c r="AR818" s="77"/>
      <c r="AS818" s="77"/>
      <c r="AT818" s="77"/>
      <c r="AU818" s="77"/>
      <c r="AV818" s="77"/>
      <c r="AW818" s="77"/>
      <c r="AX818" s="77"/>
      <c r="AY818" s="77"/>
      <c r="AZ818" s="77"/>
      <c r="BA818" s="77"/>
      <c r="BB818" s="77"/>
      <c r="BC818" s="77"/>
      <c r="BD818" s="77"/>
      <c r="BE818" s="77"/>
    </row>
    <row r="819">
      <c r="A819" s="77"/>
      <c r="B819" s="77"/>
      <c r="C819" s="77"/>
      <c r="D819" s="77"/>
      <c r="E819" s="188"/>
      <c r="F819" s="188"/>
      <c r="G819" s="188"/>
      <c r="H819" s="188"/>
      <c r="I819" s="188"/>
      <c r="J819" s="77"/>
      <c r="K819" s="77"/>
      <c r="L819" s="77"/>
      <c r="M819" s="77"/>
      <c r="N819" s="77"/>
      <c r="O819" s="77"/>
      <c r="P819" s="77"/>
      <c r="Q819" s="77"/>
      <c r="R819" s="77"/>
      <c r="S819" s="77"/>
      <c r="T819" s="77"/>
      <c r="U819" s="77"/>
      <c r="V819" s="77"/>
      <c r="W819" s="77"/>
      <c r="X819" s="77"/>
      <c r="Y819" s="77"/>
      <c r="Z819" s="77"/>
      <c r="AA819" s="77"/>
      <c r="AB819" s="77"/>
      <c r="AC819" s="77"/>
      <c r="AD819" s="227"/>
      <c r="AE819" s="77"/>
      <c r="AF819" s="227"/>
      <c r="AG819" s="77"/>
      <c r="AH819" s="77"/>
      <c r="AI819" s="77"/>
      <c r="AJ819" s="77"/>
      <c r="AK819" s="77"/>
      <c r="AL819" s="77"/>
      <c r="AM819" s="77"/>
      <c r="AN819" s="77"/>
      <c r="AO819" s="77"/>
      <c r="AP819" s="77"/>
      <c r="AQ819" s="77"/>
      <c r="AR819" s="77"/>
      <c r="AS819" s="77"/>
      <c r="AT819" s="77"/>
      <c r="AU819" s="77"/>
      <c r="AV819" s="77"/>
      <c r="AW819" s="77"/>
      <c r="AX819" s="77"/>
      <c r="AY819" s="77"/>
      <c r="AZ819" s="77"/>
      <c r="BA819" s="77"/>
      <c r="BB819" s="77"/>
      <c r="BC819" s="77"/>
      <c r="BD819" s="77"/>
      <c r="BE819" s="77"/>
    </row>
    <row r="820">
      <c r="A820" s="77"/>
      <c r="B820" s="77"/>
      <c r="C820" s="77"/>
      <c r="D820" s="77"/>
      <c r="E820" s="188"/>
      <c r="F820" s="188"/>
      <c r="G820" s="188"/>
      <c r="H820" s="188"/>
      <c r="I820" s="188"/>
      <c r="J820" s="77"/>
      <c r="K820" s="77"/>
      <c r="L820" s="77"/>
      <c r="M820" s="77"/>
      <c r="N820" s="77"/>
      <c r="O820" s="77"/>
      <c r="P820" s="77"/>
      <c r="Q820" s="77"/>
      <c r="R820" s="77"/>
      <c r="S820" s="77"/>
      <c r="T820" s="77"/>
      <c r="U820" s="77"/>
      <c r="V820" s="77"/>
      <c r="W820" s="77"/>
      <c r="X820" s="77"/>
      <c r="Y820" s="77"/>
      <c r="Z820" s="77"/>
      <c r="AA820" s="77"/>
      <c r="AB820" s="77"/>
      <c r="AC820" s="77"/>
      <c r="AD820" s="227"/>
      <c r="AE820" s="77"/>
      <c r="AF820" s="227"/>
      <c r="AG820" s="77"/>
      <c r="AH820" s="77"/>
      <c r="AI820" s="77"/>
      <c r="AJ820" s="77"/>
      <c r="AK820" s="77"/>
      <c r="AL820" s="77"/>
      <c r="AM820" s="77"/>
      <c r="AN820" s="77"/>
      <c r="AO820" s="77"/>
      <c r="AP820" s="77"/>
      <c r="AQ820" s="77"/>
      <c r="AR820" s="77"/>
      <c r="AS820" s="77"/>
      <c r="AT820" s="77"/>
      <c r="AU820" s="77"/>
      <c r="AV820" s="77"/>
      <c r="AW820" s="77"/>
      <c r="AX820" s="77"/>
      <c r="AY820" s="77"/>
      <c r="AZ820" s="77"/>
      <c r="BA820" s="77"/>
      <c r="BB820" s="77"/>
      <c r="BC820" s="77"/>
      <c r="BD820" s="77"/>
      <c r="BE820" s="77"/>
    </row>
    <row r="821">
      <c r="A821" s="77"/>
      <c r="B821" s="77"/>
      <c r="C821" s="77"/>
      <c r="D821" s="77"/>
      <c r="E821" s="188"/>
      <c r="F821" s="188"/>
      <c r="G821" s="188"/>
      <c r="H821" s="188"/>
      <c r="I821" s="188"/>
      <c r="J821" s="77"/>
      <c r="K821" s="77"/>
      <c r="L821" s="77"/>
      <c r="M821" s="77"/>
      <c r="N821" s="77"/>
      <c r="O821" s="77"/>
      <c r="P821" s="77"/>
      <c r="Q821" s="77"/>
      <c r="R821" s="77"/>
      <c r="S821" s="77"/>
      <c r="T821" s="77"/>
      <c r="U821" s="77"/>
      <c r="V821" s="77"/>
      <c r="W821" s="77"/>
      <c r="X821" s="77"/>
      <c r="Y821" s="77"/>
      <c r="Z821" s="77"/>
      <c r="AA821" s="77"/>
      <c r="AB821" s="77"/>
      <c r="AC821" s="77"/>
      <c r="AD821" s="227"/>
      <c r="AE821" s="77"/>
      <c r="AF821" s="227"/>
      <c r="AG821" s="77"/>
      <c r="AH821" s="77"/>
      <c r="AI821" s="77"/>
      <c r="AJ821" s="77"/>
      <c r="AK821" s="77"/>
      <c r="AL821" s="77"/>
      <c r="AM821" s="77"/>
      <c r="AN821" s="77"/>
      <c r="AO821" s="77"/>
      <c r="AP821" s="77"/>
      <c r="AQ821" s="77"/>
      <c r="AR821" s="77"/>
      <c r="AS821" s="77"/>
      <c r="AT821" s="77"/>
      <c r="AU821" s="77"/>
      <c r="AV821" s="77"/>
      <c r="AW821" s="77"/>
      <c r="AX821" s="77"/>
      <c r="AY821" s="77"/>
      <c r="AZ821" s="77"/>
      <c r="BA821" s="77"/>
      <c r="BB821" s="77"/>
      <c r="BC821" s="77"/>
      <c r="BD821" s="77"/>
      <c r="BE821" s="77"/>
    </row>
    <row r="822">
      <c r="A822" s="77"/>
      <c r="B822" s="77"/>
      <c r="C822" s="77"/>
      <c r="D822" s="77"/>
      <c r="E822" s="188"/>
      <c r="F822" s="188"/>
      <c r="G822" s="188"/>
      <c r="H822" s="188"/>
      <c r="I822" s="188"/>
      <c r="J822" s="77"/>
      <c r="K822" s="77"/>
      <c r="L822" s="77"/>
      <c r="M822" s="77"/>
      <c r="N822" s="77"/>
      <c r="O822" s="77"/>
      <c r="P822" s="77"/>
      <c r="Q822" s="77"/>
      <c r="R822" s="77"/>
      <c r="S822" s="77"/>
      <c r="T822" s="77"/>
      <c r="U822" s="77"/>
      <c r="V822" s="77"/>
      <c r="W822" s="77"/>
      <c r="X822" s="77"/>
      <c r="Y822" s="77"/>
      <c r="Z822" s="77"/>
      <c r="AA822" s="77"/>
      <c r="AB822" s="77"/>
      <c r="AC822" s="77"/>
      <c r="AD822" s="227"/>
      <c r="AE822" s="77"/>
      <c r="AF822" s="227"/>
      <c r="AG822" s="77"/>
      <c r="AH822" s="77"/>
      <c r="AI822" s="77"/>
      <c r="AJ822" s="77"/>
      <c r="AK822" s="77"/>
      <c r="AL822" s="77"/>
      <c r="AM822" s="77"/>
      <c r="AN822" s="77"/>
      <c r="AO822" s="77"/>
      <c r="AP822" s="77"/>
      <c r="AQ822" s="77"/>
      <c r="AR822" s="77"/>
      <c r="AS822" s="77"/>
      <c r="AT822" s="77"/>
      <c r="AU822" s="77"/>
      <c r="AV822" s="77"/>
      <c r="AW822" s="77"/>
      <c r="AX822" s="77"/>
      <c r="AY822" s="77"/>
      <c r="AZ822" s="77"/>
      <c r="BA822" s="77"/>
      <c r="BB822" s="77"/>
      <c r="BC822" s="77"/>
      <c r="BD822" s="77"/>
      <c r="BE822" s="77"/>
    </row>
    <row r="823">
      <c r="A823" s="77"/>
      <c r="B823" s="77"/>
      <c r="C823" s="77"/>
      <c r="D823" s="77"/>
      <c r="E823" s="188"/>
      <c r="F823" s="188"/>
      <c r="G823" s="188"/>
      <c r="H823" s="188"/>
      <c r="I823" s="188"/>
      <c r="J823" s="77"/>
      <c r="K823" s="77"/>
      <c r="L823" s="77"/>
      <c r="M823" s="77"/>
      <c r="N823" s="77"/>
      <c r="O823" s="77"/>
      <c r="P823" s="77"/>
      <c r="Q823" s="77"/>
      <c r="R823" s="77"/>
      <c r="S823" s="77"/>
      <c r="T823" s="77"/>
      <c r="U823" s="77"/>
      <c r="V823" s="77"/>
      <c r="W823" s="77"/>
      <c r="X823" s="77"/>
      <c r="Y823" s="77"/>
      <c r="Z823" s="77"/>
      <c r="AA823" s="77"/>
      <c r="AB823" s="77"/>
      <c r="AC823" s="77"/>
      <c r="AD823" s="227"/>
      <c r="AE823" s="77"/>
      <c r="AF823" s="227"/>
      <c r="AG823" s="77"/>
      <c r="AH823" s="77"/>
      <c r="AI823" s="77"/>
      <c r="AJ823" s="77"/>
      <c r="AK823" s="77"/>
      <c r="AL823" s="77"/>
      <c r="AM823" s="77"/>
      <c r="AN823" s="77"/>
      <c r="AO823" s="77"/>
      <c r="AP823" s="77"/>
      <c r="AQ823" s="77"/>
      <c r="AR823" s="77"/>
      <c r="AS823" s="77"/>
      <c r="AT823" s="77"/>
      <c r="AU823" s="77"/>
      <c r="AV823" s="77"/>
      <c r="AW823" s="77"/>
      <c r="AX823" s="77"/>
      <c r="AY823" s="77"/>
      <c r="AZ823" s="77"/>
      <c r="BA823" s="77"/>
      <c r="BB823" s="77"/>
      <c r="BC823" s="77"/>
      <c r="BD823" s="77"/>
      <c r="BE823" s="77"/>
    </row>
    <row r="824">
      <c r="A824" s="77"/>
      <c r="B824" s="77"/>
      <c r="C824" s="77"/>
      <c r="D824" s="77"/>
      <c r="E824" s="188"/>
      <c r="F824" s="188"/>
      <c r="G824" s="188"/>
      <c r="H824" s="188"/>
      <c r="I824" s="188"/>
      <c r="J824" s="77"/>
      <c r="K824" s="77"/>
      <c r="L824" s="77"/>
      <c r="M824" s="77"/>
      <c r="N824" s="77"/>
      <c r="O824" s="77"/>
      <c r="P824" s="77"/>
      <c r="Q824" s="77"/>
      <c r="R824" s="77"/>
      <c r="S824" s="77"/>
      <c r="T824" s="77"/>
      <c r="U824" s="77"/>
      <c r="V824" s="77"/>
      <c r="W824" s="77"/>
      <c r="X824" s="77"/>
      <c r="Y824" s="77"/>
      <c r="Z824" s="77"/>
      <c r="AA824" s="77"/>
      <c r="AB824" s="77"/>
      <c r="AC824" s="77"/>
      <c r="AD824" s="227"/>
      <c r="AE824" s="77"/>
      <c r="AF824" s="227"/>
      <c r="AG824" s="77"/>
      <c r="AH824" s="77"/>
      <c r="AI824" s="77"/>
      <c r="AJ824" s="77"/>
      <c r="AK824" s="77"/>
      <c r="AL824" s="77"/>
      <c r="AM824" s="77"/>
      <c r="AN824" s="77"/>
      <c r="AO824" s="77"/>
      <c r="AP824" s="77"/>
      <c r="AQ824" s="77"/>
      <c r="AR824" s="77"/>
      <c r="AS824" s="77"/>
      <c r="AT824" s="77"/>
      <c r="AU824" s="77"/>
      <c r="AV824" s="77"/>
      <c r="AW824" s="77"/>
      <c r="AX824" s="77"/>
      <c r="AY824" s="77"/>
      <c r="AZ824" s="77"/>
      <c r="BA824" s="77"/>
      <c r="BB824" s="77"/>
      <c r="BC824" s="77"/>
      <c r="BD824" s="77"/>
      <c r="BE824" s="77"/>
    </row>
    <row r="825">
      <c r="A825" s="77"/>
      <c r="B825" s="77"/>
      <c r="C825" s="77"/>
      <c r="D825" s="77"/>
      <c r="E825" s="188"/>
      <c r="F825" s="188"/>
      <c r="G825" s="188"/>
      <c r="H825" s="188"/>
      <c r="I825" s="188"/>
      <c r="J825" s="77"/>
      <c r="K825" s="77"/>
      <c r="L825" s="77"/>
      <c r="M825" s="77"/>
      <c r="N825" s="77"/>
      <c r="O825" s="77"/>
      <c r="P825" s="77"/>
      <c r="Q825" s="77"/>
      <c r="R825" s="77"/>
      <c r="S825" s="77"/>
      <c r="T825" s="77"/>
      <c r="U825" s="77"/>
      <c r="V825" s="77"/>
      <c r="W825" s="77"/>
      <c r="X825" s="77"/>
      <c r="Y825" s="77"/>
      <c r="Z825" s="77"/>
      <c r="AA825" s="77"/>
      <c r="AB825" s="77"/>
      <c r="AC825" s="77"/>
      <c r="AD825" s="227"/>
      <c r="AE825" s="77"/>
      <c r="AF825" s="227"/>
      <c r="AG825" s="77"/>
      <c r="AH825" s="77"/>
      <c r="AI825" s="77"/>
      <c r="AJ825" s="77"/>
      <c r="AK825" s="77"/>
      <c r="AL825" s="77"/>
      <c r="AM825" s="77"/>
      <c r="AN825" s="77"/>
      <c r="AO825" s="77"/>
      <c r="AP825" s="77"/>
      <c r="AQ825" s="77"/>
      <c r="AR825" s="77"/>
      <c r="AS825" s="77"/>
      <c r="AT825" s="77"/>
      <c r="AU825" s="77"/>
      <c r="AV825" s="77"/>
      <c r="AW825" s="77"/>
      <c r="AX825" s="77"/>
      <c r="AY825" s="77"/>
      <c r="AZ825" s="77"/>
      <c r="BA825" s="77"/>
      <c r="BB825" s="77"/>
      <c r="BC825" s="77"/>
      <c r="BD825" s="77"/>
      <c r="BE825" s="77"/>
    </row>
    <row r="826">
      <c r="A826" s="77"/>
      <c r="B826" s="77"/>
      <c r="C826" s="77"/>
      <c r="D826" s="77"/>
      <c r="E826" s="188"/>
      <c r="F826" s="188"/>
      <c r="G826" s="188"/>
      <c r="H826" s="188"/>
      <c r="I826" s="188"/>
      <c r="J826" s="77"/>
      <c r="K826" s="77"/>
      <c r="L826" s="77"/>
      <c r="M826" s="77"/>
      <c r="N826" s="77"/>
      <c r="O826" s="77"/>
      <c r="P826" s="77"/>
      <c r="Q826" s="77"/>
      <c r="R826" s="77"/>
      <c r="S826" s="77"/>
      <c r="T826" s="77"/>
      <c r="U826" s="77"/>
      <c r="V826" s="77"/>
      <c r="W826" s="77"/>
      <c r="X826" s="77"/>
      <c r="Y826" s="77"/>
      <c r="Z826" s="77"/>
      <c r="AA826" s="77"/>
      <c r="AB826" s="77"/>
      <c r="AC826" s="77"/>
      <c r="AD826" s="227"/>
      <c r="AE826" s="77"/>
      <c r="AF826" s="227"/>
      <c r="AG826" s="77"/>
      <c r="AH826" s="77"/>
      <c r="AI826" s="77"/>
      <c r="AJ826" s="77"/>
      <c r="AK826" s="77"/>
      <c r="AL826" s="77"/>
      <c r="AM826" s="77"/>
      <c r="AN826" s="77"/>
      <c r="AO826" s="77"/>
      <c r="AP826" s="77"/>
      <c r="AQ826" s="77"/>
      <c r="AR826" s="77"/>
      <c r="AS826" s="77"/>
      <c r="AT826" s="77"/>
      <c r="AU826" s="77"/>
      <c r="AV826" s="77"/>
      <c r="AW826" s="77"/>
      <c r="AX826" s="77"/>
      <c r="AY826" s="77"/>
      <c r="AZ826" s="77"/>
      <c r="BA826" s="77"/>
      <c r="BB826" s="77"/>
      <c r="BC826" s="77"/>
      <c r="BD826" s="77"/>
      <c r="BE826" s="77"/>
    </row>
    <row r="827">
      <c r="A827" s="77"/>
      <c r="B827" s="77"/>
      <c r="C827" s="77"/>
      <c r="D827" s="77"/>
      <c r="E827" s="188"/>
      <c r="F827" s="188"/>
      <c r="G827" s="188"/>
      <c r="H827" s="188"/>
      <c r="I827" s="188"/>
      <c r="J827" s="77"/>
      <c r="K827" s="77"/>
      <c r="L827" s="77"/>
      <c r="M827" s="77"/>
      <c r="N827" s="77"/>
      <c r="O827" s="77"/>
      <c r="P827" s="77"/>
      <c r="Q827" s="77"/>
      <c r="R827" s="77"/>
      <c r="S827" s="77"/>
      <c r="T827" s="77"/>
      <c r="U827" s="77"/>
      <c r="V827" s="77"/>
      <c r="W827" s="77"/>
      <c r="X827" s="77"/>
      <c r="Y827" s="77"/>
      <c r="Z827" s="77"/>
      <c r="AA827" s="77"/>
      <c r="AB827" s="77"/>
      <c r="AC827" s="77"/>
      <c r="AD827" s="227"/>
      <c r="AE827" s="77"/>
      <c r="AF827" s="227"/>
      <c r="AG827" s="77"/>
      <c r="AH827" s="77"/>
      <c r="AI827" s="77"/>
      <c r="AJ827" s="77"/>
      <c r="AK827" s="77"/>
      <c r="AL827" s="77"/>
      <c r="AM827" s="77"/>
      <c r="AN827" s="77"/>
      <c r="AO827" s="77"/>
      <c r="AP827" s="77"/>
      <c r="AQ827" s="77"/>
      <c r="AR827" s="77"/>
      <c r="AS827" s="77"/>
      <c r="AT827" s="77"/>
      <c r="AU827" s="77"/>
      <c r="AV827" s="77"/>
      <c r="AW827" s="77"/>
      <c r="AX827" s="77"/>
      <c r="AY827" s="77"/>
      <c r="AZ827" s="77"/>
      <c r="BA827" s="77"/>
      <c r="BB827" s="77"/>
      <c r="BC827" s="77"/>
      <c r="BD827" s="77"/>
      <c r="BE827" s="77"/>
    </row>
    <row r="828">
      <c r="A828" s="77"/>
      <c r="B828" s="77"/>
      <c r="C828" s="77"/>
      <c r="D828" s="77"/>
      <c r="E828" s="188"/>
      <c r="F828" s="188"/>
      <c r="G828" s="188"/>
      <c r="H828" s="188"/>
      <c r="I828" s="188"/>
      <c r="J828" s="77"/>
      <c r="K828" s="77"/>
      <c r="L828" s="77"/>
      <c r="M828" s="77"/>
      <c r="N828" s="77"/>
      <c r="O828" s="77"/>
      <c r="P828" s="77"/>
      <c r="Q828" s="77"/>
      <c r="R828" s="77"/>
      <c r="S828" s="77"/>
      <c r="T828" s="77"/>
      <c r="U828" s="77"/>
      <c r="V828" s="77"/>
      <c r="W828" s="77"/>
      <c r="X828" s="77"/>
      <c r="Y828" s="77"/>
      <c r="Z828" s="77"/>
      <c r="AA828" s="77"/>
      <c r="AB828" s="77"/>
      <c r="AC828" s="77"/>
      <c r="AD828" s="227"/>
      <c r="AE828" s="77"/>
      <c r="AF828" s="227"/>
      <c r="AG828" s="77"/>
      <c r="AH828" s="77"/>
      <c r="AI828" s="77"/>
      <c r="AJ828" s="77"/>
      <c r="AK828" s="77"/>
      <c r="AL828" s="77"/>
      <c r="AM828" s="77"/>
      <c r="AN828" s="77"/>
      <c r="AO828" s="77"/>
      <c r="AP828" s="77"/>
      <c r="AQ828" s="77"/>
      <c r="AR828" s="77"/>
      <c r="AS828" s="77"/>
      <c r="AT828" s="77"/>
      <c r="AU828" s="77"/>
      <c r="AV828" s="77"/>
      <c r="AW828" s="77"/>
      <c r="AX828" s="77"/>
      <c r="AY828" s="77"/>
      <c r="AZ828" s="77"/>
      <c r="BA828" s="77"/>
      <c r="BB828" s="77"/>
      <c r="BC828" s="77"/>
      <c r="BD828" s="77"/>
      <c r="BE828" s="77"/>
    </row>
    <row r="829">
      <c r="A829" s="77"/>
      <c r="B829" s="77"/>
      <c r="C829" s="77"/>
      <c r="D829" s="77"/>
      <c r="E829" s="188"/>
      <c r="F829" s="188"/>
      <c r="G829" s="188"/>
      <c r="H829" s="188"/>
      <c r="I829" s="188"/>
      <c r="J829" s="77"/>
      <c r="K829" s="77"/>
      <c r="L829" s="77"/>
      <c r="M829" s="77"/>
      <c r="N829" s="77"/>
      <c r="O829" s="77"/>
      <c r="P829" s="77"/>
      <c r="Q829" s="77"/>
      <c r="R829" s="77"/>
      <c r="S829" s="77"/>
      <c r="T829" s="77"/>
      <c r="U829" s="77"/>
      <c r="V829" s="77"/>
      <c r="W829" s="77"/>
      <c r="X829" s="77"/>
      <c r="Y829" s="77"/>
      <c r="Z829" s="77"/>
      <c r="AA829" s="77"/>
      <c r="AB829" s="77"/>
      <c r="AC829" s="77"/>
      <c r="AD829" s="227"/>
      <c r="AE829" s="77"/>
      <c r="AF829" s="227"/>
      <c r="AG829" s="77"/>
      <c r="AH829" s="77"/>
      <c r="AI829" s="77"/>
      <c r="AJ829" s="77"/>
      <c r="AK829" s="77"/>
      <c r="AL829" s="77"/>
      <c r="AM829" s="77"/>
      <c r="AN829" s="77"/>
      <c r="AO829" s="77"/>
      <c r="AP829" s="77"/>
      <c r="AQ829" s="77"/>
      <c r="AR829" s="77"/>
      <c r="AS829" s="77"/>
      <c r="AT829" s="77"/>
      <c r="AU829" s="77"/>
      <c r="AV829" s="77"/>
      <c r="AW829" s="77"/>
      <c r="AX829" s="77"/>
      <c r="AY829" s="77"/>
      <c r="AZ829" s="77"/>
      <c r="BA829" s="77"/>
      <c r="BB829" s="77"/>
      <c r="BC829" s="77"/>
      <c r="BD829" s="77"/>
      <c r="BE829" s="77"/>
    </row>
    <row r="830">
      <c r="A830" s="77"/>
      <c r="B830" s="77"/>
      <c r="C830" s="77"/>
      <c r="D830" s="77"/>
      <c r="E830" s="188"/>
      <c r="F830" s="188"/>
      <c r="G830" s="188"/>
      <c r="H830" s="188"/>
      <c r="I830" s="188"/>
      <c r="J830" s="77"/>
      <c r="K830" s="77"/>
      <c r="L830" s="77"/>
      <c r="M830" s="77"/>
      <c r="N830" s="77"/>
      <c r="O830" s="77"/>
      <c r="P830" s="77"/>
      <c r="Q830" s="77"/>
      <c r="R830" s="77"/>
      <c r="S830" s="77"/>
      <c r="T830" s="77"/>
      <c r="U830" s="77"/>
      <c r="V830" s="77"/>
      <c r="W830" s="77"/>
      <c r="X830" s="77"/>
      <c r="Y830" s="77"/>
      <c r="Z830" s="77"/>
      <c r="AA830" s="77"/>
      <c r="AB830" s="77"/>
      <c r="AC830" s="77"/>
      <c r="AD830" s="227"/>
      <c r="AE830" s="77"/>
      <c r="AF830" s="227"/>
      <c r="AG830" s="77"/>
      <c r="AH830" s="77"/>
      <c r="AI830" s="77"/>
      <c r="AJ830" s="77"/>
      <c r="AK830" s="77"/>
      <c r="AL830" s="77"/>
      <c r="AM830" s="77"/>
      <c r="AN830" s="77"/>
      <c r="AO830" s="77"/>
      <c r="AP830" s="77"/>
      <c r="AQ830" s="77"/>
      <c r="AR830" s="77"/>
      <c r="AS830" s="77"/>
      <c r="AT830" s="77"/>
      <c r="AU830" s="77"/>
      <c r="AV830" s="77"/>
      <c r="AW830" s="77"/>
      <c r="AX830" s="77"/>
      <c r="AY830" s="77"/>
      <c r="AZ830" s="77"/>
      <c r="BA830" s="77"/>
      <c r="BB830" s="77"/>
      <c r="BC830" s="77"/>
      <c r="BD830" s="77"/>
      <c r="BE830" s="77"/>
    </row>
    <row r="831">
      <c r="A831" s="77"/>
      <c r="B831" s="77"/>
      <c r="C831" s="77"/>
      <c r="D831" s="77"/>
      <c r="E831" s="188"/>
      <c r="F831" s="188"/>
      <c r="G831" s="188"/>
      <c r="H831" s="188"/>
      <c r="I831" s="188"/>
      <c r="J831" s="77"/>
      <c r="K831" s="77"/>
      <c r="L831" s="77"/>
      <c r="M831" s="77"/>
      <c r="N831" s="77"/>
      <c r="O831" s="77"/>
      <c r="P831" s="77"/>
      <c r="Q831" s="77"/>
      <c r="R831" s="77"/>
      <c r="S831" s="77"/>
      <c r="T831" s="77"/>
      <c r="U831" s="77"/>
      <c r="V831" s="77"/>
      <c r="W831" s="77"/>
      <c r="X831" s="77"/>
      <c r="Y831" s="77"/>
      <c r="Z831" s="77"/>
      <c r="AA831" s="77"/>
      <c r="AB831" s="77"/>
      <c r="AC831" s="77"/>
      <c r="AD831" s="227"/>
      <c r="AE831" s="77"/>
      <c r="AF831" s="227"/>
      <c r="AG831" s="77"/>
      <c r="AH831" s="77"/>
      <c r="AI831" s="77"/>
      <c r="AJ831" s="77"/>
      <c r="AK831" s="77"/>
      <c r="AL831" s="77"/>
      <c r="AM831" s="77"/>
      <c r="AN831" s="77"/>
      <c r="AO831" s="77"/>
      <c r="AP831" s="77"/>
      <c r="AQ831" s="77"/>
      <c r="AR831" s="77"/>
      <c r="AS831" s="77"/>
      <c r="AT831" s="77"/>
      <c r="AU831" s="77"/>
      <c r="AV831" s="77"/>
      <c r="AW831" s="77"/>
      <c r="AX831" s="77"/>
      <c r="AY831" s="77"/>
      <c r="AZ831" s="77"/>
      <c r="BA831" s="77"/>
      <c r="BB831" s="77"/>
      <c r="BC831" s="77"/>
      <c r="BD831" s="77"/>
      <c r="BE831" s="77"/>
    </row>
    <row r="832">
      <c r="A832" s="77"/>
      <c r="B832" s="77"/>
      <c r="C832" s="77"/>
      <c r="D832" s="77"/>
      <c r="E832" s="188"/>
      <c r="F832" s="188"/>
      <c r="G832" s="188"/>
      <c r="H832" s="188"/>
      <c r="I832" s="188"/>
      <c r="J832" s="77"/>
      <c r="K832" s="77"/>
      <c r="L832" s="77"/>
      <c r="M832" s="77"/>
      <c r="N832" s="77"/>
      <c r="O832" s="77"/>
      <c r="P832" s="77"/>
      <c r="Q832" s="77"/>
      <c r="R832" s="77"/>
      <c r="S832" s="77"/>
      <c r="T832" s="77"/>
      <c r="U832" s="77"/>
      <c r="V832" s="77"/>
      <c r="W832" s="77"/>
      <c r="X832" s="77"/>
      <c r="Y832" s="77"/>
      <c r="Z832" s="77"/>
      <c r="AA832" s="77"/>
      <c r="AB832" s="77"/>
      <c r="AC832" s="77"/>
      <c r="AD832" s="227"/>
      <c r="AE832" s="77"/>
      <c r="AF832" s="227"/>
      <c r="AG832" s="77"/>
      <c r="AH832" s="77"/>
      <c r="AI832" s="77"/>
      <c r="AJ832" s="77"/>
      <c r="AK832" s="77"/>
      <c r="AL832" s="77"/>
      <c r="AM832" s="77"/>
      <c r="AN832" s="77"/>
      <c r="AO832" s="77"/>
      <c r="AP832" s="77"/>
      <c r="AQ832" s="77"/>
      <c r="AR832" s="77"/>
      <c r="AS832" s="77"/>
      <c r="AT832" s="77"/>
      <c r="AU832" s="77"/>
      <c r="AV832" s="77"/>
      <c r="AW832" s="77"/>
      <c r="AX832" s="77"/>
      <c r="AY832" s="77"/>
      <c r="AZ832" s="77"/>
      <c r="BA832" s="77"/>
      <c r="BB832" s="77"/>
      <c r="BC832" s="77"/>
      <c r="BD832" s="77"/>
      <c r="BE832" s="77"/>
    </row>
    <row r="833">
      <c r="A833" s="77"/>
      <c r="B833" s="77"/>
      <c r="C833" s="77"/>
      <c r="D833" s="77"/>
      <c r="E833" s="188"/>
      <c r="F833" s="188"/>
      <c r="G833" s="188"/>
      <c r="H833" s="188"/>
      <c r="I833" s="188"/>
      <c r="J833" s="77"/>
      <c r="K833" s="77"/>
      <c r="L833" s="77"/>
      <c r="M833" s="77"/>
      <c r="N833" s="77"/>
      <c r="O833" s="77"/>
      <c r="P833" s="77"/>
      <c r="Q833" s="77"/>
      <c r="R833" s="77"/>
      <c r="S833" s="77"/>
      <c r="T833" s="77"/>
      <c r="U833" s="77"/>
      <c r="V833" s="77"/>
      <c r="W833" s="77"/>
      <c r="X833" s="77"/>
      <c r="Y833" s="77"/>
      <c r="Z833" s="77"/>
      <c r="AA833" s="77"/>
      <c r="AB833" s="77"/>
      <c r="AC833" s="77"/>
      <c r="AD833" s="227"/>
      <c r="AE833" s="77"/>
      <c r="AF833" s="227"/>
      <c r="AG833" s="77"/>
      <c r="AH833" s="77"/>
      <c r="AI833" s="77"/>
      <c r="AJ833" s="77"/>
      <c r="AK833" s="77"/>
      <c r="AL833" s="77"/>
      <c r="AM833" s="77"/>
      <c r="AN833" s="77"/>
      <c r="AO833" s="77"/>
      <c r="AP833" s="77"/>
      <c r="AQ833" s="77"/>
      <c r="AR833" s="77"/>
      <c r="AS833" s="77"/>
      <c r="AT833" s="77"/>
      <c r="AU833" s="77"/>
      <c r="AV833" s="77"/>
      <c r="AW833" s="77"/>
      <c r="AX833" s="77"/>
      <c r="AY833" s="77"/>
      <c r="AZ833" s="77"/>
      <c r="BA833" s="77"/>
      <c r="BB833" s="77"/>
      <c r="BC833" s="77"/>
      <c r="BD833" s="77"/>
      <c r="BE833" s="77"/>
    </row>
    <row r="834">
      <c r="A834" s="77"/>
      <c r="B834" s="77"/>
      <c r="C834" s="77"/>
      <c r="D834" s="77"/>
      <c r="E834" s="188"/>
      <c r="F834" s="188"/>
      <c r="G834" s="188"/>
      <c r="H834" s="188"/>
      <c r="I834" s="188"/>
      <c r="J834" s="77"/>
      <c r="K834" s="77"/>
      <c r="L834" s="77"/>
      <c r="M834" s="77"/>
      <c r="N834" s="77"/>
      <c r="O834" s="77"/>
      <c r="P834" s="77"/>
      <c r="Q834" s="77"/>
      <c r="R834" s="77"/>
      <c r="S834" s="77"/>
      <c r="T834" s="77"/>
      <c r="U834" s="77"/>
      <c r="V834" s="77"/>
      <c r="W834" s="77"/>
      <c r="X834" s="77"/>
      <c r="Y834" s="77"/>
      <c r="Z834" s="77"/>
      <c r="AA834" s="77"/>
      <c r="AB834" s="77"/>
      <c r="AC834" s="77"/>
      <c r="AD834" s="227"/>
      <c r="AE834" s="77"/>
      <c r="AF834" s="227"/>
      <c r="AG834" s="77"/>
      <c r="AH834" s="77"/>
      <c r="AI834" s="77"/>
      <c r="AJ834" s="77"/>
      <c r="AK834" s="77"/>
      <c r="AL834" s="77"/>
      <c r="AM834" s="77"/>
      <c r="AN834" s="77"/>
      <c r="AO834" s="77"/>
      <c r="AP834" s="77"/>
      <c r="AQ834" s="77"/>
      <c r="AR834" s="77"/>
      <c r="AS834" s="77"/>
      <c r="AT834" s="77"/>
      <c r="AU834" s="77"/>
      <c r="AV834" s="77"/>
      <c r="AW834" s="77"/>
      <c r="AX834" s="77"/>
      <c r="AY834" s="77"/>
      <c r="AZ834" s="77"/>
      <c r="BA834" s="77"/>
      <c r="BB834" s="77"/>
      <c r="BC834" s="77"/>
      <c r="BD834" s="77"/>
      <c r="BE834" s="77"/>
    </row>
    <row r="835">
      <c r="A835" s="77"/>
      <c r="B835" s="77"/>
      <c r="C835" s="77"/>
      <c r="D835" s="77"/>
      <c r="E835" s="188"/>
      <c r="F835" s="188"/>
      <c r="G835" s="188"/>
      <c r="H835" s="188"/>
      <c r="I835" s="188"/>
      <c r="J835" s="77"/>
      <c r="K835" s="77"/>
      <c r="L835" s="77"/>
      <c r="M835" s="77"/>
      <c r="N835" s="77"/>
      <c r="O835" s="77"/>
      <c r="P835" s="77"/>
      <c r="Q835" s="77"/>
      <c r="R835" s="77"/>
      <c r="S835" s="77"/>
      <c r="T835" s="77"/>
      <c r="U835" s="77"/>
      <c r="V835" s="77"/>
      <c r="W835" s="77"/>
      <c r="X835" s="77"/>
      <c r="Y835" s="77"/>
      <c r="Z835" s="77"/>
      <c r="AA835" s="77"/>
      <c r="AB835" s="77"/>
      <c r="AC835" s="77"/>
      <c r="AD835" s="227"/>
      <c r="AE835" s="77"/>
      <c r="AF835" s="227"/>
      <c r="AG835" s="77"/>
      <c r="AH835" s="77"/>
      <c r="AI835" s="77"/>
      <c r="AJ835" s="77"/>
      <c r="AK835" s="77"/>
      <c r="AL835" s="77"/>
      <c r="AM835" s="77"/>
      <c r="AN835" s="77"/>
      <c r="AO835" s="77"/>
      <c r="AP835" s="77"/>
      <c r="AQ835" s="77"/>
      <c r="AR835" s="77"/>
      <c r="AS835" s="77"/>
      <c r="AT835" s="77"/>
      <c r="AU835" s="77"/>
      <c r="AV835" s="77"/>
      <c r="AW835" s="77"/>
      <c r="AX835" s="77"/>
      <c r="AY835" s="77"/>
      <c r="AZ835" s="77"/>
      <c r="BA835" s="77"/>
      <c r="BB835" s="77"/>
      <c r="BC835" s="77"/>
      <c r="BD835" s="77"/>
      <c r="BE835" s="77"/>
    </row>
    <row r="836">
      <c r="A836" s="77"/>
      <c r="B836" s="77"/>
      <c r="C836" s="77"/>
      <c r="D836" s="77"/>
      <c r="E836" s="188"/>
      <c r="F836" s="188"/>
      <c r="G836" s="188"/>
      <c r="H836" s="188"/>
      <c r="I836" s="188"/>
      <c r="J836" s="77"/>
      <c r="K836" s="77"/>
      <c r="L836" s="77"/>
      <c r="M836" s="77"/>
      <c r="N836" s="77"/>
      <c r="O836" s="77"/>
      <c r="P836" s="77"/>
      <c r="Q836" s="77"/>
      <c r="R836" s="77"/>
      <c r="S836" s="77"/>
      <c r="T836" s="77"/>
      <c r="U836" s="77"/>
      <c r="V836" s="77"/>
      <c r="W836" s="77"/>
      <c r="X836" s="77"/>
      <c r="Y836" s="77"/>
      <c r="Z836" s="77"/>
      <c r="AA836" s="77"/>
      <c r="AB836" s="77"/>
      <c r="AC836" s="77"/>
      <c r="AD836" s="227"/>
      <c r="AE836" s="77"/>
      <c r="AF836" s="227"/>
      <c r="AG836" s="77"/>
      <c r="AH836" s="77"/>
      <c r="AI836" s="77"/>
      <c r="AJ836" s="77"/>
      <c r="AK836" s="77"/>
      <c r="AL836" s="77"/>
      <c r="AM836" s="77"/>
      <c r="AN836" s="77"/>
      <c r="AO836" s="77"/>
      <c r="AP836" s="77"/>
      <c r="AQ836" s="77"/>
      <c r="AR836" s="77"/>
      <c r="AS836" s="77"/>
      <c r="AT836" s="77"/>
      <c r="AU836" s="77"/>
      <c r="AV836" s="77"/>
      <c r="AW836" s="77"/>
      <c r="AX836" s="77"/>
      <c r="AY836" s="77"/>
      <c r="AZ836" s="77"/>
      <c r="BA836" s="77"/>
      <c r="BB836" s="77"/>
      <c r="BC836" s="77"/>
      <c r="BD836" s="77"/>
      <c r="BE836" s="77"/>
    </row>
    <row r="837">
      <c r="A837" s="77"/>
      <c r="B837" s="77"/>
      <c r="C837" s="77"/>
      <c r="D837" s="77"/>
      <c r="E837" s="188"/>
      <c r="F837" s="188"/>
      <c r="G837" s="188"/>
      <c r="H837" s="188"/>
      <c r="I837" s="188"/>
      <c r="J837" s="77"/>
      <c r="K837" s="77"/>
      <c r="L837" s="77"/>
      <c r="M837" s="77"/>
      <c r="N837" s="77"/>
      <c r="O837" s="77"/>
      <c r="P837" s="77"/>
      <c r="Q837" s="77"/>
      <c r="R837" s="77"/>
      <c r="S837" s="77"/>
      <c r="T837" s="77"/>
      <c r="U837" s="77"/>
      <c r="V837" s="77"/>
      <c r="W837" s="77"/>
      <c r="X837" s="77"/>
      <c r="Y837" s="77"/>
      <c r="Z837" s="77"/>
      <c r="AA837" s="77"/>
      <c r="AB837" s="77"/>
      <c r="AC837" s="77"/>
      <c r="AD837" s="227"/>
      <c r="AE837" s="77"/>
      <c r="AF837" s="227"/>
      <c r="AG837" s="77"/>
      <c r="AH837" s="77"/>
      <c r="AI837" s="77"/>
      <c r="AJ837" s="77"/>
      <c r="AK837" s="77"/>
      <c r="AL837" s="77"/>
      <c r="AM837" s="77"/>
      <c r="AN837" s="77"/>
      <c r="AO837" s="77"/>
      <c r="AP837" s="77"/>
      <c r="AQ837" s="77"/>
      <c r="AR837" s="77"/>
      <c r="AS837" s="77"/>
      <c r="AT837" s="77"/>
      <c r="AU837" s="77"/>
      <c r="AV837" s="77"/>
      <c r="AW837" s="77"/>
      <c r="AX837" s="77"/>
      <c r="AY837" s="77"/>
      <c r="AZ837" s="77"/>
      <c r="BA837" s="77"/>
      <c r="BB837" s="77"/>
      <c r="BC837" s="77"/>
      <c r="BD837" s="77"/>
      <c r="BE837" s="77"/>
    </row>
    <row r="838">
      <c r="A838" s="77"/>
      <c r="B838" s="77"/>
      <c r="C838" s="77"/>
      <c r="D838" s="77"/>
      <c r="E838" s="188"/>
      <c r="F838" s="188"/>
      <c r="G838" s="188"/>
      <c r="H838" s="188"/>
      <c r="I838" s="188"/>
      <c r="J838" s="77"/>
      <c r="K838" s="77"/>
      <c r="L838" s="77"/>
      <c r="M838" s="77"/>
      <c r="N838" s="77"/>
      <c r="O838" s="77"/>
      <c r="P838" s="77"/>
      <c r="Q838" s="77"/>
      <c r="R838" s="77"/>
      <c r="S838" s="77"/>
      <c r="T838" s="77"/>
      <c r="U838" s="77"/>
      <c r="V838" s="77"/>
      <c r="W838" s="77"/>
      <c r="X838" s="77"/>
      <c r="Y838" s="77"/>
      <c r="Z838" s="77"/>
      <c r="AA838" s="77"/>
      <c r="AB838" s="77"/>
      <c r="AC838" s="77"/>
      <c r="AD838" s="227"/>
      <c r="AE838" s="77"/>
      <c r="AF838" s="227"/>
      <c r="AG838" s="77"/>
      <c r="AH838" s="77"/>
      <c r="AI838" s="77"/>
      <c r="AJ838" s="77"/>
      <c r="AK838" s="77"/>
      <c r="AL838" s="77"/>
      <c r="AM838" s="77"/>
      <c r="AN838" s="77"/>
      <c r="AO838" s="77"/>
      <c r="AP838" s="77"/>
      <c r="AQ838" s="77"/>
      <c r="AR838" s="77"/>
      <c r="AS838" s="77"/>
      <c r="AT838" s="77"/>
      <c r="AU838" s="77"/>
      <c r="AV838" s="77"/>
      <c r="AW838" s="77"/>
      <c r="AX838" s="77"/>
      <c r="AY838" s="77"/>
      <c r="AZ838" s="77"/>
      <c r="BA838" s="77"/>
      <c r="BB838" s="77"/>
      <c r="BC838" s="77"/>
      <c r="BD838" s="77"/>
      <c r="BE838" s="77"/>
    </row>
    <row r="839">
      <c r="A839" s="77"/>
      <c r="B839" s="77"/>
      <c r="C839" s="77"/>
      <c r="D839" s="77"/>
      <c r="E839" s="188"/>
      <c r="F839" s="188"/>
      <c r="G839" s="188"/>
      <c r="H839" s="188"/>
      <c r="I839" s="188"/>
      <c r="J839" s="77"/>
      <c r="K839" s="77"/>
      <c r="L839" s="77"/>
      <c r="M839" s="77"/>
      <c r="N839" s="77"/>
      <c r="O839" s="77"/>
      <c r="P839" s="77"/>
      <c r="Q839" s="77"/>
      <c r="R839" s="77"/>
      <c r="S839" s="77"/>
      <c r="T839" s="77"/>
      <c r="U839" s="77"/>
      <c r="V839" s="77"/>
      <c r="W839" s="77"/>
      <c r="X839" s="77"/>
      <c r="Y839" s="77"/>
      <c r="Z839" s="77"/>
      <c r="AA839" s="77"/>
      <c r="AB839" s="77"/>
      <c r="AC839" s="77"/>
      <c r="AD839" s="227"/>
      <c r="AE839" s="77"/>
      <c r="AF839" s="227"/>
      <c r="AG839" s="77"/>
      <c r="AH839" s="77"/>
      <c r="AI839" s="77"/>
      <c r="AJ839" s="77"/>
      <c r="AK839" s="77"/>
      <c r="AL839" s="77"/>
      <c r="AM839" s="77"/>
      <c r="AN839" s="77"/>
      <c r="AO839" s="77"/>
      <c r="AP839" s="77"/>
      <c r="AQ839" s="77"/>
      <c r="AR839" s="77"/>
      <c r="AS839" s="77"/>
      <c r="AT839" s="77"/>
      <c r="AU839" s="77"/>
      <c r="AV839" s="77"/>
      <c r="AW839" s="77"/>
      <c r="AX839" s="77"/>
      <c r="AY839" s="77"/>
      <c r="AZ839" s="77"/>
      <c r="BA839" s="77"/>
      <c r="BB839" s="77"/>
      <c r="BC839" s="77"/>
      <c r="BD839" s="77"/>
      <c r="BE839" s="77"/>
    </row>
    <row r="840">
      <c r="A840" s="77"/>
      <c r="B840" s="77"/>
      <c r="C840" s="77"/>
      <c r="D840" s="77"/>
      <c r="E840" s="188"/>
      <c r="F840" s="188"/>
      <c r="G840" s="188"/>
      <c r="H840" s="188"/>
      <c r="I840" s="188"/>
      <c r="J840" s="77"/>
      <c r="K840" s="77"/>
      <c r="L840" s="77"/>
      <c r="M840" s="77"/>
      <c r="N840" s="77"/>
      <c r="O840" s="77"/>
      <c r="P840" s="77"/>
      <c r="Q840" s="77"/>
      <c r="R840" s="77"/>
      <c r="S840" s="77"/>
      <c r="T840" s="77"/>
      <c r="U840" s="77"/>
      <c r="V840" s="77"/>
      <c r="W840" s="77"/>
      <c r="X840" s="77"/>
      <c r="Y840" s="77"/>
      <c r="Z840" s="77"/>
      <c r="AA840" s="77"/>
      <c r="AB840" s="77"/>
      <c r="AC840" s="77"/>
      <c r="AD840" s="227"/>
      <c r="AE840" s="77"/>
      <c r="AF840" s="227"/>
      <c r="AG840" s="77"/>
      <c r="AH840" s="77"/>
      <c r="AI840" s="77"/>
      <c r="AJ840" s="77"/>
      <c r="AK840" s="77"/>
      <c r="AL840" s="77"/>
      <c r="AM840" s="77"/>
      <c r="AN840" s="77"/>
      <c r="AO840" s="77"/>
      <c r="AP840" s="77"/>
      <c r="AQ840" s="77"/>
      <c r="AR840" s="77"/>
      <c r="AS840" s="77"/>
      <c r="AT840" s="77"/>
      <c r="AU840" s="77"/>
      <c r="AV840" s="77"/>
      <c r="AW840" s="77"/>
      <c r="AX840" s="77"/>
      <c r="AY840" s="77"/>
      <c r="AZ840" s="77"/>
      <c r="BA840" s="77"/>
      <c r="BB840" s="77"/>
      <c r="BC840" s="77"/>
      <c r="BD840" s="77"/>
      <c r="BE840" s="77"/>
    </row>
    <row r="841">
      <c r="A841" s="77"/>
      <c r="B841" s="77"/>
      <c r="C841" s="77"/>
      <c r="D841" s="77"/>
      <c r="E841" s="188"/>
      <c r="F841" s="188"/>
      <c r="G841" s="188"/>
      <c r="H841" s="188"/>
      <c r="I841" s="188"/>
      <c r="J841" s="77"/>
      <c r="K841" s="77"/>
      <c r="L841" s="77"/>
      <c r="M841" s="77"/>
      <c r="N841" s="77"/>
      <c r="O841" s="77"/>
      <c r="P841" s="77"/>
      <c r="Q841" s="77"/>
      <c r="R841" s="77"/>
      <c r="S841" s="77"/>
      <c r="T841" s="77"/>
      <c r="U841" s="77"/>
      <c r="V841" s="77"/>
      <c r="W841" s="77"/>
      <c r="X841" s="77"/>
      <c r="Y841" s="77"/>
      <c r="Z841" s="77"/>
      <c r="AA841" s="77"/>
      <c r="AB841" s="77"/>
      <c r="AC841" s="77"/>
      <c r="AD841" s="227"/>
      <c r="AE841" s="77"/>
      <c r="AF841" s="227"/>
      <c r="AG841" s="77"/>
      <c r="AH841" s="77"/>
      <c r="AI841" s="77"/>
      <c r="AJ841" s="77"/>
      <c r="AK841" s="77"/>
      <c r="AL841" s="77"/>
      <c r="AM841" s="77"/>
      <c r="AN841" s="77"/>
      <c r="AO841" s="77"/>
      <c r="AP841" s="77"/>
      <c r="AQ841" s="77"/>
      <c r="AR841" s="77"/>
      <c r="AS841" s="77"/>
      <c r="AT841" s="77"/>
      <c r="AU841" s="77"/>
      <c r="AV841" s="77"/>
      <c r="AW841" s="77"/>
      <c r="AX841" s="77"/>
      <c r="AY841" s="77"/>
      <c r="AZ841" s="77"/>
      <c r="BA841" s="77"/>
      <c r="BB841" s="77"/>
      <c r="BC841" s="77"/>
      <c r="BD841" s="77"/>
      <c r="BE841" s="77"/>
    </row>
    <row r="842">
      <c r="A842" s="77"/>
      <c r="B842" s="77"/>
      <c r="C842" s="77"/>
      <c r="D842" s="77"/>
      <c r="E842" s="188"/>
      <c r="F842" s="188"/>
      <c r="G842" s="188"/>
      <c r="H842" s="188"/>
      <c r="I842" s="188"/>
      <c r="J842" s="77"/>
      <c r="K842" s="77"/>
      <c r="L842" s="77"/>
      <c r="M842" s="77"/>
      <c r="N842" s="77"/>
      <c r="O842" s="77"/>
      <c r="P842" s="77"/>
      <c r="Q842" s="77"/>
      <c r="R842" s="77"/>
      <c r="S842" s="77"/>
      <c r="T842" s="77"/>
      <c r="U842" s="77"/>
      <c r="V842" s="77"/>
      <c r="W842" s="77"/>
      <c r="X842" s="77"/>
      <c r="Y842" s="77"/>
      <c r="Z842" s="77"/>
      <c r="AA842" s="77"/>
      <c r="AB842" s="77"/>
      <c r="AC842" s="77"/>
      <c r="AD842" s="227"/>
      <c r="AE842" s="77"/>
      <c r="AF842" s="227"/>
      <c r="AG842" s="77"/>
      <c r="AH842" s="77"/>
      <c r="AI842" s="77"/>
      <c r="AJ842" s="77"/>
      <c r="AK842" s="77"/>
      <c r="AL842" s="77"/>
      <c r="AM842" s="77"/>
      <c r="AN842" s="77"/>
      <c r="AO842" s="77"/>
      <c r="AP842" s="77"/>
      <c r="AQ842" s="77"/>
      <c r="AR842" s="77"/>
      <c r="AS842" s="77"/>
      <c r="AT842" s="77"/>
      <c r="AU842" s="77"/>
      <c r="AV842" s="77"/>
      <c r="AW842" s="77"/>
      <c r="AX842" s="77"/>
      <c r="AY842" s="77"/>
      <c r="AZ842" s="77"/>
      <c r="BA842" s="77"/>
      <c r="BB842" s="77"/>
      <c r="BC842" s="77"/>
      <c r="BD842" s="77"/>
      <c r="BE842" s="77"/>
    </row>
    <row r="843">
      <c r="A843" s="77"/>
      <c r="B843" s="77"/>
      <c r="C843" s="77"/>
      <c r="D843" s="77"/>
      <c r="E843" s="188"/>
      <c r="F843" s="188"/>
      <c r="G843" s="188"/>
      <c r="H843" s="188"/>
      <c r="I843" s="188"/>
      <c r="J843" s="77"/>
      <c r="K843" s="77"/>
      <c r="L843" s="77"/>
      <c r="M843" s="77"/>
      <c r="N843" s="77"/>
      <c r="O843" s="77"/>
      <c r="P843" s="77"/>
      <c r="Q843" s="77"/>
      <c r="R843" s="77"/>
      <c r="S843" s="77"/>
      <c r="T843" s="77"/>
      <c r="U843" s="77"/>
      <c r="V843" s="77"/>
      <c r="W843" s="77"/>
      <c r="X843" s="77"/>
      <c r="Y843" s="77"/>
      <c r="Z843" s="77"/>
      <c r="AA843" s="77"/>
      <c r="AB843" s="77"/>
      <c r="AC843" s="77"/>
      <c r="AD843" s="227"/>
      <c r="AE843" s="77"/>
      <c r="AF843" s="227"/>
      <c r="AG843" s="77"/>
      <c r="AH843" s="77"/>
      <c r="AI843" s="77"/>
      <c r="AJ843" s="77"/>
      <c r="AK843" s="77"/>
      <c r="AL843" s="77"/>
      <c r="AM843" s="77"/>
      <c r="AN843" s="77"/>
      <c r="AO843" s="77"/>
      <c r="AP843" s="77"/>
      <c r="AQ843" s="77"/>
      <c r="AR843" s="77"/>
      <c r="AS843" s="77"/>
      <c r="AT843" s="77"/>
      <c r="AU843" s="77"/>
      <c r="AV843" s="77"/>
      <c r="AW843" s="77"/>
      <c r="AX843" s="77"/>
      <c r="AY843" s="77"/>
      <c r="AZ843" s="77"/>
      <c r="BA843" s="77"/>
      <c r="BB843" s="77"/>
      <c r="BC843" s="77"/>
      <c r="BD843" s="77"/>
      <c r="BE843" s="77"/>
    </row>
    <row r="844">
      <c r="A844" s="77"/>
      <c r="B844" s="77"/>
      <c r="C844" s="77"/>
      <c r="D844" s="77"/>
      <c r="E844" s="188"/>
      <c r="F844" s="188"/>
      <c r="G844" s="188"/>
      <c r="H844" s="188"/>
      <c r="I844" s="188"/>
      <c r="J844" s="77"/>
      <c r="K844" s="77"/>
      <c r="L844" s="77"/>
      <c r="M844" s="77"/>
      <c r="N844" s="77"/>
      <c r="O844" s="77"/>
      <c r="P844" s="77"/>
      <c r="Q844" s="77"/>
      <c r="R844" s="77"/>
      <c r="S844" s="77"/>
      <c r="T844" s="77"/>
      <c r="U844" s="77"/>
      <c r="V844" s="77"/>
      <c r="W844" s="77"/>
      <c r="X844" s="77"/>
      <c r="Y844" s="77"/>
      <c r="Z844" s="77"/>
      <c r="AA844" s="77"/>
      <c r="AB844" s="77"/>
      <c r="AC844" s="77"/>
      <c r="AD844" s="227"/>
      <c r="AE844" s="77"/>
      <c r="AF844" s="227"/>
      <c r="AG844" s="77"/>
      <c r="AH844" s="77"/>
      <c r="AI844" s="77"/>
      <c r="AJ844" s="77"/>
      <c r="AK844" s="77"/>
      <c r="AL844" s="77"/>
      <c r="AM844" s="77"/>
      <c r="AN844" s="77"/>
      <c r="AO844" s="77"/>
      <c r="AP844" s="77"/>
      <c r="AQ844" s="77"/>
      <c r="AR844" s="77"/>
      <c r="AS844" s="77"/>
      <c r="AT844" s="77"/>
      <c r="AU844" s="77"/>
      <c r="AV844" s="77"/>
      <c r="AW844" s="77"/>
      <c r="AX844" s="77"/>
      <c r="AY844" s="77"/>
      <c r="AZ844" s="77"/>
      <c r="BA844" s="77"/>
      <c r="BB844" s="77"/>
      <c r="BC844" s="77"/>
      <c r="BD844" s="77"/>
      <c r="BE844" s="77"/>
    </row>
    <row r="845">
      <c r="A845" s="77"/>
      <c r="B845" s="77"/>
      <c r="C845" s="77"/>
      <c r="D845" s="77"/>
      <c r="E845" s="188"/>
      <c r="F845" s="188"/>
      <c r="G845" s="188"/>
      <c r="H845" s="188"/>
      <c r="I845" s="188"/>
      <c r="J845" s="77"/>
      <c r="K845" s="77"/>
      <c r="L845" s="77"/>
      <c r="M845" s="77"/>
      <c r="N845" s="77"/>
      <c r="O845" s="77"/>
      <c r="P845" s="77"/>
      <c r="Q845" s="77"/>
      <c r="R845" s="77"/>
      <c r="S845" s="77"/>
      <c r="T845" s="77"/>
      <c r="U845" s="77"/>
      <c r="V845" s="77"/>
      <c r="W845" s="77"/>
      <c r="X845" s="77"/>
      <c r="Y845" s="77"/>
      <c r="Z845" s="77"/>
      <c r="AA845" s="77"/>
      <c r="AB845" s="77"/>
      <c r="AC845" s="77"/>
      <c r="AD845" s="227"/>
      <c r="AE845" s="77"/>
      <c r="AF845" s="227"/>
      <c r="AG845" s="77"/>
      <c r="AH845" s="77"/>
      <c r="AI845" s="77"/>
      <c r="AJ845" s="77"/>
      <c r="AK845" s="77"/>
      <c r="AL845" s="77"/>
      <c r="AM845" s="77"/>
      <c r="AN845" s="77"/>
      <c r="AO845" s="77"/>
      <c r="AP845" s="77"/>
      <c r="AQ845" s="77"/>
      <c r="AR845" s="77"/>
      <c r="AS845" s="77"/>
      <c r="AT845" s="77"/>
      <c r="AU845" s="77"/>
      <c r="AV845" s="77"/>
      <c r="AW845" s="77"/>
      <c r="AX845" s="77"/>
      <c r="AY845" s="77"/>
      <c r="AZ845" s="77"/>
      <c r="BA845" s="77"/>
      <c r="BB845" s="77"/>
      <c r="BC845" s="77"/>
      <c r="BD845" s="77"/>
      <c r="BE845" s="77"/>
    </row>
    <row r="846">
      <c r="A846" s="77"/>
      <c r="B846" s="77"/>
      <c r="C846" s="77"/>
      <c r="D846" s="77"/>
      <c r="E846" s="188"/>
      <c r="F846" s="188"/>
      <c r="G846" s="188"/>
      <c r="H846" s="188"/>
      <c r="I846" s="188"/>
      <c r="J846" s="77"/>
      <c r="K846" s="77"/>
      <c r="L846" s="77"/>
      <c r="M846" s="77"/>
      <c r="N846" s="77"/>
      <c r="O846" s="77"/>
      <c r="P846" s="77"/>
      <c r="Q846" s="77"/>
      <c r="R846" s="77"/>
      <c r="S846" s="77"/>
      <c r="T846" s="77"/>
      <c r="U846" s="77"/>
      <c r="V846" s="77"/>
      <c r="W846" s="77"/>
      <c r="X846" s="77"/>
      <c r="Y846" s="77"/>
      <c r="Z846" s="77"/>
      <c r="AA846" s="77"/>
      <c r="AB846" s="77"/>
      <c r="AC846" s="77"/>
      <c r="AD846" s="227"/>
      <c r="AE846" s="77"/>
      <c r="AF846" s="227"/>
      <c r="AG846" s="77"/>
      <c r="AH846" s="77"/>
      <c r="AI846" s="77"/>
      <c r="AJ846" s="77"/>
      <c r="AK846" s="77"/>
      <c r="AL846" s="77"/>
      <c r="AM846" s="77"/>
      <c r="AN846" s="77"/>
      <c r="AO846" s="77"/>
      <c r="AP846" s="77"/>
      <c r="AQ846" s="77"/>
      <c r="AR846" s="77"/>
      <c r="AS846" s="77"/>
      <c r="AT846" s="77"/>
      <c r="AU846" s="77"/>
      <c r="AV846" s="77"/>
      <c r="AW846" s="77"/>
      <c r="AX846" s="77"/>
      <c r="AY846" s="77"/>
      <c r="AZ846" s="77"/>
      <c r="BA846" s="77"/>
      <c r="BB846" s="77"/>
      <c r="BC846" s="77"/>
      <c r="BD846" s="77"/>
      <c r="BE846" s="77"/>
    </row>
    <row r="847">
      <c r="A847" s="77"/>
      <c r="B847" s="77"/>
      <c r="C847" s="77"/>
      <c r="D847" s="77"/>
      <c r="E847" s="188"/>
      <c r="F847" s="188"/>
      <c r="G847" s="188"/>
      <c r="H847" s="188"/>
      <c r="I847" s="188"/>
      <c r="J847" s="77"/>
      <c r="K847" s="77"/>
      <c r="L847" s="77"/>
      <c r="M847" s="77"/>
      <c r="N847" s="77"/>
      <c r="O847" s="77"/>
      <c r="P847" s="77"/>
      <c r="Q847" s="77"/>
      <c r="R847" s="77"/>
      <c r="S847" s="77"/>
      <c r="T847" s="77"/>
      <c r="U847" s="77"/>
      <c r="V847" s="77"/>
      <c r="W847" s="77"/>
      <c r="X847" s="77"/>
      <c r="Y847" s="77"/>
      <c r="Z847" s="77"/>
      <c r="AA847" s="77"/>
      <c r="AB847" s="77"/>
      <c r="AC847" s="77"/>
      <c r="AD847" s="227"/>
      <c r="AE847" s="77"/>
      <c r="AF847" s="227"/>
      <c r="AG847" s="77"/>
      <c r="AH847" s="77"/>
      <c r="AI847" s="77"/>
      <c r="AJ847" s="77"/>
      <c r="AK847" s="77"/>
      <c r="AL847" s="77"/>
      <c r="AM847" s="77"/>
      <c r="AN847" s="77"/>
      <c r="AO847" s="77"/>
      <c r="AP847" s="77"/>
      <c r="AQ847" s="77"/>
      <c r="AR847" s="77"/>
      <c r="AS847" s="77"/>
      <c r="AT847" s="77"/>
      <c r="AU847" s="77"/>
      <c r="AV847" s="77"/>
      <c r="AW847" s="77"/>
      <c r="AX847" s="77"/>
      <c r="AY847" s="77"/>
      <c r="AZ847" s="77"/>
      <c r="BA847" s="77"/>
      <c r="BB847" s="77"/>
      <c r="BC847" s="77"/>
      <c r="BD847" s="77"/>
      <c r="BE847" s="77"/>
    </row>
    <row r="848">
      <c r="A848" s="77"/>
      <c r="B848" s="77"/>
      <c r="C848" s="77"/>
      <c r="D848" s="77"/>
      <c r="E848" s="188"/>
      <c r="F848" s="188"/>
      <c r="G848" s="188"/>
      <c r="H848" s="188"/>
      <c r="I848" s="188"/>
      <c r="J848" s="77"/>
      <c r="K848" s="77"/>
      <c r="L848" s="77"/>
      <c r="M848" s="77"/>
      <c r="N848" s="77"/>
      <c r="O848" s="77"/>
      <c r="P848" s="77"/>
      <c r="Q848" s="77"/>
      <c r="R848" s="77"/>
      <c r="S848" s="77"/>
      <c r="T848" s="77"/>
      <c r="U848" s="77"/>
      <c r="V848" s="77"/>
      <c r="W848" s="77"/>
      <c r="X848" s="77"/>
      <c r="Y848" s="77"/>
      <c r="Z848" s="77"/>
      <c r="AA848" s="77"/>
      <c r="AB848" s="77"/>
      <c r="AC848" s="77"/>
      <c r="AD848" s="227"/>
      <c r="AE848" s="77"/>
      <c r="AF848" s="227"/>
      <c r="AG848" s="77"/>
      <c r="AH848" s="77"/>
      <c r="AI848" s="77"/>
      <c r="AJ848" s="77"/>
      <c r="AK848" s="77"/>
      <c r="AL848" s="77"/>
      <c r="AM848" s="77"/>
      <c r="AN848" s="77"/>
      <c r="AO848" s="77"/>
      <c r="AP848" s="77"/>
      <c r="AQ848" s="77"/>
      <c r="AR848" s="77"/>
      <c r="AS848" s="77"/>
      <c r="AT848" s="77"/>
      <c r="AU848" s="77"/>
      <c r="AV848" s="77"/>
      <c r="AW848" s="77"/>
      <c r="AX848" s="77"/>
      <c r="AY848" s="77"/>
      <c r="AZ848" s="77"/>
      <c r="BA848" s="77"/>
      <c r="BB848" s="77"/>
      <c r="BC848" s="77"/>
      <c r="BD848" s="77"/>
      <c r="BE848" s="77"/>
    </row>
    <row r="849">
      <c r="A849" s="77"/>
      <c r="B849" s="77"/>
      <c r="C849" s="77"/>
      <c r="D849" s="77"/>
      <c r="E849" s="188"/>
      <c r="F849" s="188"/>
      <c r="G849" s="188"/>
      <c r="H849" s="188"/>
      <c r="I849" s="188"/>
      <c r="J849" s="77"/>
      <c r="K849" s="77"/>
      <c r="L849" s="77"/>
      <c r="M849" s="77"/>
      <c r="N849" s="77"/>
      <c r="O849" s="77"/>
      <c r="P849" s="77"/>
      <c r="Q849" s="77"/>
      <c r="R849" s="77"/>
      <c r="S849" s="77"/>
      <c r="T849" s="77"/>
      <c r="U849" s="77"/>
      <c r="V849" s="77"/>
      <c r="W849" s="77"/>
      <c r="X849" s="77"/>
      <c r="Y849" s="77"/>
      <c r="Z849" s="77"/>
      <c r="AA849" s="77"/>
      <c r="AB849" s="77"/>
      <c r="AC849" s="77"/>
      <c r="AD849" s="227"/>
      <c r="AE849" s="77"/>
      <c r="AF849" s="227"/>
      <c r="AG849" s="77"/>
      <c r="AH849" s="77"/>
      <c r="AI849" s="77"/>
      <c r="AJ849" s="77"/>
      <c r="AK849" s="77"/>
      <c r="AL849" s="77"/>
      <c r="AM849" s="77"/>
      <c r="AN849" s="77"/>
      <c r="AO849" s="77"/>
      <c r="AP849" s="77"/>
      <c r="AQ849" s="77"/>
      <c r="AR849" s="77"/>
      <c r="AS849" s="77"/>
      <c r="AT849" s="77"/>
      <c r="AU849" s="77"/>
      <c r="AV849" s="77"/>
      <c r="AW849" s="77"/>
      <c r="AX849" s="77"/>
      <c r="AY849" s="77"/>
      <c r="AZ849" s="77"/>
      <c r="BA849" s="77"/>
      <c r="BB849" s="77"/>
      <c r="BC849" s="77"/>
      <c r="BD849" s="77"/>
      <c r="BE849" s="77"/>
    </row>
    <row r="850">
      <c r="A850" s="77"/>
      <c r="B850" s="77"/>
      <c r="C850" s="77"/>
      <c r="D850" s="77"/>
      <c r="E850" s="188"/>
      <c r="F850" s="188"/>
      <c r="G850" s="188"/>
      <c r="H850" s="188"/>
      <c r="I850" s="188"/>
      <c r="J850" s="77"/>
      <c r="K850" s="77"/>
      <c r="L850" s="77"/>
      <c r="M850" s="77"/>
      <c r="N850" s="77"/>
      <c r="O850" s="77"/>
      <c r="P850" s="77"/>
      <c r="Q850" s="77"/>
      <c r="R850" s="77"/>
      <c r="S850" s="77"/>
      <c r="T850" s="77"/>
      <c r="U850" s="77"/>
      <c r="V850" s="77"/>
      <c r="W850" s="77"/>
      <c r="X850" s="77"/>
      <c r="Y850" s="77"/>
      <c r="Z850" s="77"/>
      <c r="AA850" s="77"/>
      <c r="AB850" s="77"/>
      <c r="AC850" s="77"/>
      <c r="AD850" s="227"/>
      <c r="AE850" s="77"/>
      <c r="AF850" s="227"/>
      <c r="AG850" s="77"/>
      <c r="AH850" s="77"/>
      <c r="AI850" s="77"/>
      <c r="AJ850" s="77"/>
      <c r="AK850" s="77"/>
      <c r="AL850" s="77"/>
      <c r="AM850" s="77"/>
      <c r="AN850" s="77"/>
      <c r="AO850" s="77"/>
      <c r="AP850" s="77"/>
      <c r="AQ850" s="77"/>
      <c r="AR850" s="77"/>
      <c r="AS850" s="77"/>
      <c r="AT850" s="77"/>
      <c r="AU850" s="77"/>
      <c r="AV850" s="77"/>
      <c r="AW850" s="77"/>
      <c r="AX850" s="77"/>
      <c r="AY850" s="77"/>
      <c r="AZ850" s="77"/>
      <c r="BA850" s="77"/>
      <c r="BB850" s="77"/>
      <c r="BC850" s="77"/>
      <c r="BD850" s="77"/>
      <c r="BE850" s="77"/>
    </row>
    <row r="851">
      <c r="A851" s="77"/>
      <c r="B851" s="77"/>
      <c r="C851" s="77"/>
      <c r="D851" s="77"/>
      <c r="E851" s="188"/>
      <c r="F851" s="188"/>
      <c r="G851" s="188"/>
      <c r="H851" s="188"/>
      <c r="I851" s="188"/>
      <c r="J851" s="77"/>
      <c r="K851" s="77"/>
      <c r="L851" s="77"/>
      <c r="M851" s="77"/>
      <c r="N851" s="77"/>
      <c r="O851" s="77"/>
      <c r="P851" s="77"/>
      <c r="Q851" s="77"/>
      <c r="R851" s="77"/>
      <c r="S851" s="77"/>
      <c r="T851" s="77"/>
      <c r="U851" s="77"/>
      <c r="V851" s="77"/>
      <c r="W851" s="77"/>
      <c r="X851" s="77"/>
      <c r="Y851" s="77"/>
      <c r="Z851" s="77"/>
      <c r="AA851" s="77"/>
      <c r="AB851" s="77"/>
      <c r="AC851" s="77"/>
      <c r="AD851" s="227"/>
      <c r="AE851" s="77"/>
      <c r="AF851" s="227"/>
      <c r="AG851" s="77"/>
      <c r="AH851" s="77"/>
      <c r="AI851" s="77"/>
      <c r="AJ851" s="77"/>
      <c r="AK851" s="77"/>
      <c r="AL851" s="77"/>
      <c r="AM851" s="77"/>
      <c r="AN851" s="77"/>
      <c r="AO851" s="77"/>
      <c r="AP851" s="77"/>
      <c r="AQ851" s="77"/>
      <c r="AR851" s="77"/>
      <c r="AS851" s="77"/>
      <c r="AT851" s="77"/>
      <c r="AU851" s="77"/>
      <c r="AV851" s="77"/>
      <c r="AW851" s="77"/>
      <c r="AX851" s="77"/>
      <c r="AY851" s="77"/>
      <c r="AZ851" s="77"/>
      <c r="BA851" s="77"/>
      <c r="BB851" s="77"/>
      <c r="BC851" s="77"/>
      <c r="BD851" s="77"/>
      <c r="BE851" s="77"/>
    </row>
    <row r="852">
      <c r="A852" s="77"/>
      <c r="B852" s="77"/>
      <c r="C852" s="77"/>
      <c r="D852" s="77"/>
      <c r="E852" s="188"/>
      <c r="F852" s="188"/>
      <c r="G852" s="188"/>
      <c r="H852" s="188"/>
      <c r="I852" s="188"/>
      <c r="J852" s="77"/>
      <c r="K852" s="77"/>
      <c r="L852" s="77"/>
      <c r="M852" s="77"/>
      <c r="N852" s="77"/>
      <c r="O852" s="77"/>
      <c r="P852" s="77"/>
      <c r="Q852" s="77"/>
      <c r="R852" s="77"/>
      <c r="S852" s="77"/>
      <c r="T852" s="77"/>
      <c r="U852" s="77"/>
      <c r="V852" s="77"/>
      <c r="W852" s="77"/>
      <c r="X852" s="77"/>
      <c r="Y852" s="77"/>
      <c r="Z852" s="77"/>
      <c r="AA852" s="77"/>
      <c r="AB852" s="77"/>
      <c r="AC852" s="77"/>
      <c r="AD852" s="227"/>
      <c r="AE852" s="77"/>
      <c r="AF852" s="227"/>
      <c r="AG852" s="77"/>
      <c r="AH852" s="77"/>
      <c r="AI852" s="77"/>
      <c r="AJ852" s="77"/>
      <c r="AK852" s="77"/>
      <c r="AL852" s="77"/>
      <c r="AM852" s="77"/>
      <c r="AN852" s="77"/>
      <c r="AO852" s="77"/>
      <c r="AP852" s="77"/>
      <c r="AQ852" s="77"/>
      <c r="AR852" s="77"/>
      <c r="AS852" s="77"/>
      <c r="AT852" s="77"/>
      <c r="AU852" s="77"/>
      <c r="AV852" s="77"/>
      <c r="AW852" s="77"/>
      <c r="AX852" s="77"/>
      <c r="AY852" s="77"/>
      <c r="AZ852" s="77"/>
      <c r="BA852" s="77"/>
      <c r="BB852" s="77"/>
      <c r="BC852" s="77"/>
      <c r="BD852" s="77"/>
      <c r="BE852" s="77"/>
    </row>
    <row r="853">
      <c r="A853" s="77"/>
      <c r="B853" s="77"/>
      <c r="C853" s="77"/>
      <c r="D853" s="77"/>
      <c r="E853" s="188"/>
      <c r="F853" s="188"/>
      <c r="G853" s="188"/>
      <c r="H853" s="188"/>
      <c r="I853" s="188"/>
      <c r="J853" s="77"/>
      <c r="K853" s="77"/>
      <c r="L853" s="77"/>
      <c r="M853" s="77"/>
      <c r="N853" s="77"/>
      <c r="O853" s="77"/>
      <c r="P853" s="77"/>
      <c r="Q853" s="77"/>
      <c r="R853" s="77"/>
      <c r="S853" s="77"/>
      <c r="T853" s="77"/>
      <c r="U853" s="77"/>
      <c r="V853" s="77"/>
      <c r="W853" s="77"/>
      <c r="X853" s="77"/>
      <c r="Y853" s="77"/>
      <c r="Z853" s="77"/>
      <c r="AA853" s="77"/>
      <c r="AB853" s="77"/>
      <c r="AC853" s="77"/>
      <c r="AD853" s="227"/>
      <c r="AE853" s="77"/>
      <c r="AF853" s="227"/>
      <c r="AG853" s="77"/>
      <c r="AH853" s="77"/>
      <c r="AI853" s="77"/>
      <c r="AJ853" s="77"/>
      <c r="AK853" s="77"/>
      <c r="AL853" s="77"/>
      <c r="AM853" s="77"/>
      <c r="AN853" s="77"/>
      <c r="AO853" s="77"/>
      <c r="AP853" s="77"/>
      <c r="AQ853" s="77"/>
      <c r="AR853" s="77"/>
      <c r="AS853" s="77"/>
      <c r="AT853" s="77"/>
      <c r="AU853" s="77"/>
      <c r="AV853" s="77"/>
      <c r="AW853" s="77"/>
      <c r="AX853" s="77"/>
      <c r="AY853" s="77"/>
      <c r="AZ853" s="77"/>
      <c r="BA853" s="77"/>
      <c r="BB853" s="77"/>
      <c r="BC853" s="77"/>
      <c r="BD853" s="77"/>
      <c r="BE853" s="77"/>
    </row>
    <row r="854">
      <c r="A854" s="77"/>
      <c r="B854" s="77"/>
      <c r="C854" s="77"/>
      <c r="D854" s="77"/>
      <c r="E854" s="188"/>
      <c r="F854" s="188"/>
      <c r="G854" s="188"/>
      <c r="H854" s="188"/>
      <c r="I854" s="188"/>
      <c r="J854" s="77"/>
      <c r="K854" s="77"/>
      <c r="L854" s="77"/>
      <c r="M854" s="77"/>
      <c r="N854" s="77"/>
      <c r="O854" s="77"/>
      <c r="P854" s="77"/>
      <c r="Q854" s="77"/>
      <c r="R854" s="77"/>
      <c r="S854" s="77"/>
      <c r="T854" s="77"/>
      <c r="U854" s="77"/>
      <c r="V854" s="77"/>
      <c r="W854" s="77"/>
      <c r="X854" s="77"/>
      <c r="Y854" s="77"/>
      <c r="Z854" s="77"/>
      <c r="AA854" s="77"/>
      <c r="AB854" s="77"/>
      <c r="AC854" s="77"/>
      <c r="AD854" s="227"/>
      <c r="AE854" s="77"/>
      <c r="AF854" s="227"/>
      <c r="AG854" s="77"/>
      <c r="AH854" s="77"/>
      <c r="AI854" s="77"/>
      <c r="AJ854" s="77"/>
      <c r="AK854" s="77"/>
      <c r="AL854" s="77"/>
      <c r="AM854" s="77"/>
      <c r="AN854" s="77"/>
      <c r="AO854" s="77"/>
      <c r="AP854" s="77"/>
      <c r="AQ854" s="77"/>
      <c r="AR854" s="77"/>
      <c r="AS854" s="77"/>
      <c r="AT854" s="77"/>
      <c r="AU854" s="77"/>
      <c r="AV854" s="77"/>
      <c r="AW854" s="77"/>
      <c r="AX854" s="77"/>
      <c r="AY854" s="77"/>
      <c r="AZ854" s="77"/>
      <c r="BA854" s="77"/>
      <c r="BB854" s="77"/>
      <c r="BC854" s="77"/>
      <c r="BD854" s="77"/>
      <c r="BE854" s="77"/>
    </row>
    <row r="855">
      <c r="A855" s="77"/>
      <c r="B855" s="77"/>
      <c r="C855" s="77"/>
      <c r="D855" s="77"/>
      <c r="E855" s="188"/>
      <c r="F855" s="188"/>
      <c r="G855" s="188"/>
      <c r="H855" s="188"/>
      <c r="I855" s="188"/>
      <c r="J855" s="77"/>
      <c r="K855" s="77"/>
      <c r="L855" s="77"/>
      <c r="M855" s="77"/>
      <c r="N855" s="77"/>
      <c r="O855" s="77"/>
      <c r="P855" s="77"/>
      <c r="Q855" s="77"/>
      <c r="R855" s="77"/>
      <c r="S855" s="77"/>
      <c r="T855" s="77"/>
      <c r="U855" s="77"/>
      <c r="V855" s="77"/>
      <c r="W855" s="77"/>
      <c r="X855" s="77"/>
      <c r="Y855" s="77"/>
      <c r="Z855" s="77"/>
      <c r="AA855" s="77"/>
      <c r="AB855" s="77"/>
      <c r="AC855" s="77"/>
      <c r="AD855" s="227"/>
      <c r="AE855" s="77"/>
      <c r="AF855" s="227"/>
      <c r="AG855" s="77"/>
      <c r="AH855" s="77"/>
      <c r="AI855" s="77"/>
      <c r="AJ855" s="77"/>
      <c r="AK855" s="77"/>
      <c r="AL855" s="77"/>
      <c r="AM855" s="77"/>
      <c r="AN855" s="77"/>
      <c r="AO855" s="77"/>
      <c r="AP855" s="77"/>
      <c r="AQ855" s="77"/>
      <c r="AR855" s="77"/>
      <c r="AS855" s="77"/>
      <c r="AT855" s="77"/>
      <c r="AU855" s="77"/>
      <c r="AV855" s="77"/>
      <c r="AW855" s="77"/>
      <c r="AX855" s="77"/>
      <c r="AY855" s="77"/>
      <c r="AZ855" s="77"/>
      <c r="BA855" s="77"/>
      <c r="BB855" s="77"/>
      <c r="BC855" s="77"/>
      <c r="BD855" s="77"/>
      <c r="BE855" s="77"/>
    </row>
    <row r="856">
      <c r="A856" s="77"/>
      <c r="B856" s="77"/>
      <c r="C856" s="77"/>
      <c r="D856" s="77"/>
      <c r="E856" s="188"/>
      <c r="F856" s="188"/>
      <c r="G856" s="188"/>
      <c r="H856" s="188"/>
      <c r="I856" s="188"/>
      <c r="J856" s="77"/>
      <c r="K856" s="77"/>
      <c r="L856" s="77"/>
      <c r="M856" s="77"/>
      <c r="N856" s="77"/>
      <c r="O856" s="77"/>
      <c r="P856" s="77"/>
      <c r="Q856" s="77"/>
      <c r="R856" s="77"/>
      <c r="S856" s="77"/>
      <c r="T856" s="77"/>
      <c r="U856" s="77"/>
      <c r="V856" s="77"/>
      <c r="W856" s="77"/>
      <c r="X856" s="77"/>
      <c r="Y856" s="77"/>
      <c r="Z856" s="77"/>
      <c r="AA856" s="77"/>
      <c r="AB856" s="77"/>
      <c r="AC856" s="77"/>
      <c r="AD856" s="227"/>
      <c r="AE856" s="77"/>
      <c r="AF856" s="227"/>
      <c r="AG856" s="77"/>
      <c r="AH856" s="77"/>
      <c r="AI856" s="77"/>
      <c r="AJ856" s="77"/>
      <c r="AK856" s="77"/>
      <c r="AL856" s="77"/>
      <c r="AM856" s="77"/>
      <c r="AN856" s="77"/>
      <c r="AO856" s="77"/>
      <c r="AP856" s="77"/>
      <c r="AQ856" s="77"/>
      <c r="AR856" s="77"/>
      <c r="AS856" s="77"/>
      <c r="AT856" s="77"/>
      <c r="AU856" s="77"/>
      <c r="AV856" s="77"/>
      <c r="AW856" s="77"/>
      <c r="AX856" s="77"/>
      <c r="AY856" s="77"/>
      <c r="AZ856" s="77"/>
      <c r="BA856" s="77"/>
      <c r="BB856" s="77"/>
      <c r="BC856" s="77"/>
      <c r="BD856" s="77"/>
      <c r="BE856" s="77"/>
    </row>
    <row r="857">
      <c r="A857" s="77"/>
      <c r="B857" s="77"/>
      <c r="C857" s="77"/>
      <c r="D857" s="77"/>
      <c r="E857" s="188"/>
      <c r="F857" s="188"/>
      <c r="G857" s="188"/>
      <c r="H857" s="188"/>
      <c r="I857" s="188"/>
      <c r="J857" s="77"/>
      <c r="K857" s="77"/>
      <c r="L857" s="77"/>
      <c r="M857" s="77"/>
      <c r="N857" s="77"/>
      <c r="O857" s="77"/>
      <c r="P857" s="77"/>
      <c r="Q857" s="77"/>
      <c r="R857" s="77"/>
      <c r="S857" s="77"/>
      <c r="T857" s="77"/>
      <c r="U857" s="77"/>
      <c r="V857" s="77"/>
      <c r="W857" s="77"/>
      <c r="X857" s="77"/>
      <c r="Y857" s="77"/>
      <c r="Z857" s="77"/>
      <c r="AA857" s="77"/>
      <c r="AB857" s="77"/>
      <c r="AC857" s="77"/>
      <c r="AD857" s="227"/>
      <c r="AE857" s="77"/>
      <c r="AF857" s="227"/>
      <c r="AG857" s="77"/>
      <c r="AH857" s="77"/>
      <c r="AI857" s="77"/>
      <c r="AJ857" s="77"/>
      <c r="AK857" s="77"/>
      <c r="AL857" s="77"/>
      <c r="AM857" s="77"/>
      <c r="AN857" s="77"/>
      <c r="AO857" s="77"/>
      <c r="AP857" s="77"/>
      <c r="AQ857" s="77"/>
      <c r="AR857" s="77"/>
      <c r="AS857" s="77"/>
      <c r="AT857" s="77"/>
      <c r="AU857" s="77"/>
      <c r="AV857" s="77"/>
      <c r="AW857" s="77"/>
      <c r="AX857" s="77"/>
      <c r="AY857" s="77"/>
      <c r="AZ857" s="77"/>
      <c r="BA857" s="77"/>
      <c r="BB857" s="77"/>
      <c r="BC857" s="77"/>
      <c r="BD857" s="77"/>
      <c r="BE857" s="77"/>
    </row>
    <row r="858">
      <c r="A858" s="77"/>
      <c r="B858" s="77"/>
      <c r="C858" s="77"/>
      <c r="D858" s="77"/>
      <c r="E858" s="188"/>
      <c r="F858" s="188"/>
      <c r="G858" s="188"/>
      <c r="H858" s="188"/>
      <c r="I858" s="188"/>
      <c r="J858" s="77"/>
      <c r="K858" s="77"/>
      <c r="L858" s="77"/>
      <c r="M858" s="77"/>
      <c r="N858" s="77"/>
      <c r="O858" s="77"/>
      <c r="P858" s="77"/>
      <c r="Q858" s="77"/>
      <c r="R858" s="77"/>
      <c r="S858" s="77"/>
      <c r="T858" s="77"/>
      <c r="U858" s="77"/>
      <c r="V858" s="77"/>
      <c r="W858" s="77"/>
      <c r="X858" s="77"/>
      <c r="Y858" s="77"/>
      <c r="Z858" s="77"/>
      <c r="AA858" s="77"/>
      <c r="AB858" s="77"/>
      <c r="AC858" s="77"/>
      <c r="AD858" s="227"/>
      <c r="AE858" s="77"/>
      <c r="AF858" s="227"/>
      <c r="AG858" s="77"/>
      <c r="AH858" s="77"/>
      <c r="AI858" s="77"/>
      <c r="AJ858" s="77"/>
      <c r="AK858" s="77"/>
      <c r="AL858" s="77"/>
      <c r="AM858" s="77"/>
      <c r="AN858" s="77"/>
      <c r="AO858" s="77"/>
      <c r="AP858" s="77"/>
      <c r="AQ858" s="77"/>
      <c r="AR858" s="77"/>
      <c r="AS858" s="77"/>
      <c r="AT858" s="77"/>
      <c r="AU858" s="77"/>
      <c r="AV858" s="77"/>
      <c r="AW858" s="77"/>
      <c r="AX858" s="77"/>
      <c r="AY858" s="77"/>
      <c r="AZ858" s="77"/>
      <c r="BA858" s="77"/>
      <c r="BB858" s="77"/>
      <c r="BC858" s="77"/>
      <c r="BD858" s="77"/>
      <c r="BE858" s="77"/>
    </row>
    <row r="859">
      <c r="A859" s="77"/>
      <c r="B859" s="77"/>
      <c r="C859" s="77"/>
      <c r="D859" s="77"/>
      <c r="E859" s="188"/>
      <c r="F859" s="188"/>
      <c r="G859" s="188"/>
      <c r="H859" s="188"/>
      <c r="I859" s="188"/>
      <c r="J859" s="77"/>
      <c r="K859" s="77"/>
      <c r="L859" s="77"/>
      <c r="M859" s="77"/>
      <c r="N859" s="77"/>
      <c r="O859" s="77"/>
      <c r="P859" s="77"/>
      <c r="Q859" s="77"/>
      <c r="R859" s="77"/>
      <c r="S859" s="77"/>
      <c r="T859" s="77"/>
      <c r="U859" s="77"/>
      <c r="V859" s="77"/>
      <c r="W859" s="77"/>
      <c r="X859" s="77"/>
      <c r="Y859" s="77"/>
      <c r="Z859" s="77"/>
      <c r="AA859" s="77"/>
      <c r="AB859" s="77"/>
      <c r="AC859" s="77"/>
      <c r="AD859" s="227"/>
      <c r="AE859" s="77"/>
      <c r="AF859" s="227"/>
      <c r="AG859" s="77"/>
      <c r="AH859" s="77"/>
      <c r="AI859" s="77"/>
      <c r="AJ859" s="77"/>
      <c r="AK859" s="77"/>
      <c r="AL859" s="77"/>
      <c r="AM859" s="77"/>
      <c r="AN859" s="77"/>
      <c r="AO859" s="77"/>
      <c r="AP859" s="77"/>
      <c r="AQ859" s="77"/>
      <c r="AR859" s="77"/>
      <c r="AS859" s="77"/>
      <c r="AT859" s="77"/>
      <c r="AU859" s="77"/>
      <c r="AV859" s="77"/>
      <c r="AW859" s="77"/>
      <c r="AX859" s="77"/>
      <c r="AY859" s="77"/>
      <c r="AZ859" s="77"/>
      <c r="BA859" s="77"/>
      <c r="BB859" s="77"/>
      <c r="BC859" s="77"/>
      <c r="BD859" s="77"/>
      <c r="BE859" s="77"/>
    </row>
    <row r="860">
      <c r="A860" s="77"/>
      <c r="B860" s="77"/>
      <c r="C860" s="77"/>
      <c r="D860" s="77"/>
      <c r="E860" s="188"/>
      <c r="F860" s="188"/>
      <c r="G860" s="188"/>
      <c r="H860" s="188"/>
      <c r="I860" s="188"/>
      <c r="J860" s="77"/>
      <c r="K860" s="77"/>
      <c r="L860" s="77"/>
      <c r="M860" s="77"/>
      <c r="N860" s="77"/>
      <c r="O860" s="77"/>
      <c r="P860" s="77"/>
      <c r="Q860" s="77"/>
      <c r="R860" s="77"/>
      <c r="S860" s="77"/>
      <c r="T860" s="77"/>
      <c r="U860" s="77"/>
      <c r="V860" s="77"/>
      <c r="W860" s="77"/>
      <c r="X860" s="77"/>
      <c r="Y860" s="77"/>
      <c r="Z860" s="77"/>
      <c r="AA860" s="77"/>
      <c r="AB860" s="77"/>
      <c r="AC860" s="77"/>
      <c r="AD860" s="227"/>
      <c r="AE860" s="77"/>
      <c r="AF860" s="227"/>
      <c r="AG860" s="77"/>
      <c r="AH860" s="77"/>
      <c r="AI860" s="77"/>
      <c r="AJ860" s="77"/>
      <c r="AK860" s="77"/>
      <c r="AL860" s="77"/>
      <c r="AM860" s="77"/>
      <c r="AN860" s="77"/>
      <c r="AO860" s="77"/>
      <c r="AP860" s="77"/>
      <c r="AQ860" s="77"/>
      <c r="AR860" s="77"/>
      <c r="AS860" s="77"/>
      <c r="AT860" s="77"/>
      <c r="AU860" s="77"/>
      <c r="AV860" s="77"/>
      <c r="AW860" s="77"/>
      <c r="AX860" s="77"/>
      <c r="AY860" s="77"/>
      <c r="AZ860" s="77"/>
      <c r="BA860" s="77"/>
      <c r="BB860" s="77"/>
      <c r="BC860" s="77"/>
      <c r="BD860" s="77"/>
      <c r="BE860" s="77"/>
    </row>
    <row r="861">
      <c r="A861" s="77"/>
      <c r="B861" s="77"/>
      <c r="C861" s="77"/>
      <c r="D861" s="77"/>
      <c r="E861" s="188"/>
      <c r="F861" s="188"/>
      <c r="G861" s="188"/>
      <c r="H861" s="188"/>
      <c r="I861" s="188"/>
      <c r="J861" s="77"/>
      <c r="K861" s="77"/>
      <c r="L861" s="77"/>
      <c r="M861" s="77"/>
      <c r="N861" s="77"/>
      <c r="O861" s="77"/>
      <c r="P861" s="77"/>
      <c r="Q861" s="77"/>
      <c r="R861" s="77"/>
      <c r="S861" s="77"/>
      <c r="T861" s="77"/>
      <c r="U861" s="77"/>
      <c r="V861" s="77"/>
      <c r="W861" s="77"/>
      <c r="X861" s="77"/>
      <c r="Y861" s="77"/>
      <c r="Z861" s="77"/>
      <c r="AA861" s="77"/>
      <c r="AB861" s="77"/>
      <c r="AC861" s="77"/>
      <c r="AD861" s="227"/>
      <c r="AE861" s="77"/>
      <c r="AF861" s="227"/>
      <c r="AG861" s="77"/>
      <c r="AH861" s="77"/>
      <c r="AI861" s="77"/>
      <c r="AJ861" s="77"/>
      <c r="AK861" s="77"/>
      <c r="AL861" s="77"/>
      <c r="AM861" s="77"/>
      <c r="AN861" s="77"/>
      <c r="AO861" s="77"/>
      <c r="AP861" s="77"/>
      <c r="AQ861" s="77"/>
      <c r="AR861" s="77"/>
      <c r="AS861" s="77"/>
      <c r="AT861" s="77"/>
      <c r="AU861" s="77"/>
      <c r="AV861" s="77"/>
      <c r="AW861" s="77"/>
      <c r="AX861" s="77"/>
      <c r="AY861" s="77"/>
      <c r="AZ861" s="77"/>
      <c r="BA861" s="77"/>
      <c r="BB861" s="77"/>
      <c r="BC861" s="77"/>
      <c r="BD861" s="77"/>
      <c r="BE861" s="77"/>
    </row>
    <row r="862">
      <c r="A862" s="77"/>
      <c r="B862" s="77"/>
      <c r="C862" s="77"/>
      <c r="D862" s="77"/>
      <c r="E862" s="188"/>
      <c r="F862" s="188"/>
      <c r="G862" s="188"/>
      <c r="H862" s="188"/>
      <c r="I862" s="188"/>
      <c r="J862" s="77"/>
      <c r="K862" s="77"/>
      <c r="L862" s="77"/>
      <c r="M862" s="77"/>
      <c r="N862" s="77"/>
      <c r="O862" s="77"/>
      <c r="P862" s="77"/>
      <c r="Q862" s="77"/>
      <c r="R862" s="77"/>
      <c r="S862" s="77"/>
      <c r="T862" s="77"/>
      <c r="U862" s="77"/>
      <c r="V862" s="77"/>
      <c r="W862" s="77"/>
      <c r="X862" s="77"/>
      <c r="Y862" s="77"/>
      <c r="Z862" s="77"/>
      <c r="AA862" s="77"/>
      <c r="AB862" s="77"/>
      <c r="AC862" s="77"/>
      <c r="AD862" s="227"/>
      <c r="AE862" s="77"/>
      <c r="AF862" s="227"/>
      <c r="AG862" s="77"/>
      <c r="AH862" s="77"/>
      <c r="AI862" s="77"/>
      <c r="AJ862" s="77"/>
      <c r="AK862" s="77"/>
      <c r="AL862" s="77"/>
      <c r="AM862" s="77"/>
      <c r="AN862" s="77"/>
      <c r="AO862" s="77"/>
      <c r="AP862" s="77"/>
      <c r="AQ862" s="77"/>
      <c r="AR862" s="77"/>
      <c r="AS862" s="77"/>
      <c r="AT862" s="77"/>
      <c r="AU862" s="77"/>
      <c r="AV862" s="77"/>
      <c r="AW862" s="77"/>
      <c r="AX862" s="77"/>
      <c r="AY862" s="77"/>
      <c r="AZ862" s="77"/>
      <c r="BA862" s="77"/>
      <c r="BB862" s="77"/>
      <c r="BC862" s="77"/>
      <c r="BD862" s="77"/>
      <c r="BE862" s="77"/>
    </row>
    <row r="863">
      <c r="A863" s="77"/>
      <c r="B863" s="77"/>
      <c r="C863" s="77"/>
      <c r="D863" s="77"/>
      <c r="E863" s="188"/>
      <c r="F863" s="188"/>
      <c r="G863" s="188"/>
      <c r="H863" s="188"/>
      <c r="I863" s="188"/>
      <c r="J863" s="77"/>
      <c r="K863" s="77"/>
      <c r="L863" s="77"/>
      <c r="M863" s="77"/>
      <c r="N863" s="77"/>
      <c r="O863" s="77"/>
      <c r="P863" s="77"/>
      <c r="Q863" s="77"/>
      <c r="R863" s="77"/>
      <c r="S863" s="77"/>
      <c r="T863" s="77"/>
      <c r="U863" s="77"/>
      <c r="V863" s="77"/>
      <c r="W863" s="77"/>
      <c r="X863" s="77"/>
      <c r="Y863" s="77"/>
      <c r="Z863" s="77"/>
      <c r="AA863" s="77"/>
      <c r="AB863" s="77"/>
      <c r="AC863" s="77"/>
      <c r="AD863" s="227"/>
      <c r="AE863" s="77"/>
      <c r="AF863" s="227"/>
      <c r="AG863" s="77"/>
      <c r="AH863" s="77"/>
      <c r="AI863" s="77"/>
      <c r="AJ863" s="77"/>
      <c r="AK863" s="77"/>
      <c r="AL863" s="77"/>
      <c r="AM863" s="77"/>
      <c r="AN863" s="77"/>
      <c r="AO863" s="77"/>
      <c r="AP863" s="77"/>
      <c r="AQ863" s="77"/>
      <c r="AR863" s="77"/>
      <c r="AS863" s="77"/>
      <c r="AT863" s="77"/>
      <c r="AU863" s="77"/>
      <c r="AV863" s="77"/>
      <c r="AW863" s="77"/>
      <c r="AX863" s="77"/>
      <c r="AY863" s="77"/>
      <c r="AZ863" s="77"/>
      <c r="BA863" s="77"/>
      <c r="BB863" s="77"/>
      <c r="BC863" s="77"/>
      <c r="BD863" s="77"/>
      <c r="BE863" s="77"/>
    </row>
    <row r="864">
      <c r="A864" s="77"/>
      <c r="B864" s="77"/>
      <c r="C864" s="77"/>
      <c r="D864" s="77"/>
      <c r="E864" s="188"/>
      <c r="F864" s="188"/>
      <c r="G864" s="188"/>
      <c r="H864" s="188"/>
      <c r="I864" s="188"/>
      <c r="J864" s="77"/>
      <c r="K864" s="77"/>
      <c r="L864" s="77"/>
      <c r="M864" s="77"/>
      <c r="N864" s="77"/>
      <c r="O864" s="77"/>
      <c r="P864" s="77"/>
      <c r="Q864" s="77"/>
      <c r="R864" s="77"/>
      <c r="S864" s="77"/>
      <c r="T864" s="77"/>
      <c r="U864" s="77"/>
      <c r="V864" s="77"/>
      <c r="W864" s="77"/>
      <c r="X864" s="77"/>
      <c r="Y864" s="77"/>
      <c r="Z864" s="77"/>
      <c r="AA864" s="77"/>
      <c r="AB864" s="77"/>
      <c r="AC864" s="77"/>
      <c r="AD864" s="227"/>
      <c r="AE864" s="77"/>
      <c r="AF864" s="227"/>
      <c r="AG864" s="77"/>
      <c r="AH864" s="77"/>
      <c r="AI864" s="77"/>
      <c r="AJ864" s="77"/>
      <c r="AK864" s="77"/>
      <c r="AL864" s="77"/>
      <c r="AM864" s="77"/>
      <c r="AN864" s="77"/>
      <c r="AO864" s="77"/>
      <c r="AP864" s="77"/>
      <c r="AQ864" s="77"/>
      <c r="AR864" s="77"/>
      <c r="AS864" s="77"/>
      <c r="AT864" s="77"/>
      <c r="AU864" s="77"/>
      <c r="AV864" s="77"/>
      <c r="AW864" s="77"/>
      <c r="AX864" s="77"/>
      <c r="AY864" s="77"/>
      <c r="AZ864" s="77"/>
      <c r="BA864" s="77"/>
      <c r="BB864" s="77"/>
      <c r="BC864" s="77"/>
      <c r="BD864" s="77"/>
      <c r="BE864" s="77"/>
    </row>
    <row r="865">
      <c r="A865" s="77"/>
      <c r="B865" s="77"/>
      <c r="C865" s="77"/>
      <c r="D865" s="77"/>
      <c r="E865" s="188"/>
      <c r="F865" s="188"/>
      <c r="G865" s="188"/>
      <c r="H865" s="188"/>
      <c r="I865" s="188"/>
      <c r="J865" s="77"/>
      <c r="K865" s="77"/>
      <c r="L865" s="77"/>
      <c r="M865" s="77"/>
      <c r="N865" s="77"/>
      <c r="O865" s="77"/>
      <c r="P865" s="77"/>
      <c r="Q865" s="77"/>
      <c r="R865" s="77"/>
      <c r="S865" s="77"/>
      <c r="T865" s="77"/>
      <c r="U865" s="77"/>
      <c r="V865" s="77"/>
      <c r="W865" s="77"/>
      <c r="X865" s="77"/>
      <c r="Y865" s="77"/>
      <c r="Z865" s="77"/>
      <c r="AA865" s="77"/>
      <c r="AB865" s="77"/>
      <c r="AC865" s="77"/>
      <c r="AD865" s="227"/>
      <c r="AE865" s="77"/>
      <c r="AF865" s="227"/>
      <c r="AG865" s="77"/>
      <c r="AH865" s="77"/>
      <c r="AI865" s="77"/>
      <c r="AJ865" s="77"/>
      <c r="AK865" s="77"/>
      <c r="AL865" s="77"/>
      <c r="AM865" s="77"/>
      <c r="AN865" s="77"/>
      <c r="AO865" s="77"/>
      <c r="AP865" s="77"/>
      <c r="AQ865" s="77"/>
      <c r="AR865" s="77"/>
      <c r="AS865" s="77"/>
      <c r="AT865" s="77"/>
      <c r="AU865" s="77"/>
      <c r="AV865" s="77"/>
      <c r="AW865" s="77"/>
      <c r="AX865" s="77"/>
      <c r="AY865" s="77"/>
      <c r="AZ865" s="77"/>
      <c r="BA865" s="77"/>
      <c r="BB865" s="77"/>
      <c r="BC865" s="77"/>
      <c r="BD865" s="77"/>
      <c r="BE865" s="77"/>
    </row>
    <row r="866">
      <c r="A866" s="77"/>
      <c r="B866" s="77"/>
      <c r="C866" s="77"/>
      <c r="D866" s="77"/>
      <c r="E866" s="188"/>
      <c r="F866" s="188"/>
      <c r="G866" s="188"/>
      <c r="H866" s="188"/>
      <c r="I866" s="188"/>
      <c r="J866" s="77"/>
      <c r="K866" s="77"/>
      <c r="L866" s="77"/>
      <c r="M866" s="77"/>
      <c r="N866" s="77"/>
      <c r="O866" s="77"/>
      <c r="P866" s="77"/>
      <c r="Q866" s="77"/>
      <c r="R866" s="77"/>
      <c r="S866" s="77"/>
      <c r="T866" s="77"/>
      <c r="U866" s="77"/>
      <c r="V866" s="77"/>
      <c r="W866" s="77"/>
      <c r="X866" s="77"/>
      <c r="Y866" s="77"/>
      <c r="Z866" s="77"/>
      <c r="AA866" s="77"/>
      <c r="AB866" s="77"/>
      <c r="AC866" s="77"/>
      <c r="AD866" s="227"/>
      <c r="AE866" s="77"/>
      <c r="AF866" s="227"/>
      <c r="AG866" s="77"/>
      <c r="AH866" s="77"/>
      <c r="AI866" s="77"/>
      <c r="AJ866" s="77"/>
      <c r="AK866" s="77"/>
      <c r="AL866" s="77"/>
      <c r="AM866" s="77"/>
      <c r="AN866" s="77"/>
      <c r="AO866" s="77"/>
      <c r="AP866" s="77"/>
      <c r="AQ866" s="77"/>
      <c r="AR866" s="77"/>
      <c r="AS866" s="77"/>
      <c r="AT866" s="77"/>
      <c r="AU866" s="77"/>
      <c r="AV866" s="77"/>
      <c r="AW866" s="77"/>
      <c r="AX866" s="77"/>
      <c r="AY866" s="77"/>
      <c r="AZ866" s="77"/>
      <c r="BA866" s="77"/>
      <c r="BB866" s="77"/>
      <c r="BC866" s="77"/>
      <c r="BD866" s="77"/>
      <c r="BE866" s="77"/>
    </row>
    <row r="867">
      <c r="A867" s="77"/>
      <c r="B867" s="77"/>
      <c r="C867" s="77"/>
      <c r="D867" s="77"/>
      <c r="E867" s="188"/>
      <c r="F867" s="188"/>
      <c r="G867" s="188"/>
      <c r="H867" s="188"/>
      <c r="I867" s="188"/>
      <c r="J867" s="77"/>
      <c r="K867" s="77"/>
      <c r="L867" s="77"/>
      <c r="M867" s="77"/>
      <c r="N867" s="77"/>
      <c r="O867" s="77"/>
      <c r="P867" s="77"/>
      <c r="Q867" s="77"/>
      <c r="R867" s="77"/>
      <c r="S867" s="77"/>
      <c r="T867" s="77"/>
      <c r="U867" s="77"/>
      <c r="V867" s="77"/>
      <c r="W867" s="77"/>
      <c r="X867" s="77"/>
      <c r="Y867" s="77"/>
      <c r="Z867" s="77"/>
      <c r="AA867" s="77"/>
      <c r="AB867" s="77"/>
      <c r="AC867" s="77"/>
      <c r="AD867" s="227"/>
      <c r="AE867" s="77"/>
      <c r="AF867" s="227"/>
      <c r="AG867" s="77"/>
      <c r="AH867" s="77"/>
      <c r="AI867" s="77"/>
      <c r="AJ867" s="77"/>
      <c r="AK867" s="77"/>
      <c r="AL867" s="77"/>
      <c r="AM867" s="77"/>
      <c r="AN867" s="77"/>
      <c r="AO867" s="77"/>
      <c r="AP867" s="77"/>
      <c r="AQ867" s="77"/>
      <c r="AR867" s="77"/>
      <c r="AS867" s="77"/>
      <c r="AT867" s="77"/>
      <c r="AU867" s="77"/>
      <c r="AV867" s="77"/>
      <c r="AW867" s="77"/>
      <c r="AX867" s="77"/>
      <c r="AY867" s="77"/>
      <c r="AZ867" s="77"/>
      <c r="BA867" s="77"/>
      <c r="BB867" s="77"/>
      <c r="BC867" s="77"/>
      <c r="BD867" s="77"/>
      <c r="BE867" s="77"/>
    </row>
    <row r="868">
      <c r="A868" s="77"/>
      <c r="B868" s="77"/>
      <c r="C868" s="77"/>
      <c r="D868" s="77"/>
      <c r="E868" s="188"/>
      <c r="F868" s="188"/>
      <c r="G868" s="188"/>
      <c r="H868" s="188"/>
      <c r="I868" s="188"/>
      <c r="J868" s="77"/>
      <c r="K868" s="77"/>
      <c r="L868" s="77"/>
      <c r="M868" s="77"/>
      <c r="N868" s="77"/>
      <c r="O868" s="77"/>
      <c r="P868" s="77"/>
      <c r="Q868" s="77"/>
      <c r="R868" s="77"/>
      <c r="S868" s="77"/>
      <c r="T868" s="77"/>
      <c r="U868" s="77"/>
      <c r="V868" s="77"/>
      <c r="W868" s="77"/>
      <c r="X868" s="77"/>
      <c r="Y868" s="77"/>
      <c r="Z868" s="77"/>
      <c r="AA868" s="77"/>
      <c r="AB868" s="77"/>
      <c r="AC868" s="77"/>
      <c r="AD868" s="227"/>
      <c r="AE868" s="77"/>
      <c r="AF868" s="227"/>
      <c r="AG868" s="77"/>
      <c r="AH868" s="77"/>
      <c r="AI868" s="77"/>
      <c r="AJ868" s="77"/>
      <c r="AK868" s="77"/>
      <c r="AL868" s="77"/>
      <c r="AM868" s="77"/>
      <c r="AN868" s="77"/>
      <c r="AO868" s="77"/>
      <c r="AP868" s="77"/>
      <c r="AQ868" s="77"/>
      <c r="AR868" s="77"/>
      <c r="AS868" s="77"/>
      <c r="AT868" s="77"/>
      <c r="AU868" s="77"/>
      <c r="AV868" s="77"/>
      <c r="AW868" s="77"/>
      <c r="AX868" s="77"/>
      <c r="AY868" s="77"/>
      <c r="AZ868" s="77"/>
      <c r="BA868" s="77"/>
      <c r="BB868" s="77"/>
      <c r="BC868" s="77"/>
      <c r="BD868" s="77"/>
      <c r="BE868" s="77"/>
    </row>
    <row r="869">
      <c r="A869" s="77"/>
      <c r="B869" s="77"/>
      <c r="C869" s="77"/>
      <c r="D869" s="77"/>
      <c r="E869" s="188"/>
      <c r="F869" s="188"/>
      <c r="G869" s="188"/>
      <c r="H869" s="188"/>
      <c r="I869" s="188"/>
      <c r="J869" s="77"/>
      <c r="K869" s="77"/>
      <c r="L869" s="77"/>
      <c r="M869" s="77"/>
      <c r="N869" s="77"/>
      <c r="O869" s="77"/>
      <c r="P869" s="77"/>
      <c r="Q869" s="77"/>
      <c r="R869" s="77"/>
      <c r="S869" s="77"/>
      <c r="T869" s="77"/>
      <c r="U869" s="77"/>
      <c r="V869" s="77"/>
      <c r="W869" s="77"/>
      <c r="X869" s="77"/>
      <c r="Y869" s="77"/>
      <c r="Z869" s="77"/>
      <c r="AA869" s="77"/>
      <c r="AB869" s="77"/>
      <c r="AC869" s="77"/>
      <c r="AD869" s="227"/>
      <c r="AE869" s="77"/>
      <c r="AF869" s="227"/>
      <c r="AG869" s="77"/>
      <c r="AH869" s="77"/>
      <c r="AI869" s="77"/>
      <c r="AJ869" s="77"/>
      <c r="AK869" s="77"/>
      <c r="AL869" s="77"/>
      <c r="AM869" s="77"/>
      <c r="AN869" s="77"/>
      <c r="AO869" s="77"/>
      <c r="AP869" s="77"/>
      <c r="AQ869" s="77"/>
      <c r="AR869" s="77"/>
      <c r="AS869" s="77"/>
      <c r="AT869" s="77"/>
      <c r="AU869" s="77"/>
      <c r="AV869" s="77"/>
      <c r="AW869" s="77"/>
      <c r="AX869" s="77"/>
      <c r="AY869" s="77"/>
      <c r="AZ869" s="77"/>
      <c r="BA869" s="77"/>
      <c r="BB869" s="77"/>
      <c r="BC869" s="77"/>
      <c r="BD869" s="77"/>
      <c r="BE869" s="77"/>
    </row>
    <row r="870">
      <c r="A870" s="77"/>
      <c r="B870" s="77"/>
      <c r="C870" s="77"/>
      <c r="D870" s="77"/>
      <c r="E870" s="188"/>
      <c r="F870" s="188"/>
      <c r="G870" s="188"/>
      <c r="H870" s="188"/>
      <c r="I870" s="188"/>
      <c r="J870" s="77"/>
      <c r="K870" s="77"/>
      <c r="L870" s="77"/>
      <c r="M870" s="77"/>
      <c r="N870" s="77"/>
      <c r="O870" s="77"/>
      <c r="P870" s="77"/>
      <c r="Q870" s="77"/>
      <c r="R870" s="77"/>
      <c r="S870" s="77"/>
      <c r="T870" s="77"/>
      <c r="U870" s="77"/>
      <c r="V870" s="77"/>
      <c r="W870" s="77"/>
      <c r="X870" s="77"/>
      <c r="Y870" s="77"/>
      <c r="Z870" s="77"/>
      <c r="AA870" s="77"/>
      <c r="AB870" s="77"/>
      <c r="AC870" s="77"/>
      <c r="AD870" s="227"/>
      <c r="AE870" s="77"/>
      <c r="AF870" s="227"/>
      <c r="AG870" s="77"/>
      <c r="AH870" s="77"/>
      <c r="AI870" s="77"/>
      <c r="AJ870" s="77"/>
      <c r="AK870" s="77"/>
      <c r="AL870" s="77"/>
      <c r="AM870" s="77"/>
      <c r="AN870" s="77"/>
      <c r="AO870" s="77"/>
      <c r="AP870" s="77"/>
      <c r="AQ870" s="77"/>
      <c r="AR870" s="77"/>
      <c r="AS870" s="77"/>
      <c r="AT870" s="77"/>
      <c r="AU870" s="77"/>
      <c r="AV870" s="77"/>
      <c r="AW870" s="77"/>
      <c r="AX870" s="77"/>
      <c r="AY870" s="77"/>
      <c r="AZ870" s="77"/>
      <c r="BA870" s="77"/>
      <c r="BB870" s="77"/>
      <c r="BC870" s="77"/>
      <c r="BD870" s="77"/>
      <c r="BE870" s="77"/>
    </row>
    <row r="871">
      <c r="A871" s="77"/>
      <c r="B871" s="77"/>
      <c r="C871" s="77"/>
      <c r="D871" s="77"/>
      <c r="E871" s="188"/>
      <c r="F871" s="188"/>
      <c r="G871" s="188"/>
      <c r="H871" s="188"/>
      <c r="I871" s="188"/>
      <c r="J871" s="77"/>
      <c r="K871" s="77"/>
      <c r="L871" s="77"/>
      <c r="M871" s="77"/>
      <c r="N871" s="77"/>
      <c r="O871" s="77"/>
      <c r="P871" s="77"/>
      <c r="Q871" s="77"/>
      <c r="R871" s="77"/>
      <c r="S871" s="77"/>
      <c r="T871" s="77"/>
      <c r="U871" s="77"/>
      <c r="V871" s="77"/>
      <c r="W871" s="77"/>
      <c r="X871" s="77"/>
      <c r="Y871" s="77"/>
      <c r="Z871" s="77"/>
      <c r="AA871" s="77"/>
      <c r="AB871" s="77"/>
      <c r="AC871" s="77"/>
      <c r="AD871" s="227"/>
      <c r="AE871" s="77"/>
      <c r="AF871" s="227"/>
      <c r="AG871" s="77"/>
      <c r="AH871" s="77"/>
      <c r="AI871" s="77"/>
      <c r="AJ871" s="77"/>
      <c r="AK871" s="77"/>
      <c r="AL871" s="77"/>
      <c r="AM871" s="77"/>
      <c r="AN871" s="77"/>
      <c r="AO871" s="77"/>
      <c r="AP871" s="77"/>
      <c r="AQ871" s="77"/>
      <c r="AR871" s="77"/>
      <c r="AS871" s="77"/>
      <c r="AT871" s="77"/>
      <c r="AU871" s="77"/>
      <c r="AV871" s="77"/>
      <c r="AW871" s="77"/>
      <c r="AX871" s="77"/>
      <c r="AY871" s="77"/>
      <c r="AZ871" s="77"/>
      <c r="BA871" s="77"/>
      <c r="BB871" s="77"/>
      <c r="BC871" s="77"/>
      <c r="BD871" s="77"/>
      <c r="BE871" s="77"/>
    </row>
    <row r="872">
      <c r="A872" s="77"/>
      <c r="B872" s="77"/>
      <c r="C872" s="77"/>
      <c r="D872" s="77"/>
      <c r="E872" s="188"/>
      <c r="F872" s="188"/>
      <c r="G872" s="188"/>
      <c r="H872" s="188"/>
      <c r="I872" s="188"/>
      <c r="J872" s="77"/>
      <c r="K872" s="77"/>
      <c r="L872" s="77"/>
      <c r="M872" s="77"/>
      <c r="N872" s="77"/>
      <c r="O872" s="77"/>
      <c r="P872" s="77"/>
      <c r="Q872" s="77"/>
      <c r="R872" s="77"/>
      <c r="S872" s="77"/>
      <c r="T872" s="77"/>
      <c r="U872" s="77"/>
      <c r="V872" s="77"/>
      <c r="W872" s="77"/>
      <c r="X872" s="77"/>
      <c r="Y872" s="77"/>
      <c r="Z872" s="77"/>
      <c r="AA872" s="77"/>
      <c r="AB872" s="77"/>
      <c r="AC872" s="77"/>
      <c r="AD872" s="227"/>
      <c r="AE872" s="77"/>
      <c r="AF872" s="227"/>
      <c r="AG872" s="77"/>
      <c r="AH872" s="77"/>
      <c r="AI872" s="77"/>
      <c r="AJ872" s="77"/>
      <c r="AK872" s="77"/>
      <c r="AL872" s="77"/>
      <c r="AM872" s="77"/>
      <c r="AN872" s="77"/>
      <c r="AO872" s="77"/>
      <c r="AP872" s="77"/>
      <c r="AQ872" s="77"/>
      <c r="AR872" s="77"/>
      <c r="AS872" s="77"/>
      <c r="AT872" s="77"/>
      <c r="AU872" s="77"/>
      <c r="AV872" s="77"/>
      <c r="AW872" s="77"/>
      <c r="AX872" s="77"/>
      <c r="AY872" s="77"/>
      <c r="AZ872" s="77"/>
      <c r="BA872" s="77"/>
      <c r="BB872" s="77"/>
      <c r="BC872" s="77"/>
      <c r="BD872" s="77"/>
      <c r="BE872" s="77"/>
    </row>
    <row r="873">
      <c r="A873" s="77"/>
      <c r="B873" s="77"/>
      <c r="C873" s="77"/>
      <c r="D873" s="77"/>
      <c r="E873" s="188"/>
      <c r="F873" s="188"/>
      <c r="G873" s="188"/>
      <c r="H873" s="188"/>
      <c r="I873" s="188"/>
      <c r="J873" s="77"/>
      <c r="K873" s="77"/>
      <c r="L873" s="77"/>
      <c r="M873" s="77"/>
      <c r="N873" s="77"/>
      <c r="O873" s="77"/>
      <c r="P873" s="77"/>
      <c r="Q873" s="77"/>
      <c r="R873" s="77"/>
      <c r="S873" s="77"/>
      <c r="T873" s="77"/>
      <c r="U873" s="77"/>
      <c r="V873" s="77"/>
      <c r="W873" s="77"/>
      <c r="X873" s="77"/>
      <c r="Y873" s="77"/>
      <c r="Z873" s="77"/>
      <c r="AA873" s="77"/>
      <c r="AB873" s="77"/>
      <c r="AC873" s="77"/>
      <c r="AD873" s="227"/>
      <c r="AE873" s="77"/>
      <c r="AF873" s="227"/>
      <c r="AG873" s="77"/>
      <c r="AH873" s="77"/>
      <c r="AI873" s="77"/>
      <c r="AJ873" s="77"/>
      <c r="AK873" s="77"/>
      <c r="AL873" s="77"/>
      <c r="AM873" s="77"/>
      <c r="AN873" s="77"/>
      <c r="AO873" s="77"/>
      <c r="AP873" s="77"/>
      <c r="AQ873" s="77"/>
      <c r="AR873" s="77"/>
      <c r="AS873" s="77"/>
      <c r="AT873" s="77"/>
      <c r="AU873" s="77"/>
      <c r="AV873" s="77"/>
      <c r="AW873" s="77"/>
      <c r="AX873" s="77"/>
      <c r="AY873" s="77"/>
      <c r="AZ873" s="77"/>
      <c r="BA873" s="77"/>
      <c r="BB873" s="77"/>
      <c r="BC873" s="77"/>
      <c r="BD873" s="77"/>
      <c r="BE873" s="77"/>
    </row>
    <row r="874">
      <c r="A874" s="77"/>
      <c r="B874" s="77"/>
      <c r="C874" s="77"/>
      <c r="D874" s="77"/>
      <c r="E874" s="188"/>
      <c r="F874" s="188"/>
      <c r="G874" s="188"/>
      <c r="H874" s="188"/>
      <c r="I874" s="188"/>
      <c r="J874" s="77"/>
      <c r="K874" s="77"/>
      <c r="L874" s="77"/>
      <c r="M874" s="77"/>
      <c r="N874" s="77"/>
      <c r="O874" s="77"/>
      <c r="P874" s="77"/>
      <c r="Q874" s="77"/>
      <c r="R874" s="77"/>
      <c r="S874" s="77"/>
      <c r="T874" s="77"/>
      <c r="U874" s="77"/>
      <c r="V874" s="77"/>
      <c r="W874" s="77"/>
      <c r="X874" s="77"/>
      <c r="Y874" s="77"/>
      <c r="Z874" s="77"/>
      <c r="AA874" s="77"/>
      <c r="AB874" s="77"/>
      <c r="AC874" s="77"/>
      <c r="AD874" s="227"/>
      <c r="AE874" s="77"/>
      <c r="AF874" s="227"/>
      <c r="AG874" s="77"/>
      <c r="AH874" s="77"/>
      <c r="AI874" s="77"/>
      <c r="AJ874" s="77"/>
      <c r="AK874" s="77"/>
      <c r="AL874" s="77"/>
      <c r="AM874" s="77"/>
      <c r="AN874" s="77"/>
      <c r="AO874" s="77"/>
      <c r="AP874" s="77"/>
      <c r="AQ874" s="77"/>
      <c r="AR874" s="77"/>
      <c r="AS874" s="77"/>
      <c r="AT874" s="77"/>
      <c r="AU874" s="77"/>
      <c r="AV874" s="77"/>
      <c r="AW874" s="77"/>
      <c r="AX874" s="77"/>
      <c r="AY874" s="77"/>
      <c r="AZ874" s="77"/>
      <c r="BA874" s="77"/>
      <c r="BB874" s="77"/>
      <c r="BC874" s="77"/>
      <c r="BD874" s="77"/>
      <c r="BE874" s="77"/>
    </row>
    <row r="875">
      <c r="A875" s="77"/>
      <c r="B875" s="77"/>
      <c r="C875" s="77"/>
      <c r="D875" s="77"/>
      <c r="E875" s="188"/>
      <c r="F875" s="188"/>
      <c r="G875" s="188"/>
      <c r="H875" s="188"/>
      <c r="I875" s="188"/>
      <c r="J875" s="77"/>
      <c r="K875" s="77"/>
      <c r="L875" s="77"/>
      <c r="M875" s="77"/>
      <c r="N875" s="77"/>
      <c r="O875" s="77"/>
      <c r="P875" s="77"/>
      <c r="Q875" s="77"/>
      <c r="R875" s="77"/>
      <c r="S875" s="77"/>
      <c r="T875" s="77"/>
      <c r="U875" s="77"/>
      <c r="V875" s="77"/>
      <c r="W875" s="77"/>
      <c r="X875" s="77"/>
      <c r="Y875" s="77"/>
      <c r="Z875" s="77"/>
      <c r="AA875" s="77"/>
      <c r="AB875" s="77"/>
      <c r="AC875" s="77"/>
      <c r="AD875" s="227"/>
      <c r="AE875" s="77"/>
      <c r="AF875" s="227"/>
      <c r="AG875" s="77"/>
      <c r="AH875" s="77"/>
      <c r="AI875" s="77"/>
      <c r="AJ875" s="77"/>
      <c r="AK875" s="77"/>
      <c r="AL875" s="77"/>
      <c r="AM875" s="77"/>
      <c r="AN875" s="77"/>
      <c r="AO875" s="77"/>
      <c r="AP875" s="77"/>
      <c r="AQ875" s="77"/>
      <c r="AR875" s="77"/>
      <c r="AS875" s="77"/>
      <c r="AT875" s="77"/>
      <c r="AU875" s="77"/>
      <c r="AV875" s="77"/>
      <c r="AW875" s="77"/>
      <c r="AX875" s="77"/>
      <c r="AY875" s="77"/>
      <c r="AZ875" s="77"/>
      <c r="BA875" s="77"/>
      <c r="BB875" s="77"/>
      <c r="BC875" s="77"/>
      <c r="BD875" s="77"/>
      <c r="BE875" s="77"/>
    </row>
    <row r="876">
      <c r="A876" s="77"/>
      <c r="B876" s="77"/>
      <c r="C876" s="77"/>
      <c r="D876" s="77"/>
      <c r="E876" s="188"/>
      <c r="F876" s="188"/>
      <c r="G876" s="188"/>
      <c r="H876" s="188"/>
      <c r="I876" s="188"/>
      <c r="J876" s="77"/>
      <c r="K876" s="77"/>
      <c r="L876" s="77"/>
      <c r="M876" s="77"/>
      <c r="N876" s="77"/>
      <c r="O876" s="77"/>
      <c r="P876" s="77"/>
      <c r="Q876" s="77"/>
      <c r="R876" s="77"/>
      <c r="S876" s="77"/>
      <c r="T876" s="77"/>
      <c r="U876" s="77"/>
      <c r="V876" s="77"/>
      <c r="W876" s="77"/>
      <c r="X876" s="77"/>
      <c r="Y876" s="77"/>
      <c r="Z876" s="77"/>
      <c r="AA876" s="77"/>
      <c r="AB876" s="77"/>
      <c r="AC876" s="77"/>
      <c r="AD876" s="227"/>
      <c r="AE876" s="77"/>
      <c r="AF876" s="227"/>
      <c r="AG876" s="77"/>
      <c r="AH876" s="77"/>
      <c r="AI876" s="77"/>
      <c r="AJ876" s="77"/>
      <c r="AK876" s="77"/>
      <c r="AL876" s="77"/>
      <c r="AM876" s="77"/>
      <c r="AN876" s="77"/>
      <c r="AO876" s="77"/>
      <c r="AP876" s="77"/>
      <c r="AQ876" s="77"/>
      <c r="AR876" s="77"/>
      <c r="AS876" s="77"/>
      <c r="AT876" s="77"/>
      <c r="AU876" s="77"/>
      <c r="AV876" s="77"/>
      <c r="AW876" s="77"/>
      <c r="AX876" s="77"/>
      <c r="AY876" s="77"/>
      <c r="AZ876" s="77"/>
      <c r="BA876" s="77"/>
      <c r="BB876" s="77"/>
      <c r="BC876" s="77"/>
      <c r="BD876" s="77"/>
      <c r="BE876" s="77"/>
    </row>
    <row r="877">
      <c r="A877" s="77"/>
      <c r="B877" s="77"/>
      <c r="C877" s="77"/>
      <c r="D877" s="77"/>
      <c r="E877" s="188"/>
      <c r="F877" s="188"/>
      <c r="G877" s="188"/>
      <c r="H877" s="188"/>
      <c r="I877" s="188"/>
      <c r="J877" s="77"/>
      <c r="K877" s="77"/>
      <c r="L877" s="77"/>
      <c r="M877" s="77"/>
      <c r="N877" s="77"/>
      <c r="O877" s="77"/>
      <c r="P877" s="77"/>
      <c r="Q877" s="77"/>
      <c r="R877" s="77"/>
      <c r="S877" s="77"/>
      <c r="T877" s="77"/>
      <c r="U877" s="77"/>
      <c r="V877" s="77"/>
      <c r="W877" s="77"/>
      <c r="X877" s="77"/>
      <c r="Y877" s="77"/>
      <c r="Z877" s="77"/>
      <c r="AA877" s="77"/>
      <c r="AB877" s="77"/>
      <c r="AC877" s="77"/>
      <c r="AD877" s="227"/>
      <c r="AE877" s="77"/>
      <c r="AF877" s="227"/>
      <c r="AG877" s="77"/>
      <c r="AH877" s="77"/>
      <c r="AI877" s="77"/>
      <c r="AJ877" s="77"/>
      <c r="AK877" s="77"/>
      <c r="AL877" s="77"/>
      <c r="AM877" s="77"/>
      <c r="AN877" s="77"/>
      <c r="AO877" s="77"/>
      <c r="AP877" s="77"/>
      <c r="AQ877" s="77"/>
      <c r="AR877" s="77"/>
      <c r="AS877" s="77"/>
      <c r="AT877" s="77"/>
      <c r="AU877" s="77"/>
      <c r="AV877" s="77"/>
      <c r="AW877" s="77"/>
      <c r="AX877" s="77"/>
      <c r="AY877" s="77"/>
      <c r="AZ877" s="77"/>
      <c r="BA877" s="77"/>
      <c r="BB877" s="77"/>
      <c r="BC877" s="77"/>
      <c r="BD877" s="77"/>
      <c r="BE877" s="77"/>
    </row>
    <row r="878">
      <c r="A878" s="77"/>
      <c r="B878" s="77"/>
      <c r="C878" s="77"/>
      <c r="D878" s="77"/>
      <c r="E878" s="188"/>
      <c r="F878" s="188"/>
      <c r="G878" s="188"/>
      <c r="H878" s="188"/>
      <c r="I878" s="188"/>
      <c r="J878" s="77"/>
      <c r="K878" s="77"/>
      <c r="L878" s="77"/>
      <c r="M878" s="77"/>
      <c r="N878" s="77"/>
      <c r="O878" s="77"/>
      <c r="P878" s="77"/>
      <c r="Q878" s="77"/>
      <c r="R878" s="77"/>
      <c r="S878" s="77"/>
      <c r="T878" s="77"/>
      <c r="U878" s="77"/>
      <c r="V878" s="77"/>
      <c r="W878" s="77"/>
      <c r="X878" s="77"/>
      <c r="Y878" s="77"/>
      <c r="Z878" s="77"/>
      <c r="AA878" s="77"/>
      <c r="AB878" s="77"/>
      <c r="AC878" s="77"/>
      <c r="AD878" s="227"/>
      <c r="AE878" s="77"/>
      <c r="AF878" s="227"/>
      <c r="AG878" s="77"/>
      <c r="AH878" s="77"/>
      <c r="AI878" s="77"/>
      <c r="AJ878" s="77"/>
      <c r="AK878" s="77"/>
      <c r="AL878" s="77"/>
      <c r="AM878" s="77"/>
      <c r="AN878" s="77"/>
      <c r="AO878" s="77"/>
      <c r="AP878" s="77"/>
      <c r="AQ878" s="77"/>
      <c r="AR878" s="77"/>
      <c r="AS878" s="77"/>
      <c r="AT878" s="77"/>
      <c r="AU878" s="77"/>
      <c r="AV878" s="77"/>
      <c r="AW878" s="77"/>
      <c r="AX878" s="77"/>
      <c r="AY878" s="77"/>
      <c r="AZ878" s="77"/>
      <c r="BA878" s="77"/>
      <c r="BB878" s="77"/>
      <c r="BC878" s="77"/>
      <c r="BD878" s="77"/>
      <c r="BE878" s="77"/>
    </row>
    <row r="879">
      <c r="A879" s="77"/>
      <c r="B879" s="77"/>
      <c r="C879" s="77"/>
      <c r="D879" s="77"/>
      <c r="E879" s="188"/>
      <c r="F879" s="188"/>
      <c r="G879" s="188"/>
      <c r="H879" s="188"/>
      <c r="I879" s="188"/>
      <c r="J879" s="77"/>
      <c r="K879" s="77"/>
      <c r="L879" s="77"/>
      <c r="M879" s="77"/>
      <c r="N879" s="77"/>
      <c r="O879" s="77"/>
      <c r="P879" s="77"/>
      <c r="Q879" s="77"/>
      <c r="R879" s="77"/>
      <c r="S879" s="77"/>
      <c r="T879" s="77"/>
      <c r="U879" s="77"/>
      <c r="V879" s="77"/>
      <c r="W879" s="77"/>
      <c r="X879" s="77"/>
      <c r="Y879" s="77"/>
      <c r="Z879" s="77"/>
      <c r="AA879" s="77"/>
      <c r="AB879" s="77"/>
      <c r="AC879" s="77"/>
      <c r="AD879" s="227"/>
      <c r="AE879" s="77"/>
      <c r="AF879" s="227"/>
      <c r="AG879" s="77"/>
      <c r="AH879" s="77"/>
      <c r="AI879" s="77"/>
      <c r="AJ879" s="77"/>
      <c r="AK879" s="77"/>
      <c r="AL879" s="77"/>
      <c r="AM879" s="77"/>
      <c r="AN879" s="77"/>
      <c r="AO879" s="77"/>
      <c r="AP879" s="77"/>
      <c r="AQ879" s="77"/>
      <c r="AR879" s="77"/>
      <c r="AS879" s="77"/>
      <c r="AT879" s="77"/>
      <c r="AU879" s="77"/>
      <c r="AV879" s="77"/>
      <c r="AW879" s="77"/>
      <c r="AX879" s="77"/>
      <c r="AY879" s="77"/>
      <c r="AZ879" s="77"/>
      <c r="BA879" s="77"/>
      <c r="BB879" s="77"/>
      <c r="BC879" s="77"/>
      <c r="BD879" s="77"/>
      <c r="BE879" s="77"/>
    </row>
    <row r="880">
      <c r="A880" s="77"/>
      <c r="B880" s="77"/>
      <c r="C880" s="77"/>
      <c r="D880" s="77"/>
      <c r="E880" s="188"/>
      <c r="F880" s="188"/>
      <c r="G880" s="188"/>
      <c r="H880" s="188"/>
      <c r="I880" s="188"/>
      <c r="J880" s="77"/>
      <c r="K880" s="77"/>
      <c r="L880" s="77"/>
      <c r="M880" s="77"/>
      <c r="N880" s="77"/>
      <c r="O880" s="77"/>
      <c r="P880" s="77"/>
      <c r="Q880" s="77"/>
      <c r="R880" s="77"/>
      <c r="S880" s="77"/>
      <c r="T880" s="77"/>
      <c r="U880" s="77"/>
      <c r="V880" s="77"/>
      <c r="W880" s="77"/>
      <c r="X880" s="77"/>
      <c r="Y880" s="77"/>
      <c r="Z880" s="77"/>
      <c r="AA880" s="77"/>
      <c r="AB880" s="77"/>
      <c r="AC880" s="77"/>
      <c r="AD880" s="227"/>
      <c r="AE880" s="77"/>
      <c r="AF880" s="227"/>
      <c r="AG880" s="77"/>
      <c r="AH880" s="77"/>
      <c r="AI880" s="77"/>
      <c r="AJ880" s="77"/>
      <c r="AK880" s="77"/>
      <c r="AL880" s="77"/>
      <c r="AM880" s="77"/>
      <c r="AN880" s="77"/>
      <c r="AO880" s="77"/>
      <c r="AP880" s="77"/>
      <c r="AQ880" s="77"/>
      <c r="AR880" s="77"/>
      <c r="AS880" s="77"/>
      <c r="AT880" s="77"/>
      <c r="AU880" s="77"/>
      <c r="AV880" s="77"/>
      <c r="AW880" s="77"/>
      <c r="AX880" s="77"/>
      <c r="AY880" s="77"/>
      <c r="AZ880" s="77"/>
      <c r="BA880" s="77"/>
      <c r="BB880" s="77"/>
      <c r="BC880" s="77"/>
      <c r="BD880" s="77"/>
      <c r="BE880" s="77"/>
    </row>
    <row r="881">
      <c r="A881" s="77"/>
      <c r="B881" s="77"/>
      <c r="C881" s="77"/>
      <c r="D881" s="77"/>
      <c r="E881" s="188"/>
      <c r="F881" s="188"/>
      <c r="G881" s="188"/>
      <c r="H881" s="188"/>
      <c r="I881" s="188"/>
      <c r="J881" s="77"/>
      <c r="K881" s="77"/>
      <c r="L881" s="77"/>
      <c r="M881" s="77"/>
      <c r="N881" s="77"/>
      <c r="O881" s="77"/>
      <c r="P881" s="77"/>
      <c r="Q881" s="77"/>
      <c r="R881" s="77"/>
      <c r="S881" s="77"/>
      <c r="T881" s="77"/>
      <c r="U881" s="77"/>
      <c r="V881" s="77"/>
      <c r="W881" s="77"/>
      <c r="X881" s="77"/>
      <c r="Y881" s="77"/>
      <c r="Z881" s="77"/>
      <c r="AA881" s="77"/>
      <c r="AB881" s="77"/>
      <c r="AC881" s="77"/>
      <c r="AD881" s="227"/>
      <c r="AE881" s="77"/>
      <c r="AF881" s="227"/>
      <c r="AG881" s="77"/>
      <c r="AH881" s="77"/>
      <c r="AI881" s="77"/>
      <c r="AJ881" s="77"/>
      <c r="AK881" s="77"/>
      <c r="AL881" s="77"/>
      <c r="AM881" s="77"/>
      <c r="AN881" s="77"/>
      <c r="AO881" s="77"/>
      <c r="AP881" s="77"/>
      <c r="AQ881" s="77"/>
      <c r="AR881" s="77"/>
      <c r="AS881" s="77"/>
      <c r="AT881" s="77"/>
      <c r="AU881" s="77"/>
      <c r="AV881" s="77"/>
      <c r="AW881" s="77"/>
      <c r="AX881" s="77"/>
      <c r="AY881" s="77"/>
      <c r="AZ881" s="77"/>
      <c r="BA881" s="77"/>
      <c r="BB881" s="77"/>
      <c r="BC881" s="77"/>
      <c r="BD881" s="77"/>
      <c r="BE881" s="77"/>
    </row>
    <row r="882">
      <c r="A882" s="77"/>
      <c r="B882" s="77"/>
      <c r="C882" s="77"/>
      <c r="D882" s="77"/>
      <c r="E882" s="188"/>
      <c r="F882" s="188"/>
      <c r="G882" s="188"/>
      <c r="H882" s="188"/>
      <c r="I882" s="188"/>
      <c r="J882" s="77"/>
      <c r="K882" s="77"/>
      <c r="L882" s="77"/>
      <c r="M882" s="77"/>
      <c r="N882" s="77"/>
      <c r="O882" s="77"/>
      <c r="P882" s="77"/>
      <c r="Q882" s="77"/>
      <c r="R882" s="77"/>
      <c r="S882" s="77"/>
      <c r="T882" s="77"/>
      <c r="U882" s="77"/>
      <c r="V882" s="77"/>
      <c r="W882" s="77"/>
      <c r="X882" s="77"/>
      <c r="Y882" s="77"/>
      <c r="Z882" s="77"/>
      <c r="AA882" s="77"/>
      <c r="AB882" s="77"/>
      <c r="AC882" s="77"/>
      <c r="AD882" s="227"/>
      <c r="AE882" s="77"/>
      <c r="AF882" s="227"/>
      <c r="AG882" s="77"/>
      <c r="AH882" s="77"/>
      <c r="AI882" s="77"/>
      <c r="AJ882" s="77"/>
      <c r="AK882" s="77"/>
      <c r="AL882" s="77"/>
      <c r="AM882" s="77"/>
      <c r="AN882" s="77"/>
      <c r="AO882" s="77"/>
      <c r="AP882" s="77"/>
      <c r="AQ882" s="77"/>
      <c r="AR882" s="77"/>
      <c r="AS882" s="77"/>
      <c r="AT882" s="77"/>
      <c r="AU882" s="77"/>
      <c r="AV882" s="77"/>
      <c r="AW882" s="77"/>
      <c r="AX882" s="77"/>
      <c r="AY882" s="77"/>
      <c r="AZ882" s="77"/>
      <c r="BA882" s="77"/>
      <c r="BB882" s="77"/>
      <c r="BC882" s="77"/>
      <c r="BD882" s="77"/>
      <c r="BE882" s="77"/>
    </row>
    <row r="883">
      <c r="A883" s="77"/>
      <c r="B883" s="77"/>
      <c r="C883" s="77"/>
      <c r="D883" s="77"/>
      <c r="E883" s="188"/>
      <c r="F883" s="188"/>
      <c r="G883" s="188"/>
      <c r="H883" s="188"/>
      <c r="I883" s="188"/>
      <c r="J883" s="77"/>
      <c r="K883" s="77"/>
      <c r="L883" s="77"/>
      <c r="M883" s="77"/>
      <c r="N883" s="77"/>
      <c r="O883" s="77"/>
      <c r="P883" s="77"/>
      <c r="Q883" s="77"/>
      <c r="R883" s="77"/>
      <c r="S883" s="77"/>
      <c r="T883" s="77"/>
      <c r="U883" s="77"/>
      <c r="V883" s="77"/>
      <c r="W883" s="77"/>
      <c r="X883" s="77"/>
      <c r="Y883" s="77"/>
      <c r="Z883" s="77"/>
      <c r="AA883" s="77"/>
      <c r="AB883" s="77"/>
      <c r="AC883" s="77"/>
      <c r="AD883" s="227"/>
      <c r="AE883" s="77"/>
      <c r="AF883" s="227"/>
      <c r="AG883" s="77"/>
      <c r="AH883" s="77"/>
      <c r="AI883" s="77"/>
      <c r="AJ883" s="77"/>
      <c r="AK883" s="77"/>
      <c r="AL883" s="77"/>
      <c r="AM883" s="77"/>
      <c r="AN883" s="77"/>
      <c r="AO883" s="77"/>
      <c r="AP883" s="77"/>
      <c r="AQ883" s="77"/>
      <c r="AR883" s="77"/>
      <c r="AS883" s="77"/>
      <c r="AT883" s="77"/>
      <c r="AU883" s="77"/>
      <c r="AV883" s="77"/>
      <c r="AW883" s="77"/>
      <c r="AX883" s="77"/>
      <c r="AY883" s="77"/>
      <c r="AZ883" s="77"/>
      <c r="BA883" s="77"/>
      <c r="BB883" s="77"/>
      <c r="BC883" s="77"/>
      <c r="BD883" s="77"/>
      <c r="BE883" s="77"/>
    </row>
    <row r="884">
      <c r="A884" s="77"/>
      <c r="B884" s="77"/>
      <c r="C884" s="77"/>
      <c r="D884" s="77"/>
      <c r="E884" s="188"/>
      <c r="F884" s="188"/>
      <c r="G884" s="188"/>
      <c r="H884" s="188"/>
      <c r="I884" s="188"/>
      <c r="J884" s="77"/>
      <c r="K884" s="77"/>
      <c r="L884" s="77"/>
      <c r="M884" s="77"/>
      <c r="N884" s="77"/>
      <c r="O884" s="77"/>
      <c r="P884" s="77"/>
      <c r="Q884" s="77"/>
      <c r="R884" s="77"/>
      <c r="S884" s="77"/>
      <c r="T884" s="77"/>
      <c r="U884" s="77"/>
      <c r="V884" s="77"/>
      <c r="W884" s="77"/>
      <c r="X884" s="77"/>
      <c r="Y884" s="77"/>
      <c r="Z884" s="77"/>
      <c r="AA884" s="77"/>
      <c r="AB884" s="77"/>
      <c r="AC884" s="77"/>
      <c r="AD884" s="227"/>
      <c r="AE884" s="77"/>
      <c r="AF884" s="227"/>
      <c r="AG884" s="77"/>
      <c r="AH884" s="77"/>
      <c r="AI884" s="77"/>
      <c r="AJ884" s="77"/>
      <c r="AK884" s="77"/>
      <c r="AL884" s="77"/>
      <c r="AM884" s="77"/>
      <c r="AN884" s="77"/>
      <c r="AO884" s="77"/>
      <c r="AP884" s="77"/>
      <c r="AQ884" s="77"/>
      <c r="AR884" s="77"/>
      <c r="AS884" s="77"/>
      <c r="AT884" s="77"/>
      <c r="AU884" s="77"/>
      <c r="AV884" s="77"/>
      <c r="AW884" s="77"/>
      <c r="AX884" s="77"/>
      <c r="AY884" s="77"/>
      <c r="AZ884" s="77"/>
      <c r="BA884" s="77"/>
      <c r="BB884" s="77"/>
      <c r="BC884" s="77"/>
      <c r="BD884" s="77"/>
      <c r="BE884" s="77"/>
    </row>
    <row r="885">
      <c r="A885" s="77"/>
      <c r="B885" s="77"/>
      <c r="C885" s="77"/>
      <c r="D885" s="77"/>
      <c r="E885" s="188"/>
      <c r="F885" s="188"/>
      <c r="G885" s="188"/>
      <c r="H885" s="188"/>
      <c r="I885" s="188"/>
      <c r="J885" s="77"/>
      <c r="K885" s="77"/>
      <c r="L885" s="77"/>
      <c r="M885" s="77"/>
      <c r="N885" s="77"/>
      <c r="O885" s="77"/>
      <c r="P885" s="77"/>
      <c r="Q885" s="77"/>
      <c r="R885" s="77"/>
      <c r="S885" s="77"/>
      <c r="T885" s="77"/>
      <c r="U885" s="77"/>
      <c r="V885" s="77"/>
      <c r="W885" s="77"/>
      <c r="X885" s="77"/>
      <c r="Y885" s="77"/>
      <c r="Z885" s="77"/>
      <c r="AA885" s="77"/>
      <c r="AB885" s="77"/>
      <c r="AC885" s="77"/>
      <c r="AD885" s="227"/>
      <c r="AE885" s="77"/>
      <c r="AF885" s="227"/>
      <c r="AG885" s="77"/>
      <c r="AH885" s="77"/>
      <c r="AI885" s="77"/>
      <c r="AJ885" s="77"/>
      <c r="AK885" s="77"/>
      <c r="AL885" s="77"/>
      <c r="AM885" s="77"/>
      <c r="AN885" s="77"/>
      <c r="AO885" s="77"/>
      <c r="AP885" s="77"/>
      <c r="AQ885" s="77"/>
      <c r="AR885" s="77"/>
      <c r="AS885" s="77"/>
      <c r="AT885" s="77"/>
      <c r="AU885" s="77"/>
      <c r="AV885" s="77"/>
      <c r="AW885" s="77"/>
      <c r="AX885" s="77"/>
      <c r="AY885" s="77"/>
      <c r="AZ885" s="77"/>
      <c r="BA885" s="77"/>
      <c r="BB885" s="77"/>
      <c r="BC885" s="77"/>
      <c r="BD885" s="77"/>
      <c r="BE885" s="77"/>
    </row>
    <row r="886">
      <c r="A886" s="77"/>
      <c r="B886" s="77"/>
      <c r="C886" s="77"/>
      <c r="D886" s="77"/>
      <c r="E886" s="188"/>
      <c r="F886" s="188"/>
      <c r="G886" s="188"/>
      <c r="H886" s="188"/>
      <c r="I886" s="188"/>
      <c r="J886" s="77"/>
      <c r="K886" s="77"/>
      <c r="L886" s="77"/>
      <c r="M886" s="77"/>
      <c r="N886" s="77"/>
      <c r="O886" s="77"/>
      <c r="P886" s="77"/>
      <c r="Q886" s="77"/>
      <c r="R886" s="77"/>
      <c r="S886" s="77"/>
      <c r="T886" s="77"/>
      <c r="U886" s="77"/>
      <c r="V886" s="77"/>
      <c r="W886" s="77"/>
      <c r="X886" s="77"/>
      <c r="Y886" s="77"/>
      <c r="Z886" s="77"/>
      <c r="AA886" s="77"/>
      <c r="AB886" s="77"/>
      <c r="AC886" s="77"/>
      <c r="AD886" s="227"/>
      <c r="AE886" s="77"/>
      <c r="AF886" s="227"/>
      <c r="AG886" s="77"/>
      <c r="AH886" s="77"/>
      <c r="AI886" s="77"/>
      <c r="AJ886" s="77"/>
      <c r="AK886" s="77"/>
      <c r="AL886" s="77"/>
      <c r="AM886" s="77"/>
      <c r="AN886" s="77"/>
      <c r="AO886" s="77"/>
      <c r="AP886" s="77"/>
      <c r="AQ886" s="77"/>
      <c r="AR886" s="77"/>
      <c r="AS886" s="77"/>
      <c r="AT886" s="77"/>
      <c r="AU886" s="77"/>
      <c r="AV886" s="77"/>
      <c r="AW886" s="77"/>
      <c r="AX886" s="77"/>
      <c r="AY886" s="77"/>
      <c r="AZ886" s="77"/>
      <c r="BA886" s="77"/>
      <c r="BB886" s="77"/>
      <c r="BC886" s="77"/>
      <c r="BD886" s="77"/>
      <c r="BE886" s="77"/>
    </row>
    <row r="887">
      <c r="A887" s="77"/>
      <c r="B887" s="77"/>
      <c r="C887" s="77"/>
      <c r="D887" s="77"/>
      <c r="E887" s="188"/>
      <c r="F887" s="188"/>
      <c r="G887" s="188"/>
      <c r="H887" s="188"/>
      <c r="I887" s="188"/>
      <c r="J887" s="77"/>
      <c r="K887" s="77"/>
      <c r="L887" s="77"/>
      <c r="M887" s="77"/>
      <c r="N887" s="77"/>
      <c r="O887" s="77"/>
      <c r="P887" s="77"/>
      <c r="Q887" s="77"/>
      <c r="R887" s="77"/>
      <c r="S887" s="77"/>
      <c r="T887" s="77"/>
      <c r="U887" s="77"/>
      <c r="V887" s="77"/>
      <c r="W887" s="77"/>
      <c r="X887" s="77"/>
      <c r="Y887" s="77"/>
      <c r="Z887" s="77"/>
      <c r="AA887" s="77"/>
      <c r="AB887" s="77"/>
      <c r="AC887" s="77"/>
      <c r="AD887" s="227"/>
      <c r="AE887" s="77"/>
      <c r="AF887" s="227"/>
      <c r="AG887" s="77"/>
      <c r="AH887" s="77"/>
      <c r="AI887" s="77"/>
      <c r="AJ887" s="77"/>
      <c r="AK887" s="77"/>
      <c r="AL887" s="77"/>
      <c r="AM887" s="77"/>
      <c r="AN887" s="77"/>
      <c r="AO887" s="77"/>
      <c r="AP887" s="77"/>
      <c r="AQ887" s="77"/>
      <c r="AR887" s="77"/>
      <c r="AS887" s="77"/>
      <c r="AT887" s="77"/>
      <c r="AU887" s="77"/>
      <c r="AV887" s="77"/>
      <c r="AW887" s="77"/>
      <c r="AX887" s="77"/>
      <c r="AY887" s="77"/>
      <c r="AZ887" s="77"/>
      <c r="BA887" s="77"/>
      <c r="BB887" s="77"/>
      <c r="BC887" s="77"/>
      <c r="BD887" s="77"/>
      <c r="BE887" s="77"/>
    </row>
    <row r="888">
      <c r="A888" s="77"/>
      <c r="B888" s="77"/>
      <c r="C888" s="77"/>
      <c r="D888" s="77"/>
      <c r="E888" s="188"/>
      <c r="F888" s="188"/>
      <c r="G888" s="188"/>
      <c r="H888" s="188"/>
      <c r="I888" s="188"/>
      <c r="J888" s="77"/>
      <c r="K888" s="77"/>
      <c r="L888" s="77"/>
      <c r="M888" s="77"/>
      <c r="N888" s="77"/>
      <c r="O888" s="77"/>
      <c r="P888" s="77"/>
      <c r="Q888" s="77"/>
      <c r="R888" s="77"/>
      <c r="S888" s="77"/>
      <c r="T888" s="77"/>
      <c r="U888" s="77"/>
      <c r="V888" s="77"/>
      <c r="W888" s="77"/>
      <c r="X888" s="77"/>
      <c r="Y888" s="77"/>
      <c r="Z888" s="77"/>
      <c r="AA888" s="77"/>
      <c r="AB888" s="77"/>
      <c r="AC888" s="77"/>
      <c r="AD888" s="227"/>
      <c r="AE888" s="77"/>
      <c r="AF888" s="227"/>
      <c r="AG888" s="77"/>
      <c r="AH888" s="77"/>
      <c r="AI888" s="77"/>
      <c r="AJ888" s="77"/>
      <c r="AK888" s="77"/>
      <c r="AL888" s="77"/>
      <c r="AM888" s="77"/>
      <c r="AN888" s="77"/>
      <c r="AO888" s="77"/>
      <c r="AP888" s="77"/>
      <c r="AQ888" s="77"/>
      <c r="AR888" s="77"/>
      <c r="AS888" s="77"/>
      <c r="AT888" s="77"/>
      <c r="AU888" s="77"/>
      <c r="AV888" s="77"/>
      <c r="AW888" s="77"/>
      <c r="AX888" s="77"/>
      <c r="AY888" s="77"/>
      <c r="AZ888" s="77"/>
      <c r="BA888" s="77"/>
      <c r="BB888" s="77"/>
      <c r="BC888" s="77"/>
      <c r="BD888" s="77"/>
      <c r="BE888" s="77"/>
    </row>
    <row r="889">
      <c r="A889" s="77"/>
      <c r="B889" s="77"/>
      <c r="C889" s="77"/>
      <c r="D889" s="77"/>
      <c r="E889" s="188"/>
      <c r="F889" s="188"/>
      <c r="G889" s="188"/>
      <c r="H889" s="188"/>
      <c r="I889" s="188"/>
      <c r="J889" s="77"/>
      <c r="K889" s="77"/>
      <c r="L889" s="77"/>
      <c r="M889" s="77"/>
      <c r="N889" s="77"/>
      <c r="O889" s="77"/>
      <c r="P889" s="77"/>
      <c r="Q889" s="77"/>
      <c r="R889" s="77"/>
      <c r="S889" s="77"/>
      <c r="T889" s="77"/>
      <c r="U889" s="77"/>
      <c r="V889" s="77"/>
      <c r="W889" s="77"/>
      <c r="X889" s="77"/>
      <c r="Y889" s="77"/>
      <c r="Z889" s="77"/>
      <c r="AA889" s="77"/>
      <c r="AB889" s="77"/>
      <c r="AC889" s="77"/>
      <c r="AD889" s="227"/>
      <c r="AE889" s="77"/>
      <c r="AF889" s="227"/>
      <c r="AG889" s="77"/>
      <c r="AH889" s="77"/>
      <c r="AI889" s="77"/>
      <c r="AJ889" s="77"/>
      <c r="AK889" s="77"/>
      <c r="AL889" s="77"/>
      <c r="AM889" s="77"/>
      <c r="AN889" s="77"/>
      <c r="AO889" s="77"/>
      <c r="AP889" s="77"/>
      <c r="AQ889" s="77"/>
      <c r="AR889" s="77"/>
      <c r="AS889" s="77"/>
      <c r="AT889" s="77"/>
      <c r="AU889" s="77"/>
      <c r="AV889" s="77"/>
      <c r="AW889" s="77"/>
      <c r="AX889" s="77"/>
      <c r="AY889" s="77"/>
      <c r="AZ889" s="77"/>
      <c r="BA889" s="77"/>
      <c r="BB889" s="77"/>
      <c r="BC889" s="77"/>
      <c r="BD889" s="77"/>
      <c r="BE889" s="77"/>
    </row>
    <row r="890">
      <c r="A890" s="77"/>
      <c r="B890" s="77"/>
      <c r="C890" s="77"/>
      <c r="D890" s="77"/>
      <c r="E890" s="188"/>
      <c r="F890" s="188"/>
      <c r="G890" s="188"/>
      <c r="H890" s="188"/>
      <c r="I890" s="188"/>
      <c r="J890" s="77"/>
      <c r="K890" s="77"/>
      <c r="L890" s="77"/>
      <c r="M890" s="77"/>
      <c r="N890" s="77"/>
      <c r="O890" s="77"/>
      <c r="P890" s="77"/>
      <c r="Q890" s="77"/>
      <c r="R890" s="77"/>
      <c r="S890" s="77"/>
      <c r="T890" s="77"/>
      <c r="U890" s="77"/>
      <c r="V890" s="77"/>
      <c r="W890" s="77"/>
      <c r="X890" s="77"/>
      <c r="Y890" s="77"/>
      <c r="Z890" s="77"/>
      <c r="AA890" s="77"/>
      <c r="AB890" s="77"/>
      <c r="AC890" s="77"/>
      <c r="AD890" s="227"/>
      <c r="AE890" s="77"/>
      <c r="AF890" s="227"/>
      <c r="AG890" s="77"/>
      <c r="AH890" s="77"/>
      <c r="AI890" s="77"/>
      <c r="AJ890" s="77"/>
      <c r="AK890" s="77"/>
      <c r="AL890" s="77"/>
      <c r="AM890" s="77"/>
      <c r="AN890" s="77"/>
      <c r="AO890" s="77"/>
      <c r="AP890" s="77"/>
      <c r="AQ890" s="77"/>
      <c r="AR890" s="77"/>
      <c r="AS890" s="77"/>
      <c r="AT890" s="77"/>
      <c r="AU890" s="77"/>
      <c r="AV890" s="77"/>
      <c r="AW890" s="77"/>
      <c r="AX890" s="77"/>
      <c r="AY890" s="77"/>
      <c r="AZ890" s="77"/>
      <c r="BA890" s="77"/>
      <c r="BB890" s="77"/>
      <c r="BC890" s="77"/>
      <c r="BD890" s="77"/>
      <c r="BE890" s="77"/>
    </row>
    <row r="891">
      <c r="A891" s="77"/>
      <c r="B891" s="77"/>
      <c r="C891" s="77"/>
      <c r="D891" s="77"/>
      <c r="E891" s="188"/>
      <c r="F891" s="188"/>
      <c r="G891" s="188"/>
      <c r="H891" s="188"/>
      <c r="I891" s="188"/>
      <c r="J891" s="77"/>
      <c r="K891" s="77"/>
      <c r="L891" s="77"/>
      <c r="M891" s="77"/>
      <c r="N891" s="77"/>
      <c r="O891" s="77"/>
      <c r="P891" s="77"/>
      <c r="Q891" s="77"/>
      <c r="R891" s="77"/>
      <c r="S891" s="77"/>
      <c r="T891" s="77"/>
      <c r="U891" s="77"/>
      <c r="V891" s="77"/>
      <c r="W891" s="77"/>
      <c r="X891" s="77"/>
      <c r="Y891" s="77"/>
      <c r="Z891" s="77"/>
      <c r="AA891" s="77"/>
      <c r="AB891" s="77"/>
      <c r="AC891" s="77"/>
      <c r="AD891" s="227"/>
      <c r="AE891" s="77"/>
      <c r="AF891" s="227"/>
      <c r="AG891" s="77"/>
      <c r="AH891" s="77"/>
      <c r="AI891" s="77"/>
      <c r="AJ891" s="77"/>
      <c r="AK891" s="77"/>
      <c r="AL891" s="77"/>
      <c r="AM891" s="77"/>
      <c r="AN891" s="77"/>
      <c r="AO891" s="77"/>
      <c r="AP891" s="77"/>
      <c r="AQ891" s="77"/>
      <c r="AR891" s="77"/>
      <c r="AS891" s="77"/>
      <c r="AT891" s="77"/>
      <c r="AU891" s="77"/>
      <c r="AV891" s="77"/>
      <c r="AW891" s="77"/>
      <c r="AX891" s="77"/>
      <c r="AY891" s="77"/>
      <c r="AZ891" s="77"/>
      <c r="BA891" s="77"/>
      <c r="BB891" s="77"/>
      <c r="BC891" s="77"/>
      <c r="BD891" s="77"/>
      <c r="BE891" s="77"/>
    </row>
    <row r="892">
      <c r="A892" s="77"/>
      <c r="B892" s="77"/>
      <c r="C892" s="77"/>
      <c r="D892" s="77"/>
      <c r="E892" s="188"/>
      <c r="F892" s="188"/>
      <c r="G892" s="188"/>
      <c r="H892" s="188"/>
      <c r="I892" s="188"/>
      <c r="J892" s="77"/>
      <c r="K892" s="77"/>
      <c r="L892" s="77"/>
      <c r="M892" s="77"/>
      <c r="N892" s="77"/>
      <c r="O892" s="77"/>
      <c r="P892" s="77"/>
      <c r="Q892" s="77"/>
      <c r="R892" s="77"/>
      <c r="S892" s="77"/>
      <c r="T892" s="77"/>
      <c r="U892" s="77"/>
      <c r="V892" s="77"/>
      <c r="W892" s="77"/>
      <c r="X892" s="77"/>
      <c r="Y892" s="77"/>
      <c r="Z892" s="77"/>
      <c r="AA892" s="77"/>
      <c r="AB892" s="77"/>
      <c r="AC892" s="77"/>
      <c r="AD892" s="227"/>
      <c r="AE892" s="77"/>
      <c r="AF892" s="227"/>
      <c r="AG892" s="77"/>
      <c r="AH892" s="77"/>
      <c r="AI892" s="77"/>
      <c r="AJ892" s="77"/>
      <c r="AK892" s="77"/>
      <c r="AL892" s="77"/>
      <c r="AM892" s="77"/>
      <c r="AN892" s="77"/>
      <c r="AO892" s="77"/>
      <c r="AP892" s="77"/>
      <c r="AQ892" s="77"/>
      <c r="AR892" s="77"/>
      <c r="AS892" s="77"/>
      <c r="AT892" s="77"/>
      <c r="AU892" s="77"/>
      <c r="AV892" s="77"/>
      <c r="AW892" s="77"/>
      <c r="AX892" s="77"/>
      <c r="AY892" s="77"/>
      <c r="AZ892" s="77"/>
      <c r="BA892" s="77"/>
      <c r="BB892" s="77"/>
      <c r="BC892" s="77"/>
      <c r="BD892" s="77"/>
      <c r="BE892" s="77"/>
    </row>
    <row r="893">
      <c r="A893" s="77"/>
      <c r="B893" s="77"/>
      <c r="C893" s="77"/>
      <c r="D893" s="77"/>
      <c r="E893" s="188"/>
      <c r="F893" s="188"/>
      <c r="G893" s="188"/>
      <c r="H893" s="188"/>
      <c r="I893" s="188"/>
      <c r="J893" s="77"/>
      <c r="K893" s="77"/>
      <c r="L893" s="77"/>
      <c r="M893" s="77"/>
      <c r="N893" s="77"/>
      <c r="O893" s="77"/>
      <c r="P893" s="77"/>
      <c r="Q893" s="77"/>
      <c r="R893" s="77"/>
      <c r="S893" s="77"/>
      <c r="T893" s="77"/>
      <c r="U893" s="77"/>
      <c r="V893" s="77"/>
      <c r="W893" s="77"/>
      <c r="X893" s="77"/>
      <c r="Y893" s="77"/>
      <c r="Z893" s="77"/>
      <c r="AA893" s="77"/>
      <c r="AB893" s="77"/>
      <c r="AC893" s="77"/>
      <c r="AD893" s="227"/>
      <c r="AE893" s="77"/>
      <c r="AF893" s="227"/>
      <c r="AG893" s="77"/>
      <c r="AH893" s="77"/>
      <c r="AI893" s="77"/>
      <c r="AJ893" s="77"/>
      <c r="AK893" s="77"/>
      <c r="AL893" s="77"/>
      <c r="AM893" s="77"/>
      <c r="AN893" s="77"/>
      <c r="AO893" s="77"/>
      <c r="AP893" s="77"/>
      <c r="AQ893" s="77"/>
      <c r="AR893" s="77"/>
      <c r="AS893" s="77"/>
      <c r="AT893" s="77"/>
      <c r="AU893" s="77"/>
      <c r="AV893" s="77"/>
      <c r="AW893" s="77"/>
      <c r="AX893" s="77"/>
      <c r="AY893" s="77"/>
      <c r="AZ893" s="77"/>
      <c r="BA893" s="77"/>
      <c r="BB893" s="77"/>
      <c r="BC893" s="77"/>
      <c r="BD893" s="77"/>
      <c r="BE893" s="77"/>
    </row>
    <row r="894">
      <c r="A894" s="77"/>
      <c r="B894" s="77"/>
      <c r="C894" s="77"/>
      <c r="D894" s="77"/>
      <c r="E894" s="188"/>
      <c r="F894" s="188"/>
      <c r="G894" s="188"/>
      <c r="H894" s="188"/>
      <c r="I894" s="188"/>
      <c r="J894" s="77"/>
      <c r="K894" s="77"/>
      <c r="L894" s="77"/>
      <c r="M894" s="77"/>
      <c r="N894" s="77"/>
      <c r="O894" s="77"/>
      <c r="P894" s="77"/>
      <c r="Q894" s="77"/>
      <c r="R894" s="77"/>
      <c r="S894" s="77"/>
      <c r="T894" s="77"/>
      <c r="U894" s="77"/>
      <c r="V894" s="77"/>
      <c r="W894" s="77"/>
      <c r="X894" s="77"/>
      <c r="Y894" s="77"/>
      <c r="Z894" s="77"/>
      <c r="AA894" s="77"/>
      <c r="AB894" s="77"/>
      <c r="AC894" s="77"/>
      <c r="AD894" s="227"/>
      <c r="AE894" s="77"/>
      <c r="AF894" s="227"/>
      <c r="AG894" s="77"/>
      <c r="AH894" s="77"/>
      <c r="AI894" s="77"/>
      <c r="AJ894" s="77"/>
      <c r="AK894" s="77"/>
      <c r="AL894" s="77"/>
      <c r="AM894" s="77"/>
      <c r="AN894" s="77"/>
      <c r="AO894" s="77"/>
      <c r="AP894" s="77"/>
      <c r="AQ894" s="77"/>
      <c r="AR894" s="77"/>
      <c r="AS894" s="77"/>
      <c r="AT894" s="77"/>
      <c r="AU894" s="77"/>
      <c r="AV894" s="77"/>
      <c r="AW894" s="77"/>
      <c r="AX894" s="77"/>
      <c r="AY894" s="77"/>
      <c r="AZ894" s="77"/>
      <c r="BA894" s="77"/>
      <c r="BB894" s="77"/>
      <c r="BC894" s="77"/>
      <c r="BD894" s="77"/>
      <c r="BE894" s="77"/>
    </row>
    <row r="895">
      <c r="A895" s="77"/>
      <c r="B895" s="77"/>
      <c r="C895" s="77"/>
      <c r="D895" s="77"/>
      <c r="E895" s="188"/>
      <c r="F895" s="188"/>
      <c r="G895" s="188"/>
      <c r="H895" s="188"/>
      <c r="I895" s="188"/>
      <c r="J895" s="77"/>
      <c r="K895" s="77"/>
      <c r="L895" s="77"/>
      <c r="M895" s="77"/>
      <c r="N895" s="77"/>
      <c r="O895" s="77"/>
      <c r="P895" s="77"/>
      <c r="Q895" s="77"/>
      <c r="R895" s="77"/>
      <c r="S895" s="77"/>
      <c r="T895" s="77"/>
      <c r="U895" s="77"/>
      <c r="V895" s="77"/>
      <c r="W895" s="77"/>
      <c r="X895" s="77"/>
      <c r="Y895" s="77"/>
      <c r="Z895" s="77"/>
      <c r="AA895" s="77"/>
      <c r="AB895" s="77"/>
      <c r="AC895" s="77"/>
      <c r="AD895" s="227"/>
      <c r="AE895" s="77"/>
      <c r="AF895" s="227"/>
      <c r="AG895" s="77"/>
      <c r="AH895" s="77"/>
      <c r="AI895" s="77"/>
      <c r="AJ895" s="77"/>
      <c r="AK895" s="77"/>
      <c r="AL895" s="77"/>
      <c r="AM895" s="77"/>
      <c r="AN895" s="77"/>
      <c r="AO895" s="77"/>
      <c r="AP895" s="77"/>
      <c r="AQ895" s="77"/>
      <c r="AR895" s="77"/>
      <c r="AS895" s="77"/>
      <c r="AT895" s="77"/>
      <c r="AU895" s="77"/>
      <c r="AV895" s="77"/>
      <c r="AW895" s="77"/>
      <c r="AX895" s="77"/>
      <c r="AY895" s="77"/>
      <c r="AZ895" s="77"/>
      <c r="BA895" s="77"/>
      <c r="BB895" s="77"/>
      <c r="BC895" s="77"/>
      <c r="BD895" s="77"/>
      <c r="BE895" s="77"/>
    </row>
    <row r="896">
      <c r="A896" s="77"/>
      <c r="B896" s="77"/>
      <c r="C896" s="77"/>
      <c r="D896" s="77"/>
      <c r="E896" s="188"/>
      <c r="F896" s="188"/>
      <c r="G896" s="188"/>
      <c r="H896" s="188"/>
      <c r="I896" s="188"/>
      <c r="J896" s="77"/>
      <c r="K896" s="77"/>
      <c r="L896" s="77"/>
      <c r="M896" s="77"/>
      <c r="N896" s="77"/>
      <c r="O896" s="77"/>
      <c r="P896" s="77"/>
      <c r="Q896" s="77"/>
      <c r="R896" s="77"/>
      <c r="S896" s="77"/>
      <c r="T896" s="77"/>
      <c r="U896" s="77"/>
      <c r="V896" s="77"/>
      <c r="W896" s="77"/>
      <c r="X896" s="77"/>
      <c r="Y896" s="77"/>
      <c r="Z896" s="77"/>
      <c r="AA896" s="77"/>
      <c r="AB896" s="77"/>
      <c r="AC896" s="77"/>
      <c r="AD896" s="227"/>
      <c r="AE896" s="77"/>
      <c r="AF896" s="227"/>
      <c r="AG896" s="77"/>
      <c r="AH896" s="77"/>
      <c r="AI896" s="77"/>
      <c r="AJ896" s="77"/>
      <c r="AK896" s="77"/>
      <c r="AL896" s="77"/>
      <c r="AM896" s="77"/>
      <c r="AN896" s="77"/>
      <c r="AO896" s="77"/>
      <c r="AP896" s="77"/>
      <c r="AQ896" s="77"/>
      <c r="AR896" s="77"/>
      <c r="AS896" s="77"/>
      <c r="AT896" s="77"/>
      <c r="AU896" s="77"/>
      <c r="AV896" s="77"/>
      <c r="AW896" s="77"/>
      <c r="AX896" s="77"/>
      <c r="AY896" s="77"/>
      <c r="AZ896" s="77"/>
      <c r="BA896" s="77"/>
      <c r="BB896" s="77"/>
      <c r="BC896" s="77"/>
      <c r="BD896" s="77"/>
      <c r="BE896" s="77"/>
    </row>
    <row r="897">
      <c r="A897" s="77"/>
      <c r="B897" s="77"/>
      <c r="C897" s="77"/>
      <c r="D897" s="77"/>
      <c r="E897" s="188"/>
      <c r="F897" s="188"/>
      <c r="G897" s="188"/>
      <c r="H897" s="188"/>
      <c r="I897" s="188"/>
      <c r="J897" s="77"/>
      <c r="K897" s="77"/>
      <c r="L897" s="77"/>
      <c r="M897" s="77"/>
      <c r="N897" s="77"/>
      <c r="O897" s="77"/>
      <c r="P897" s="77"/>
      <c r="Q897" s="77"/>
      <c r="R897" s="77"/>
      <c r="S897" s="77"/>
      <c r="T897" s="77"/>
      <c r="U897" s="77"/>
      <c r="V897" s="77"/>
      <c r="W897" s="77"/>
      <c r="X897" s="77"/>
      <c r="Y897" s="77"/>
      <c r="Z897" s="77"/>
      <c r="AA897" s="77"/>
      <c r="AB897" s="77"/>
      <c r="AC897" s="77"/>
      <c r="AD897" s="227"/>
      <c r="AE897" s="77"/>
      <c r="AF897" s="227"/>
      <c r="AG897" s="77"/>
      <c r="AH897" s="77"/>
      <c r="AI897" s="77"/>
      <c r="AJ897" s="77"/>
      <c r="AK897" s="77"/>
      <c r="AL897" s="77"/>
      <c r="AM897" s="77"/>
      <c r="AN897" s="77"/>
      <c r="AO897" s="77"/>
      <c r="AP897" s="77"/>
      <c r="AQ897" s="77"/>
      <c r="AR897" s="77"/>
      <c r="AS897" s="77"/>
      <c r="AT897" s="77"/>
      <c r="AU897" s="77"/>
      <c r="AV897" s="77"/>
      <c r="AW897" s="77"/>
      <c r="AX897" s="77"/>
      <c r="AY897" s="77"/>
      <c r="AZ897" s="77"/>
      <c r="BA897" s="77"/>
      <c r="BB897" s="77"/>
      <c r="BC897" s="77"/>
      <c r="BD897" s="77"/>
      <c r="BE897" s="77"/>
    </row>
    <row r="898">
      <c r="A898" s="77"/>
      <c r="B898" s="77"/>
      <c r="C898" s="77"/>
      <c r="D898" s="77"/>
      <c r="E898" s="188"/>
      <c r="F898" s="188"/>
      <c r="G898" s="188"/>
      <c r="H898" s="188"/>
      <c r="I898" s="188"/>
      <c r="J898" s="77"/>
      <c r="K898" s="77"/>
      <c r="L898" s="77"/>
      <c r="M898" s="77"/>
      <c r="N898" s="77"/>
      <c r="O898" s="77"/>
      <c r="P898" s="77"/>
      <c r="Q898" s="77"/>
      <c r="R898" s="77"/>
      <c r="S898" s="77"/>
      <c r="T898" s="77"/>
      <c r="U898" s="77"/>
      <c r="V898" s="77"/>
      <c r="W898" s="77"/>
      <c r="X898" s="77"/>
      <c r="Y898" s="77"/>
      <c r="Z898" s="77"/>
      <c r="AA898" s="77"/>
      <c r="AB898" s="77"/>
      <c r="AC898" s="77"/>
      <c r="AD898" s="227"/>
      <c r="AE898" s="77"/>
      <c r="AF898" s="227"/>
      <c r="AG898" s="77"/>
      <c r="AH898" s="77"/>
      <c r="AI898" s="77"/>
      <c r="AJ898" s="77"/>
      <c r="AK898" s="77"/>
      <c r="AL898" s="77"/>
      <c r="AM898" s="77"/>
      <c r="AN898" s="77"/>
      <c r="AO898" s="77"/>
      <c r="AP898" s="77"/>
      <c r="AQ898" s="77"/>
      <c r="AR898" s="77"/>
      <c r="AS898" s="77"/>
      <c r="AT898" s="77"/>
      <c r="AU898" s="77"/>
      <c r="AV898" s="77"/>
      <c r="AW898" s="77"/>
      <c r="AX898" s="77"/>
      <c r="AY898" s="77"/>
      <c r="AZ898" s="77"/>
      <c r="BA898" s="77"/>
      <c r="BB898" s="77"/>
      <c r="BC898" s="77"/>
      <c r="BD898" s="77"/>
      <c r="BE898" s="77"/>
    </row>
    <row r="899">
      <c r="A899" s="77"/>
      <c r="B899" s="77"/>
      <c r="C899" s="77"/>
      <c r="D899" s="77"/>
      <c r="E899" s="188"/>
      <c r="F899" s="188"/>
      <c r="G899" s="188"/>
      <c r="H899" s="188"/>
      <c r="I899" s="188"/>
      <c r="J899" s="77"/>
      <c r="K899" s="77"/>
      <c r="L899" s="77"/>
      <c r="M899" s="77"/>
      <c r="N899" s="77"/>
      <c r="O899" s="77"/>
      <c r="P899" s="77"/>
      <c r="Q899" s="77"/>
      <c r="R899" s="77"/>
      <c r="S899" s="77"/>
      <c r="T899" s="77"/>
      <c r="U899" s="77"/>
      <c r="V899" s="77"/>
      <c r="W899" s="77"/>
      <c r="X899" s="77"/>
      <c r="Y899" s="77"/>
      <c r="Z899" s="77"/>
      <c r="AA899" s="77"/>
      <c r="AB899" s="77"/>
      <c r="AC899" s="77"/>
      <c r="AD899" s="227"/>
      <c r="AE899" s="77"/>
      <c r="AF899" s="227"/>
      <c r="AG899" s="77"/>
      <c r="AH899" s="77"/>
      <c r="AI899" s="77"/>
      <c r="AJ899" s="77"/>
      <c r="AK899" s="77"/>
      <c r="AL899" s="77"/>
      <c r="AM899" s="77"/>
      <c r="AN899" s="77"/>
      <c r="AO899" s="77"/>
      <c r="AP899" s="77"/>
      <c r="AQ899" s="77"/>
      <c r="AR899" s="77"/>
      <c r="AS899" s="77"/>
      <c r="AT899" s="77"/>
      <c r="AU899" s="77"/>
      <c r="AV899" s="77"/>
      <c r="AW899" s="77"/>
      <c r="AX899" s="77"/>
      <c r="AY899" s="77"/>
      <c r="AZ899" s="77"/>
      <c r="BA899" s="77"/>
      <c r="BB899" s="77"/>
      <c r="BC899" s="77"/>
      <c r="BD899" s="77"/>
      <c r="BE899" s="77"/>
    </row>
    <row r="900">
      <c r="A900" s="77"/>
      <c r="B900" s="77"/>
      <c r="C900" s="77"/>
      <c r="D900" s="77"/>
      <c r="E900" s="188"/>
      <c r="F900" s="188"/>
      <c r="G900" s="188"/>
      <c r="H900" s="188"/>
      <c r="I900" s="188"/>
      <c r="J900" s="77"/>
      <c r="K900" s="77"/>
      <c r="L900" s="77"/>
      <c r="M900" s="77"/>
      <c r="N900" s="77"/>
      <c r="O900" s="77"/>
      <c r="P900" s="77"/>
      <c r="Q900" s="77"/>
      <c r="R900" s="77"/>
      <c r="S900" s="77"/>
      <c r="T900" s="77"/>
      <c r="U900" s="77"/>
      <c r="V900" s="77"/>
      <c r="W900" s="77"/>
      <c r="X900" s="77"/>
      <c r="Y900" s="77"/>
      <c r="Z900" s="77"/>
      <c r="AA900" s="77"/>
      <c r="AB900" s="77"/>
      <c r="AC900" s="77"/>
      <c r="AD900" s="227"/>
      <c r="AE900" s="77"/>
      <c r="AF900" s="227"/>
      <c r="AG900" s="77"/>
      <c r="AH900" s="77"/>
      <c r="AI900" s="77"/>
      <c r="AJ900" s="77"/>
      <c r="AK900" s="77"/>
      <c r="AL900" s="77"/>
      <c r="AM900" s="77"/>
      <c r="AN900" s="77"/>
      <c r="AO900" s="77"/>
      <c r="AP900" s="77"/>
      <c r="AQ900" s="77"/>
      <c r="AR900" s="77"/>
      <c r="AS900" s="77"/>
      <c r="AT900" s="77"/>
      <c r="AU900" s="77"/>
      <c r="AV900" s="77"/>
      <c r="AW900" s="77"/>
      <c r="AX900" s="77"/>
      <c r="AY900" s="77"/>
      <c r="AZ900" s="77"/>
      <c r="BA900" s="77"/>
      <c r="BB900" s="77"/>
      <c r="BC900" s="77"/>
      <c r="BD900" s="77"/>
      <c r="BE900" s="77"/>
    </row>
    <row r="901">
      <c r="A901" s="77"/>
      <c r="B901" s="77"/>
      <c r="C901" s="77"/>
      <c r="D901" s="77"/>
      <c r="E901" s="188"/>
      <c r="F901" s="188"/>
      <c r="G901" s="188"/>
      <c r="H901" s="188"/>
      <c r="I901" s="188"/>
      <c r="J901" s="77"/>
      <c r="K901" s="77"/>
      <c r="L901" s="77"/>
      <c r="M901" s="77"/>
      <c r="N901" s="77"/>
      <c r="O901" s="77"/>
      <c r="P901" s="77"/>
      <c r="Q901" s="77"/>
      <c r="R901" s="77"/>
      <c r="S901" s="77"/>
      <c r="T901" s="77"/>
      <c r="U901" s="77"/>
      <c r="V901" s="77"/>
      <c r="W901" s="77"/>
      <c r="X901" s="77"/>
      <c r="Y901" s="77"/>
      <c r="Z901" s="77"/>
      <c r="AA901" s="77"/>
      <c r="AB901" s="77"/>
      <c r="AC901" s="77"/>
      <c r="AD901" s="227"/>
      <c r="AE901" s="77"/>
      <c r="AF901" s="227"/>
      <c r="AG901" s="77"/>
      <c r="AH901" s="77"/>
      <c r="AI901" s="77"/>
      <c r="AJ901" s="77"/>
      <c r="AK901" s="77"/>
      <c r="AL901" s="77"/>
      <c r="AM901" s="77"/>
      <c r="AN901" s="77"/>
      <c r="AO901" s="77"/>
      <c r="AP901" s="77"/>
      <c r="AQ901" s="77"/>
      <c r="AR901" s="77"/>
      <c r="AS901" s="77"/>
      <c r="AT901" s="77"/>
      <c r="AU901" s="77"/>
      <c r="AV901" s="77"/>
      <c r="AW901" s="77"/>
      <c r="AX901" s="77"/>
      <c r="AY901" s="77"/>
      <c r="AZ901" s="77"/>
      <c r="BA901" s="77"/>
      <c r="BB901" s="77"/>
      <c r="BC901" s="77"/>
      <c r="BD901" s="77"/>
      <c r="BE901" s="77"/>
    </row>
    <row r="902">
      <c r="A902" s="77"/>
      <c r="B902" s="77"/>
      <c r="C902" s="77"/>
      <c r="D902" s="77"/>
      <c r="E902" s="188"/>
      <c r="F902" s="188"/>
      <c r="G902" s="188"/>
      <c r="H902" s="188"/>
      <c r="I902" s="188"/>
      <c r="J902" s="77"/>
      <c r="K902" s="77"/>
      <c r="L902" s="77"/>
      <c r="M902" s="77"/>
      <c r="N902" s="77"/>
      <c r="O902" s="77"/>
      <c r="P902" s="77"/>
      <c r="Q902" s="77"/>
      <c r="R902" s="77"/>
      <c r="S902" s="77"/>
      <c r="T902" s="77"/>
      <c r="U902" s="77"/>
      <c r="V902" s="77"/>
      <c r="W902" s="77"/>
      <c r="X902" s="77"/>
      <c r="Y902" s="77"/>
      <c r="Z902" s="77"/>
      <c r="AA902" s="77"/>
      <c r="AB902" s="77"/>
      <c r="AC902" s="77"/>
      <c r="AD902" s="227"/>
      <c r="AE902" s="77"/>
      <c r="AF902" s="227"/>
      <c r="AG902" s="77"/>
      <c r="AH902" s="77"/>
      <c r="AI902" s="77"/>
      <c r="AJ902" s="77"/>
      <c r="AK902" s="77"/>
      <c r="AL902" s="77"/>
      <c r="AM902" s="77"/>
      <c r="AN902" s="77"/>
      <c r="AO902" s="77"/>
      <c r="AP902" s="77"/>
      <c r="AQ902" s="77"/>
      <c r="AR902" s="77"/>
      <c r="AS902" s="77"/>
      <c r="AT902" s="77"/>
      <c r="AU902" s="77"/>
      <c r="AV902" s="77"/>
      <c r="AW902" s="77"/>
      <c r="AX902" s="77"/>
      <c r="AY902" s="77"/>
      <c r="AZ902" s="77"/>
      <c r="BA902" s="77"/>
      <c r="BB902" s="77"/>
      <c r="BC902" s="77"/>
      <c r="BD902" s="77"/>
      <c r="BE902" s="77"/>
    </row>
    <row r="903">
      <c r="A903" s="77"/>
      <c r="B903" s="77"/>
      <c r="C903" s="77"/>
      <c r="D903" s="77"/>
      <c r="E903" s="188"/>
      <c r="F903" s="188"/>
      <c r="G903" s="188"/>
      <c r="H903" s="188"/>
      <c r="I903" s="188"/>
      <c r="J903" s="77"/>
      <c r="K903" s="77"/>
      <c r="L903" s="77"/>
      <c r="M903" s="77"/>
      <c r="N903" s="77"/>
      <c r="O903" s="77"/>
      <c r="P903" s="77"/>
      <c r="Q903" s="77"/>
      <c r="R903" s="77"/>
      <c r="S903" s="77"/>
      <c r="T903" s="77"/>
      <c r="U903" s="77"/>
      <c r="V903" s="77"/>
      <c r="W903" s="77"/>
      <c r="X903" s="77"/>
      <c r="Y903" s="77"/>
      <c r="Z903" s="77"/>
      <c r="AA903" s="77"/>
      <c r="AB903" s="77"/>
      <c r="AC903" s="77"/>
      <c r="AD903" s="227"/>
      <c r="AE903" s="77"/>
      <c r="AF903" s="227"/>
      <c r="AG903" s="77"/>
      <c r="AH903" s="77"/>
      <c r="AI903" s="77"/>
      <c r="AJ903" s="77"/>
      <c r="AK903" s="77"/>
      <c r="AL903" s="77"/>
      <c r="AM903" s="77"/>
      <c r="AN903" s="77"/>
      <c r="AO903" s="77"/>
      <c r="AP903" s="77"/>
      <c r="AQ903" s="77"/>
      <c r="AR903" s="77"/>
      <c r="AS903" s="77"/>
      <c r="AT903" s="77"/>
      <c r="AU903" s="77"/>
      <c r="AV903" s="77"/>
      <c r="AW903" s="77"/>
      <c r="AX903" s="77"/>
      <c r="AY903" s="77"/>
      <c r="AZ903" s="77"/>
      <c r="BA903" s="77"/>
      <c r="BB903" s="77"/>
      <c r="BC903" s="77"/>
      <c r="BD903" s="77"/>
      <c r="BE903" s="77"/>
    </row>
    <row r="904">
      <c r="A904" s="77"/>
      <c r="B904" s="77"/>
      <c r="C904" s="77"/>
      <c r="D904" s="77"/>
      <c r="E904" s="188"/>
      <c r="F904" s="188"/>
      <c r="G904" s="188"/>
      <c r="H904" s="188"/>
      <c r="I904" s="188"/>
      <c r="J904" s="77"/>
      <c r="K904" s="77"/>
      <c r="L904" s="77"/>
      <c r="M904" s="77"/>
      <c r="N904" s="77"/>
      <c r="O904" s="77"/>
      <c r="P904" s="77"/>
      <c r="Q904" s="77"/>
      <c r="R904" s="77"/>
      <c r="S904" s="77"/>
      <c r="T904" s="77"/>
      <c r="U904" s="77"/>
      <c r="V904" s="77"/>
      <c r="W904" s="77"/>
      <c r="X904" s="77"/>
      <c r="Y904" s="77"/>
      <c r="Z904" s="77"/>
      <c r="AA904" s="77"/>
      <c r="AB904" s="77"/>
      <c r="AC904" s="77"/>
      <c r="AD904" s="227"/>
      <c r="AE904" s="77"/>
      <c r="AF904" s="227"/>
      <c r="AG904" s="77"/>
      <c r="AH904" s="77"/>
      <c r="AI904" s="77"/>
      <c r="AJ904" s="77"/>
      <c r="AK904" s="77"/>
      <c r="AL904" s="77"/>
      <c r="AM904" s="77"/>
      <c r="AN904" s="77"/>
      <c r="AO904" s="77"/>
      <c r="AP904" s="77"/>
      <c r="AQ904" s="77"/>
      <c r="AR904" s="77"/>
      <c r="AS904" s="77"/>
      <c r="AT904" s="77"/>
      <c r="AU904" s="77"/>
      <c r="AV904" s="77"/>
      <c r="AW904" s="77"/>
      <c r="AX904" s="77"/>
      <c r="AY904" s="77"/>
      <c r="AZ904" s="77"/>
      <c r="BA904" s="77"/>
      <c r="BB904" s="77"/>
      <c r="BC904" s="77"/>
      <c r="BD904" s="77"/>
      <c r="BE904" s="77"/>
    </row>
    <row r="905">
      <c r="A905" s="77"/>
      <c r="B905" s="77"/>
      <c r="C905" s="77"/>
      <c r="D905" s="77"/>
      <c r="E905" s="188"/>
      <c r="F905" s="188"/>
      <c r="G905" s="188"/>
      <c r="H905" s="188"/>
      <c r="I905" s="188"/>
      <c r="J905" s="77"/>
      <c r="K905" s="77"/>
      <c r="L905" s="77"/>
      <c r="M905" s="77"/>
      <c r="N905" s="77"/>
      <c r="O905" s="77"/>
      <c r="P905" s="77"/>
      <c r="Q905" s="77"/>
      <c r="R905" s="77"/>
      <c r="S905" s="77"/>
      <c r="T905" s="77"/>
      <c r="U905" s="77"/>
      <c r="V905" s="77"/>
      <c r="W905" s="77"/>
      <c r="X905" s="77"/>
      <c r="Y905" s="77"/>
      <c r="Z905" s="77"/>
      <c r="AA905" s="77"/>
      <c r="AB905" s="77"/>
      <c r="AC905" s="77"/>
      <c r="AD905" s="227"/>
      <c r="AE905" s="77"/>
      <c r="AF905" s="227"/>
      <c r="AG905" s="77"/>
      <c r="AH905" s="77"/>
      <c r="AI905" s="77"/>
      <c r="AJ905" s="77"/>
      <c r="AK905" s="77"/>
      <c r="AL905" s="77"/>
      <c r="AM905" s="77"/>
      <c r="AN905" s="77"/>
      <c r="AO905" s="77"/>
      <c r="AP905" s="77"/>
      <c r="AQ905" s="77"/>
      <c r="AR905" s="77"/>
      <c r="AS905" s="77"/>
      <c r="AT905" s="77"/>
      <c r="AU905" s="77"/>
      <c r="AV905" s="77"/>
      <c r="AW905" s="77"/>
      <c r="AX905" s="77"/>
      <c r="AY905" s="77"/>
      <c r="AZ905" s="77"/>
      <c r="BA905" s="77"/>
      <c r="BB905" s="77"/>
      <c r="BC905" s="77"/>
      <c r="BD905" s="77"/>
      <c r="BE905" s="77"/>
    </row>
    <row r="906">
      <c r="A906" s="77"/>
      <c r="B906" s="77"/>
      <c r="C906" s="77"/>
      <c r="D906" s="77"/>
      <c r="E906" s="188"/>
      <c r="F906" s="188"/>
      <c r="G906" s="188"/>
      <c r="H906" s="188"/>
      <c r="I906" s="188"/>
      <c r="J906" s="77"/>
      <c r="K906" s="77"/>
      <c r="L906" s="77"/>
      <c r="M906" s="77"/>
      <c r="N906" s="77"/>
      <c r="O906" s="77"/>
      <c r="P906" s="77"/>
      <c r="Q906" s="77"/>
      <c r="R906" s="77"/>
      <c r="S906" s="77"/>
      <c r="T906" s="77"/>
      <c r="U906" s="77"/>
      <c r="V906" s="77"/>
      <c r="W906" s="77"/>
      <c r="X906" s="77"/>
      <c r="Y906" s="77"/>
      <c r="Z906" s="77"/>
      <c r="AA906" s="77"/>
      <c r="AB906" s="77"/>
      <c r="AC906" s="77"/>
      <c r="AD906" s="227"/>
      <c r="AE906" s="77"/>
      <c r="AF906" s="227"/>
      <c r="AG906" s="77"/>
      <c r="AH906" s="77"/>
      <c r="AI906" s="77"/>
      <c r="AJ906" s="77"/>
      <c r="AK906" s="77"/>
      <c r="AL906" s="77"/>
      <c r="AM906" s="77"/>
      <c r="AN906" s="77"/>
      <c r="AO906" s="77"/>
      <c r="AP906" s="77"/>
      <c r="AQ906" s="77"/>
      <c r="AR906" s="77"/>
      <c r="AS906" s="77"/>
      <c r="AT906" s="77"/>
      <c r="AU906" s="77"/>
      <c r="AV906" s="77"/>
      <c r="AW906" s="77"/>
      <c r="AX906" s="77"/>
      <c r="AY906" s="77"/>
      <c r="AZ906" s="77"/>
      <c r="BA906" s="77"/>
      <c r="BB906" s="77"/>
      <c r="BC906" s="77"/>
      <c r="BD906" s="77"/>
      <c r="BE906" s="77"/>
    </row>
    <row r="907">
      <c r="A907" s="77"/>
      <c r="B907" s="77"/>
      <c r="C907" s="77"/>
      <c r="D907" s="77"/>
      <c r="E907" s="188"/>
      <c r="F907" s="188"/>
      <c r="G907" s="188"/>
      <c r="H907" s="188"/>
      <c r="I907" s="188"/>
      <c r="J907" s="77"/>
      <c r="K907" s="77"/>
      <c r="L907" s="77"/>
      <c r="M907" s="77"/>
      <c r="N907" s="77"/>
      <c r="O907" s="77"/>
      <c r="P907" s="77"/>
      <c r="Q907" s="77"/>
      <c r="R907" s="77"/>
      <c r="S907" s="77"/>
      <c r="T907" s="77"/>
      <c r="U907" s="77"/>
      <c r="V907" s="77"/>
      <c r="W907" s="77"/>
      <c r="X907" s="77"/>
      <c r="Y907" s="77"/>
      <c r="Z907" s="77"/>
      <c r="AA907" s="77"/>
      <c r="AB907" s="77"/>
      <c r="AC907" s="77"/>
      <c r="AD907" s="227"/>
      <c r="AE907" s="77"/>
      <c r="AF907" s="227"/>
      <c r="AG907" s="77"/>
      <c r="AH907" s="77"/>
      <c r="AI907" s="77"/>
      <c r="AJ907" s="77"/>
      <c r="AK907" s="77"/>
      <c r="AL907" s="77"/>
      <c r="AM907" s="77"/>
      <c r="AN907" s="77"/>
      <c r="AO907" s="77"/>
      <c r="AP907" s="77"/>
      <c r="AQ907" s="77"/>
      <c r="AR907" s="77"/>
      <c r="AS907" s="77"/>
      <c r="AT907" s="77"/>
      <c r="AU907" s="77"/>
      <c r="AV907" s="77"/>
      <c r="AW907" s="77"/>
      <c r="AX907" s="77"/>
      <c r="AY907" s="77"/>
      <c r="AZ907" s="77"/>
      <c r="BA907" s="77"/>
      <c r="BB907" s="77"/>
      <c r="BC907" s="77"/>
      <c r="BD907" s="77"/>
      <c r="BE907" s="77"/>
    </row>
    <row r="908">
      <c r="A908" s="77"/>
      <c r="B908" s="77"/>
      <c r="C908" s="77"/>
      <c r="D908" s="77"/>
      <c r="E908" s="188"/>
      <c r="F908" s="188"/>
      <c r="G908" s="188"/>
      <c r="H908" s="188"/>
      <c r="I908" s="188"/>
      <c r="J908" s="77"/>
      <c r="K908" s="77"/>
      <c r="L908" s="77"/>
      <c r="M908" s="77"/>
      <c r="N908" s="77"/>
      <c r="O908" s="77"/>
      <c r="P908" s="77"/>
      <c r="Q908" s="77"/>
      <c r="R908" s="77"/>
      <c r="S908" s="77"/>
      <c r="T908" s="77"/>
      <c r="U908" s="77"/>
      <c r="V908" s="77"/>
      <c r="W908" s="77"/>
      <c r="X908" s="77"/>
      <c r="Y908" s="77"/>
      <c r="Z908" s="77"/>
      <c r="AA908" s="77"/>
      <c r="AB908" s="77"/>
      <c r="AC908" s="77"/>
      <c r="AD908" s="227"/>
      <c r="AE908" s="77"/>
      <c r="AF908" s="227"/>
      <c r="AG908" s="77"/>
      <c r="AH908" s="77"/>
      <c r="AI908" s="77"/>
      <c r="AJ908" s="77"/>
      <c r="AK908" s="77"/>
      <c r="AL908" s="77"/>
      <c r="AM908" s="77"/>
      <c r="AN908" s="77"/>
      <c r="AO908" s="77"/>
      <c r="AP908" s="77"/>
      <c r="AQ908" s="77"/>
      <c r="AR908" s="77"/>
      <c r="AS908" s="77"/>
      <c r="AT908" s="77"/>
      <c r="AU908" s="77"/>
      <c r="AV908" s="77"/>
      <c r="AW908" s="77"/>
      <c r="AX908" s="77"/>
      <c r="AY908" s="77"/>
      <c r="AZ908" s="77"/>
      <c r="BA908" s="77"/>
      <c r="BB908" s="77"/>
      <c r="BC908" s="77"/>
      <c r="BD908" s="77"/>
      <c r="BE908" s="77"/>
    </row>
    <row r="909">
      <c r="A909" s="77"/>
      <c r="B909" s="77"/>
      <c r="C909" s="77"/>
      <c r="D909" s="77"/>
      <c r="E909" s="188"/>
      <c r="F909" s="188"/>
      <c r="G909" s="188"/>
      <c r="H909" s="188"/>
      <c r="I909" s="188"/>
      <c r="J909" s="77"/>
      <c r="K909" s="77"/>
      <c r="L909" s="77"/>
      <c r="M909" s="77"/>
      <c r="N909" s="77"/>
      <c r="O909" s="77"/>
      <c r="P909" s="77"/>
      <c r="Q909" s="77"/>
      <c r="R909" s="77"/>
      <c r="S909" s="77"/>
      <c r="T909" s="77"/>
      <c r="U909" s="77"/>
      <c r="V909" s="77"/>
      <c r="W909" s="77"/>
      <c r="X909" s="77"/>
      <c r="Y909" s="77"/>
      <c r="Z909" s="77"/>
      <c r="AA909" s="77"/>
      <c r="AB909" s="77"/>
      <c r="AC909" s="77"/>
      <c r="AD909" s="227"/>
      <c r="AE909" s="77"/>
      <c r="AF909" s="227"/>
      <c r="AG909" s="77"/>
      <c r="AH909" s="77"/>
      <c r="AI909" s="77"/>
      <c r="AJ909" s="77"/>
      <c r="AK909" s="77"/>
      <c r="AL909" s="77"/>
      <c r="AM909" s="77"/>
      <c r="AN909" s="77"/>
      <c r="AO909" s="77"/>
      <c r="AP909" s="77"/>
      <c r="AQ909" s="77"/>
      <c r="AR909" s="77"/>
      <c r="AS909" s="77"/>
      <c r="AT909" s="77"/>
      <c r="AU909" s="77"/>
      <c r="AV909" s="77"/>
      <c r="AW909" s="77"/>
      <c r="AX909" s="77"/>
      <c r="AY909" s="77"/>
      <c r="AZ909" s="77"/>
      <c r="BA909" s="77"/>
      <c r="BB909" s="77"/>
      <c r="BC909" s="77"/>
      <c r="BD909" s="77"/>
      <c r="BE909" s="77"/>
    </row>
    <row r="910">
      <c r="A910" s="77"/>
      <c r="B910" s="77"/>
      <c r="C910" s="77"/>
      <c r="D910" s="77"/>
      <c r="E910" s="188"/>
      <c r="F910" s="188"/>
      <c r="G910" s="188"/>
      <c r="H910" s="188"/>
      <c r="I910" s="188"/>
      <c r="J910" s="77"/>
      <c r="K910" s="77"/>
      <c r="L910" s="77"/>
      <c r="M910" s="77"/>
      <c r="N910" s="77"/>
      <c r="O910" s="77"/>
      <c r="P910" s="77"/>
      <c r="Q910" s="77"/>
      <c r="R910" s="77"/>
      <c r="S910" s="77"/>
      <c r="T910" s="77"/>
      <c r="U910" s="77"/>
      <c r="V910" s="77"/>
      <c r="W910" s="77"/>
      <c r="X910" s="77"/>
      <c r="Y910" s="77"/>
      <c r="Z910" s="77"/>
      <c r="AA910" s="77"/>
      <c r="AB910" s="77"/>
      <c r="AC910" s="77"/>
      <c r="AD910" s="227"/>
      <c r="AE910" s="77"/>
      <c r="AF910" s="227"/>
      <c r="AG910" s="77"/>
      <c r="AH910" s="77"/>
      <c r="AI910" s="77"/>
      <c r="AJ910" s="77"/>
      <c r="AK910" s="77"/>
      <c r="AL910" s="77"/>
      <c r="AM910" s="77"/>
      <c r="AN910" s="77"/>
      <c r="AO910" s="77"/>
      <c r="AP910" s="77"/>
      <c r="AQ910" s="77"/>
      <c r="AR910" s="77"/>
      <c r="AS910" s="77"/>
      <c r="AT910" s="77"/>
      <c r="AU910" s="77"/>
      <c r="AV910" s="77"/>
      <c r="AW910" s="77"/>
      <c r="AX910" s="77"/>
      <c r="AY910" s="77"/>
      <c r="AZ910" s="77"/>
      <c r="BA910" s="77"/>
      <c r="BB910" s="77"/>
      <c r="BC910" s="77"/>
      <c r="BD910" s="77"/>
      <c r="BE910" s="77"/>
    </row>
    <row r="911">
      <c r="A911" s="77"/>
      <c r="B911" s="77"/>
      <c r="C911" s="77"/>
      <c r="D911" s="77"/>
      <c r="E911" s="188"/>
      <c r="F911" s="188"/>
      <c r="G911" s="188"/>
      <c r="H911" s="188"/>
      <c r="I911" s="188"/>
      <c r="J911" s="77"/>
      <c r="K911" s="77"/>
      <c r="L911" s="77"/>
      <c r="M911" s="77"/>
      <c r="N911" s="77"/>
      <c r="O911" s="77"/>
      <c r="P911" s="77"/>
      <c r="Q911" s="77"/>
      <c r="R911" s="77"/>
      <c r="S911" s="77"/>
      <c r="T911" s="77"/>
      <c r="U911" s="77"/>
      <c r="V911" s="77"/>
      <c r="W911" s="77"/>
      <c r="X911" s="77"/>
      <c r="Y911" s="77"/>
      <c r="Z911" s="77"/>
      <c r="AA911" s="77"/>
      <c r="AB911" s="77"/>
      <c r="AC911" s="77"/>
      <c r="AD911" s="227"/>
      <c r="AE911" s="77"/>
      <c r="AF911" s="227"/>
      <c r="AG911" s="77"/>
      <c r="AH911" s="77"/>
      <c r="AI911" s="77"/>
      <c r="AJ911" s="77"/>
      <c r="AK911" s="77"/>
      <c r="AL911" s="77"/>
      <c r="AM911" s="77"/>
      <c r="AN911" s="77"/>
      <c r="AO911" s="77"/>
      <c r="AP911" s="77"/>
      <c r="AQ911" s="77"/>
      <c r="AR911" s="77"/>
      <c r="AS911" s="77"/>
      <c r="AT911" s="77"/>
      <c r="AU911" s="77"/>
      <c r="AV911" s="77"/>
      <c r="AW911" s="77"/>
      <c r="AX911" s="77"/>
      <c r="AY911" s="77"/>
      <c r="AZ911" s="77"/>
      <c r="BA911" s="77"/>
      <c r="BB911" s="77"/>
      <c r="BC911" s="77"/>
      <c r="BD911" s="77"/>
      <c r="BE911" s="77"/>
    </row>
    <row r="912">
      <c r="A912" s="77"/>
      <c r="B912" s="77"/>
      <c r="C912" s="77"/>
      <c r="D912" s="77"/>
      <c r="E912" s="188"/>
      <c r="F912" s="188"/>
      <c r="G912" s="188"/>
      <c r="H912" s="188"/>
      <c r="I912" s="188"/>
      <c r="J912" s="77"/>
      <c r="K912" s="77"/>
      <c r="L912" s="77"/>
      <c r="M912" s="77"/>
      <c r="N912" s="77"/>
      <c r="O912" s="77"/>
      <c r="P912" s="77"/>
      <c r="Q912" s="77"/>
      <c r="R912" s="77"/>
      <c r="S912" s="77"/>
      <c r="T912" s="77"/>
      <c r="U912" s="77"/>
      <c r="V912" s="77"/>
      <c r="W912" s="77"/>
      <c r="X912" s="77"/>
      <c r="Y912" s="77"/>
      <c r="Z912" s="77"/>
      <c r="AA912" s="77"/>
      <c r="AB912" s="77"/>
      <c r="AC912" s="77"/>
      <c r="AD912" s="227"/>
      <c r="AE912" s="77"/>
      <c r="AF912" s="227"/>
      <c r="AG912" s="77"/>
      <c r="AH912" s="77"/>
      <c r="AI912" s="77"/>
      <c r="AJ912" s="77"/>
      <c r="AK912" s="77"/>
      <c r="AL912" s="77"/>
      <c r="AM912" s="77"/>
      <c r="AN912" s="77"/>
      <c r="AO912" s="77"/>
      <c r="AP912" s="77"/>
      <c r="AQ912" s="77"/>
      <c r="AR912" s="77"/>
      <c r="AS912" s="77"/>
      <c r="AT912" s="77"/>
      <c r="AU912" s="77"/>
      <c r="AV912" s="77"/>
      <c r="AW912" s="77"/>
      <c r="AX912" s="77"/>
      <c r="AY912" s="77"/>
      <c r="AZ912" s="77"/>
      <c r="BA912" s="77"/>
      <c r="BB912" s="77"/>
      <c r="BC912" s="77"/>
      <c r="BD912" s="77"/>
      <c r="BE912" s="77"/>
    </row>
    <row r="913">
      <c r="A913" s="77"/>
      <c r="B913" s="77"/>
      <c r="C913" s="77"/>
      <c r="D913" s="77"/>
      <c r="E913" s="188"/>
      <c r="F913" s="188"/>
      <c r="G913" s="188"/>
      <c r="H913" s="188"/>
      <c r="I913" s="188"/>
      <c r="J913" s="77"/>
      <c r="K913" s="77"/>
      <c r="L913" s="77"/>
      <c r="M913" s="77"/>
      <c r="N913" s="77"/>
      <c r="O913" s="77"/>
      <c r="P913" s="77"/>
      <c r="Q913" s="77"/>
      <c r="R913" s="77"/>
      <c r="S913" s="77"/>
      <c r="T913" s="77"/>
      <c r="U913" s="77"/>
      <c r="V913" s="77"/>
      <c r="W913" s="77"/>
      <c r="X913" s="77"/>
      <c r="Y913" s="77"/>
      <c r="Z913" s="77"/>
      <c r="AA913" s="77"/>
      <c r="AB913" s="77"/>
      <c r="AC913" s="77"/>
      <c r="AD913" s="227"/>
      <c r="AE913" s="77"/>
      <c r="AF913" s="227"/>
      <c r="AG913" s="77"/>
      <c r="AH913" s="77"/>
      <c r="AI913" s="77"/>
      <c r="AJ913" s="77"/>
      <c r="AK913" s="77"/>
      <c r="AL913" s="77"/>
      <c r="AM913" s="77"/>
      <c r="AN913" s="77"/>
      <c r="AO913" s="77"/>
      <c r="AP913" s="77"/>
      <c r="AQ913" s="77"/>
      <c r="AR913" s="77"/>
      <c r="AS913" s="77"/>
      <c r="AT913" s="77"/>
      <c r="AU913" s="77"/>
      <c r="AV913" s="77"/>
      <c r="AW913" s="77"/>
      <c r="AX913" s="77"/>
      <c r="AY913" s="77"/>
      <c r="AZ913" s="77"/>
      <c r="BA913" s="77"/>
      <c r="BB913" s="77"/>
      <c r="BC913" s="77"/>
      <c r="BD913" s="77"/>
      <c r="BE913" s="77"/>
    </row>
    <row r="914">
      <c r="A914" s="77"/>
      <c r="B914" s="77"/>
      <c r="C914" s="77"/>
      <c r="D914" s="77"/>
      <c r="E914" s="188"/>
      <c r="F914" s="188"/>
      <c r="G914" s="188"/>
      <c r="H914" s="188"/>
      <c r="I914" s="188"/>
      <c r="J914" s="77"/>
      <c r="K914" s="77"/>
      <c r="L914" s="77"/>
      <c r="M914" s="77"/>
      <c r="N914" s="77"/>
      <c r="O914" s="77"/>
      <c r="P914" s="77"/>
      <c r="Q914" s="77"/>
      <c r="R914" s="77"/>
      <c r="S914" s="77"/>
      <c r="T914" s="77"/>
      <c r="U914" s="77"/>
      <c r="V914" s="77"/>
      <c r="W914" s="77"/>
      <c r="X914" s="77"/>
      <c r="Y914" s="77"/>
      <c r="Z914" s="77"/>
      <c r="AA914" s="77"/>
      <c r="AB914" s="77"/>
      <c r="AC914" s="77"/>
      <c r="AD914" s="227"/>
      <c r="AE914" s="77"/>
      <c r="AF914" s="227"/>
      <c r="AG914" s="77"/>
      <c r="AH914" s="77"/>
      <c r="AI914" s="77"/>
      <c r="AJ914" s="77"/>
      <c r="AK914" s="77"/>
      <c r="AL914" s="77"/>
      <c r="AM914" s="77"/>
      <c r="AN914" s="77"/>
      <c r="AO914" s="77"/>
      <c r="AP914" s="77"/>
      <c r="AQ914" s="77"/>
      <c r="AR914" s="77"/>
      <c r="AS914" s="77"/>
      <c r="AT914" s="77"/>
      <c r="AU914" s="77"/>
      <c r="AV914" s="77"/>
      <c r="AW914" s="77"/>
      <c r="AX914" s="77"/>
      <c r="AY914" s="77"/>
      <c r="AZ914" s="77"/>
      <c r="BA914" s="77"/>
      <c r="BB914" s="77"/>
      <c r="BC914" s="77"/>
      <c r="BD914" s="77"/>
      <c r="BE914" s="77"/>
    </row>
    <row r="915">
      <c r="A915" s="77"/>
      <c r="B915" s="77"/>
      <c r="C915" s="77"/>
      <c r="D915" s="77"/>
      <c r="E915" s="188"/>
      <c r="F915" s="188"/>
      <c r="G915" s="188"/>
      <c r="H915" s="188"/>
      <c r="I915" s="188"/>
      <c r="J915" s="77"/>
      <c r="K915" s="77"/>
      <c r="L915" s="77"/>
      <c r="M915" s="77"/>
      <c r="N915" s="77"/>
      <c r="O915" s="77"/>
      <c r="P915" s="77"/>
      <c r="Q915" s="77"/>
      <c r="R915" s="77"/>
      <c r="S915" s="77"/>
      <c r="T915" s="77"/>
      <c r="U915" s="77"/>
      <c r="V915" s="77"/>
      <c r="W915" s="77"/>
      <c r="X915" s="77"/>
      <c r="Y915" s="77"/>
      <c r="Z915" s="77"/>
      <c r="AA915" s="77"/>
      <c r="AB915" s="77"/>
      <c r="AC915" s="77"/>
      <c r="AD915" s="227"/>
      <c r="AE915" s="77"/>
      <c r="AF915" s="227"/>
      <c r="AG915" s="77"/>
      <c r="AH915" s="77"/>
      <c r="AI915" s="77"/>
      <c r="AJ915" s="77"/>
      <c r="AK915" s="77"/>
      <c r="AL915" s="77"/>
      <c r="AM915" s="77"/>
      <c r="AN915" s="77"/>
      <c r="AO915" s="77"/>
      <c r="AP915" s="77"/>
      <c r="AQ915" s="77"/>
      <c r="AR915" s="77"/>
      <c r="AS915" s="77"/>
      <c r="AT915" s="77"/>
      <c r="AU915" s="77"/>
      <c r="AV915" s="77"/>
      <c r="AW915" s="77"/>
      <c r="AX915" s="77"/>
      <c r="AY915" s="77"/>
      <c r="AZ915" s="77"/>
      <c r="BA915" s="77"/>
      <c r="BB915" s="77"/>
      <c r="BC915" s="77"/>
      <c r="BD915" s="77"/>
      <c r="BE915" s="77"/>
    </row>
    <row r="916">
      <c r="A916" s="77"/>
      <c r="B916" s="77"/>
      <c r="C916" s="77"/>
      <c r="D916" s="77"/>
      <c r="E916" s="188"/>
      <c r="F916" s="188"/>
      <c r="G916" s="188"/>
      <c r="H916" s="188"/>
      <c r="I916" s="188"/>
      <c r="J916" s="77"/>
      <c r="K916" s="77"/>
      <c r="L916" s="77"/>
      <c r="M916" s="77"/>
      <c r="N916" s="77"/>
      <c r="O916" s="77"/>
      <c r="P916" s="77"/>
      <c r="Q916" s="77"/>
      <c r="R916" s="77"/>
      <c r="S916" s="77"/>
      <c r="T916" s="77"/>
      <c r="U916" s="77"/>
      <c r="V916" s="77"/>
      <c r="W916" s="77"/>
      <c r="X916" s="77"/>
      <c r="Y916" s="77"/>
      <c r="Z916" s="77"/>
      <c r="AA916" s="77"/>
      <c r="AB916" s="77"/>
      <c r="AC916" s="77"/>
      <c r="AD916" s="227"/>
      <c r="AE916" s="77"/>
      <c r="AF916" s="227"/>
      <c r="AG916" s="77"/>
      <c r="AH916" s="77"/>
      <c r="AI916" s="77"/>
      <c r="AJ916" s="77"/>
      <c r="AK916" s="77"/>
      <c r="AL916" s="77"/>
      <c r="AM916" s="77"/>
      <c r="AN916" s="77"/>
      <c r="AO916" s="77"/>
      <c r="AP916" s="77"/>
      <c r="AQ916" s="77"/>
      <c r="AR916" s="77"/>
      <c r="AS916" s="77"/>
      <c r="AT916" s="77"/>
      <c r="AU916" s="77"/>
      <c r="AV916" s="77"/>
      <c r="AW916" s="77"/>
      <c r="AX916" s="77"/>
      <c r="AY916" s="77"/>
      <c r="AZ916" s="77"/>
      <c r="BA916" s="77"/>
      <c r="BB916" s="77"/>
      <c r="BC916" s="77"/>
      <c r="BD916" s="77"/>
      <c r="BE916" s="77"/>
    </row>
    <row r="917">
      <c r="A917" s="77"/>
      <c r="B917" s="77"/>
      <c r="C917" s="77"/>
      <c r="D917" s="77"/>
      <c r="E917" s="188"/>
      <c r="F917" s="188"/>
      <c r="G917" s="188"/>
      <c r="H917" s="188"/>
      <c r="I917" s="188"/>
      <c r="J917" s="77"/>
      <c r="K917" s="77"/>
      <c r="L917" s="77"/>
      <c r="M917" s="77"/>
      <c r="N917" s="77"/>
      <c r="O917" s="77"/>
      <c r="P917" s="77"/>
      <c r="Q917" s="77"/>
      <c r="R917" s="77"/>
      <c r="S917" s="77"/>
      <c r="T917" s="77"/>
      <c r="U917" s="77"/>
      <c r="V917" s="77"/>
      <c r="W917" s="77"/>
      <c r="X917" s="77"/>
      <c r="Y917" s="77"/>
      <c r="Z917" s="77"/>
      <c r="AA917" s="77"/>
      <c r="AB917" s="77"/>
      <c r="AC917" s="77"/>
      <c r="AD917" s="227"/>
      <c r="AE917" s="77"/>
      <c r="AF917" s="227"/>
      <c r="AG917" s="77"/>
      <c r="AH917" s="77"/>
      <c r="AI917" s="77"/>
      <c r="AJ917" s="77"/>
      <c r="AK917" s="77"/>
      <c r="AL917" s="77"/>
      <c r="AM917" s="77"/>
      <c r="AN917" s="77"/>
      <c r="AO917" s="77"/>
      <c r="AP917" s="77"/>
      <c r="AQ917" s="77"/>
      <c r="AR917" s="77"/>
      <c r="AS917" s="77"/>
      <c r="AT917" s="77"/>
      <c r="AU917" s="77"/>
      <c r="AV917" s="77"/>
      <c r="AW917" s="77"/>
      <c r="AX917" s="77"/>
      <c r="AY917" s="77"/>
      <c r="AZ917" s="77"/>
      <c r="BA917" s="77"/>
      <c r="BB917" s="77"/>
      <c r="BC917" s="77"/>
      <c r="BD917" s="77"/>
      <c r="BE917" s="77"/>
    </row>
    <row r="918">
      <c r="A918" s="77"/>
      <c r="B918" s="77"/>
      <c r="C918" s="77"/>
      <c r="D918" s="77"/>
      <c r="E918" s="188"/>
      <c r="F918" s="188"/>
      <c r="G918" s="188"/>
      <c r="H918" s="188"/>
      <c r="I918" s="188"/>
      <c r="J918" s="77"/>
      <c r="K918" s="77"/>
      <c r="L918" s="77"/>
      <c r="M918" s="77"/>
      <c r="N918" s="77"/>
      <c r="O918" s="77"/>
      <c r="P918" s="77"/>
      <c r="Q918" s="77"/>
      <c r="R918" s="77"/>
      <c r="S918" s="77"/>
      <c r="T918" s="77"/>
      <c r="U918" s="77"/>
      <c r="V918" s="77"/>
      <c r="W918" s="77"/>
      <c r="X918" s="77"/>
      <c r="Y918" s="77"/>
      <c r="Z918" s="77"/>
      <c r="AA918" s="77"/>
      <c r="AB918" s="77"/>
      <c r="AC918" s="77"/>
      <c r="AD918" s="227"/>
      <c r="AE918" s="77"/>
      <c r="AF918" s="227"/>
      <c r="AG918" s="77"/>
      <c r="AH918" s="77"/>
      <c r="AI918" s="77"/>
      <c r="AJ918" s="77"/>
      <c r="AK918" s="77"/>
      <c r="AL918" s="77"/>
      <c r="AM918" s="77"/>
      <c r="AN918" s="77"/>
      <c r="AO918" s="77"/>
      <c r="AP918" s="77"/>
      <c r="AQ918" s="77"/>
      <c r="AR918" s="77"/>
      <c r="AS918" s="77"/>
      <c r="AT918" s="77"/>
      <c r="AU918" s="77"/>
      <c r="AV918" s="77"/>
      <c r="AW918" s="77"/>
      <c r="AX918" s="77"/>
      <c r="AY918" s="77"/>
      <c r="AZ918" s="77"/>
      <c r="BA918" s="77"/>
      <c r="BB918" s="77"/>
      <c r="BC918" s="77"/>
      <c r="BD918" s="77"/>
      <c r="BE918" s="77"/>
    </row>
    <row r="919">
      <c r="A919" s="77"/>
      <c r="B919" s="77"/>
      <c r="C919" s="77"/>
      <c r="D919" s="77"/>
      <c r="E919" s="188"/>
      <c r="F919" s="188"/>
      <c r="G919" s="188"/>
      <c r="H919" s="188"/>
      <c r="I919" s="188"/>
      <c r="J919" s="77"/>
      <c r="K919" s="77"/>
      <c r="L919" s="77"/>
      <c r="M919" s="77"/>
      <c r="N919" s="77"/>
      <c r="O919" s="77"/>
      <c r="P919" s="77"/>
      <c r="Q919" s="77"/>
      <c r="R919" s="77"/>
      <c r="S919" s="77"/>
      <c r="T919" s="77"/>
      <c r="U919" s="77"/>
      <c r="V919" s="77"/>
      <c r="W919" s="77"/>
      <c r="X919" s="77"/>
      <c r="Y919" s="77"/>
      <c r="Z919" s="77"/>
      <c r="AA919" s="77"/>
      <c r="AB919" s="77"/>
      <c r="AC919" s="77"/>
      <c r="AD919" s="227"/>
      <c r="AE919" s="77"/>
      <c r="AF919" s="227"/>
      <c r="AG919" s="77"/>
      <c r="AH919" s="77"/>
      <c r="AI919" s="77"/>
      <c r="AJ919" s="77"/>
      <c r="AK919" s="77"/>
      <c r="AL919" s="77"/>
      <c r="AM919" s="77"/>
      <c r="AN919" s="77"/>
      <c r="AO919" s="77"/>
      <c r="AP919" s="77"/>
      <c r="AQ919" s="77"/>
      <c r="AR919" s="77"/>
      <c r="AS919" s="77"/>
      <c r="AT919" s="77"/>
      <c r="AU919" s="77"/>
      <c r="AV919" s="77"/>
      <c r="AW919" s="77"/>
      <c r="AX919" s="77"/>
      <c r="AY919" s="77"/>
      <c r="AZ919" s="77"/>
      <c r="BA919" s="77"/>
      <c r="BB919" s="77"/>
      <c r="BC919" s="77"/>
      <c r="BD919" s="77"/>
      <c r="BE919" s="77"/>
    </row>
    <row r="920">
      <c r="A920" s="77"/>
      <c r="B920" s="77"/>
      <c r="C920" s="77"/>
      <c r="D920" s="77"/>
      <c r="E920" s="188"/>
      <c r="F920" s="188"/>
      <c r="G920" s="188"/>
      <c r="H920" s="188"/>
      <c r="I920" s="188"/>
      <c r="J920" s="77"/>
      <c r="K920" s="77"/>
      <c r="L920" s="77"/>
      <c r="M920" s="77"/>
      <c r="N920" s="77"/>
      <c r="O920" s="77"/>
      <c r="P920" s="77"/>
      <c r="Q920" s="77"/>
      <c r="R920" s="77"/>
      <c r="S920" s="77"/>
      <c r="T920" s="77"/>
      <c r="U920" s="77"/>
      <c r="V920" s="77"/>
      <c r="W920" s="77"/>
      <c r="X920" s="77"/>
      <c r="Y920" s="77"/>
      <c r="Z920" s="77"/>
      <c r="AA920" s="77"/>
      <c r="AB920" s="77"/>
      <c r="AC920" s="77"/>
      <c r="AD920" s="227"/>
      <c r="AE920" s="77"/>
      <c r="AF920" s="227"/>
      <c r="AG920" s="77"/>
      <c r="AH920" s="77"/>
      <c r="AI920" s="77"/>
      <c r="AJ920" s="77"/>
      <c r="AK920" s="77"/>
      <c r="AL920" s="77"/>
      <c r="AM920" s="77"/>
      <c r="AN920" s="77"/>
      <c r="AO920" s="77"/>
      <c r="AP920" s="77"/>
      <c r="AQ920" s="77"/>
      <c r="AR920" s="77"/>
      <c r="AS920" s="77"/>
      <c r="AT920" s="77"/>
      <c r="AU920" s="77"/>
      <c r="AV920" s="77"/>
      <c r="AW920" s="77"/>
      <c r="AX920" s="77"/>
      <c r="AY920" s="77"/>
      <c r="AZ920" s="77"/>
      <c r="BA920" s="77"/>
      <c r="BB920" s="77"/>
      <c r="BC920" s="77"/>
      <c r="BD920" s="77"/>
      <c r="BE920" s="77"/>
    </row>
    <row r="921">
      <c r="A921" s="77"/>
      <c r="B921" s="77"/>
      <c r="C921" s="77"/>
      <c r="D921" s="77"/>
      <c r="E921" s="188"/>
      <c r="F921" s="188"/>
      <c r="G921" s="188"/>
      <c r="H921" s="188"/>
      <c r="I921" s="188"/>
      <c r="J921" s="77"/>
      <c r="K921" s="77"/>
      <c r="L921" s="77"/>
      <c r="M921" s="77"/>
      <c r="N921" s="77"/>
      <c r="O921" s="77"/>
      <c r="P921" s="77"/>
      <c r="Q921" s="77"/>
      <c r="R921" s="77"/>
      <c r="S921" s="77"/>
      <c r="T921" s="77"/>
      <c r="U921" s="77"/>
      <c r="V921" s="77"/>
      <c r="W921" s="77"/>
      <c r="X921" s="77"/>
      <c r="Y921" s="77"/>
      <c r="Z921" s="77"/>
      <c r="AA921" s="77"/>
      <c r="AB921" s="77"/>
      <c r="AC921" s="77"/>
      <c r="AD921" s="227"/>
      <c r="AE921" s="77"/>
      <c r="AF921" s="227"/>
      <c r="AG921" s="77"/>
      <c r="AH921" s="77"/>
      <c r="AI921" s="77"/>
      <c r="AJ921" s="77"/>
      <c r="AK921" s="77"/>
      <c r="AL921" s="77"/>
      <c r="AM921" s="77"/>
      <c r="AN921" s="77"/>
      <c r="AO921" s="77"/>
      <c r="AP921" s="77"/>
      <c r="AQ921" s="77"/>
      <c r="AR921" s="77"/>
      <c r="AS921" s="77"/>
      <c r="AT921" s="77"/>
      <c r="AU921" s="77"/>
      <c r="AV921" s="77"/>
      <c r="AW921" s="77"/>
      <c r="AX921" s="77"/>
      <c r="AY921" s="77"/>
      <c r="AZ921" s="77"/>
      <c r="BA921" s="77"/>
      <c r="BB921" s="77"/>
      <c r="BC921" s="77"/>
      <c r="BD921" s="77"/>
      <c r="BE921" s="77"/>
    </row>
    <row r="922">
      <c r="A922" s="77"/>
      <c r="B922" s="77"/>
      <c r="C922" s="77"/>
      <c r="D922" s="77"/>
      <c r="E922" s="188"/>
      <c r="F922" s="188"/>
      <c r="G922" s="188"/>
      <c r="H922" s="188"/>
      <c r="I922" s="188"/>
      <c r="J922" s="77"/>
      <c r="K922" s="77"/>
      <c r="L922" s="77"/>
      <c r="M922" s="77"/>
      <c r="N922" s="77"/>
      <c r="O922" s="77"/>
      <c r="P922" s="77"/>
      <c r="Q922" s="77"/>
      <c r="R922" s="77"/>
      <c r="S922" s="77"/>
      <c r="T922" s="77"/>
      <c r="U922" s="77"/>
      <c r="V922" s="77"/>
      <c r="W922" s="77"/>
      <c r="X922" s="77"/>
      <c r="Y922" s="77"/>
      <c r="Z922" s="77"/>
      <c r="AA922" s="77"/>
      <c r="AB922" s="77"/>
      <c r="AC922" s="77"/>
      <c r="AD922" s="227"/>
      <c r="AE922" s="77"/>
      <c r="AF922" s="227"/>
      <c r="AG922" s="77"/>
      <c r="AH922" s="77"/>
      <c r="AI922" s="77"/>
      <c r="AJ922" s="77"/>
      <c r="AK922" s="77"/>
      <c r="AL922" s="77"/>
      <c r="AM922" s="77"/>
      <c r="AN922" s="77"/>
      <c r="AO922" s="77"/>
      <c r="AP922" s="77"/>
      <c r="AQ922" s="77"/>
      <c r="AR922" s="77"/>
      <c r="AS922" s="77"/>
      <c r="AT922" s="77"/>
      <c r="AU922" s="77"/>
      <c r="AV922" s="77"/>
      <c r="AW922" s="77"/>
      <c r="AX922" s="77"/>
      <c r="AY922" s="77"/>
      <c r="AZ922" s="77"/>
      <c r="BA922" s="77"/>
      <c r="BB922" s="77"/>
      <c r="BC922" s="77"/>
      <c r="BD922" s="77"/>
      <c r="BE922" s="77"/>
    </row>
    <row r="923">
      <c r="A923" s="77"/>
      <c r="B923" s="77"/>
      <c r="C923" s="77"/>
      <c r="D923" s="77"/>
      <c r="E923" s="188"/>
      <c r="F923" s="188"/>
      <c r="G923" s="188"/>
      <c r="H923" s="188"/>
      <c r="I923" s="188"/>
      <c r="J923" s="77"/>
      <c r="K923" s="77"/>
      <c r="L923" s="77"/>
      <c r="M923" s="77"/>
      <c r="N923" s="77"/>
      <c r="O923" s="77"/>
      <c r="P923" s="77"/>
      <c r="Q923" s="77"/>
      <c r="R923" s="77"/>
      <c r="S923" s="77"/>
      <c r="T923" s="77"/>
      <c r="U923" s="77"/>
      <c r="V923" s="77"/>
      <c r="W923" s="77"/>
      <c r="X923" s="77"/>
      <c r="Y923" s="77"/>
      <c r="Z923" s="77"/>
      <c r="AA923" s="77"/>
      <c r="AB923" s="77"/>
      <c r="AC923" s="77"/>
      <c r="AD923" s="227"/>
      <c r="AE923" s="77"/>
      <c r="AF923" s="227"/>
      <c r="AG923" s="77"/>
      <c r="AH923" s="77"/>
      <c r="AI923" s="77"/>
      <c r="AJ923" s="77"/>
      <c r="AK923" s="77"/>
      <c r="AL923" s="77"/>
      <c r="AM923" s="77"/>
      <c r="AN923" s="77"/>
      <c r="AO923" s="77"/>
      <c r="AP923" s="77"/>
      <c r="AQ923" s="77"/>
      <c r="AR923" s="77"/>
      <c r="AS923" s="77"/>
      <c r="AT923" s="77"/>
      <c r="AU923" s="77"/>
      <c r="AV923" s="77"/>
      <c r="AW923" s="77"/>
      <c r="AX923" s="77"/>
      <c r="AY923" s="77"/>
      <c r="AZ923" s="77"/>
      <c r="BA923" s="77"/>
      <c r="BB923" s="77"/>
      <c r="BC923" s="77"/>
      <c r="BD923" s="77"/>
      <c r="BE923" s="77"/>
    </row>
    <row r="924">
      <c r="A924" s="77"/>
      <c r="B924" s="77"/>
      <c r="C924" s="77"/>
      <c r="D924" s="77"/>
      <c r="E924" s="188"/>
      <c r="F924" s="188"/>
      <c r="G924" s="188"/>
      <c r="H924" s="188"/>
      <c r="I924" s="188"/>
      <c r="J924" s="77"/>
      <c r="K924" s="77"/>
      <c r="L924" s="77"/>
      <c r="M924" s="77"/>
      <c r="N924" s="77"/>
      <c r="O924" s="77"/>
      <c r="P924" s="77"/>
      <c r="Q924" s="77"/>
      <c r="R924" s="77"/>
      <c r="S924" s="77"/>
      <c r="T924" s="77"/>
      <c r="U924" s="77"/>
      <c r="V924" s="77"/>
      <c r="W924" s="77"/>
      <c r="X924" s="77"/>
      <c r="Y924" s="77"/>
      <c r="Z924" s="77"/>
      <c r="AA924" s="77"/>
      <c r="AB924" s="77"/>
      <c r="AC924" s="77"/>
      <c r="AD924" s="227"/>
      <c r="AE924" s="77"/>
      <c r="AF924" s="227"/>
      <c r="AG924" s="77"/>
      <c r="AH924" s="77"/>
      <c r="AI924" s="77"/>
      <c r="AJ924" s="77"/>
      <c r="AK924" s="77"/>
      <c r="AL924" s="77"/>
      <c r="AM924" s="77"/>
      <c r="AN924" s="77"/>
      <c r="AO924" s="77"/>
      <c r="AP924" s="77"/>
      <c r="AQ924" s="77"/>
      <c r="AR924" s="77"/>
      <c r="AS924" s="77"/>
      <c r="AT924" s="77"/>
      <c r="AU924" s="77"/>
      <c r="AV924" s="77"/>
      <c r="AW924" s="77"/>
      <c r="AX924" s="77"/>
      <c r="AY924" s="77"/>
      <c r="AZ924" s="77"/>
      <c r="BA924" s="77"/>
      <c r="BB924" s="77"/>
      <c r="BC924" s="77"/>
      <c r="BD924" s="77"/>
      <c r="BE924" s="77"/>
    </row>
    <row r="925">
      <c r="A925" s="77"/>
      <c r="B925" s="77"/>
      <c r="C925" s="77"/>
      <c r="D925" s="77"/>
      <c r="E925" s="188"/>
      <c r="F925" s="188"/>
      <c r="G925" s="188"/>
      <c r="H925" s="188"/>
      <c r="I925" s="188"/>
      <c r="J925" s="77"/>
      <c r="K925" s="77"/>
      <c r="L925" s="77"/>
      <c r="M925" s="77"/>
      <c r="N925" s="77"/>
      <c r="O925" s="77"/>
      <c r="P925" s="77"/>
      <c r="Q925" s="77"/>
      <c r="R925" s="77"/>
      <c r="S925" s="77"/>
      <c r="T925" s="77"/>
      <c r="U925" s="77"/>
      <c r="V925" s="77"/>
      <c r="W925" s="77"/>
      <c r="X925" s="77"/>
      <c r="Y925" s="77"/>
      <c r="Z925" s="77"/>
      <c r="AA925" s="77"/>
      <c r="AB925" s="77"/>
      <c r="AC925" s="77"/>
      <c r="AD925" s="227"/>
      <c r="AE925" s="77"/>
      <c r="AF925" s="227"/>
      <c r="AG925" s="77"/>
      <c r="AH925" s="77"/>
      <c r="AI925" s="77"/>
      <c r="AJ925" s="77"/>
      <c r="AK925" s="77"/>
      <c r="AL925" s="77"/>
      <c r="AM925" s="77"/>
      <c r="AN925" s="77"/>
      <c r="AO925" s="77"/>
      <c r="AP925" s="77"/>
      <c r="AQ925" s="77"/>
      <c r="AR925" s="77"/>
      <c r="AS925" s="77"/>
      <c r="AT925" s="77"/>
      <c r="AU925" s="77"/>
      <c r="AV925" s="77"/>
      <c r="AW925" s="77"/>
      <c r="AX925" s="77"/>
      <c r="AY925" s="77"/>
      <c r="AZ925" s="77"/>
      <c r="BA925" s="77"/>
      <c r="BB925" s="77"/>
      <c r="BC925" s="77"/>
      <c r="BD925" s="77"/>
      <c r="BE925" s="77"/>
    </row>
    <row r="926">
      <c r="A926" s="77"/>
      <c r="B926" s="77"/>
      <c r="C926" s="77"/>
      <c r="D926" s="77"/>
      <c r="E926" s="188"/>
      <c r="F926" s="188"/>
      <c r="G926" s="188"/>
      <c r="H926" s="188"/>
      <c r="I926" s="188"/>
      <c r="J926" s="77"/>
      <c r="K926" s="77"/>
      <c r="L926" s="77"/>
      <c r="M926" s="77"/>
      <c r="N926" s="77"/>
      <c r="O926" s="77"/>
      <c r="P926" s="77"/>
      <c r="Q926" s="77"/>
      <c r="R926" s="77"/>
      <c r="S926" s="77"/>
      <c r="T926" s="77"/>
      <c r="U926" s="77"/>
      <c r="V926" s="77"/>
      <c r="W926" s="77"/>
      <c r="X926" s="77"/>
      <c r="Y926" s="77"/>
      <c r="Z926" s="77"/>
      <c r="AA926" s="77"/>
      <c r="AB926" s="77"/>
      <c r="AC926" s="77"/>
      <c r="AD926" s="227"/>
      <c r="AE926" s="77"/>
      <c r="AF926" s="227"/>
      <c r="AG926" s="77"/>
      <c r="AH926" s="77"/>
      <c r="AI926" s="77"/>
      <c r="AJ926" s="77"/>
      <c r="AK926" s="77"/>
      <c r="AL926" s="77"/>
      <c r="AM926" s="77"/>
      <c r="AN926" s="77"/>
      <c r="AO926" s="77"/>
      <c r="AP926" s="77"/>
      <c r="AQ926" s="77"/>
      <c r="AR926" s="77"/>
      <c r="AS926" s="77"/>
      <c r="AT926" s="77"/>
      <c r="AU926" s="77"/>
      <c r="AV926" s="77"/>
      <c r="AW926" s="77"/>
      <c r="AX926" s="77"/>
      <c r="AY926" s="77"/>
      <c r="AZ926" s="77"/>
      <c r="BA926" s="77"/>
      <c r="BB926" s="77"/>
      <c r="BC926" s="77"/>
      <c r="BD926" s="77"/>
      <c r="BE926" s="77"/>
    </row>
    <row r="927">
      <c r="A927" s="77"/>
      <c r="B927" s="77"/>
      <c r="C927" s="77"/>
      <c r="D927" s="77"/>
      <c r="E927" s="188"/>
      <c r="F927" s="188"/>
      <c r="G927" s="188"/>
      <c r="H927" s="188"/>
      <c r="I927" s="188"/>
      <c r="J927" s="77"/>
      <c r="K927" s="77"/>
      <c r="L927" s="77"/>
      <c r="M927" s="77"/>
      <c r="N927" s="77"/>
      <c r="O927" s="77"/>
      <c r="P927" s="77"/>
      <c r="Q927" s="77"/>
      <c r="R927" s="77"/>
      <c r="S927" s="77"/>
      <c r="T927" s="77"/>
      <c r="U927" s="77"/>
      <c r="V927" s="77"/>
      <c r="W927" s="77"/>
      <c r="X927" s="77"/>
      <c r="Y927" s="77"/>
      <c r="Z927" s="77"/>
      <c r="AA927" s="77"/>
      <c r="AB927" s="77"/>
      <c r="AC927" s="77"/>
      <c r="AD927" s="227"/>
      <c r="AE927" s="77"/>
      <c r="AF927" s="227"/>
      <c r="AG927" s="77"/>
      <c r="AH927" s="77"/>
      <c r="AI927" s="77"/>
      <c r="AJ927" s="77"/>
      <c r="AK927" s="77"/>
      <c r="AL927" s="77"/>
      <c r="AM927" s="77"/>
      <c r="AN927" s="77"/>
      <c r="AO927" s="77"/>
      <c r="AP927" s="77"/>
      <c r="AQ927" s="77"/>
      <c r="AR927" s="77"/>
      <c r="AS927" s="77"/>
      <c r="AT927" s="77"/>
      <c r="AU927" s="77"/>
      <c r="AV927" s="77"/>
      <c r="AW927" s="77"/>
      <c r="AX927" s="77"/>
      <c r="AY927" s="77"/>
      <c r="AZ927" s="77"/>
      <c r="BA927" s="77"/>
      <c r="BB927" s="77"/>
      <c r="BC927" s="77"/>
      <c r="BD927" s="77"/>
      <c r="BE927" s="77"/>
    </row>
    <row r="928">
      <c r="A928" s="77"/>
      <c r="B928" s="77"/>
      <c r="C928" s="77"/>
      <c r="D928" s="77"/>
      <c r="E928" s="188"/>
      <c r="F928" s="188"/>
      <c r="G928" s="188"/>
      <c r="H928" s="188"/>
      <c r="I928" s="188"/>
      <c r="J928" s="77"/>
      <c r="K928" s="77"/>
      <c r="L928" s="77"/>
      <c r="M928" s="77"/>
      <c r="N928" s="77"/>
      <c r="O928" s="77"/>
      <c r="P928" s="77"/>
      <c r="Q928" s="77"/>
      <c r="R928" s="77"/>
      <c r="S928" s="77"/>
      <c r="T928" s="77"/>
      <c r="U928" s="77"/>
      <c r="V928" s="77"/>
      <c r="W928" s="77"/>
      <c r="X928" s="77"/>
      <c r="Y928" s="77"/>
      <c r="Z928" s="77"/>
      <c r="AA928" s="77"/>
      <c r="AB928" s="77"/>
      <c r="AC928" s="77"/>
      <c r="AD928" s="227"/>
      <c r="AE928" s="77"/>
      <c r="AF928" s="227"/>
      <c r="AG928" s="77"/>
      <c r="AH928" s="77"/>
      <c r="AI928" s="77"/>
      <c r="AJ928" s="77"/>
      <c r="AK928" s="77"/>
      <c r="AL928" s="77"/>
      <c r="AM928" s="77"/>
      <c r="AN928" s="77"/>
      <c r="AO928" s="77"/>
      <c r="AP928" s="77"/>
      <c r="AQ928" s="77"/>
      <c r="AR928" s="77"/>
      <c r="AS928" s="77"/>
      <c r="AT928" s="77"/>
      <c r="AU928" s="77"/>
      <c r="AV928" s="77"/>
      <c r="AW928" s="77"/>
      <c r="AX928" s="77"/>
      <c r="AY928" s="77"/>
      <c r="AZ928" s="77"/>
      <c r="BA928" s="77"/>
      <c r="BB928" s="77"/>
      <c r="BC928" s="77"/>
      <c r="BD928" s="77"/>
      <c r="BE928" s="77"/>
    </row>
    <row r="929">
      <c r="A929" s="77"/>
      <c r="B929" s="77"/>
      <c r="C929" s="77"/>
      <c r="D929" s="77"/>
      <c r="E929" s="188"/>
      <c r="F929" s="188"/>
      <c r="G929" s="188"/>
      <c r="H929" s="188"/>
      <c r="I929" s="188"/>
      <c r="J929" s="77"/>
      <c r="K929" s="77"/>
      <c r="L929" s="77"/>
      <c r="M929" s="77"/>
      <c r="N929" s="77"/>
      <c r="O929" s="77"/>
      <c r="P929" s="77"/>
      <c r="Q929" s="77"/>
      <c r="R929" s="77"/>
      <c r="S929" s="77"/>
      <c r="T929" s="77"/>
      <c r="U929" s="77"/>
      <c r="V929" s="77"/>
      <c r="W929" s="77"/>
      <c r="X929" s="77"/>
      <c r="Y929" s="77"/>
      <c r="Z929" s="77"/>
      <c r="AA929" s="77"/>
      <c r="AB929" s="77"/>
      <c r="AC929" s="77"/>
      <c r="AD929" s="227"/>
      <c r="AE929" s="77"/>
      <c r="AF929" s="227"/>
      <c r="AG929" s="77"/>
      <c r="AH929" s="77"/>
      <c r="AI929" s="77"/>
      <c r="AJ929" s="77"/>
      <c r="AK929" s="77"/>
      <c r="AL929" s="77"/>
      <c r="AM929" s="77"/>
      <c r="AN929" s="77"/>
      <c r="AO929" s="77"/>
      <c r="AP929" s="77"/>
      <c r="AQ929" s="77"/>
      <c r="AR929" s="77"/>
      <c r="AS929" s="77"/>
      <c r="AT929" s="77"/>
      <c r="AU929" s="77"/>
      <c r="AV929" s="77"/>
      <c r="AW929" s="77"/>
      <c r="AX929" s="77"/>
      <c r="AY929" s="77"/>
      <c r="AZ929" s="77"/>
      <c r="BA929" s="77"/>
      <c r="BB929" s="77"/>
      <c r="BC929" s="77"/>
      <c r="BD929" s="77"/>
      <c r="BE929" s="77"/>
    </row>
    <row r="930">
      <c r="A930" s="77"/>
      <c r="B930" s="77"/>
      <c r="C930" s="77"/>
      <c r="D930" s="77"/>
      <c r="E930" s="188"/>
      <c r="F930" s="188"/>
      <c r="G930" s="188"/>
      <c r="H930" s="188"/>
      <c r="I930" s="188"/>
      <c r="J930" s="77"/>
      <c r="K930" s="77"/>
      <c r="L930" s="77"/>
      <c r="M930" s="77"/>
      <c r="N930" s="77"/>
      <c r="O930" s="77"/>
      <c r="P930" s="77"/>
      <c r="Q930" s="77"/>
      <c r="R930" s="77"/>
      <c r="S930" s="77"/>
      <c r="T930" s="77"/>
      <c r="U930" s="77"/>
      <c r="V930" s="77"/>
      <c r="W930" s="77"/>
      <c r="X930" s="77"/>
      <c r="Y930" s="77"/>
      <c r="Z930" s="77"/>
      <c r="AA930" s="77"/>
      <c r="AB930" s="77"/>
      <c r="AC930" s="77"/>
      <c r="AD930" s="227"/>
      <c r="AE930" s="77"/>
      <c r="AF930" s="227"/>
      <c r="AG930" s="77"/>
      <c r="AH930" s="77"/>
      <c r="AI930" s="77"/>
      <c r="AJ930" s="77"/>
      <c r="AK930" s="77"/>
      <c r="AL930" s="77"/>
      <c r="AM930" s="77"/>
      <c r="AN930" s="77"/>
      <c r="AO930" s="77"/>
      <c r="AP930" s="77"/>
      <c r="AQ930" s="77"/>
      <c r="AR930" s="77"/>
      <c r="AS930" s="77"/>
      <c r="AT930" s="77"/>
      <c r="AU930" s="77"/>
      <c r="AV930" s="77"/>
      <c r="AW930" s="77"/>
      <c r="AX930" s="77"/>
      <c r="AY930" s="77"/>
      <c r="AZ930" s="77"/>
      <c r="BA930" s="77"/>
      <c r="BB930" s="77"/>
      <c r="BC930" s="77"/>
      <c r="BD930" s="77"/>
      <c r="BE930" s="77"/>
    </row>
    <row r="931">
      <c r="A931" s="77"/>
      <c r="B931" s="77"/>
      <c r="C931" s="77"/>
      <c r="D931" s="77"/>
      <c r="E931" s="188"/>
      <c r="F931" s="188"/>
      <c r="G931" s="188"/>
      <c r="H931" s="188"/>
      <c r="I931" s="188"/>
      <c r="J931" s="77"/>
      <c r="K931" s="77"/>
      <c r="L931" s="77"/>
      <c r="M931" s="77"/>
      <c r="N931" s="77"/>
      <c r="O931" s="77"/>
      <c r="P931" s="77"/>
      <c r="Q931" s="77"/>
      <c r="R931" s="77"/>
      <c r="S931" s="77"/>
      <c r="T931" s="77"/>
      <c r="U931" s="77"/>
      <c r="V931" s="77"/>
      <c r="W931" s="77"/>
      <c r="X931" s="77"/>
      <c r="Y931" s="77"/>
      <c r="Z931" s="77"/>
      <c r="AA931" s="77"/>
      <c r="AB931" s="77"/>
      <c r="AC931" s="77"/>
      <c r="AD931" s="227"/>
      <c r="AE931" s="77"/>
      <c r="AF931" s="227"/>
      <c r="AG931" s="77"/>
      <c r="AH931" s="77"/>
      <c r="AI931" s="77"/>
      <c r="AJ931" s="77"/>
      <c r="AK931" s="77"/>
      <c r="AL931" s="77"/>
      <c r="AM931" s="77"/>
      <c r="AN931" s="77"/>
      <c r="AO931" s="77"/>
      <c r="AP931" s="77"/>
      <c r="AQ931" s="77"/>
      <c r="AR931" s="77"/>
      <c r="AS931" s="77"/>
      <c r="AT931" s="77"/>
      <c r="AU931" s="77"/>
      <c r="AV931" s="77"/>
      <c r="AW931" s="77"/>
      <c r="AX931" s="77"/>
      <c r="AY931" s="77"/>
      <c r="AZ931" s="77"/>
      <c r="BA931" s="77"/>
      <c r="BB931" s="77"/>
      <c r="BC931" s="77"/>
      <c r="BD931" s="77"/>
      <c r="BE931" s="77"/>
    </row>
    <row r="932">
      <c r="A932" s="77"/>
      <c r="B932" s="77"/>
      <c r="C932" s="77"/>
      <c r="D932" s="77"/>
      <c r="E932" s="188"/>
      <c r="F932" s="188"/>
      <c r="G932" s="188"/>
      <c r="H932" s="188"/>
      <c r="I932" s="188"/>
      <c r="J932" s="77"/>
      <c r="K932" s="77"/>
      <c r="L932" s="77"/>
      <c r="M932" s="77"/>
      <c r="N932" s="77"/>
      <c r="O932" s="77"/>
      <c r="P932" s="77"/>
      <c r="Q932" s="77"/>
      <c r="R932" s="77"/>
      <c r="S932" s="77"/>
      <c r="T932" s="77"/>
      <c r="U932" s="77"/>
      <c r="V932" s="77"/>
      <c r="W932" s="77"/>
      <c r="X932" s="77"/>
      <c r="Y932" s="77"/>
      <c r="Z932" s="77"/>
      <c r="AA932" s="77"/>
      <c r="AB932" s="77"/>
      <c r="AC932" s="77"/>
      <c r="AD932" s="227"/>
      <c r="AE932" s="77"/>
      <c r="AF932" s="227"/>
      <c r="AG932" s="77"/>
      <c r="AH932" s="77"/>
      <c r="AI932" s="77"/>
      <c r="AJ932" s="77"/>
      <c r="AK932" s="77"/>
      <c r="AL932" s="77"/>
      <c r="AM932" s="77"/>
      <c r="AN932" s="77"/>
      <c r="AO932" s="77"/>
      <c r="AP932" s="77"/>
      <c r="AQ932" s="77"/>
      <c r="AR932" s="77"/>
      <c r="AS932" s="77"/>
      <c r="AT932" s="77"/>
      <c r="AU932" s="77"/>
      <c r="AV932" s="77"/>
      <c r="AW932" s="77"/>
      <c r="AX932" s="77"/>
      <c r="AY932" s="77"/>
      <c r="AZ932" s="77"/>
      <c r="BA932" s="77"/>
      <c r="BB932" s="77"/>
      <c r="BC932" s="77"/>
      <c r="BD932" s="77"/>
      <c r="BE932" s="77"/>
    </row>
    <row r="933">
      <c r="A933" s="77"/>
      <c r="B933" s="77"/>
      <c r="C933" s="77"/>
      <c r="D933" s="77"/>
      <c r="E933" s="188"/>
      <c r="F933" s="188"/>
      <c r="G933" s="188"/>
      <c r="H933" s="188"/>
      <c r="I933" s="188"/>
      <c r="J933" s="77"/>
      <c r="K933" s="77"/>
      <c r="L933" s="77"/>
      <c r="M933" s="77"/>
      <c r="N933" s="77"/>
      <c r="O933" s="77"/>
      <c r="P933" s="77"/>
      <c r="Q933" s="77"/>
      <c r="R933" s="77"/>
      <c r="S933" s="77"/>
      <c r="T933" s="77"/>
      <c r="U933" s="77"/>
      <c r="V933" s="77"/>
      <c r="W933" s="77"/>
      <c r="X933" s="77"/>
      <c r="Y933" s="77"/>
      <c r="Z933" s="77"/>
      <c r="AA933" s="77"/>
      <c r="AB933" s="77"/>
      <c r="AC933" s="77"/>
      <c r="AD933" s="227"/>
      <c r="AE933" s="77"/>
      <c r="AF933" s="227"/>
      <c r="AG933" s="77"/>
      <c r="AH933" s="77"/>
      <c r="AI933" s="77"/>
      <c r="AJ933" s="77"/>
      <c r="AK933" s="77"/>
      <c r="AL933" s="77"/>
      <c r="AM933" s="77"/>
      <c r="AN933" s="77"/>
      <c r="AO933" s="77"/>
      <c r="AP933" s="77"/>
      <c r="AQ933" s="77"/>
      <c r="AR933" s="77"/>
      <c r="AS933" s="77"/>
      <c r="AT933" s="77"/>
      <c r="AU933" s="77"/>
      <c r="AV933" s="77"/>
      <c r="AW933" s="77"/>
      <c r="AX933" s="77"/>
      <c r="AY933" s="77"/>
      <c r="AZ933" s="77"/>
      <c r="BA933" s="77"/>
      <c r="BB933" s="77"/>
      <c r="BC933" s="77"/>
      <c r="BD933" s="77"/>
      <c r="BE933" s="77"/>
    </row>
    <row r="934">
      <c r="A934" s="77"/>
      <c r="B934" s="77"/>
      <c r="C934" s="77"/>
      <c r="D934" s="77"/>
      <c r="E934" s="188"/>
      <c r="F934" s="188"/>
      <c r="G934" s="188"/>
      <c r="H934" s="188"/>
      <c r="I934" s="188"/>
      <c r="J934" s="77"/>
      <c r="K934" s="77"/>
      <c r="L934" s="77"/>
      <c r="M934" s="77"/>
      <c r="N934" s="77"/>
      <c r="O934" s="77"/>
      <c r="P934" s="77"/>
      <c r="Q934" s="77"/>
      <c r="R934" s="77"/>
      <c r="S934" s="77"/>
      <c r="T934" s="77"/>
      <c r="U934" s="77"/>
      <c r="V934" s="77"/>
      <c r="W934" s="77"/>
      <c r="X934" s="77"/>
      <c r="Y934" s="77"/>
      <c r="Z934" s="77"/>
      <c r="AA934" s="77"/>
      <c r="AB934" s="77"/>
      <c r="AC934" s="77"/>
      <c r="AD934" s="227"/>
      <c r="AE934" s="77"/>
      <c r="AF934" s="227"/>
      <c r="AG934" s="77"/>
      <c r="AH934" s="77"/>
      <c r="AI934" s="77"/>
      <c r="AJ934" s="77"/>
      <c r="AK934" s="77"/>
      <c r="AL934" s="77"/>
      <c r="AM934" s="77"/>
      <c r="AN934" s="77"/>
      <c r="AO934" s="77"/>
      <c r="AP934" s="77"/>
      <c r="AQ934" s="77"/>
      <c r="AR934" s="77"/>
      <c r="AS934" s="77"/>
      <c r="AT934" s="77"/>
      <c r="AU934" s="77"/>
      <c r="AV934" s="77"/>
      <c r="AW934" s="77"/>
      <c r="AX934" s="77"/>
      <c r="AY934" s="77"/>
      <c r="AZ934" s="77"/>
      <c r="BA934" s="77"/>
      <c r="BB934" s="77"/>
      <c r="BC934" s="77"/>
      <c r="BD934" s="77"/>
      <c r="BE934" s="77"/>
    </row>
    <row r="935">
      <c r="A935" s="77"/>
      <c r="B935" s="77"/>
      <c r="C935" s="77"/>
      <c r="D935" s="77"/>
      <c r="E935" s="188"/>
      <c r="F935" s="188"/>
      <c r="G935" s="188"/>
      <c r="H935" s="188"/>
      <c r="I935" s="188"/>
      <c r="J935" s="77"/>
      <c r="K935" s="77"/>
      <c r="L935" s="77"/>
      <c r="M935" s="77"/>
      <c r="N935" s="77"/>
      <c r="O935" s="77"/>
      <c r="P935" s="77"/>
      <c r="Q935" s="77"/>
      <c r="R935" s="77"/>
      <c r="S935" s="77"/>
      <c r="T935" s="77"/>
      <c r="U935" s="77"/>
      <c r="V935" s="77"/>
      <c r="W935" s="77"/>
      <c r="X935" s="77"/>
      <c r="Y935" s="77"/>
      <c r="Z935" s="77"/>
      <c r="AA935" s="77"/>
      <c r="AB935" s="77"/>
      <c r="AC935" s="77"/>
      <c r="AD935" s="227"/>
      <c r="AE935" s="77"/>
      <c r="AF935" s="227"/>
      <c r="AG935" s="77"/>
      <c r="AH935" s="77"/>
      <c r="AI935" s="77"/>
      <c r="AJ935" s="77"/>
      <c r="AK935" s="77"/>
      <c r="AL935" s="77"/>
      <c r="AM935" s="77"/>
      <c r="AN935" s="77"/>
      <c r="AO935" s="77"/>
      <c r="AP935" s="77"/>
      <c r="AQ935" s="77"/>
      <c r="AR935" s="77"/>
      <c r="AS935" s="77"/>
      <c r="AT935" s="77"/>
      <c r="AU935" s="77"/>
      <c r="AV935" s="77"/>
      <c r="AW935" s="77"/>
      <c r="AX935" s="77"/>
      <c r="AY935" s="77"/>
      <c r="AZ935" s="77"/>
      <c r="BA935" s="77"/>
      <c r="BB935" s="77"/>
      <c r="BC935" s="77"/>
      <c r="BD935" s="77"/>
      <c r="BE935" s="77"/>
    </row>
    <row r="936">
      <c r="A936" s="77"/>
      <c r="B936" s="77"/>
      <c r="C936" s="77"/>
      <c r="D936" s="77"/>
      <c r="E936" s="188"/>
      <c r="F936" s="188"/>
      <c r="G936" s="188"/>
      <c r="H936" s="188"/>
      <c r="I936" s="188"/>
      <c r="J936" s="77"/>
      <c r="K936" s="77"/>
      <c r="L936" s="77"/>
      <c r="M936" s="77"/>
      <c r="N936" s="77"/>
      <c r="O936" s="77"/>
      <c r="P936" s="77"/>
      <c r="Q936" s="77"/>
      <c r="R936" s="77"/>
      <c r="S936" s="77"/>
      <c r="T936" s="77"/>
      <c r="U936" s="77"/>
      <c r="V936" s="77"/>
      <c r="W936" s="77"/>
      <c r="X936" s="77"/>
      <c r="Y936" s="77"/>
      <c r="Z936" s="77"/>
      <c r="AA936" s="77"/>
      <c r="AB936" s="77"/>
      <c r="AC936" s="77"/>
      <c r="AD936" s="227"/>
      <c r="AE936" s="77"/>
      <c r="AF936" s="227"/>
      <c r="AG936" s="77"/>
      <c r="AH936" s="77"/>
      <c r="AI936" s="77"/>
      <c r="AJ936" s="77"/>
      <c r="AK936" s="77"/>
      <c r="AL936" s="77"/>
      <c r="AM936" s="77"/>
      <c r="AN936" s="77"/>
      <c r="AO936" s="77"/>
      <c r="AP936" s="77"/>
      <c r="AQ936" s="77"/>
      <c r="AR936" s="77"/>
      <c r="AS936" s="77"/>
      <c r="AT936" s="77"/>
      <c r="AU936" s="77"/>
      <c r="AV936" s="77"/>
      <c r="AW936" s="77"/>
      <c r="AX936" s="77"/>
      <c r="AY936" s="77"/>
      <c r="AZ936" s="77"/>
      <c r="BA936" s="77"/>
      <c r="BB936" s="77"/>
      <c r="BC936" s="77"/>
      <c r="BD936" s="77"/>
      <c r="BE936" s="77"/>
    </row>
    <row r="937">
      <c r="A937" s="77"/>
      <c r="B937" s="77"/>
      <c r="C937" s="77"/>
      <c r="D937" s="77"/>
      <c r="E937" s="188"/>
      <c r="F937" s="188"/>
      <c r="G937" s="188"/>
      <c r="H937" s="188"/>
      <c r="I937" s="188"/>
      <c r="J937" s="77"/>
      <c r="K937" s="77"/>
      <c r="L937" s="77"/>
      <c r="M937" s="77"/>
      <c r="N937" s="77"/>
      <c r="O937" s="77"/>
      <c r="P937" s="77"/>
      <c r="Q937" s="77"/>
      <c r="R937" s="77"/>
      <c r="S937" s="77"/>
      <c r="T937" s="77"/>
      <c r="U937" s="77"/>
      <c r="V937" s="77"/>
      <c r="W937" s="77"/>
      <c r="X937" s="77"/>
      <c r="Y937" s="77"/>
      <c r="Z937" s="77"/>
      <c r="AA937" s="77"/>
      <c r="AB937" s="77"/>
      <c r="AC937" s="77"/>
      <c r="AD937" s="227"/>
      <c r="AE937" s="77"/>
      <c r="AF937" s="227"/>
      <c r="AG937" s="77"/>
      <c r="AH937" s="77"/>
      <c r="AI937" s="77"/>
      <c r="AJ937" s="77"/>
      <c r="AK937" s="77"/>
      <c r="AL937" s="77"/>
      <c r="AM937" s="77"/>
      <c r="AN937" s="77"/>
      <c r="AO937" s="77"/>
      <c r="AP937" s="77"/>
      <c r="AQ937" s="77"/>
      <c r="AR937" s="77"/>
      <c r="AS937" s="77"/>
      <c r="AT937" s="77"/>
      <c r="AU937" s="77"/>
      <c r="AV937" s="77"/>
      <c r="AW937" s="77"/>
      <c r="AX937" s="77"/>
      <c r="AY937" s="77"/>
      <c r="AZ937" s="77"/>
      <c r="BA937" s="77"/>
      <c r="BB937" s="77"/>
      <c r="BC937" s="77"/>
      <c r="BD937" s="77"/>
      <c r="BE937" s="77"/>
    </row>
    <row r="938">
      <c r="A938" s="77"/>
      <c r="B938" s="77"/>
      <c r="C938" s="77"/>
      <c r="D938" s="77"/>
      <c r="E938" s="188"/>
      <c r="F938" s="188"/>
      <c r="G938" s="188"/>
      <c r="H938" s="188"/>
      <c r="I938" s="188"/>
      <c r="J938" s="77"/>
      <c r="K938" s="77"/>
      <c r="L938" s="77"/>
      <c r="M938" s="77"/>
      <c r="N938" s="77"/>
      <c r="O938" s="77"/>
      <c r="P938" s="77"/>
      <c r="Q938" s="77"/>
      <c r="R938" s="77"/>
      <c r="S938" s="77"/>
      <c r="T938" s="77"/>
      <c r="U938" s="77"/>
      <c r="V938" s="77"/>
      <c r="W938" s="77"/>
      <c r="X938" s="77"/>
      <c r="Y938" s="77"/>
      <c r="Z938" s="77"/>
      <c r="AA938" s="77"/>
      <c r="AB938" s="77"/>
      <c r="AC938" s="77"/>
      <c r="AD938" s="227"/>
      <c r="AE938" s="77"/>
      <c r="AF938" s="227"/>
      <c r="AG938" s="77"/>
      <c r="AH938" s="77"/>
      <c r="AI938" s="77"/>
      <c r="AJ938" s="77"/>
      <c r="AK938" s="77"/>
      <c r="AL938" s="77"/>
      <c r="AM938" s="77"/>
      <c r="AN938" s="77"/>
      <c r="AO938" s="77"/>
      <c r="AP938" s="77"/>
      <c r="AQ938" s="77"/>
      <c r="AR938" s="77"/>
      <c r="AS938" s="77"/>
      <c r="AT938" s="77"/>
      <c r="AU938" s="77"/>
      <c r="AV938" s="77"/>
      <c r="AW938" s="77"/>
      <c r="AX938" s="77"/>
      <c r="AY938" s="77"/>
      <c r="AZ938" s="77"/>
      <c r="BA938" s="77"/>
      <c r="BB938" s="77"/>
      <c r="BC938" s="77"/>
      <c r="BD938" s="77"/>
      <c r="BE938" s="77"/>
    </row>
    <row r="939">
      <c r="A939" s="77"/>
      <c r="B939" s="77"/>
      <c r="C939" s="77"/>
      <c r="D939" s="77"/>
      <c r="E939" s="188"/>
      <c r="F939" s="188"/>
      <c r="G939" s="188"/>
      <c r="H939" s="188"/>
      <c r="I939" s="188"/>
      <c r="J939" s="77"/>
      <c r="K939" s="77"/>
      <c r="L939" s="77"/>
      <c r="M939" s="77"/>
      <c r="N939" s="77"/>
      <c r="O939" s="77"/>
      <c r="P939" s="77"/>
      <c r="Q939" s="77"/>
      <c r="R939" s="77"/>
      <c r="S939" s="77"/>
      <c r="T939" s="77"/>
      <c r="U939" s="77"/>
      <c r="V939" s="77"/>
      <c r="W939" s="77"/>
      <c r="X939" s="77"/>
      <c r="Y939" s="77"/>
      <c r="Z939" s="77"/>
      <c r="AA939" s="77"/>
      <c r="AB939" s="77"/>
      <c r="AC939" s="77"/>
      <c r="AD939" s="227"/>
      <c r="AE939" s="77"/>
      <c r="AF939" s="227"/>
      <c r="AG939" s="77"/>
      <c r="AH939" s="77"/>
      <c r="AI939" s="77"/>
      <c r="AJ939" s="77"/>
      <c r="AK939" s="77"/>
      <c r="AL939" s="77"/>
      <c r="AM939" s="77"/>
      <c r="AN939" s="77"/>
      <c r="AO939" s="77"/>
      <c r="AP939" s="77"/>
      <c r="AQ939" s="77"/>
      <c r="AR939" s="77"/>
      <c r="AS939" s="77"/>
      <c r="AT939" s="77"/>
      <c r="AU939" s="77"/>
      <c r="AV939" s="77"/>
      <c r="AW939" s="77"/>
      <c r="AX939" s="77"/>
      <c r="AY939" s="77"/>
      <c r="AZ939" s="77"/>
      <c r="BA939" s="77"/>
      <c r="BB939" s="77"/>
      <c r="BC939" s="77"/>
      <c r="BD939" s="77"/>
      <c r="BE939" s="77"/>
    </row>
    <row r="940">
      <c r="A940" s="77"/>
      <c r="B940" s="77"/>
      <c r="C940" s="77"/>
      <c r="D940" s="77"/>
      <c r="E940" s="188"/>
      <c r="F940" s="188"/>
      <c r="G940" s="188"/>
      <c r="H940" s="188"/>
      <c r="I940" s="188"/>
      <c r="J940" s="77"/>
      <c r="K940" s="77"/>
      <c r="L940" s="77"/>
      <c r="M940" s="77"/>
      <c r="N940" s="77"/>
      <c r="O940" s="77"/>
      <c r="P940" s="77"/>
      <c r="Q940" s="77"/>
      <c r="R940" s="77"/>
      <c r="S940" s="77"/>
      <c r="T940" s="77"/>
      <c r="U940" s="77"/>
      <c r="V940" s="77"/>
      <c r="W940" s="77"/>
      <c r="X940" s="77"/>
      <c r="Y940" s="77"/>
      <c r="Z940" s="77"/>
      <c r="AA940" s="77"/>
      <c r="AB940" s="77"/>
      <c r="AC940" s="77"/>
      <c r="AD940" s="227"/>
      <c r="AE940" s="77"/>
      <c r="AF940" s="227"/>
      <c r="AG940" s="77"/>
      <c r="AH940" s="77"/>
      <c r="AI940" s="77"/>
      <c r="AJ940" s="77"/>
      <c r="AK940" s="77"/>
      <c r="AL940" s="77"/>
      <c r="AM940" s="77"/>
      <c r="AN940" s="77"/>
      <c r="AO940" s="77"/>
      <c r="AP940" s="77"/>
      <c r="AQ940" s="77"/>
      <c r="AR940" s="77"/>
      <c r="AS940" s="77"/>
      <c r="AT940" s="77"/>
      <c r="AU940" s="77"/>
      <c r="AV940" s="77"/>
      <c r="AW940" s="77"/>
      <c r="AX940" s="77"/>
      <c r="AY940" s="77"/>
      <c r="AZ940" s="77"/>
      <c r="BA940" s="77"/>
      <c r="BB940" s="77"/>
      <c r="BC940" s="77"/>
      <c r="BD940" s="77"/>
      <c r="BE940" s="77"/>
    </row>
    <row r="941">
      <c r="A941" s="77"/>
      <c r="B941" s="77"/>
      <c r="C941" s="77"/>
      <c r="D941" s="77"/>
      <c r="E941" s="188"/>
      <c r="F941" s="188"/>
      <c r="G941" s="188"/>
      <c r="H941" s="188"/>
      <c r="I941" s="188"/>
      <c r="J941" s="77"/>
      <c r="K941" s="77"/>
      <c r="L941" s="77"/>
      <c r="M941" s="77"/>
      <c r="N941" s="77"/>
      <c r="O941" s="77"/>
      <c r="P941" s="77"/>
      <c r="Q941" s="77"/>
      <c r="R941" s="77"/>
      <c r="S941" s="77"/>
      <c r="T941" s="77"/>
      <c r="U941" s="77"/>
      <c r="V941" s="77"/>
      <c r="W941" s="77"/>
      <c r="X941" s="77"/>
      <c r="Y941" s="77"/>
      <c r="Z941" s="77"/>
      <c r="AA941" s="77"/>
      <c r="AB941" s="77"/>
      <c r="AC941" s="77"/>
      <c r="AD941" s="227"/>
      <c r="AE941" s="77"/>
      <c r="AF941" s="227"/>
      <c r="AG941" s="77"/>
      <c r="AH941" s="77"/>
      <c r="AI941" s="77"/>
      <c r="AJ941" s="77"/>
      <c r="AK941" s="77"/>
      <c r="AL941" s="77"/>
      <c r="AM941" s="77"/>
      <c r="AN941" s="77"/>
      <c r="AO941" s="77"/>
      <c r="AP941" s="77"/>
      <c r="AQ941" s="77"/>
      <c r="AR941" s="77"/>
      <c r="AS941" s="77"/>
      <c r="AT941" s="77"/>
      <c r="AU941" s="77"/>
      <c r="AV941" s="77"/>
      <c r="AW941" s="77"/>
      <c r="AX941" s="77"/>
      <c r="AY941" s="77"/>
      <c r="AZ941" s="77"/>
      <c r="BA941" s="77"/>
      <c r="BB941" s="77"/>
      <c r="BC941" s="77"/>
      <c r="BD941" s="77"/>
      <c r="BE941" s="77"/>
    </row>
    <row r="942">
      <c r="A942" s="77"/>
      <c r="B942" s="77"/>
      <c r="C942" s="77"/>
      <c r="D942" s="77"/>
      <c r="E942" s="188"/>
      <c r="F942" s="188"/>
      <c r="G942" s="188"/>
      <c r="H942" s="188"/>
      <c r="I942" s="188"/>
      <c r="J942" s="77"/>
      <c r="K942" s="77"/>
      <c r="L942" s="77"/>
      <c r="M942" s="77"/>
      <c r="N942" s="77"/>
      <c r="O942" s="77"/>
      <c r="P942" s="77"/>
      <c r="Q942" s="77"/>
      <c r="R942" s="77"/>
      <c r="S942" s="77"/>
      <c r="T942" s="77"/>
      <c r="U942" s="77"/>
      <c r="V942" s="77"/>
      <c r="W942" s="77"/>
      <c r="X942" s="77"/>
      <c r="Y942" s="77"/>
      <c r="Z942" s="77"/>
      <c r="AA942" s="77"/>
      <c r="AB942" s="77"/>
      <c r="AC942" s="77"/>
      <c r="AD942" s="227"/>
      <c r="AE942" s="77"/>
      <c r="AF942" s="227"/>
      <c r="AG942" s="77"/>
      <c r="AH942" s="77"/>
      <c r="AI942" s="77"/>
      <c r="AJ942" s="77"/>
      <c r="AK942" s="77"/>
      <c r="AL942" s="77"/>
      <c r="AM942" s="77"/>
      <c r="AN942" s="77"/>
      <c r="AO942" s="77"/>
      <c r="AP942" s="77"/>
      <c r="AQ942" s="77"/>
      <c r="AR942" s="77"/>
      <c r="AS942" s="77"/>
      <c r="AT942" s="77"/>
      <c r="AU942" s="77"/>
      <c r="AV942" s="77"/>
      <c r="AW942" s="77"/>
      <c r="AX942" s="77"/>
      <c r="AY942" s="77"/>
      <c r="AZ942" s="77"/>
      <c r="BA942" s="77"/>
      <c r="BB942" s="77"/>
      <c r="BC942" s="77"/>
      <c r="BD942" s="77"/>
      <c r="BE942" s="77"/>
    </row>
    <row r="943">
      <c r="A943" s="77"/>
      <c r="B943" s="77"/>
      <c r="C943" s="77"/>
      <c r="D943" s="77"/>
      <c r="E943" s="188"/>
      <c r="F943" s="188"/>
      <c r="G943" s="188"/>
      <c r="H943" s="188"/>
      <c r="I943" s="188"/>
      <c r="J943" s="77"/>
      <c r="K943" s="77"/>
      <c r="L943" s="77"/>
      <c r="M943" s="77"/>
      <c r="N943" s="77"/>
      <c r="O943" s="77"/>
      <c r="P943" s="77"/>
      <c r="Q943" s="77"/>
      <c r="R943" s="77"/>
      <c r="S943" s="77"/>
      <c r="T943" s="77"/>
      <c r="U943" s="77"/>
      <c r="V943" s="77"/>
      <c r="W943" s="77"/>
      <c r="X943" s="77"/>
      <c r="Y943" s="77"/>
      <c r="Z943" s="77"/>
      <c r="AA943" s="77"/>
      <c r="AB943" s="77"/>
      <c r="AC943" s="77"/>
      <c r="AD943" s="227"/>
      <c r="AE943" s="77"/>
      <c r="AF943" s="227"/>
      <c r="AG943" s="77"/>
      <c r="AH943" s="77"/>
      <c r="AI943" s="77"/>
      <c r="AJ943" s="77"/>
      <c r="AK943" s="77"/>
      <c r="AL943" s="77"/>
      <c r="AM943" s="77"/>
      <c r="AN943" s="77"/>
      <c r="AO943" s="77"/>
      <c r="AP943" s="77"/>
      <c r="AQ943" s="77"/>
      <c r="AR943" s="77"/>
      <c r="AS943" s="77"/>
      <c r="AT943" s="77"/>
      <c r="AU943" s="77"/>
      <c r="AV943" s="77"/>
      <c r="AW943" s="77"/>
      <c r="AX943" s="77"/>
      <c r="AY943" s="77"/>
      <c r="AZ943" s="77"/>
      <c r="BA943" s="77"/>
      <c r="BB943" s="77"/>
      <c r="BC943" s="77"/>
      <c r="BD943" s="77"/>
      <c r="BE943" s="77"/>
    </row>
    <row r="944">
      <c r="A944" s="77"/>
      <c r="B944" s="77"/>
      <c r="C944" s="77"/>
      <c r="D944" s="77"/>
      <c r="E944" s="188"/>
      <c r="F944" s="188"/>
      <c r="G944" s="188"/>
      <c r="H944" s="188"/>
      <c r="I944" s="188"/>
      <c r="J944" s="77"/>
      <c r="K944" s="77"/>
      <c r="L944" s="77"/>
      <c r="M944" s="77"/>
      <c r="N944" s="77"/>
      <c r="O944" s="77"/>
      <c r="P944" s="77"/>
      <c r="Q944" s="77"/>
      <c r="R944" s="77"/>
      <c r="S944" s="77"/>
      <c r="T944" s="77"/>
      <c r="U944" s="77"/>
      <c r="V944" s="77"/>
      <c r="W944" s="77"/>
      <c r="X944" s="77"/>
      <c r="Y944" s="77"/>
      <c r="Z944" s="77"/>
      <c r="AA944" s="77"/>
      <c r="AB944" s="77"/>
      <c r="AC944" s="77"/>
      <c r="AD944" s="227"/>
      <c r="AE944" s="77"/>
      <c r="AF944" s="227"/>
      <c r="AG944" s="77"/>
      <c r="AH944" s="77"/>
      <c r="AI944" s="77"/>
      <c r="AJ944" s="77"/>
      <c r="AK944" s="77"/>
      <c r="AL944" s="77"/>
      <c r="AM944" s="77"/>
      <c r="AN944" s="77"/>
      <c r="AO944" s="77"/>
      <c r="AP944" s="77"/>
      <c r="AQ944" s="77"/>
      <c r="AR944" s="77"/>
      <c r="AS944" s="77"/>
      <c r="AT944" s="77"/>
      <c r="AU944" s="77"/>
      <c r="AV944" s="77"/>
      <c r="AW944" s="77"/>
      <c r="AX944" s="77"/>
      <c r="AY944" s="77"/>
      <c r="AZ944" s="77"/>
      <c r="BA944" s="77"/>
      <c r="BB944" s="77"/>
      <c r="BC944" s="77"/>
      <c r="BD944" s="77"/>
      <c r="BE944" s="77"/>
    </row>
    <row r="945">
      <c r="A945" s="77"/>
      <c r="B945" s="77"/>
      <c r="C945" s="77"/>
      <c r="D945" s="77"/>
      <c r="E945" s="188"/>
      <c r="F945" s="188"/>
      <c r="G945" s="188"/>
      <c r="H945" s="188"/>
      <c r="I945" s="188"/>
      <c r="J945" s="77"/>
      <c r="K945" s="77"/>
      <c r="L945" s="77"/>
      <c r="M945" s="77"/>
      <c r="N945" s="77"/>
      <c r="O945" s="77"/>
      <c r="P945" s="77"/>
      <c r="Q945" s="77"/>
      <c r="R945" s="77"/>
      <c r="S945" s="77"/>
      <c r="T945" s="77"/>
      <c r="U945" s="77"/>
      <c r="V945" s="77"/>
      <c r="W945" s="77"/>
      <c r="X945" s="77"/>
      <c r="Y945" s="77"/>
      <c r="Z945" s="77"/>
      <c r="AA945" s="77"/>
      <c r="AB945" s="77"/>
      <c r="AC945" s="77"/>
      <c r="AD945" s="227"/>
      <c r="AE945" s="77"/>
      <c r="AF945" s="227"/>
      <c r="AG945" s="77"/>
      <c r="AH945" s="77"/>
      <c r="AI945" s="77"/>
      <c r="AJ945" s="77"/>
      <c r="AK945" s="77"/>
      <c r="AL945" s="77"/>
      <c r="AM945" s="77"/>
      <c r="AN945" s="77"/>
      <c r="AO945" s="77"/>
      <c r="AP945" s="77"/>
      <c r="AQ945" s="77"/>
      <c r="AR945" s="77"/>
      <c r="AS945" s="77"/>
      <c r="AT945" s="77"/>
      <c r="AU945" s="77"/>
      <c r="AV945" s="77"/>
      <c r="AW945" s="77"/>
      <c r="AX945" s="77"/>
      <c r="AY945" s="77"/>
      <c r="AZ945" s="77"/>
      <c r="BA945" s="77"/>
      <c r="BB945" s="77"/>
      <c r="BC945" s="77"/>
      <c r="BD945" s="77"/>
      <c r="BE945" s="77"/>
    </row>
    <row r="946">
      <c r="A946" s="77"/>
      <c r="B946" s="77"/>
      <c r="C946" s="77"/>
      <c r="D946" s="77"/>
      <c r="E946" s="188"/>
      <c r="F946" s="188"/>
      <c r="G946" s="188"/>
      <c r="H946" s="188"/>
      <c r="I946" s="188"/>
      <c r="J946" s="77"/>
      <c r="K946" s="77"/>
      <c r="L946" s="77"/>
      <c r="M946" s="77"/>
      <c r="N946" s="77"/>
      <c r="O946" s="77"/>
      <c r="P946" s="77"/>
      <c r="Q946" s="77"/>
      <c r="R946" s="77"/>
      <c r="S946" s="77"/>
      <c r="T946" s="77"/>
      <c r="U946" s="77"/>
      <c r="V946" s="77"/>
      <c r="W946" s="77"/>
      <c r="X946" s="77"/>
      <c r="Y946" s="77"/>
      <c r="Z946" s="77"/>
      <c r="AA946" s="77"/>
      <c r="AB946" s="77"/>
      <c r="AC946" s="77"/>
      <c r="AD946" s="227"/>
      <c r="AE946" s="77"/>
      <c r="AF946" s="227"/>
      <c r="AG946" s="77"/>
      <c r="AH946" s="77"/>
      <c r="AI946" s="77"/>
      <c r="AJ946" s="77"/>
      <c r="AK946" s="77"/>
      <c r="AL946" s="77"/>
      <c r="AM946" s="77"/>
      <c r="AN946" s="77"/>
      <c r="AO946" s="77"/>
      <c r="AP946" s="77"/>
      <c r="AQ946" s="77"/>
      <c r="AR946" s="77"/>
      <c r="AS946" s="77"/>
      <c r="AT946" s="77"/>
      <c r="AU946" s="77"/>
      <c r="AV946" s="77"/>
      <c r="AW946" s="77"/>
      <c r="AX946" s="77"/>
      <c r="AY946" s="77"/>
      <c r="AZ946" s="77"/>
      <c r="BA946" s="77"/>
      <c r="BB946" s="77"/>
      <c r="BC946" s="77"/>
      <c r="BD946" s="77"/>
      <c r="BE946" s="77"/>
    </row>
    <row r="947">
      <c r="A947" s="77"/>
      <c r="B947" s="77"/>
      <c r="C947" s="77"/>
      <c r="D947" s="77"/>
      <c r="E947" s="188"/>
      <c r="F947" s="188"/>
      <c r="G947" s="188"/>
      <c r="H947" s="188"/>
      <c r="I947" s="188"/>
      <c r="J947" s="77"/>
      <c r="K947" s="77"/>
      <c r="L947" s="77"/>
      <c r="M947" s="77"/>
      <c r="N947" s="77"/>
      <c r="O947" s="77"/>
      <c r="P947" s="77"/>
      <c r="Q947" s="77"/>
      <c r="R947" s="77"/>
      <c r="S947" s="77"/>
      <c r="T947" s="77"/>
      <c r="U947" s="77"/>
      <c r="V947" s="77"/>
      <c r="W947" s="77"/>
      <c r="X947" s="77"/>
      <c r="Y947" s="77"/>
      <c r="Z947" s="77"/>
      <c r="AA947" s="77"/>
      <c r="AB947" s="77"/>
      <c r="AC947" s="77"/>
      <c r="AD947" s="227"/>
      <c r="AE947" s="77"/>
      <c r="AF947" s="227"/>
      <c r="AG947" s="77"/>
      <c r="AH947" s="77"/>
      <c r="AI947" s="77"/>
      <c r="AJ947" s="77"/>
      <c r="AK947" s="77"/>
      <c r="AL947" s="77"/>
      <c r="AM947" s="77"/>
      <c r="AN947" s="77"/>
      <c r="AO947" s="77"/>
      <c r="AP947" s="77"/>
      <c r="AQ947" s="77"/>
      <c r="AR947" s="77"/>
      <c r="AS947" s="77"/>
      <c r="AT947" s="77"/>
      <c r="AU947" s="77"/>
      <c r="AV947" s="77"/>
      <c r="AW947" s="77"/>
      <c r="AX947" s="77"/>
      <c r="AY947" s="77"/>
      <c r="AZ947" s="77"/>
      <c r="BA947" s="77"/>
      <c r="BB947" s="77"/>
      <c r="BC947" s="77"/>
      <c r="BD947" s="77"/>
      <c r="BE947" s="77"/>
    </row>
    <row r="948">
      <c r="A948" s="77"/>
      <c r="B948" s="77"/>
      <c r="C948" s="77"/>
      <c r="D948" s="77"/>
      <c r="E948" s="188"/>
      <c r="F948" s="188"/>
      <c r="G948" s="188"/>
      <c r="H948" s="188"/>
      <c r="I948" s="188"/>
      <c r="J948" s="77"/>
      <c r="K948" s="77"/>
      <c r="L948" s="77"/>
      <c r="M948" s="77"/>
      <c r="N948" s="77"/>
      <c r="O948" s="77"/>
      <c r="P948" s="77"/>
      <c r="Q948" s="77"/>
      <c r="R948" s="77"/>
      <c r="S948" s="77"/>
      <c r="T948" s="77"/>
      <c r="U948" s="77"/>
      <c r="V948" s="77"/>
      <c r="W948" s="77"/>
      <c r="X948" s="77"/>
      <c r="Y948" s="77"/>
      <c r="Z948" s="77"/>
      <c r="AA948" s="77"/>
      <c r="AB948" s="77"/>
      <c r="AC948" s="77"/>
      <c r="AD948" s="227"/>
      <c r="AE948" s="77"/>
      <c r="AF948" s="227"/>
      <c r="AG948" s="77"/>
      <c r="AH948" s="77"/>
      <c r="AI948" s="77"/>
      <c r="AJ948" s="77"/>
      <c r="AK948" s="77"/>
      <c r="AL948" s="77"/>
      <c r="AM948" s="77"/>
      <c r="AN948" s="77"/>
      <c r="AO948" s="77"/>
      <c r="AP948" s="77"/>
      <c r="AQ948" s="77"/>
      <c r="AR948" s="77"/>
      <c r="AS948" s="77"/>
      <c r="AT948" s="77"/>
      <c r="AU948" s="77"/>
      <c r="AV948" s="77"/>
      <c r="AW948" s="77"/>
      <c r="AX948" s="77"/>
      <c r="AY948" s="77"/>
      <c r="AZ948" s="77"/>
      <c r="BA948" s="77"/>
      <c r="BB948" s="77"/>
      <c r="BC948" s="77"/>
      <c r="BD948" s="77"/>
      <c r="BE948" s="77"/>
    </row>
    <row r="949">
      <c r="A949" s="77"/>
      <c r="B949" s="77"/>
      <c r="C949" s="77"/>
      <c r="D949" s="77"/>
      <c r="E949" s="188"/>
      <c r="F949" s="188"/>
      <c r="G949" s="188"/>
      <c r="H949" s="188"/>
      <c r="I949" s="188"/>
      <c r="J949" s="77"/>
      <c r="K949" s="77"/>
      <c r="L949" s="77"/>
      <c r="M949" s="77"/>
      <c r="N949" s="77"/>
      <c r="O949" s="77"/>
      <c r="P949" s="77"/>
      <c r="Q949" s="77"/>
      <c r="R949" s="77"/>
      <c r="S949" s="77"/>
      <c r="T949" s="77"/>
      <c r="U949" s="77"/>
      <c r="V949" s="77"/>
      <c r="W949" s="77"/>
      <c r="X949" s="77"/>
      <c r="Y949" s="77"/>
      <c r="Z949" s="77"/>
      <c r="AA949" s="77"/>
      <c r="AB949" s="77"/>
      <c r="AC949" s="77"/>
      <c r="AD949" s="227"/>
      <c r="AE949" s="77"/>
      <c r="AF949" s="227"/>
      <c r="AG949" s="77"/>
      <c r="AH949" s="77"/>
      <c r="AI949" s="77"/>
      <c r="AJ949" s="77"/>
      <c r="AK949" s="77"/>
      <c r="AL949" s="77"/>
      <c r="AM949" s="77"/>
      <c r="AN949" s="77"/>
      <c r="AO949" s="77"/>
      <c r="AP949" s="77"/>
      <c r="AQ949" s="77"/>
      <c r="AR949" s="77"/>
      <c r="AS949" s="77"/>
      <c r="AT949" s="77"/>
      <c r="AU949" s="77"/>
      <c r="AV949" s="77"/>
      <c r="AW949" s="77"/>
      <c r="AX949" s="77"/>
      <c r="AY949" s="77"/>
      <c r="AZ949" s="77"/>
      <c r="BA949" s="77"/>
      <c r="BB949" s="77"/>
      <c r="BC949" s="77"/>
      <c r="BD949" s="77"/>
      <c r="BE949" s="77"/>
    </row>
    <row r="950">
      <c r="A950" s="77"/>
      <c r="B950" s="77"/>
      <c r="C950" s="77"/>
      <c r="D950" s="77"/>
      <c r="E950" s="188"/>
      <c r="F950" s="188"/>
      <c r="G950" s="188"/>
      <c r="H950" s="188"/>
      <c r="I950" s="188"/>
      <c r="J950" s="77"/>
      <c r="K950" s="77"/>
      <c r="L950" s="77"/>
      <c r="M950" s="77"/>
      <c r="N950" s="77"/>
      <c r="O950" s="77"/>
      <c r="P950" s="77"/>
      <c r="Q950" s="77"/>
      <c r="R950" s="77"/>
      <c r="S950" s="77"/>
      <c r="T950" s="77"/>
      <c r="U950" s="77"/>
      <c r="V950" s="77"/>
      <c r="W950" s="77"/>
      <c r="X950" s="77"/>
      <c r="Y950" s="77"/>
      <c r="Z950" s="77"/>
      <c r="AA950" s="77"/>
      <c r="AB950" s="77"/>
      <c r="AC950" s="77"/>
      <c r="AD950" s="227"/>
      <c r="AE950" s="77"/>
      <c r="AF950" s="227"/>
      <c r="AG950" s="77"/>
      <c r="AH950" s="77"/>
      <c r="AI950" s="77"/>
      <c r="AJ950" s="77"/>
      <c r="AK950" s="77"/>
      <c r="AL950" s="77"/>
      <c r="AM950" s="77"/>
      <c r="AN950" s="77"/>
      <c r="AO950" s="77"/>
      <c r="AP950" s="77"/>
      <c r="AQ950" s="77"/>
      <c r="AR950" s="77"/>
      <c r="AS950" s="77"/>
      <c r="AT950" s="77"/>
      <c r="AU950" s="77"/>
      <c r="AV950" s="77"/>
      <c r="AW950" s="77"/>
      <c r="AX950" s="77"/>
      <c r="AY950" s="77"/>
      <c r="AZ950" s="77"/>
      <c r="BA950" s="77"/>
      <c r="BB950" s="77"/>
      <c r="BC950" s="77"/>
      <c r="BD950" s="77"/>
      <c r="BE950" s="77"/>
    </row>
    <row r="951">
      <c r="A951" s="77"/>
      <c r="B951" s="77"/>
      <c r="C951" s="77"/>
      <c r="D951" s="77"/>
      <c r="E951" s="188"/>
      <c r="F951" s="188"/>
      <c r="G951" s="188"/>
      <c r="H951" s="188"/>
      <c r="I951" s="188"/>
      <c r="J951" s="77"/>
      <c r="K951" s="77"/>
      <c r="L951" s="77"/>
      <c r="M951" s="77"/>
      <c r="N951" s="77"/>
      <c r="O951" s="77"/>
      <c r="P951" s="77"/>
      <c r="Q951" s="77"/>
      <c r="R951" s="77"/>
      <c r="S951" s="77"/>
      <c r="T951" s="77"/>
      <c r="U951" s="77"/>
      <c r="V951" s="77"/>
      <c r="W951" s="77"/>
      <c r="X951" s="77"/>
      <c r="Y951" s="77"/>
      <c r="Z951" s="77"/>
      <c r="AA951" s="77"/>
      <c r="AB951" s="77"/>
      <c r="AC951" s="77"/>
      <c r="AD951" s="227"/>
      <c r="AE951" s="77"/>
      <c r="AF951" s="227"/>
      <c r="AG951" s="77"/>
      <c r="AH951" s="77"/>
      <c r="AI951" s="77"/>
      <c r="AJ951" s="77"/>
      <c r="AK951" s="77"/>
      <c r="AL951" s="77"/>
      <c r="AM951" s="77"/>
      <c r="AN951" s="77"/>
      <c r="AO951" s="77"/>
      <c r="AP951" s="77"/>
      <c r="AQ951" s="77"/>
      <c r="AR951" s="77"/>
      <c r="AS951" s="77"/>
      <c r="AT951" s="77"/>
      <c r="AU951" s="77"/>
      <c r="AV951" s="77"/>
      <c r="AW951" s="77"/>
      <c r="AX951" s="77"/>
      <c r="AY951" s="77"/>
      <c r="AZ951" s="77"/>
      <c r="BA951" s="77"/>
      <c r="BB951" s="77"/>
      <c r="BC951" s="77"/>
      <c r="BD951" s="77"/>
      <c r="BE951" s="77"/>
    </row>
    <row r="952">
      <c r="A952" s="77"/>
      <c r="B952" s="77"/>
      <c r="C952" s="77"/>
      <c r="D952" s="77"/>
      <c r="E952" s="188"/>
      <c r="F952" s="188"/>
      <c r="G952" s="188"/>
      <c r="H952" s="188"/>
      <c r="I952" s="188"/>
      <c r="J952" s="77"/>
      <c r="K952" s="77"/>
      <c r="L952" s="77"/>
      <c r="M952" s="77"/>
      <c r="N952" s="77"/>
      <c r="O952" s="77"/>
      <c r="P952" s="77"/>
      <c r="Q952" s="77"/>
      <c r="R952" s="77"/>
      <c r="S952" s="77"/>
      <c r="T952" s="77"/>
      <c r="U952" s="77"/>
      <c r="V952" s="77"/>
      <c r="W952" s="77"/>
      <c r="X952" s="77"/>
      <c r="Y952" s="77"/>
      <c r="Z952" s="77"/>
      <c r="AA952" s="77"/>
      <c r="AB952" s="77"/>
      <c r="AC952" s="77"/>
      <c r="AD952" s="227"/>
      <c r="AE952" s="77"/>
      <c r="AF952" s="227"/>
      <c r="AG952" s="77"/>
      <c r="AH952" s="77"/>
      <c r="AI952" s="77"/>
      <c r="AJ952" s="77"/>
      <c r="AK952" s="77"/>
      <c r="AL952" s="77"/>
      <c r="AM952" s="77"/>
      <c r="AN952" s="77"/>
      <c r="AO952" s="77"/>
      <c r="AP952" s="77"/>
      <c r="AQ952" s="77"/>
      <c r="AR952" s="77"/>
      <c r="AS952" s="77"/>
      <c r="AT952" s="77"/>
      <c r="AU952" s="77"/>
      <c r="AV952" s="77"/>
      <c r="AW952" s="77"/>
      <c r="AX952" s="77"/>
      <c r="AY952" s="77"/>
      <c r="AZ952" s="77"/>
      <c r="BA952" s="77"/>
      <c r="BB952" s="77"/>
      <c r="BC952" s="77"/>
      <c r="BD952" s="77"/>
      <c r="BE952" s="77"/>
    </row>
    <row r="953">
      <c r="A953" s="77"/>
      <c r="B953" s="77"/>
      <c r="C953" s="77"/>
      <c r="D953" s="77"/>
      <c r="E953" s="188"/>
      <c r="F953" s="188"/>
      <c r="G953" s="188"/>
      <c r="H953" s="188"/>
      <c r="I953" s="188"/>
      <c r="J953" s="77"/>
      <c r="K953" s="77"/>
      <c r="L953" s="77"/>
      <c r="M953" s="77"/>
      <c r="N953" s="77"/>
      <c r="O953" s="77"/>
      <c r="P953" s="77"/>
      <c r="Q953" s="77"/>
      <c r="R953" s="77"/>
      <c r="S953" s="77"/>
      <c r="T953" s="77"/>
      <c r="U953" s="77"/>
      <c r="V953" s="77"/>
      <c r="W953" s="77"/>
      <c r="X953" s="77"/>
      <c r="Y953" s="77"/>
      <c r="Z953" s="77"/>
      <c r="AA953" s="77"/>
      <c r="AB953" s="77"/>
      <c r="AC953" s="77"/>
      <c r="AD953" s="227"/>
      <c r="AE953" s="77"/>
      <c r="AF953" s="227"/>
      <c r="AG953" s="77"/>
      <c r="AH953" s="77"/>
      <c r="AI953" s="77"/>
      <c r="AJ953" s="77"/>
      <c r="AK953" s="77"/>
      <c r="AL953" s="77"/>
      <c r="AM953" s="77"/>
      <c r="AN953" s="77"/>
      <c r="AO953" s="77"/>
      <c r="AP953" s="77"/>
      <c r="AQ953" s="77"/>
      <c r="AR953" s="77"/>
      <c r="AS953" s="77"/>
      <c r="AT953" s="77"/>
      <c r="AU953" s="77"/>
      <c r="AV953" s="77"/>
      <c r="AW953" s="77"/>
      <c r="AX953" s="77"/>
      <c r="AY953" s="77"/>
      <c r="AZ953" s="77"/>
      <c r="BA953" s="77"/>
      <c r="BB953" s="77"/>
      <c r="BC953" s="77"/>
      <c r="BD953" s="77"/>
      <c r="BE953" s="77"/>
    </row>
    <row r="954">
      <c r="A954" s="77"/>
      <c r="B954" s="77"/>
      <c r="C954" s="77"/>
      <c r="D954" s="77"/>
      <c r="E954" s="188"/>
      <c r="F954" s="188"/>
      <c r="G954" s="188"/>
      <c r="H954" s="188"/>
      <c r="I954" s="188"/>
      <c r="J954" s="77"/>
      <c r="K954" s="77"/>
      <c r="L954" s="77"/>
      <c r="M954" s="77"/>
      <c r="N954" s="77"/>
      <c r="O954" s="77"/>
      <c r="P954" s="77"/>
      <c r="Q954" s="77"/>
      <c r="R954" s="77"/>
      <c r="S954" s="77"/>
      <c r="T954" s="77"/>
      <c r="U954" s="77"/>
      <c r="V954" s="77"/>
      <c r="W954" s="77"/>
      <c r="X954" s="77"/>
      <c r="Y954" s="77"/>
      <c r="Z954" s="77"/>
      <c r="AA954" s="77"/>
      <c r="AB954" s="77"/>
      <c r="AC954" s="77"/>
      <c r="AD954" s="227"/>
      <c r="AE954" s="77"/>
      <c r="AF954" s="227"/>
      <c r="AG954" s="77"/>
      <c r="AH954" s="77"/>
      <c r="AI954" s="77"/>
      <c r="AJ954" s="77"/>
      <c r="AK954" s="77"/>
      <c r="AL954" s="77"/>
      <c r="AM954" s="77"/>
      <c r="AN954" s="77"/>
      <c r="AO954" s="77"/>
      <c r="AP954" s="77"/>
      <c r="AQ954" s="77"/>
      <c r="AR954" s="77"/>
      <c r="AS954" s="77"/>
      <c r="AT954" s="77"/>
      <c r="AU954" s="77"/>
      <c r="AV954" s="77"/>
      <c r="AW954" s="77"/>
      <c r="AX954" s="77"/>
      <c r="AY954" s="77"/>
      <c r="AZ954" s="77"/>
      <c r="BA954" s="77"/>
      <c r="BB954" s="77"/>
      <c r="BC954" s="77"/>
      <c r="BD954" s="77"/>
      <c r="BE954" s="77"/>
    </row>
    <row r="955">
      <c r="A955" s="77"/>
      <c r="B955" s="77"/>
      <c r="C955" s="77"/>
      <c r="D955" s="77"/>
      <c r="E955" s="188"/>
      <c r="F955" s="188"/>
      <c r="G955" s="188"/>
      <c r="H955" s="188"/>
      <c r="I955" s="188"/>
      <c r="J955" s="77"/>
      <c r="K955" s="77"/>
      <c r="L955" s="77"/>
      <c r="M955" s="77"/>
      <c r="N955" s="77"/>
      <c r="O955" s="77"/>
      <c r="P955" s="77"/>
      <c r="Q955" s="77"/>
      <c r="R955" s="77"/>
      <c r="S955" s="77"/>
      <c r="T955" s="77"/>
      <c r="U955" s="77"/>
      <c r="V955" s="77"/>
      <c r="W955" s="77"/>
      <c r="X955" s="77"/>
      <c r="Y955" s="77"/>
      <c r="Z955" s="77"/>
      <c r="AA955" s="77"/>
      <c r="AB955" s="77"/>
      <c r="AC955" s="77"/>
      <c r="AD955" s="227"/>
      <c r="AE955" s="77"/>
      <c r="AF955" s="227"/>
      <c r="AG955" s="77"/>
      <c r="AH955" s="77"/>
      <c r="AI955" s="77"/>
      <c r="AJ955" s="77"/>
      <c r="AK955" s="77"/>
      <c r="AL955" s="77"/>
      <c r="AM955" s="77"/>
      <c r="AN955" s="77"/>
      <c r="AO955" s="77"/>
      <c r="AP955" s="77"/>
      <c r="AQ955" s="77"/>
      <c r="AR955" s="77"/>
      <c r="AS955" s="77"/>
      <c r="AT955" s="77"/>
      <c r="AU955" s="77"/>
      <c r="AV955" s="77"/>
      <c r="AW955" s="77"/>
      <c r="AX955" s="77"/>
      <c r="AY955" s="77"/>
      <c r="AZ955" s="77"/>
      <c r="BA955" s="77"/>
      <c r="BB955" s="77"/>
      <c r="BC955" s="77"/>
      <c r="BD955" s="77"/>
      <c r="BE955" s="77"/>
    </row>
    <row r="956">
      <c r="A956" s="77"/>
      <c r="B956" s="77"/>
      <c r="C956" s="77"/>
      <c r="D956" s="77"/>
      <c r="E956" s="188"/>
      <c r="F956" s="188"/>
      <c r="G956" s="188"/>
      <c r="H956" s="188"/>
      <c r="I956" s="188"/>
      <c r="J956" s="77"/>
      <c r="K956" s="77"/>
      <c r="L956" s="77"/>
      <c r="M956" s="77"/>
      <c r="N956" s="77"/>
      <c r="O956" s="77"/>
      <c r="P956" s="77"/>
      <c r="Q956" s="77"/>
      <c r="R956" s="77"/>
      <c r="S956" s="77"/>
      <c r="T956" s="77"/>
      <c r="U956" s="77"/>
      <c r="V956" s="77"/>
      <c r="W956" s="77"/>
      <c r="X956" s="77"/>
      <c r="Y956" s="77"/>
      <c r="Z956" s="77"/>
      <c r="AA956" s="77"/>
      <c r="AB956" s="77"/>
      <c r="AC956" s="77"/>
      <c r="AD956" s="227"/>
      <c r="AE956" s="77"/>
      <c r="AF956" s="227"/>
      <c r="AG956" s="77"/>
      <c r="AH956" s="77"/>
      <c r="AI956" s="77"/>
      <c r="AJ956" s="77"/>
      <c r="AK956" s="77"/>
      <c r="AL956" s="77"/>
      <c r="AM956" s="77"/>
      <c r="AN956" s="77"/>
      <c r="AO956" s="77"/>
      <c r="AP956" s="77"/>
      <c r="AQ956" s="77"/>
      <c r="AR956" s="77"/>
      <c r="AS956" s="77"/>
      <c r="AT956" s="77"/>
      <c r="AU956" s="77"/>
      <c r="AV956" s="77"/>
      <c r="AW956" s="77"/>
      <c r="AX956" s="77"/>
      <c r="AY956" s="77"/>
      <c r="AZ956" s="77"/>
      <c r="BA956" s="77"/>
      <c r="BB956" s="77"/>
      <c r="BC956" s="77"/>
      <c r="BD956" s="77"/>
      <c r="BE956" s="77"/>
    </row>
    <row r="957">
      <c r="A957" s="77"/>
      <c r="B957" s="77"/>
      <c r="C957" s="77"/>
      <c r="D957" s="77"/>
      <c r="E957" s="188"/>
      <c r="F957" s="188"/>
      <c r="G957" s="188"/>
      <c r="H957" s="188"/>
      <c r="I957" s="188"/>
      <c r="J957" s="77"/>
      <c r="K957" s="77"/>
      <c r="L957" s="77"/>
      <c r="M957" s="77"/>
      <c r="N957" s="77"/>
      <c r="O957" s="77"/>
      <c r="P957" s="77"/>
      <c r="Q957" s="77"/>
      <c r="R957" s="77"/>
      <c r="S957" s="77"/>
      <c r="T957" s="77"/>
      <c r="U957" s="77"/>
      <c r="V957" s="77"/>
      <c r="W957" s="77"/>
      <c r="X957" s="77"/>
      <c r="Y957" s="77"/>
      <c r="Z957" s="77"/>
      <c r="AA957" s="77"/>
      <c r="AB957" s="77"/>
      <c r="AC957" s="77"/>
      <c r="AD957" s="227"/>
      <c r="AE957" s="77"/>
      <c r="AF957" s="227"/>
      <c r="AG957" s="77"/>
      <c r="AH957" s="77"/>
      <c r="AI957" s="77"/>
      <c r="AJ957" s="77"/>
      <c r="AK957" s="77"/>
      <c r="AL957" s="77"/>
      <c r="AM957" s="77"/>
      <c r="AN957" s="77"/>
      <c r="AO957" s="77"/>
      <c r="AP957" s="77"/>
      <c r="AQ957" s="77"/>
      <c r="AR957" s="77"/>
      <c r="AS957" s="77"/>
      <c r="AT957" s="77"/>
      <c r="AU957" s="77"/>
      <c r="AV957" s="77"/>
      <c r="AW957" s="77"/>
      <c r="AX957" s="77"/>
      <c r="AY957" s="77"/>
      <c r="AZ957" s="77"/>
      <c r="BA957" s="77"/>
      <c r="BB957" s="77"/>
      <c r="BC957" s="77"/>
      <c r="BD957" s="77"/>
      <c r="BE957" s="77"/>
    </row>
    <row r="958">
      <c r="A958" s="77"/>
      <c r="B958" s="77"/>
      <c r="C958" s="77"/>
      <c r="D958" s="77"/>
      <c r="E958" s="188"/>
      <c r="F958" s="188"/>
      <c r="G958" s="188"/>
      <c r="H958" s="188"/>
      <c r="I958" s="188"/>
      <c r="J958" s="77"/>
      <c r="K958" s="77"/>
      <c r="L958" s="77"/>
      <c r="M958" s="77"/>
      <c r="N958" s="77"/>
      <c r="O958" s="77"/>
      <c r="P958" s="77"/>
      <c r="Q958" s="77"/>
      <c r="R958" s="77"/>
      <c r="S958" s="77"/>
      <c r="T958" s="77"/>
      <c r="U958" s="77"/>
      <c r="V958" s="77"/>
      <c r="W958" s="77"/>
      <c r="X958" s="77"/>
      <c r="Y958" s="77"/>
      <c r="Z958" s="77"/>
      <c r="AA958" s="77"/>
      <c r="AB958" s="77"/>
      <c r="AC958" s="77"/>
      <c r="AD958" s="227"/>
      <c r="AE958" s="77"/>
      <c r="AF958" s="227"/>
      <c r="AG958" s="77"/>
      <c r="AH958" s="77"/>
      <c r="AI958" s="77"/>
      <c r="AJ958" s="77"/>
      <c r="AK958" s="77"/>
      <c r="AL958" s="77"/>
      <c r="AM958" s="77"/>
      <c r="AN958" s="77"/>
      <c r="AO958" s="77"/>
      <c r="AP958" s="77"/>
      <c r="AQ958" s="77"/>
      <c r="AR958" s="77"/>
      <c r="AS958" s="77"/>
      <c r="AT958" s="77"/>
      <c r="AU958" s="77"/>
      <c r="AV958" s="77"/>
      <c r="AW958" s="77"/>
      <c r="AX958" s="77"/>
      <c r="AY958" s="77"/>
      <c r="AZ958" s="77"/>
      <c r="BA958" s="77"/>
      <c r="BB958" s="77"/>
      <c r="BC958" s="77"/>
      <c r="BD958" s="77"/>
      <c r="BE958" s="77"/>
    </row>
    <row r="959">
      <c r="A959" s="77"/>
      <c r="B959" s="77"/>
      <c r="C959" s="77"/>
      <c r="D959" s="77"/>
      <c r="E959" s="188"/>
      <c r="F959" s="188"/>
      <c r="G959" s="188"/>
      <c r="H959" s="188"/>
      <c r="I959" s="188"/>
      <c r="J959" s="77"/>
      <c r="K959" s="77"/>
      <c r="L959" s="77"/>
      <c r="M959" s="77"/>
      <c r="N959" s="77"/>
      <c r="O959" s="77"/>
      <c r="P959" s="77"/>
      <c r="Q959" s="77"/>
      <c r="R959" s="77"/>
      <c r="S959" s="77"/>
      <c r="T959" s="77"/>
      <c r="U959" s="77"/>
      <c r="V959" s="77"/>
      <c r="W959" s="77"/>
      <c r="X959" s="77"/>
      <c r="Y959" s="77"/>
      <c r="Z959" s="77"/>
      <c r="AA959" s="77"/>
      <c r="AB959" s="77"/>
      <c r="AC959" s="77"/>
      <c r="AD959" s="227"/>
      <c r="AE959" s="77"/>
      <c r="AF959" s="227"/>
      <c r="AG959" s="77"/>
      <c r="AH959" s="77"/>
      <c r="AI959" s="77"/>
      <c r="AJ959" s="77"/>
      <c r="AK959" s="77"/>
      <c r="AL959" s="77"/>
      <c r="AM959" s="77"/>
      <c r="AN959" s="77"/>
      <c r="AO959" s="77"/>
      <c r="AP959" s="77"/>
      <c r="AQ959" s="77"/>
      <c r="AR959" s="77"/>
      <c r="AS959" s="77"/>
      <c r="AT959" s="77"/>
      <c r="AU959" s="77"/>
      <c r="AV959" s="77"/>
      <c r="AW959" s="77"/>
      <c r="AX959" s="77"/>
      <c r="AY959" s="77"/>
      <c r="AZ959" s="77"/>
      <c r="BA959" s="77"/>
      <c r="BB959" s="77"/>
      <c r="BC959" s="77"/>
      <c r="BD959" s="77"/>
      <c r="BE959" s="77"/>
    </row>
    <row r="960">
      <c r="A960" s="77"/>
      <c r="B960" s="77"/>
      <c r="C960" s="77"/>
      <c r="D960" s="77"/>
      <c r="E960" s="188"/>
      <c r="F960" s="188"/>
      <c r="G960" s="188"/>
      <c r="H960" s="188"/>
      <c r="I960" s="188"/>
      <c r="J960" s="77"/>
      <c r="K960" s="77"/>
      <c r="L960" s="77"/>
      <c r="M960" s="77"/>
      <c r="N960" s="77"/>
      <c r="O960" s="77"/>
      <c r="P960" s="77"/>
      <c r="Q960" s="77"/>
      <c r="R960" s="77"/>
      <c r="S960" s="77"/>
      <c r="T960" s="77"/>
      <c r="U960" s="77"/>
      <c r="V960" s="77"/>
      <c r="W960" s="77"/>
      <c r="X960" s="77"/>
      <c r="Y960" s="77"/>
      <c r="Z960" s="77"/>
      <c r="AA960" s="77"/>
      <c r="AB960" s="77"/>
      <c r="AC960" s="77"/>
      <c r="AD960" s="227"/>
      <c r="AE960" s="77"/>
      <c r="AF960" s="227"/>
      <c r="AG960" s="77"/>
      <c r="AH960" s="77"/>
      <c r="AI960" s="77"/>
      <c r="AJ960" s="77"/>
      <c r="AK960" s="77"/>
      <c r="AL960" s="77"/>
      <c r="AM960" s="77"/>
      <c r="AN960" s="77"/>
      <c r="AO960" s="77"/>
      <c r="AP960" s="77"/>
      <c r="AQ960" s="77"/>
      <c r="AR960" s="77"/>
      <c r="AS960" s="77"/>
      <c r="AT960" s="77"/>
      <c r="AU960" s="77"/>
      <c r="AV960" s="77"/>
      <c r="AW960" s="77"/>
      <c r="AX960" s="77"/>
      <c r="AY960" s="77"/>
      <c r="AZ960" s="77"/>
      <c r="BA960" s="77"/>
      <c r="BB960" s="77"/>
      <c r="BC960" s="77"/>
      <c r="BD960" s="77"/>
      <c r="BE960" s="77"/>
    </row>
    <row r="961">
      <c r="A961" s="77"/>
      <c r="B961" s="77"/>
      <c r="C961" s="77"/>
      <c r="D961" s="77"/>
      <c r="E961" s="188"/>
      <c r="F961" s="188"/>
      <c r="G961" s="188"/>
      <c r="H961" s="188"/>
      <c r="I961" s="188"/>
      <c r="J961" s="77"/>
      <c r="K961" s="77"/>
      <c r="L961" s="77"/>
      <c r="M961" s="77"/>
      <c r="N961" s="77"/>
      <c r="O961" s="77"/>
      <c r="P961" s="77"/>
      <c r="Q961" s="77"/>
      <c r="R961" s="77"/>
      <c r="S961" s="77"/>
      <c r="T961" s="77"/>
      <c r="U961" s="77"/>
      <c r="V961" s="77"/>
      <c r="W961" s="77"/>
      <c r="X961" s="77"/>
      <c r="Y961" s="77"/>
      <c r="Z961" s="77"/>
      <c r="AA961" s="77"/>
      <c r="AB961" s="77"/>
      <c r="AC961" s="77"/>
      <c r="AD961" s="227"/>
      <c r="AE961" s="77"/>
      <c r="AF961" s="227"/>
      <c r="AG961" s="77"/>
      <c r="AH961" s="77"/>
      <c r="AI961" s="77"/>
      <c r="AJ961" s="77"/>
      <c r="AK961" s="77"/>
      <c r="AL961" s="77"/>
      <c r="AM961" s="77"/>
      <c r="AN961" s="77"/>
      <c r="AO961" s="77"/>
      <c r="AP961" s="77"/>
      <c r="AQ961" s="77"/>
      <c r="AR961" s="77"/>
      <c r="AS961" s="77"/>
      <c r="AT961" s="77"/>
      <c r="AU961" s="77"/>
      <c r="AV961" s="77"/>
      <c r="AW961" s="77"/>
      <c r="AX961" s="77"/>
      <c r="AY961" s="77"/>
      <c r="AZ961" s="77"/>
      <c r="BA961" s="77"/>
      <c r="BB961" s="77"/>
      <c r="BC961" s="77"/>
      <c r="BD961" s="77"/>
      <c r="BE961" s="77"/>
    </row>
    <row r="962">
      <c r="A962" s="77"/>
      <c r="B962" s="77"/>
      <c r="C962" s="77"/>
      <c r="D962" s="77"/>
      <c r="E962" s="188"/>
      <c r="F962" s="188"/>
      <c r="G962" s="188"/>
      <c r="H962" s="188"/>
      <c r="I962" s="188"/>
      <c r="J962" s="77"/>
      <c r="K962" s="77"/>
      <c r="L962" s="77"/>
      <c r="M962" s="77"/>
      <c r="N962" s="77"/>
      <c r="O962" s="77"/>
      <c r="P962" s="77"/>
      <c r="Q962" s="77"/>
      <c r="R962" s="77"/>
      <c r="S962" s="77"/>
      <c r="T962" s="77"/>
      <c r="U962" s="77"/>
      <c r="V962" s="77"/>
      <c r="W962" s="77"/>
      <c r="X962" s="77"/>
      <c r="Y962" s="77"/>
      <c r="Z962" s="77"/>
      <c r="AA962" s="77"/>
      <c r="AB962" s="77"/>
      <c r="AC962" s="77"/>
      <c r="AD962" s="227"/>
      <c r="AE962" s="77"/>
      <c r="AF962" s="227"/>
      <c r="AG962" s="77"/>
      <c r="AH962" s="77"/>
      <c r="AI962" s="77"/>
      <c r="AJ962" s="77"/>
      <c r="AK962" s="77"/>
      <c r="AL962" s="77"/>
      <c r="AM962" s="77"/>
      <c r="AN962" s="77"/>
      <c r="AO962" s="77"/>
      <c r="AP962" s="77"/>
      <c r="AQ962" s="77"/>
      <c r="AR962" s="77"/>
      <c r="AS962" s="77"/>
      <c r="AT962" s="77"/>
      <c r="AU962" s="77"/>
      <c r="AV962" s="77"/>
      <c r="AW962" s="77"/>
      <c r="AX962" s="77"/>
      <c r="AY962" s="77"/>
      <c r="AZ962" s="77"/>
      <c r="BA962" s="77"/>
      <c r="BB962" s="77"/>
      <c r="BC962" s="77"/>
      <c r="BD962" s="77"/>
      <c r="BE962" s="77"/>
    </row>
    <row r="963">
      <c r="A963" s="77"/>
      <c r="B963" s="77"/>
      <c r="C963" s="77"/>
      <c r="D963" s="77"/>
      <c r="E963" s="188"/>
      <c r="F963" s="188"/>
      <c r="G963" s="188"/>
      <c r="H963" s="188"/>
      <c r="I963" s="188"/>
      <c r="J963" s="77"/>
      <c r="K963" s="77"/>
      <c r="L963" s="77"/>
      <c r="M963" s="77"/>
      <c r="N963" s="77"/>
      <c r="O963" s="77"/>
      <c r="P963" s="77"/>
      <c r="Q963" s="77"/>
      <c r="R963" s="77"/>
      <c r="S963" s="77"/>
      <c r="T963" s="77"/>
      <c r="U963" s="77"/>
      <c r="V963" s="77"/>
      <c r="W963" s="77"/>
      <c r="X963" s="77"/>
      <c r="Y963" s="77"/>
      <c r="Z963" s="77"/>
      <c r="AA963" s="77"/>
      <c r="AB963" s="77"/>
      <c r="AC963" s="77"/>
      <c r="AD963" s="227"/>
      <c r="AE963" s="77"/>
      <c r="AF963" s="227"/>
      <c r="AG963" s="77"/>
      <c r="AH963" s="77"/>
      <c r="AI963" s="77"/>
      <c r="AJ963" s="77"/>
      <c r="AK963" s="77"/>
      <c r="AL963" s="77"/>
      <c r="AM963" s="77"/>
      <c r="AN963" s="77"/>
      <c r="AO963" s="77"/>
      <c r="AP963" s="77"/>
      <c r="AQ963" s="77"/>
      <c r="AR963" s="77"/>
      <c r="AS963" s="77"/>
      <c r="AT963" s="77"/>
      <c r="AU963" s="77"/>
      <c r="AV963" s="77"/>
      <c r="AW963" s="77"/>
      <c r="AX963" s="77"/>
      <c r="AY963" s="77"/>
      <c r="AZ963" s="77"/>
      <c r="BA963" s="77"/>
      <c r="BB963" s="77"/>
      <c r="BC963" s="77"/>
      <c r="BD963" s="77"/>
      <c r="BE963" s="77"/>
    </row>
    <row r="964">
      <c r="A964" s="77"/>
      <c r="B964" s="77"/>
      <c r="C964" s="77"/>
      <c r="D964" s="77"/>
      <c r="E964" s="188"/>
      <c r="F964" s="188"/>
      <c r="G964" s="188"/>
      <c r="H964" s="188"/>
      <c r="I964" s="188"/>
      <c r="J964" s="77"/>
      <c r="K964" s="77"/>
      <c r="L964" s="77"/>
      <c r="M964" s="77"/>
      <c r="N964" s="77"/>
      <c r="O964" s="77"/>
      <c r="P964" s="77"/>
      <c r="Q964" s="77"/>
      <c r="R964" s="77"/>
      <c r="S964" s="77"/>
      <c r="T964" s="77"/>
      <c r="U964" s="77"/>
      <c r="V964" s="77"/>
      <c r="W964" s="77"/>
      <c r="X964" s="77"/>
      <c r="Y964" s="77"/>
      <c r="Z964" s="77"/>
      <c r="AA964" s="77"/>
      <c r="AB964" s="77"/>
      <c r="AC964" s="77"/>
      <c r="AD964" s="227"/>
      <c r="AE964" s="77"/>
      <c r="AF964" s="227"/>
      <c r="AG964" s="77"/>
      <c r="AH964" s="77"/>
      <c r="AI964" s="77"/>
      <c r="AJ964" s="77"/>
      <c r="AK964" s="77"/>
      <c r="AL964" s="77"/>
      <c r="AM964" s="77"/>
      <c r="AN964" s="77"/>
      <c r="AO964" s="77"/>
      <c r="AP964" s="77"/>
      <c r="AQ964" s="77"/>
      <c r="AR964" s="77"/>
      <c r="AS964" s="77"/>
      <c r="AT964" s="77"/>
      <c r="AU964" s="77"/>
      <c r="AV964" s="77"/>
      <c r="AW964" s="77"/>
      <c r="AX964" s="77"/>
      <c r="AY964" s="77"/>
      <c r="AZ964" s="77"/>
      <c r="BA964" s="77"/>
      <c r="BB964" s="77"/>
      <c r="BC964" s="77"/>
      <c r="BD964" s="77"/>
      <c r="BE964" s="77"/>
    </row>
    <row r="965">
      <c r="A965" s="77"/>
      <c r="B965" s="77"/>
      <c r="C965" s="77"/>
      <c r="D965" s="77"/>
      <c r="E965" s="188"/>
      <c r="F965" s="188"/>
      <c r="G965" s="188"/>
      <c r="H965" s="188"/>
      <c r="I965" s="188"/>
      <c r="J965" s="77"/>
      <c r="K965" s="77"/>
      <c r="L965" s="77"/>
      <c r="M965" s="77"/>
      <c r="N965" s="77"/>
      <c r="O965" s="77"/>
      <c r="P965" s="77"/>
      <c r="Q965" s="77"/>
      <c r="R965" s="77"/>
      <c r="S965" s="77"/>
      <c r="T965" s="77"/>
      <c r="U965" s="77"/>
      <c r="V965" s="77"/>
      <c r="W965" s="77"/>
      <c r="X965" s="77"/>
      <c r="Y965" s="77"/>
      <c r="Z965" s="77"/>
      <c r="AA965" s="77"/>
      <c r="AB965" s="77"/>
      <c r="AC965" s="77"/>
      <c r="AD965" s="227"/>
      <c r="AE965" s="77"/>
      <c r="AF965" s="227"/>
      <c r="AG965" s="77"/>
      <c r="AH965" s="77"/>
      <c r="AI965" s="77"/>
      <c r="AJ965" s="77"/>
      <c r="AK965" s="77"/>
      <c r="AL965" s="77"/>
      <c r="AM965" s="77"/>
      <c r="AN965" s="77"/>
      <c r="AO965" s="77"/>
      <c r="AP965" s="77"/>
      <c r="AQ965" s="77"/>
      <c r="AR965" s="77"/>
      <c r="AS965" s="77"/>
      <c r="AT965" s="77"/>
      <c r="AU965" s="77"/>
      <c r="AV965" s="77"/>
      <c r="AW965" s="77"/>
      <c r="AX965" s="77"/>
      <c r="AY965" s="77"/>
      <c r="AZ965" s="77"/>
      <c r="BA965" s="77"/>
      <c r="BB965" s="77"/>
      <c r="BC965" s="77"/>
      <c r="BD965" s="77"/>
      <c r="BE965" s="77"/>
    </row>
    <row r="966">
      <c r="A966" s="77"/>
      <c r="B966" s="77"/>
      <c r="C966" s="77"/>
      <c r="D966" s="77"/>
      <c r="E966" s="188"/>
      <c r="F966" s="188"/>
      <c r="G966" s="188"/>
      <c r="H966" s="188"/>
      <c r="I966" s="188"/>
      <c r="J966" s="77"/>
      <c r="K966" s="77"/>
      <c r="L966" s="77"/>
      <c r="M966" s="77"/>
      <c r="N966" s="77"/>
      <c r="O966" s="77"/>
      <c r="P966" s="77"/>
      <c r="Q966" s="77"/>
      <c r="R966" s="77"/>
      <c r="S966" s="77"/>
      <c r="T966" s="77"/>
      <c r="U966" s="77"/>
      <c r="V966" s="77"/>
      <c r="W966" s="77"/>
      <c r="X966" s="77"/>
      <c r="Y966" s="77"/>
      <c r="Z966" s="77"/>
      <c r="AA966" s="77"/>
      <c r="AB966" s="77"/>
      <c r="AC966" s="77"/>
      <c r="AD966" s="227"/>
      <c r="AE966" s="77"/>
      <c r="AF966" s="227"/>
      <c r="AG966" s="77"/>
      <c r="AH966" s="77"/>
      <c r="AI966" s="77"/>
      <c r="AJ966" s="77"/>
      <c r="AK966" s="77"/>
      <c r="AL966" s="77"/>
      <c r="AM966" s="77"/>
      <c r="AN966" s="77"/>
      <c r="AO966" s="77"/>
      <c r="AP966" s="77"/>
      <c r="AQ966" s="77"/>
      <c r="AR966" s="77"/>
      <c r="AS966" s="77"/>
      <c r="AT966" s="77"/>
      <c r="AU966" s="77"/>
      <c r="AV966" s="77"/>
      <c r="AW966" s="77"/>
      <c r="AX966" s="77"/>
      <c r="AY966" s="77"/>
      <c r="AZ966" s="77"/>
      <c r="BA966" s="77"/>
      <c r="BB966" s="77"/>
      <c r="BC966" s="77"/>
      <c r="BD966" s="77"/>
      <c r="BE966" s="77"/>
    </row>
    <row r="967">
      <c r="A967" s="77"/>
      <c r="B967" s="77"/>
      <c r="C967" s="77"/>
      <c r="D967" s="77"/>
      <c r="E967" s="188"/>
      <c r="F967" s="188"/>
      <c r="G967" s="188"/>
      <c r="H967" s="188"/>
      <c r="I967" s="188"/>
      <c r="J967" s="77"/>
      <c r="K967" s="77"/>
      <c r="L967" s="77"/>
      <c r="M967" s="77"/>
      <c r="N967" s="77"/>
      <c r="O967" s="77"/>
      <c r="P967" s="77"/>
      <c r="Q967" s="77"/>
      <c r="R967" s="77"/>
      <c r="S967" s="77"/>
      <c r="T967" s="77"/>
      <c r="U967" s="77"/>
      <c r="V967" s="77"/>
      <c r="W967" s="77"/>
      <c r="X967" s="77"/>
      <c r="Y967" s="77"/>
      <c r="Z967" s="77"/>
      <c r="AA967" s="77"/>
      <c r="AB967" s="77"/>
      <c r="AC967" s="77"/>
      <c r="AD967" s="227"/>
      <c r="AE967" s="77"/>
      <c r="AF967" s="227"/>
      <c r="AG967" s="77"/>
      <c r="AH967" s="77"/>
      <c r="AI967" s="77"/>
      <c r="AJ967" s="77"/>
      <c r="AK967" s="77"/>
      <c r="AL967" s="77"/>
      <c r="AM967" s="77"/>
      <c r="AN967" s="77"/>
      <c r="AO967" s="77"/>
      <c r="AP967" s="77"/>
      <c r="AQ967" s="77"/>
      <c r="AR967" s="77"/>
      <c r="AS967" s="77"/>
      <c r="AT967" s="77"/>
      <c r="AU967" s="77"/>
      <c r="AV967" s="77"/>
      <c r="AW967" s="77"/>
      <c r="AX967" s="77"/>
      <c r="AY967" s="77"/>
      <c r="AZ967" s="77"/>
      <c r="BA967" s="77"/>
      <c r="BB967" s="77"/>
      <c r="BC967" s="77"/>
      <c r="BD967" s="77"/>
      <c r="BE967" s="77"/>
    </row>
    <row r="968">
      <c r="A968" s="77"/>
      <c r="B968" s="77"/>
      <c r="C968" s="77"/>
      <c r="D968" s="77"/>
      <c r="E968" s="188"/>
      <c r="F968" s="188"/>
      <c r="G968" s="188"/>
      <c r="H968" s="188"/>
      <c r="I968" s="188"/>
      <c r="J968" s="77"/>
      <c r="K968" s="77"/>
      <c r="L968" s="77"/>
      <c r="M968" s="77"/>
      <c r="N968" s="77"/>
      <c r="O968" s="77"/>
      <c r="P968" s="77"/>
      <c r="Q968" s="77"/>
      <c r="R968" s="77"/>
      <c r="S968" s="77"/>
      <c r="T968" s="77"/>
      <c r="U968" s="77"/>
      <c r="V968" s="77"/>
      <c r="W968" s="77"/>
      <c r="X968" s="77"/>
      <c r="Y968" s="77"/>
      <c r="Z968" s="77"/>
      <c r="AA968" s="77"/>
      <c r="AB968" s="77"/>
      <c r="AC968" s="77"/>
      <c r="AD968" s="227"/>
      <c r="AE968" s="77"/>
      <c r="AF968" s="227"/>
      <c r="AG968" s="77"/>
      <c r="AH968" s="77"/>
      <c r="AI968" s="77"/>
      <c r="AJ968" s="77"/>
      <c r="AK968" s="77"/>
      <c r="AL968" s="77"/>
      <c r="AM968" s="77"/>
      <c r="AN968" s="77"/>
      <c r="AO968" s="77"/>
      <c r="AP968" s="77"/>
      <c r="AQ968" s="77"/>
      <c r="AR968" s="77"/>
      <c r="AS968" s="77"/>
      <c r="AT968" s="77"/>
      <c r="AU968" s="77"/>
      <c r="AV968" s="77"/>
      <c r="AW968" s="77"/>
      <c r="AX968" s="77"/>
      <c r="AY968" s="77"/>
      <c r="AZ968" s="77"/>
      <c r="BA968" s="77"/>
      <c r="BB968" s="77"/>
      <c r="BC968" s="77"/>
      <c r="BD968" s="77"/>
      <c r="BE968" s="77"/>
    </row>
    <row r="969">
      <c r="A969" s="77"/>
      <c r="B969" s="77"/>
      <c r="C969" s="77"/>
      <c r="D969" s="77"/>
      <c r="E969" s="188"/>
      <c r="F969" s="188"/>
      <c r="G969" s="188"/>
      <c r="H969" s="188"/>
      <c r="I969" s="188"/>
      <c r="J969" s="77"/>
      <c r="K969" s="77"/>
      <c r="L969" s="77"/>
      <c r="M969" s="77"/>
      <c r="N969" s="77"/>
      <c r="O969" s="77"/>
      <c r="P969" s="77"/>
      <c r="Q969" s="77"/>
      <c r="R969" s="77"/>
      <c r="S969" s="77"/>
      <c r="T969" s="77"/>
      <c r="U969" s="77"/>
      <c r="V969" s="77"/>
      <c r="W969" s="77"/>
      <c r="X969" s="77"/>
      <c r="Y969" s="77"/>
      <c r="Z969" s="77"/>
      <c r="AA969" s="77"/>
      <c r="AB969" s="77"/>
      <c r="AC969" s="77"/>
      <c r="AD969" s="227"/>
      <c r="AE969" s="77"/>
      <c r="AF969" s="227"/>
      <c r="AG969" s="77"/>
      <c r="AH969" s="77"/>
      <c r="AI969" s="77"/>
      <c r="AJ969" s="77"/>
      <c r="AK969" s="77"/>
      <c r="AL969" s="77"/>
      <c r="AM969" s="77"/>
      <c r="AN969" s="77"/>
      <c r="AO969" s="77"/>
      <c r="AP969" s="77"/>
      <c r="AQ969" s="77"/>
      <c r="AR969" s="77"/>
      <c r="AS969" s="77"/>
      <c r="AT969" s="77"/>
      <c r="AU969" s="77"/>
      <c r="AV969" s="77"/>
      <c r="AW969" s="77"/>
      <c r="AX969" s="77"/>
      <c r="AY969" s="77"/>
      <c r="AZ969" s="77"/>
      <c r="BA969" s="77"/>
      <c r="BB969" s="77"/>
      <c r="BC969" s="77"/>
      <c r="BD969" s="77"/>
      <c r="BE969" s="77"/>
    </row>
    <row r="970">
      <c r="A970" s="77"/>
      <c r="B970" s="77"/>
      <c r="C970" s="77"/>
      <c r="D970" s="77"/>
      <c r="E970" s="188"/>
      <c r="F970" s="188"/>
      <c r="G970" s="188"/>
      <c r="H970" s="188"/>
      <c r="I970" s="188"/>
      <c r="J970" s="77"/>
      <c r="K970" s="77"/>
      <c r="L970" s="77"/>
      <c r="M970" s="77"/>
      <c r="N970" s="77"/>
      <c r="O970" s="77"/>
      <c r="P970" s="77"/>
      <c r="Q970" s="77"/>
      <c r="R970" s="77"/>
      <c r="S970" s="77"/>
      <c r="T970" s="77"/>
      <c r="U970" s="77"/>
      <c r="V970" s="77"/>
      <c r="W970" s="77"/>
      <c r="X970" s="77"/>
      <c r="Y970" s="77"/>
      <c r="Z970" s="77"/>
      <c r="AA970" s="77"/>
      <c r="AB970" s="77"/>
      <c r="AC970" s="77"/>
      <c r="AD970" s="227"/>
      <c r="AE970" s="77"/>
      <c r="AF970" s="227"/>
      <c r="AG970" s="77"/>
      <c r="AH970" s="77"/>
      <c r="AI970" s="77"/>
      <c r="AJ970" s="77"/>
      <c r="AK970" s="77"/>
      <c r="AL970" s="77"/>
      <c r="AM970" s="77"/>
      <c r="AN970" s="77"/>
      <c r="AO970" s="77"/>
      <c r="AP970" s="77"/>
      <c r="AQ970" s="77"/>
      <c r="AR970" s="77"/>
      <c r="AS970" s="77"/>
      <c r="AT970" s="77"/>
      <c r="AU970" s="77"/>
      <c r="AV970" s="77"/>
      <c r="AW970" s="77"/>
      <c r="AX970" s="77"/>
      <c r="AY970" s="77"/>
      <c r="AZ970" s="77"/>
      <c r="BA970" s="77"/>
      <c r="BB970" s="77"/>
      <c r="BC970" s="77"/>
      <c r="BD970" s="77"/>
      <c r="BE970" s="77"/>
    </row>
    <row r="971">
      <c r="A971" s="77"/>
      <c r="B971" s="77"/>
      <c r="C971" s="77"/>
      <c r="D971" s="77"/>
      <c r="E971" s="188"/>
      <c r="F971" s="188"/>
      <c r="G971" s="188"/>
      <c r="H971" s="188"/>
      <c r="I971" s="188"/>
      <c r="J971" s="77"/>
      <c r="K971" s="77"/>
      <c r="L971" s="77"/>
      <c r="M971" s="77"/>
      <c r="N971" s="77"/>
      <c r="O971" s="77"/>
      <c r="P971" s="77"/>
      <c r="Q971" s="77"/>
      <c r="R971" s="77"/>
      <c r="S971" s="77"/>
      <c r="T971" s="77"/>
      <c r="U971" s="77"/>
      <c r="V971" s="77"/>
      <c r="W971" s="77"/>
      <c r="X971" s="77"/>
      <c r="Y971" s="77"/>
      <c r="Z971" s="77"/>
      <c r="AA971" s="77"/>
      <c r="AB971" s="77"/>
      <c r="AC971" s="77"/>
      <c r="AD971" s="227"/>
      <c r="AE971" s="77"/>
      <c r="AF971" s="227"/>
      <c r="AG971" s="77"/>
      <c r="AH971" s="77"/>
      <c r="AI971" s="77"/>
      <c r="AJ971" s="77"/>
      <c r="AK971" s="77"/>
      <c r="AL971" s="77"/>
      <c r="AM971" s="77"/>
      <c r="AN971" s="77"/>
      <c r="AO971" s="77"/>
      <c r="AP971" s="77"/>
      <c r="AQ971" s="77"/>
      <c r="AR971" s="77"/>
      <c r="AS971" s="77"/>
      <c r="AT971" s="77"/>
      <c r="AU971" s="77"/>
      <c r="AV971" s="77"/>
      <c r="AW971" s="77"/>
      <c r="AX971" s="77"/>
      <c r="AY971" s="77"/>
      <c r="AZ971" s="77"/>
      <c r="BA971" s="77"/>
      <c r="BB971" s="77"/>
      <c r="BC971" s="77"/>
      <c r="BD971" s="77"/>
      <c r="BE971" s="77"/>
    </row>
    <row r="972">
      <c r="A972" s="77"/>
      <c r="B972" s="77"/>
      <c r="C972" s="77"/>
      <c r="D972" s="77"/>
      <c r="E972" s="188"/>
      <c r="F972" s="188"/>
      <c r="G972" s="188"/>
      <c r="H972" s="188"/>
      <c r="I972" s="188"/>
      <c r="J972" s="77"/>
      <c r="K972" s="77"/>
      <c r="L972" s="77"/>
      <c r="M972" s="77"/>
      <c r="N972" s="77"/>
      <c r="O972" s="77"/>
      <c r="P972" s="77"/>
      <c r="Q972" s="77"/>
      <c r="R972" s="77"/>
      <c r="S972" s="77"/>
      <c r="T972" s="77"/>
      <c r="U972" s="77"/>
      <c r="V972" s="77"/>
      <c r="W972" s="77"/>
      <c r="X972" s="77"/>
      <c r="Y972" s="77"/>
      <c r="Z972" s="77"/>
      <c r="AA972" s="77"/>
      <c r="AB972" s="77"/>
      <c r="AC972" s="77"/>
      <c r="AD972" s="227"/>
      <c r="AE972" s="77"/>
      <c r="AF972" s="227"/>
      <c r="AG972" s="77"/>
      <c r="AH972" s="77"/>
      <c r="AI972" s="77"/>
      <c r="AJ972" s="77"/>
      <c r="AK972" s="77"/>
      <c r="AL972" s="77"/>
      <c r="AM972" s="77"/>
      <c r="AN972" s="77"/>
      <c r="AO972" s="77"/>
      <c r="AP972" s="77"/>
      <c r="AQ972" s="77"/>
      <c r="AR972" s="77"/>
      <c r="AS972" s="77"/>
      <c r="AT972" s="77"/>
      <c r="AU972" s="77"/>
      <c r="AV972" s="77"/>
      <c r="AW972" s="77"/>
      <c r="AX972" s="77"/>
      <c r="AY972" s="77"/>
      <c r="AZ972" s="77"/>
      <c r="BA972" s="77"/>
      <c r="BB972" s="77"/>
      <c r="BC972" s="77"/>
      <c r="BD972" s="77"/>
      <c r="BE972" s="77"/>
    </row>
    <row r="973">
      <c r="A973" s="77"/>
      <c r="B973" s="77"/>
      <c r="C973" s="77"/>
      <c r="D973" s="77"/>
      <c r="E973" s="188"/>
      <c r="F973" s="188"/>
      <c r="G973" s="188"/>
      <c r="H973" s="188"/>
      <c r="I973" s="188"/>
      <c r="J973" s="77"/>
      <c r="K973" s="77"/>
      <c r="L973" s="77"/>
      <c r="M973" s="77"/>
      <c r="N973" s="77"/>
      <c r="O973" s="77"/>
      <c r="P973" s="77"/>
      <c r="Q973" s="77"/>
      <c r="R973" s="77"/>
      <c r="S973" s="77"/>
      <c r="T973" s="77"/>
      <c r="U973" s="77"/>
      <c r="V973" s="77"/>
      <c r="W973" s="77"/>
      <c r="X973" s="77"/>
      <c r="Y973" s="77"/>
      <c r="Z973" s="77"/>
      <c r="AA973" s="77"/>
      <c r="AB973" s="77"/>
      <c r="AC973" s="77"/>
      <c r="AD973" s="227"/>
      <c r="AE973" s="77"/>
      <c r="AF973" s="227"/>
      <c r="AG973" s="77"/>
      <c r="AH973" s="77"/>
      <c r="AI973" s="77"/>
      <c r="AJ973" s="77"/>
      <c r="AK973" s="77"/>
      <c r="AL973" s="77"/>
      <c r="AM973" s="77"/>
      <c r="AN973" s="77"/>
      <c r="AO973" s="77"/>
      <c r="AP973" s="77"/>
      <c r="AQ973" s="77"/>
      <c r="AR973" s="77"/>
      <c r="AS973" s="77"/>
      <c r="AT973" s="77"/>
      <c r="AU973" s="77"/>
      <c r="AV973" s="77"/>
      <c r="AW973" s="77"/>
      <c r="AX973" s="77"/>
      <c r="AY973" s="77"/>
      <c r="AZ973" s="77"/>
      <c r="BA973" s="77"/>
      <c r="BB973" s="77"/>
      <c r="BC973" s="77"/>
      <c r="BD973" s="77"/>
      <c r="BE973" s="77"/>
    </row>
    <row r="974">
      <c r="A974" s="77"/>
      <c r="B974" s="77"/>
      <c r="C974" s="77"/>
      <c r="D974" s="77"/>
      <c r="E974" s="188"/>
      <c r="F974" s="188"/>
      <c r="G974" s="188"/>
      <c r="H974" s="188"/>
      <c r="I974" s="188"/>
      <c r="J974" s="77"/>
      <c r="K974" s="77"/>
      <c r="L974" s="77"/>
      <c r="M974" s="77"/>
      <c r="N974" s="77"/>
      <c r="O974" s="77"/>
      <c r="P974" s="77"/>
      <c r="Q974" s="77"/>
      <c r="R974" s="77"/>
      <c r="S974" s="77"/>
      <c r="T974" s="77"/>
      <c r="U974" s="77"/>
      <c r="V974" s="77"/>
      <c r="W974" s="77"/>
      <c r="X974" s="77"/>
      <c r="Y974" s="77"/>
      <c r="Z974" s="77"/>
      <c r="AA974" s="77"/>
      <c r="AB974" s="77"/>
      <c r="AC974" s="77"/>
      <c r="AD974" s="227"/>
      <c r="AE974" s="77"/>
      <c r="AF974" s="227"/>
      <c r="AG974" s="77"/>
      <c r="AH974" s="77"/>
      <c r="AI974" s="77"/>
      <c r="AJ974" s="77"/>
      <c r="AK974" s="77"/>
      <c r="AL974" s="77"/>
      <c r="AM974" s="77"/>
      <c r="AN974" s="77"/>
      <c r="AO974" s="77"/>
      <c r="AP974" s="77"/>
      <c r="AQ974" s="77"/>
      <c r="AR974" s="77"/>
      <c r="AS974" s="77"/>
      <c r="AT974" s="77"/>
      <c r="AU974" s="77"/>
      <c r="AV974" s="77"/>
      <c r="AW974" s="77"/>
      <c r="AX974" s="77"/>
      <c r="AY974" s="77"/>
      <c r="AZ974" s="77"/>
      <c r="BA974" s="77"/>
      <c r="BB974" s="77"/>
      <c r="BC974" s="77"/>
      <c r="BD974" s="77"/>
      <c r="BE974" s="77"/>
    </row>
    <row r="975">
      <c r="A975" s="77"/>
      <c r="B975" s="77"/>
      <c r="C975" s="77"/>
      <c r="D975" s="77"/>
      <c r="E975" s="188"/>
      <c r="F975" s="188"/>
      <c r="G975" s="188"/>
      <c r="H975" s="188"/>
      <c r="I975" s="188"/>
      <c r="J975" s="77"/>
      <c r="K975" s="77"/>
      <c r="L975" s="77"/>
      <c r="M975" s="77"/>
      <c r="N975" s="77"/>
      <c r="O975" s="77"/>
      <c r="P975" s="77"/>
      <c r="Q975" s="77"/>
      <c r="R975" s="77"/>
      <c r="S975" s="77"/>
      <c r="T975" s="77"/>
      <c r="U975" s="77"/>
      <c r="V975" s="77"/>
      <c r="W975" s="77"/>
      <c r="X975" s="77"/>
      <c r="Y975" s="77"/>
      <c r="Z975" s="77"/>
      <c r="AA975" s="77"/>
      <c r="AB975" s="77"/>
      <c r="AC975" s="77"/>
      <c r="AD975" s="227"/>
      <c r="AE975" s="77"/>
      <c r="AF975" s="227"/>
      <c r="AG975" s="77"/>
      <c r="AH975" s="77"/>
      <c r="AI975" s="77"/>
      <c r="AJ975" s="77"/>
      <c r="AK975" s="77"/>
      <c r="AL975" s="77"/>
      <c r="AM975" s="77"/>
      <c r="AN975" s="77"/>
      <c r="AO975" s="77"/>
      <c r="AP975" s="77"/>
      <c r="AQ975" s="77"/>
      <c r="AR975" s="77"/>
      <c r="AS975" s="77"/>
      <c r="AT975" s="77"/>
      <c r="AU975" s="77"/>
      <c r="AV975" s="77"/>
      <c r="AW975" s="77"/>
      <c r="AX975" s="77"/>
      <c r="AY975" s="77"/>
      <c r="AZ975" s="77"/>
      <c r="BA975" s="77"/>
      <c r="BB975" s="77"/>
      <c r="BC975" s="77"/>
      <c r="BD975" s="77"/>
      <c r="BE975" s="77"/>
    </row>
    <row r="976">
      <c r="A976" s="77"/>
      <c r="B976" s="77"/>
      <c r="C976" s="77"/>
      <c r="D976" s="77"/>
      <c r="E976" s="188"/>
      <c r="F976" s="188"/>
      <c r="G976" s="188"/>
      <c r="H976" s="188"/>
      <c r="I976" s="188"/>
      <c r="J976" s="77"/>
      <c r="K976" s="77"/>
      <c r="L976" s="77"/>
      <c r="M976" s="77"/>
      <c r="N976" s="77"/>
      <c r="O976" s="77"/>
      <c r="P976" s="77"/>
      <c r="Q976" s="77"/>
      <c r="R976" s="77"/>
      <c r="S976" s="77"/>
      <c r="T976" s="77"/>
      <c r="U976" s="77"/>
      <c r="V976" s="77"/>
      <c r="W976" s="77"/>
      <c r="X976" s="77"/>
      <c r="Y976" s="77"/>
      <c r="Z976" s="77"/>
      <c r="AA976" s="77"/>
      <c r="AB976" s="77"/>
      <c r="AC976" s="77"/>
      <c r="AD976" s="227"/>
      <c r="AE976" s="77"/>
      <c r="AF976" s="227"/>
      <c r="AG976" s="77"/>
      <c r="AH976" s="77"/>
      <c r="AI976" s="77"/>
      <c r="AJ976" s="77"/>
      <c r="AK976" s="77"/>
      <c r="AL976" s="77"/>
      <c r="AM976" s="77"/>
      <c r="AN976" s="77"/>
      <c r="AO976" s="77"/>
      <c r="AP976" s="77"/>
      <c r="AQ976" s="77"/>
      <c r="AR976" s="77"/>
      <c r="AS976" s="77"/>
      <c r="AT976" s="77"/>
      <c r="AU976" s="77"/>
      <c r="AV976" s="77"/>
      <c r="AW976" s="77"/>
      <c r="AX976" s="77"/>
      <c r="AY976" s="77"/>
      <c r="AZ976" s="77"/>
      <c r="BA976" s="77"/>
      <c r="BB976" s="77"/>
      <c r="BC976" s="77"/>
      <c r="BD976" s="77"/>
      <c r="BE976" s="77"/>
    </row>
    <row r="977">
      <c r="A977" s="77"/>
      <c r="B977" s="77"/>
      <c r="C977" s="77"/>
      <c r="D977" s="77"/>
      <c r="E977" s="188"/>
      <c r="F977" s="188"/>
      <c r="G977" s="188"/>
      <c r="H977" s="188"/>
      <c r="I977" s="188"/>
      <c r="J977" s="77"/>
      <c r="K977" s="77"/>
      <c r="L977" s="77"/>
      <c r="M977" s="77"/>
      <c r="N977" s="77"/>
      <c r="O977" s="77"/>
      <c r="P977" s="77"/>
      <c r="Q977" s="77"/>
      <c r="R977" s="77"/>
      <c r="S977" s="77"/>
      <c r="T977" s="77"/>
      <c r="U977" s="77"/>
      <c r="V977" s="77"/>
      <c r="W977" s="77"/>
      <c r="X977" s="77"/>
      <c r="Y977" s="77"/>
      <c r="Z977" s="77"/>
      <c r="AA977" s="77"/>
      <c r="AB977" s="77"/>
      <c r="AC977" s="77"/>
      <c r="AD977" s="227"/>
      <c r="AE977" s="77"/>
      <c r="AF977" s="227"/>
      <c r="AG977" s="77"/>
      <c r="AH977" s="77"/>
      <c r="AI977" s="77"/>
      <c r="AJ977" s="77"/>
      <c r="AK977" s="77"/>
      <c r="AL977" s="77"/>
      <c r="AM977" s="77"/>
      <c r="AN977" s="77"/>
      <c r="AO977" s="77"/>
      <c r="AP977" s="77"/>
      <c r="AQ977" s="77"/>
      <c r="AR977" s="77"/>
      <c r="AS977" s="77"/>
      <c r="AT977" s="77"/>
      <c r="AU977" s="77"/>
      <c r="AV977" s="77"/>
      <c r="AW977" s="77"/>
      <c r="AX977" s="77"/>
      <c r="AY977" s="77"/>
      <c r="AZ977" s="77"/>
      <c r="BA977" s="77"/>
      <c r="BB977" s="77"/>
      <c r="BC977" s="77"/>
      <c r="BD977" s="77"/>
      <c r="BE977" s="77"/>
    </row>
    <row r="978">
      <c r="A978" s="77"/>
      <c r="B978" s="77"/>
      <c r="C978" s="77"/>
      <c r="D978" s="77"/>
      <c r="E978" s="188"/>
      <c r="F978" s="188"/>
      <c r="G978" s="188"/>
      <c r="H978" s="188"/>
      <c r="I978" s="188"/>
      <c r="J978" s="77"/>
      <c r="K978" s="77"/>
      <c r="L978" s="77"/>
      <c r="M978" s="77"/>
      <c r="N978" s="77"/>
      <c r="O978" s="77"/>
      <c r="P978" s="77"/>
      <c r="Q978" s="77"/>
      <c r="R978" s="77"/>
      <c r="S978" s="77"/>
      <c r="T978" s="77"/>
      <c r="U978" s="77"/>
      <c r="V978" s="77"/>
      <c r="W978" s="77"/>
      <c r="X978" s="77"/>
      <c r="Y978" s="77"/>
      <c r="Z978" s="77"/>
      <c r="AA978" s="77"/>
      <c r="AB978" s="77"/>
      <c r="AC978" s="77"/>
      <c r="AD978" s="227"/>
      <c r="AE978" s="77"/>
      <c r="AF978" s="227"/>
      <c r="AG978" s="77"/>
      <c r="AH978" s="77"/>
      <c r="AI978" s="77"/>
      <c r="AJ978" s="77"/>
      <c r="AK978" s="77"/>
      <c r="AL978" s="77"/>
      <c r="AM978" s="77"/>
      <c r="AN978" s="77"/>
      <c r="AO978" s="77"/>
      <c r="AP978" s="77"/>
      <c r="AQ978" s="77"/>
      <c r="AR978" s="77"/>
      <c r="AS978" s="77"/>
      <c r="AT978" s="77"/>
      <c r="AU978" s="77"/>
      <c r="AV978" s="77"/>
      <c r="AW978" s="77"/>
      <c r="AX978" s="77"/>
      <c r="AY978" s="77"/>
      <c r="AZ978" s="77"/>
      <c r="BA978" s="77"/>
      <c r="BB978" s="77"/>
      <c r="BC978" s="77"/>
      <c r="BD978" s="77"/>
      <c r="BE978" s="77"/>
    </row>
    <row r="979">
      <c r="A979" s="77"/>
      <c r="B979" s="77"/>
      <c r="C979" s="77"/>
      <c r="D979" s="77"/>
      <c r="E979" s="188"/>
      <c r="F979" s="188"/>
      <c r="G979" s="188"/>
      <c r="H979" s="188"/>
      <c r="I979" s="188"/>
      <c r="J979" s="77"/>
      <c r="K979" s="77"/>
      <c r="L979" s="77"/>
      <c r="M979" s="77"/>
      <c r="N979" s="77"/>
      <c r="O979" s="77"/>
      <c r="P979" s="77"/>
      <c r="Q979" s="77"/>
      <c r="R979" s="77"/>
      <c r="S979" s="77"/>
      <c r="T979" s="77"/>
      <c r="U979" s="77"/>
      <c r="V979" s="77"/>
      <c r="W979" s="77"/>
      <c r="X979" s="77"/>
      <c r="Y979" s="77"/>
      <c r="Z979" s="77"/>
      <c r="AA979" s="77"/>
      <c r="AB979" s="77"/>
      <c r="AC979" s="77"/>
      <c r="AD979" s="227"/>
      <c r="AE979" s="77"/>
      <c r="AF979" s="227"/>
      <c r="AG979" s="77"/>
      <c r="AH979" s="77"/>
      <c r="AI979" s="77"/>
      <c r="AJ979" s="77"/>
      <c r="AK979" s="77"/>
      <c r="AL979" s="77"/>
      <c r="AM979" s="77"/>
      <c r="AN979" s="77"/>
      <c r="AO979" s="77"/>
      <c r="AP979" s="77"/>
      <c r="AQ979" s="77"/>
      <c r="AR979" s="77"/>
      <c r="AS979" s="77"/>
      <c r="AT979" s="77"/>
      <c r="AU979" s="77"/>
      <c r="AV979" s="77"/>
      <c r="AW979" s="77"/>
      <c r="AX979" s="77"/>
      <c r="AY979" s="77"/>
      <c r="AZ979" s="77"/>
      <c r="BA979" s="77"/>
      <c r="BB979" s="77"/>
      <c r="BC979" s="77"/>
      <c r="BD979" s="77"/>
      <c r="BE979" s="77"/>
    </row>
    <row r="980">
      <c r="A980" s="77"/>
      <c r="B980" s="77"/>
      <c r="C980" s="77"/>
      <c r="D980" s="77"/>
      <c r="E980" s="188"/>
      <c r="F980" s="188"/>
      <c r="G980" s="188"/>
      <c r="H980" s="188"/>
      <c r="I980" s="188"/>
      <c r="J980" s="77"/>
      <c r="K980" s="77"/>
      <c r="L980" s="77"/>
      <c r="M980" s="77"/>
      <c r="N980" s="77"/>
      <c r="O980" s="77"/>
      <c r="P980" s="77"/>
      <c r="Q980" s="77"/>
      <c r="R980" s="77"/>
      <c r="S980" s="77"/>
      <c r="T980" s="77"/>
      <c r="U980" s="77"/>
      <c r="V980" s="77"/>
      <c r="W980" s="77"/>
      <c r="X980" s="77"/>
      <c r="Y980" s="77"/>
      <c r="Z980" s="77"/>
      <c r="AA980" s="77"/>
      <c r="AB980" s="77"/>
      <c r="AC980" s="77"/>
      <c r="AD980" s="227"/>
      <c r="AE980" s="77"/>
      <c r="AF980" s="227"/>
      <c r="AG980" s="77"/>
      <c r="AH980" s="77"/>
      <c r="AI980" s="77"/>
      <c r="AJ980" s="77"/>
      <c r="AK980" s="77"/>
      <c r="AL980" s="77"/>
      <c r="AM980" s="77"/>
      <c r="AN980" s="77"/>
      <c r="AO980" s="77"/>
      <c r="AP980" s="77"/>
      <c r="AQ980" s="77"/>
      <c r="AR980" s="77"/>
      <c r="AS980" s="77"/>
      <c r="AT980" s="77"/>
      <c r="AU980" s="77"/>
      <c r="AV980" s="77"/>
      <c r="AW980" s="77"/>
      <c r="AX980" s="77"/>
      <c r="AY980" s="77"/>
      <c r="AZ980" s="77"/>
      <c r="BA980" s="77"/>
      <c r="BB980" s="77"/>
      <c r="BC980" s="77"/>
      <c r="BD980" s="77"/>
      <c r="BE980" s="77"/>
    </row>
    <row r="981">
      <c r="A981" s="77"/>
      <c r="B981" s="77"/>
      <c r="C981" s="77"/>
      <c r="D981" s="77"/>
      <c r="E981" s="188"/>
      <c r="F981" s="188"/>
      <c r="G981" s="188"/>
      <c r="H981" s="188"/>
      <c r="I981" s="188"/>
      <c r="J981" s="77"/>
      <c r="K981" s="77"/>
      <c r="L981" s="77"/>
      <c r="M981" s="77"/>
      <c r="N981" s="77"/>
      <c r="O981" s="77"/>
      <c r="P981" s="77"/>
      <c r="Q981" s="77"/>
      <c r="R981" s="77"/>
      <c r="S981" s="77"/>
      <c r="T981" s="77"/>
      <c r="U981" s="77"/>
      <c r="V981" s="77"/>
      <c r="W981" s="77"/>
      <c r="X981" s="77"/>
      <c r="Y981" s="77"/>
      <c r="Z981" s="77"/>
      <c r="AA981" s="77"/>
      <c r="AB981" s="77"/>
      <c r="AC981" s="77"/>
      <c r="AD981" s="227"/>
      <c r="AE981" s="77"/>
      <c r="AF981" s="227"/>
      <c r="AG981" s="77"/>
      <c r="AH981" s="77"/>
      <c r="AI981" s="77"/>
      <c r="AJ981" s="77"/>
      <c r="AK981" s="77"/>
      <c r="AL981" s="77"/>
      <c r="AM981" s="77"/>
      <c r="AN981" s="77"/>
      <c r="AO981" s="77"/>
      <c r="AP981" s="77"/>
      <c r="AQ981" s="77"/>
      <c r="AR981" s="77"/>
      <c r="AS981" s="77"/>
      <c r="AT981" s="77"/>
      <c r="AU981" s="77"/>
      <c r="AV981" s="77"/>
      <c r="AW981" s="77"/>
      <c r="AX981" s="77"/>
      <c r="AY981" s="77"/>
      <c r="AZ981" s="77"/>
      <c r="BA981" s="77"/>
      <c r="BB981" s="77"/>
      <c r="BC981" s="77"/>
      <c r="BD981" s="77"/>
      <c r="BE981" s="77"/>
    </row>
    <row r="982">
      <c r="A982" s="77"/>
      <c r="B982" s="77"/>
      <c r="C982" s="77"/>
      <c r="D982" s="77"/>
      <c r="E982" s="188"/>
      <c r="F982" s="188"/>
      <c r="G982" s="188"/>
      <c r="H982" s="188"/>
      <c r="I982" s="188"/>
      <c r="J982" s="77"/>
      <c r="K982" s="77"/>
      <c r="L982" s="77"/>
      <c r="M982" s="77"/>
      <c r="N982" s="77"/>
      <c r="O982" s="77"/>
      <c r="P982" s="77"/>
      <c r="Q982" s="77"/>
      <c r="R982" s="77"/>
      <c r="S982" s="77"/>
      <c r="T982" s="77"/>
      <c r="U982" s="77"/>
      <c r="V982" s="77"/>
      <c r="W982" s="77"/>
      <c r="X982" s="77"/>
      <c r="Y982" s="77"/>
      <c r="Z982" s="77"/>
      <c r="AA982" s="77"/>
      <c r="AB982" s="77"/>
      <c r="AC982" s="77"/>
      <c r="AD982" s="227"/>
      <c r="AE982" s="77"/>
      <c r="AF982" s="227"/>
      <c r="AG982" s="77"/>
      <c r="AH982" s="77"/>
      <c r="AI982" s="77"/>
      <c r="AJ982" s="77"/>
      <c r="AK982" s="77"/>
      <c r="AL982" s="77"/>
      <c r="AM982" s="77"/>
      <c r="AN982" s="77"/>
      <c r="AO982" s="77"/>
      <c r="AP982" s="77"/>
      <c r="AQ982" s="77"/>
      <c r="AR982" s="77"/>
      <c r="AS982" s="77"/>
      <c r="AT982" s="77"/>
      <c r="AU982" s="77"/>
      <c r="AV982" s="77"/>
      <c r="AW982" s="77"/>
      <c r="AX982" s="77"/>
      <c r="AY982" s="77"/>
      <c r="AZ982" s="77"/>
      <c r="BA982" s="77"/>
      <c r="BB982" s="77"/>
      <c r="BC982" s="77"/>
      <c r="BD982" s="77"/>
      <c r="BE982" s="77"/>
    </row>
    <row r="983">
      <c r="A983" s="77"/>
      <c r="B983" s="77"/>
      <c r="C983" s="77"/>
      <c r="D983" s="77"/>
      <c r="E983" s="188"/>
      <c r="F983" s="188"/>
      <c r="G983" s="188"/>
      <c r="H983" s="188"/>
      <c r="I983" s="188"/>
      <c r="J983" s="77"/>
      <c r="K983" s="77"/>
      <c r="L983" s="77"/>
      <c r="M983" s="77"/>
      <c r="N983" s="77"/>
      <c r="O983" s="77"/>
      <c r="P983" s="77"/>
      <c r="Q983" s="77"/>
      <c r="R983" s="77"/>
      <c r="S983" s="77"/>
      <c r="T983" s="77"/>
      <c r="U983" s="77"/>
      <c r="V983" s="77"/>
      <c r="W983" s="77"/>
      <c r="X983" s="77"/>
      <c r="Y983" s="77"/>
      <c r="Z983" s="77"/>
      <c r="AA983" s="77"/>
      <c r="AB983" s="77"/>
      <c r="AC983" s="77"/>
      <c r="AD983" s="227"/>
      <c r="AE983" s="77"/>
      <c r="AF983" s="227"/>
      <c r="AG983" s="77"/>
      <c r="AH983" s="77"/>
      <c r="AI983" s="77"/>
      <c r="AJ983" s="77"/>
      <c r="AK983" s="77"/>
      <c r="AL983" s="77"/>
      <c r="AM983" s="77"/>
      <c r="AN983" s="77"/>
      <c r="AO983" s="77"/>
      <c r="AP983" s="77"/>
      <c r="AQ983" s="77"/>
      <c r="AR983" s="77"/>
      <c r="AS983" s="77"/>
      <c r="AT983" s="77"/>
      <c r="AU983" s="77"/>
      <c r="AV983" s="77"/>
      <c r="AW983" s="77"/>
      <c r="AX983" s="77"/>
      <c r="AY983" s="77"/>
      <c r="AZ983" s="77"/>
      <c r="BA983" s="77"/>
      <c r="BB983" s="77"/>
      <c r="BC983" s="77"/>
      <c r="BD983" s="77"/>
      <c r="BE983" s="77"/>
    </row>
    <row r="984">
      <c r="A984" s="77"/>
      <c r="B984" s="77"/>
      <c r="C984" s="77"/>
      <c r="D984" s="77"/>
      <c r="E984" s="188"/>
      <c r="F984" s="188"/>
      <c r="G984" s="188"/>
      <c r="H984" s="188"/>
      <c r="I984" s="188"/>
      <c r="J984" s="77"/>
      <c r="K984" s="77"/>
      <c r="L984" s="77"/>
      <c r="M984" s="77"/>
      <c r="N984" s="77"/>
      <c r="O984" s="77"/>
      <c r="P984" s="77"/>
      <c r="Q984" s="77"/>
      <c r="R984" s="77"/>
      <c r="S984" s="77"/>
      <c r="T984" s="77"/>
      <c r="U984" s="77"/>
      <c r="V984" s="77"/>
      <c r="W984" s="77"/>
      <c r="X984" s="77"/>
      <c r="Y984" s="77"/>
      <c r="Z984" s="77"/>
      <c r="AA984" s="77"/>
      <c r="AB984" s="77"/>
      <c r="AC984" s="77"/>
      <c r="AD984" s="227"/>
      <c r="AE984" s="77"/>
      <c r="AF984" s="227"/>
      <c r="AG984" s="77"/>
      <c r="AH984" s="77"/>
      <c r="AI984" s="77"/>
      <c r="AJ984" s="77"/>
      <c r="AK984" s="77"/>
      <c r="AL984" s="77"/>
      <c r="AM984" s="77"/>
      <c r="AN984" s="77"/>
      <c r="AO984" s="77"/>
      <c r="AP984" s="77"/>
      <c r="AQ984" s="77"/>
      <c r="AR984" s="77"/>
      <c r="AS984" s="77"/>
      <c r="AT984" s="77"/>
      <c r="AU984" s="77"/>
      <c r="AV984" s="77"/>
      <c r="AW984" s="77"/>
      <c r="AX984" s="77"/>
      <c r="AY984" s="77"/>
      <c r="AZ984" s="77"/>
      <c r="BA984" s="77"/>
      <c r="BB984" s="77"/>
      <c r="BC984" s="77"/>
      <c r="BD984" s="77"/>
      <c r="BE984" s="77"/>
    </row>
    <row r="985">
      <c r="A985" s="77"/>
      <c r="B985" s="77"/>
      <c r="C985" s="77"/>
      <c r="D985" s="77"/>
      <c r="E985" s="188"/>
      <c r="F985" s="188"/>
      <c r="G985" s="188"/>
      <c r="H985" s="188"/>
      <c r="I985" s="188"/>
      <c r="J985" s="77"/>
      <c r="K985" s="77"/>
      <c r="L985" s="77"/>
      <c r="M985" s="77"/>
      <c r="N985" s="77"/>
      <c r="O985" s="77"/>
      <c r="P985" s="77"/>
      <c r="Q985" s="77"/>
      <c r="R985" s="77"/>
      <c r="S985" s="77"/>
      <c r="T985" s="77"/>
      <c r="U985" s="77"/>
      <c r="V985" s="77"/>
      <c r="W985" s="77"/>
      <c r="X985" s="77"/>
      <c r="Y985" s="77"/>
      <c r="Z985" s="77"/>
      <c r="AA985" s="77"/>
      <c r="AB985" s="77"/>
      <c r="AC985" s="77"/>
      <c r="AD985" s="227"/>
      <c r="AE985" s="77"/>
      <c r="AF985" s="227"/>
      <c r="AG985" s="77"/>
      <c r="AH985" s="77"/>
      <c r="AI985" s="77"/>
      <c r="AJ985" s="77"/>
      <c r="AK985" s="77"/>
      <c r="AL985" s="77"/>
      <c r="AM985" s="77"/>
      <c r="AN985" s="77"/>
      <c r="AO985" s="77"/>
      <c r="AP985" s="77"/>
      <c r="AQ985" s="77"/>
      <c r="AR985" s="77"/>
      <c r="AS985" s="77"/>
      <c r="AT985" s="77"/>
      <c r="AU985" s="77"/>
      <c r="AV985" s="77"/>
      <c r="AW985" s="77"/>
      <c r="AX985" s="77"/>
      <c r="AY985" s="77"/>
      <c r="AZ985" s="77"/>
      <c r="BA985" s="77"/>
      <c r="BB985" s="77"/>
      <c r="BC985" s="77"/>
      <c r="BD985" s="77"/>
      <c r="BE985" s="77"/>
    </row>
    <row r="986">
      <c r="A986" s="77"/>
      <c r="B986" s="77"/>
      <c r="C986" s="77"/>
      <c r="D986" s="77"/>
      <c r="E986" s="188"/>
      <c r="F986" s="188"/>
      <c r="G986" s="188"/>
      <c r="H986" s="188"/>
      <c r="I986" s="188"/>
      <c r="J986" s="77"/>
      <c r="K986" s="77"/>
      <c r="L986" s="77"/>
      <c r="M986" s="77"/>
      <c r="N986" s="77"/>
      <c r="O986" s="77"/>
      <c r="P986" s="77"/>
      <c r="Q986" s="77"/>
      <c r="R986" s="77"/>
      <c r="S986" s="77"/>
      <c r="T986" s="77"/>
      <c r="U986" s="77"/>
      <c r="V986" s="77"/>
      <c r="W986" s="77"/>
      <c r="X986" s="77"/>
      <c r="Y986" s="77"/>
      <c r="Z986" s="77"/>
      <c r="AA986" s="77"/>
      <c r="AB986" s="77"/>
      <c r="AC986" s="77"/>
      <c r="AD986" s="227"/>
      <c r="AE986" s="77"/>
      <c r="AF986" s="227"/>
      <c r="AG986" s="77"/>
      <c r="AH986" s="77"/>
      <c r="AI986" s="77"/>
      <c r="AJ986" s="77"/>
      <c r="AK986" s="77"/>
      <c r="AL986" s="77"/>
      <c r="AM986" s="77"/>
      <c r="AN986" s="77"/>
      <c r="AO986" s="77"/>
      <c r="AP986" s="77"/>
      <c r="AQ986" s="77"/>
      <c r="AR986" s="77"/>
      <c r="AS986" s="77"/>
      <c r="AT986" s="77"/>
      <c r="AU986" s="77"/>
      <c r="AV986" s="77"/>
      <c r="AW986" s="77"/>
      <c r="AX986" s="77"/>
      <c r="AY986" s="77"/>
      <c r="AZ986" s="77"/>
      <c r="BA986" s="77"/>
      <c r="BB986" s="77"/>
      <c r="BC986" s="77"/>
      <c r="BD986" s="77"/>
      <c r="BE986" s="77"/>
    </row>
    <row r="987">
      <c r="A987" s="77"/>
      <c r="B987" s="77"/>
      <c r="C987" s="77"/>
      <c r="D987" s="77"/>
      <c r="E987" s="188"/>
      <c r="F987" s="188"/>
      <c r="G987" s="188"/>
      <c r="H987" s="188"/>
      <c r="I987" s="188"/>
      <c r="J987" s="77"/>
      <c r="K987" s="77"/>
      <c r="L987" s="77"/>
      <c r="M987" s="77"/>
      <c r="N987" s="77"/>
      <c r="O987" s="77"/>
      <c r="P987" s="77"/>
      <c r="Q987" s="77"/>
      <c r="R987" s="77"/>
      <c r="S987" s="77"/>
      <c r="T987" s="77"/>
      <c r="U987" s="77"/>
      <c r="V987" s="77"/>
      <c r="W987" s="77"/>
      <c r="X987" s="77"/>
      <c r="Y987" s="77"/>
      <c r="Z987" s="77"/>
      <c r="AA987" s="77"/>
      <c r="AB987" s="77"/>
      <c r="AC987" s="77"/>
      <c r="AD987" s="227"/>
      <c r="AE987" s="77"/>
      <c r="AF987" s="227"/>
      <c r="AG987" s="77"/>
      <c r="AH987" s="77"/>
      <c r="AI987" s="77"/>
      <c r="AJ987" s="77"/>
      <c r="AK987" s="77"/>
      <c r="AL987" s="77"/>
      <c r="AM987" s="77"/>
      <c r="AN987" s="77"/>
      <c r="AO987" s="77"/>
      <c r="AP987" s="77"/>
      <c r="AQ987" s="77"/>
      <c r="AR987" s="77"/>
      <c r="AS987" s="77"/>
      <c r="AT987" s="77"/>
      <c r="AU987" s="77"/>
      <c r="AV987" s="77"/>
      <c r="AW987" s="77"/>
      <c r="AX987" s="77"/>
      <c r="AY987" s="77"/>
      <c r="AZ987" s="77"/>
      <c r="BA987" s="77"/>
      <c r="BB987" s="77"/>
      <c r="BC987" s="77"/>
      <c r="BD987" s="77"/>
      <c r="BE987" s="77"/>
    </row>
    <row r="988">
      <c r="A988" s="77"/>
      <c r="B988" s="77"/>
      <c r="C988" s="77"/>
      <c r="D988" s="77"/>
      <c r="E988" s="188"/>
      <c r="F988" s="188"/>
      <c r="G988" s="188"/>
      <c r="H988" s="188"/>
      <c r="I988" s="188"/>
      <c r="J988" s="77"/>
      <c r="K988" s="77"/>
      <c r="L988" s="77"/>
      <c r="M988" s="77"/>
      <c r="N988" s="77"/>
      <c r="O988" s="77"/>
      <c r="P988" s="77"/>
      <c r="Q988" s="77"/>
      <c r="R988" s="77"/>
      <c r="S988" s="77"/>
      <c r="T988" s="77"/>
      <c r="U988" s="77"/>
      <c r="V988" s="77"/>
      <c r="W988" s="77"/>
      <c r="X988" s="77"/>
      <c r="Y988" s="77"/>
      <c r="Z988" s="77"/>
      <c r="AA988" s="77"/>
      <c r="AB988" s="77"/>
      <c r="AC988" s="77"/>
      <c r="AD988" s="227"/>
      <c r="AE988" s="77"/>
      <c r="AF988" s="227"/>
      <c r="AG988" s="77"/>
      <c r="AH988" s="77"/>
      <c r="AI988" s="77"/>
      <c r="AJ988" s="77"/>
      <c r="AK988" s="77"/>
      <c r="AL988" s="77"/>
      <c r="AM988" s="77"/>
      <c r="AN988" s="77"/>
      <c r="AO988" s="77"/>
      <c r="AP988" s="77"/>
      <c r="AQ988" s="77"/>
      <c r="AR988" s="77"/>
      <c r="AS988" s="77"/>
      <c r="AT988" s="77"/>
      <c r="AU988" s="77"/>
      <c r="AV988" s="77"/>
      <c r="AW988" s="77"/>
      <c r="AX988" s="77"/>
      <c r="AY988" s="77"/>
      <c r="AZ988" s="77"/>
      <c r="BA988" s="77"/>
      <c r="BB988" s="77"/>
      <c r="BC988" s="77"/>
      <c r="BD988" s="77"/>
      <c r="BE988" s="77"/>
    </row>
    <row r="989">
      <c r="A989" s="77"/>
      <c r="B989" s="77"/>
      <c r="C989" s="77"/>
      <c r="D989" s="77"/>
      <c r="E989" s="188"/>
      <c r="F989" s="188"/>
      <c r="G989" s="188"/>
      <c r="H989" s="188"/>
      <c r="I989" s="188"/>
      <c r="J989" s="77"/>
      <c r="K989" s="77"/>
      <c r="L989" s="77"/>
      <c r="M989" s="77"/>
      <c r="N989" s="77"/>
      <c r="O989" s="77"/>
      <c r="P989" s="77"/>
      <c r="Q989" s="77"/>
      <c r="R989" s="77"/>
      <c r="S989" s="77"/>
      <c r="T989" s="77"/>
      <c r="U989" s="77"/>
      <c r="V989" s="77"/>
      <c r="W989" s="77"/>
      <c r="X989" s="77"/>
      <c r="Y989" s="77"/>
      <c r="Z989" s="77"/>
      <c r="AA989" s="77"/>
      <c r="AB989" s="77"/>
      <c r="AC989" s="77"/>
      <c r="AD989" s="227"/>
      <c r="AE989" s="77"/>
      <c r="AF989" s="227"/>
      <c r="AG989" s="77"/>
      <c r="AH989" s="77"/>
      <c r="AI989" s="77"/>
      <c r="AJ989" s="77"/>
      <c r="AK989" s="77"/>
      <c r="AL989" s="77"/>
      <c r="AM989" s="77"/>
      <c r="AN989" s="77"/>
      <c r="AO989" s="77"/>
      <c r="AP989" s="77"/>
      <c r="AQ989" s="77"/>
      <c r="AR989" s="77"/>
      <c r="AS989" s="77"/>
      <c r="AT989" s="77"/>
      <c r="AU989" s="77"/>
      <c r="AV989" s="77"/>
      <c r="AW989" s="77"/>
      <c r="AX989" s="77"/>
      <c r="AY989" s="77"/>
      <c r="AZ989" s="77"/>
      <c r="BA989" s="77"/>
      <c r="BB989" s="77"/>
      <c r="BC989" s="77"/>
      <c r="BD989" s="77"/>
      <c r="BE989" s="77"/>
    </row>
  </sheetData>
  <dataValidations>
    <dataValidation type="list" allowBlank="1" showErrorMessage="1" sqref="AA3:AA246 AA248:AA374 AA379">
      <formula1>"10.89.19.210,20.42.15.149,20.42.15.139,20.42.17.120,20.42.13,20.42.17,20.42.15.120,20.42.15.133,10.92.10.219,17.22.12.120,20.42.19.190 ,32.50.13.190,20.42.19.145,10.92.10.111,20.42.19.140,10.92.10.112,21.10.60.194,10.89.19.150,20.42.15.190,20.42.15.141,21"&amp;".20.20,20.42.14 ,20.42.19 ,20.42.13 ,20.42.15,20.42.15.130,20.42.15.130ё,20.42.19.110,20.42.15.142,20.42.15.140,20.42.25.130,20.42.15.150"</formula1>
    </dataValidation>
    <dataValidation type="list" allowBlank="1" showErrorMessage="1" sqref="Y3:Y246 Y248:Y374 Y379">
      <formula1>"4660417421780,4660417421742,4660417421773,4630446234156,4630205142852,4660417421636,2042608334598,2042827589663,4683857637894,4660417421629,4660417421827,4630446231421"</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s>
  <sheetData>
    <row r="1">
      <c r="A1" s="234"/>
      <c r="B1" s="234"/>
    </row>
    <row r="2">
      <c r="A2" s="234"/>
      <c r="B2" s="62" t="s">
        <v>6623</v>
      </c>
    </row>
    <row r="3">
      <c r="A3" s="235" t="s">
        <v>63</v>
      </c>
      <c r="B3" s="236" t="s">
        <v>6624</v>
      </c>
      <c r="C3" s="62" t="s">
        <v>6625</v>
      </c>
    </row>
    <row r="4">
      <c r="A4" s="234" t="s">
        <v>117</v>
      </c>
      <c r="B4" s="234"/>
    </row>
    <row r="5">
      <c r="A5" s="234" t="s">
        <v>147</v>
      </c>
      <c r="B5" s="234"/>
    </row>
    <row r="6">
      <c r="A6" s="234" t="s">
        <v>170</v>
      </c>
      <c r="B6" s="234"/>
    </row>
    <row r="7">
      <c r="A7" s="234" t="s">
        <v>186</v>
      </c>
      <c r="B7" s="237" t="s">
        <v>187</v>
      </c>
      <c r="C7" s="62" t="s">
        <v>188</v>
      </c>
    </row>
    <row r="8">
      <c r="A8" s="234" t="s">
        <v>196</v>
      </c>
      <c r="B8" s="234"/>
    </row>
    <row r="9">
      <c r="A9" s="234" t="s">
        <v>212</v>
      </c>
      <c r="B9" s="234"/>
    </row>
    <row r="10">
      <c r="A10" s="234" t="s">
        <v>227</v>
      </c>
      <c r="B10" s="234"/>
    </row>
    <row r="11">
      <c r="A11" s="234" t="s">
        <v>252</v>
      </c>
      <c r="B11" s="234"/>
    </row>
    <row r="12">
      <c r="A12" s="234" t="s">
        <v>264</v>
      </c>
      <c r="B12" s="234"/>
    </row>
    <row r="13">
      <c r="A13" s="234" t="s">
        <v>282</v>
      </c>
      <c r="B13" s="234"/>
      <c r="C13" s="62" t="s">
        <v>284</v>
      </c>
    </row>
    <row r="14">
      <c r="A14" s="234" t="s">
        <v>311</v>
      </c>
      <c r="B14" s="234"/>
      <c r="C14" s="62" t="s">
        <v>284</v>
      </c>
    </row>
    <row r="15">
      <c r="A15" s="234" t="s">
        <v>338</v>
      </c>
      <c r="B15" s="237"/>
      <c r="C15" s="62" t="s">
        <v>339</v>
      </c>
    </row>
    <row r="16">
      <c r="A16" s="234" t="s">
        <v>357</v>
      </c>
      <c r="B16" s="237" t="s">
        <v>358</v>
      </c>
      <c r="C16" s="62" t="s">
        <v>359</v>
      </c>
    </row>
    <row r="17">
      <c r="A17" s="234" t="s">
        <v>385</v>
      </c>
      <c r="B17" s="237" t="s">
        <v>187</v>
      </c>
    </row>
    <row r="18">
      <c r="A18" s="234" t="s">
        <v>402</v>
      </c>
      <c r="B18" s="237" t="s">
        <v>358</v>
      </c>
      <c r="C18" s="62" t="s">
        <v>403</v>
      </c>
    </row>
    <row r="19">
      <c r="A19" s="234" t="s">
        <v>425</v>
      </c>
      <c r="B19" s="237" t="s">
        <v>358</v>
      </c>
      <c r="C19" s="62" t="s">
        <v>359</v>
      </c>
    </row>
    <row r="20">
      <c r="A20" s="234" t="s">
        <v>441</v>
      </c>
      <c r="B20" s="234"/>
    </row>
    <row r="21">
      <c r="A21" s="234" t="s">
        <v>460</v>
      </c>
      <c r="B21" s="237" t="s">
        <v>187</v>
      </c>
    </row>
    <row r="22">
      <c r="A22" s="234" t="s">
        <v>474</v>
      </c>
      <c r="B22" s="234"/>
    </row>
    <row r="23">
      <c r="A23" s="234" t="s">
        <v>497</v>
      </c>
      <c r="B23" s="234"/>
    </row>
    <row r="24">
      <c r="A24" s="234" t="s">
        <v>520</v>
      </c>
      <c r="B24" s="237" t="s">
        <v>187</v>
      </c>
      <c r="C24" s="62" t="s">
        <v>521</v>
      </c>
    </row>
    <row r="25">
      <c r="A25" s="234" t="s">
        <v>534</v>
      </c>
      <c r="B25" s="237" t="s">
        <v>187</v>
      </c>
      <c r="C25" s="62" t="s">
        <v>535</v>
      </c>
    </row>
    <row r="26">
      <c r="A26" s="234" t="s">
        <v>547</v>
      </c>
      <c r="B26" s="237" t="s">
        <v>187</v>
      </c>
      <c r="C26" s="62" t="s">
        <v>535</v>
      </c>
    </row>
    <row r="27">
      <c r="A27" s="234" t="s">
        <v>563</v>
      </c>
      <c r="B27" s="234"/>
    </row>
    <row r="28">
      <c r="A28" s="234" t="s">
        <v>582</v>
      </c>
      <c r="B28" s="234"/>
    </row>
    <row r="29">
      <c r="A29" s="234" t="s">
        <v>606</v>
      </c>
      <c r="B29" s="234"/>
    </row>
    <row r="30">
      <c r="A30" s="234" t="s">
        <v>626</v>
      </c>
      <c r="B30" s="234"/>
    </row>
    <row r="31">
      <c r="A31" s="234" t="s">
        <v>639</v>
      </c>
      <c r="B31" s="234"/>
      <c r="C31" s="62" t="s">
        <v>359</v>
      </c>
    </row>
    <row r="32">
      <c r="A32" s="234" t="s">
        <v>659</v>
      </c>
      <c r="B32" s="234"/>
      <c r="C32" s="62" t="s">
        <v>660</v>
      </c>
    </row>
    <row r="33">
      <c r="A33" s="234" t="s">
        <v>680</v>
      </c>
      <c r="B33" s="234"/>
    </row>
    <row r="34">
      <c r="A34" s="234" t="s">
        <v>697</v>
      </c>
      <c r="B34" s="234"/>
    </row>
    <row r="35">
      <c r="A35" s="234" t="s">
        <v>714</v>
      </c>
      <c r="B35" s="234"/>
    </row>
    <row r="36">
      <c r="A36" s="234" t="s">
        <v>729</v>
      </c>
      <c r="B36" s="234"/>
    </row>
    <row r="37">
      <c r="A37" s="234" t="s">
        <v>740</v>
      </c>
      <c r="B37" s="234"/>
    </row>
    <row r="38">
      <c r="A38" s="234" t="s">
        <v>750</v>
      </c>
      <c r="B38" s="237"/>
      <c r="C38" s="62" t="s">
        <v>751</v>
      </c>
    </row>
    <row r="39">
      <c r="A39" s="234" t="s">
        <v>768</v>
      </c>
      <c r="B39" s="234"/>
    </row>
    <row r="40">
      <c r="A40" s="234" t="s">
        <v>788</v>
      </c>
      <c r="B40" s="237"/>
    </row>
    <row r="41">
      <c r="A41" s="234" t="s">
        <v>806</v>
      </c>
      <c r="B41" s="237" t="s">
        <v>187</v>
      </c>
      <c r="C41" s="62" t="s">
        <v>807</v>
      </c>
    </row>
    <row r="42">
      <c r="A42" s="234" t="s">
        <v>819</v>
      </c>
      <c r="B42" s="237"/>
      <c r="C42" s="62" t="s">
        <v>751</v>
      </c>
    </row>
    <row r="43">
      <c r="A43" s="234" t="s">
        <v>834</v>
      </c>
      <c r="B43" s="234"/>
      <c r="C43" s="62" t="s">
        <v>835</v>
      </c>
    </row>
    <row r="44">
      <c r="A44" s="234" t="s">
        <v>852</v>
      </c>
      <c r="B44" s="237" t="s">
        <v>853</v>
      </c>
      <c r="C44" s="62" t="s">
        <v>854</v>
      </c>
    </row>
    <row r="45">
      <c r="A45" s="234" t="s">
        <v>870</v>
      </c>
      <c r="B45" s="234"/>
    </row>
    <row r="46">
      <c r="A46" s="234" t="s">
        <v>884</v>
      </c>
      <c r="B46" s="237"/>
      <c r="C46" s="62" t="s">
        <v>751</v>
      </c>
    </row>
    <row r="47">
      <c r="A47" s="234" t="s">
        <v>903</v>
      </c>
      <c r="B47" s="237"/>
      <c r="C47" s="62" t="s">
        <v>751</v>
      </c>
    </row>
    <row r="48">
      <c r="A48" s="234" t="s">
        <v>922</v>
      </c>
      <c r="B48" s="237" t="s">
        <v>187</v>
      </c>
      <c r="C48" s="62" t="s">
        <v>923</v>
      </c>
    </row>
    <row r="49">
      <c r="A49" s="234" t="s">
        <v>934</v>
      </c>
      <c r="B49" s="234"/>
    </row>
    <row r="50">
      <c r="A50" s="234" t="s">
        <v>950</v>
      </c>
      <c r="B50" s="237" t="s">
        <v>187</v>
      </c>
      <c r="C50" s="62" t="s">
        <v>951</v>
      </c>
    </row>
    <row r="51">
      <c r="A51" s="234" t="s">
        <v>970</v>
      </c>
      <c r="B51" s="237" t="s">
        <v>187</v>
      </c>
      <c r="C51" s="62" t="s">
        <v>971</v>
      </c>
    </row>
    <row r="52">
      <c r="A52" s="234" t="s">
        <v>991</v>
      </c>
      <c r="B52" s="237" t="s">
        <v>187</v>
      </c>
      <c r="C52" s="62" t="s">
        <v>992</v>
      </c>
    </row>
    <row r="53">
      <c r="A53" s="234" t="s">
        <v>1007</v>
      </c>
      <c r="B53" s="234"/>
    </row>
    <row r="54">
      <c r="A54" s="234" t="s">
        <v>1025</v>
      </c>
      <c r="B54" s="234"/>
    </row>
    <row r="55">
      <c r="A55" s="234" t="s">
        <v>1045</v>
      </c>
      <c r="B55" s="234"/>
      <c r="C55" s="62" t="s">
        <v>1046</v>
      </c>
    </row>
    <row r="56">
      <c r="A56" s="234" t="s">
        <v>1063</v>
      </c>
      <c r="B56" s="237" t="s">
        <v>187</v>
      </c>
      <c r="C56" s="62" t="s">
        <v>1064</v>
      </c>
    </row>
    <row r="57">
      <c r="A57" s="234" t="s">
        <v>1083</v>
      </c>
      <c r="B57" s="234"/>
    </row>
    <row r="58">
      <c r="A58" s="234" t="s">
        <v>1100</v>
      </c>
      <c r="B58" s="234"/>
    </row>
    <row r="59">
      <c r="A59" s="234" t="s">
        <v>1120</v>
      </c>
      <c r="B59" s="234"/>
    </row>
    <row r="60">
      <c r="A60" s="234" t="s">
        <v>1139</v>
      </c>
      <c r="B60" s="234"/>
      <c r="C60" s="62" t="s">
        <v>1140</v>
      </c>
    </row>
    <row r="61">
      <c r="A61" s="234" t="s">
        <v>1155</v>
      </c>
      <c r="B61" s="237" t="s">
        <v>853</v>
      </c>
    </row>
    <row r="62">
      <c r="A62" s="234" t="s">
        <v>1171</v>
      </c>
      <c r="B62" s="234"/>
      <c r="C62" s="62" t="s">
        <v>1172</v>
      </c>
    </row>
    <row r="63">
      <c r="A63" s="234" t="s">
        <v>1188</v>
      </c>
      <c r="B63" s="237"/>
    </row>
    <row r="64">
      <c r="A64" s="234" t="s">
        <v>1203</v>
      </c>
      <c r="B64" s="234"/>
    </row>
    <row r="65">
      <c r="A65" s="234" t="s">
        <v>1220</v>
      </c>
      <c r="B65" s="237" t="s">
        <v>187</v>
      </c>
      <c r="C65" s="62" t="s">
        <v>992</v>
      </c>
    </row>
    <row r="66">
      <c r="A66" s="234" t="s">
        <v>1235</v>
      </c>
      <c r="B66" s="234"/>
    </row>
    <row r="67">
      <c r="A67" s="234" t="s">
        <v>1253</v>
      </c>
      <c r="B67" s="234"/>
    </row>
    <row r="68">
      <c r="A68" s="234" t="s">
        <v>1270</v>
      </c>
      <c r="B68" s="237" t="s">
        <v>187</v>
      </c>
    </row>
    <row r="69">
      <c r="A69" s="234" t="s">
        <v>1284</v>
      </c>
      <c r="B69" s="237" t="s">
        <v>187</v>
      </c>
    </row>
    <row r="70">
      <c r="A70" s="234" t="s">
        <v>1292</v>
      </c>
      <c r="B70" s="237" t="s">
        <v>187</v>
      </c>
    </row>
    <row r="71">
      <c r="A71" s="234" t="s">
        <v>1307</v>
      </c>
      <c r="B71" s="237" t="s">
        <v>187</v>
      </c>
    </row>
    <row r="72">
      <c r="A72" s="234" t="s">
        <v>1314</v>
      </c>
      <c r="B72" s="237" t="s">
        <v>187</v>
      </c>
    </row>
    <row r="73">
      <c r="A73" s="234" t="s">
        <v>1331</v>
      </c>
      <c r="B73" s="237" t="s">
        <v>187</v>
      </c>
    </row>
    <row r="74">
      <c r="A74" s="234" t="s">
        <v>1341</v>
      </c>
      <c r="B74" s="237" t="s">
        <v>187</v>
      </c>
    </row>
    <row r="75">
      <c r="A75" s="234" t="s">
        <v>1351</v>
      </c>
      <c r="B75" s="237"/>
      <c r="C75" s="62" t="s">
        <v>1352</v>
      </c>
    </row>
    <row r="76">
      <c r="A76" s="234" t="s">
        <v>1373</v>
      </c>
      <c r="B76" s="237"/>
      <c r="C76" s="62" t="s">
        <v>1352</v>
      </c>
    </row>
    <row r="77">
      <c r="A77" s="234" t="s">
        <v>1384</v>
      </c>
      <c r="B77" s="237"/>
      <c r="C77" s="62" t="s">
        <v>1352</v>
      </c>
    </row>
    <row r="78">
      <c r="A78" s="234" t="s">
        <v>1400</v>
      </c>
      <c r="B78" s="237"/>
      <c r="C78" s="62" t="s">
        <v>1352</v>
      </c>
    </row>
    <row r="79">
      <c r="A79" s="234" t="s">
        <v>1411</v>
      </c>
      <c r="B79" s="234"/>
    </row>
    <row r="80">
      <c r="A80" s="234" t="s">
        <v>1435</v>
      </c>
      <c r="B80" s="234"/>
    </row>
    <row r="81">
      <c r="A81" s="234" t="s">
        <v>1455</v>
      </c>
      <c r="B81" s="234"/>
    </row>
    <row r="82">
      <c r="A82" s="234" t="s">
        <v>1474</v>
      </c>
      <c r="B82" s="234"/>
    </row>
    <row r="83">
      <c r="A83" s="234" t="s">
        <v>1502</v>
      </c>
      <c r="B83" s="234"/>
    </row>
    <row r="84">
      <c r="A84" s="234" t="s">
        <v>1514</v>
      </c>
      <c r="B84" s="234"/>
    </row>
    <row r="85">
      <c r="A85" s="234" t="s">
        <v>1527</v>
      </c>
      <c r="B85" s="234"/>
    </row>
    <row r="86">
      <c r="A86" s="234" t="s">
        <v>1547</v>
      </c>
      <c r="B86" s="237" t="s">
        <v>187</v>
      </c>
      <c r="C86" s="62" t="s">
        <v>188</v>
      </c>
    </row>
    <row r="87">
      <c r="A87" s="234" t="s">
        <v>1555</v>
      </c>
      <c r="B87" s="234"/>
    </row>
    <row r="88">
      <c r="A88" s="234" t="s">
        <v>1574</v>
      </c>
      <c r="B88" s="237" t="s">
        <v>187</v>
      </c>
      <c r="C88" s="62" t="s">
        <v>992</v>
      </c>
    </row>
    <row r="89">
      <c r="A89" s="234" t="s">
        <v>1590</v>
      </c>
      <c r="B89" s="237" t="s">
        <v>187</v>
      </c>
      <c r="C89" s="62" t="s">
        <v>992</v>
      </c>
    </row>
    <row r="90">
      <c r="A90" s="234" t="s">
        <v>1606</v>
      </c>
      <c r="B90" s="234"/>
    </row>
    <row r="91">
      <c r="A91" s="234" t="s">
        <v>1628</v>
      </c>
      <c r="B91" s="234"/>
    </row>
    <row r="92">
      <c r="A92" s="234" t="s">
        <v>1655</v>
      </c>
      <c r="B92" s="237" t="s">
        <v>187</v>
      </c>
      <c r="C92" s="62" t="s">
        <v>1656</v>
      </c>
    </row>
    <row r="93">
      <c r="A93" s="234" t="s">
        <v>1667</v>
      </c>
      <c r="B93" s="234"/>
    </row>
    <row r="94">
      <c r="A94" s="234" t="s">
        <v>1683</v>
      </c>
      <c r="B94" s="234"/>
    </row>
    <row r="95">
      <c r="A95" s="234" t="s">
        <v>1703</v>
      </c>
      <c r="B95" s="237" t="s">
        <v>187</v>
      </c>
      <c r="C95" s="62" t="s">
        <v>188</v>
      </c>
    </row>
    <row r="96">
      <c r="A96" s="234" t="s">
        <v>1716</v>
      </c>
      <c r="B96" s="234"/>
    </row>
    <row r="97">
      <c r="A97" s="234" t="s">
        <v>1736</v>
      </c>
      <c r="B97" s="237" t="s">
        <v>187</v>
      </c>
    </row>
    <row r="98">
      <c r="A98" s="234" t="s">
        <v>1754</v>
      </c>
      <c r="B98" s="237"/>
    </row>
    <row r="99">
      <c r="A99" s="234" t="s">
        <v>1772</v>
      </c>
      <c r="B99" s="237" t="s">
        <v>187</v>
      </c>
    </row>
    <row r="100">
      <c r="A100" s="234" t="s">
        <v>1779</v>
      </c>
      <c r="B100" s="234"/>
      <c r="C100" s="62" t="s">
        <v>751</v>
      </c>
    </row>
    <row r="101">
      <c r="A101" s="234" t="s">
        <v>1794</v>
      </c>
      <c r="B101" s="237" t="s">
        <v>187</v>
      </c>
    </row>
    <row r="102">
      <c r="A102" s="234" t="s">
        <v>1801</v>
      </c>
      <c r="B102" s="234"/>
    </row>
    <row r="103">
      <c r="A103" s="234" t="s">
        <v>1819</v>
      </c>
      <c r="B103" s="237" t="s">
        <v>187</v>
      </c>
      <c r="C103" s="62" t="s">
        <v>971</v>
      </c>
    </row>
    <row r="104">
      <c r="A104" s="234" t="s">
        <v>1843</v>
      </c>
      <c r="B104" s="234"/>
      <c r="C104" s="62" t="s">
        <v>1844</v>
      </c>
    </row>
    <row r="105">
      <c r="A105" s="234" t="s">
        <v>1861</v>
      </c>
      <c r="B105" s="237"/>
    </row>
    <row r="106">
      <c r="A106" s="234" t="s">
        <v>1871</v>
      </c>
      <c r="B106" s="237"/>
      <c r="C106" s="62" t="s">
        <v>1844</v>
      </c>
    </row>
    <row r="107">
      <c r="A107" s="234" t="s">
        <v>1884</v>
      </c>
      <c r="B107" s="234"/>
    </row>
    <row r="108">
      <c r="A108" s="234" t="s">
        <v>1899</v>
      </c>
      <c r="B108" s="237" t="s">
        <v>187</v>
      </c>
      <c r="C108" s="62" t="s">
        <v>521</v>
      </c>
    </row>
    <row r="109">
      <c r="A109" s="234" t="s">
        <v>1914</v>
      </c>
      <c r="B109" s="237" t="s">
        <v>187</v>
      </c>
      <c r="C109" s="62" t="s">
        <v>521</v>
      </c>
    </row>
    <row r="110">
      <c r="A110" s="234" t="s">
        <v>1925</v>
      </c>
      <c r="B110" s="237" t="s">
        <v>187</v>
      </c>
      <c r="C110" s="62" t="s">
        <v>521</v>
      </c>
    </row>
    <row r="111">
      <c r="A111" s="234" t="s">
        <v>1936</v>
      </c>
      <c r="B111" s="237" t="s">
        <v>187</v>
      </c>
      <c r="C111" s="62" t="s">
        <v>521</v>
      </c>
    </row>
    <row r="112">
      <c r="A112" s="234" t="s">
        <v>1956</v>
      </c>
      <c r="B112" s="237" t="s">
        <v>187</v>
      </c>
      <c r="C112" s="62" t="s">
        <v>521</v>
      </c>
    </row>
    <row r="113">
      <c r="A113" s="234" t="s">
        <v>1973</v>
      </c>
      <c r="B113" s="237" t="s">
        <v>187</v>
      </c>
      <c r="C113" s="62" t="s">
        <v>521</v>
      </c>
    </row>
    <row r="114">
      <c r="A114" s="234" t="s">
        <v>1988</v>
      </c>
      <c r="B114" s="237" t="s">
        <v>187</v>
      </c>
      <c r="C114" s="62" t="s">
        <v>521</v>
      </c>
    </row>
    <row r="115">
      <c r="A115" s="234" t="s">
        <v>2003</v>
      </c>
      <c r="B115" s="237" t="s">
        <v>187</v>
      </c>
      <c r="C115" s="62" t="s">
        <v>521</v>
      </c>
    </row>
    <row r="116">
      <c r="A116" s="234" t="s">
        <v>2019</v>
      </c>
      <c r="B116" s="237" t="s">
        <v>187</v>
      </c>
      <c r="C116" s="62" t="s">
        <v>521</v>
      </c>
    </row>
    <row r="117">
      <c r="A117" s="234" t="s">
        <v>2033</v>
      </c>
      <c r="B117" s="237" t="s">
        <v>187</v>
      </c>
      <c r="C117" s="62" t="s">
        <v>521</v>
      </c>
    </row>
    <row r="118">
      <c r="A118" s="234" t="s">
        <v>2048</v>
      </c>
      <c r="B118" s="237" t="s">
        <v>187</v>
      </c>
      <c r="C118" s="62" t="s">
        <v>521</v>
      </c>
    </row>
    <row r="119">
      <c r="A119" s="234" t="s">
        <v>2058</v>
      </c>
      <c r="B119" s="237" t="s">
        <v>187</v>
      </c>
      <c r="C119" s="62" t="s">
        <v>521</v>
      </c>
    </row>
    <row r="120">
      <c r="A120" s="234" t="s">
        <v>2069</v>
      </c>
      <c r="B120" s="237" t="s">
        <v>187</v>
      </c>
      <c r="C120" s="62" t="s">
        <v>521</v>
      </c>
    </row>
    <row r="121">
      <c r="A121" s="234" t="s">
        <v>2083</v>
      </c>
      <c r="B121" s="237" t="s">
        <v>853</v>
      </c>
    </row>
    <row r="122">
      <c r="A122" s="234" t="s">
        <v>2096</v>
      </c>
      <c r="B122" s="237" t="s">
        <v>187</v>
      </c>
      <c r="C122" s="62" t="s">
        <v>521</v>
      </c>
    </row>
    <row r="123">
      <c r="A123" s="234" t="s">
        <v>2109</v>
      </c>
      <c r="B123" s="237" t="s">
        <v>187</v>
      </c>
      <c r="C123" s="62" t="s">
        <v>521</v>
      </c>
    </row>
    <row r="124">
      <c r="A124" s="234" t="s">
        <v>2123</v>
      </c>
      <c r="B124" s="237" t="s">
        <v>187</v>
      </c>
      <c r="C124" s="62" t="s">
        <v>521</v>
      </c>
    </row>
    <row r="125">
      <c r="A125" s="234" t="s">
        <v>2135</v>
      </c>
      <c r="B125" s="237" t="s">
        <v>187</v>
      </c>
      <c r="C125" s="62" t="s">
        <v>521</v>
      </c>
    </row>
    <row r="126">
      <c r="A126" s="234" t="s">
        <v>2143</v>
      </c>
      <c r="B126" s="237" t="s">
        <v>187</v>
      </c>
      <c r="C126" s="62" t="s">
        <v>521</v>
      </c>
    </row>
    <row r="127">
      <c r="A127" s="234" t="s">
        <v>2157</v>
      </c>
      <c r="B127" s="237" t="s">
        <v>187</v>
      </c>
      <c r="C127" s="62" t="s">
        <v>521</v>
      </c>
    </row>
    <row r="128">
      <c r="A128" s="234" t="s">
        <v>2169</v>
      </c>
      <c r="B128" s="237" t="s">
        <v>187</v>
      </c>
      <c r="C128" s="62" t="s">
        <v>521</v>
      </c>
    </row>
    <row r="129">
      <c r="A129" s="234" t="s">
        <v>2178</v>
      </c>
      <c r="B129" s="237" t="s">
        <v>187</v>
      </c>
      <c r="C129" s="62" t="s">
        <v>521</v>
      </c>
    </row>
    <row r="130">
      <c r="A130" s="234" t="s">
        <v>2191</v>
      </c>
      <c r="B130" s="237" t="s">
        <v>187</v>
      </c>
      <c r="C130" s="62" t="s">
        <v>521</v>
      </c>
    </row>
    <row r="131">
      <c r="A131" s="234" t="s">
        <v>2205</v>
      </c>
      <c r="B131" s="237" t="s">
        <v>187</v>
      </c>
      <c r="C131" s="62" t="s">
        <v>521</v>
      </c>
    </row>
    <row r="132">
      <c r="A132" s="234" t="s">
        <v>2217</v>
      </c>
      <c r="B132" s="237" t="s">
        <v>187</v>
      </c>
      <c r="C132" s="62" t="s">
        <v>521</v>
      </c>
    </row>
    <row r="133">
      <c r="A133" s="234" t="s">
        <v>2230</v>
      </c>
      <c r="B133" s="237" t="s">
        <v>187</v>
      </c>
      <c r="C133" s="62" t="s">
        <v>521</v>
      </c>
    </row>
    <row r="134">
      <c r="A134" s="234" t="s">
        <v>2238</v>
      </c>
      <c r="B134" s="237" t="s">
        <v>187</v>
      </c>
      <c r="C134" s="62" t="s">
        <v>521</v>
      </c>
    </row>
    <row r="135">
      <c r="A135" s="234" t="s">
        <v>2246</v>
      </c>
      <c r="B135" s="237" t="s">
        <v>187</v>
      </c>
      <c r="C135" s="62" t="s">
        <v>521</v>
      </c>
    </row>
    <row r="136">
      <c r="A136" s="234" t="s">
        <v>2254</v>
      </c>
      <c r="B136" s="237" t="s">
        <v>187</v>
      </c>
      <c r="C136" s="62" t="s">
        <v>521</v>
      </c>
    </row>
    <row r="137">
      <c r="A137" s="234" t="s">
        <v>2264</v>
      </c>
      <c r="B137" s="237" t="s">
        <v>187</v>
      </c>
      <c r="C137" s="62" t="s">
        <v>521</v>
      </c>
    </row>
    <row r="138">
      <c r="A138" s="234" t="s">
        <v>2268</v>
      </c>
      <c r="B138" s="237" t="s">
        <v>187</v>
      </c>
      <c r="C138" s="62" t="s">
        <v>521</v>
      </c>
    </row>
    <row r="139">
      <c r="A139" s="234" t="s">
        <v>2281</v>
      </c>
      <c r="B139" s="237" t="s">
        <v>187</v>
      </c>
      <c r="C139" s="62" t="s">
        <v>521</v>
      </c>
    </row>
    <row r="140">
      <c r="A140" s="234" t="s">
        <v>2293</v>
      </c>
      <c r="B140" s="237" t="s">
        <v>187</v>
      </c>
      <c r="C140" s="62" t="s">
        <v>521</v>
      </c>
    </row>
    <row r="141">
      <c r="A141" s="234" t="s">
        <v>2307</v>
      </c>
      <c r="B141" s="237" t="s">
        <v>187</v>
      </c>
      <c r="C141" s="62" t="s">
        <v>521</v>
      </c>
    </row>
    <row r="142">
      <c r="A142" s="234" t="s">
        <v>2315</v>
      </c>
      <c r="B142" s="237" t="s">
        <v>187</v>
      </c>
      <c r="C142" s="62" t="s">
        <v>521</v>
      </c>
    </row>
    <row r="143">
      <c r="A143" s="234" t="s">
        <v>2327</v>
      </c>
      <c r="B143" s="237" t="s">
        <v>187</v>
      </c>
      <c r="C143" s="62" t="s">
        <v>521</v>
      </c>
    </row>
    <row r="144">
      <c r="A144" s="234" t="s">
        <v>2336</v>
      </c>
      <c r="B144" s="237" t="s">
        <v>187</v>
      </c>
      <c r="C144" s="62" t="s">
        <v>521</v>
      </c>
    </row>
    <row r="145">
      <c r="A145" s="234" t="s">
        <v>2351</v>
      </c>
      <c r="B145" s="237" t="s">
        <v>187</v>
      </c>
      <c r="C145" s="62" t="s">
        <v>521</v>
      </c>
    </row>
    <row r="146">
      <c r="A146" s="234" t="s">
        <v>2363</v>
      </c>
      <c r="B146" s="237" t="s">
        <v>187</v>
      </c>
      <c r="C146" s="62" t="s">
        <v>521</v>
      </c>
    </row>
    <row r="147">
      <c r="A147" s="234" t="s">
        <v>2378</v>
      </c>
      <c r="B147" s="237" t="s">
        <v>187</v>
      </c>
      <c r="C147" s="62" t="s">
        <v>521</v>
      </c>
    </row>
    <row r="148">
      <c r="A148" s="234" t="s">
        <v>2392</v>
      </c>
      <c r="B148" s="237" t="s">
        <v>187</v>
      </c>
      <c r="C148" s="62" t="s">
        <v>521</v>
      </c>
    </row>
    <row r="149">
      <c r="A149" s="234" t="s">
        <v>2406</v>
      </c>
      <c r="B149" s="237" t="s">
        <v>187</v>
      </c>
      <c r="C149" s="62" t="s">
        <v>521</v>
      </c>
    </row>
    <row r="150">
      <c r="A150" s="234" t="s">
        <v>2418</v>
      </c>
      <c r="B150" s="237" t="s">
        <v>187</v>
      </c>
      <c r="C150" s="62" t="s">
        <v>521</v>
      </c>
    </row>
    <row r="151">
      <c r="A151" s="234" t="s">
        <v>2431</v>
      </c>
      <c r="B151" s="237" t="s">
        <v>187</v>
      </c>
      <c r="C151" s="62" t="s">
        <v>521</v>
      </c>
    </row>
    <row r="152">
      <c r="A152" s="234" t="s">
        <v>2444</v>
      </c>
      <c r="B152" s="237" t="s">
        <v>853</v>
      </c>
    </row>
    <row r="153">
      <c r="A153" s="234" t="s">
        <v>2459</v>
      </c>
      <c r="B153" s="237" t="s">
        <v>187</v>
      </c>
      <c r="C153" s="62" t="s">
        <v>521</v>
      </c>
    </row>
    <row r="154">
      <c r="A154" s="234" t="s">
        <v>2467</v>
      </c>
      <c r="B154" s="237" t="s">
        <v>187</v>
      </c>
      <c r="C154" s="62" t="s">
        <v>521</v>
      </c>
    </row>
    <row r="155">
      <c r="A155" s="234" t="s">
        <v>2478</v>
      </c>
      <c r="B155" s="237" t="s">
        <v>187</v>
      </c>
      <c r="C155" s="62" t="s">
        <v>521</v>
      </c>
    </row>
    <row r="156">
      <c r="A156" s="234" t="s">
        <v>2486</v>
      </c>
      <c r="B156" s="237" t="s">
        <v>187</v>
      </c>
      <c r="C156" s="62" t="s">
        <v>521</v>
      </c>
    </row>
    <row r="157">
      <c r="A157" s="234" t="s">
        <v>2494</v>
      </c>
      <c r="B157" s="237" t="s">
        <v>187</v>
      </c>
      <c r="C157" s="62" t="s">
        <v>521</v>
      </c>
    </row>
    <row r="158">
      <c r="A158" s="234" t="s">
        <v>2502</v>
      </c>
      <c r="B158" s="237" t="s">
        <v>187</v>
      </c>
      <c r="C158" s="62" t="s">
        <v>521</v>
      </c>
    </row>
    <row r="159">
      <c r="A159" s="234" t="s">
        <v>2508</v>
      </c>
      <c r="B159" s="237" t="s">
        <v>187</v>
      </c>
      <c r="C159" s="62" t="s">
        <v>521</v>
      </c>
    </row>
    <row r="160">
      <c r="A160" s="234" t="s">
        <v>2512</v>
      </c>
      <c r="B160" s="237" t="s">
        <v>187</v>
      </c>
      <c r="C160" s="62" t="s">
        <v>521</v>
      </c>
    </row>
    <row r="161">
      <c r="A161" s="234" t="s">
        <v>2519</v>
      </c>
      <c r="B161" s="237" t="s">
        <v>187</v>
      </c>
      <c r="C161" s="62" t="s">
        <v>521</v>
      </c>
    </row>
    <row r="162">
      <c r="A162" s="234" t="s">
        <v>2527</v>
      </c>
      <c r="B162" s="237" t="s">
        <v>187</v>
      </c>
      <c r="C162" s="62" t="s">
        <v>521</v>
      </c>
    </row>
    <row r="163">
      <c r="A163" s="234" t="s">
        <v>2540</v>
      </c>
      <c r="B163" s="237" t="s">
        <v>187</v>
      </c>
      <c r="C163" s="62" t="s">
        <v>521</v>
      </c>
    </row>
    <row r="164">
      <c r="A164" s="234" t="s">
        <v>2554</v>
      </c>
      <c r="B164" s="237" t="s">
        <v>187</v>
      </c>
      <c r="C164" s="62" t="s">
        <v>521</v>
      </c>
    </row>
    <row r="165">
      <c r="A165" s="234" t="s">
        <v>2570</v>
      </c>
      <c r="B165" s="237" t="s">
        <v>187</v>
      </c>
      <c r="C165" s="62" t="s">
        <v>521</v>
      </c>
    </row>
    <row r="166">
      <c r="A166" s="234" t="s">
        <v>2578</v>
      </c>
      <c r="B166" s="237" t="s">
        <v>187</v>
      </c>
      <c r="C166" s="62" t="s">
        <v>521</v>
      </c>
    </row>
    <row r="167">
      <c r="A167" s="234" t="s">
        <v>2591</v>
      </c>
      <c r="B167" s="237" t="s">
        <v>187</v>
      </c>
      <c r="C167" s="62" t="s">
        <v>521</v>
      </c>
    </row>
    <row r="168">
      <c r="A168" s="234" t="s">
        <v>2607</v>
      </c>
      <c r="B168" s="237" t="s">
        <v>187</v>
      </c>
      <c r="C168" s="62" t="s">
        <v>521</v>
      </c>
    </row>
    <row r="169">
      <c r="A169" s="234" t="s">
        <v>2621</v>
      </c>
      <c r="B169" s="237" t="s">
        <v>187</v>
      </c>
      <c r="C169" s="62" t="s">
        <v>521</v>
      </c>
    </row>
    <row r="170">
      <c r="A170" s="234" t="s">
        <v>2630</v>
      </c>
      <c r="B170" s="237" t="s">
        <v>187</v>
      </c>
      <c r="C170" s="62" t="s">
        <v>521</v>
      </c>
    </row>
    <row r="171">
      <c r="A171" s="234" t="s">
        <v>2644</v>
      </c>
      <c r="B171" s="237" t="s">
        <v>187</v>
      </c>
      <c r="C171" s="62" t="s">
        <v>521</v>
      </c>
    </row>
    <row r="172">
      <c r="A172" s="234" t="s">
        <v>2660</v>
      </c>
      <c r="B172" s="234"/>
    </row>
    <row r="173">
      <c r="A173" s="234" t="s">
        <v>2682</v>
      </c>
      <c r="B173" s="234"/>
    </row>
    <row r="174">
      <c r="A174" s="234" t="s">
        <v>2701</v>
      </c>
      <c r="B174" s="234"/>
    </row>
    <row r="175">
      <c r="A175" s="234" t="s">
        <v>2716</v>
      </c>
      <c r="B175" s="234"/>
    </row>
    <row r="176">
      <c r="A176" s="234" t="s">
        <v>2732</v>
      </c>
      <c r="B176" s="234"/>
    </row>
    <row r="177">
      <c r="A177" s="234" t="s">
        <v>3000</v>
      </c>
      <c r="B177" s="234"/>
    </row>
    <row r="178">
      <c r="A178" s="234" t="s">
        <v>2740</v>
      </c>
      <c r="B178" s="234"/>
    </row>
    <row r="179">
      <c r="A179" s="234" t="s">
        <v>2764</v>
      </c>
      <c r="B179" s="234"/>
    </row>
    <row r="180">
      <c r="A180" s="234" t="s">
        <v>2781</v>
      </c>
      <c r="B180" s="234"/>
    </row>
    <row r="181">
      <c r="A181" s="234" t="s">
        <v>2810</v>
      </c>
      <c r="B181" s="234"/>
    </row>
    <row r="182">
      <c r="A182" s="234" t="s">
        <v>2836</v>
      </c>
      <c r="B182" s="234"/>
    </row>
    <row r="183">
      <c r="A183" s="234" t="s">
        <v>2858</v>
      </c>
      <c r="B183" s="234"/>
    </row>
    <row r="184">
      <c r="A184" s="234" t="s">
        <v>2874</v>
      </c>
      <c r="B184" s="234"/>
    </row>
    <row r="185">
      <c r="A185" s="234" t="s">
        <v>2890</v>
      </c>
      <c r="B185" s="234"/>
    </row>
    <row r="186">
      <c r="A186" s="234" t="s">
        <v>2907</v>
      </c>
      <c r="B186" s="234"/>
    </row>
    <row r="187">
      <c r="A187" s="234" t="s">
        <v>2919</v>
      </c>
      <c r="B187" s="234"/>
    </row>
    <row r="188">
      <c r="A188" s="234" t="s">
        <v>2945</v>
      </c>
      <c r="B188" s="234"/>
    </row>
    <row r="189">
      <c r="A189" s="234" t="s">
        <v>2954</v>
      </c>
      <c r="B189" s="234"/>
    </row>
    <row r="190">
      <c r="A190" s="234" t="s">
        <v>2970</v>
      </c>
      <c r="B190" s="234"/>
    </row>
    <row r="191">
      <c r="A191" s="234" t="s">
        <v>2982</v>
      </c>
      <c r="B191" s="234"/>
    </row>
    <row r="192">
      <c r="A192" s="234" t="s">
        <v>3021</v>
      </c>
      <c r="B192" s="234"/>
    </row>
    <row r="193">
      <c r="A193" s="234" t="s">
        <v>3045</v>
      </c>
      <c r="B193" s="234"/>
    </row>
    <row r="194">
      <c r="A194" s="234" t="s">
        <v>3066</v>
      </c>
      <c r="B194" s="234"/>
    </row>
    <row r="195">
      <c r="A195" s="234" t="s">
        <v>3092</v>
      </c>
      <c r="B195" s="234"/>
    </row>
    <row r="196">
      <c r="A196" s="234" t="s">
        <v>3114</v>
      </c>
      <c r="B196" s="234"/>
    </row>
    <row r="197">
      <c r="A197" s="234" t="s">
        <v>3131</v>
      </c>
      <c r="B197" s="234"/>
    </row>
    <row r="198">
      <c r="A198" s="234" t="s">
        <v>3145</v>
      </c>
      <c r="B198" s="234"/>
    </row>
    <row r="199">
      <c r="A199" s="234" t="s">
        <v>5545</v>
      </c>
      <c r="B199" s="234"/>
    </row>
    <row r="200">
      <c r="A200" s="234" t="s">
        <v>3156</v>
      </c>
      <c r="B200" s="234"/>
    </row>
    <row r="201">
      <c r="A201" s="234" t="s">
        <v>3179</v>
      </c>
      <c r="B201" s="234"/>
    </row>
    <row r="202">
      <c r="A202" s="234" t="s">
        <v>3187</v>
      </c>
      <c r="B202" s="234"/>
    </row>
    <row r="203">
      <c r="A203" s="234" t="s">
        <v>3201</v>
      </c>
      <c r="B203" s="234"/>
      <c r="C203" s="62" t="s">
        <v>3202</v>
      </c>
    </row>
    <row r="204">
      <c r="A204" s="234" t="s">
        <v>3224</v>
      </c>
      <c r="B204" s="234"/>
    </row>
    <row r="205">
      <c r="A205" s="234" t="s">
        <v>3243</v>
      </c>
      <c r="B205" s="234"/>
    </row>
    <row r="206">
      <c r="A206" s="234" t="s">
        <v>3262</v>
      </c>
      <c r="B206" s="234"/>
    </row>
    <row r="207">
      <c r="A207" s="234" t="s">
        <v>3276</v>
      </c>
      <c r="B207" s="234"/>
    </row>
    <row r="208">
      <c r="A208" s="234" t="s">
        <v>3301</v>
      </c>
      <c r="B208" s="237"/>
      <c r="C208" s="62" t="s">
        <v>3202</v>
      </c>
    </row>
    <row r="209">
      <c r="A209" s="234" t="s">
        <v>3322</v>
      </c>
      <c r="B209" s="234"/>
    </row>
    <row r="210">
      <c r="A210" s="234" t="s">
        <v>3331</v>
      </c>
      <c r="B210" s="234"/>
    </row>
    <row r="211">
      <c r="A211" s="234" t="s">
        <v>3347</v>
      </c>
      <c r="B211" s="234"/>
    </row>
    <row r="212">
      <c r="A212" s="234" t="s">
        <v>3369</v>
      </c>
      <c r="B212" s="234"/>
    </row>
    <row r="213">
      <c r="A213" s="234" t="s">
        <v>3389</v>
      </c>
      <c r="B213" s="234"/>
    </row>
    <row r="214">
      <c r="A214" s="234" t="s">
        <v>3395</v>
      </c>
      <c r="B214" s="234"/>
    </row>
    <row r="215">
      <c r="A215" s="234" t="s">
        <v>3413</v>
      </c>
      <c r="B215" s="234"/>
    </row>
    <row r="216">
      <c r="A216" s="234" t="s">
        <v>3435</v>
      </c>
      <c r="B216" s="234"/>
    </row>
    <row r="217">
      <c r="A217" s="234" t="s">
        <v>3450</v>
      </c>
      <c r="B217" s="234"/>
    </row>
    <row r="218">
      <c r="A218" s="234" t="s">
        <v>3466</v>
      </c>
      <c r="B218" s="234"/>
    </row>
    <row r="219">
      <c r="A219" s="234" t="s">
        <v>3491</v>
      </c>
      <c r="B219" s="234"/>
    </row>
    <row r="220">
      <c r="A220" s="234" t="s">
        <v>3506</v>
      </c>
      <c r="B220" s="237"/>
      <c r="C220" s="62" t="s">
        <v>3507</v>
      </c>
    </row>
    <row r="221">
      <c r="A221" s="234" t="s">
        <v>3533</v>
      </c>
      <c r="B221" s="234"/>
    </row>
    <row r="222">
      <c r="A222" s="234" t="s">
        <v>3552</v>
      </c>
      <c r="B222" s="234"/>
    </row>
    <row r="223">
      <c r="A223" s="234" t="s">
        <v>3560</v>
      </c>
      <c r="B223" s="234"/>
    </row>
    <row r="224">
      <c r="A224" s="234" t="s">
        <v>3575</v>
      </c>
      <c r="B224" s="234"/>
    </row>
    <row r="225">
      <c r="A225" s="234" t="s">
        <v>3597</v>
      </c>
      <c r="B225" s="234"/>
    </row>
    <row r="226">
      <c r="A226" s="234" t="s">
        <v>3611</v>
      </c>
      <c r="B226" s="234"/>
    </row>
    <row r="227">
      <c r="A227" s="234" t="s">
        <v>3628</v>
      </c>
      <c r="B227" s="237" t="s">
        <v>187</v>
      </c>
      <c r="C227" s="62" t="s">
        <v>188</v>
      </c>
    </row>
    <row r="228">
      <c r="A228" s="234" t="s">
        <v>3645</v>
      </c>
      <c r="B228" s="237" t="s">
        <v>187</v>
      </c>
      <c r="C228" s="62" t="s">
        <v>3646</v>
      </c>
    </row>
    <row r="229">
      <c r="A229" s="234" t="s">
        <v>3658</v>
      </c>
      <c r="B229" s="237" t="s">
        <v>358</v>
      </c>
      <c r="C229" s="62" t="s">
        <v>3646</v>
      </c>
    </row>
    <row r="230">
      <c r="A230" s="234" t="s">
        <v>3675</v>
      </c>
      <c r="B230" s="234"/>
    </row>
    <row r="231">
      <c r="A231" s="234" t="s">
        <v>3695</v>
      </c>
      <c r="B231" s="234"/>
    </row>
    <row r="232">
      <c r="A232" s="234" t="s">
        <v>3712</v>
      </c>
      <c r="B232" s="234"/>
    </row>
    <row r="233">
      <c r="A233" s="234" t="s">
        <v>3726</v>
      </c>
      <c r="B233" s="237" t="s">
        <v>358</v>
      </c>
      <c r="C233" s="62" t="s">
        <v>3727</v>
      </c>
    </row>
    <row r="234">
      <c r="A234" s="234" t="s">
        <v>3738</v>
      </c>
      <c r="B234" s="237" t="s">
        <v>187</v>
      </c>
      <c r="C234" s="62" t="s">
        <v>971</v>
      </c>
    </row>
    <row r="235">
      <c r="A235" s="234" t="s">
        <v>3762</v>
      </c>
      <c r="B235" s="234"/>
    </row>
    <row r="236">
      <c r="A236" s="234" t="s">
        <v>3777</v>
      </c>
      <c r="B236" s="234"/>
    </row>
    <row r="237">
      <c r="A237" s="234" t="s">
        <v>3790</v>
      </c>
      <c r="B237" s="234"/>
    </row>
    <row r="238">
      <c r="A238" s="234" t="s">
        <v>3798</v>
      </c>
      <c r="B238" s="234"/>
    </row>
    <row r="239">
      <c r="A239" s="234" t="s">
        <v>3804</v>
      </c>
      <c r="B239" s="234"/>
    </row>
    <row r="240">
      <c r="A240" s="234" t="s">
        <v>3820</v>
      </c>
      <c r="B240" s="237" t="s">
        <v>187</v>
      </c>
      <c r="C240" s="62" t="s">
        <v>3821</v>
      </c>
    </row>
    <row r="241">
      <c r="A241" s="234" t="s">
        <v>3845</v>
      </c>
      <c r="B241" s="237" t="s">
        <v>187</v>
      </c>
      <c r="C241" s="62" t="s">
        <v>971</v>
      </c>
    </row>
    <row r="242">
      <c r="A242" s="238" t="s">
        <v>3859</v>
      </c>
      <c r="B242" s="237" t="s">
        <v>358</v>
      </c>
    </row>
    <row r="243">
      <c r="A243" s="234" t="s">
        <v>3871</v>
      </c>
      <c r="B243" s="234"/>
    </row>
    <row r="244">
      <c r="A244" s="234" t="s">
        <v>3886</v>
      </c>
      <c r="B244" s="234"/>
    </row>
    <row r="245">
      <c r="A245" s="234" t="s">
        <v>3901</v>
      </c>
      <c r="B245" s="234"/>
    </row>
    <row r="246">
      <c r="A246" s="234" t="s">
        <v>3905</v>
      </c>
      <c r="B246" s="234"/>
    </row>
    <row r="247">
      <c r="A247" s="234" t="s">
        <v>3913</v>
      </c>
      <c r="B247" s="237" t="s">
        <v>187</v>
      </c>
      <c r="C247" s="62" t="s">
        <v>3914</v>
      </c>
    </row>
    <row r="248">
      <c r="A248" s="234" t="s">
        <v>3930</v>
      </c>
      <c r="B248" s="234"/>
    </row>
    <row r="249">
      <c r="A249" s="234" t="s">
        <v>3942</v>
      </c>
      <c r="B249" s="234"/>
    </row>
    <row r="250">
      <c r="A250" s="234" t="s">
        <v>3952</v>
      </c>
      <c r="B250" s="234"/>
    </row>
    <row r="251">
      <c r="A251" s="234" t="s">
        <v>3962</v>
      </c>
      <c r="B251" s="234"/>
    </row>
    <row r="252">
      <c r="A252" s="234" t="s">
        <v>3972</v>
      </c>
      <c r="B252" s="234"/>
      <c r="C252" s="62" t="s">
        <v>3973</v>
      </c>
    </row>
    <row r="253">
      <c r="A253" s="234" t="s">
        <v>3998</v>
      </c>
      <c r="B253" s="234"/>
    </row>
    <row r="254">
      <c r="A254" s="234" t="s">
        <v>4006</v>
      </c>
      <c r="B254" s="234"/>
    </row>
    <row r="255">
      <c r="A255" s="234" t="s">
        <v>4022</v>
      </c>
      <c r="B255" s="234"/>
    </row>
    <row r="256">
      <c r="A256" s="234" t="s">
        <v>4036</v>
      </c>
      <c r="B256" s="234"/>
    </row>
    <row r="257">
      <c r="A257" s="234" t="s">
        <v>4043</v>
      </c>
      <c r="B257" s="234"/>
    </row>
    <row r="258">
      <c r="A258" s="234" t="s">
        <v>4056</v>
      </c>
      <c r="B258" s="234"/>
    </row>
    <row r="259">
      <c r="A259" s="234" t="s">
        <v>4070</v>
      </c>
      <c r="B259" s="234"/>
    </row>
    <row r="260">
      <c r="A260" s="234" t="s">
        <v>4094</v>
      </c>
      <c r="B260" s="234"/>
    </row>
    <row r="261">
      <c r="A261" s="234" t="s">
        <v>4115</v>
      </c>
      <c r="B261" s="237" t="s">
        <v>187</v>
      </c>
      <c r="C261" s="62" t="s">
        <v>971</v>
      </c>
    </row>
    <row r="262">
      <c r="A262" s="234" t="s">
        <v>4139</v>
      </c>
      <c r="B262" s="237" t="s">
        <v>187</v>
      </c>
      <c r="C262" s="62" t="s">
        <v>3821</v>
      </c>
    </row>
    <row r="263">
      <c r="A263" s="234" t="s">
        <v>4151</v>
      </c>
      <c r="B263" s="234"/>
    </row>
    <row r="264">
      <c r="A264" s="234" t="s">
        <v>4161</v>
      </c>
      <c r="B264" s="234"/>
    </row>
    <row r="265">
      <c r="A265" s="234" t="s">
        <v>4174</v>
      </c>
      <c r="B265" s="237" t="s">
        <v>187</v>
      </c>
      <c r="C265" s="62" t="s">
        <v>971</v>
      </c>
    </row>
    <row r="266">
      <c r="A266" s="234" t="s">
        <v>4187</v>
      </c>
      <c r="B266" s="237"/>
    </row>
    <row r="267">
      <c r="A267" s="234" t="s">
        <v>4206</v>
      </c>
      <c r="B267" s="237"/>
    </row>
    <row r="268">
      <c r="A268" s="234" t="s">
        <v>4224</v>
      </c>
      <c r="B268" s="237" t="s">
        <v>187</v>
      </c>
      <c r="C268" s="62" t="s">
        <v>188</v>
      </c>
    </row>
    <row r="269">
      <c r="A269" s="234" t="s">
        <v>4235</v>
      </c>
      <c r="B269" s="234"/>
    </row>
    <row r="270">
      <c r="A270" s="234" t="s">
        <v>4239</v>
      </c>
      <c r="B270" s="237"/>
    </row>
    <row r="271">
      <c r="A271" s="234" t="s">
        <v>4258</v>
      </c>
      <c r="B271" s="234"/>
    </row>
    <row r="272">
      <c r="A272" s="234" t="s">
        <v>4265</v>
      </c>
      <c r="B272" s="234"/>
    </row>
    <row r="273">
      <c r="A273" s="234" t="s">
        <v>4279</v>
      </c>
      <c r="B273" s="237" t="s">
        <v>187</v>
      </c>
      <c r="C273" s="62" t="s">
        <v>4280</v>
      </c>
    </row>
    <row r="274">
      <c r="A274" s="234" t="s">
        <v>4299</v>
      </c>
      <c r="B274" s="234"/>
    </row>
    <row r="275">
      <c r="A275" s="234" t="s">
        <v>4313</v>
      </c>
      <c r="B275" s="234"/>
    </row>
    <row r="276">
      <c r="A276" s="234" t="s">
        <v>4325</v>
      </c>
      <c r="B276" s="234"/>
    </row>
    <row r="277">
      <c r="A277" s="234" t="s">
        <v>4339</v>
      </c>
      <c r="B277" s="234"/>
    </row>
    <row r="278">
      <c r="A278" s="234" t="s">
        <v>4351</v>
      </c>
      <c r="B278" s="237"/>
    </row>
    <row r="279">
      <c r="A279" s="234" t="s">
        <v>4364</v>
      </c>
      <c r="B279" s="234"/>
    </row>
    <row r="280">
      <c r="A280" s="234" t="s">
        <v>4388</v>
      </c>
      <c r="B280" s="237" t="s">
        <v>187</v>
      </c>
      <c r="C280" s="62" t="s">
        <v>4389</v>
      </c>
    </row>
    <row r="281">
      <c r="A281" s="234" t="s">
        <v>4401</v>
      </c>
      <c r="B281" s="234"/>
    </row>
    <row r="282">
      <c r="A282" s="234" t="s">
        <v>4408</v>
      </c>
      <c r="B282" s="234"/>
    </row>
    <row r="283">
      <c r="A283" s="234" t="s">
        <v>4422</v>
      </c>
      <c r="B283" s="237" t="s">
        <v>187</v>
      </c>
      <c r="C283" s="62" t="s">
        <v>992</v>
      </c>
    </row>
    <row r="284">
      <c r="A284" s="234" t="s">
        <v>4438</v>
      </c>
      <c r="B284" s="237"/>
    </row>
    <row r="285">
      <c r="A285" s="234" t="s">
        <v>4453</v>
      </c>
      <c r="B285" s="234"/>
    </row>
    <row r="286">
      <c r="A286" s="234" t="s">
        <v>4466</v>
      </c>
      <c r="B286" s="234"/>
    </row>
    <row r="287">
      <c r="A287" s="234" t="s">
        <v>4480</v>
      </c>
      <c r="B287" s="237" t="s">
        <v>187</v>
      </c>
      <c r="C287" s="62" t="s">
        <v>3821</v>
      </c>
    </row>
    <row r="288">
      <c r="A288" s="234" t="s">
        <v>4494</v>
      </c>
      <c r="B288" s="234"/>
    </row>
    <row r="289">
      <c r="A289" s="234" t="s">
        <v>4501</v>
      </c>
      <c r="B289" s="237" t="s">
        <v>358</v>
      </c>
      <c r="C289" s="62" t="s">
        <v>4502</v>
      </c>
    </row>
    <row r="290">
      <c r="A290" s="234" t="s">
        <v>4522</v>
      </c>
      <c r="B290" s="234"/>
      <c r="C290" s="62" t="s">
        <v>3202</v>
      </c>
    </row>
    <row r="291">
      <c r="A291" s="234" t="s">
        <v>4536</v>
      </c>
      <c r="B291" s="234"/>
    </row>
    <row r="292">
      <c r="A292" s="234" t="s">
        <v>4554</v>
      </c>
      <c r="B292" s="234"/>
    </row>
    <row r="293">
      <c r="A293" s="234" t="s">
        <v>4567</v>
      </c>
      <c r="B293" s="234"/>
    </row>
    <row r="294">
      <c r="A294" s="234" t="s">
        <v>4580</v>
      </c>
      <c r="B294" s="234"/>
    </row>
    <row r="295">
      <c r="A295" s="234" t="s">
        <v>4588</v>
      </c>
      <c r="B295" s="234"/>
    </row>
    <row r="296">
      <c r="A296" s="234" t="s">
        <v>4603</v>
      </c>
      <c r="B296" s="234"/>
    </row>
    <row r="297">
      <c r="A297" s="234" t="s">
        <v>4610</v>
      </c>
      <c r="B297" s="234"/>
    </row>
    <row r="298">
      <c r="A298" s="234" t="s">
        <v>4630</v>
      </c>
      <c r="B298" s="237"/>
    </row>
    <row r="299">
      <c r="A299" s="234" t="s">
        <v>4642</v>
      </c>
      <c r="B299" s="237" t="s">
        <v>187</v>
      </c>
      <c r="C299" s="62" t="s">
        <v>4643</v>
      </c>
    </row>
    <row r="300">
      <c r="A300" s="234" t="s">
        <v>4658</v>
      </c>
      <c r="B300" s="234"/>
    </row>
    <row r="301">
      <c r="A301" s="234" t="s">
        <v>4673</v>
      </c>
      <c r="B301" s="237" t="s">
        <v>187</v>
      </c>
      <c r="C301" s="62" t="s">
        <v>4674</v>
      </c>
    </row>
    <row r="302">
      <c r="A302" s="234" t="s">
        <v>4691</v>
      </c>
      <c r="B302" s="237" t="s">
        <v>187</v>
      </c>
      <c r="C302" s="62" t="s">
        <v>4692</v>
      </c>
    </row>
    <row r="303">
      <c r="A303" s="234" t="s">
        <v>4703</v>
      </c>
      <c r="B303" s="234"/>
    </row>
    <row r="304">
      <c r="A304" s="234" t="s">
        <v>4716</v>
      </c>
      <c r="B304" s="234"/>
    </row>
    <row r="305">
      <c r="A305" s="234" t="s">
        <v>4726</v>
      </c>
      <c r="B305" s="234"/>
    </row>
    <row r="306">
      <c r="A306" s="234" t="s">
        <v>4728</v>
      </c>
      <c r="B306" s="234"/>
    </row>
    <row r="307">
      <c r="A307" s="234" t="s">
        <v>4736</v>
      </c>
      <c r="B307" s="234"/>
    </row>
    <row r="308">
      <c r="A308" s="234" t="s">
        <v>4749</v>
      </c>
      <c r="B308" s="234"/>
    </row>
    <row r="309">
      <c r="A309" s="234" t="s">
        <v>4758</v>
      </c>
      <c r="B309" s="237" t="s">
        <v>187</v>
      </c>
    </row>
    <row r="310">
      <c r="A310" s="234" t="s">
        <v>4780</v>
      </c>
      <c r="B310" s="234"/>
    </row>
    <row r="311">
      <c r="A311" s="234" t="s">
        <v>4794</v>
      </c>
      <c r="B311" s="237"/>
    </row>
    <row r="312">
      <c r="A312" s="234" t="s">
        <v>4804</v>
      </c>
      <c r="B312" s="234"/>
    </row>
    <row r="313">
      <c r="A313" s="234" t="s">
        <v>4818</v>
      </c>
      <c r="B313" s="234"/>
    </row>
    <row r="314">
      <c r="A314" s="234" t="s">
        <v>4830</v>
      </c>
      <c r="B314" s="237"/>
    </row>
    <row r="315">
      <c r="A315" s="234" t="s">
        <v>4836</v>
      </c>
      <c r="B315" s="237"/>
    </row>
    <row r="316">
      <c r="A316" s="239" t="s">
        <v>4851</v>
      </c>
      <c r="B316" s="237"/>
      <c r="C316" s="62" t="s">
        <v>1140</v>
      </c>
    </row>
    <row r="317">
      <c r="A317" s="234" t="s">
        <v>5546</v>
      </c>
      <c r="B317" s="237" t="s">
        <v>187</v>
      </c>
      <c r="C317" s="62" t="s">
        <v>6626</v>
      </c>
    </row>
    <row r="318">
      <c r="A318" s="234" t="s">
        <v>4863</v>
      </c>
      <c r="B318" s="234"/>
    </row>
    <row r="319">
      <c r="A319" s="234" t="s">
        <v>4875</v>
      </c>
      <c r="B319" s="237"/>
    </row>
    <row r="320">
      <c r="A320" s="234" t="s">
        <v>4888</v>
      </c>
      <c r="B320" s="234"/>
    </row>
    <row r="321">
      <c r="A321" s="234" t="s">
        <v>4897</v>
      </c>
      <c r="B321" s="234"/>
    </row>
    <row r="322">
      <c r="A322" s="239" t="s">
        <v>4916</v>
      </c>
      <c r="B322" s="237" t="s">
        <v>358</v>
      </c>
    </row>
    <row r="323">
      <c r="A323" s="234" t="s">
        <v>4930</v>
      </c>
      <c r="B323" s="234"/>
    </row>
    <row r="324">
      <c r="A324" s="234" t="s">
        <v>4943</v>
      </c>
      <c r="B324" s="237"/>
    </row>
    <row r="325">
      <c r="A325" s="234" t="s">
        <v>4956</v>
      </c>
      <c r="B325" s="234"/>
    </row>
    <row r="326">
      <c r="A326" s="234" t="s">
        <v>4969</v>
      </c>
      <c r="B326" s="237"/>
    </row>
    <row r="327">
      <c r="A327" s="234" t="s">
        <v>4980</v>
      </c>
      <c r="B327" s="234"/>
    </row>
    <row r="328">
      <c r="A328" s="234" t="s">
        <v>4990</v>
      </c>
      <c r="B328" s="234"/>
    </row>
    <row r="329">
      <c r="A329" s="234" t="s">
        <v>5000</v>
      </c>
      <c r="B329" s="234"/>
    </row>
    <row r="330">
      <c r="A330" s="234" t="s">
        <v>5013</v>
      </c>
      <c r="B330" s="234"/>
    </row>
    <row r="331">
      <c r="A331" s="234" t="s">
        <v>5020</v>
      </c>
      <c r="B331" s="234"/>
    </row>
    <row r="332">
      <c r="A332" s="234" t="s">
        <v>5031</v>
      </c>
      <c r="B332" s="234"/>
    </row>
    <row r="333">
      <c r="A333" s="234" t="s">
        <v>5044</v>
      </c>
      <c r="B333" s="234"/>
    </row>
    <row r="334">
      <c r="A334" s="234" t="s">
        <v>5055</v>
      </c>
      <c r="B334" s="237"/>
    </row>
    <row r="335">
      <c r="A335" s="234" t="s">
        <v>5066</v>
      </c>
      <c r="B335" s="234"/>
    </row>
    <row r="336">
      <c r="A336" s="234" t="s">
        <v>5081</v>
      </c>
      <c r="B336" s="237"/>
    </row>
    <row r="337">
      <c r="A337" s="234" t="s">
        <v>5095</v>
      </c>
      <c r="B337" s="234"/>
    </row>
    <row r="338">
      <c r="A338" s="234" t="s">
        <v>5110</v>
      </c>
      <c r="B338" s="237"/>
    </row>
    <row r="339">
      <c r="A339" s="234" t="s">
        <v>5123</v>
      </c>
      <c r="B339" s="234"/>
    </row>
    <row r="340">
      <c r="A340" s="234" t="s">
        <v>5134</v>
      </c>
      <c r="B340" s="237" t="s">
        <v>187</v>
      </c>
      <c r="C340" s="62" t="s">
        <v>3821</v>
      </c>
    </row>
    <row r="341">
      <c r="A341" s="234" t="s">
        <v>5146</v>
      </c>
      <c r="B341" s="237" t="s">
        <v>187</v>
      </c>
      <c r="C341" s="62" t="s">
        <v>3821</v>
      </c>
    </row>
    <row r="342">
      <c r="A342" s="234" t="s">
        <v>5158</v>
      </c>
      <c r="B342" s="237"/>
    </row>
    <row r="343">
      <c r="A343" s="234" t="s">
        <v>5170</v>
      </c>
      <c r="B343" s="237" t="s">
        <v>187</v>
      </c>
      <c r="C343" s="62" t="s">
        <v>971</v>
      </c>
    </row>
    <row r="344">
      <c r="A344" s="234" t="s">
        <v>5192</v>
      </c>
      <c r="B344" s="234"/>
    </row>
    <row r="345">
      <c r="A345" s="234" t="s">
        <v>5198</v>
      </c>
      <c r="B345" s="234"/>
    </row>
    <row r="346">
      <c r="A346" s="234" t="s">
        <v>5212</v>
      </c>
      <c r="B346" s="237" t="s">
        <v>187</v>
      </c>
      <c r="C346" s="62" t="s">
        <v>5213</v>
      </c>
    </row>
    <row r="347">
      <c r="A347" s="234" t="s">
        <v>5225</v>
      </c>
      <c r="B347" s="237"/>
    </row>
    <row r="348">
      <c r="A348" s="234" t="s">
        <v>5242</v>
      </c>
      <c r="B348" s="237" t="s">
        <v>187</v>
      </c>
    </row>
    <row r="349">
      <c r="A349" s="234" t="s">
        <v>5261</v>
      </c>
      <c r="B349" s="234"/>
    </row>
    <row r="350">
      <c r="A350" s="234" t="s">
        <v>5272</v>
      </c>
      <c r="B350" s="234"/>
    </row>
    <row r="351">
      <c r="A351" s="234" t="s">
        <v>5284</v>
      </c>
      <c r="B351" s="234"/>
    </row>
    <row r="352">
      <c r="A352" s="234" t="s">
        <v>5296</v>
      </c>
      <c r="B352" s="234"/>
    </row>
    <row r="353">
      <c r="A353" s="234" t="s">
        <v>5310</v>
      </c>
      <c r="B353" s="237"/>
    </row>
    <row r="354">
      <c r="A354" s="234" t="s">
        <v>5323</v>
      </c>
      <c r="B354" s="237"/>
    </row>
    <row r="355">
      <c r="A355" s="234" t="s">
        <v>5337</v>
      </c>
      <c r="B355" s="234"/>
    </row>
    <row r="356">
      <c r="A356" s="234" t="s">
        <v>5346</v>
      </c>
      <c r="B356" s="237" t="s">
        <v>187</v>
      </c>
      <c r="C356" s="62" t="s">
        <v>5347</v>
      </c>
    </row>
    <row r="357">
      <c r="A357" s="234" t="s">
        <v>5349</v>
      </c>
      <c r="B357" s="237" t="s">
        <v>187</v>
      </c>
      <c r="C357" s="62" t="s">
        <v>5350</v>
      </c>
    </row>
    <row r="358">
      <c r="A358" s="234" t="s">
        <v>5364</v>
      </c>
      <c r="B358" s="237" t="s">
        <v>187</v>
      </c>
      <c r="C358" s="62" t="s">
        <v>5365</v>
      </c>
    </row>
    <row r="359">
      <c r="A359" s="234" t="s">
        <v>5366</v>
      </c>
      <c r="B359" s="234"/>
    </row>
    <row r="360">
      <c r="A360" s="234" t="s">
        <v>5374</v>
      </c>
      <c r="B360" s="234"/>
    </row>
    <row r="361">
      <c r="A361" s="234" t="s">
        <v>5378</v>
      </c>
      <c r="B361" s="234"/>
    </row>
    <row r="362">
      <c r="A362" s="234" t="s">
        <v>5382</v>
      </c>
      <c r="B362" s="234"/>
    </row>
    <row r="363">
      <c r="A363" s="234" t="s">
        <v>5386</v>
      </c>
      <c r="B363" s="237" t="s">
        <v>187</v>
      </c>
      <c r="C363" s="62" t="s">
        <v>5347</v>
      </c>
    </row>
    <row r="364">
      <c r="A364" s="234" t="s">
        <v>5392</v>
      </c>
      <c r="B364" s="234"/>
    </row>
    <row r="365">
      <c r="A365" s="234" t="s">
        <v>5397</v>
      </c>
      <c r="B365" s="234"/>
    </row>
    <row r="366">
      <c r="A366" s="234" t="s">
        <v>5401</v>
      </c>
      <c r="B366" s="237"/>
    </row>
    <row r="367">
      <c r="A367" s="234" t="s">
        <v>5406</v>
      </c>
      <c r="B367" s="237"/>
    </row>
    <row r="368">
      <c r="A368" s="234" t="s">
        <v>5412</v>
      </c>
      <c r="B368" s="237"/>
    </row>
    <row r="369">
      <c r="A369" s="234" t="s">
        <v>5420</v>
      </c>
      <c r="B369" s="237"/>
    </row>
    <row r="370">
      <c r="A370" s="234" t="s">
        <v>5426</v>
      </c>
      <c r="B370" s="237"/>
    </row>
    <row r="371">
      <c r="A371" s="234" t="s">
        <v>5437</v>
      </c>
      <c r="B371" s="234"/>
    </row>
    <row r="372">
      <c r="A372" s="234" t="s">
        <v>5444</v>
      </c>
      <c r="B372" s="234"/>
    </row>
    <row r="373">
      <c r="A373" s="234" t="s">
        <v>5447</v>
      </c>
      <c r="B373" s="234"/>
    </row>
    <row r="374">
      <c r="A374" s="234" t="s">
        <v>5450</v>
      </c>
      <c r="B374" s="237" t="s">
        <v>187</v>
      </c>
      <c r="C374" s="62" t="s">
        <v>5347</v>
      </c>
    </row>
    <row r="375">
      <c r="A375" s="234" t="s">
        <v>5456</v>
      </c>
      <c r="B375" s="234"/>
    </row>
    <row r="376">
      <c r="A376" s="234" t="s">
        <v>5460</v>
      </c>
      <c r="B376" s="234"/>
    </row>
    <row r="377">
      <c r="A377" s="234" t="s">
        <v>5467</v>
      </c>
      <c r="B377" s="237" t="s">
        <v>187</v>
      </c>
      <c r="C377" s="62" t="s">
        <v>5347</v>
      </c>
    </row>
    <row r="378">
      <c r="A378" s="234" t="s">
        <v>5470</v>
      </c>
      <c r="B378" s="234"/>
    </row>
    <row r="379">
      <c r="A379" s="234" t="s">
        <v>5474</v>
      </c>
      <c r="B379" s="234"/>
    </row>
    <row r="380">
      <c r="A380" s="234"/>
      <c r="B380" s="234"/>
    </row>
    <row r="381">
      <c r="A381" s="234"/>
      <c r="B381" s="234"/>
    </row>
    <row r="382">
      <c r="A382" s="234"/>
      <c r="B382" s="234"/>
    </row>
    <row r="383">
      <c r="A383" s="234"/>
      <c r="B383" s="234"/>
    </row>
    <row r="384">
      <c r="A384" s="234"/>
      <c r="B384" s="234"/>
    </row>
    <row r="385">
      <c r="A385" s="234"/>
      <c r="B385" s="234"/>
    </row>
    <row r="386">
      <c r="A386" s="234"/>
      <c r="B386" s="234"/>
    </row>
    <row r="387">
      <c r="A387" s="234"/>
      <c r="B387" s="234"/>
    </row>
    <row r="388">
      <c r="A388" s="234"/>
      <c r="B388" s="234"/>
    </row>
    <row r="389">
      <c r="A389" s="234"/>
      <c r="B389" s="234"/>
    </row>
    <row r="390">
      <c r="A390" s="234"/>
      <c r="B390" s="234"/>
    </row>
    <row r="391">
      <c r="A391" s="234"/>
      <c r="B391" s="234"/>
    </row>
    <row r="392">
      <c r="A392" s="234"/>
      <c r="B392" s="234"/>
    </row>
    <row r="393">
      <c r="A393" s="234"/>
      <c r="B393" s="234"/>
    </row>
    <row r="394">
      <c r="A394" s="234"/>
      <c r="B394" s="234"/>
    </row>
    <row r="395">
      <c r="A395" s="234"/>
      <c r="B395" s="234"/>
    </row>
    <row r="396">
      <c r="A396" s="234"/>
      <c r="B396" s="234"/>
    </row>
    <row r="397">
      <c r="A397" s="234"/>
      <c r="B397" s="234"/>
    </row>
    <row r="398">
      <c r="A398" s="234"/>
      <c r="B398" s="234"/>
    </row>
    <row r="399">
      <c r="A399" s="234"/>
      <c r="B399" s="234"/>
    </row>
    <row r="400">
      <c r="A400" s="234"/>
      <c r="B400" s="234"/>
    </row>
    <row r="401">
      <c r="A401" s="234"/>
      <c r="B401" s="234"/>
    </row>
    <row r="402">
      <c r="A402" s="234"/>
      <c r="B402" s="234"/>
    </row>
    <row r="403">
      <c r="A403" s="234"/>
      <c r="B403" s="234"/>
    </row>
    <row r="404">
      <c r="A404" s="234"/>
      <c r="B404" s="234"/>
    </row>
    <row r="405">
      <c r="A405" s="234"/>
      <c r="B405" s="234"/>
    </row>
    <row r="406">
      <c r="A406" s="234"/>
      <c r="B406" s="234"/>
    </row>
    <row r="407">
      <c r="A407" s="234"/>
      <c r="B407" s="234"/>
    </row>
    <row r="408">
      <c r="A408" s="234"/>
      <c r="B408" s="234"/>
    </row>
    <row r="409">
      <c r="A409" s="234"/>
      <c r="B409" s="234"/>
    </row>
    <row r="410">
      <c r="A410" s="234"/>
      <c r="B410" s="234"/>
    </row>
    <row r="411">
      <c r="A411" s="234"/>
      <c r="B411" s="234"/>
    </row>
    <row r="412">
      <c r="A412" s="234"/>
      <c r="B412" s="234"/>
    </row>
    <row r="413">
      <c r="A413" s="234"/>
      <c r="B413" s="234"/>
    </row>
    <row r="414">
      <c r="A414" s="234"/>
      <c r="B414" s="234"/>
    </row>
    <row r="415">
      <c r="A415" s="234"/>
      <c r="B415" s="234"/>
    </row>
    <row r="416">
      <c r="A416" s="234"/>
      <c r="B416" s="234"/>
    </row>
    <row r="417">
      <c r="A417" s="234"/>
      <c r="B417" s="234"/>
    </row>
    <row r="418">
      <c r="A418" s="234"/>
      <c r="B418" s="234"/>
    </row>
    <row r="419">
      <c r="A419" s="234"/>
      <c r="B419" s="234"/>
    </row>
    <row r="420">
      <c r="A420" s="234"/>
      <c r="B420" s="234"/>
    </row>
    <row r="421">
      <c r="A421" s="234"/>
      <c r="B421" s="234"/>
    </row>
    <row r="422">
      <c r="A422" s="234"/>
      <c r="B422" s="234"/>
    </row>
    <row r="423">
      <c r="A423" s="234"/>
      <c r="B423" s="234"/>
    </row>
    <row r="424">
      <c r="A424" s="234"/>
      <c r="B424" s="234"/>
    </row>
    <row r="425">
      <c r="A425" s="234"/>
      <c r="B425" s="234"/>
    </row>
    <row r="426">
      <c r="A426" s="234"/>
      <c r="B426" s="234"/>
    </row>
    <row r="427">
      <c r="A427" s="234"/>
      <c r="B427" s="234"/>
    </row>
    <row r="428">
      <c r="A428" s="234"/>
      <c r="B428" s="234"/>
    </row>
    <row r="429">
      <c r="A429" s="234"/>
      <c r="B429" s="234"/>
    </row>
    <row r="430">
      <c r="A430" s="234"/>
      <c r="B430" s="234"/>
    </row>
    <row r="431">
      <c r="A431" s="234"/>
      <c r="B431" s="234"/>
    </row>
    <row r="432">
      <c r="A432" s="234"/>
      <c r="B432" s="234"/>
    </row>
    <row r="433">
      <c r="A433" s="234"/>
      <c r="B433" s="234"/>
    </row>
    <row r="434">
      <c r="A434" s="234"/>
      <c r="B434" s="234"/>
    </row>
    <row r="435">
      <c r="A435" s="234"/>
      <c r="B435" s="234"/>
    </row>
    <row r="436">
      <c r="A436" s="234"/>
      <c r="B436" s="234"/>
    </row>
    <row r="437">
      <c r="A437" s="234"/>
      <c r="B437" s="234"/>
    </row>
    <row r="438">
      <c r="A438" s="234"/>
      <c r="B438" s="234"/>
    </row>
    <row r="439">
      <c r="A439" s="234"/>
      <c r="B439" s="234"/>
    </row>
    <row r="440">
      <c r="A440" s="234"/>
      <c r="B440" s="234"/>
    </row>
    <row r="441">
      <c r="A441" s="234"/>
      <c r="B441" s="234"/>
    </row>
    <row r="442">
      <c r="A442" s="234"/>
      <c r="B442" s="234"/>
    </row>
    <row r="443">
      <c r="A443" s="234"/>
      <c r="B443" s="234"/>
    </row>
    <row r="444">
      <c r="A444" s="234"/>
      <c r="B444" s="234"/>
    </row>
    <row r="445">
      <c r="A445" s="234"/>
      <c r="B445" s="234"/>
    </row>
    <row r="446">
      <c r="A446" s="234"/>
      <c r="B446" s="234"/>
    </row>
    <row r="447">
      <c r="A447" s="234"/>
      <c r="B447" s="234"/>
    </row>
    <row r="448">
      <c r="A448" s="234"/>
      <c r="B448" s="234"/>
    </row>
    <row r="449">
      <c r="A449" s="234"/>
      <c r="B449" s="234"/>
    </row>
    <row r="450">
      <c r="A450" s="234"/>
      <c r="B450" s="234"/>
    </row>
    <row r="451">
      <c r="A451" s="234"/>
      <c r="B451" s="234"/>
    </row>
    <row r="452">
      <c r="A452" s="234"/>
      <c r="B452" s="234"/>
    </row>
    <row r="453">
      <c r="A453" s="234"/>
      <c r="B453" s="234"/>
    </row>
    <row r="454">
      <c r="A454" s="234"/>
      <c r="B454" s="234"/>
    </row>
    <row r="455">
      <c r="A455" s="234"/>
      <c r="B455" s="234"/>
    </row>
    <row r="456">
      <c r="A456" s="234"/>
      <c r="B456" s="234"/>
    </row>
    <row r="457">
      <c r="A457" s="234"/>
      <c r="B457" s="234"/>
    </row>
    <row r="458">
      <c r="A458" s="234"/>
      <c r="B458" s="234"/>
    </row>
    <row r="459">
      <c r="A459" s="234"/>
      <c r="B459" s="234"/>
    </row>
    <row r="460">
      <c r="A460" s="234"/>
      <c r="B460" s="234"/>
    </row>
    <row r="461">
      <c r="A461" s="234"/>
      <c r="B461" s="234"/>
    </row>
    <row r="462">
      <c r="A462" s="234"/>
      <c r="B462" s="234"/>
    </row>
    <row r="463">
      <c r="A463" s="234"/>
      <c r="B463" s="234"/>
    </row>
    <row r="464">
      <c r="A464" s="234"/>
      <c r="B464" s="234"/>
    </row>
    <row r="465">
      <c r="A465" s="234"/>
      <c r="B465" s="234"/>
    </row>
    <row r="466">
      <c r="A466" s="234"/>
      <c r="B466" s="234"/>
    </row>
    <row r="467">
      <c r="A467" s="234"/>
      <c r="B467" s="234"/>
    </row>
    <row r="468">
      <c r="A468" s="234"/>
      <c r="B468" s="234"/>
    </row>
    <row r="469">
      <c r="A469" s="234"/>
      <c r="B469" s="234"/>
    </row>
    <row r="470">
      <c r="A470" s="234"/>
      <c r="B470" s="234"/>
    </row>
    <row r="471">
      <c r="A471" s="234"/>
      <c r="B471" s="234"/>
    </row>
    <row r="472">
      <c r="A472" s="234"/>
      <c r="B472" s="234"/>
    </row>
    <row r="473">
      <c r="A473" s="234"/>
      <c r="B473" s="234"/>
    </row>
    <row r="474">
      <c r="A474" s="234"/>
      <c r="B474" s="234"/>
    </row>
    <row r="475">
      <c r="A475" s="234"/>
      <c r="B475" s="234"/>
    </row>
    <row r="476">
      <c r="A476" s="234"/>
      <c r="B476" s="234"/>
    </row>
    <row r="477">
      <c r="A477" s="234"/>
      <c r="B477" s="234"/>
    </row>
    <row r="478">
      <c r="A478" s="234"/>
      <c r="B478" s="234"/>
    </row>
    <row r="479">
      <c r="A479" s="234"/>
      <c r="B479" s="234"/>
    </row>
    <row r="480">
      <c r="A480" s="234"/>
      <c r="B480" s="234"/>
    </row>
    <row r="481">
      <c r="A481" s="234"/>
      <c r="B481" s="234"/>
    </row>
    <row r="482">
      <c r="A482" s="234"/>
      <c r="B482" s="234"/>
    </row>
    <row r="483">
      <c r="A483" s="234"/>
      <c r="B483" s="234"/>
    </row>
    <row r="484">
      <c r="A484" s="234"/>
      <c r="B484" s="234"/>
    </row>
    <row r="485">
      <c r="A485" s="234"/>
      <c r="B485" s="234"/>
    </row>
    <row r="486">
      <c r="A486" s="234"/>
      <c r="B486" s="234"/>
    </row>
    <row r="487">
      <c r="A487" s="234"/>
      <c r="B487" s="234"/>
    </row>
    <row r="488">
      <c r="A488" s="234"/>
      <c r="B488" s="234"/>
    </row>
    <row r="489">
      <c r="A489" s="234"/>
      <c r="B489" s="234"/>
    </row>
    <row r="490">
      <c r="A490" s="234"/>
      <c r="B490" s="234"/>
    </row>
    <row r="491">
      <c r="A491" s="234"/>
      <c r="B491" s="234"/>
    </row>
    <row r="492">
      <c r="A492" s="234"/>
      <c r="B492" s="234"/>
    </row>
    <row r="493">
      <c r="A493" s="234"/>
      <c r="B493" s="234"/>
    </row>
    <row r="494">
      <c r="A494" s="234"/>
      <c r="B494" s="234"/>
    </row>
    <row r="495">
      <c r="A495" s="234"/>
      <c r="B495" s="234"/>
    </row>
    <row r="496">
      <c r="A496" s="234"/>
      <c r="B496" s="234"/>
    </row>
    <row r="497">
      <c r="A497" s="234"/>
      <c r="B497" s="234"/>
    </row>
    <row r="498">
      <c r="A498" s="234"/>
      <c r="B498" s="234"/>
    </row>
    <row r="499">
      <c r="A499" s="234"/>
      <c r="B499" s="234"/>
    </row>
    <row r="500">
      <c r="A500" s="234"/>
      <c r="B500" s="234"/>
    </row>
    <row r="501">
      <c r="A501" s="234"/>
      <c r="B501" s="234"/>
    </row>
    <row r="502">
      <c r="A502" s="234"/>
      <c r="B502" s="234"/>
    </row>
    <row r="503">
      <c r="A503" s="234"/>
      <c r="B503" s="234"/>
    </row>
    <row r="504">
      <c r="A504" s="234"/>
      <c r="B504" s="234"/>
    </row>
    <row r="505">
      <c r="A505" s="234"/>
      <c r="B505" s="234"/>
    </row>
    <row r="506">
      <c r="A506" s="234"/>
      <c r="B506" s="234"/>
    </row>
    <row r="507">
      <c r="A507" s="234"/>
      <c r="B507" s="234"/>
    </row>
    <row r="508">
      <c r="A508" s="234"/>
      <c r="B508" s="234"/>
    </row>
    <row r="509">
      <c r="A509" s="234"/>
      <c r="B509" s="234"/>
    </row>
    <row r="510">
      <c r="A510" s="234"/>
      <c r="B510" s="234"/>
    </row>
    <row r="511">
      <c r="A511" s="234"/>
      <c r="B511" s="234"/>
    </row>
    <row r="512">
      <c r="A512" s="234"/>
      <c r="B512" s="234"/>
    </row>
    <row r="513">
      <c r="A513" s="234"/>
      <c r="B513" s="234"/>
    </row>
    <row r="514">
      <c r="A514" s="234"/>
      <c r="B514" s="234"/>
    </row>
    <row r="515">
      <c r="A515" s="234"/>
      <c r="B515" s="234"/>
    </row>
    <row r="516">
      <c r="A516" s="234"/>
      <c r="B516" s="234"/>
    </row>
    <row r="517">
      <c r="A517" s="234"/>
      <c r="B517" s="234"/>
    </row>
    <row r="518">
      <c r="A518" s="234"/>
      <c r="B518" s="234"/>
    </row>
    <row r="519">
      <c r="A519" s="234"/>
      <c r="B519" s="234"/>
    </row>
    <row r="520">
      <c r="A520" s="234"/>
      <c r="B520" s="234"/>
    </row>
    <row r="521">
      <c r="A521" s="234"/>
      <c r="B521" s="234"/>
    </row>
    <row r="522">
      <c r="A522" s="234"/>
      <c r="B522" s="234"/>
    </row>
    <row r="523">
      <c r="A523" s="234"/>
      <c r="B523" s="234"/>
    </row>
    <row r="524">
      <c r="A524" s="234"/>
      <c r="B524" s="234"/>
    </row>
    <row r="525">
      <c r="A525" s="234"/>
      <c r="B525" s="234"/>
    </row>
    <row r="526">
      <c r="A526" s="234"/>
      <c r="B526" s="234"/>
    </row>
    <row r="527">
      <c r="A527" s="234"/>
      <c r="B527" s="234"/>
    </row>
    <row r="528">
      <c r="A528" s="234"/>
      <c r="B528" s="234"/>
    </row>
    <row r="529">
      <c r="A529" s="234"/>
      <c r="B529" s="234"/>
    </row>
    <row r="530">
      <c r="A530" s="234"/>
      <c r="B530" s="234"/>
    </row>
    <row r="531">
      <c r="A531" s="234"/>
      <c r="B531" s="234"/>
    </row>
    <row r="532">
      <c r="A532" s="234"/>
      <c r="B532" s="234"/>
    </row>
    <row r="533">
      <c r="A533" s="234"/>
      <c r="B533" s="234"/>
    </row>
    <row r="534">
      <c r="A534" s="234"/>
      <c r="B534" s="234"/>
    </row>
    <row r="535">
      <c r="A535" s="234"/>
      <c r="B535" s="234"/>
    </row>
    <row r="536">
      <c r="A536" s="234"/>
      <c r="B536" s="234"/>
    </row>
    <row r="537">
      <c r="A537" s="234"/>
      <c r="B537" s="234"/>
    </row>
    <row r="538">
      <c r="A538" s="234"/>
      <c r="B538" s="234"/>
    </row>
    <row r="539">
      <c r="A539" s="234"/>
      <c r="B539" s="234"/>
    </row>
    <row r="540">
      <c r="A540" s="234"/>
      <c r="B540" s="234"/>
    </row>
    <row r="541">
      <c r="A541" s="234"/>
      <c r="B541" s="234"/>
    </row>
    <row r="542">
      <c r="A542" s="234"/>
      <c r="B542" s="234"/>
    </row>
    <row r="543">
      <c r="A543" s="234"/>
      <c r="B543" s="234"/>
    </row>
    <row r="544">
      <c r="A544" s="234"/>
      <c r="B544" s="234"/>
    </row>
    <row r="545">
      <c r="A545" s="234"/>
      <c r="B545" s="234"/>
    </row>
    <row r="546">
      <c r="A546" s="234"/>
      <c r="B546" s="234"/>
    </row>
    <row r="547">
      <c r="A547" s="234"/>
      <c r="B547" s="234"/>
    </row>
    <row r="548">
      <c r="A548" s="234"/>
      <c r="B548" s="234"/>
    </row>
    <row r="549">
      <c r="A549" s="234"/>
      <c r="B549" s="234"/>
    </row>
    <row r="550">
      <c r="A550" s="234"/>
      <c r="B550" s="234"/>
    </row>
    <row r="551">
      <c r="A551" s="234"/>
      <c r="B551" s="234"/>
    </row>
    <row r="552">
      <c r="A552" s="234"/>
      <c r="B552" s="234"/>
    </row>
    <row r="553">
      <c r="A553" s="234"/>
      <c r="B553" s="234"/>
    </row>
    <row r="554">
      <c r="A554" s="234"/>
      <c r="B554" s="234"/>
    </row>
    <row r="555">
      <c r="A555" s="234"/>
      <c r="B555" s="234"/>
    </row>
    <row r="556">
      <c r="A556" s="234"/>
      <c r="B556" s="234"/>
    </row>
    <row r="557">
      <c r="A557" s="234"/>
      <c r="B557" s="234"/>
    </row>
    <row r="558">
      <c r="A558" s="234"/>
      <c r="B558" s="234"/>
    </row>
    <row r="559">
      <c r="A559" s="234"/>
      <c r="B559" s="234"/>
    </row>
    <row r="560">
      <c r="A560" s="234"/>
      <c r="B560" s="234"/>
    </row>
    <row r="561">
      <c r="A561" s="234"/>
      <c r="B561" s="234"/>
    </row>
    <row r="562">
      <c r="A562" s="234"/>
      <c r="B562" s="234"/>
    </row>
    <row r="563">
      <c r="A563" s="234"/>
      <c r="B563" s="234"/>
    </row>
    <row r="564">
      <c r="A564" s="234"/>
      <c r="B564" s="234"/>
    </row>
    <row r="565">
      <c r="A565" s="234"/>
      <c r="B565" s="234"/>
    </row>
    <row r="566">
      <c r="A566" s="234"/>
      <c r="B566" s="234"/>
    </row>
    <row r="567">
      <c r="A567" s="234"/>
      <c r="B567" s="234"/>
    </row>
    <row r="568">
      <c r="A568" s="234"/>
      <c r="B568" s="234"/>
    </row>
    <row r="569">
      <c r="A569" s="234"/>
      <c r="B569" s="234"/>
    </row>
    <row r="570">
      <c r="A570" s="234"/>
      <c r="B570" s="234"/>
    </row>
    <row r="571">
      <c r="A571" s="234"/>
      <c r="B571" s="234"/>
    </row>
    <row r="572">
      <c r="A572" s="234"/>
      <c r="B572" s="234"/>
    </row>
    <row r="573">
      <c r="A573" s="234"/>
      <c r="B573" s="234"/>
    </row>
    <row r="574">
      <c r="A574" s="234"/>
      <c r="B574" s="234"/>
    </row>
    <row r="575">
      <c r="A575" s="234"/>
      <c r="B575" s="234"/>
    </row>
    <row r="576">
      <c r="A576" s="234"/>
      <c r="B576" s="234"/>
    </row>
    <row r="577">
      <c r="A577" s="234"/>
      <c r="B577" s="234"/>
    </row>
    <row r="578">
      <c r="A578" s="234"/>
      <c r="B578" s="234"/>
    </row>
    <row r="579">
      <c r="A579" s="234"/>
      <c r="B579" s="234"/>
    </row>
    <row r="580">
      <c r="A580" s="234"/>
      <c r="B580" s="234"/>
    </row>
    <row r="581">
      <c r="A581" s="234"/>
      <c r="B581" s="234"/>
    </row>
    <row r="582">
      <c r="A582" s="234"/>
      <c r="B582" s="234"/>
    </row>
    <row r="583">
      <c r="A583" s="234"/>
      <c r="B583" s="234"/>
    </row>
    <row r="584">
      <c r="A584" s="234"/>
      <c r="B584" s="234"/>
    </row>
    <row r="585">
      <c r="A585" s="234"/>
      <c r="B585" s="234"/>
    </row>
    <row r="586">
      <c r="A586" s="234"/>
      <c r="B586" s="234"/>
    </row>
    <row r="587">
      <c r="A587" s="234"/>
      <c r="B587" s="234"/>
    </row>
    <row r="588">
      <c r="A588" s="234"/>
      <c r="B588" s="234"/>
    </row>
    <row r="589">
      <c r="A589" s="234"/>
      <c r="B589" s="234"/>
    </row>
    <row r="590">
      <c r="A590" s="234"/>
      <c r="B590" s="234"/>
    </row>
    <row r="591">
      <c r="A591" s="234"/>
      <c r="B591" s="234"/>
    </row>
    <row r="592">
      <c r="A592" s="234"/>
      <c r="B592" s="234"/>
    </row>
    <row r="593">
      <c r="A593" s="234"/>
      <c r="B593" s="234"/>
    </row>
    <row r="594">
      <c r="A594" s="234"/>
      <c r="B594" s="234"/>
    </row>
    <row r="595">
      <c r="A595" s="234"/>
      <c r="B595" s="234"/>
    </row>
    <row r="596">
      <c r="A596" s="234"/>
      <c r="B596" s="234"/>
    </row>
    <row r="597">
      <c r="A597" s="234"/>
      <c r="B597" s="234"/>
    </row>
    <row r="598">
      <c r="A598" s="234"/>
      <c r="B598" s="234"/>
    </row>
    <row r="599">
      <c r="A599" s="234"/>
      <c r="B599" s="234"/>
    </row>
    <row r="600">
      <c r="A600" s="234"/>
      <c r="B600" s="234"/>
    </row>
    <row r="601">
      <c r="A601" s="234"/>
      <c r="B601" s="234"/>
    </row>
    <row r="602">
      <c r="A602" s="234"/>
      <c r="B602" s="234"/>
    </row>
    <row r="603">
      <c r="A603" s="234"/>
      <c r="B603" s="234"/>
    </row>
    <row r="604">
      <c r="A604" s="234"/>
      <c r="B604" s="234"/>
    </row>
    <row r="605">
      <c r="A605" s="234"/>
      <c r="B605" s="234"/>
    </row>
    <row r="606">
      <c r="A606" s="234"/>
      <c r="B606" s="234"/>
    </row>
    <row r="607">
      <c r="A607" s="234"/>
      <c r="B607" s="234"/>
    </row>
    <row r="608">
      <c r="A608" s="234"/>
      <c r="B608" s="234"/>
    </row>
    <row r="609">
      <c r="A609" s="234"/>
      <c r="B609" s="234"/>
    </row>
    <row r="610">
      <c r="A610" s="234"/>
      <c r="B610" s="234"/>
    </row>
    <row r="611">
      <c r="A611" s="234"/>
      <c r="B611" s="234"/>
    </row>
    <row r="612">
      <c r="A612" s="234"/>
      <c r="B612" s="234"/>
    </row>
    <row r="613">
      <c r="A613" s="234"/>
      <c r="B613" s="234"/>
    </row>
    <row r="614">
      <c r="A614" s="234"/>
      <c r="B614" s="234"/>
    </row>
    <row r="615">
      <c r="A615" s="234"/>
      <c r="B615" s="234"/>
    </row>
    <row r="616">
      <c r="A616" s="234"/>
      <c r="B616" s="234"/>
    </row>
    <row r="617">
      <c r="A617" s="234"/>
      <c r="B617" s="234"/>
    </row>
    <row r="618">
      <c r="A618" s="234"/>
      <c r="B618" s="234"/>
    </row>
    <row r="619">
      <c r="A619" s="234"/>
      <c r="B619" s="234"/>
    </row>
    <row r="620">
      <c r="A620" s="234"/>
      <c r="B620" s="234"/>
    </row>
    <row r="621">
      <c r="A621" s="234"/>
      <c r="B621" s="234"/>
    </row>
    <row r="622">
      <c r="A622" s="234"/>
      <c r="B622" s="234"/>
    </row>
    <row r="623">
      <c r="A623" s="234"/>
      <c r="B623" s="234"/>
    </row>
    <row r="624">
      <c r="A624" s="234"/>
      <c r="B624" s="234"/>
    </row>
    <row r="625">
      <c r="A625" s="234"/>
      <c r="B625" s="234"/>
    </row>
    <row r="626">
      <c r="A626" s="234"/>
      <c r="B626" s="234"/>
    </row>
    <row r="627">
      <c r="A627" s="234"/>
      <c r="B627" s="234"/>
    </row>
    <row r="628">
      <c r="A628" s="234"/>
      <c r="B628" s="234"/>
    </row>
    <row r="629">
      <c r="A629" s="234"/>
      <c r="B629" s="234"/>
    </row>
    <row r="630">
      <c r="A630" s="234"/>
      <c r="B630" s="234"/>
    </row>
    <row r="631">
      <c r="A631" s="234"/>
      <c r="B631" s="234"/>
    </row>
    <row r="632">
      <c r="A632" s="234"/>
      <c r="B632" s="234"/>
    </row>
    <row r="633">
      <c r="A633" s="234"/>
      <c r="B633" s="234"/>
    </row>
    <row r="634">
      <c r="A634" s="234"/>
      <c r="B634" s="234"/>
    </row>
    <row r="635">
      <c r="A635" s="234"/>
      <c r="B635" s="234"/>
    </row>
    <row r="636">
      <c r="A636" s="234"/>
      <c r="B636" s="234"/>
    </row>
    <row r="637">
      <c r="A637" s="234"/>
      <c r="B637" s="234"/>
    </row>
    <row r="638">
      <c r="A638" s="234"/>
      <c r="B638" s="234"/>
    </row>
    <row r="639">
      <c r="A639" s="234"/>
      <c r="B639" s="234"/>
    </row>
    <row r="640">
      <c r="A640" s="234"/>
      <c r="B640" s="234"/>
    </row>
    <row r="641">
      <c r="A641" s="234"/>
      <c r="B641" s="234"/>
    </row>
    <row r="642">
      <c r="A642" s="234"/>
      <c r="B642" s="234"/>
    </row>
    <row r="643">
      <c r="A643" s="234"/>
      <c r="B643" s="234"/>
    </row>
    <row r="644">
      <c r="A644" s="234"/>
      <c r="B644" s="234"/>
    </row>
    <row r="645">
      <c r="A645" s="234"/>
      <c r="B645" s="234"/>
    </row>
    <row r="646">
      <c r="A646" s="234"/>
      <c r="B646" s="234"/>
    </row>
    <row r="647">
      <c r="A647" s="234"/>
      <c r="B647" s="234"/>
    </row>
    <row r="648">
      <c r="A648" s="234"/>
      <c r="B648" s="234"/>
    </row>
    <row r="649">
      <c r="A649" s="234"/>
      <c r="B649" s="234"/>
    </row>
    <row r="650">
      <c r="A650" s="234"/>
      <c r="B650" s="234"/>
    </row>
    <row r="651">
      <c r="A651" s="234"/>
      <c r="B651" s="234"/>
    </row>
    <row r="652">
      <c r="A652" s="234"/>
      <c r="B652" s="234"/>
    </row>
    <row r="653">
      <c r="A653" s="234"/>
      <c r="B653" s="234"/>
    </row>
    <row r="654">
      <c r="A654" s="234"/>
      <c r="B654" s="234"/>
    </row>
    <row r="655">
      <c r="A655" s="234"/>
      <c r="B655" s="234"/>
    </row>
    <row r="656">
      <c r="A656" s="234"/>
      <c r="B656" s="234"/>
    </row>
    <row r="657">
      <c r="A657" s="234"/>
      <c r="B657" s="234"/>
    </row>
    <row r="658">
      <c r="A658" s="234"/>
      <c r="B658" s="234"/>
    </row>
    <row r="659">
      <c r="A659" s="234"/>
      <c r="B659" s="234"/>
    </row>
    <row r="660">
      <c r="A660" s="234"/>
      <c r="B660" s="234"/>
    </row>
    <row r="661">
      <c r="A661" s="234"/>
      <c r="B661" s="234"/>
    </row>
    <row r="662">
      <c r="A662" s="234"/>
      <c r="B662" s="234"/>
    </row>
    <row r="663">
      <c r="A663" s="234"/>
      <c r="B663" s="234"/>
    </row>
    <row r="664">
      <c r="A664" s="234"/>
      <c r="B664" s="234"/>
    </row>
    <row r="665">
      <c r="A665" s="234"/>
      <c r="B665" s="234"/>
    </row>
    <row r="666">
      <c r="A666" s="234"/>
      <c r="B666" s="234"/>
    </row>
    <row r="667">
      <c r="A667" s="234"/>
      <c r="B667" s="234"/>
    </row>
    <row r="668">
      <c r="A668" s="234"/>
      <c r="B668" s="234"/>
    </row>
    <row r="669">
      <c r="A669" s="234"/>
      <c r="B669" s="234"/>
    </row>
    <row r="670">
      <c r="A670" s="234"/>
      <c r="B670" s="234"/>
    </row>
    <row r="671">
      <c r="A671" s="234"/>
      <c r="B671" s="234"/>
    </row>
    <row r="672">
      <c r="A672" s="234"/>
      <c r="B672" s="234"/>
    </row>
    <row r="673">
      <c r="A673" s="234"/>
      <c r="B673" s="234"/>
    </row>
    <row r="674">
      <c r="A674" s="234"/>
      <c r="B674" s="234"/>
    </row>
    <row r="675">
      <c r="A675" s="234"/>
      <c r="B675" s="234"/>
    </row>
    <row r="676">
      <c r="A676" s="234"/>
      <c r="B676" s="234"/>
    </row>
    <row r="677">
      <c r="A677" s="234"/>
      <c r="B677" s="234"/>
    </row>
    <row r="678">
      <c r="A678" s="234"/>
      <c r="B678" s="234"/>
    </row>
    <row r="679">
      <c r="A679" s="234"/>
      <c r="B679" s="234"/>
    </row>
    <row r="680">
      <c r="A680" s="234"/>
      <c r="B680" s="234"/>
    </row>
    <row r="681">
      <c r="A681" s="234"/>
      <c r="B681" s="234"/>
    </row>
    <row r="682">
      <c r="A682" s="234"/>
      <c r="B682" s="234"/>
    </row>
    <row r="683">
      <c r="A683" s="234"/>
      <c r="B683" s="234"/>
    </row>
    <row r="684">
      <c r="A684" s="234"/>
      <c r="B684" s="234"/>
    </row>
    <row r="685">
      <c r="A685" s="234"/>
      <c r="B685" s="234"/>
    </row>
    <row r="686">
      <c r="A686" s="234"/>
      <c r="B686" s="234"/>
    </row>
    <row r="687">
      <c r="A687" s="234"/>
      <c r="B687" s="234"/>
    </row>
    <row r="688">
      <c r="A688" s="234"/>
      <c r="B688" s="234"/>
    </row>
    <row r="689">
      <c r="A689" s="234"/>
      <c r="B689" s="234"/>
    </row>
    <row r="690">
      <c r="A690" s="234"/>
      <c r="B690" s="234"/>
    </row>
    <row r="691">
      <c r="A691" s="234"/>
      <c r="B691" s="234"/>
    </row>
    <row r="692">
      <c r="A692" s="234"/>
      <c r="B692" s="234"/>
    </row>
    <row r="693">
      <c r="A693" s="234"/>
      <c r="B693" s="234"/>
    </row>
    <row r="694">
      <c r="A694" s="234"/>
      <c r="B694" s="234"/>
    </row>
    <row r="695">
      <c r="A695" s="234"/>
      <c r="B695" s="234"/>
    </row>
    <row r="696">
      <c r="A696" s="234"/>
      <c r="B696" s="234"/>
    </row>
    <row r="697">
      <c r="A697" s="234"/>
      <c r="B697" s="234"/>
    </row>
    <row r="698">
      <c r="A698" s="234"/>
      <c r="B698" s="234"/>
    </row>
    <row r="699">
      <c r="A699" s="234"/>
      <c r="B699" s="234"/>
    </row>
    <row r="700">
      <c r="A700" s="234"/>
      <c r="B700" s="234"/>
    </row>
    <row r="701">
      <c r="A701" s="234"/>
      <c r="B701" s="234"/>
    </row>
    <row r="702">
      <c r="A702" s="234"/>
      <c r="B702" s="234"/>
    </row>
    <row r="703">
      <c r="A703" s="234"/>
      <c r="B703" s="234"/>
    </row>
    <row r="704">
      <c r="A704" s="234"/>
      <c r="B704" s="234"/>
    </row>
    <row r="705">
      <c r="A705" s="234"/>
      <c r="B705" s="234"/>
    </row>
    <row r="706">
      <c r="A706" s="234"/>
      <c r="B706" s="234"/>
    </row>
    <row r="707">
      <c r="A707" s="234"/>
      <c r="B707" s="234"/>
    </row>
    <row r="708">
      <c r="A708" s="234"/>
      <c r="B708" s="234"/>
    </row>
    <row r="709">
      <c r="A709" s="234"/>
      <c r="B709" s="234"/>
    </row>
    <row r="710">
      <c r="A710" s="234"/>
      <c r="B710" s="234"/>
    </row>
    <row r="711">
      <c r="A711" s="234"/>
      <c r="B711" s="234"/>
    </row>
    <row r="712">
      <c r="A712" s="234"/>
      <c r="B712" s="234"/>
    </row>
    <row r="713">
      <c r="A713" s="234"/>
      <c r="B713" s="234"/>
    </row>
    <row r="714">
      <c r="A714" s="234"/>
      <c r="B714" s="234"/>
    </row>
    <row r="715">
      <c r="A715" s="234"/>
      <c r="B715" s="234"/>
    </row>
    <row r="716">
      <c r="A716" s="234"/>
      <c r="B716" s="234"/>
    </row>
    <row r="717">
      <c r="A717" s="234"/>
      <c r="B717" s="234"/>
    </row>
    <row r="718">
      <c r="A718" s="234"/>
      <c r="B718" s="234"/>
    </row>
    <row r="719">
      <c r="A719" s="234"/>
      <c r="B719" s="234"/>
    </row>
    <row r="720">
      <c r="A720" s="234"/>
      <c r="B720" s="234"/>
    </row>
    <row r="721">
      <c r="A721" s="234"/>
      <c r="B721" s="234"/>
    </row>
    <row r="722">
      <c r="A722" s="234"/>
      <c r="B722" s="234"/>
    </row>
    <row r="723">
      <c r="A723" s="234"/>
      <c r="B723" s="234"/>
    </row>
    <row r="724">
      <c r="A724" s="234"/>
      <c r="B724" s="234"/>
    </row>
    <row r="725">
      <c r="A725" s="234"/>
      <c r="B725" s="234"/>
    </row>
    <row r="726">
      <c r="A726" s="234"/>
      <c r="B726" s="234"/>
    </row>
    <row r="727">
      <c r="A727" s="234"/>
      <c r="B727" s="234"/>
    </row>
    <row r="728">
      <c r="A728" s="234"/>
      <c r="B728" s="234"/>
    </row>
    <row r="729">
      <c r="A729" s="234"/>
      <c r="B729" s="234"/>
    </row>
    <row r="730">
      <c r="A730" s="234"/>
      <c r="B730" s="234"/>
    </row>
    <row r="731">
      <c r="A731" s="234"/>
      <c r="B731" s="234"/>
    </row>
    <row r="732">
      <c r="A732" s="234"/>
      <c r="B732" s="234"/>
    </row>
    <row r="733">
      <c r="A733" s="234"/>
      <c r="B733" s="234"/>
    </row>
    <row r="734">
      <c r="A734" s="234"/>
      <c r="B734" s="234"/>
    </row>
    <row r="735">
      <c r="A735" s="234"/>
      <c r="B735" s="234"/>
    </row>
    <row r="736">
      <c r="A736" s="234"/>
      <c r="B736" s="234"/>
    </row>
    <row r="737">
      <c r="A737" s="234"/>
      <c r="B737" s="234"/>
    </row>
    <row r="738">
      <c r="A738" s="234"/>
      <c r="B738" s="234"/>
    </row>
    <row r="739">
      <c r="A739" s="234"/>
      <c r="B739" s="234"/>
    </row>
    <row r="740">
      <c r="A740" s="234"/>
      <c r="B740" s="234"/>
    </row>
    <row r="741">
      <c r="A741" s="234"/>
      <c r="B741" s="234"/>
    </row>
    <row r="742">
      <c r="A742" s="234"/>
      <c r="B742" s="234"/>
    </row>
    <row r="743">
      <c r="A743" s="234"/>
      <c r="B743" s="234"/>
    </row>
    <row r="744">
      <c r="A744" s="234"/>
      <c r="B744" s="234"/>
    </row>
    <row r="745">
      <c r="A745" s="234"/>
      <c r="B745" s="234"/>
    </row>
    <row r="746">
      <c r="A746" s="234"/>
      <c r="B746" s="234"/>
    </row>
    <row r="747">
      <c r="A747" s="234"/>
      <c r="B747" s="234"/>
    </row>
    <row r="748">
      <c r="A748" s="234"/>
      <c r="B748" s="234"/>
    </row>
    <row r="749">
      <c r="A749" s="234"/>
      <c r="B749" s="234"/>
    </row>
    <row r="750">
      <c r="A750" s="234"/>
      <c r="B750" s="234"/>
    </row>
    <row r="751">
      <c r="A751" s="234"/>
      <c r="B751" s="234"/>
    </row>
    <row r="752">
      <c r="A752" s="234"/>
      <c r="B752" s="234"/>
    </row>
    <row r="753">
      <c r="A753" s="234"/>
      <c r="B753" s="234"/>
    </row>
    <row r="754">
      <c r="A754" s="234"/>
      <c r="B754" s="234"/>
    </row>
    <row r="755">
      <c r="A755" s="234"/>
      <c r="B755" s="234"/>
    </row>
    <row r="756">
      <c r="A756" s="234"/>
      <c r="B756" s="234"/>
    </row>
    <row r="757">
      <c r="A757" s="234"/>
      <c r="B757" s="234"/>
    </row>
    <row r="758">
      <c r="A758" s="234"/>
      <c r="B758" s="234"/>
    </row>
    <row r="759">
      <c r="A759" s="234"/>
      <c r="B759" s="234"/>
    </row>
    <row r="760">
      <c r="A760" s="234"/>
      <c r="B760" s="234"/>
    </row>
    <row r="761">
      <c r="A761" s="234"/>
      <c r="B761" s="234"/>
    </row>
    <row r="762">
      <c r="A762" s="234"/>
      <c r="B762" s="234"/>
    </row>
    <row r="763">
      <c r="A763" s="234"/>
      <c r="B763" s="234"/>
    </row>
    <row r="764">
      <c r="A764" s="234"/>
      <c r="B764" s="234"/>
    </row>
    <row r="765">
      <c r="A765" s="234"/>
      <c r="B765" s="234"/>
    </row>
    <row r="766">
      <c r="A766" s="234"/>
      <c r="B766" s="234"/>
    </row>
    <row r="767">
      <c r="A767" s="234"/>
      <c r="B767" s="234"/>
    </row>
    <row r="768">
      <c r="A768" s="234"/>
      <c r="B768" s="234"/>
    </row>
    <row r="769">
      <c r="A769" s="234"/>
      <c r="B769" s="234"/>
    </row>
    <row r="770">
      <c r="A770" s="234"/>
      <c r="B770" s="234"/>
    </row>
    <row r="771">
      <c r="A771" s="234"/>
      <c r="B771" s="234"/>
    </row>
    <row r="772">
      <c r="A772" s="234"/>
      <c r="B772" s="234"/>
    </row>
    <row r="773">
      <c r="A773" s="234"/>
      <c r="B773" s="234"/>
    </row>
    <row r="774">
      <c r="A774" s="234"/>
      <c r="B774" s="234"/>
    </row>
    <row r="775">
      <c r="A775" s="234"/>
      <c r="B775" s="234"/>
    </row>
    <row r="776">
      <c r="A776" s="234"/>
      <c r="B776" s="234"/>
    </row>
    <row r="777">
      <c r="A777" s="234"/>
      <c r="B777" s="234"/>
    </row>
    <row r="778">
      <c r="A778" s="234"/>
      <c r="B778" s="234"/>
    </row>
    <row r="779">
      <c r="A779" s="234"/>
      <c r="B779" s="234"/>
    </row>
    <row r="780">
      <c r="A780" s="234"/>
      <c r="B780" s="234"/>
    </row>
    <row r="781">
      <c r="A781" s="234"/>
      <c r="B781" s="234"/>
    </row>
    <row r="782">
      <c r="A782" s="234"/>
      <c r="B782" s="234"/>
    </row>
    <row r="783">
      <c r="A783" s="234"/>
      <c r="B783" s="234"/>
    </row>
    <row r="784">
      <c r="A784" s="234"/>
      <c r="B784" s="234"/>
    </row>
    <row r="785">
      <c r="A785" s="234"/>
      <c r="B785" s="234"/>
    </row>
    <row r="786">
      <c r="A786" s="234"/>
      <c r="B786" s="234"/>
    </row>
    <row r="787">
      <c r="A787" s="234"/>
      <c r="B787" s="234"/>
    </row>
    <row r="788">
      <c r="A788" s="234"/>
      <c r="B788" s="234"/>
    </row>
    <row r="789">
      <c r="A789" s="234"/>
      <c r="B789" s="234"/>
    </row>
    <row r="790">
      <c r="A790" s="234"/>
      <c r="B790" s="234"/>
    </row>
    <row r="791">
      <c r="A791" s="234"/>
      <c r="B791" s="234"/>
    </row>
    <row r="792">
      <c r="A792" s="234"/>
      <c r="B792" s="234"/>
    </row>
    <row r="793">
      <c r="A793" s="234"/>
      <c r="B793" s="234"/>
    </row>
    <row r="794">
      <c r="A794" s="234"/>
      <c r="B794" s="234"/>
    </row>
    <row r="795">
      <c r="A795" s="234"/>
      <c r="B795" s="234"/>
    </row>
    <row r="796">
      <c r="A796" s="234"/>
      <c r="B796" s="234"/>
    </row>
    <row r="797">
      <c r="A797" s="234"/>
      <c r="B797" s="234"/>
    </row>
    <row r="798">
      <c r="A798" s="234"/>
      <c r="B798" s="234"/>
    </row>
    <row r="799">
      <c r="A799" s="234"/>
      <c r="B799" s="234"/>
    </row>
    <row r="800">
      <c r="A800" s="234"/>
      <c r="B800" s="234"/>
    </row>
    <row r="801">
      <c r="A801" s="234"/>
      <c r="B801" s="234"/>
    </row>
    <row r="802">
      <c r="A802" s="234"/>
      <c r="B802" s="234"/>
    </row>
    <row r="803">
      <c r="A803" s="234"/>
      <c r="B803" s="234"/>
    </row>
    <row r="804">
      <c r="A804" s="234"/>
      <c r="B804" s="234"/>
    </row>
    <row r="805">
      <c r="A805" s="234"/>
      <c r="B805" s="234"/>
    </row>
    <row r="806">
      <c r="A806" s="234"/>
      <c r="B806" s="234"/>
    </row>
    <row r="807">
      <c r="A807" s="234"/>
      <c r="B807" s="234"/>
    </row>
    <row r="808">
      <c r="A808" s="234"/>
      <c r="B808" s="234"/>
    </row>
    <row r="809">
      <c r="A809" s="234"/>
      <c r="B809" s="234"/>
    </row>
    <row r="810">
      <c r="A810" s="234"/>
      <c r="B810" s="234"/>
    </row>
    <row r="811">
      <c r="A811" s="234"/>
      <c r="B811" s="234"/>
    </row>
    <row r="812">
      <c r="A812" s="234"/>
      <c r="B812" s="234"/>
    </row>
    <row r="813">
      <c r="A813" s="234"/>
      <c r="B813" s="234"/>
    </row>
    <row r="814">
      <c r="A814" s="234"/>
      <c r="B814" s="234"/>
    </row>
    <row r="815">
      <c r="A815" s="234"/>
      <c r="B815" s="234"/>
    </row>
    <row r="816">
      <c r="A816" s="234"/>
      <c r="B816" s="234"/>
    </row>
    <row r="817">
      <c r="A817" s="234"/>
      <c r="B817" s="234"/>
    </row>
    <row r="818">
      <c r="A818" s="234"/>
      <c r="B818" s="234"/>
    </row>
    <row r="819">
      <c r="A819" s="234"/>
      <c r="B819" s="234"/>
    </row>
    <row r="820">
      <c r="A820" s="234"/>
      <c r="B820" s="234"/>
    </row>
    <row r="821">
      <c r="A821" s="234"/>
      <c r="B821" s="234"/>
    </row>
    <row r="822">
      <c r="A822" s="234"/>
      <c r="B822" s="234"/>
    </row>
    <row r="823">
      <c r="A823" s="234"/>
      <c r="B823" s="234"/>
    </row>
    <row r="824">
      <c r="A824" s="234"/>
      <c r="B824" s="234"/>
    </row>
    <row r="825">
      <c r="A825" s="234"/>
      <c r="B825" s="234"/>
    </row>
    <row r="826">
      <c r="A826" s="234"/>
      <c r="B826" s="234"/>
    </row>
    <row r="827">
      <c r="A827" s="234"/>
      <c r="B827" s="234"/>
    </row>
    <row r="828">
      <c r="A828" s="234"/>
      <c r="B828" s="234"/>
    </row>
    <row r="829">
      <c r="A829" s="234"/>
      <c r="B829" s="234"/>
    </row>
    <row r="830">
      <c r="A830" s="234"/>
      <c r="B830" s="234"/>
    </row>
    <row r="831">
      <c r="A831" s="234"/>
      <c r="B831" s="234"/>
    </row>
    <row r="832">
      <c r="A832" s="234"/>
      <c r="B832" s="234"/>
    </row>
    <row r="833">
      <c r="A833" s="234"/>
      <c r="B833" s="234"/>
    </row>
    <row r="834">
      <c r="A834" s="234"/>
      <c r="B834" s="234"/>
    </row>
    <row r="835">
      <c r="A835" s="234"/>
      <c r="B835" s="234"/>
    </row>
    <row r="836">
      <c r="A836" s="234"/>
      <c r="B836" s="234"/>
    </row>
    <row r="837">
      <c r="A837" s="234"/>
      <c r="B837" s="234"/>
    </row>
    <row r="838">
      <c r="A838" s="234"/>
      <c r="B838" s="234"/>
    </row>
    <row r="839">
      <c r="A839" s="234"/>
      <c r="B839" s="234"/>
    </row>
    <row r="840">
      <c r="A840" s="234"/>
      <c r="B840" s="234"/>
    </row>
    <row r="841">
      <c r="A841" s="234"/>
      <c r="B841" s="234"/>
    </row>
    <row r="842">
      <c r="A842" s="234"/>
      <c r="B842" s="234"/>
    </row>
    <row r="843">
      <c r="A843" s="234"/>
      <c r="B843" s="234"/>
    </row>
    <row r="844">
      <c r="A844" s="234"/>
      <c r="B844" s="234"/>
    </row>
    <row r="845">
      <c r="A845" s="234"/>
      <c r="B845" s="234"/>
    </row>
    <row r="846">
      <c r="A846" s="234"/>
      <c r="B846" s="234"/>
    </row>
    <row r="847">
      <c r="A847" s="234"/>
      <c r="B847" s="234"/>
    </row>
    <row r="848">
      <c r="A848" s="234"/>
      <c r="B848" s="234"/>
    </row>
    <row r="849">
      <c r="A849" s="234"/>
      <c r="B849" s="234"/>
    </row>
    <row r="850">
      <c r="A850" s="234"/>
      <c r="B850" s="234"/>
    </row>
    <row r="851">
      <c r="A851" s="234"/>
      <c r="B851" s="234"/>
    </row>
    <row r="852">
      <c r="A852" s="234"/>
      <c r="B852" s="234"/>
    </row>
    <row r="853">
      <c r="A853" s="234"/>
      <c r="B853" s="234"/>
    </row>
    <row r="854">
      <c r="A854" s="234"/>
      <c r="B854" s="234"/>
    </row>
    <row r="855">
      <c r="A855" s="234"/>
      <c r="B855" s="234"/>
    </row>
    <row r="856">
      <c r="A856" s="234"/>
      <c r="B856" s="234"/>
    </row>
    <row r="857">
      <c r="A857" s="234"/>
      <c r="B857" s="234"/>
    </row>
    <row r="858">
      <c r="A858" s="234"/>
      <c r="B858" s="234"/>
    </row>
    <row r="859">
      <c r="A859" s="234"/>
      <c r="B859" s="234"/>
    </row>
    <row r="860">
      <c r="A860" s="234"/>
      <c r="B860" s="234"/>
    </row>
    <row r="861">
      <c r="A861" s="234"/>
      <c r="B861" s="234"/>
    </row>
    <row r="862">
      <c r="A862" s="234"/>
      <c r="B862" s="234"/>
    </row>
    <row r="863">
      <c r="A863" s="234"/>
      <c r="B863" s="234"/>
    </row>
    <row r="864">
      <c r="A864" s="234"/>
      <c r="B864" s="234"/>
    </row>
    <row r="865">
      <c r="A865" s="234"/>
      <c r="B865" s="234"/>
    </row>
    <row r="866">
      <c r="A866" s="234"/>
      <c r="B866" s="234"/>
    </row>
    <row r="867">
      <c r="A867" s="234"/>
      <c r="B867" s="234"/>
    </row>
    <row r="868">
      <c r="A868" s="234"/>
      <c r="B868" s="234"/>
    </row>
    <row r="869">
      <c r="A869" s="234"/>
      <c r="B869" s="234"/>
    </row>
    <row r="870">
      <c r="A870" s="234"/>
      <c r="B870" s="234"/>
    </row>
    <row r="871">
      <c r="A871" s="234"/>
      <c r="B871" s="234"/>
    </row>
    <row r="872">
      <c r="A872" s="234"/>
      <c r="B872" s="234"/>
    </row>
    <row r="873">
      <c r="A873" s="234"/>
      <c r="B873" s="234"/>
    </row>
    <row r="874">
      <c r="A874" s="234"/>
      <c r="B874" s="234"/>
    </row>
    <row r="875">
      <c r="A875" s="234"/>
      <c r="B875" s="234"/>
    </row>
    <row r="876">
      <c r="A876" s="234"/>
      <c r="B876" s="234"/>
    </row>
    <row r="877">
      <c r="A877" s="234"/>
      <c r="B877" s="234"/>
    </row>
    <row r="878">
      <c r="A878" s="234"/>
      <c r="B878" s="234"/>
    </row>
    <row r="879">
      <c r="A879" s="234"/>
      <c r="B879" s="234"/>
    </row>
    <row r="880">
      <c r="A880" s="234"/>
      <c r="B880" s="234"/>
    </row>
    <row r="881">
      <c r="A881" s="234"/>
      <c r="B881" s="234"/>
    </row>
    <row r="882">
      <c r="A882" s="234"/>
      <c r="B882" s="234"/>
    </row>
    <row r="883">
      <c r="A883" s="234"/>
      <c r="B883" s="234"/>
    </row>
    <row r="884">
      <c r="A884" s="234"/>
      <c r="B884" s="234"/>
    </row>
    <row r="885">
      <c r="A885" s="234"/>
      <c r="B885" s="234"/>
    </row>
    <row r="886">
      <c r="A886" s="234"/>
      <c r="B886" s="234"/>
    </row>
    <row r="887">
      <c r="A887" s="234"/>
      <c r="B887" s="234"/>
    </row>
    <row r="888">
      <c r="A888" s="234"/>
      <c r="B888" s="234"/>
    </row>
    <row r="889">
      <c r="A889" s="234"/>
      <c r="B889" s="234"/>
    </row>
    <row r="890">
      <c r="A890" s="234"/>
      <c r="B890" s="234"/>
    </row>
    <row r="891">
      <c r="A891" s="234"/>
      <c r="B891" s="234"/>
    </row>
    <row r="892">
      <c r="A892" s="234"/>
      <c r="B892" s="234"/>
    </row>
    <row r="893">
      <c r="A893" s="234"/>
      <c r="B893" s="234"/>
    </row>
    <row r="894">
      <c r="A894" s="234"/>
      <c r="B894" s="234"/>
    </row>
    <row r="895">
      <c r="A895" s="234"/>
      <c r="B895" s="234"/>
    </row>
    <row r="896">
      <c r="A896" s="234"/>
      <c r="B896" s="234"/>
    </row>
    <row r="897">
      <c r="A897" s="234"/>
      <c r="B897" s="234"/>
    </row>
    <row r="898">
      <c r="A898" s="234"/>
      <c r="B898" s="234"/>
    </row>
    <row r="899">
      <c r="A899" s="234"/>
      <c r="B899" s="234"/>
    </row>
    <row r="900">
      <c r="A900" s="234"/>
      <c r="B900" s="234"/>
    </row>
    <row r="901">
      <c r="A901" s="234"/>
      <c r="B901" s="234"/>
    </row>
    <row r="902">
      <c r="A902" s="234"/>
      <c r="B902" s="234"/>
    </row>
    <row r="903">
      <c r="A903" s="234"/>
      <c r="B903" s="234"/>
    </row>
    <row r="904">
      <c r="A904" s="234"/>
      <c r="B904" s="234"/>
    </row>
    <row r="905">
      <c r="A905" s="234"/>
      <c r="B905" s="234"/>
    </row>
    <row r="906">
      <c r="A906" s="234"/>
      <c r="B906" s="234"/>
    </row>
    <row r="907">
      <c r="A907" s="234"/>
      <c r="B907" s="234"/>
    </row>
    <row r="908">
      <c r="A908" s="234"/>
      <c r="B908" s="234"/>
    </row>
    <row r="909">
      <c r="A909" s="234"/>
      <c r="B909" s="234"/>
    </row>
    <row r="910">
      <c r="A910" s="234"/>
      <c r="B910" s="234"/>
    </row>
    <row r="911">
      <c r="A911" s="234"/>
      <c r="B911" s="234"/>
    </row>
    <row r="912">
      <c r="A912" s="234"/>
      <c r="B912" s="234"/>
    </row>
    <row r="913">
      <c r="A913" s="234"/>
      <c r="B913" s="234"/>
    </row>
    <row r="914">
      <c r="A914" s="234"/>
      <c r="B914" s="234"/>
    </row>
    <row r="915">
      <c r="A915" s="234"/>
      <c r="B915" s="234"/>
    </row>
    <row r="916">
      <c r="A916" s="234"/>
      <c r="B916" s="234"/>
    </row>
    <row r="917">
      <c r="A917" s="234"/>
      <c r="B917" s="234"/>
    </row>
    <row r="918">
      <c r="A918" s="234"/>
      <c r="B918" s="234"/>
    </row>
    <row r="919">
      <c r="A919" s="234"/>
      <c r="B919" s="234"/>
    </row>
    <row r="920">
      <c r="A920" s="234"/>
      <c r="B920" s="234"/>
    </row>
    <row r="921">
      <c r="A921" s="234"/>
      <c r="B921" s="234"/>
    </row>
    <row r="922">
      <c r="A922" s="234"/>
      <c r="B922" s="234"/>
    </row>
    <row r="923">
      <c r="A923" s="234"/>
      <c r="B923" s="234"/>
    </row>
    <row r="924">
      <c r="A924" s="234"/>
      <c r="B924" s="234"/>
    </row>
    <row r="925">
      <c r="A925" s="234"/>
      <c r="B925" s="234"/>
    </row>
    <row r="926">
      <c r="A926" s="234"/>
      <c r="B926" s="234"/>
    </row>
    <row r="927">
      <c r="A927" s="234"/>
      <c r="B927" s="234"/>
    </row>
    <row r="928">
      <c r="A928" s="234"/>
      <c r="B928" s="234"/>
    </row>
    <row r="929">
      <c r="A929" s="234"/>
      <c r="B929" s="234"/>
    </row>
    <row r="930">
      <c r="A930" s="234"/>
      <c r="B930" s="234"/>
    </row>
    <row r="931">
      <c r="A931" s="234"/>
      <c r="B931" s="234"/>
    </row>
    <row r="932">
      <c r="A932" s="234"/>
      <c r="B932" s="234"/>
    </row>
    <row r="933">
      <c r="A933" s="234"/>
      <c r="B933" s="234"/>
    </row>
    <row r="934">
      <c r="A934" s="234"/>
      <c r="B934" s="234"/>
    </row>
    <row r="935">
      <c r="A935" s="234"/>
      <c r="B935" s="234"/>
    </row>
    <row r="936">
      <c r="A936" s="234"/>
      <c r="B936" s="234"/>
    </row>
    <row r="937">
      <c r="A937" s="234"/>
      <c r="B937" s="234"/>
    </row>
    <row r="938">
      <c r="A938" s="234"/>
      <c r="B938" s="234"/>
    </row>
    <row r="939">
      <c r="A939" s="234"/>
      <c r="B939" s="234"/>
    </row>
    <row r="940">
      <c r="A940" s="234"/>
      <c r="B940" s="234"/>
    </row>
    <row r="941">
      <c r="A941" s="234"/>
      <c r="B941" s="234"/>
    </row>
    <row r="942">
      <c r="A942" s="234"/>
      <c r="B942" s="234"/>
    </row>
    <row r="943">
      <c r="A943" s="234"/>
      <c r="B943" s="234"/>
    </row>
    <row r="944">
      <c r="A944" s="234"/>
      <c r="B944" s="234"/>
    </row>
    <row r="945">
      <c r="A945" s="234"/>
      <c r="B945" s="234"/>
    </row>
    <row r="946">
      <c r="A946" s="234"/>
      <c r="B946" s="234"/>
    </row>
    <row r="947">
      <c r="A947" s="234"/>
      <c r="B947" s="234"/>
    </row>
    <row r="948">
      <c r="A948" s="234"/>
      <c r="B948" s="234"/>
    </row>
    <row r="949">
      <c r="A949" s="234"/>
      <c r="B949" s="234"/>
    </row>
    <row r="950">
      <c r="A950" s="234"/>
      <c r="B950" s="234"/>
    </row>
    <row r="951">
      <c r="A951" s="234"/>
      <c r="B951" s="234"/>
    </row>
    <row r="952">
      <c r="A952" s="234"/>
      <c r="B952" s="234"/>
    </row>
    <row r="953">
      <c r="A953" s="234"/>
      <c r="B953" s="234"/>
    </row>
    <row r="954">
      <c r="A954" s="234"/>
      <c r="B954" s="234"/>
    </row>
    <row r="955">
      <c r="A955" s="234"/>
      <c r="B955" s="234"/>
    </row>
    <row r="956">
      <c r="A956" s="234"/>
      <c r="B956" s="234"/>
    </row>
    <row r="957">
      <c r="A957" s="234"/>
      <c r="B957" s="234"/>
    </row>
    <row r="958">
      <c r="A958" s="234"/>
      <c r="B958" s="234"/>
    </row>
    <row r="959">
      <c r="A959" s="234"/>
      <c r="B959" s="234"/>
    </row>
    <row r="960">
      <c r="A960" s="234"/>
      <c r="B960" s="234"/>
    </row>
    <row r="961">
      <c r="A961" s="234"/>
      <c r="B961" s="234"/>
    </row>
    <row r="962">
      <c r="A962" s="234"/>
      <c r="B962" s="234"/>
    </row>
    <row r="963">
      <c r="A963" s="234"/>
      <c r="B963" s="234"/>
    </row>
    <row r="964">
      <c r="A964" s="234"/>
      <c r="B964" s="234"/>
    </row>
    <row r="965">
      <c r="A965" s="234"/>
      <c r="B965" s="234"/>
    </row>
    <row r="966">
      <c r="A966" s="234"/>
      <c r="B966" s="234"/>
    </row>
    <row r="967">
      <c r="A967" s="234"/>
      <c r="B967" s="234"/>
    </row>
    <row r="968">
      <c r="A968" s="234"/>
      <c r="B968" s="234"/>
    </row>
    <row r="969">
      <c r="A969" s="234"/>
      <c r="B969" s="234"/>
    </row>
    <row r="970">
      <c r="A970" s="234"/>
      <c r="B970" s="234"/>
    </row>
    <row r="971">
      <c r="A971" s="234"/>
      <c r="B971" s="234"/>
    </row>
    <row r="972">
      <c r="A972" s="234"/>
      <c r="B972" s="234"/>
    </row>
    <row r="973">
      <c r="A973" s="234"/>
      <c r="B973" s="234"/>
    </row>
    <row r="974">
      <c r="A974" s="234"/>
      <c r="B974" s="234"/>
    </row>
    <row r="975">
      <c r="A975" s="234"/>
      <c r="B975" s="234"/>
    </row>
    <row r="976">
      <c r="A976" s="234"/>
      <c r="B976" s="234"/>
    </row>
    <row r="977">
      <c r="A977" s="234"/>
      <c r="B977" s="234"/>
    </row>
    <row r="978">
      <c r="A978" s="234"/>
      <c r="B978" s="234"/>
    </row>
    <row r="979">
      <c r="A979" s="234"/>
      <c r="B979" s="234"/>
    </row>
    <row r="980">
      <c r="A980" s="234"/>
      <c r="B980" s="234"/>
    </row>
    <row r="981">
      <c r="A981" s="234"/>
      <c r="B981" s="234"/>
    </row>
    <row r="982">
      <c r="A982" s="234"/>
      <c r="B982" s="234"/>
    </row>
    <row r="983">
      <c r="A983" s="234"/>
      <c r="B983" s="234"/>
    </row>
    <row r="984">
      <c r="A984" s="234"/>
      <c r="B984" s="234"/>
    </row>
    <row r="985">
      <c r="A985" s="234"/>
      <c r="B985" s="234"/>
    </row>
    <row r="986">
      <c r="A986" s="234"/>
      <c r="B986" s="234"/>
    </row>
    <row r="987">
      <c r="A987" s="234"/>
      <c r="B987" s="234"/>
    </row>
    <row r="988">
      <c r="A988" s="234"/>
      <c r="B988" s="234"/>
    </row>
    <row r="989">
      <c r="A989" s="234"/>
      <c r="B989" s="234"/>
    </row>
    <row r="990">
      <c r="A990" s="234"/>
      <c r="B990" s="234"/>
    </row>
    <row r="991">
      <c r="A991" s="234"/>
      <c r="B991" s="234"/>
    </row>
    <row r="992">
      <c r="A992" s="234"/>
      <c r="B992" s="234"/>
    </row>
    <row r="993">
      <c r="A993" s="234"/>
      <c r="B993" s="234"/>
    </row>
    <row r="994">
      <c r="A994" s="234"/>
      <c r="B994" s="234"/>
    </row>
    <row r="995">
      <c r="A995" s="234"/>
      <c r="B995" s="234"/>
    </row>
    <row r="996">
      <c r="A996" s="234"/>
      <c r="B996" s="234"/>
    </row>
    <row r="997">
      <c r="A997" s="234"/>
      <c r="B997" s="234"/>
    </row>
    <row r="998">
      <c r="A998" s="234"/>
      <c r="B998" s="234"/>
    </row>
    <row r="999">
      <c r="A999" s="234"/>
      <c r="B999" s="234"/>
    </row>
    <row r="1000">
      <c r="A1000" s="234"/>
      <c r="B1000" s="234"/>
    </row>
    <row r="1001">
      <c r="A1001" s="234"/>
      <c r="B1001" s="2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D1" s="62">
        <v>2.0</v>
      </c>
      <c r="E1" s="88">
        <f t="shared" ref="E1:AC1" si="1">D1+1</f>
        <v>3</v>
      </c>
      <c r="F1" s="88">
        <f t="shared" si="1"/>
        <v>4</v>
      </c>
      <c r="G1" s="88">
        <f t="shared" si="1"/>
        <v>5</v>
      </c>
      <c r="H1" s="88">
        <f t="shared" si="1"/>
        <v>6</v>
      </c>
      <c r="I1" s="88">
        <f t="shared" si="1"/>
        <v>7</v>
      </c>
      <c r="J1" s="88">
        <f t="shared" si="1"/>
        <v>8</v>
      </c>
      <c r="K1" s="88">
        <f t="shared" si="1"/>
        <v>9</v>
      </c>
      <c r="L1" s="88">
        <f t="shared" si="1"/>
        <v>10</v>
      </c>
      <c r="M1" s="88">
        <f t="shared" si="1"/>
        <v>11</v>
      </c>
      <c r="N1" s="88">
        <f t="shared" si="1"/>
        <v>12</v>
      </c>
      <c r="O1" s="88">
        <f t="shared" si="1"/>
        <v>13</v>
      </c>
      <c r="P1" s="88">
        <f t="shared" si="1"/>
        <v>14</v>
      </c>
      <c r="Q1" s="88">
        <f t="shared" si="1"/>
        <v>15</v>
      </c>
      <c r="R1" s="88">
        <f t="shared" si="1"/>
        <v>16</v>
      </c>
      <c r="S1" s="88">
        <f t="shared" si="1"/>
        <v>17</v>
      </c>
      <c r="T1" s="88">
        <f t="shared" si="1"/>
        <v>18</v>
      </c>
      <c r="U1" s="88">
        <f t="shared" si="1"/>
        <v>19</v>
      </c>
      <c r="V1" s="88">
        <f t="shared" si="1"/>
        <v>20</v>
      </c>
      <c r="W1" s="88">
        <f t="shared" si="1"/>
        <v>21</v>
      </c>
      <c r="X1" s="88">
        <f t="shared" si="1"/>
        <v>22</v>
      </c>
      <c r="Y1" s="88">
        <f t="shared" si="1"/>
        <v>23</v>
      </c>
      <c r="Z1" s="88">
        <f t="shared" si="1"/>
        <v>24</v>
      </c>
      <c r="AA1" s="88">
        <f t="shared" si="1"/>
        <v>25</v>
      </c>
      <c r="AB1" s="88">
        <f t="shared" si="1"/>
        <v>26</v>
      </c>
      <c r="AC1" s="88">
        <f t="shared" si="1"/>
        <v>27</v>
      </c>
    </row>
    <row r="2">
      <c r="A2" s="88" t="str">
        <f>IFERROR(__xludf.DUMMYFUNCTION("IMPORTRANGE(""https://docs.google.com/spreadsheets/d/10Moe6hpmLSb-N4nMnPxSG0Y7shtFAK9IZuIffV4jE8E/edit"", ""Реестр / Биг–Л!A2:AA500"")"),"")</f>
        <v/>
      </c>
      <c r="B2" s="88"/>
      <c r="C2" s="88"/>
      <c r="D2" s="88"/>
      <c r="E2" s="88"/>
      <c r="F2" s="88"/>
      <c r="G2" s="88"/>
      <c r="H2" s="88"/>
      <c r="I2" s="88"/>
      <c r="J2" s="88"/>
      <c r="K2" s="88"/>
      <c r="L2" s="88"/>
      <c r="M2" s="88" t="str">
        <f>IFERROR(__xludf.DUMMYFUNCTION("""COMPUTED_VALUE"""),"Маржа")</f>
        <v>Маржа</v>
      </c>
      <c r="N2" s="88"/>
      <c r="O2" s="88" t="str">
        <f>IFERROR(__xludf.DUMMYFUNCTION("""COMPUTED_VALUE"""),"ABC распределение")</f>
        <v>ABC распределение</v>
      </c>
      <c r="P2" s="88"/>
      <c r="Q2" s="88"/>
      <c r="R2" s="88"/>
      <c r="S2" s="88"/>
      <c r="T2" s="88"/>
      <c r="U2" s="240" t="str">
        <f>IFERROR(__xludf.DUMMYFUNCTION("""COMPUTED_VALUE"""),"По факту")</f>
        <v>По факту</v>
      </c>
      <c r="V2" s="240" t="str">
        <f>IFERROR(__xludf.DUMMYFUNCTION("""COMPUTED_VALUE"""),"Текущая")</f>
        <v>Текущая</v>
      </c>
      <c r="W2" s="241">
        <f>IFERROR(__xludf.DUMMYFUNCTION("""COMPUTED_VALUE"""),0.8)</f>
        <v>0.8</v>
      </c>
      <c r="X2" s="88" t="str">
        <f>IFERROR(__xludf.DUMMYFUNCTION("""COMPUTED_VALUE"""),"Логика?")</f>
        <v>Логика?</v>
      </c>
      <c r="Y2" s="88" t="str">
        <f>IFERROR(__xludf.DUMMYFUNCTION("""COMPUTED_VALUE"""),"По факту")</f>
        <v>По факту</v>
      </c>
      <c r="Z2" s="88"/>
      <c r="AA2" s="88" t="str">
        <f>IFERROR(__xludf.DUMMYFUNCTION("""COMPUTED_VALUE"""),"По факту")</f>
        <v>По факту</v>
      </c>
    </row>
    <row r="3">
      <c r="A3" s="88"/>
      <c r="B3" s="88" t="str">
        <f>IFERROR(__xludf.DUMMYFUNCTION("""COMPUTED_VALUE"""),"№")</f>
        <v>№</v>
      </c>
      <c r="C3" s="88" t="str">
        <f>IFERROR(__xludf.DUMMYFUNCTION("""COMPUTED_VALUE"""),"SKU")</f>
        <v>SKU</v>
      </c>
      <c r="D3" s="88" t="str">
        <f>IFERROR(__xludf.DUMMYFUNCTION("""COMPUTED_VALUE"""),"Артикул")</f>
        <v>Артикул</v>
      </c>
      <c r="E3" s="88" t="str">
        <f>IFERROR(__xludf.DUMMYFUNCTION("""COMPUTED_VALUE"""),"Бренд")</f>
        <v>Бренд</v>
      </c>
      <c r="F3" s="88" t="str">
        <f>IFERROR(__xludf.DUMMYFUNCTION("""COMPUTED_VALUE"""),"Наименование")</f>
        <v>Наименование</v>
      </c>
      <c r="G3" s="88" t="str">
        <f>IFERROR(__xludf.DUMMYFUNCTION("""COMPUTED_VALUE"""),"Ссылка")</f>
        <v>Ссылка</v>
      </c>
      <c r="H3" s="88" t="str">
        <f>IFERROR(__xludf.DUMMYFUNCTION("""COMPUTED_VALUE"""),"Категория 1")</f>
        <v>Категория 1</v>
      </c>
      <c r="I3" s="88" t="str">
        <f>IFERROR(__xludf.DUMMYFUNCTION("""COMPUTED_VALUE"""),"Категория 2")</f>
        <v>Категория 2</v>
      </c>
      <c r="J3" s="242" t="str">
        <f>IFERROR(__xludf.DUMMYFUNCTION("""COMPUTED_VALUE"""),"Категория 3 (на будущее)")</f>
        <v>Категория 3 (на будущее)</v>
      </c>
      <c r="K3" s="242" t="str">
        <f>IFERROR(__xludf.DUMMYFUNCTION("""COMPUTED_VALUE"""),"Выручка")</f>
        <v>Выручка</v>
      </c>
      <c r="L3" s="243" t="str">
        <f>IFERROR(__xludf.DUMMYFUNCTION("""COMPUTED_VALUE"""),"ДРР")</f>
        <v>ДРР</v>
      </c>
      <c r="M3" s="88" t="str">
        <f>IFERROR(__xludf.DUMMYFUNCTION("""COMPUTED_VALUE"""),"С рекламой")</f>
        <v>С рекламой</v>
      </c>
      <c r="N3" s="243" t="str">
        <f>IFERROR(__xludf.DUMMYFUNCTION("""COMPUTED_VALUE"""),"Без рекламы")</f>
        <v>Без рекламы</v>
      </c>
      <c r="O3" s="88" t="str">
        <f>IFERROR(__xludf.DUMMYFUNCTION("""COMPUTED_VALUE"""),"Объем рынка")</f>
        <v>Объем рынка</v>
      </c>
      <c r="P3" s="88" t="str">
        <f>IFERROR(__xludf.DUMMYFUNCTION("""COMPUTED_VALUE"""),"Выручка")</f>
        <v>Выручка</v>
      </c>
      <c r="Q3" s="88" t="str">
        <f>IFERROR(__xludf.DUMMYFUNCTION("""COMPUTED_VALUE"""),"Маржа")</f>
        <v>Маржа</v>
      </c>
      <c r="R3" s="88" t="str">
        <f>IFERROR(__xludf.DUMMYFUNCTION("""COMPUTED_VALUE"""),"Total")</f>
        <v>Total</v>
      </c>
      <c r="S3" s="88" t="str">
        <f>IFERROR(__xludf.DUMMYFUNCTION("""COMPUTED_VALUE"""),"Статус товара")</f>
        <v>Статус товара</v>
      </c>
      <c r="T3" s="88" t="str">
        <f>IFERROR(__xludf.DUMMYFUNCTION("""COMPUTED_VALUE"""),"Ответственный")</f>
        <v>Ответственный</v>
      </c>
      <c r="U3" s="240" t="str">
        <f>IFERROR(__xludf.DUMMYFUNCTION("""COMPUTED_VALUE"""),"Себестоимость")</f>
        <v>Себестоимость</v>
      </c>
      <c r="V3" s="240" t="str">
        <f>IFERROR(__xludf.DUMMYFUNCTION("""COMPUTED_VALUE"""),"Цена")</f>
        <v>Цена</v>
      </c>
      <c r="W3" s="88" t="str">
        <f>IFERROR(__xludf.DUMMYFUNCTION("""COMPUTED_VALUE"""),"МРЦ")</f>
        <v>МРЦ</v>
      </c>
      <c r="X3" s="88" t="str">
        <f>IFERROR(__xludf.DUMMYFUNCTION("""COMPUTED_VALUE"""),"РРЦ")</f>
        <v>РРЦ</v>
      </c>
      <c r="Y3" s="88" t="str">
        <f>IFERROR(__xludf.DUMMYFUNCTION("""COMPUTED_VALUE"""),"СПП")</f>
        <v>СПП</v>
      </c>
      <c r="Z3" s="88" t="str">
        <f>IFERROR(__xludf.DUMMYFUNCTION("""COMPUTED_VALUE"""),"Заметка")</f>
        <v>Заметка</v>
      </c>
      <c r="AA3" s="88" t="str">
        <f>IFERROR(__xludf.DUMMYFUNCTION("""COMPUTED_VALUE"""),"Остатки МП")</f>
        <v>Остатки МП</v>
      </c>
    </row>
    <row r="4">
      <c r="A4" s="88"/>
      <c r="B4" s="88">
        <f>IFERROR(__xludf.DUMMYFUNCTION("""COMPUTED_VALUE"""),34.0)</f>
        <v>34</v>
      </c>
      <c r="C4" s="88" t="str">
        <f>IFERROR(__xludf.DUMMYFUNCTION("""COMPUTED_VALUE"""),"harly_paste_75ml_v2")</f>
        <v>harly_paste_75ml_v2</v>
      </c>
      <c r="D4" s="88">
        <f>IFERROR(__xludf.DUMMYFUNCTION("""COMPUTED_VALUE"""),2.517120405E9)</f>
        <v>2517120405</v>
      </c>
      <c r="E4" s="88" t="str">
        <f>IFERROR(__xludf.DUMMYFUNCTION("""COMPUTED_VALUE"""),"Harly")</f>
        <v>Harly</v>
      </c>
      <c r="F4" s="88" t="str">
        <f>IFERROR(__xludf.DUMMYFUNCTION("""COMPUTED_VALUE"""),"Паста для вывода шерсти кошек и хорьков Harly 75 мл")</f>
        <v>Паста для вывода шерсти кошек и хорьков Harly 75 мл</v>
      </c>
      <c r="G4" s="88"/>
      <c r="H4" s="88" t="str">
        <f>IFERROR(__xludf.DUMMYFUNCTION("""COMPUTED_VALUE"""),"Корма и Кормовые добавки")</f>
        <v>Корма и Кормовые добавки</v>
      </c>
      <c r="I4" s="88" t="str">
        <f>IFERROR(__xludf.DUMMYFUNCTION("""COMPUTED_VALUE"""),"Витамины для кошек")</f>
        <v>Витамины для кошек</v>
      </c>
      <c r="J4" s="88"/>
      <c r="K4" s="242">
        <f>IFERROR(__xludf.DUMMYFUNCTION("""COMPUTED_VALUE"""),102199.0)</f>
        <v>102199</v>
      </c>
      <c r="L4" s="88"/>
      <c r="M4" s="243">
        <f>IFERROR(__xludf.DUMMYFUNCTION("""COMPUTED_VALUE"""),0.12533225540456563)</f>
        <v>0.1253322554</v>
      </c>
      <c r="N4" s="243">
        <f>IFERROR(__xludf.DUMMYFUNCTION("""COMPUTED_VALUE"""),0.5417609992201804)</f>
        <v>0.5417609992</v>
      </c>
      <c r="O4" s="88"/>
      <c r="P4" s="88"/>
      <c r="Q4" s="88"/>
      <c r="R4" s="88"/>
      <c r="S4" s="88" t="str">
        <f>IFERROR(__xludf.DUMMYFUNCTION("""COMPUTED_VALUE"""),"Актуально")</f>
        <v>Актуально</v>
      </c>
      <c r="T4" s="88" t="str">
        <f>IFERROR(__xludf.DUMMYFUNCTION("""COMPUTED_VALUE"""),"Кристина")</f>
        <v>Кристина</v>
      </c>
      <c r="U4" s="240">
        <f>IFERROR(__xludf.DUMMYFUNCTION("""COMPUTED_VALUE"""),102.0)</f>
        <v>102</v>
      </c>
      <c r="V4" s="88"/>
      <c r="W4" s="240">
        <f>IFERROR(__xludf.DUMMYFUNCTION("""COMPUTED_VALUE"""),510.0000000000001)</f>
        <v>510</v>
      </c>
      <c r="X4" s="88"/>
      <c r="Y4" s="88"/>
      <c r="Z4" s="88"/>
      <c r="AA4" s="88"/>
      <c r="AC4" s="62" t="s">
        <v>116</v>
      </c>
    </row>
    <row r="5">
      <c r="A5" s="88"/>
      <c r="B5" s="88">
        <f>IFERROR(__xludf.DUMMYFUNCTION("""COMPUTED_VALUE"""),50.0)</f>
        <v>50</v>
      </c>
      <c r="C5" s="88" t="str">
        <f>IFERROR(__xludf.DUMMYFUNCTION("""COMPUTED_VALUE"""),"Harly_cat_support_100tabs")</f>
        <v>Harly_cat_support_100tabs</v>
      </c>
      <c r="D5" s="88">
        <f>IFERROR(__xludf.DUMMYFUNCTION("""COMPUTED_VALUE"""),1.010948247E9)</f>
        <v>1010948247</v>
      </c>
      <c r="E5" s="88" t="str">
        <f>IFERROR(__xludf.DUMMYFUNCTION("""COMPUTED_VALUE"""),"Harly")</f>
        <v>Harly</v>
      </c>
      <c r="F5" s="88" t="str">
        <f>IFERROR(__xludf.DUMMYFUNCTION("""COMPUTED_VALUE"""),"Витамины для кастрированных и стерилизованных котов, 100 таблеток")</f>
        <v>Витамины для кастрированных и стерилизованных котов, 100 таблеток</v>
      </c>
      <c r="G5" s="88"/>
      <c r="H5" s="88" t="str">
        <f>IFERROR(__xludf.DUMMYFUNCTION("""COMPUTED_VALUE"""),"Корма и Кормовые добавки")</f>
        <v>Корма и Кормовые добавки</v>
      </c>
      <c r="I5" s="88" t="str">
        <f>IFERROR(__xludf.DUMMYFUNCTION("""COMPUTED_VALUE"""),"Витамины для кошек")</f>
        <v>Витамины для кошек</v>
      </c>
      <c r="J5" s="88"/>
      <c r="K5" s="242">
        <f>IFERROR(__xludf.DUMMYFUNCTION("""COMPUTED_VALUE"""),58671.0)</f>
        <v>58671</v>
      </c>
      <c r="L5" s="88"/>
      <c r="M5" s="243">
        <f>IFERROR(__xludf.DUMMYFUNCTION("""COMPUTED_VALUE"""),0.3885749070487559)</f>
        <v>0.388574907</v>
      </c>
      <c r="N5" s="243">
        <f>IFERROR(__xludf.DUMMYFUNCTION("""COMPUTED_VALUE"""),0.5237688519100677)</f>
        <v>0.5237688519</v>
      </c>
      <c r="O5" s="88"/>
      <c r="P5" s="88"/>
      <c r="Q5" s="88"/>
      <c r="R5" s="88"/>
      <c r="S5" s="88" t="str">
        <f>IFERROR(__xludf.DUMMYFUNCTION("""COMPUTED_VALUE"""),"Актуально")</f>
        <v>Актуально</v>
      </c>
      <c r="T5" s="88" t="str">
        <f>IFERROR(__xludf.DUMMYFUNCTION("""COMPUTED_VALUE"""),"Кристина")</f>
        <v>Кристина</v>
      </c>
      <c r="U5" s="240">
        <f>IFERROR(__xludf.DUMMYFUNCTION("""COMPUTED_VALUE"""),53.65)</f>
        <v>53.65</v>
      </c>
      <c r="V5" s="88"/>
      <c r="W5" s="240">
        <f>IFERROR(__xludf.DUMMYFUNCTION("""COMPUTED_VALUE"""),268.25000000000006)</f>
        <v>268.25</v>
      </c>
      <c r="X5" s="88"/>
      <c r="Y5" s="88"/>
      <c r="Z5" s="88"/>
      <c r="AA5" s="88"/>
      <c r="AC5" s="62" t="s">
        <v>116</v>
      </c>
    </row>
    <row r="6">
      <c r="A6" s="88"/>
      <c r="B6" s="88">
        <f>IFERROR(__xludf.DUMMYFUNCTION("""COMPUTED_VALUE"""),70.0)</f>
        <v>70</v>
      </c>
      <c r="C6" s="88" t="str">
        <f>IFERROR(__xludf.DUMMYFUNCTION("""COMPUTED_VALUE"""),"Harly_cat_teeth_bones_100tabs")</f>
        <v>Harly_cat_teeth_bones_100tabs</v>
      </c>
      <c r="D6" s="88">
        <f>IFERROR(__xludf.DUMMYFUNCTION("""COMPUTED_VALUE"""),1.018532111E9)</f>
        <v>1018532111</v>
      </c>
      <c r="E6" s="88" t="str">
        <f>IFERROR(__xludf.DUMMYFUNCTION("""COMPUTED_VALUE"""),"Harly")</f>
        <v>Harly</v>
      </c>
      <c r="F6" s="88" t="str">
        <f>IFERROR(__xludf.DUMMYFUNCTION("""COMPUTED_VALUE"""),"Витамины для кошек для костей и зубов, 100 таблеток")</f>
        <v>Витамины для кошек для костей и зубов, 100 таблеток</v>
      </c>
      <c r="G6" s="88"/>
      <c r="H6" s="88" t="str">
        <f>IFERROR(__xludf.DUMMYFUNCTION("""COMPUTED_VALUE"""),"Корма и Кормовые добавки")</f>
        <v>Корма и Кормовые добавки</v>
      </c>
      <c r="I6" s="88" t="str">
        <f>IFERROR(__xludf.DUMMYFUNCTION("""COMPUTED_VALUE"""),"Витамины для кошек")</f>
        <v>Витамины для кошек</v>
      </c>
      <c r="J6" s="88"/>
      <c r="K6" s="242">
        <f>IFERROR(__xludf.DUMMYFUNCTION("""COMPUTED_VALUE"""),34137.0)</f>
        <v>34137</v>
      </c>
      <c r="L6" s="88"/>
      <c r="M6" s="243">
        <f>IFERROR(__xludf.DUMMYFUNCTION("""COMPUTED_VALUE"""),0.38106087308236786)</f>
        <v>0.3810608731</v>
      </c>
      <c r="N6" s="243">
        <f>IFERROR(__xludf.DUMMYFUNCTION("""COMPUTED_VALUE"""),0.5191951001068962)</f>
        <v>0.5191951001</v>
      </c>
      <c r="O6" s="88"/>
      <c r="P6" s="88"/>
      <c r="Q6" s="88"/>
      <c r="R6" s="88"/>
      <c r="S6" s="88" t="str">
        <f>IFERROR(__xludf.DUMMYFUNCTION("""COMPUTED_VALUE"""),"Актуально")</f>
        <v>Актуально</v>
      </c>
      <c r="T6" s="88" t="str">
        <f>IFERROR(__xludf.DUMMYFUNCTION("""COMPUTED_VALUE"""),"Кристина")</f>
        <v>Кристина</v>
      </c>
      <c r="U6" s="240">
        <f>IFERROR(__xludf.DUMMYFUNCTION("""COMPUTED_VALUE"""),53.65)</f>
        <v>53.65</v>
      </c>
      <c r="V6" s="88"/>
      <c r="W6" s="240">
        <f>IFERROR(__xludf.DUMMYFUNCTION("""COMPUTED_VALUE"""),268.25000000000006)</f>
        <v>268.25</v>
      </c>
      <c r="X6" s="88"/>
      <c r="Y6" s="88"/>
      <c r="Z6" s="88"/>
      <c r="AA6" s="88"/>
      <c r="AC6" s="62" t="s">
        <v>116</v>
      </c>
    </row>
    <row r="7">
      <c r="A7" s="88"/>
      <c r="B7" s="88">
        <f>IFERROR(__xludf.DUMMYFUNCTION("""COMPUTED_VALUE"""),92.0)</f>
        <v>92</v>
      </c>
      <c r="C7" s="88" t="str">
        <f>IFERROR(__xludf.DUMMYFUNCTION("""COMPUTED_VALUE"""),"harly_paste_75ml")</f>
        <v>harly_paste_75ml</v>
      </c>
      <c r="D7" s="88">
        <f>IFERROR(__xludf.DUMMYFUNCTION("""COMPUTED_VALUE"""),1.711363073E9)</f>
        <v>1711363073</v>
      </c>
      <c r="E7" s="88" t="str">
        <f>IFERROR(__xludf.DUMMYFUNCTION("""COMPUTED_VALUE"""),"Harly")</f>
        <v>Harly</v>
      </c>
      <c r="F7" s="88" t="str">
        <f>IFERROR(__xludf.DUMMYFUNCTION("""COMPUTED_VALUE"""),"Паста для вывода шерсти кошек и хорьков Harly 75 мл")</f>
        <v>Паста для вывода шерсти кошек и хорьков Harly 75 мл</v>
      </c>
      <c r="G7" s="88"/>
      <c r="H7" s="88" t="str">
        <f>IFERROR(__xludf.DUMMYFUNCTION("""COMPUTED_VALUE"""),"Корма и Кормовые добавки")</f>
        <v>Корма и Кормовые добавки</v>
      </c>
      <c r="I7" s="88" t="str">
        <f>IFERROR(__xludf.DUMMYFUNCTION("""COMPUTED_VALUE"""),"Витамины для кошек")</f>
        <v>Витамины для кошек</v>
      </c>
      <c r="J7" s="88"/>
      <c r="K7" s="242">
        <f>IFERROR(__xludf.DUMMYFUNCTION("""COMPUTED_VALUE"""),241.0)</f>
        <v>241</v>
      </c>
      <c r="L7" s="88"/>
      <c r="M7" s="243">
        <f>IFERROR(__xludf.DUMMYFUNCTION("""COMPUTED_VALUE"""),-0.8097999999999999)</f>
        <v>-0.8098</v>
      </c>
      <c r="N7" s="243">
        <f>IFERROR(__xludf.DUMMYFUNCTION("""COMPUTED_VALUE"""),-0.8070999999999998)</f>
        <v>-0.8071</v>
      </c>
      <c r="O7" s="88"/>
      <c r="P7" s="88"/>
      <c r="Q7" s="88"/>
      <c r="R7" s="88"/>
      <c r="S7" s="88" t="str">
        <f>IFERROR(__xludf.DUMMYFUNCTION("""COMPUTED_VALUE"""),"На вывод")</f>
        <v>На вывод</v>
      </c>
      <c r="T7" s="88" t="str">
        <f>IFERROR(__xludf.DUMMYFUNCTION("""COMPUTED_VALUE"""),"Кристина")</f>
        <v>Кристина</v>
      </c>
      <c r="U7" s="240">
        <f>IFERROR(__xludf.DUMMYFUNCTION("""COMPUTED_VALUE"""),102.0)</f>
        <v>102</v>
      </c>
      <c r="V7" s="88"/>
      <c r="W7" s="240">
        <f>IFERROR(__xludf.DUMMYFUNCTION("""COMPUTED_VALUE"""),510.0000000000001)</f>
        <v>510</v>
      </c>
      <c r="X7" s="88"/>
      <c r="Y7" s="88"/>
      <c r="Z7" s="88"/>
      <c r="AA7" s="88"/>
      <c r="AC7" s="62" t="s">
        <v>116</v>
      </c>
    </row>
    <row r="8">
      <c r="A8" s="88"/>
      <c r="B8" s="88">
        <f>IFERROR(__xludf.DUMMYFUNCTION("""COMPUTED_VALUE"""),13.0)</f>
        <v>13</v>
      </c>
      <c r="C8" s="88" t="str">
        <f>IFERROR(__xludf.DUMMYFUNCTION("""COMPUTED_VALUE"""),"Harly_Skin_Coat")</f>
        <v>Harly_Skin_Coat</v>
      </c>
      <c r="D8" s="88">
        <f>IFERROR(__xludf.DUMMYFUNCTION("""COMPUTED_VALUE"""),8.84560852E8)</f>
        <v>884560852</v>
      </c>
      <c r="E8" s="88" t="str">
        <f>IFERROR(__xludf.DUMMYFUNCTION("""COMPUTED_VALUE"""),"Harly")</f>
        <v>Harly</v>
      </c>
      <c r="F8" s="88" t="str">
        <f>IFERROR(__xludf.DUMMYFUNCTION("""COMPUTED_VALUE"""),"Витамины для собак и щенков для здоровой и красивой шерсти, 100 таблеток")</f>
        <v>Витамины для собак и щенков для здоровой и красивой шерсти, 100 таблеток</v>
      </c>
      <c r="G8" s="88"/>
      <c r="H8" s="88" t="str">
        <f>IFERROR(__xludf.DUMMYFUNCTION("""COMPUTED_VALUE"""),"Корма и Кормовые добавки")</f>
        <v>Корма и Кормовые добавки</v>
      </c>
      <c r="I8" s="88" t="str">
        <f>IFERROR(__xludf.DUMMYFUNCTION("""COMPUTED_VALUE"""),"Витамины для собак")</f>
        <v>Витамины для собак</v>
      </c>
      <c r="J8" s="88"/>
      <c r="K8" s="242">
        <f>IFERROR(__xludf.DUMMYFUNCTION("""COMPUTED_VALUE"""),552636.0)</f>
        <v>552636</v>
      </c>
      <c r="L8" s="88"/>
      <c r="M8" s="243">
        <f>IFERROR(__xludf.DUMMYFUNCTION("""COMPUTED_VALUE"""),0.35495210526652743)</f>
        <v>0.3549521053</v>
      </c>
      <c r="N8" s="243">
        <f>IFERROR(__xludf.DUMMYFUNCTION("""COMPUTED_VALUE"""),0.5328592703940269)</f>
        <v>0.5328592704</v>
      </c>
      <c r="O8" s="88"/>
      <c r="P8" s="88"/>
      <c r="Q8" s="88"/>
      <c r="R8" s="88"/>
      <c r="S8" s="88" t="str">
        <f>IFERROR(__xludf.DUMMYFUNCTION("""COMPUTED_VALUE"""),"Актуально")</f>
        <v>Актуально</v>
      </c>
      <c r="T8" s="88" t="str">
        <f>IFERROR(__xludf.DUMMYFUNCTION("""COMPUTED_VALUE"""),"Кристина")</f>
        <v>Кристина</v>
      </c>
      <c r="U8" s="240">
        <f>IFERROR(__xludf.DUMMYFUNCTION("""COMPUTED_VALUE"""),53.4)</f>
        <v>53.4</v>
      </c>
      <c r="V8" s="88"/>
      <c r="W8" s="240">
        <f>IFERROR(__xludf.DUMMYFUNCTION("""COMPUTED_VALUE"""),267.00000000000006)</f>
        <v>267</v>
      </c>
      <c r="X8" s="88"/>
      <c r="Y8" s="88"/>
      <c r="Z8" s="88"/>
      <c r="AA8" s="88"/>
      <c r="AC8" s="62" t="s">
        <v>116</v>
      </c>
    </row>
    <row r="9">
      <c r="A9" s="88"/>
      <c r="B9" s="88">
        <f>IFERROR(__xludf.DUMMYFUNCTION("""COMPUTED_VALUE"""),14.0)</f>
        <v>14</v>
      </c>
      <c r="C9" s="88" t="str">
        <f>IFERROR(__xludf.DUMMYFUNCTION("""COMPUTED_VALUE"""),"harly_dog_antiallergy_100tabs")</f>
        <v>harly_dog_antiallergy_100tabs</v>
      </c>
      <c r="D9" s="88">
        <f>IFERROR(__xludf.DUMMYFUNCTION("""COMPUTED_VALUE"""),1.581829359E9)</f>
        <v>1581829359</v>
      </c>
      <c r="E9" s="88" t="str">
        <f>IFERROR(__xludf.DUMMYFUNCTION("""COMPUTED_VALUE"""),"Harly")</f>
        <v>Harly</v>
      </c>
      <c r="F9" s="88" t="str">
        <f>IFERROR(__xludf.DUMMYFUNCTION("""COMPUTED_VALUE"""),"Витамины противоаллергические собакам Harly Dog Anti-Allergy 100 таблеток")</f>
        <v>Витамины противоаллергические собакам Harly Dog Anti-Allergy 100 таблеток</v>
      </c>
      <c r="G9" s="88"/>
      <c r="H9" s="88" t="str">
        <f>IFERROR(__xludf.DUMMYFUNCTION("""COMPUTED_VALUE"""),"Корма и Кормовые добавки")</f>
        <v>Корма и Кормовые добавки</v>
      </c>
      <c r="I9" s="88" t="str">
        <f>IFERROR(__xludf.DUMMYFUNCTION("""COMPUTED_VALUE"""),"Витамины для собак")</f>
        <v>Витамины для собак</v>
      </c>
      <c r="J9" s="88"/>
      <c r="K9" s="242">
        <f>IFERROR(__xludf.DUMMYFUNCTION("""COMPUTED_VALUE"""),705675.0)</f>
        <v>705675</v>
      </c>
      <c r="L9" s="88"/>
      <c r="M9" s="243">
        <f>IFERROR(__xludf.DUMMYFUNCTION("""COMPUTED_VALUE"""),0.35048134699211125)</f>
        <v>0.350481347</v>
      </c>
      <c r="N9" s="243">
        <f>IFERROR(__xludf.DUMMYFUNCTION("""COMPUTED_VALUE"""),0.5726791951148809)</f>
        <v>0.5726791951</v>
      </c>
      <c r="O9" s="88"/>
      <c r="P9" s="88"/>
      <c r="Q9" s="88"/>
      <c r="R9" s="88"/>
      <c r="S9" s="88" t="str">
        <f>IFERROR(__xludf.DUMMYFUNCTION("""COMPUTED_VALUE"""),"Актуально")</f>
        <v>Актуально</v>
      </c>
      <c r="T9" s="88" t="str">
        <f>IFERROR(__xludf.DUMMYFUNCTION("""COMPUTED_VALUE"""),"Кристина")</f>
        <v>Кристина</v>
      </c>
      <c r="U9" s="240">
        <f>IFERROR(__xludf.DUMMYFUNCTION("""COMPUTED_VALUE"""),53.65)</f>
        <v>53.65</v>
      </c>
      <c r="V9" s="88"/>
      <c r="W9" s="240">
        <f>IFERROR(__xludf.DUMMYFUNCTION("""COMPUTED_VALUE"""),268.25000000000006)</f>
        <v>268.25</v>
      </c>
      <c r="X9" s="88"/>
      <c r="Y9" s="88"/>
      <c r="Z9" s="88"/>
      <c r="AA9" s="88"/>
      <c r="AC9" s="62" t="s">
        <v>116</v>
      </c>
    </row>
    <row r="10">
      <c r="A10" s="88"/>
      <c r="B10" s="88">
        <f>IFERROR(__xludf.DUMMYFUNCTION("""COMPUTED_VALUE"""),16.0)</f>
        <v>16</v>
      </c>
      <c r="C10" s="88" t="str">
        <f>IFERROR(__xludf.DUMMYFUNCTION("""COMPUTED_VALUE"""),"Harly_Joint_Care")</f>
        <v>Harly_Joint_Care</v>
      </c>
      <c r="D10" s="88">
        <f>IFERROR(__xludf.DUMMYFUNCTION("""COMPUTED_VALUE"""),8.84578393E8)</f>
        <v>884578393</v>
      </c>
      <c r="E10" s="88" t="str">
        <f>IFERROR(__xludf.DUMMYFUNCTION("""COMPUTED_VALUE"""),"Harly")</f>
        <v>Harly</v>
      </c>
      <c r="F10" s="88" t="str">
        <f>IFERROR(__xludf.DUMMYFUNCTION("""COMPUTED_VALUE"""),"Витамины для собак и щенков для костей суставов и связок 100 таблеток")</f>
        <v>Витамины для собак и щенков для костей суставов и связок 100 таблеток</v>
      </c>
      <c r="G10" s="88"/>
      <c r="H10" s="88" t="str">
        <f>IFERROR(__xludf.DUMMYFUNCTION("""COMPUTED_VALUE"""),"Корма и Кормовые добавки")</f>
        <v>Корма и Кормовые добавки</v>
      </c>
      <c r="I10" s="88" t="str">
        <f>IFERROR(__xludf.DUMMYFUNCTION("""COMPUTED_VALUE"""),"Витамины для собак")</f>
        <v>Витамины для собак</v>
      </c>
      <c r="J10" s="88"/>
      <c r="K10" s="242">
        <f>IFERROR(__xludf.DUMMYFUNCTION("""COMPUTED_VALUE"""),503841.0)</f>
        <v>503841</v>
      </c>
      <c r="L10" s="88"/>
      <c r="M10" s="243">
        <f>IFERROR(__xludf.DUMMYFUNCTION("""COMPUTED_VALUE"""),0.19900950601488773)</f>
        <v>0.199009506</v>
      </c>
      <c r="N10" s="243">
        <f>IFERROR(__xludf.DUMMYFUNCTION("""COMPUTED_VALUE"""),0.5400319471282639)</f>
        <v>0.5400319471</v>
      </c>
      <c r="O10" s="88"/>
      <c r="P10" s="88"/>
      <c r="Q10" s="88"/>
      <c r="R10" s="88"/>
      <c r="S10" s="88" t="str">
        <f>IFERROR(__xludf.DUMMYFUNCTION("""COMPUTED_VALUE"""),"Актуально")</f>
        <v>Актуально</v>
      </c>
      <c r="T10" s="88" t="str">
        <f>IFERROR(__xludf.DUMMYFUNCTION("""COMPUTED_VALUE"""),"Кристина")</f>
        <v>Кристина</v>
      </c>
      <c r="U10" s="240">
        <f>IFERROR(__xludf.DUMMYFUNCTION("""COMPUTED_VALUE"""),53.4)</f>
        <v>53.4</v>
      </c>
      <c r="V10" s="88"/>
      <c r="W10" s="240">
        <f>IFERROR(__xludf.DUMMYFUNCTION("""COMPUTED_VALUE"""),267.00000000000006)</f>
        <v>267</v>
      </c>
      <c r="X10" s="88"/>
      <c r="Y10" s="88"/>
      <c r="Z10" s="88"/>
      <c r="AA10" s="88"/>
      <c r="AC10" s="62" t="s">
        <v>116</v>
      </c>
    </row>
    <row r="11">
      <c r="A11" s="88"/>
      <c r="B11" s="88">
        <f>IFERROR(__xludf.DUMMYFUNCTION("""COMPUTED_VALUE"""),26.0)</f>
        <v>26</v>
      </c>
      <c r="C11" s="88" t="str">
        <f>IFERROR(__xludf.DUMMYFUNCTION("""COMPUTED_VALUE"""),"Harly_dog_teeth_bones_100tabs")</f>
        <v>Harly_dog_teeth_bones_100tabs</v>
      </c>
      <c r="D11" s="88">
        <f>IFERROR(__xludf.DUMMYFUNCTION("""COMPUTED_VALUE"""),1.018530861E9)</f>
        <v>1018530861</v>
      </c>
      <c r="E11" s="88" t="str">
        <f>IFERROR(__xludf.DUMMYFUNCTION("""COMPUTED_VALUE"""),"Harly")</f>
        <v>Harly</v>
      </c>
      <c r="F11" s="88" t="str">
        <f>IFERROR(__xludf.DUMMYFUNCTION("""COMPUTED_VALUE"""),"Витамины для собак и щенков для костей и зубов, 100 таблеток")</f>
        <v>Витамины для собак и щенков для костей и зубов, 100 таблеток</v>
      </c>
      <c r="G11" s="88"/>
      <c r="H11" s="88" t="str">
        <f>IFERROR(__xludf.DUMMYFUNCTION("""COMPUTED_VALUE"""),"Корма и Кормовые добавки")</f>
        <v>Корма и Кормовые добавки</v>
      </c>
      <c r="I11" s="88" t="str">
        <f>IFERROR(__xludf.DUMMYFUNCTION("""COMPUTED_VALUE"""),"Витамины для собак")</f>
        <v>Витамины для собак</v>
      </c>
      <c r="J11" s="88"/>
      <c r="K11" s="242">
        <f>IFERROR(__xludf.DUMMYFUNCTION("""COMPUTED_VALUE"""),322525.0)</f>
        <v>322525</v>
      </c>
      <c r="L11" s="88"/>
      <c r="M11" s="243">
        <f>IFERROR(__xludf.DUMMYFUNCTION("""COMPUTED_VALUE"""),0.25439780763668646)</f>
        <v>0.2543978076</v>
      </c>
      <c r="N11" s="243">
        <f>IFERROR(__xludf.DUMMYFUNCTION("""COMPUTED_VALUE"""),0.5296738721512568)</f>
        <v>0.5296738722</v>
      </c>
      <c r="O11" s="88"/>
      <c r="P11" s="88"/>
      <c r="Q11" s="88"/>
      <c r="R11" s="88"/>
      <c r="S11" s="88" t="str">
        <f>IFERROR(__xludf.DUMMYFUNCTION("""COMPUTED_VALUE"""),"Актуально")</f>
        <v>Актуально</v>
      </c>
      <c r="T11" s="88" t="str">
        <f>IFERROR(__xludf.DUMMYFUNCTION("""COMPUTED_VALUE"""),"Кристина")</f>
        <v>Кристина</v>
      </c>
      <c r="U11" s="240">
        <f>IFERROR(__xludf.DUMMYFUNCTION("""COMPUTED_VALUE"""),53.4)</f>
        <v>53.4</v>
      </c>
      <c r="V11" s="88"/>
      <c r="W11" s="240">
        <f>IFERROR(__xludf.DUMMYFUNCTION("""COMPUTED_VALUE"""),267.00000000000006)</f>
        <v>267</v>
      </c>
      <c r="X11" s="88"/>
      <c r="Y11" s="88"/>
      <c r="Z11" s="88"/>
      <c r="AA11" s="88"/>
      <c r="AC11" s="62" t="s">
        <v>116</v>
      </c>
    </row>
    <row r="12">
      <c r="A12" s="88"/>
      <c r="B12" s="88">
        <f>IFERROR(__xludf.DUMMYFUNCTION("""COMPUTED_VALUE"""),85.0)</f>
        <v>85</v>
      </c>
      <c r="C12" s="88" t="str">
        <f>IFERROR(__xludf.DUMMYFUNCTION("""COMPUTED_VALUE"""),"Harly_dogcat_probiotics_20tabs")</f>
        <v>Harly_dogcat_probiotics_20tabs</v>
      </c>
      <c r="D12" s="88">
        <f>IFERROR(__xludf.DUMMYFUNCTION("""COMPUTED_VALUE"""),1.581825452E9)</f>
        <v>1581825452</v>
      </c>
      <c r="E12" s="88" t="str">
        <f>IFERROR(__xludf.DUMMYFUNCTION("""COMPUTED_VALUE"""),"Harly")</f>
        <v>Harly</v>
      </c>
      <c r="F12" s="88" t="str">
        <f>IFERROR(__xludf.DUMMYFUNCTION("""COMPUTED_VALUE"""),"Пребиотик для собак и кошек лактобактерии для профилактики жкт")</f>
        <v>Пребиотик для собак и кошек лактобактерии для профилактики жкт</v>
      </c>
      <c r="G12" s="88"/>
      <c r="H12" s="88" t="str">
        <f>IFERROR(__xludf.DUMMYFUNCTION("""COMPUTED_VALUE"""),"Корма и Кормовые добавки")</f>
        <v>Корма и Кормовые добавки</v>
      </c>
      <c r="I12" s="88" t="str">
        <f>IFERROR(__xludf.DUMMYFUNCTION("""COMPUTED_VALUE"""),"Витамины общие")</f>
        <v>Витамины общие</v>
      </c>
      <c r="J12" s="88"/>
      <c r="K12" s="242">
        <f>IFERROR(__xludf.DUMMYFUNCTION("""COMPUTED_VALUE"""),207768.0)</f>
        <v>207768</v>
      </c>
      <c r="L12" s="88"/>
      <c r="M12" s="243">
        <f>IFERROR(__xludf.DUMMYFUNCTION("""COMPUTED_VALUE"""),0.4978815721510088)</f>
        <v>0.4978815722</v>
      </c>
      <c r="N12" s="243">
        <f>IFERROR(__xludf.DUMMYFUNCTION("""COMPUTED_VALUE"""),0.654473335496782)</f>
        <v>0.6544733355</v>
      </c>
      <c r="O12" s="88"/>
      <c r="P12" s="88"/>
      <c r="Q12" s="88"/>
      <c r="R12" s="88"/>
      <c r="S12" s="88" t="str">
        <f>IFERROR(__xludf.DUMMYFUNCTION("""COMPUTED_VALUE"""),"Актуально")</f>
        <v>Актуально</v>
      </c>
      <c r="T12" s="88" t="str">
        <f>IFERROR(__xludf.DUMMYFUNCTION("""COMPUTED_VALUE"""),"Семен")</f>
        <v>Семен</v>
      </c>
      <c r="U12" s="240">
        <f>IFERROR(__xludf.DUMMYFUNCTION("""COMPUTED_VALUE"""),54.3)</f>
        <v>54.3</v>
      </c>
      <c r="V12" s="88"/>
      <c r="W12" s="240">
        <f>IFERROR(__xludf.DUMMYFUNCTION("""COMPUTED_VALUE"""),271.50000000000006)</f>
        <v>271.5</v>
      </c>
      <c r="X12" s="88"/>
      <c r="Y12" s="88"/>
      <c r="Z12" s="88"/>
      <c r="AA12" s="88"/>
      <c r="AC12" s="62" t="s">
        <v>116</v>
      </c>
    </row>
    <row r="13">
      <c r="A13" s="88"/>
      <c r="B13" s="88">
        <f>IFERROR(__xludf.DUMMYFUNCTION("""COMPUTED_VALUE"""),2.0)</f>
        <v>2</v>
      </c>
      <c r="C13" s="88" t="str">
        <f>IFERROR(__xludf.DUMMYFUNCTION("""COMPUTED_VALUE"""),"qeep_perfect_spray_200ml")</f>
        <v>qeep_perfect_spray_200ml</v>
      </c>
      <c r="D13" s="88">
        <f>IFERROR(__xludf.DUMMYFUNCTION("""COMPUTED_VALUE"""),2.018960887E9)</f>
        <v>2018960887</v>
      </c>
      <c r="E13" s="88" t="str">
        <f>IFERROR(__xludf.DUMMYFUNCTION("""COMPUTED_VALUE"""),"qeep")</f>
        <v>qeep</v>
      </c>
      <c r="F13" s="88" t="str">
        <f>IFERROR(__xludf.DUMMYFUNCTION("""COMPUTED_VALUE"""),"Спрей для волос солевой для объема и укладки волос с фиксацией qeep 200 мл")</f>
        <v>Спрей для волос солевой для объема и укладки волос с фиксацией qeep 200 мл</v>
      </c>
      <c r="G13" s="88"/>
      <c r="H13" s="88" t="str">
        <f>IFERROR(__xludf.DUMMYFUNCTION("""COMPUTED_VALUE"""),"Косметика")</f>
        <v>Косметика</v>
      </c>
      <c r="I13" s="88" t="str">
        <f>IFERROR(__xludf.DUMMYFUNCTION("""COMPUTED_VALUE"""),"Волосы")</f>
        <v>Волосы</v>
      </c>
      <c r="J13" s="88"/>
      <c r="K13" s="242">
        <f>IFERROR(__xludf.DUMMYFUNCTION("""COMPUTED_VALUE"""),1992397.0)</f>
        <v>1992397</v>
      </c>
      <c r="L13" s="88"/>
      <c r="M13" s="243">
        <f>IFERROR(__xludf.DUMMYFUNCTION("""COMPUTED_VALUE"""),0.1940284692665958)</f>
        <v>0.1940284693</v>
      </c>
      <c r="N13" s="243">
        <f>IFERROR(__xludf.DUMMYFUNCTION("""COMPUTED_VALUE"""),0.4904620479386129)</f>
        <v>0.4904620479</v>
      </c>
      <c r="O13" s="88"/>
      <c r="P13" s="88"/>
      <c r="Q13" s="88"/>
      <c r="R13" s="88"/>
      <c r="S13" s="88" t="str">
        <f>IFERROR(__xludf.DUMMYFUNCTION("""COMPUTED_VALUE"""),"Актуально")</f>
        <v>Актуально</v>
      </c>
      <c r="T13" s="88" t="str">
        <f>IFERROR(__xludf.DUMMYFUNCTION("""COMPUTED_VALUE"""),"Кристина")</f>
        <v>Кристина</v>
      </c>
      <c r="U13" s="240">
        <f>IFERROR(__xludf.DUMMYFUNCTION("""COMPUTED_VALUE"""),103.8)</f>
        <v>103.8</v>
      </c>
      <c r="V13" s="88"/>
      <c r="W13" s="240">
        <f>IFERROR(__xludf.DUMMYFUNCTION("""COMPUTED_VALUE"""),519.0000000000001)</f>
        <v>519</v>
      </c>
      <c r="X13" s="88"/>
      <c r="Y13" s="88"/>
      <c r="Z13" s="88"/>
      <c r="AA13" s="88"/>
      <c r="AC13" s="62" t="s">
        <v>116</v>
      </c>
    </row>
    <row r="14">
      <c r="A14" s="88"/>
      <c r="B14" s="88">
        <f>IFERROR(__xludf.DUMMYFUNCTION("""COMPUTED_VALUE"""),10.0)</f>
        <v>10</v>
      </c>
      <c r="C14" s="88" t="str">
        <f>IFERROR(__xludf.DUMMYFUNCTION("""COMPUTED_VALUE"""),"qeep_dlyarostavolos_100ml")</f>
        <v>qeep_dlyarostavolos_100ml</v>
      </c>
      <c r="D14" s="88">
        <f>IFERROR(__xludf.DUMMYFUNCTION("""COMPUTED_VALUE"""),2.354324278E9)</f>
        <v>2354324278</v>
      </c>
      <c r="E14" s="88" t="str">
        <f>IFERROR(__xludf.DUMMYFUNCTION("""COMPUTED_VALUE"""),"qeep")</f>
        <v>qeep</v>
      </c>
      <c r="F14" s="88" t="str">
        <f>IFERROR(__xludf.DUMMYFUNCTION("""COMPUTED_VALUE"""),"Спрей для волос, для роста и от выпадения волос qeep 100 мл")</f>
        <v>Спрей для волос, для роста и от выпадения волос qeep 100 мл</v>
      </c>
      <c r="G14" s="88"/>
      <c r="H14" s="88" t="str">
        <f>IFERROR(__xludf.DUMMYFUNCTION("""COMPUTED_VALUE"""),"Косметика")</f>
        <v>Косметика</v>
      </c>
      <c r="I14" s="88" t="str">
        <f>IFERROR(__xludf.DUMMYFUNCTION("""COMPUTED_VALUE"""),"Волосы")</f>
        <v>Волосы</v>
      </c>
      <c r="J14" s="88"/>
      <c r="K14" s="242">
        <f>IFERROR(__xludf.DUMMYFUNCTION("""COMPUTED_VALUE"""),757686.0)</f>
        <v>757686</v>
      </c>
      <c r="L14" s="88"/>
      <c r="M14" s="243">
        <f>IFERROR(__xludf.DUMMYFUNCTION("""COMPUTED_VALUE"""),0.16788379209894944)</f>
        <v>0.1678837921</v>
      </c>
      <c r="N14" s="243">
        <f>IFERROR(__xludf.DUMMYFUNCTION("""COMPUTED_VALUE"""),0.5031190408899553)</f>
        <v>0.5031190409</v>
      </c>
      <c r="O14" s="88"/>
      <c r="P14" s="88"/>
      <c r="Q14" s="88"/>
      <c r="R14" s="88"/>
      <c r="S14" s="88" t="str">
        <f>IFERROR(__xludf.DUMMYFUNCTION("""COMPUTED_VALUE"""),"Актуально")</f>
        <v>Актуально</v>
      </c>
      <c r="T14" s="88" t="str">
        <f>IFERROR(__xludf.DUMMYFUNCTION("""COMPUTED_VALUE"""),"Кристина")</f>
        <v>Кристина</v>
      </c>
      <c r="U14" s="240">
        <f>IFERROR(__xludf.DUMMYFUNCTION("""COMPUTED_VALUE"""),135.47)</f>
        <v>135.47</v>
      </c>
      <c r="V14" s="88"/>
      <c r="W14" s="240">
        <f>IFERROR(__xludf.DUMMYFUNCTION("""COMPUTED_VALUE"""),677.3500000000001)</f>
        <v>677.35</v>
      </c>
      <c r="X14" s="88"/>
      <c r="Y14" s="88"/>
      <c r="Z14" s="88"/>
      <c r="AA14" s="88"/>
      <c r="AC14" s="62" t="s">
        <v>116</v>
      </c>
    </row>
    <row r="15">
      <c r="A15" s="88"/>
      <c r="B15" s="88">
        <f>IFERROR(__xludf.DUMMYFUNCTION("""COMPUTED_VALUE"""),42.0)</f>
        <v>42</v>
      </c>
      <c r="C15" s="88" t="str">
        <f>IFERROR(__xludf.DUMMYFUNCTION("""COMPUTED_VALUE"""),"qeep_hairspray_200ml")</f>
        <v>qeep_hairspray_200ml</v>
      </c>
      <c r="D15" s="88">
        <f>IFERROR(__xludf.DUMMYFUNCTION("""COMPUTED_VALUE"""),1.729383128E9)</f>
        <v>1729383128</v>
      </c>
      <c r="E15" s="88" t="str">
        <f>IFERROR(__xludf.DUMMYFUNCTION("""COMPUTED_VALUE"""),"qeep")</f>
        <v>qeep</v>
      </c>
      <c r="F15" s="88" t="str">
        <f>IFERROR(__xludf.DUMMYFUNCTION("""COMPUTED_VALUE"""),"Спрей термозащита для волос 17 в 1 многофункциональный с кератином qeep 200 мл")</f>
        <v>Спрей термозащита для волос 17 в 1 многофункциональный с кератином qeep 200 мл</v>
      </c>
      <c r="G15" s="88"/>
      <c r="H15" s="88" t="str">
        <f>IFERROR(__xludf.DUMMYFUNCTION("""COMPUTED_VALUE"""),"Косметика")</f>
        <v>Косметика</v>
      </c>
      <c r="I15" s="88" t="str">
        <f>IFERROR(__xludf.DUMMYFUNCTION("""COMPUTED_VALUE"""),"Волосы")</f>
        <v>Волосы</v>
      </c>
      <c r="J15" s="88"/>
      <c r="K15" s="242">
        <f>IFERROR(__xludf.DUMMYFUNCTION("""COMPUTED_VALUE"""),125260.0)</f>
        <v>125260</v>
      </c>
      <c r="L15" s="88"/>
      <c r="M15" s="243">
        <f>IFERROR(__xludf.DUMMYFUNCTION("""COMPUTED_VALUE"""),0.11730548326270387)</f>
        <v>0.1173054833</v>
      </c>
      <c r="N15" s="243">
        <f>IFERROR(__xludf.DUMMYFUNCTION("""COMPUTED_VALUE"""),0.3667679250109743)</f>
        <v>0.366767925</v>
      </c>
      <c r="O15" s="88"/>
      <c r="P15" s="88"/>
      <c r="Q15" s="88"/>
      <c r="R15" s="88"/>
      <c r="S15" s="88" t="str">
        <f>IFERROR(__xludf.DUMMYFUNCTION("""COMPUTED_VALUE"""),"Актуально")</f>
        <v>Актуально</v>
      </c>
      <c r="T15" s="88" t="str">
        <f>IFERROR(__xludf.DUMMYFUNCTION("""COMPUTED_VALUE"""),"Кристина")</f>
        <v>Кристина</v>
      </c>
      <c r="U15" s="240">
        <f>IFERROR(__xludf.DUMMYFUNCTION("""COMPUTED_VALUE"""),111.6)</f>
        <v>111.6</v>
      </c>
      <c r="V15" s="88"/>
      <c r="W15" s="240">
        <f>IFERROR(__xludf.DUMMYFUNCTION("""COMPUTED_VALUE"""),558.0000000000001)</f>
        <v>558</v>
      </c>
      <c r="X15" s="88"/>
      <c r="Y15" s="88"/>
      <c r="Z15" s="88"/>
      <c r="AA15" s="88"/>
      <c r="AC15" s="62" t="s">
        <v>116</v>
      </c>
    </row>
    <row r="16">
      <c r="A16" s="88"/>
      <c r="B16" s="88">
        <f>IFERROR(__xludf.DUMMYFUNCTION("""COMPUTED_VALUE"""),47.0)</f>
        <v>47</v>
      </c>
      <c r="C16" s="88" t="str">
        <f>IFERROR(__xludf.DUMMYFUNCTION("""COMPUTED_VALUE"""),"qeep_gummy_d3_60")</f>
        <v>qeep_gummy_d3_60</v>
      </c>
      <c r="D16" s="88">
        <f>IFERROR(__xludf.DUMMYFUNCTION("""COMPUTED_VALUE"""),2.214705163E9)</f>
        <v>2214705163</v>
      </c>
      <c r="E16" s="88" t="str">
        <f>IFERROR(__xludf.DUMMYFUNCTION("""COMPUTED_VALUE"""),"qeep")</f>
        <v>qeep</v>
      </c>
      <c r="F16" s="88" t="str">
        <f>IFERROR(__xludf.DUMMYFUNCTION("""COMPUTED_VALUE"""),"Витамины для детей витамин Д3 жевательные мармеладки qeep 60 штук")</f>
        <v>Витамины для детей витамин Д3 жевательные мармеладки qeep 60 штук</v>
      </c>
      <c r="G16" s="88"/>
      <c r="H16" s="88" t="str">
        <f>IFERROR(__xludf.DUMMYFUNCTION("""COMPUTED_VALUE"""),"БАДы")</f>
        <v>БАДы</v>
      </c>
      <c r="I16" s="88" t="str">
        <f>IFERROR(__xludf.DUMMYFUNCTION("""COMPUTED_VALUE"""),"Детские витамины")</f>
        <v>Детские витамины</v>
      </c>
      <c r="J16" s="88"/>
      <c r="K16" s="242">
        <f>IFERROR(__xludf.DUMMYFUNCTION("""COMPUTED_VALUE"""),60667.0)</f>
        <v>60667</v>
      </c>
      <c r="L16" s="88"/>
      <c r="M16" s="243">
        <f>IFERROR(__xludf.DUMMYFUNCTION("""COMPUTED_VALUE"""),0.3955302629888785)</f>
        <v>0.395530263</v>
      </c>
      <c r="N16" s="243">
        <f>IFERROR(__xludf.DUMMYFUNCTION("""COMPUTED_VALUE"""),0.5762313494466773)</f>
        <v>0.5762313494</v>
      </c>
      <c r="O16" s="88"/>
      <c r="P16" s="88"/>
      <c r="Q16" s="88"/>
      <c r="R16" s="88"/>
      <c r="S16" s="88" t="str">
        <f>IFERROR(__xludf.DUMMYFUNCTION("""COMPUTED_VALUE"""),"Актуально")</f>
        <v>Актуально</v>
      </c>
      <c r="T16" s="88" t="str">
        <f>IFERROR(__xludf.DUMMYFUNCTION("""COMPUTED_VALUE"""),"Семен")</f>
        <v>Семен</v>
      </c>
      <c r="U16" s="240">
        <f>IFERROR(__xludf.DUMMYFUNCTION("""COMPUTED_VALUE"""),220.0)</f>
        <v>220</v>
      </c>
      <c r="V16" s="88"/>
      <c r="W16" s="240">
        <f>IFERROR(__xludf.DUMMYFUNCTION("""COMPUTED_VALUE"""),1100.0000000000002)</f>
        <v>1100</v>
      </c>
      <c r="X16" s="88"/>
      <c r="Y16" s="88"/>
      <c r="Z16" s="88"/>
      <c r="AA16" s="88"/>
      <c r="AC16" s="62" t="s">
        <v>116</v>
      </c>
    </row>
    <row r="17">
      <c r="A17" s="88"/>
      <c r="B17" s="88">
        <f>IFERROR(__xludf.DUMMYFUNCTION("""COMPUTED_VALUE"""),52.0)</f>
        <v>52</v>
      </c>
      <c r="C17" s="88" t="str">
        <f>IFERROR(__xludf.DUMMYFUNCTION("""COMPUTED_VALUE"""),"qeepomega_kids")</f>
        <v>qeepomega_kids</v>
      </c>
      <c r="D17" s="88">
        <f>IFERROR(__xludf.DUMMYFUNCTION("""COMPUTED_VALUE"""),8.09466646E8)</f>
        <v>809466646</v>
      </c>
      <c r="E17" s="88" t="str">
        <f>IFERROR(__xludf.DUMMYFUNCTION("""COMPUTED_VALUE"""),"qeep")</f>
        <v>qeep</v>
      </c>
      <c r="F17" s="88" t="str">
        <f>IFERROR(__xludf.DUMMYFUNCTION("""COMPUTED_VALUE"""),"Омега 3 витамины для детей 540 мг Qeep 90 капсул")</f>
        <v>Омега 3 витамины для детей 540 мг Qeep 90 капсул</v>
      </c>
      <c r="G17" s="88"/>
      <c r="H17" s="88" t="str">
        <f>IFERROR(__xludf.DUMMYFUNCTION("""COMPUTED_VALUE"""),"БАДы")</f>
        <v>БАДы</v>
      </c>
      <c r="I17" s="88" t="str">
        <f>IFERROR(__xludf.DUMMYFUNCTION("""COMPUTED_VALUE"""),"Детские витамины")</f>
        <v>Детские витамины</v>
      </c>
      <c r="J17" s="88"/>
      <c r="K17" s="242">
        <f>IFERROR(__xludf.DUMMYFUNCTION("""COMPUTED_VALUE"""),52171.0)</f>
        <v>52171</v>
      </c>
      <c r="L17" s="88"/>
      <c r="M17" s="243">
        <f>IFERROR(__xludf.DUMMYFUNCTION("""COMPUTED_VALUE"""),-0.2170606635838207)</f>
        <v>-0.2170606636</v>
      </c>
      <c r="N17" s="243">
        <f>IFERROR(__xludf.DUMMYFUNCTION("""COMPUTED_VALUE"""),0.06479083738513697)</f>
        <v>0.06479083739</v>
      </c>
      <c r="O17" s="88"/>
      <c r="P17" s="88"/>
      <c r="Q17" s="88"/>
      <c r="R17" s="88"/>
      <c r="S17" s="88" t="str">
        <f>IFERROR(__xludf.DUMMYFUNCTION("""COMPUTED_VALUE"""),"Актуально")</f>
        <v>Актуально</v>
      </c>
      <c r="T17" s="88" t="str">
        <f>IFERROR(__xludf.DUMMYFUNCTION("""COMPUTED_VALUE"""),"Семен")</f>
        <v>Семен</v>
      </c>
      <c r="U17" s="240">
        <f>IFERROR(__xludf.DUMMYFUNCTION("""COMPUTED_VALUE"""),336.44)</f>
        <v>336.44</v>
      </c>
      <c r="V17" s="88"/>
      <c r="W17" s="240">
        <f>IFERROR(__xludf.DUMMYFUNCTION("""COMPUTED_VALUE"""),1682.2000000000003)</f>
        <v>1682.2</v>
      </c>
      <c r="X17" s="88"/>
      <c r="Y17" s="88"/>
      <c r="Z17" s="88"/>
      <c r="AA17" s="88"/>
      <c r="AC17" s="62" t="s">
        <v>116</v>
      </c>
    </row>
    <row r="18">
      <c r="A18" s="88"/>
      <c r="B18" s="88">
        <f>IFERROR(__xludf.DUMMYFUNCTION("""COMPUTED_VALUE"""),56.0)</f>
        <v>56</v>
      </c>
      <c r="C18" s="88" t="str">
        <f>IFERROR(__xludf.DUMMYFUNCTION("""COMPUTED_VALUE"""),"qeep_gummy_magn_60")</f>
        <v>qeep_gummy_magn_60</v>
      </c>
      <c r="D18" s="88">
        <f>IFERROR(__xludf.DUMMYFUNCTION("""COMPUTED_VALUE"""),1.773856028E9)</f>
        <v>1773856028</v>
      </c>
      <c r="E18" s="88" t="str">
        <f>IFERROR(__xludf.DUMMYFUNCTION("""COMPUTED_VALUE"""),"qeep")</f>
        <v>qeep</v>
      </c>
      <c r="F18" s="88" t="str">
        <f>IFERROR(__xludf.DUMMYFUNCTION("""COMPUTED_VALUE"""),"Витамины для детей магний цитрат жевательные мармеладки qeep 60 штук")</f>
        <v>Витамины для детей магний цитрат жевательные мармеладки qeep 60 штук</v>
      </c>
      <c r="G18" s="88"/>
      <c r="H18" s="88" t="str">
        <f>IFERROR(__xludf.DUMMYFUNCTION("""COMPUTED_VALUE"""),"БАДы")</f>
        <v>БАДы</v>
      </c>
      <c r="I18" s="88" t="str">
        <f>IFERROR(__xludf.DUMMYFUNCTION("""COMPUTED_VALUE"""),"Детский витамины")</f>
        <v>Детский витамины</v>
      </c>
      <c r="J18" s="88"/>
      <c r="K18" s="242">
        <f>IFERROR(__xludf.DUMMYFUNCTION("""COMPUTED_VALUE"""),219610.0)</f>
        <v>219610</v>
      </c>
      <c r="L18" s="88"/>
      <c r="M18" s="243">
        <f>IFERROR(__xludf.DUMMYFUNCTION("""COMPUTED_VALUE"""),0.4608129860419278)</f>
        <v>0.460812986</v>
      </c>
      <c r="N18" s="243">
        <f>IFERROR(__xludf.DUMMYFUNCTION("""COMPUTED_VALUE"""),0.5920395335671194)</f>
        <v>0.5920395336</v>
      </c>
      <c r="O18" s="88"/>
      <c r="P18" s="88"/>
      <c r="Q18" s="88"/>
      <c r="R18" s="88"/>
      <c r="S18" s="88" t="str">
        <f>IFERROR(__xludf.DUMMYFUNCTION("""COMPUTED_VALUE"""),"Актуально")</f>
        <v>Актуально</v>
      </c>
      <c r="T18" s="88" t="str">
        <f>IFERROR(__xludf.DUMMYFUNCTION("""COMPUTED_VALUE"""),"Семен")</f>
        <v>Семен</v>
      </c>
      <c r="U18" s="240">
        <f>IFERROR(__xludf.DUMMYFUNCTION("""COMPUTED_VALUE"""),228.0)</f>
        <v>228</v>
      </c>
      <c r="V18" s="88"/>
      <c r="W18" s="240">
        <f>IFERROR(__xludf.DUMMYFUNCTION("""COMPUTED_VALUE"""),1140.0000000000002)</f>
        <v>1140</v>
      </c>
      <c r="X18" s="88"/>
      <c r="Y18" s="88"/>
      <c r="Z18" s="88"/>
      <c r="AA18" s="88"/>
      <c r="AC18" s="62" t="s">
        <v>116</v>
      </c>
    </row>
    <row r="19">
      <c r="A19" s="88"/>
      <c r="B19" s="88">
        <f>IFERROR(__xludf.DUMMYFUNCTION("""COMPUTED_VALUE"""),59.0)</f>
        <v>59</v>
      </c>
      <c r="C19" s="88" t="str">
        <f>IFERROR(__xludf.DUMMYFUNCTION("""COMPUTED_VALUE"""),"qeep_gummy_c_60")</f>
        <v>qeep_gummy_c_60</v>
      </c>
      <c r="D19" s="88">
        <f>IFERROR(__xludf.DUMMYFUNCTION("""COMPUTED_VALUE"""),2.214748873E9)</f>
        <v>2214748873</v>
      </c>
      <c r="E19" s="88" t="str">
        <f>IFERROR(__xludf.DUMMYFUNCTION("""COMPUTED_VALUE"""),"qeep")</f>
        <v>qeep</v>
      </c>
      <c r="F19" s="88" t="str">
        <f>IFERROR(__xludf.DUMMYFUNCTION("""COMPUTED_VALUE"""),"Витамины для детей витамин с жевательные мармеладки qeep 60 штук")</f>
        <v>Витамины для детей витамин с жевательные мармеладки qeep 60 штук</v>
      </c>
      <c r="G19" s="88"/>
      <c r="H19" s="88" t="str">
        <f>IFERROR(__xludf.DUMMYFUNCTION("""COMPUTED_VALUE"""),"БАДы")</f>
        <v>БАДы</v>
      </c>
      <c r="I19" s="88" t="str">
        <f>IFERROR(__xludf.DUMMYFUNCTION("""COMPUTED_VALUE"""),"Детский витамины")</f>
        <v>Детский витамины</v>
      </c>
      <c r="J19" s="88"/>
      <c r="K19" s="242">
        <f>IFERROR(__xludf.DUMMYFUNCTION("""COMPUTED_VALUE"""),37136.0)</f>
        <v>37136</v>
      </c>
      <c r="L19" s="88"/>
      <c r="M19" s="243">
        <f>IFERROR(__xludf.DUMMYFUNCTION("""COMPUTED_VALUE"""),0.4543620446326987)</f>
        <v>0.4543620446</v>
      </c>
      <c r="N19" s="243">
        <f>IFERROR(__xludf.DUMMYFUNCTION("""COMPUTED_VALUE"""),0.5777480690058675)</f>
        <v>0.577748069</v>
      </c>
      <c r="O19" s="88"/>
      <c r="P19" s="88"/>
      <c r="Q19" s="88"/>
      <c r="R19" s="88"/>
      <c r="S19" s="88" t="str">
        <f>IFERROR(__xludf.DUMMYFUNCTION("""COMPUTED_VALUE"""),"Актуально")</f>
        <v>Актуально</v>
      </c>
      <c r="T19" s="88" t="str">
        <f>IFERROR(__xludf.DUMMYFUNCTION("""COMPUTED_VALUE"""),"Семен")</f>
        <v>Семен</v>
      </c>
      <c r="U19" s="240">
        <f>IFERROR(__xludf.DUMMYFUNCTION("""COMPUTED_VALUE"""),220.0)</f>
        <v>220</v>
      </c>
      <c r="V19" s="88"/>
      <c r="W19" s="240">
        <f>IFERROR(__xludf.DUMMYFUNCTION("""COMPUTED_VALUE"""),1100.0000000000002)</f>
        <v>1100</v>
      </c>
      <c r="X19" s="88"/>
      <c r="Y19" s="88"/>
      <c r="Z19" s="88"/>
      <c r="AA19" s="88"/>
      <c r="AC19" s="62" t="s">
        <v>116</v>
      </c>
    </row>
    <row r="20">
      <c r="A20" s="88"/>
      <c r="B20" s="88">
        <f>IFERROR(__xludf.DUMMYFUNCTION("""COMPUTED_VALUE"""),12.0)</f>
        <v>12</v>
      </c>
      <c r="C20" s="88" t="str">
        <f>IFERROR(__xludf.DUMMYFUNCTION("""COMPUTED_VALUE"""),"harly_pawsoap_500ml")</f>
        <v>harly_pawsoap_500ml</v>
      </c>
      <c r="D20" s="88">
        <f>IFERROR(__xludf.DUMMYFUNCTION("""COMPUTED_VALUE"""),1.828993605E9)</f>
        <v>1828993605</v>
      </c>
      <c r="E20" s="88" t="str">
        <f>IFERROR(__xludf.DUMMYFUNCTION("""COMPUTED_VALUE"""),"Harly")</f>
        <v>Harly</v>
      </c>
      <c r="F20" s="88" t="str">
        <f>IFERROR(__xludf.DUMMYFUNCTION("""COMPUTED_VALUE"""),"Мыло для лап собак с пантенолом и коллоидным серебром Harly 500 мл")</f>
        <v>Мыло для лап собак с пантенолом и коллоидным серебром Harly 500 мл</v>
      </c>
      <c r="G20" s="88"/>
      <c r="H20" s="88" t="str">
        <f>IFERROR(__xludf.DUMMYFUNCTION("""COMPUTED_VALUE"""),"Косметика для животных")</f>
        <v>Косметика для животных</v>
      </c>
      <c r="I20" s="88" t="str">
        <f>IFERROR(__xludf.DUMMYFUNCTION("""COMPUTED_VALUE"""),"Для лап")</f>
        <v>Для лап</v>
      </c>
      <c r="J20" s="88"/>
      <c r="K20" s="242">
        <f>IFERROR(__xludf.DUMMYFUNCTION("""COMPUTED_VALUE"""),607978.0)</f>
        <v>607978</v>
      </c>
      <c r="L20" s="88"/>
      <c r="M20" s="243">
        <f>IFERROR(__xludf.DUMMYFUNCTION("""COMPUTED_VALUE"""),0.27430550246024155)</f>
        <v>0.2743055025</v>
      </c>
      <c r="N20" s="243">
        <f>IFERROR(__xludf.DUMMYFUNCTION("""COMPUTED_VALUE"""),0.47568371914543184)</f>
        <v>0.4756837191</v>
      </c>
      <c r="O20" s="88"/>
      <c r="P20" s="88"/>
      <c r="Q20" s="88"/>
      <c r="R20" s="88"/>
      <c r="S20" s="88" t="str">
        <f>IFERROR(__xludf.DUMMYFUNCTION("""COMPUTED_VALUE"""),"Актуально")</f>
        <v>Актуально</v>
      </c>
      <c r="T20" s="88" t="str">
        <f>IFERROR(__xludf.DUMMYFUNCTION("""COMPUTED_VALUE"""),"Семен")</f>
        <v>Семен</v>
      </c>
      <c r="U20" s="240">
        <f>IFERROR(__xludf.DUMMYFUNCTION("""COMPUTED_VALUE"""),95.27)</f>
        <v>95.27</v>
      </c>
      <c r="V20" s="88"/>
      <c r="W20" s="240">
        <f>IFERROR(__xludf.DUMMYFUNCTION("""COMPUTED_VALUE"""),476.3500000000001)</f>
        <v>476.35</v>
      </c>
      <c r="X20" s="88"/>
      <c r="Y20" s="88"/>
      <c r="Z20" s="88"/>
      <c r="AA20" s="88"/>
      <c r="AC20" s="62" t="s">
        <v>116</v>
      </c>
    </row>
    <row r="21">
      <c r="A21" s="88"/>
      <c r="B21" s="88">
        <f>IFERROR(__xludf.DUMMYFUNCTION("""COMPUTED_VALUE"""),24.0)</f>
        <v>24</v>
      </c>
      <c r="C21" s="88" t="str">
        <f>IFERROR(__xludf.DUMMYFUNCTION("""COMPUTED_VALUE"""),"harly_pawprotector_30ml")</f>
        <v>harly_pawprotector_30ml</v>
      </c>
      <c r="D21" s="88">
        <f>IFERROR(__xludf.DUMMYFUNCTION("""COMPUTED_VALUE"""),1.745032627E9)</f>
        <v>1745032627</v>
      </c>
      <c r="E21" s="88" t="str">
        <f>IFERROR(__xludf.DUMMYFUNCTION("""COMPUTED_VALUE"""),"Harly")</f>
        <v>Harly</v>
      </c>
      <c r="F21" s="88" t="str">
        <f>IFERROR(__xludf.DUMMYFUNCTION("""COMPUTED_VALUE"""),"Воск для лапок собак и кошек защитный Harly 30 мл")</f>
        <v>Воск для лапок собак и кошек защитный Harly 30 мл</v>
      </c>
      <c r="G21" s="88"/>
      <c r="H21" s="88" t="str">
        <f>IFERROR(__xludf.DUMMYFUNCTION("""COMPUTED_VALUE"""),"Косметика для животных")</f>
        <v>Косметика для животных</v>
      </c>
      <c r="I21" s="88" t="str">
        <f>IFERROR(__xludf.DUMMYFUNCTION("""COMPUTED_VALUE"""),"Для лап")</f>
        <v>Для лап</v>
      </c>
      <c r="J21" s="88"/>
      <c r="K21" s="242">
        <f>IFERROR(__xludf.DUMMYFUNCTION("""COMPUTED_VALUE"""),191221.0)</f>
        <v>191221</v>
      </c>
      <c r="L21" s="88"/>
      <c r="M21" s="243">
        <f>IFERROR(__xludf.DUMMYFUNCTION("""COMPUTED_VALUE"""),-0.24508194492636312)</f>
        <v>-0.2450819449</v>
      </c>
      <c r="N21" s="243">
        <f>IFERROR(__xludf.DUMMYFUNCTION("""COMPUTED_VALUE"""),-0.0019007940180356953)</f>
        <v>-0.001900794018</v>
      </c>
      <c r="O21" s="88"/>
      <c r="P21" s="88"/>
      <c r="Q21" s="88"/>
      <c r="R21" s="88"/>
      <c r="S21" s="88" t="str">
        <f>IFERROR(__xludf.DUMMYFUNCTION("""COMPUTED_VALUE"""),"На вывод")</f>
        <v>На вывод</v>
      </c>
      <c r="T21" s="88" t="str">
        <f>IFERROR(__xludf.DUMMYFUNCTION("""COMPUTED_VALUE"""),"Семен")</f>
        <v>Семен</v>
      </c>
      <c r="U21" s="240">
        <f>IFERROR(__xludf.DUMMYFUNCTION("""COMPUTED_VALUE"""),181.0)</f>
        <v>181</v>
      </c>
      <c r="V21" s="88"/>
      <c r="W21" s="240">
        <f>IFERROR(__xludf.DUMMYFUNCTION("""COMPUTED_VALUE"""),905.0000000000002)</f>
        <v>905</v>
      </c>
      <c r="X21" s="88"/>
      <c r="Y21" s="88"/>
      <c r="Z21" s="88"/>
      <c r="AA21" s="88"/>
      <c r="AC21" s="62" t="s">
        <v>116</v>
      </c>
    </row>
    <row r="22">
      <c r="A22" s="88"/>
      <c r="B22" s="88">
        <f>IFERROR(__xludf.DUMMYFUNCTION("""COMPUTED_VALUE"""),9.0)</f>
        <v>9</v>
      </c>
      <c r="C22" s="88" t="str">
        <f>IFERROR(__xludf.DUMMYFUNCTION("""COMPUTED_VALUE"""),"qeep_berberine_60caps")</f>
        <v>qeep_berberine_60caps</v>
      </c>
      <c r="D22" s="88">
        <f>IFERROR(__xludf.DUMMYFUNCTION("""COMPUTED_VALUE"""),1.361997453E9)</f>
        <v>1361997453</v>
      </c>
      <c r="E22" s="88" t="str">
        <f>IFERROR(__xludf.DUMMYFUNCTION("""COMPUTED_VALUE"""),"qeep")</f>
        <v>qeep</v>
      </c>
      <c r="F22" s="88" t="str">
        <f>IFERROR(__xludf.DUMMYFUNCTION("""COMPUTED_VALUE"""),"Берберин 500 мг Qeep 60 капсул")</f>
        <v>Берберин 500 мг Qeep 60 капсул</v>
      </c>
      <c r="G22" s="88"/>
      <c r="H22" s="88" t="str">
        <f>IFERROR(__xludf.DUMMYFUNCTION("""COMPUTED_VALUE"""),"БАДы")</f>
        <v>БАДы</v>
      </c>
      <c r="I22" s="88" t="str">
        <f>IFERROR(__xludf.DUMMYFUNCTION("""COMPUTED_VALUE"""),"Женские")</f>
        <v>Женские</v>
      </c>
      <c r="J22" s="88"/>
      <c r="K22" s="242">
        <f>IFERROR(__xludf.DUMMYFUNCTION("""COMPUTED_VALUE"""),703615.0)</f>
        <v>703615</v>
      </c>
      <c r="L22" s="88"/>
      <c r="M22" s="243">
        <f>IFERROR(__xludf.DUMMYFUNCTION("""COMPUTED_VALUE"""),0.3343733771951775)</f>
        <v>0.3343733772</v>
      </c>
      <c r="N22" s="243">
        <f>IFERROR(__xludf.DUMMYFUNCTION("""COMPUTED_VALUE"""),0.5761825993567831)</f>
        <v>0.5761825994</v>
      </c>
      <c r="O22" s="88"/>
      <c r="P22" s="88"/>
      <c r="Q22" s="88"/>
      <c r="R22" s="88"/>
      <c r="S22" s="88" t="str">
        <f>IFERROR(__xludf.DUMMYFUNCTION("""COMPUTED_VALUE"""),"Актуально")</f>
        <v>Актуально</v>
      </c>
      <c r="T22" s="88" t="str">
        <f>IFERROR(__xludf.DUMMYFUNCTION("""COMPUTED_VALUE"""),"Семен")</f>
        <v>Семен</v>
      </c>
      <c r="U22" s="240">
        <f>IFERROR(__xludf.DUMMYFUNCTION("""COMPUTED_VALUE"""),293.0)</f>
        <v>293</v>
      </c>
      <c r="V22" s="88"/>
      <c r="W22" s="240">
        <f>IFERROR(__xludf.DUMMYFUNCTION("""COMPUTED_VALUE"""),1465.0000000000002)</f>
        <v>1465</v>
      </c>
      <c r="X22" s="88"/>
      <c r="Y22" s="88"/>
      <c r="Z22" s="88"/>
      <c r="AA22" s="88"/>
      <c r="AC22" s="62" t="s">
        <v>116</v>
      </c>
    </row>
    <row r="23">
      <c r="A23" s="88"/>
      <c r="B23" s="88">
        <f>IFERROR(__xludf.DUMMYFUNCTION("""COMPUTED_VALUE"""),22.0)</f>
        <v>22</v>
      </c>
      <c r="C23" s="88" t="str">
        <f>IFERROR(__xludf.DUMMYFUNCTION("""COMPUTED_VALUE"""),"qeepinositol")</f>
        <v>qeepinositol</v>
      </c>
      <c r="D23" s="88">
        <f>IFERROR(__xludf.DUMMYFUNCTION("""COMPUTED_VALUE"""),8.35603195E8)</f>
        <v>835603195</v>
      </c>
      <c r="E23" s="88" t="str">
        <f>IFERROR(__xludf.DUMMYFUNCTION("""COMPUTED_VALUE"""),"qeep")</f>
        <v>qeep</v>
      </c>
      <c r="F23" s="88" t="str">
        <f>IFERROR(__xludf.DUMMYFUNCTION("""COMPUTED_VALUE"""),"Мио Инозитол 820 мг Qeep 60 капсул")</f>
        <v>Мио Инозитол 820 мг Qeep 60 капсул</v>
      </c>
      <c r="G23" s="88"/>
      <c r="H23" s="88" t="str">
        <f>IFERROR(__xludf.DUMMYFUNCTION("""COMPUTED_VALUE"""),"БАДы")</f>
        <v>БАДы</v>
      </c>
      <c r="I23" s="88" t="str">
        <f>IFERROR(__xludf.DUMMYFUNCTION("""COMPUTED_VALUE"""),"Женские")</f>
        <v>Женские</v>
      </c>
      <c r="J23" s="88"/>
      <c r="K23" s="242">
        <f>IFERROR(__xludf.DUMMYFUNCTION("""COMPUTED_VALUE"""),310751.0)</f>
        <v>310751</v>
      </c>
      <c r="L23" s="88"/>
      <c r="M23" s="243">
        <f>IFERROR(__xludf.DUMMYFUNCTION("""COMPUTED_VALUE"""),0.2180205954113298)</f>
        <v>0.2180205954</v>
      </c>
      <c r="N23" s="243">
        <f>IFERROR(__xludf.DUMMYFUNCTION("""COMPUTED_VALUE"""),0.5293808681866603)</f>
        <v>0.5293808682</v>
      </c>
      <c r="O23" s="88"/>
      <c r="P23" s="88"/>
      <c r="Q23" s="88"/>
      <c r="R23" s="88"/>
      <c r="S23" s="88" t="str">
        <f>IFERROR(__xludf.DUMMYFUNCTION("""COMPUTED_VALUE"""),"Актуально")</f>
        <v>Актуально</v>
      </c>
      <c r="T23" s="88" t="str">
        <f>IFERROR(__xludf.DUMMYFUNCTION("""COMPUTED_VALUE"""),"Семен")</f>
        <v>Семен</v>
      </c>
      <c r="U23" s="240">
        <f>IFERROR(__xludf.DUMMYFUNCTION("""COMPUTED_VALUE"""),190.0)</f>
        <v>190</v>
      </c>
      <c r="V23" s="88"/>
      <c r="W23" s="240">
        <f>IFERROR(__xludf.DUMMYFUNCTION("""COMPUTED_VALUE"""),950.0000000000002)</f>
        <v>950</v>
      </c>
      <c r="X23" s="88"/>
      <c r="Y23" s="88"/>
      <c r="Z23" s="88"/>
      <c r="AA23" s="88"/>
      <c r="AC23" s="62" t="s">
        <v>116</v>
      </c>
    </row>
    <row r="24">
      <c r="A24" s="88"/>
      <c r="B24" s="88"/>
      <c r="C24" s="88" t="str">
        <f>IFERROR(__xludf.DUMMYFUNCTION("""COMPUTED_VALUE"""),"qeep_ByeBye_fat_Prebiotics")</f>
        <v>qeep_ByeBye_fat_Prebiotics</v>
      </c>
      <c r="D24" s="88">
        <f>IFERROR(__xludf.DUMMYFUNCTION("""COMPUTED_VALUE"""),1.099614303E9)</f>
        <v>1099614303</v>
      </c>
      <c r="E24" s="88" t="str">
        <f>IFERROR(__xludf.DUMMYFUNCTION("""COMPUTED_VALUE"""),"qeep")</f>
        <v>qeep</v>
      </c>
      <c r="F24" s="88" t="str">
        <f>IFERROR(__xludf.DUMMYFUNCTION("""COMPUTED_VALUE"""),"Жиросжигатель для похудения + Пробиотики для взрослых Qeep 60+30 капсул")</f>
        <v>Жиросжигатель для похудения + Пробиотики для взрослых Qeep 60+30 капсул</v>
      </c>
      <c r="G24" s="88"/>
      <c r="H24" s="88"/>
      <c r="I24" s="88"/>
      <c r="J24" s="88"/>
      <c r="K24" s="242">
        <f>IFERROR(__xludf.DUMMYFUNCTION("""COMPUTED_VALUE"""),0.0)</f>
        <v>0</v>
      </c>
      <c r="L24" s="88"/>
      <c r="M24" s="243">
        <f>IFERROR(__xludf.DUMMYFUNCTION("""COMPUTED_VALUE"""),0.0)</f>
        <v>0</v>
      </c>
      <c r="N24" s="243">
        <f>IFERROR(__xludf.DUMMYFUNCTION("""COMPUTED_VALUE"""),0.0)</f>
        <v>0</v>
      </c>
      <c r="O24" s="88"/>
      <c r="P24" s="88"/>
      <c r="Q24" s="88"/>
      <c r="R24" s="88"/>
      <c r="S24" s="88" t="str">
        <f>IFERROR(__xludf.DUMMYFUNCTION("""COMPUTED_VALUE"""),"На вывод")</f>
        <v>На вывод</v>
      </c>
      <c r="T24" s="88"/>
      <c r="U24" s="240">
        <f>IFERROR(__xludf.DUMMYFUNCTION("""COMPUTED_VALUE"""),477.54)</f>
        <v>477.54</v>
      </c>
      <c r="V24" s="88"/>
      <c r="W24" s="88"/>
      <c r="X24" s="88"/>
      <c r="Y24" s="88"/>
      <c r="Z24" s="88"/>
      <c r="AA24" s="88"/>
      <c r="AC24" s="62" t="s">
        <v>116</v>
      </c>
    </row>
    <row r="25">
      <c r="A25" s="88"/>
      <c r="B25" s="88"/>
      <c r="C25" s="88" t="str">
        <f>IFERROR(__xludf.DUMMYFUNCTION("""COMPUTED_VALUE"""),"qeep_melatonin2mg_90tabs")</f>
        <v>qeep_melatonin2mg_90tabs</v>
      </c>
      <c r="D25" s="88">
        <f>IFERROR(__xludf.DUMMYFUNCTION("""COMPUTED_VALUE"""),1.283138723E9)</f>
        <v>1283138723</v>
      </c>
      <c r="E25" s="88" t="str">
        <f>IFERROR(__xludf.DUMMYFUNCTION("""COMPUTED_VALUE"""),"qeep")</f>
        <v>qeep</v>
      </c>
      <c r="F25" s="88" t="str">
        <f>IFERROR(__xludf.DUMMYFUNCTION("""COMPUTED_VALUE"""),"Мелатонин 2 мг Qeep 90 таблеток")</f>
        <v>Мелатонин 2 мг Qeep 90 таблеток</v>
      </c>
      <c r="G25" s="88"/>
      <c r="H25" s="88"/>
      <c r="I25" s="88"/>
      <c r="J25" s="88"/>
      <c r="K25" s="242">
        <f>IFERROR(__xludf.DUMMYFUNCTION("""COMPUTED_VALUE"""),0.0)</f>
        <v>0</v>
      </c>
      <c r="L25" s="88"/>
      <c r="M25" s="243">
        <f>IFERROR(__xludf.DUMMYFUNCTION("""COMPUTED_VALUE"""),0.0)</f>
        <v>0</v>
      </c>
      <c r="N25" s="243">
        <f>IFERROR(__xludf.DUMMYFUNCTION("""COMPUTED_VALUE"""),0.0)</f>
        <v>0</v>
      </c>
      <c r="O25" s="88"/>
      <c r="P25" s="88"/>
      <c r="Q25" s="88"/>
      <c r="R25" s="88"/>
      <c r="S25" s="88" t="str">
        <f>IFERROR(__xludf.DUMMYFUNCTION("""COMPUTED_VALUE"""),"На вывод")</f>
        <v>На вывод</v>
      </c>
      <c r="T25" s="88"/>
      <c r="U25" s="240">
        <f>IFERROR(__xludf.DUMMYFUNCTION("""COMPUTED_VALUE"""),160.0)</f>
        <v>160</v>
      </c>
      <c r="V25" s="88"/>
      <c r="W25" s="88"/>
      <c r="X25" s="88"/>
      <c r="Y25" s="88"/>
      <c r="Z25" s="88"/>
      <c r="AA25" s="88"/>
      <c r="AC25" s="62" t="s">
        <v>116</v>
      </c>
    </row>
    <row r="26">
      <c r="A26" s="88"/>
      <c r="B26" s="88"/>
      <c r="C26" s="88" t="str">
        <f>IFERROR(__xludf.DUMMYFUNCTION("""COMPUTED_VALUE"""),"qeep_biomelatonin_60caps")</f>
        <v>qeep_biomelatonin_60caps</v>
      </c>
      <c r="D26" s="88">
        <f>IFERROR(__xludf.DUMMYFUNCTION("""COMPUTED_VALUE"""),1.283143901E9)</f>
        <v>1283143901</v>
      </c>
      <c r="E26" s="88" t="str">
        <f>IFERROR(__xludf.DUMMYFUNCTION("""COMPUTED_VALUE"""),"qeep")</f>
        <v>qeep</v>
      </c>
      <c r="F26" s="88" t="str">
        <f>IFERROR(__xludf.DUMMYFUNCTION("""COMPUTED_VALUE"""),"БАД успокоительный комплекс, Омега 3 696 мг Qeep 60 капсул")</f>
        <v>БАД успокоительный комплекс, Омега 3 696 мг Qeep 60 капсул</v>
      </c>
      <c r="G26" s="88"/>
      <c r="H26" s="88"/>
      <c r="I26" s="88"/>
      <c r="J26" s="88"/>
      <c r="K26" s="242">
        <f>IFERROR(__xludf.DUMMYFUNCTION("""COMPUTED_VALUE"""),0.0)</f>
        <v>0</v>
      </c>
      <c r="L26" s="88"/>
      <c r="M26" s="243">
        <f>IFERROR(__xludf.DUMMYFUNCTION("""COMPUTED_VALUE"""),0.0)</f>
        <v>0</v>
      </c>
      <c r="N26" s="243">
        <f>IFERROR(__xludf.DUMMYFUNCTION("""COMPUTED_VALUE"""),0.0)</f>
        <v>0</v>
      </c>
      <c r="O26" s="88"/>
      <c r="P26" s="88"/>
      <c r="Q26" s="88"/>
      <c r="R26" s="88"/>
      <c r="S26" s="88" t="str">
        <f>IFERROR(__xludf.DUMMYFUNCTION("""COMPUTED_VALUE"""),"На вывод")</f>
        <v>На вывод</v>
      </c>
      <c r="T26" s="88"/>
      <c r="U26" s="240">
        <f>IFERROR(__xludf.DUMMYFUNCTION("""COMPUTED_VALUE"""),355.96)</f>
        <v>355.96</v>
      </c>
      <c r="V26" s="88"/>
      <c r="W26" s="88"/>
      <c r="X26" s="88"/>
      <c r="Y26" s="88"/>
      <c r="Z26" s="88"/>
      <c r="AA26" s="88"/>
      <c r="AC26" s="62" t="s">
        <v>116</v>
      </c>
    </row>
    <row r="27">
      <c r="A27" s="88"/>
      <c r="B27" s="88"/>
      <c r="C27" s="88" t="str">
        <f>IFERROR(__xludf.DUMMYFUNCTION("""COMPUTED_VALUE"""),"qeep_enzyme_80g")</f>
        <v>qeep_enzyme_80g</v>
      </c>
      <c r="D27" s="88">
        <f>IFERROR(__xludf.DUMMYFUNCTION("""COMPUTED_VALUE"""),2.921727205E9)</f>
        <v>2921727205</v>
      </c>
      <c r="E27" s="88" t="str">
        <f>IFERROR(__xludf.DUMMYFUNCTION("""COMPUTED_VALUE"""),"qeep")</f>
        <v>qeep</v>
      </c>
      <c r="F27" s="88" t="str">
        <f>IFERROR(__xludf.DUMMYFUNCTION("""COMPUTED_VALUE"""),"Энзимная пудра для умывания лица и тела")</f>
        <v>Энзимная пудра для умывания лица и тела</v>
      </c>
      <c r="G27" s="88"/>
      <c r="H27" s="88" t="str">
        <f>IFERROR(__xludf.DUMMYFUNCTION("""COMPUTED_VALUE"""),"Косметика")</f>
        <v>Косметика</v>
      </c>
      <c r="I27" s="88" t="str">
        <f>IFERROR(__xludf.DUMMYFUNCTION("""COMPUTED_VALUE"""),"Лицо")</f>
        <v>Лицо</v>
      </c>
      <c r="J27" s="88"/>
      <c r="K27" s="242">
        <f>IFERROR(__xludf.DUMMYFUNCTION("""COMPUTED_VALUE"""),0.0)</f>
        <v>0</v>
      </c>
      <c r="L27" s="88"/>
      <c r="M27" s="243">
        <f>IFERROR(__xludf.DUMMYFUNCTION("""COMPUTED_VALUE"""),0.0)</f>
        <v>0</v>
      </c>
      <c r="N27" s="243">
        <f>IFERROR(__xludf.DUMMYFUNCTION("""COMPUTED_VALUE"""),0.0)</f>
        <v>0</v>
      </c>
      <c r="O27" s="88"/>
      <c r="P27" s="88"/>
      <c r="Q27" s="88"/>
      <c r="R27" s="88"/>
      <c r="S27" s="88" t="str">
        <f>IFERROR(__xludf.DUMMYFUNCTION("""COMPUTED_VALUE"""),"Новинка")</f>
        <v>Новинка</v>
      </c>
      <c r="T27" s="88" t="str">
        <f>IFERROR(__xludf.DUMMYFUNCTION("""COMPUTED_VALUE"""),"Кристина")</f>
        <v>Кристина</v>
      </c>
      <c r="U27" s="240">
        <f>IFERROR(__xludf.DUMMYFUNCTION("""COMPUTED_VALUE"""),119.0)</f>
        <v>119</v>
      </c>
      <c r="V27" s="88"/>
      <c r="W27" s="240">
        <f>IFERROR(__xludf.DUMMYFUNCTION("""COMPUTED_VALUE"""),595.0000000000001)</f>
        <v>595</v>
      </c>
      <c r="X27" s="88"/>
      <c r="Y27" s="88"/>
      <c r="Z27" s="88"/>
      <c r="AA27" s="88"/>
      <c r="AC27" s="62" t="s">
        <v>116</v>
      </c>
    </row>
    <row r="28">
      <c r="A28" s="88"/>
      <c r="B28" s="88"/>
      <c r="C28" s="88" t="str">
        <f>IFERROR(__xludf.DUMMYFUNCTION("""COMPUTED_VALUE"""),"qeep_retinolcream_50ml")</f>
        <v>qeep_retinolcream_50ml</v>
      </c>
      <c r="D28" s="88">
        <f>IFERROR(__xludf.DUMMYFUNCTION("""COMPUTED_VALUE"""),2.921798266E9)</f>
        <v>2921798266</v>
      </c>
      <c r="E28" s="88" t="str">
        <f>IFERROR(__xludf.DUMMYFUNCTION("""COMPUTED_VALUE"""),"qeep")</f>
        <v>qeep</v>
      </c>
      <c r="F28" s="88" t="str">
        <f>IFERROR(__xludf.DUMMYFUNCTION("""COMPUTED_VALUE"""),"Крем для Лица с Липосомальным Ретинолом 0.5%")</f>
        <v>Крем для Лица с Липосомальным Ретинолом 0.5%</v>
      </c>
      <c r="G28" s="88"/>
      <c r="H28" s="88" t="str">
        <f>IFERROR(__xludf.DUMMYFUNCTION("""COMPUTED_VALUE"""),"Косметика")</f>
        <v>Косметика</v>
      </c>
      <c r="I28" s="88" t="str">
        <f>IFERROR(__xludf.DUMMYFUNCTION("""COMPUTED_VALUE"""),"Лицо")</f>
        <v>Лицо</v>
      </c>
      <c r="J28" s="88"/>
      <c r="K28" s="242">
        <f>IFERROR(__xludf.DUMMYFUNCTION("""COMPUTED_VALUE"""),0.0)</f>
        <v>0</v>
      </c>
      <c r="L28" s="88"/>
      <c r="M28" s="243">
        <f>IFERROR(__xludf.DUMMYFUNCTION("""COMPUTED_VALUE"""),0.0)</f>
        <v>0</v>
      </c>
      <c r="N28" s="243">
        <f>IFERROR(__xludf.DUMMYFUNCTION("""COMPUTED_VALUE"""),0.0)</f>
        <v>0</v>
      </c>
      <c r="O28" s="88"/>
      <c r="P28" s="88"/>
      <c r="Q28" s="88"/>
      <c r="R28" s="88"/>
      <c r="S28" s="88" t="str">
        <f>IFERROR(__xludf.DUMMYFUNCTION("""COMPUTED_VALUE"""),"Новинка")</f>
        <v>Новинка</v>
      </c>
      <c r="T28" s="88" t="str">
        <f>IFERROR(__xludf.DUMMYFUNCTION("""COMPUTED_VALUE"""),"Кристина")</f>
        <v>Кристина</v>
      </c>
      <c r="U28" s="240">
        <f>IFERROR(__xludf.DUMMYFUNCTION("""COMPUTED_VALUE"""),110.44)</f>
        <v>110.44</v>
      </c>
      <c r="V28" s="88"/>
      <c r="W28" s="240">
        <f>IFERROR(__xludf.DUMMYFUNCTION("""COMPUTED_VALUE"""),552.2000000000002)</f>
        <v>552.2</v>
      </c>
      <c r="X28" s="88"/>
      <c r="Y28" s="88"/>
      <c r="Z28" s="88"/>
      <c r="AA28" s="88"/>
      <c r="AC28" s="62" t="s">
        <v>116</v>
      </c>
    </row>
    <row r="29">
      <c r="A29" s="88"/>
      <c r="B29" s="88"/>
      <c r="C29" s="88" t="str">
        <f>IFERROR(__xludf.DUMMYFUNCTION("""COMPUTED_VALUE"""),"qeep_inositol1500mg_60caps")</f>
        <v>qeep_inositol1500mg_60caps</v>
      </c>
      <c r="D29" s="88">
        <f>IFERROR(__xludf.DUMMYFUNCTION("""COMPUTED_VALUE"""),2.946850815E9)</f>
        <v>2946850815</v>
      </c>
      <c r="E29" s="88" t="str">
        <f>IFERROR(__xludf.DUMMYFUNCTION("""COMPUTED_VALUE"""),"qeep")</f>
        <v>qeep</v>
      </c>
      <c r="F29" s="88" t="str">
        <f>IFERROR(__xludf.DUMMYFUNCTION("""COMPUTED_VALUE"""),"Мио Инозитол 1500 мг Qeep 60 капсул")</f>
        <v>Мио Инозитол 1500 мг Qeep 60 капсул</v>
      </c>
      <c r="G29" s="88"/>
      <c r="H29" s="88" t="str">
        <f>IFERROR(__xludf.DUMMYFUNCTION("""COMPUTED_VALUE"""),"БАДы")</f>
        <v>БАДы</v>
      </c>
      <c r="I29" s="88" t="str">
        <f>IFERROR(__xludf.DUMMYFUNCTION("""COMPUTED_VALUE"""),"Женские")</f>
        <v>Женские</v>
      </c>
      <c r="J29" s="88"/>
      <c r="K29" s="242">
        <f>IFERROR(__xludf.DUMMYFUNCTION("""COMPUTED_VALUE"""),0.0)</f>
        <v>0</v>
      </c>
      <c r="L29" s="88"/>
      <c r="M29" s="243">
        <f>IFERROR(__xludf.DUMMYFUNCTION("""COMPUTED_VALUE"""),0.0)</f>
        <v>0</v>
      </c>
      <c r="N29" s="243">
        <f>IFERROR(__xludf.DUMMYFUNCTION("""COMPUTED_VALUE"""),0.0)</f>
        <v>0</v>
      </c>
      <c r="O29" s="88"/>
      <c r="P29" s="88"/>
      <c r="Q29" s="88"/>
      <c r="R29" s="88"/>
      <c r="S29" s="88" t="str">
        <f>IFERROR(__xludf.DUMMYFUNCTION("""COMPUTED_VALUE"""),"Новинка")</f>
        <v>Новинка</v>
      </c>
      <c r="T29" s="88" t="str">
        <f>IFERROR(__xludf.DUMMYFUNCTION("""COMPUTED_VALUE"""),"Семен")</f>
        <v>Семен</v>
      </c>
      <c r="U29" s="240">
        <f>IFERROR(__xludf.DUMMYFUNCTION("""COMPUTED_VALUE"""),0.0)</f>
        <v>0</v>
      </c>
      <c r="V29" s="88"/>
      <c r="W29" s="240">
        <f>IFERROR(__xludf.DUMMYFUNCTION("""COMPUTED_VALUE"""),0.0)</f>
        <v>0</v>
      </c>
      <c r="X29" s="88"/>
      <c r="Y29" s="88"/>
      <c r="Z29" s="88"/>
      <c r="AA29" s="88"/>
      <c r="AC29" s="62" t="s">
        <v>116</v>
      </c>
    </row>
    <row r="30">
      <c r="A30" s="88"/>
      <c r="B30" s="88"/>
      <c r="C30" s="88" t="str">
        <f>IFERROR(__xludf.DUMMYFUNCTION("""COMPUTED_VALUE"""),"harly_pawprotector_50ml")</f>
        <v>harly_pawprotector_50ml</v>
      </c>
      <c r="D30" s="88">
        <f>IFERROR(__xludf.DUMMYFUNCTION("""COMPUTED_VALUE"""),2.947054189E9)</f>
        <v>2947054189</v>
      </c>
      <c r="E30" s="88" t="str">
        <f>IFERROR(__xludf.DUMMYFUNCTION("""COMPUTED_VALUE"""),"Harly")</f>
        <v>Harly</v>
      </c>
      <c r="F30" s="88" t="str">
        <f>IFERROR(__xludf.DUMMYFUNCTION("""COMPUTED_VALUE"""),"Воск для лапок собак и кошек защитный Harly 50 мл")</f>
        <v>Воск для лапок собак и кошек защитный Harly 50 мл</v>
      </c>
      <c r="G30" s="88"/>
      <c r="H30" s="88" t="str">
        <f>IFERROR(__xludf.DUMMYFUNCTION("""COMPUTED_VALUE"""),"Косметика для животных")</f>
        <v>Косметика для животных</v>
      </c>
      <c r="I30" s="88" t="str">
        <f>IFERROR(__xludf.DUMMYFUNCTION("""COMPUTED_VALUE"""),"Для лап")</f>
        <v>Для лап</v>
      </c>
      <c r="J30" s="88"/>
      <c r="K30" s="242">
        <f>IFERROR(__xludf.DUMMYFUNCTION("""COMPUTED_VALUE"""),0.0)</f>
        <v>0</v>
      </c>
      <c r="L30" s="88"/>
      <c r="M30" s="243">
        <f>IFERROR(__xludf.DUMMYFUNCTION("""COMPUTED_VALUE"""),0.0)</f>
        <v>0</v>
      </c>
      <c r="N30" s="243">
        <f>IFERROR(__xludf.DUMMYFUNCTION("""COMPUTED_VALUE"""),0.0)</f>
        <v>0</v>
      </c>
      <c r="O30" s="88"/>
      <c r="P30" s="88"/>
      <c r="Q30" s="88"/>
      <c r="R30" s="88"/>
      <c r="S30" s="88" t="str">
        <f>IFERROR(__xludf.DUMMYFUNCTION("""COMPUTED_VALUE"""),"Актуально")</f>
        <v>Актуально</v>
      </c>
      <c r="T30" s="88" t="str">
        <f>IFERROR(__xludf.DUMMYFUNCTION("""COMPUTED_VALUE"""),"Семен")</f>
        <v>Семен</v>
      </c>
      <c r="U30" s="240">
        <f>IFERROR(__xludf.DUMMYFUNCTION("""COMPUTED_VALUE"""),185.4)</f>
        <v>185.4</v>
      </c>
      <c r="V30" s="88"/>
      <c r="W30" s="88"/>
      <c r="X30" s="88"/>
      <c r="Y30" s="88"/>
      <c r="Z30" s="88"/>
      <c r="AA30" s="88"/>
      <c r="AC30" s="62" t="s">
        <v>116</v>
      </c>
    </row>
    <row r="31">
      <c r="A31" s="88"/>
      <c r="B31" s="88"/>
      <c r="C31" s="88" t="str">
        <f>IFERROR(__xludf.DUMMYFUNCTION("""COMPUTED_VALUE"""),"qeep_probioticdetox_60caps")</f>
        <v>qeep_probioticdetox_60caps</v>
      </c>
      <c r="D31" s="88">
        <f>IFERROR(__xludf.DUMMYFUNCTION("""COMPUTED_VALUE"""),3.010994519E9)</f>
        <v>3010994519</v>
      </c>
      <c r="E31" s="88" t="str">
        <f>IFERROR(__xludf.DUMMYFUNCTION("""COMPUTED_VALUE"""),"qeep")</f>
        <v>qeep</v>
      </c>
      <c r="F31" s="88" t="str">
        <f>IFERROR(__xludf.DUMMYFUNCTION("""COMPUTED_VALUE"""),"Пробиотики для взрослых qeep Probiotic Detox, 60 капсул")</f>
        <v>Пробиотики для взрослых qeep Probiotic Detox, 60 капсул</v>
      </c>
      <c r="G31" s="88"/>
      <c r="H31" s="88" t="str">
        <f>IFERROR(__xludf.DUMMYFUNCTION("""COMPUTED_VALUE"""),"БАДы")</f>
        <v>БАДы</v>
      </c>
      <c r="I31" s="88" t="str">
        <f>IFERROR(__xludf.DUMMYFUNCTION("""COMPUTED_VALUE"""),"ЖКТ")</f>
        <v>ЖКТ</v>
      </c>
      <c r="J31" s="88"/>
      <c r="K31" s="242">
        <f>IFERROR(__xludf.DUMMYFUNCTION("""COMPUTED_VALUE"""),0.0)</f>
        <v>0</v>
      </c>
      <c r="L31" s="88"/>
      <c r="M31" s="243">
        <f>IFERROR(__xludf.DUMMYFUNCTION("""COMPUTED_VALUE"""),0.0)</f>
        <v>0</v>
      </c>
      <c r="N31" s="243">
        <f>IFERROR(__xludf.DUMMYFUNCTION("""COMPUTED_VALUE"""),0.0)</f>
        <v>0</v>
      </c>
      <c r="O31" s="88"/>
      <c r="P31" s="88"/>
      <c r="Q31" s="88"/>
      <c r="R31" s="88"/>
      <c r="S31" s="88" t="str">
        <f>IFERROR(__xludf.DUMMYFUNCTION("""COMPUTED_VALUE"""),"Новинка")</f>
        <v>Новинка</v>
      </c>
      <c r="T31" s="88" t="str">
        <f>IFERROR(__xludf.DUMMYFUNCTION("""COMPUTED_VALUE"""),"Семен")</f>
        <v>Семен</v>
      </c>
      <c r="U31" s="240">
        <f>IFERROR(__xludf.DUMMYFUNCTION("""COMPUTED_VALUE"""),0.0)</f>
        <v>0</v>
      </c>
      <c r="V31" s="88"/>
      <c r="W31" s="240">
        <f>IFERROR(__xludf.DUMMYFUNCTION("""COMPUTED_VALUE"""),0.0)</f>
        <v>0</v>
      </c>
      <c r="X31" s="88"/>
      <c r="Y31" s="88"/>
      <c r="Z31" s="88"/>
      <c r="AA31" s="88"/>
      <c r="AC31" s="62" t="s">
        <v>116</v>
      </c>
    </row>
    <row r="32">
      <c r="A32" s="88"/>
      <c r="B32" s="88"/>
      <c r="C32" s="88" t="str">
        <f>IFERROR(__xludf.DUMMYFUNCTION("""COMPUTED_VALUE"""),"qeep_zma_120caps_v2")</f>
        <v>qeep_zma_120caps_v2</v>
      </c>
      <c r="D32" s="88">
        <f>IFERROR(__xludf.DUMMYFUNCTION("""COMPUTED_VALUE"""),3.044876607E9)</f>
        <v>3044876607</v>
      </c>
      <c r="E32" s="88" t="str">
        <f>IFERROR(__xludf.DUMMYFUNCTION("""COMPUTED_VALUE"""),"qeep")</f>
        <v>qeep</v>
      </c>
      <c r="F32" s="88" t="str">
        <f>IFERROR(__xludf.DUMMYFUNCTION("""COMPUTED_VALUE"""),"ZMA тестостерон для мужчин Цинк + Магний + Аспарагиновая Кислота + В6 Qeep Экдистерон 120 капсул")</f>
        <v>ZMA тестостерон для мужчин Цинк + Магний + Аспарагиновая Кислота + В6 Qeep Экдистерон 120 капсул</v>
      </c>
      <c r="G32" s="88"/>
      <c r="H32" s="88" t="str">
        <f>IFERROR(__xludf.DUMMYFUNCTION("""COMPUTED_VALUE"""),"БАДы")</f>
        <v>БАДы</v>
      </c>
      <c r="I32" s="88" t="str">
        <f>IFERROR(__xludf.DUMMYFUNCTION("""COMPUTED_VALUE"""),"Спорт")</f>
        <v>Спорт</v>
      </c>
      <c r="J32" s="88"/>
      <c r="K32" s="242">
        <f>IFERROR(__xludf.DUMMYFUNCTION("""COMPUTED_VALUE"""),0.0)</f>
        <v>0</v>
      </c>
      <c r="L32" s="88"/>
      <c r="M32" s="243">
        <f>IFERROR(__xludf.DUMMYFUNCTION("""COMPUTED_VALUE"""),0.0)</f>
        <v>0</v>
      </c>
      <c r="N32" s="243">
        <f>IFERROR(__xludf.DUMMYFUNCTION("""COMPUTED_VALUE"""),0.0)</f>
        <v>0</v>
      </c>
      <c r="O32" s="88"/>
      <c r="P32" s="88"/>
      <c r="Q32" s="88"/>
      <c r="R32" s="88"/>
      <c r="S32" s="88" t="str">
        <f>IFERROR(__xludf.DUMMYFUNCTION("""COMPUTED_VALUE"""),"Новинка")</f>
        <v>Новинка</v>
      </c>
      <c r="T32" s="88" t="str">
        <f>IFERROR(__xludf.DUMMYFUNCTION("""COMPUTED_VALUE"""),"Семен")</f>
        <v>Семен</v>
      </c>
      <c r="U32" s="240">
        <f>IFERROR(__xludf.DUMMYFUNCTION("""COMPUTED_VALUE"""),0.0)</f>
        <v>0</v>
      </c>
      <c r="V32" s="88"/>
      <c r="W32" s="240">
        <f>IFERROR(__xludf.DUMMYFUNCTION("""COMPUTED_VALUE"""),0.0)</f>
        <v>0</v>
      </c>
      <c r="X32" s="88"/>
      <c r="Y32" s="88"/>
      <c r="Z32" s="88"/>
      <c r="AA32" s="88"/>
      <c r="AC32" s="62" t="s">
        <v>116</v>
      </c>
    </row>
    <row r="33">
      <c r="A33" s="88"/>
      <c r="B33" s="88"/>
      <c r="C33" s="88" t="str">
        <f>IFERROR(__xludf.DUMMYFUNCTION("""COMPUTED_VALUE"""),"harly_salmonoil_250ml")</f>
        <v>harly_salmonoil_250ml</v>
      </c>
      <c r="D33" s="88">
        <f>IFERROR(__xludf.DUMMYFUNCTION("""COMPUTED_VALUE"""),3.106984552E9)</f>
        <v>3106984552</v>
      </c>
      <c r="E33" s="88" t="str">
        <f>IFERROR(__xludf.DUMMYFUNCTION("""COMPUTED_VALUE"""),"Harly")</f>
        <v>Harly</v>
      </c>
      <c r="F33" s="88" t="str">
        <f>IFERROR(__xludf.DUMMYFUNCTION("""COMPUTED_VALUE"""),"Лососевое масло для собак и кошек Harly 250 мл")</f>
        <v>Лососевое масло для собак и кошек Harly 250 мл</v>
      </c>
      <c r="G33" s="88"/>
      <c r="H33" s="88" t="str">
        <f>IFERROR(__xludf.DUMMYFUNCTION("""COMPUTED_VALUE"""),"Корма и Кормовые добавки")</f>
        <v>Корма и Кормовые добавки</v>
      </c>
      <c r="I33" s="88" t="str">
        <f>IFERROR(__xludf.DUMMYFUNCTION("""COMPUTED_VALUE"""),"Лососевое масло")</f>
        <v>Лососевое масло</v>
      </c>
      <c r="J33" s="88"/>
      <c r="K33" s="88"/>
      <c r="L33" s="88"/>
      <c r="M33" s="88"/>
      <c r="N33" s="88"/>
      <c r="O33" s="88"/>
      <c r="P33" s="88"/>
      <c r="Q33" s="88"/>
      <c r="R33" s="88"/>
      <c r="S33" s="88" t="str">
        <f>IFERROR(__xludf.DUMMYFUNCTION("""COMPUTED_VALUE"""),"Новинка")</f>
        <v>Новинка</v>
      </c>
      <c r="T33" s="88" t="str">
        <f>IFERROR(__xludf.DUMMYFUNCTION("""COMPUTED_VALUE"""),"Семен")</f>
        <v>Семен</v>
      </c>
      <c r="U33" s="240">
        <f>IFERROR(__xludf.DUMMYFUNCTION("""COMPUTED_VALUE"""),0.0)</f>
        <v>0</v>
      </c>
      <c r="V33" s="88"/>
      <c r="W33" s="240">
        <f>IFERROR(__xludf.DUMMYFUNCTION("""COMPUTED_VALUE"""),0.0)</f>
        <v>0</v>
      </c>
      <c r="X33" s="88"/>
      <c r="Y33" s="88"/>
      <c r="Z33" s="88"/>
      <c r="AA33" s="88"/>
      <c r="AC33" s="62" t="s">
        <v>116</v>
      </c>
    </row>
    <row r="34">
      <c r="A34" s="88"/>
      <c r="B34" s="88"/>
      <c r="C34" s="88" t="str">
        <f>IFERROR(__xludf.DUMMYFUNCTION("""COMPUTED_VALUE"""),"qeep_chlorophyll_500ml_v2")</f>
        <v>qeep_chlorophyll_500ml_v2</v>
      </c>
      <c r="D34" s="88">
        <f>IFERROR(__xludf.DUMMYFUNCTION("""COMPUTED_VALUE"""),3.108027348E9)</f>
        <v>3108027348</v>
      </c>
      <c r="E34" s="88" t="str">
        <f>IFERROR(__xludf.DUMMYFUNCTION("""COMPUTED_VALUE"""),"qeep")</f>
        <v>qeep</v>
      </c>
      <c r="F34" s="88" t="str">
        <f>IFERROR(__xludf.DUMMYFUNCTION("""COMPUTED_VALUE"""),"БАД Chlorophyll, 500 мл Жидкий хлорофилл со вкусом мяты, 500мл")</f>
        <v>БАД Chlorophyll, 500 мл Жидкий хлорофилл со вкусом мяты, 500мл</v>
      </c>
      <c r="G34" s="88"/>
      <c r="H34" s="88" t="str">
        <f>IFERROR(__xludf.DUMMYFUNCTION("""COMPUTED_VALUE"""),"БАДы")</f>
        <v>БАДы</v>
      </c>
      <c r="I34" s="88" t="str">
        <f>IFERROR(__xludf.DUMMYFUNCTION("""COMPUTED_VALUE"""),"ЖКТ")</f>
        <v>ЖКТ</v>
      </c>
      <c r="J34" s="88"/>
      <c r="K34" s="88"/>
      <c r="L34" s="88"/>
      <c r="M34" s="88"/>
      <c r="N34" s="88"/>
      <c r="O34" s="88"/>
      <c r="P34" s="88"/>
      <c r="Q34" s="88"/>
      <c r="R34" s="88"/>
      <c r="S34" s="88" t="str">
        <f>IFERROR(__xludf.DUMMYFUNCTION("""COMPUTED_VALUE"""),"Новинка")</f>
        <v>Новинка</v>
      </c>
      <c r="T34" s="88" t="str">
        <f>IFERROR(__xludf.DUMMYFUNCTION("""COMPUTED_VALUE"""),"Семен")</f>
        <v>Семен</v>
      </c>
      <c r="U34" s="240">
        <f>IFERROR(__xludf.DUMMYFUNCTION("""COMPUTED_VALUE"""),0.0)</f>
        <v>0</v>
      </c>
      <c r="V34" s="88"/>
      <c r="W34" s="240">
        <f>IFERROR(__xludf.DUMMYFUNCTION("""COMPUTED_VALUE"""),0.0)</f>
        <v>0</v>
      </c>
      <c r="X34" s="88"/>
      <c r="Y34" s="88"/>
      <c r="Z34" s="88"/>
      <c r="AA34" s="88"/>
      <c r="AC34" s="62" t="s">
        <v>116</v>
      </c>
    </row>
    <row r="35">
      <c r="A35" s="88"/>
      <c r="B35" s="88"/>
      <c r="C35" s="88" t="str">
        <f>IFERROR(__xludf.DUMMYFUNCTION("""COMPUTED_VALUE"""),"qeep_spf50_50ml")</f>
        <v>qeep_spf50_50ml</v>
      </c>
      <c r="D35" s="88">
        <f>IFERROR(__xludf.DUMMYFUNCTION("""COMPUTED_VALUE"""),3.1909721E9)</f>
        <v>3190972100</v>
      </c>
      <c r="E35" s="88" t="str">
        <f>IFERROR(__xludf.DUMMYFUNCTION("""COMPUTED_VALUE"""),"qeep")</f>
        <v>qeep</v>
      </c>
      <c r="F35" s="88" t="str">
        <f>IFERROR(__xludf.DUMMYFUNCTION("""COMPUTED_VALUE"""),"Крем солнцезащитный SPF 50 для лица, 50 мл")</f>
        <v>Крем солнцезащитный SPF 50 для лица, 50 мл</v>
      </c>
      <c r="G35" s="88"/>
      <c r="H35" s="88" t="str">
        <f>IFERROR(__xludf.DUMMYFUNCTION("""COMPUTED_VALUE"""),"Косметика")</f>
        <v>Косметика</v>
      </c>
      <c r="I35" s="88" t="str">
        <f>IFERROR(__xludf.DUMMYFUNCTION("""COMPUTED_VALUE"""),"Лицо")</f>
        <v>Лицо</v>
      </c>
      <c r="J35" s="88"/>
      <c r="K35" s="88"/>
      <c r="L35" s="88"/>
      <c r="M35" s="88"/>
      <c r="N35" s="88"/>
      <c r="O35" s="88"/>
      <c r="P35" s="88"/>
      <c r="Q35" s="88"/>
      <c r="R35" s="88"/>
      <c r="S35" s="88" t="str">
        <f>IFERROR(__xludf.DUMMYFUNCTION("""COMPUTED_VALUE"""),"Новинка")</f>
        <v>Новинка</v>
      </c>
      <c r="T35" s="88" t="str">
        <f>IFERROR(__xludf.DUMMYFUNCTION("""COMPUTED_VALUE"""),"Кристина")</f>
        <v>Кристина</v>
      </c>
      <c r="U35" s="240">
        <f>IFERROR(__xludf.DUMMYFUNCTION("""COMPUTED_VALUE"""),0.0)</f>
        <v>0</v>
      </c>
      <c r="V35" s="88"/>
      <c r="W35" s="240">
        <f>IFERROR(__xludf.DUMMYFUNCTION("""COMPUTED_VALUE"""),0.0)</f>
        <v>0</v>
      </c>
      <c r="X35" s="88"/>
      <c r="Y35" s="88"/>
      <c r="Z35" s="88"/>
      <c r="AA35" s="88"/>
      <c r="AC35" s="62" t="s">
        <v>116</v>
      </c>
    </row>
    <row r="36">
      <c r="A36" s="88"/>
      <c r="B36" s="88"/>
      <c r="C36" s="88" t="str">
        <f>IFERROR(__xludf.DUMMYFUNCTION("""COMPUTED_VALUE"""),"qeep_retinolcream1_50ml")</f>
        <v>qeep_retinolcream1_50ml</v>
      </c>
      <c r="D36" s="88">
        <f>IFERROR(__xludf.DUMMYFUNCTION("""COMPUTED_VALUE"""),3.219081694E9)</f>
        <v>3219081694</v>
      </c>
      <c r="E36" s="88" t="str">
        <f>IFERROR(__xludf.DUMMYFUNCTION("""COMPUTED_VALUE"""),"qeep")</f>
        <v>qeep</v>
      </c>
      <c r="F36" s="88" t="str">
        <f>IFERROR(__xludf.DUMMYFUNCTION("""COMPUTED_VALUE"""),"Крем для Лица с Липосомальным Ретинолом 1%")</f>
        <v>Крем для Лица с Липосомальным Ретинолом 1%</v>
      </c>
      <c r="G36" s="88"/>
      <c r="H36" s="88" t="str">
        <f>IFERROR(__xludf.DUMMYFUNCTION("""COMPUTED_VALUE"""),"Косметика")</f>
        <v>Косметика</v>
      </c>
      <c r="I36" s="88" t="str">
        <f>IFERROR(__xludf.DUMMYFUNCTION("""COMPUTED_VALUE"""),"Лицо")</f>
        <v>Лицо</v>
      </c>
      <c r="J36" s="88"/>
      <c r="K36" s="88"/>
      <c r="L36" s="88"/>
      <c r="M36" s="88"/>
      <c r="N36" s="88"/>
      <c r="O36" s="88"/>
      <c r="P36" s="88"/>
      <c r="Q36" s="88"/>
      <c r="R36" s="88"/>
      <c r="S36" s="88" t="str">
        <f>IFERROR(__xludf.DUMMYFUNCTION("""COMPUTED_VALUE"""),"Новинка")</f>
        <v>Новинка</v>
      </c>
      <c r="T36" s="88" t="str">
        <f>IFERROR(__xludf.DUMMYFUNCTION("""COMPUTED_VALUE"""),"Кристина")</f>
        <v>Кристина</v>
      </c>
      <c r="U36" s="240">
        <f>IFERROR(__xludf.DUMMYFUNCTION("""COMPUTED_VALUE"""),0.0)</f>
        <v>0</v>
      </c>
      <c r="V36" s="88"/>
      <c r="W36" s="240">
        <f>IFERROR(__xludf.DUMMYFUNCTION("""COMPUTED_VALUE"""),0.0)</f>
        <v>0</v>
      </c>
      <c r="X36" s="88"/>
      <c r="Y36" s="88"/>
      <c r="Z36" s="88"/>
      <c r="AA36" s="88"/>
      <c r="AC36" s="62" t="s">
        <v>116</v>
      </c>
    </row>
    <row r="37">
      <c r="A37" s="88"/>
      <c r="B37" s="88"/>
      <c r="C37" s="88" t="str">
        <f>IFERROR(__xludf.DUMMYFUNCTION("""COMPUTED_VALUE"""),"qeep_retinolcream15_50ml")</f>
        <v>qeep_retinolcream15_50ml</v>
      </c>
      <c r="D37" s="88">
        <f>IFERROR(__xludf.DUMMYFUNCTION("""COMPUTED_VALUE"""),3.220730122E9)</f>
        <v>3220730122</v>
      </c>
      <c r="E37" s="88" t="str">
        <f>IFERROR(__xludf.DUMMYFUNCTION("""COMPUTED_VALUE"""),"qeep")</f>
        <v>qeep</v>
      </c>
      <c r="F37" s="88" t="str">
        <f>IFERROR(__xludf.DUMMYFUNCTION("""COMPUTED_VALUE"""),"Крем для Лица с Липосомальным Ретинолом 1.5%")</f>
        <v>Крем для Лица с Липосомальным Ретинолом 1.5%</v>
      </c>
      <c r="G37" s="88"/>
      <c r="H37" s="88" t="str">
        <f>IFERROR(__xludf.DUMMYFUNCTION("""COMPUTED_VALUE"""),"Косметика")</f>
        <v>Косметика</v>
      </c>
      <c r="I37" s="88" t="str">
        <f>IFERROR(__xludf.DUMMYFUNCTION("""COMPUTED_VALUE"""),"Лицо")</f>
        <v>Лицо</v>
      </c>
      <c r="J37" s="88"/>
      <c r="K37" s="88"/>
      <c r="L37" s="88"/>
      <c r="M37" s="88"/>
      <c r="N37" s="88"/>
      <c r="O37" s="88"/>
      <c r="P37" s="88"/>
      <c r="Q37" s="88"/>
      <c r="R37" s="88"/>
      <c r="S37" s="88" t="str">
        <f>IFERROR(__xludf.DUMMYFUNCTION("""COMPUTED_VALUE"""),"Новинка")</f>
        <v>Новинка</v>
      </c>
      <c r="T37" s="88" t="str">
        <f>IFERROR(__xludf.DUMMYFUNCTION("""COMPUTED_VALUE"""),"Кристина")</f>
        <v>Кристина</v>
      </c>
      <c r="U37" s="240">
        <f>IFERROR(__xludf.DUMMYFUNCTION("""COMPUTED_VALUE"""),0.0)</f>
        <v>0</v>
      </c>
      <c r="V37" s="88"/>
      <c r="W37" s="240">
        <f>IFERROR(__xludf.DUMMYFUNCTION("""COMPUTED_VALUE"""),0.0)</f>
        <v>0</v>
      </c>
      <c r="X37" s="88"/>
      <c r="Y37" s="88"/>
      <c r="Z37" s="88"/>
      <c r="AA37" s="88"/>
      <c r="AC37" s="62" t="s">
        <v>116</v>
      </c>
    </row>
    <row r="38">
      <c r="A38" s="88"/>
      <c r="B38" s="88">
        <f>IFERROR(__xludf.DUMMYFUNCTION("""COMPUTED_VALUE"""),41.0)</f>
        <v>41</v>
      </c>
      <c r="C38" s="88" t="str">
        <f>IFERROR(__xludf.DUMMYFUNCTION("""COMPUTED_VALUE"""),"qeep_biotin_10000_60caps")</f>
        <v>qeep_biotin_10000_60caps</v>
      </c>
      <c r="D38" s="88">
        <f>IFERROR(__xludf.DUMMYFUNCTION("""COMPUTED_VALUE"""),1.77339413E9)</f>
        <v>1773394130</v>
      </c>
      <c r="E38" s="88" t="str">
        <f>IFERROR(__xludf.DUMMYFUNCTION("""COMPUTED_VALUE"""),"qeep")</f>
        <v>qeep</v>
      </c>
      <c r="F38" s="88" t="str">
        <f>IFERROR(__xludf.DUMMYFUNCTION("""COMPUTED_VALUE"""),"Биотин 10000 мкг Qeep 60 капсул")</f>
        <v>Биотин 10000 мкг Qeep 60 капсул</v>
      </c>
      <c r="G38" s="88"/>
      <c r="H38" s="88" t="str">
        <f>IFERROR(__xludf.DUMMYFUNCTION("""COMPUTED_VALUE"""),"БАДы")</f>
        <v>БАДы</v>
      </c>
      <c r="I38" s="88" t="str">
        <f>IFERROR(__xludf.DUMMYFUNCTION("""COMPUTED_VALUE"""),"Женские")</f>
        <v>Женские</v>
      </c>
      <c r="J38" s="88"/>
      <c r="K38" s="242">
        <f>IFERROR(__xludf.DUMMYFUNCTION("""COMPUTED_VALUE"""),58928.0)</f>
        <v>58928</v>
      </c>
      <c r="L38" s="88"/>
      <c r="M38" s="243">
        <f>IFERROR(__xludf.DUMMYFUNCTION("""COMPUTED_VALUE"""),-0.26279093482599614)</f>
        <v>-0.2627909348</v>
      </c>
      <c r="N38" s="243">
        <f>IFERROR(__xludf.DUMMYFUNCTION("""COMPUTED_VALUE"""),0.34510085880581887)</f>
        <v>0.3451008588</v>
      </c>
      <c r="O38" s="88"/>
      <c r="P38" s="88"/>
      <c r="Q38" s="88"/>
      <c r="R38" s="88"/>
      <c r="S38" s="88" t="str">
        <f>IFERROR(__xludf.DUMMYFUNCTION("""COMPUTED_VALUE"""),"Актуально")</f>
        <v>Актуально</v>
      </c>
      <c r="T38" s="88" t="str">
        <f>IFERROR(__xludf.DUMMYFUNCTION("""COMPUTED_VALUE"""),"Семен")</f>
        <v>Семен</v>
      </c>
      <c r="U38" s="240">
        <f>IFERROR(__xludf.DUMMYFUNCTION("""COMPUTED_VALUE"""),220.0)</f>
        <v>220</v>
      </c>
      <c r="V38" s="88"/>
      <c r="W38" s="240">
        <f>IFERROR(__xludf.DUMMYFUNCTION("""COMPUTED_VALUE"""),1100.0000000000002)</f>
        <v>1100</v>
      </c>
      <c r="X38" s="88"/>
      <c r="Y38" s="88"/>
      <c r="Z38" s="88"/>
      <c r="AA38" s="88"/>
      <c r="AC38" s="62" t="s">
        <v>116</v>
      </c>
    </row>
    <row r="39">
      <c r="A39" s="88"/>
      <c r="B39" s="88">
        <f>IFERROR(__xludf.DUMMYFUNCTION("""COMPUTED_VALUE"""),48.0)</f>
        <v>48</v>
      </c>
      <c r="C39" s="88" t="str">
        <f>IFERROR(__xludf.DUMMYFUNCTION("""COMPUTED_VALUE"""),"qeep_pqq_30caps")</f>
        <v>qeep_pqq_30caps</v>
      </c>
      <c r="D39" s="88">
        <f>IFERROR(__xludf.DUMMYFUNCTION("""COMPUTED_VALUE"""),1.785810392E9)</f>
        <v>1785810392</v>
      </c>
      <c r="E39" s="88" t="str">
        <f>IFERROR(__xludf.DUMMYFUNCTION("""COMPUTED_VALUE"""),"qeep")</f>
        <v>qeep</v>
      </c>
      <c r="F39" s="88" t="str">
        <f>IFERROR(__xludf.DUMMYFUNCTION("""COMPUTED_VALUE"""),"PQQ Q10 Витамины для сердца и сосудов qeep 30 капсул")</f>
        <v>PQQ Q10 Витамины для сердца и сосудов qeep 30 капсул</v>
      </c>
      <c r="G39" s="88"/>
      <c r="H39" s="88" t="str">
        <f>IFERROR(__xludf.DUMMYFUNCTION("""COMPUTED_VALUE"""),"БАДы")</f>
        <v>БАДы</v>
      </c>
      <c r="I39" s="88" t="str">
        <f>IFERROR(__xludf.DUMMYFUNCTION("""COMPUTED_VALUE"""),"Женские")</f>
        <v>Женские</v>
      </c>
      <c r="J39" s="88"/>
      <c r="K39" s="242">
        <f>IFERROR(__xludf.DUMMYFUNCTION("""COMPUTED_VALUE"""),45450.0)</f>
        <v>45450</v>
      </c>
      <c r="L39" s="88"/>
      <c r="M39" s="243">
        <f>IFERROR(__xludf.DUMMYFUNCTION("""COMPUTED_VALUE"""),0.17822268447558584)</f>
        <v>0.1782226845</v>
      </c>
      <c r="N39" s="243">
        <f>IFERROR(__xludf.DUMMYFUNCTION("""COMPUTED_VALUE"""),0.32200963433326046)</f>
        <v>0.3220096343</v>
      </c>
      <c r="O39" s="88"/>
      <c r="P39" s="88"/>
      <c r="Q39" s="88"/>
      <c r="R39" s="88"/>
      <c r="S39" s="88" t="str">
        <f>IFERROR(__xludf.DUMMYFUNCTION("""COMPUTED_VALUE"""),"Актуально")</f>
        <v>Актуально</v>
      </c>
      <c r="T39" s="88" t="str">
        <f>IFERROR(__xludf.DUMMYFUNCTION("""COMPUTED_VALUE"""),"Семен")</f>
        <v>Семен</v>
      </c>
      <c r="U39" s="240">
        <f>IFERROR(__xludf.DUMMYFUNCTION("""COMPUTED_VALUE"""),449.4)</f>
        <v>449.4</v>
      </c>
      <c r="V39" s="88"/>
      <c r="W39" s="240">
        <f>IFERROR(__xludf.DUMMYFUNCTION("""COMPUTED_VALUE"""),2247.0000000000005)</f>
        <v>2247</v>
      </c>
      <c r="X39" s="88"/>
      <c r="Y39" s="88"/>
      <c r="Z39" s="88"/>
      <c r="AA39" s="88"/>
      <c r="AC39" s="62" t="s">
        <v>116</v>
      </c>
    </row>
    <row r="40">
      <c r="A40" s="88"/>
      <c r="B40" s="88">
        <f>IFERROR(__xludf.DUMMYFUNCTION("""COMPUTED_VALUE"""),53.0)</f>
        <v>53</v>
      </c>
      <c r="C40" s="88" t="str">
        <f>IFERROR(__xludf.DUMMYFUNCTION("""COMPUTED_VALUE"""),"qeep_biopurin_60caps")</f>
        <v>qeep_biopurin_60caps</v>
      </c>
      <c r="D40" s="88">
        <f>IFERROR(__xludf.DUMMYFUNCTION("""COMPUTED_VALUE"""),1.884226546E9)</f>
        <v>1884226546</v>
      </c>
      <c r="E40" s="88" t="str">
        <f>IFERROR(__xludf.DUMMYFUNCTION("""COMPUTED_VALUE"""),"qeep")</f>
        <v>qeep</v>
      </c>
      <c r="F40" s="88" t="str">
        <f>IFERROR(__xludf.DUMMYFUNCTION("""COMPUTED_VALUE"""),"Комплексная пищевая добавка ""Биопурин"", от подагры для суставов qeep 60 капсул")</f>
        <v>Комплексная пищевая добавка "Биопурин", от подагры для суставов qeep 60 капсул</v>
      </c>
      <c r="G40" s="88"/>
      <c r="H40" s="88" t="str">
        <f>IFERROR(__xludf.DUMMYFUNCTION("""COMPUTED_VALUE"""),"БАДы")</f>
        <v>БАДы</v>
      </c>
      <c r="I40" s="88" t="str">
        <f>IFERROR(__xludf.DUMMYFUNCTION("""COMPUTED_VALUE"""),"Женские")</f>
        <v>Женские</v>
      </c>
      <c r="J40" s="88"/>
      <c r="K40" s="242">
        <f>IFERROR(__xludf.DUMMYFUNCTION("""COMPUTED_VALUE"""),30629.0)</f>
        <v>30629</v>
      </c>
      <c r="L40" s="88"/>
      <c r="M40" s="243">
        <f>IFERROR(__xludf.DUMMYFUNCTION("""COMPUTED_VALUE"""),0.06930649297781374)</f>
        <v>0.06930649298</v>
      </c>
      <c r="N40" s="243">
        <f>IFERROR(__xludf.DUMMYFUNCTION("""COMPUTED_VALUE"""),0.26412994097292875)</f>
        <v>0.264129941</v>
      </c>
      <c r="O40" s="88"/>
      <c r="P40" s="88"/>
      <c r="Q40" s="88"/>
      <c r="R40" s="88"/>
      <c r="S40" s="88" t="str">
        <f>IFERROR(__xludf.DUMMYFUNCTION("""COMPUTED_VALUE"""),"Актуально")</f>
        <v>Актуально</v>
      </c>
      <c r="T40" s="88" t="str">
        <f>IFERROR(__xludf.DUMMYFUNCTION("""COMPUTED_VALUE"""),"Семен")</f>
        <v>Семен</v>
      </c>
      <c r="U40" s="240">
        <f>IFERROR(__xludf.DUMMYFUNCTION("""COMPUTED_VALUE"""),182.97)</f>
        <v>182.97</v>
      </c>
      <c r="V40" s="88"/>
      <c r="W40" s="240">
        <f>IFERROR(__xludf.DUMMYFUNCTION("""COMPUTED_VALUE"""),914.8500000000003)</f>
        <v>914.85</v>
      </c>
      <c r="X40" s="88"/>
      <c r="Y40" s="88"/>
      <c r="Z40" s="88"/>
      <c r="AA40" s="88"/>
      <c r="AC40" s="62" t="s">
        <v>116</v>
      </c>
    </row>
    <row r="41">
      <c r="A41" s="88"/>
      <c r="B41" s="88">
        <f>IFERROR(__xludf.DUMMYFUNCTION("""COMPUTED_VALUE"""),57.0)</f>
        <v>57</v>
      </c>
      <c r="C41" s="88" t="str">
        <f>IFERROR(__xludf.DUMMYFUNCTION("""COMPUTED_VALUE"""),"qeep_bcomplex_90caps")</f>
        <v>qeep_bcomplex_90caps</v>
      </c>
      <c r="D41" s="88">
        <f>IFERROR(__xludf.DUMMYFUNCTION("""COMPUTED_VALUE"""),1.408084489E9)</f>
        <v>1408084489</v>
      </c>
      <c r="E41" s="88" t="str">
        <f>IFERROR(__xludf.DUMMYFUNCTION("""COMPUTED_VALUE"""),"qeep")</f>
        <v>qeep</v>
      </c>
      <c r="F41" s="88" t="str">
        <f>IFERROR(__xludf.DUMMYFUNCTION("""COMPUTED_VALUE"""),"Витамины группы B Qeep 90 капсул")</f>
        <v>Витамины группы B Qeep 90 капсул</v>
      </c>
      <c r="G41" s="88"/>
      <c r="H41" s="88" t="str">
        <f>IFERROR(__xludf.DUMMYFUNCTION("""COMPUTED_VALUE"""),"БАДы")</f>
        <v>БАДы</v>
      </c>
      <c r="I41" s="88" t="str">
        <f>IFERROR(__xludf.DUMMYFUNCTION("""COMPUTED_VALUE"""),"Женские")</f>
        <v>Женские</v>
      </c>
      <c r="J41" s="88"/>
      <c r="K41" s="242">
        <f>IFERROR(__xludf.DUMMYFUNCTION("""COMPUTED_VALUE"""),28783.0)</f>
        <v>28783</v>
      </c>
      <c r="L41" s="88"/>
      <c r="M41" s="243">
        <f>IFERROR(__xludf.DUMMYFUNCTION("""COMPUTED_VALUE"""),-0.07974078935420223)</f>
        <v>-0.07974078935</v>
      </c>
      <c r="N41" s="243">
        <f>IFERROR(__xludf.DUMMYFUNCTION("""COMPUTED_VALUE"""),0.07739501556089393)</f>
        <v>0.07739501556</v>
      </c>
      <c r="O41" s="88"/>
      <c r="P41" s="88"/>
      <c r="Q41" s="88"/>
      <c r="R41" s="88"/>
      <c r="S41" s="88" t="str">
        <f>IFERROR(__xludf.DUMMYFUNCTION("""COMPUTED_VALUE"""),"Актуально")</f>
        <v>Актуально</v>
      </c>
      <c r="T41" s="88" t="str">
        <f>IFERROR(__xludf.DUMMYFUNCTION("""COMPUTED_VALUE"""),"Семен")</f>
        <v>Семен</v>
      </c>
      <c r="U41" s="240">
        <f>IFERROR(__xludf.DUMMYFUNCTION("""COMPUTED_VALUE"""),441.54)</f>
        <v>441.54</v>
      </c>
      <c r="V41" s="88"/>
      <c r="W41" s="240">
        <f>IFERROR(__xludf.DUMMYFUNCTION("""COMPUTED_VALUE"""),2207.7000000000007)</f>
        <v>2207.7</v>
      </c>
      <c r="X41" s="88"/>
      <c r="Y41" s="88"/>
      <c r="Z41" s="88"/>
      <c r="AA41" s="88"/>
      <c r="AC41" s="62" t="s">
        <v>116</v>
      </c>
    </row>
    <row r="42">
      <c r="A42" s="88"/>
      <c r="B42" s="88">
        <f>IFERROR(__xludf.DUMMYFUNCTION("""COMPUTED_VALUE"""),71.0)</f>
        <v>71</v>
      </c>
      <c r="C42" s="88" t="str">
        <f>IFERROR(__xludf.DUMMYFUNCTION("""COMPUTED_VALUE"""),"qeep_perfectwoman_60caps")</f>
        <v>qeep_perfectwoman_60caps</v>
      </c>
      <c r="D42" s="88">
        <f>IFERROR(__xludf.DUMMYFUNCTION("""COMPUTED_VALUE"""),1.500211407E9)</f>
        <v>1500211407</v>
      </c>
      <c r="E42" s="88" t="str">
        <f>IFERROR(__xludf.DUMMYFUNCTION("""COMPUTED_VALUE"""),"qeep")</f>
        <v>qeep</v>
      </c>
      <c r="F42" s="88" t="str">
        <f>IFERROR(__xludf.DUMMYFUNCTION("""COMPUTED_VALUE"""),"Витамины для женщин Qeep 60 капсул")</f>
        <v>Витамины для женщин Qeep 60 капсул</v>
      </c>
      <c r="G42" s="88"/>
      <c r="H42" s="88" t="str">
        <f>IFERROR(__xludf.DUMMYFUNCTION("""COMPUTED_VALUE"""),"БАДы")</f>
        <v>БАДы</v>
      </c>
      <c r="I42" s="88" t="str">
        <f>IFERROR(__xludf.DUMMYFUNCTION("""COMPUTED_VALUE"""),"Женские")</f>
        <v>Женские</v>
      </c>
      <c r="J42" s="88"/>
      <c r="K42" s="242">
        <f>IFERROR(__xludf.DUMMYFUNCTION("""COMPUTED_VALUE"""),28355.0)</f>
        <v>28355</v>
      </c>
      <c r="L42" s="88"/>
      <c r="M42" s="243">
        <f>IFERROR(__xludf.DUMMYFUNCTION("""COMPUTED_VALUE"""),0.09358579758196653)</f>
        <v>0.09358579758</v>
      </c>
      <c r="N42" s="243">
        <f>IFERROR(__xludf.DUMMYFUNCTION("""COMPUTED_VALUE"""),0.2698543941898909)</f>
        <v>0.2698543942</v>
      </c>
      <c r="O42" s="88"/>
      <c r="P42" s="88"/>
      <c r="Q42" s="88"/>
      <c r="R42" s="88"/>
      <c r="S42" s="88" t="str">
        <f>IFERROR(__xludf.DUMMYFUNCTION("""COMPUTED_VALUE"""),"Актуально")</f>
        <v>Актуально</v>
      </c>
      <c r="T42" s="88" t="str">
        <f>IFERROR(__xludf.DUMMYFUNCTION("""COMPUTED_VALUE"""),"Семен")</f>
        <v>Семен</v>
      </c>
      <c r="U42" s="240">
        <f>IFERROR(__xludf.DUMMYFUNCTION("""COMPUTED_VALUE"""),250.0)</f>
        <v>250</v>
      </c>
      <c r="V42" s="88"/>
      <c r="W42" s="240">
        <f>IFERROR(__xludf.DUMMYFUNCTION("""COMPUTED_VALUE"""),1250.0000000000002)</f>
        <v>1250</v>
      </c>
      <c r="X42" s="88"/>
      <c r="Y42" s="88"/>
      <c r="Z42" s="88"/>
      <c r="AA42" s="88"/>
      <c r="AC42" s="62" t="s">
        <v>116</v>
      </c>
    </row>
    <row r="43">
      <c r="A43" s="88"/>
      <c r="B43" s="88">
        <f>IFERROR(__xludf.DUMMYFUNCTION("""COMPUTED_VALUE"""),74.0)</f>
        <v>74</v>
      </c>
      <c r="C43" s="88" t="str">
        <f>IFERROR(__xludf.DUMMYFUNCTION("""COMPUTED_VALUE"""),"qeepantioxy")</f>
        <v>qeepantioxy</v>
      </c>
      <c r="D43" s="88">
        <f>IFERROR(__xludf.DUMMYFUNCTION("""COMPUTED_VALUE"""),6.50452213E8)</f>
        <v>650452213</v>
      </c>
      <c r="E43" s="88" t="str">
        <f>IFERROR(__xludf.DUMMYFUNCTION("""COMPUTED_VALUE"""),"qeep")</f>
        <v>qeep</v>
      </c>
      <c r="F43" s="88" t="str">
        <f>IFERROR(__xludf.DUMMYFUNCTION("""COMPUTED_VALUE"""),"Дигидрокверцетин + Витамин А, С, Е 25 мг Qeep 30 капсул")</f>
        <v>Дигидрокверцетин + Витамин А, С, Е 25 мг Qeep 30 капсул</v>
      </c>
      <c r="G43" s="88"/>
      <c r="H43" s="88" t="str">
        <f>IFERROR(__xludf.DUMMYFUNCTION("""COMPUTED_VALUE"""),"БАДы")</f>
        <v>БАДы</v>
      </c>
      <c r="I43" s="88" t="str">
        <f>IFERROR(__xludf.DUMMYFUNCTION("""COMPUTED_VALUE"""),"Женские")</f>
        <v>Женские</v>
      </c>
      <c r="J43" s="88"/>
      <c r="K43" s="242">
        <f>IFERROR(__xludf.DUMMYFUNCTION("""COMPUTED_VALUE"""),20185.0)</f>
        <v>20185</v>
      </c>
      <c r="L43" s="88"/>
      <c r="M43" s="243">
        <f>IFERROR(__xludf.DUMMYFUNCTION("""COMPUTED_VALUE"""),0.30530879648111364)</f>
        <v>0.3053087965</v>
      </c>
      <c r="N43" s="243">
        <f>IFERROR(__xludf.DUMMYFUNCTION("""COMPUTED_VALUE"""),0.4260594252910159)</f>
        <v>0.4260594253</v>
      </c>
      <c r="O43" s="88"/>
      <c r="P43" s="88"/>
      <c r="Q43" s="88"/>
      <c r="R43" s="88"/>
      <c r="S43" s="88" t="str">
        <f>IFERROR(__xludf.DUMMYFUNCTION("""COMPUTED_VALUE"""),"Актуально")</f>
        <v>Актуально</v>
      </c>
      <c r="T43" s="88" t="str">
        <f>IFERROR(__xludf.DUMMYFUNCTION("""COMPUTED_VALUE"""),"Семен")</f>
        <v>Семен</v>
      </c>
      <c r="U43" s="240">
        <f>IFERROR(__xludf.DUMMYFUNCTION("""COMPUTED_VALUE"""),144.55)</f>
        <v>144.55</v>
      </c>
      <c r="V43" s="88"/>
      <c r="W43" s="240">
        <f>IFERROR(__xludf.DUMMYFUNCTION("""COMPUTED_VALUE"""),722.7500000000002)</f>
        <v>722.75</v>
      </c>
      <c r="X43" s="88"/>
      <c r="Y43" s="88"/>
      <c r="Z43" s="88"/>
      <c r="AA43" s="88"/>
      <c r="AC43" s="62" t="s">
        <v>116</v>
      </c>
    </row>
    <row r="44">
      <c r="A44" s="88"/>
      <c r="B44" s="88">
        <f>IFERROR(__xludf.DUMMYFUNCTION("""COMPUTED_VALUE"""),78.0)</f>
        <v>78</v>
      </c>
      <c r="C44" s="88" t="str">
        <f>IFERROR(__xludf.DUMMYFUNCTION("""COMPUTED_VALUE"""),"qeep_si_beauty_90caps")</f>
        <v>qeep_si_beauty_90caps</v>
      </c>
      <c r="D44" s="88">
        <f>IFERROR(__xludf.DUMMYFUNCTION("""COMPUTED_VALUE"""),1.40811628E9)</f>
        <v>1408116280</v>
      </c>
      <c r="E44" s="88" t="str">
        <f>IFERROR(__xludf.DUMMYFUNCTION("""COMPUTED_VALUE"""),"qeep")</f>
        <v>qeep</v>
      </c>
      <c r="F44" s="88" t="str">
        <f>IFERROR(__xludf.DUMMYFUNCTION("""COMPUTED_VALUE"""),"Кремний 35 мг Qeep 90 капсул")</f>
        <v>Кремний 35 мг Qeep 90 капсул</v>
      </c>
      <c r="G44" s="88"/>
      <c r="H44" s="88" t="str">
        <f>IFERROR(__xludf.DUMMYFUNCTION("""COMPUTED_VALUE"""),"БАДы")</f>
        <v>БАДы</v>
      </c>
      <c r="I44" s="88" t="str">
        <f>IFERROR(__xludf.DUMMYFUNCTION("""COMPUTED_VALUE"""),"Женские")</f>
        <v>Женские</v>
      </c>
      <c r="J44" s="88"/>
      <c r="K44" s="242">
        <f>IFERROR(__xludf.DUMMYFUNCTION("""COMPUTED_VALUE"""),39045.0)</f>
        <v>39045</v>
      </c>
      <c r="L44" s="88"/>
      <c r="M44" s="243">
        <f>IFERROR(__xludf.DUMMYFUNCTION("""COMPUTED_VALUE"""),0.23896803815102796)</f>
        <v>0.2389680382</v>
      </c>
      <c r="N44" s="243">
        <f>IFERROR(__xludf.DUMMYFUNCTION("""COMPUTED_VALUE"""),0.4134651663537668)</f>
        <v>0.4134651664</v>
      </c>
      <c r="O44" s="88"/>
      <c r="P44" s="88"/>
      <c r="Q44" s="88"/>
      <c r="R44" s="88"/>
      <c r="S44" s="88" t="str">
        <f>IFERROR(__xludf.DUMMYFUNCTION("""COMPUTED_VALUE"""),"Актуально")</f>
        <v>Актуально</v>
      </c>
      <c r="T44" s="88" t="str">
        <f>IFERROR(__xludf.DUMMYFUNCTION("""COMPUTED_VALUE"""),"Семен")</f>
        <v>Семен</v>
      </c>
      <c r="U44" s="240">
        <f>IFERROR(__xludf.DUMMYFUNCTION("""COMPUTED_VALUE"""),453.6)</f>
        <v>453.6</v>
      </c>
      <c r="V44" s="88"/>
      <c r="W44" s="240">
        <f>IFERROR(__xludf.DUMMYFUNCTION("""COMPUTED_VALUE"""),2268.0000000000005)</f>
        <v>2268</v>
      </c>
      <c r="X44" s="88"/>
      <c r="Y44" s="88"/>
      <c r="Z44" s="88"/>
      <c r="AA44" s="88"/>
      <c r="AC44" s="62" t="s">
        <v>116</v>
      </c>
    </row>
    <row r="45">
      <c r="A45" s="88"/>
      <c r="B45" s="88">
        <f>IFERROR(__xludf.DUMMYFUNCTION("""COMPUTED_VALUE"""),79.0)</f>
        <v>79</v>
      </c>
      <c r="C45" s="88" t="str">
        <f>IFERROR(__xludf.DUMMYFUNCTION("""COMPUTED_VALUE"""),"qoenzyme")</f>
        <v>qoenzyme</v>
      </c>
      <c r="D45" s="88">
        <f>IFERROR(__xludf.DUMMYFUNCTION("""COMPUTED_VALUE"""),6.16948885E8)</f>
        <v>616948885</v>
      </c>
      <c r="E45" s="88" t="str">
        <f>IFERROR(__xludf.DUMMYFUNCTION("""COMPUTED_VALUE"""),"qeep")</f>
        <v>qeep</v>
      </c>
      <c r="F45" s="88" t="str">
        <f>IFERROR(__xludf.DUMMYFUNCTION("""COMPUTED_VALUE"""),"Коэнзим q10 30 мг Qeep 30 капсул")</f>
        <v>Коэнзим q10 30 мг Qeep 30 капсул</v>
      </c>
      <c r="G45" s="88"/>
      <c r="H45" s="88" t="str">
        <f>IFERROR(__xludf.DUMMYFUNCTION("""COMPUTED_VALUE"""),"БАДы")</f>
        <v>БАДы</v>
      </c>
      <c r="I45" s="88" t="str">
        <f>IFERROR(__xludf.DUMMYFUNCTION("""COMPUTED_VALUE"""),"Женские")</f>
        <v>Женские</v>
      </c>
      <c r="J45" s="88"/>
      <c r="K45" s="242">
        <f>IFERROR(__xludf.DUMMYFUNCTION("""COMPUTED_VALUE"""),13389.0)</f>
        <v>13389</v>
      </c>
      <c r="L45" s="88"/>
      <c r="M45" s="243">
        <f>IFERROR(__xludf.DUMMYFUNCTION("""COMPUTED_VALUE"""),0.2117476700300394)</f>
        <v>0.21174767</v>
      </c>
      <c r="N45" s="243">
        <f>IFERROR(__xludf.DUMMYFUNCTION("""COMPUTED_VALUE"""),0.3193483786490027)</f>
        <v>0.3193483786</v>
      </c>
      <c r="O45" s="88"/>
      <c r="P45" s="88"/>
      <c r="Q45" s="88"/>
      <c r="R45" s="88"/>
      <c r="S45" s="88" t="str">
        <f>IFERROR(__xludf.DUMMYFUNCTION("""COMPUTED_VALUE"""),"Актуально")</f>
        <v>Актуально</v>
      </c>
      <c r="T45" s="88" t="str">
        <f>IFERROR(__xludf.DUMMYFUNCTION("""COMPUTED_VALUE"""),"Семен")</f>
        <v>Семен</v>
      </c>
      <c r="U45" s="240">
        <f>IFERROR(__xludf.DUMMYFUNCTION("""COMPUTED_VALUE"""),145.8)</f>
        <v>145.8</v>
      </c>
      <c r="V45" s="88"/>
      <c r="W45" s="240">
        <f>IFERROR(__xludf.DUMMYFUNCTION("""COMPUTED_VALUE"""),729.0000000000002)</f>
        <v>729</v>
      </c>
      <c r="X45" s="88"/>
      <c r="Y45" s="88"/>
      <c r="Z45" s="88"/>
      <c r="AA45" s="88"/>
      <c r="AC45" s="62" t="s">
        <v>116</v>
      </c>
    </row>
    <row r="46">
      <c r="A46" s="88"/>
      <c r="B46" s="88">
        <f>IFERROR(__xludf.DUMMYFUNCTION("""COMPUTED_VALUE"""),82.0)</f>
        <v>82</v>
      </c>
      <c r="C46" s="88" t="str">
        <f>IFERROR(__xludf.DUMMYFUNCTION("""COMPUTED_VALUE"""),"qeep_chrom250_60caps")</f>
        <v>qeep_chrom250_60caps</v>
      </c>
      <c r="D46" s="88">
        <f>IFERROR(__xludf.DUMMYFUNCTION("""COMPUTED_VALUE"""),2.168454928E9)</f>
        <v>2168454928</v>
      </c>
      <c r="E46" s="88" t="str">
        <f>IFERROR(__xludf.DUMMYFUNCTION("""COMPUTED_VALUE"""),"qeep")</f>
        <v>qeep</v>
      </c>
      <c r="F46" s="88" t="str">
        <f>IFERROR(__xludf.DUMMYFUNCTION("""COMPUTED_VALUE"""),"Пиколинат хрома БАД таблетки для похудения")</f>
        <v>Пиколинат хрома БАД таблетки для похудения</v>
      </c>
      <c r="G46" s="88"/>
      <c r="H46" s="88" t="str">
        <f>IFERROR(__xludf.DUMMYFUNCTION("""COMPUTED_VALUE"""),"БАДы")</f>
        <v>БАДы</v>
      </c>
      <c r="I46" s="88" t="str">
        <f>IFERROR(__xludf.DUMMYFUNCTION("""COMPUTED_VALUE"""),"Женские")</f>
        <v>Женские</v>
      </c>
      <c r="J46" s="88"/>
      <c r="K46" s="242">
        <f>IFERROR(__xludf.DUMMYFUNCTION("""COMPUTED_VALUE"""),21553.0)</f>
        <v>21553</v>
      </c>
      <c r="L46" s="88"/>
      <c r="M46" s="243">
        <f>IFERROR(__xludf.DUMMYFUNCTION("""COMPUTED_VALUE"""),0.34420112246204354)</f>
        <v>0.3442011225</v>
      </c>
      <c r="N46" s="243">
        <f>IFERROR(__xludf.DUMMYFUNCTION("""COMPUTED_VALUE"""),0.5453081763213629)</f>
        <v>0.5453081763</v>
      </c>
      <c r="O46" s="88"/>
      <c r="P46" s="88"/>
      <c r="Q46" s="88"/>
      <c r="R46" s="88"/>
      <c r="S46" s="88" t="str">
        <f>IFERROR(__xludf.DUMMYFUNCTION("""COMPUTED_VALUE"""),"Актуально")</f>
        <v>Актуально</v>
      </c>
      <c r="T46" s="88" t="str">
        <f>IFERROR(__xludf.DUMMYFUNCTION("""COMPUTED_VALUE"""),"Семен")</f>
        <v>Семен</v>
      </c>
      <c r="U46" s="240">
        <f>IFERROR(__xludf.DUMMYFUNCTION("""COMPUTED_VALUE"""),134.6)</f>
        <v>134.6</v>
      </c>
      <c r="V46" s="88"/>
      <c r="W46" s="240">
        <f>IFERROR(__xludf.DUMMYFUNCTION("""COMPUTED_VALUE"""),673.0000000000001)</f>
        <v>673</v>
      </c>
      <c r="X46" s="88"/>
      <c r="Y46" s="88"/>
      <c r="Z46" s="88"/>
      <c r="AA46" s="88"/>
      <c r="AC46" s="62" t="s">
        <v>116</v>
      </c>
    </row>
    <row r="47">
      <c r="A47" s="88"/>
      <c r="B47" s="88">
        <f>IFERROR(__xludf.DUMMYFUNCTION("""COMPUTED_VALUE"""),83.0)</f>
        <v>83</v>
      </c>
      <c r="C47" s="88" t="str">
        <f>IFERROR(__xludf.DUMMYFUNCTION("""COMPUTED_VALUE"""),"qeep_iron40mg_60caps")</f>
        <v>qeep_iron40mg_60caps</v>
      </c>
      <c r="D47" s="88">
        <f>IFERROR(__xludf.DUMMYFUNCTION("""COMPUTED_VALUE"""),1.713242647E9)</f>
        <v>1713242647</v>
      </c>
      <c r="E47" s="88" t="str">
        <f>IFERROR(__xludf.DUMMYFUNCTION("""COMPUTED_VALUE"""),"qeep")</f>
        <v>qeep</v>
      </c>
      <c r="F47" s="88" t="str">
        <f>IFERROR(__xludf.DUMMYFUNCTION("""COMPUTED_VALUE"""),"Железо хелат витамины qeep, 60 капсул")</f>
        <v>Железо хелат витамины qeep, 60 капсул</v>
      </c>
      <c r="G47" s="88"/>
      <c r="H47" s="88" t="str">
        <f>IFERROR(__xludf.DUMMYFUNCTION("""COMPUTED_VALUE"""),"БАДы")</f>
        <v>БАДы</v>
      </c>
      <c r="I47" s="88" t="str">
        <f>IFERROR(__xludf.DUMMYFUNCTION("""COMPUTED_VALUE"""),"Женские")</f>
        <v>Женские</v>
      </c>
      <c r="J47" s="88"/>
      <c r="K47" s="242">
        <f>IFERROR(__xludf.DUMMYFUNCTION("""COMPUTED_VALUE"""),24300.0)</f>
        <v>24300</v>
      </c>
      <c r="L47" s="88"/>
      <c r="M47" s="243">
        <f>IFERROR(__xludf.DUMMYFUNCTION("""COMPUTED_VALUE"""),-0.3561238098537654)</f>
        <v>-0.3561238099</v>
      </c>
      <c r="N47" s="243">
        <f>IFERROR(__xludf.DUMMYFUNCTION("""COMPUTED_VALUE"""),-0.18567579898127706)</f>
        <v>-0.185675799</v>
      </c>
      <c r="O47" s="88"/>
      <c r="P47" s="88"/>
      <c r="Q47" s="88"/>
      <c r="R47" s="88"/>
      <c r="S47" s="88" t="str">
        <f>IFERROR(__xludf.DUMMYFUNCTION("""COMPUTED_VALUE"""),"Актуально")</f>
        <v>Актуально</v>
      </c>
      <c r="T47" s="88" t="str">
        <f>IFERROR(__xludf.DUMMYFUNCTION("""COMPUTED_VALUE"""),"Семен")</f>
        <v>Семен</v>
      </c>
      <c r="U47" s="240">
        <f>IFERROR(__xludf.DUMMYFUNCTION("""COMPUTED_VALUE"""),200.0)</f>
        <v>200</v>
      </c>
      <c r="V47" s="88"/>
      <c r="W47" s="240">
        <f>IFERROR(__xludf.DUMMYFUNCTION("""COMPUTED_VALUE"""),1000.0000000000002)</f>
        <v>1000</v>
      </c>
      <c r="X47" s="88"/>
      <c r="Y47" s="88"/>
      <c r="Z47" s="88"/>
      <c r="AA47" s="88"/>
      <c r="AC47" s="62" t="s">
        <v>116</v>
      </c>
    </row>
    <row r="48">
      <c r="A48" s="88"/>
      <c r="B48" s="88">
        <f>IFERROR(__xludf.DUMMYFUNCTION("""COMPUTED_VALUE"""),86.0)</f>
        <v>86</v>
      </c>
      <c r="C48" s="88" t="str">
        <f>IFERROR(__xludf.DUMMYFUNCTION("""COMPUTED_VALUE"""),"qeep_climafem_60caps")</f>
        <v>qeep_climafem_60caps</v>
      </c>
      <c r="D48" s="88">
        <f>IFERROR(__xludf.DUMMYFUNCTION("""COMPUTED_VALUE"""),1.738941767E9)</f>
        <v>1738941767</v>
      </c>
      <c r="E48" s="88" t="str">
        <f>IFERROR(__xludf.DUMMYFUNCTION("""COMPUTED_VALUE"""),"qeep")</f>
        <v>qeep</v>
      </c>
      <c r="F48" s="88" t="str">
        <f>IFERROR(__xludf.DUMMYFUNCTION("""COMPUTED_VALUE"""),"Комплекс витаминов для женского здоровья от климакса и приливов Climafem qeep 60 капсул")</f>
        <v>Комплекс витаминов для женского здоровья от климакса и приливов Climafem qeep 60 капсул</v>
      </c>
      <c r="G48" s="88"/>
      <c r="H48" s="88" t="str">
        <f>IFERROR(__xludf.DUMMYFUNCTION("""COMPUTED_VALUE"""),"БАДы")</f>
        <v>БАДы</v>
      </c>
      <c r="I48" s="88" t="str">
        <f>IFERROR(__xludf.DUMMYFUNCTION("""COMPUTED_VALUE"""),"Женские")</f>
        <v>Женские</v>
      </c>
      <c r="J48" s="88"/>
      <c r="K48" s="242">
        <f>IFERROR(__xludf.DUMMYFUNCTION("""COMPUTED_VALUE"""),20781.0)</f>
        <v>20781</v>
      </c>
      <c r="L48" s="88"/>
      <c r="M48" s="243">
        <f>IFERROR(__xludf.DUMMYFUNCTION("""COMPUTED_VALUE"""),0.1535780838899836)</f>
        <v>0.1535780839</v>
      </c>
      <c r="N48" s="243">
        <f>IFERROR(__xludf.DUMMYFUNCTION("""COMPUTED_VALUE"""),0.3204812872470844)</f>
        <v>0.3204812872</v>
      </c>
      <c r="O48" s="88"/>
      <c r="P48" s="88"/>
      <c r="Q48" s="88"/>
      <c r="R48" s="88"/>
      <c r="S48" s="88" t="str">
        <f>IFERROR(__xludf.DUMMYFUNCTION("""COMPUTED_VALUE"""),"Актуально")</f>
        <v>Актуально</v>
      </c>
      <c r="T48" s="88" t="str">
        <f>IFERROR(__xludf.DUMMYFUNCTION("""COMPUTED_VALUE"""),"Семен")</f>
        <v>Семен</v>
      </c>
      <c r="U48" s="240">
        <f>IFERROR(__xludf.DUMMYFUNCTION("""COMPUTED_VALUE"""),174.15)</f>
        <v>174.15</v>
      </c>
      <c r="V48" s="88"/>
      <c r="W48" s="240">
        <f>IFERROR(__xludf.DUMMYFUNCTION("""COMPUTED_VALUE"""),870.7500000000002)</f>
        <v>870.75</v>
      </c>
      <c r="X48" s="88"/>
      <c r="Y48" s="88"/>
      <c r="Z48" s="88"/>
      <c r="AA48" s="88"/>
      <c r="AC48" s="62" t="s">
        <v>116</v>
      </c>
    </row>
    <row r="49">
      <c r="A49" s="88"/>
      <c r="B49" s="88">
        <f>IFERROR(__xludf.DUMMYFUNCTION("""COMPUTED_VALUE"""),25.0)</f>
        <v>25</v>
      </c>
      <c r="C49" s="88" t="str">
        <f>IFERROR(__xludf.DUMMYFUNCTION("""COMPUTED_VALUE"""),"qeepprobiotics")</f>
        <v>qeepprobiotics</v>
      </c>
      <c r="D49" s="88">
        <f>IFERROR(__xludf.DUMMYFUNCTION("""COMPUTED_VALUE"""),6.50348972E8)</f>
        <v>650348972</v>
      </c>
      <c r="E49" s="88" t="str">
        <f>IFERROR(__xludf.DUMMYFUNCTION("""COMPUTED_VALUE"""),"qeep")</f>
        <v>qeep</v>
      </c>
      <c r="F49" s="88" t="str">
        <f>IFERROR(__xludf.DUMMYFUNCTION("""COMPUTED_VALUE"""),"Пробиотики для взрослых 570 мг Qeep 30 капсул")</f>
        <v>Пробиотики для взрослых 570 мг Qeep 30 капсул</v>
      </c>
      <c r="G49" s="88"/>
      <c r="H49" s="88" t="str">
        <f>IFERROR(__xludf.DUMMYFUNCTION("""COMPUTED_VALUE"""),"БАДы")</f>
        <v>БАДы</v>
      </c>
      <c r="I49" s="88" t="str">
        <f>IFERROR(__xludf.DUMMYFUNCTION("""COMPUTED_VALUE"""),"ЖКТ")</f>
        <v>ЖКТ</v>
      </c>
      <c r="J49" s="88"/>
      <c r="K49" s="242">
        <f>IFERROR(__xludf.DUMMYFUNCTION("""COMPUTED_VALUE"""),297358.0)</f>
        <v>297358</v>
      </c>
      <c r="L49" s="88"/>
      <c r="M49" s="243">
        <f>IFERROR(__xludf.DUMMYFUNCTION("""COMPUTED_VALUE"""),0.3234358917706717)</f>
        <v>0.3234358918</v>
      </c>
      <c r="N49" s="243">
        <f>IFERROR(__xludf.DUMMYFUNCTION("""COMPUTED_VALUE"""),0.48389250813530804)</f>
        <v>0.4838925081</v>
      </c>
      <c r="O49" s="88"/>
      <c r="P49" s="88"/>
      <c r="Q49" s="88"/>
      <c r="R49" s="88"/>
      <c r="S49" s="88" t="str">
        <f>IFERROR(__xludf.DUMMYFUNCTION("""COMPUTED_VALUE"""),"Актуально")</f>
        <v>Актуально</v>
      </c>
      <c r="T49" s="88" t="str">
        <f>IFERROR(__xludf.DUMMYFUNCTION("""COMPUTED_VALUE"""),"Семен")</f>
        <v>Семен</v>
      </c>
      <c r="U49" s="240">
        <f>IFERROR(__xludf.DUMMYFUNCTION("""COMPUTED_VALUE"""),155.15)</f>
        <v>155.15</v>
      </c>
      <c r="V49" s="88"/>
      <c r="W49" s="240">
        <f>IFERROR(__xludf.DUMMYFUNCTION("""COMPUTED_VALUE"""),775.7500000000002)</f>
        <v>775.75</v>
      </c>
      <c r="X49" s="88"/>
      <c r="Y49" s="88"/>
      <c r="Z49" s="88"/>
      <c r="AA49" s="88"/>
      <c r="AC49" s="62" t="s">
        <v>116</v>
      </c>
    </row>
    <row r="50">
      <c r="A50" s="88"/>
      <c r="B50" s="88">
        <f>IFERROR(__xludf.DUMMYFUNCTION("""COMPUTED_VALUE"""),60.0)</f>
        <v>60</v>
      </c>
      <c r="C50" s="88" t="str">
        <f>IFERROR(__xludf.DUMMYFUNCTION("""COMPUTED_VALUE"""),"qeep_Antiparasite_60caps")</f>
        <v>qeep_Antiparasite_60caps</v>
      </c>
      <c r="D50" s="88">
        <f>IFERROR(__xludf.DUMMYFUNCTION("""COMPUTED_VALUE"""),1.323353605E9)</f>
        <v>1323353605</v>
      </c>
      <c r="E50" s="88" t="str">
        <f>IFERROR(__xludf.DUMMYFUNCTION("""COMPUTED_VALUE"""),"qeep")</f>
        <v>qeep</v>
      </c>
      <c r="F50" s="88" t="str">
        <f>IFERROR(__xludf.DUMMYFUNCTION("""COMPUTED_VALUE"""),"Антипаразитарный комплекс Qeep 60 капсул")</f>
        <v>Антипаразитарный комплекс Qeep 60 капсул</v>
      </c>
      <c r="G50" s="88"/>
      <c r="H50" s="88" t="str">
        <f>IFERROR(__xludf.DUMMYFUNCTION("""COMPUTED_VALUE"""),"БАДы")</f>
        <v>БАДы</v>
      </c>
      <c r="I50" s="88" t="str">
        <f>IFERROR(__xludf.DUMMYFUNCTION("""COMPUTED_VALUE"""),"ЖКТ")</f>
        <v>ЖКТ</v>
      </c>
      <c r="J50" s="88"/>
      <c r="K50" s="242">
        <f>IFERROR(__xludf.DUMMYFUNCTION("""COMPUTED_VALUE"""),48871.0)</f>
        <v>48871</v>
      </c>
      <c r="L50" s="88"/>
      <c r="M50" s="243">
        <f>IFERROR(__xludf.DUMMYFUNCTION("""COMPUTED_VALUE"""),-0.17904053635537767)</f>
        <v>-0.1790405364</v>
      </c>
      <c r="N50" s="243">
        <f>IFERROR(__xludf.DUMMYFUNCTION("""COMPUTED_VALUE"""),0.028928140692702997)</f>
        <v>0.02892814069</v>
      </c>
      <c r="O50" s="88"/>
      <c r="P50" s="88"/>
      <c r="Q50" s="88"/>
      <c r="R50" s="88"/>
      <c r="S50" s="88" t="str">
        <f>IFERROR(__xludf.DUMMYFUNCTION("""COMPUTED_VALUE"""),"Актуально")</f>
        <v>Актуально</v>
      </c>
      <c r="T50" s="88" t="str">
        <f>IFERROR(__xludf.DUMMYFUNCTION("""COMPUTED_VALUE"""),"Семен")</f>
        <v>Семен</v>
      </c>
      <c r="U50" s="240">
        <f>IFERROR(__xludf.DUMMYFUNCTION("""COMPUTED_VALUE"""),240.0)</f>
        <v>240</v>
      </c>
      <c r="V50" s="88"/>
      <c r="W50" s="240">
        <f>IFERROR(__xludf.DUMMYFUNCTION("""COMPUTED_VALUE"""),1200.0000000000002)</f>
        <v>1200</v>
      </c>
      <c r="X50" s="88"/>
      <c r="Y50" s="88"/>
      <c r="Z50" s="88"/>
      <c r="AA50" s="88"/>
      <c r="AC50" s="62" t="s">
        <v>116</v>
      </c>
    </row>
    <row r="51">
      <c r="A51" s="88"/>
      <c r="B51" s="88">
        <f>IFERROR(__xludf.DUMMYFUNCTION("""COMPUTED_VALUE"""),69.0)</f>
        <v>69</v>
      </c>
      <c r="C51" s="88" t="str">
        <f>IFERROR(__xludf.DUMMYFUNCTION("""COMPUTED_VALUE"""),"qeep_betain_60caps")</f>
        <v>qeep_betain_60caps</v>
      </c>
      <c r="D51" s="88">
        <f>IFERROR(__xludf.DUMMYFUNCTION("""COMPUTED_VALUE"""),1.101330936E9)</f>
        <v>1101330936</v>
      </c>
      <c r="E51" s="88" t="str">
        <f>IFERROR(__xludf.DUMMYFUNCTION("""COMPUTED_VALUE"""),"qeep")</f>
        <v>qeep</v>
      </c>
      <c r="F51" s="88" t="str">
        <f>IFERROR(__xludf.DUMMYFUNCTION("""COMPUTED_VALUE"""),"Бетаин 600 мг Qeep 60 капсул")</f>
        <v>Бетаин 600 мг Qeep 60 капсул</v>
      </c>
      <c r="G51" s="88"/>
      <c r="H51" s="88" t="str">
        <f>IFERROR(__xludf.DUMMYFUNCTION("""COMPUTED_VALUE"""),"БАДы")</f>
        <v>БАДы</v>
      </c>
      <c r="I51" s="88" t="str">
        <f>IFERROR(__xludf.DUMMYFUNCTION("""COMPUTED_VALUE"""),"ЖКТ")</f>
        <v>ЖКТ</v>
      </c>
      <c r="J51" s="88"/>
      <c r="K51" s="242">
        <f>IFERROR(__xludf.DUMMYFUNCTION("""COMPUTED_VALUE"""),39685.0)</f>
        <v>39685</v>
      </c>
      <c r="L51" s="88"/>
      <c r="M51" s="243">
        <f>IFERROR(__xludf.DUMMYFUNCTION("""COMPUTED_VALUE"""),0.06900835948166399)</f>
        <v>0.06900835948</v>
      </c>
      <c r="N51" s="243">
        <f>IFERROR(__xludf.DUMMYFUNCTION("""COMPUTED_VALUE"""),0.2741076432968452)</f>
        <v>0.2741076433</v>
      </c>
      <c r="O51" s="88"/>
      <c r="P51" s="88"/>
      <c r="Q51" s="88"/>
      <c r="R51" s="88"/>
      <c r="S51" s="88" t="str">
        <f>IFERROR(__xludf.DUMMYFUNCTION("""COMPUTED_VALUE"""),"Актуально")</f>
        <v>Актуально</v>
      </c>
      <c r="T51" s="88" t="str">
        <f>IFERROR(__xludf.DUMMYFUNCTION("""COMPUTED_VALUE"""),"Семен")</f>
        <v>Семен</v>
      </c>
      <c r="U51" s="240">
        <f>IFERROR(__xludf.DUMMYFUNCTION("""COMPUTED_VALUE"""),268.0)</f>
        <v>268</v>
      </c>
      <c r="V51" s="88"/>
      <c r="W51" s="240">
        <f>IFERROR(__xludf.DUMMYFUNCTION("""COMPUTED_VALUE"""),1340.0000000000002)</f>
        <v>1340</v>
      </c>
      <c r="X51" s="88"/>
      <c r="Y51" s="88"/>
      <c r="Z51" s="88"/>
      <c r="AA51" s="88"/>
      <c r="AC51" s="62" t="s">
        <v>116</v>
      </c>
    </row>
    <row r="52">
      <c r="A52" s="88"/>
      <c r="B52" s="88">
        <f>IFERROR(__xludf.DUMMYFUNCTION("""COMPUTED_VALUE"""),73.0)</f>
        <v>73</v>
      </c>
      <c r="C52" s="88" t="str">
        <f>IFERROR(__xludf.DUMMYFUNCTION("""COMPUTED_VALUE"""),"qeep_livercomplex_60caps")</f>
        <v>qeep_livercomplex_60caps</v>
      </c>
      <c r="D52" s="88">
        <f>IFERROR(__xludf.DUMMYFUNCTION("""COMPUTED_VALUE"""),9.85677823E8)</f>
        <v>985677823</v>
      </c>
      <c r="E52" s="88" t="str">
        <f>IFERROR(__xludf.DUMMYFUNCTION("""COMPUTED_VALUE"""),"qeep")</f>
        <v>qeep</v>
      </c>
      <c r="F52" s="88" t="str">
        <f>IFERROR(__xludf.DUMMYFUNCTION("""COMPUTED_VALUE"""),"Расторопша для печени 600 мг Qeep 60 капсул")</f>
        <v>Расторопша для печени 600 мг Qeep 60 капсул</v>
      </c>
      <c r="G52" s="88"/>
      <c r="H52" s="88" t="str">
        <f>IFERROR(__xludf.DUMMYFUNCTION("""COMPUTED_VALUE"""),"БАДы")</f>
        <v>БАДы</v>
      </c>
      <c r="I52" s="88" t="str">
        <f>IFERROR(__xludf.DUMMYFUNCTION("""COMPUTED_VALUE"""),"ЖКТ")</f>
        <v>ЖКТ</v>
      </c>
      <c r="J52" s="88"/>
      <c r="K52" s="242">
        <f>IFERROR(__xludf.DUMMYFUNCTION("""COMPUTED_VALUE"""),27467.0)</f>
        <v>27467</v>
      </c>
      <c r="L52" s="88"/>
      <c r="M52" s="243">
        <f>IFERROR(__xludf.DUMMYFUNCTION("""COMPUTED_VALUE"""),-0.2466265110227746)</f>
        <v>-0.246626511</v>
      </c>
      <c r="N52" s="243">
        <f>IFERROR(__xludf.DUMMYFUNCTION("""COMPUTED_VALUE"""),-0.06779190666376458)</f>
        <v>-0.06779190666</v>
      </c>
      <c r="O52" s="88"/>
      <c r="P52" s="88"/>
      <c r="Q52" s="88"/>
      <c r="R52" s="88"/>
      <c r="S52" s="88" t="str">
        <f>IFERROR(__xludf.DUMMYFUNCTION("""COMPUTED_VALUE"""),"Актуально")</f>
        <v>Актуально</v>
      </c>
      <c r="T52" s="88" t="str">
        <f>IFERROR(__xludf.DUMMYFUNCTION("""COMPUTED_VALUE"""),"Семен")</f>
        <v>Семен</v>
      </c>
      <c r="U52" s="240">
        <f>IFERROR(__xludf.DUMMYFUNCTION("""COMPUTED_VALUE"""),235.0)</f>
        <v>235</v>
      </c>
      <c r="V52" s="88"/>
      <c r="W52" s="240">
        <f>IFERROR(__xludf.DUMMYFUNCTION("""COMPUTED_VALUE"""),1175.0000000000002)</f>
        <v>1175</v>
      </c>
      <c r="X52" s="88"/>
      <c r="Y52" s="88"/>
      <c r="Z52" s="88"/>
      <c r="AA52" s="88"/>
      <c r="AC52" s="62" t="s">
        <v>116</v>
      </c>
    </row>
    <row r="53">
      <c r="A53" s="88"/>
      <c r="B53" s="88">
        <f>IFERROR(__xludf.DUMMYFUNCTION("""COMPUTED_VALUE"""),11.0)</f>
        <v>11</v>
      </c>
      <c r="C53" s="88" t="str">
        <f>IFERROR(__xludf.DUMMYFUNCTION("""COMPUTED_VALUE"""),"harly_toothpaste_50ml")</f>
        <v>harly_toothpaste_50ml</v>
      </c>
      <c r="D53" s="88">
        <f>IFERROR(__xludf.DUMMYFUNCTION("""COMPUTED_VALUE"""),2.686479094E9)</f>
        <v>2686479094</v>
      </c>
      <c r="E53" s="88" t="str">
        <f>IFERROR(__xludf.DUMMYFUNCTION("""COMPUTED_VALUE"""),"Harly")</f>
        <v>Harly</v>
      </c>
      <c r="F53" s="88" t="str">
        <f>IFERROR(__xludf.DUMMYFUNCTION("""COMPUTED_VALUE"""),"Зубная паста для собак и кошек")</f>
        <v>Зубная паста для собак и кошек</v>
      </c>
      <c r="G53" s="88"/>
      <c r="H53" s="88" t="str">
        <f>IFERROR(__xludf.DUMMYFUNCTION("""COMPUTED_VALUE"""),"Косметика для животных")</f>
        <v>Косметика для животных</v>
      </c>
      <c r="I53" s="88" t="str">
        <f>IFERROR(__xludf.DUMMYFUNCTION("""COMPUTED_VALUE"""),"Зубная паста")</f>
        <v>Зубная паста</v>
      </c>
      <c r="J53" s="88"/>
      <c r="K53" s="242">
        <f>IFERROR(__xludf.DUMMYFUNCTION("""COMPUTED_VALUE"""),754919.0)</f>
        <v>754919</v>
      </c>
      <c r="L53" s="88"/>
      <c r="M53" s="243">
        <f>IFERROR(__xludf.DUMMYFUNCTION("""COMPUTED_VALUE"""),0.4108268539515151)</f>
        <v>0.410826854</v>
      </c>
      <c r="N53" s="243">
        <f>IFERROR(__xludf.DUMMYFUNCTION("""COMPUTED_VALUE"""),0.5463410157815316)</f>
        <v>0.5463410158</v>
      </c>
      <c r="O53" s="88"/>
      <c r="P53" s="88"/>
      <c r="Q53" s="88"/>
      <c r="R53" s="88"/>
      <c r="S53" s="88" t="str">
        <f>IFERROR(__xludf.DUMMYFUNCTION("""COMPUTED_VALUE"""),"Актуально")</f>
        <v>Актуально</v>
      </c>
      <c r="T53" s="88" t="str">
        <f>IFERROR(__xludf.DUMMYFUNCTION("""COMPUTED_VALUE"""),"Кристина")</f>
        <v>Кристина</v>
      </c>
      <c r="U53" s="240">
        <f>IFERROR(__xludf.DUMMYFUNCTION("""COMPUTED_VALUE"""),111.0)</f>
        <v>111</v>
      </c>
      <c r="V53" s="88"/>
      <c r="W53" s="240">
        <f>IFERROR(__xludf.DUMMYFUNCTION("""COMPUTED_VALUE"""),555.0000000000001)</f>
        <v>555</v>
      </c>
      <c r="X53" s="88"/>
      <c r="Y53" s="88"/>
      <c r="Z53" s="88"/>
      <c r="AA53" s="88"/>
      <c r="AC53" s="62" t="s">
        <v>116</v>
      </c>
    </row>
    <row r="54">
      <c r="A54" s="88"/>
      <c r="B54" s="88">
        <f>IFERROR(__xludf.DUMMYFUNCTION("""COMPUTED_VALUE"""),29.0)</f>
        <v>29</v>
      </c>
      <c r="C54" s="88" t="str">
        <f>IFERROR(__xludf.DUMMYFUNCTION("""COMPUTED_VALUE"""),"qeep_omega_3_1620_90caps")</f>
        <v>qeep_omega_3_1620_90caps</v>
      </c>
      <c r="D54" s="88">
        <f>IFERROR(__xludf.DUMMYFUNCTION("""COMPUTED_VALUE"""),9.89542196E8)</f>
        <v>989542196</v>
      </c>
      <c r="E54" s="88" t="str">
        <f>IFERROR(__xludf.DUMMYFUNCTION("""COMPUTED_VALUE"""),"qeep")</f>
        <v>qeep</v>
      </c>
      <c r="F54" s="88" t="str">
        <f>IFERROR(__xludf.DUMMYFUNCTION("""COMPUTED_VALUE"""),"Омега 3 1620 мг EPA 792 мг DHA 528 мг Qeep 90 капсул")</f>
        <v>Омега 3 1620 мг EPA 792 мг DHA 528 мг Qeep 90 капсул</v>
      </c>
      <c r="G54" s="88"/>
      <c r="H54" s="88" t="str">
        <f>IFERROR(__xludf.DUMMYFUNCTION("""COMPUTED_VALUE"""),"БАДы")</f>
        <v>БАДы</v>
      </c>
      <c r="I54" s="88" t="str">
        <f>IFERROR(__xludf.DUMMYFUNCTION("""COMPUTED_VALUE"""),"Иммунитет")</f>
        <v>Иммунитет</v>
      </c>
      <c r="J54" s="88"/>
      <c r="K54" s="242">
        <f>IFERROR(__xludf.DUMMYFUNCTION("""COMPUTED_VALUE"""),290820.0)</f>
        <v>290820</v>
      </c>
      <c r="L54" s="88"/>
      <c r="M54" s="243">
        <f>IFERROR(__xludf.DUMMYFUNCTION("""COMPUTED_VALUE"""),0.31419479368082076)</f>
        <v>0.3141947937</v>
      </c>
      <c r="N54" s="243">
        <f>IFERROR(__xludf.DUMMYFUNCTION("""COMPUTED_VALUE"""),0.4677134555411214)</f>
        <v>0.4677134555</v>
      </c>
      <c r="O54" s="88"/>
      <c r="P54" s="88"/>
      <c r="Q54" s="88"/>
      <c r="R54" s="88"/>
      <c r="S54" s="88" t="str">
        <f>IFERROR(__xludf.DUMMYFUNCTION("""COMPUTED_VALUE"""),"Актуально")</f>
        <v>Актуально</v>
      </c>
      <c r="T54" s="88" t="str">
        <f>IFERROR(__xludf.DUMMYFUNCTION("""COMPUTED_VALUE"""),"Семен")</f>
        <v>Семен</v>
      </c>
      <c r="U54" s="240">
        <f>IFERROR(__xludf.DUMMYFUNCTION("""COMPUTED_VALUE"""),499.19)</f>
        <v>499.19</v>
      </c>
      <c r="V54" s="88"/>
      <c r="W54" s="240">
        <f>IFERROR(__xludf.DUMMYFUNCTION("""COMPUTED_VALUE"""),2495.9500000000007)</f>
        <v>2495.95</v>
      </c>
      <c r="X54" s="88"/>
      <c r="Y54" s="88"/>
      <c r="Z54" s="88"/>
      <c r="AA54" s="88"/>
      <c r="AC54" s="62" t="s">
        <v>116</v>
      </c>
    </row>
    <row r="55">
      <c r="A55" s="88"/>
      <c r="B55" s="88">
        <f>IFERROR(__xludf.DUMMYFUNCTION("""COMPUTED_VALUE"""),30.0)</f>
        <v>30</v>
      </c>
      <c r="C55" s="88" t="str">
        <f>IFERROR(__xludf.DUMMYFUNCTION("""COMPUTED_VALUE"""),"qeep_nac_90caps")</f>
        <v>qeep_nac_90caps</v>
      </c>
      <c r="D55" s="88">
        <f>IFERROR(__xludf.DUMMYFUNCTION("""COMPUTED_VALUE"""),1.613724697E9)</f>
        <v>1613724697</v>
      </c>
      <c r="E55" s="88" t="str">
        <f>IFERROR(__xludf.DUMMYFUNCTION("""COMPUTED_VALUE"""),"qeep")</f>
        <v>qeep</v>
      </c>
      <c r="F55" s="88" t="str">
        <f>IFERROR(__xludf.DUMMYFUNCTION("""COMPUTED_VALUE"""),"Витамины для иммунитета NAC, комплекс от ОРВИ qeep 90 капсул")</f>
        <v>Витамины для иммунитета NAC, комплекс от ОРВИ qeep 90 капсул</v>
      </c>
      <c r="G55" s="88"/>
      <c r="H55" s="88" t="str">
        <f>IFERROR(__xludf.DUMMYFUNCTION("""COMPUTED_VALUE"""),"БАДы")</f>
        <v>БАДы</v>
      </c>
      <c r="I55" s="88" t="str">
        <f>IFERROR(__xludf.DUMMYFUNCTION("""COMPUTED_VALUE"""),"Иммунитет")</f>
        <v>Иммунитет</v>
      </c>
      <c r="J55" s="88"/>
      <c r="K55" s="242">
        <f>IFERROR(__xludf.DUMMYFUNCTION("""COMPUTED_VALUE"""),215539.0)</f>
        <v>215539</v>
      </c>
      <c r="L55" s="88"/>
      <c r="M55" s="243">
        <f>IFERROR(__xludf.DUMMYFUNCTION("""COMPUTED_VALUE"""),0.10585807260967388)</f>
        <v>0.1058580726</v>
      </c>
      <c r="N55" s="243">
        <f>IFERROR(__xludf.DUMMYFUNCTION("""COMPUTED_VALUE"""),0.3341900198807891)</f>
        <v>0.3341900199</v>
      </c>
      <c r="O55" s="88"/>
      <c r="P55" s="88"/>
      <c r="Q55" s="88"/>
      <c r="R55" s="88"/>
      <c r="S55" s="88" t="str">
        <f>IFERROR(__xludf.DUMMYFUNCTION("""COMPUTED_VALUE"""),"Актуально")</f>
        <v>Актуально</v>
      </c>
      <c r="T55" s="88" t="str">
        <f>IFERROR(__xludf.DUMMYFUNCTION("""COMPUTED_VALUE"""),"Семен")</f>
        <v>Семен</v>
      </c>
      <c r="U55" s="240">
        <f>IFERROR(__xludf.DUMMYFUNCTION("""COMPUTED_VALUE"""),437.0)</f>
        <v>437</v>
      </c>
      <c r="V55" s="88"/>
      <c r="W55" s="240">
        <f>IFERROR(__xludf.DUMMYFUNCTION("""COMPUTED_VALUE"""),2185.0000000000005)</f>
        <v>2185</v>
      </c>
      <c r="X55" s="88"/>
      <c r="Y55" s="88"/>
      <c r="Z55" s="88"/>
      <c r="AA55" s="88"/>
      <c r="AC55" s="62" t="s">
        <v>116</v>
      </c>
    </row>
    <row r="56">
      <c r="A56" s="88"/>
      <c r="B56" s="88">
        <f>IFERROR(__xludf.DUMMYFUNCTION("""COMPUTED_VALUE"""),31.0)</f>
        <v>31</v>
      </c>
      <c r="C56" s="88" t="str">
        <f>IFERROR(__xludf.DUMMYFUNCTION("""COMPUTED_VALUE"""),"qeep_omega3_180caps")</f>
        <v>qeep_omega3_180caps</v>
      </c>
      <c r="D56" s="88">
        <f>IFERROR(__xludf.DUMMYFUNCTION("""COMPUTED_VALUE"""),1.566735886E9)</f>
        <v>1566735886</v>
      </c>
      <c r="E56" s="88" t="str">
        <f>IFERROR(__xludf.DUMMYFUNCTION("""COMPUTED_VALUE"""),"qeep")</f>
        <v>qeep</v>
      </c>
      <c r="F56" s="88" t="str">
        <f>IFERROR(__xludf.DUMMYFUNCTION("""COMPUTED_VALUE"""),"Омега 3 1320 мг EPA 627 мг DHA 465 мг Qeep 180 капсул")</f>
        <v>Омега 3 1320 мг EPA 627 мг DHA 465 мг Qeep 180 капсул</v>
      </c>
      <c r="G56" s="88"/>
      <c r="H56" s="88" t="str">
        <f>IFERROR(__xludf.DUMMYFUNCTION("""COMPUTED_VALUE"""),"БАДы")</f>
        <v>БАДы</v>
      </c>
      <c r="I56" s="88" t="str">
        <f>IFERROR(__xludf.DUMMYFUNCTION("""COMPUTED_VALUE"""),"Иммунитет")</f>
        <v>Иммунитет</v>
      </c>
      <c r="J56" s="88"/>
      <c r="K56" s="242">
        <f>IFERROR(__xludf.DUMMYFUNCTION("""COMPUTED_VALUE"""),124147.0)</f>
        <v>124147</v>
      </c>
      <c r="L56" s="88"/>
      <c r="M56" s="243">
        <f>IFERROR(__xludf.DUMMYFUNCTION("""COMPUTED_VALUE"""),-0.28924496377499803)</f>
        <v>-0.2892449638</v>
      </c>
      <c r="N56" s="243">
        <f>IFERROR(__xludf.DUMMYFUNCTION("""COMPUTED_VALUE"""),0.029596869106133517)</f>
        <v>0.02959686911</v>
      </c>
      <c r="O56" s="88"/>
      <c r="P56" s="88"/>
      <c r="Q56" s="88"/>
      <c r="R56" s="88"/>
      <c r="S56" s="88" t="str">
        <f>IFERROR(__xludf.DUMMYFUNCTION("""COMPUTED_VALUE"""),"На вывод")</f>
        <v>На вывод</v>
      </c>
      <c r="T56" s="88" t="str">
        <f>IFERROR(__xludf.DUMMYFUNCTION("""COMPUTED_VALUE"""),"Семен")</f>
        <v>Семен</v>
      </c>
      <c r="U56" s="240">
        <f>IFERROR(__xludf.DUMMYFUNCTION("""COMPUTED_VALUE"""),271.0)</f>
        <v>271</v>
      </c>
      <c r="V56" s="88"/>
      <c r="W56" s="240">
        <f>IFERROR(__xludf.DUMMYFUNCTION("""COMPUTED_VALUE"""),1355.0000000000002)</f>
        <v>1355</v>
      </c>
      <c r="X56" s="88"/>
      <c r="Y56" s="88"/>
      <c r="Z56" s="88"/>
      <c r="AA56" s="88"/>
      <c r="AC56" s="62" t="s">
        <v>116</v>
      </c>
    </row>
    <row r="57">
      <c r="A57" s="88"/>
      <c r="B57" s="88">
        <f>IFERROR(__xludf.DUMMYFUNCTION("""COMPUTED_VALUE"""),35.0)</f>
        <v>35</v>
      </c>
      <c r="C57" s="88" t="str">
        <f>IFERROR(__xludf.DUMMYFUNCTION("""COMPUTED_VALUE"""),"qeep_sodium_ascorbate_90caps")</f>
        <v>qeep_sodium_ascorbate_90caps</v>
      </c>
      <c r="D57" s="88">
        <f>IFERROR(__xludf.DUMMYFUNCTION("""COMPUTED_VALUE"""),1.181035529E9)</f>
        <v>1181035529</v>
      </c>
      <c r="E57" s="88" t="str">
        <f>IFERROR(__xludf.DUMMYFUNCTION("""COMPUTED_VALUE"""),"qeep")</f>
        <v>qeep</v>
      </c>
      <c r="F57" s="88" t="str">
        <f>IFERROR(__xludf.DUMMYFUNCTION("""COMPUTED_VALUE"""),"Витамин С 500 мг Qeep 90 капсул")</f>
        <v>Витамин С 500 мг Qeep 90 капсул</v>
      </c>
      <c r="G57" s="88"/>
      <c r="H57" s="88" t="str">
        <f>IFERROR(__xludf.DUMMYFUNCTION("""COMPUTED_VALUE"""),"БАДы")</f>
        <v>БАДы</v>
      </c>
      <c r="I57" s="88" t="str">
        <f>IFERROR(__xludf.DUMMYFUNCTION("""COMPUTED_VALUE"""),"Иммунитет")</f>
        <v>Иммунитет</v>
      </c>
      <c r="J57" s="88"/>
      <c r="K57" s="242">
        <f>IFERROR(__xludf.DUMMYFUNCTION("""COMPUTED_VALUE"""),83664.0)</f>
        <v>83664</v>
      </c>
      <c r="L57" s="88"/>
      <c r="M57" s="243">
        <f>IFERROR(__xludf.DUMMYFUNCTION("""COMPUTED_VALUE"""),0.22656839523231734)</f>
        <v>0.2265683952</v>
      </c>
      <c r="N57" s="243">
        <f>IFERROR(__xludf.DUMMYFUNCTION("""COMPUTED_VALUE"""),0.30510908278133136)</f>
        <v>0.3051090828</v>
      </c>
      <c r="O57" s="88"/>
      <c r="P57" s="88"/>
      <c r="Q57" s="88"/>
      <c r="R57" s="88"/>
      <c r="S57" s="88" t="str">
        <f>IFERROR(__xludf.DUMMYFUNCTION("""COMPUTED_VALUE"""),"Актуально")</f>
        <v>Актуально</v>
      </c>
      <c r="T57" s="88" t="str">
        <f>IFERROR(__xludf.DUMMYFUNCTION("""COMPUTED_VALUE"""),"Семен")</f>
        <v>Семен</v>
      </c>
      <c r="U57" s="240">
        <f>IFERROR(__xludf.DUMMYFUNCTION("""COMPUTED_VALUE"""),232.3)</f>
        <v>232.3</v>
      </c>
      <c r="V57" s="88"/>
      <c r="W57" s="240">
        <f>IFERROR(__xludf.DUMMYFUNCTION("""COMPUTED_VALUE"""),1161.5000000000002)</f>
        <v>1161.5</v>
      </c>
      <c r="X57" s="88"/>
      <c r="Y57" s="88"/>
      <c r="Z57" s="88"/>
      <c r="AA57" s="88"/>
      <c r="AC57" s="62" t="s">
        <v>116</v>
      </c>
    </row>
    <row r="58">
      <c r="A58" s="88"/>
      <c r="B58" s="88">
        <f>IFERROR(__xludf.DUMMYFUNCTION("""COMPUTED_VALUE"""),36.0)</f>
        <v>36</v>
      </c>
      <c r="C58" s="88" t="str">
        <f>IFERROR(__xludf.DUMMYFUNCTION("""COMPUTED_VALUE"""),"qeepcurcumin_500mg_60caps")</f>
        <v>qeepcurcumin_500mg_60caps</v>
      </c>
      <c r="D58" s="88">
        <f>IFERROR(__xludf.DUMMYFUNCTION("""COMPUTED_VALUE"""),8.81205774E8)</f>
        <v>881205774</v>
      </c>
      <c r="E58" s="88" t="str">
        <f>IFERROR(__xludf.DUMMYFUNCTION("""COMPUTED_VALUE"""),"qeep")</f>
        <v>qeep</v>
      </c>
      <c r="F58" s="88" t="str">
        <f>IFERROR(__xludf.DUMMYFUNCTION("""COMPUTED_VALUE"""),"Куркумин 500 мг Qeep 60 капсул")</f>
        <v>Куркумин 500 мг Qeep 60 капсул</v>
      </c>
      <c r="G58" s="88"/>
      <c r="H58" s="88" t="str">
        <f>IFERROR(__xludf.DUMMYFUNCTION("""COMPUTED_VALUE"""),"БАДы")</f>
        <v>БАДы</v>
      </c>
      <c r="I58" s="88" t="str">
        <f>IFERROR(__xludf.DUMMYFUNCTION("""COMPUTED_VALUE"""),"Иммунитет")</f>
        <v>Иммунитет</v>
      </c>
      <c r="J58" s="88"/>
      <c r="K58" s="242">
        <f>IFERROR(__xludf.DUMMYFUNCTION("""COMPUTED_VALUE"""),98435.0)</f>
        <v>98435</v>
      </c>
      <c r="L58" s="88"/>
      <c r="M58" s="243">
        <f>IFERROR(__xludf.DUMMYFUNCTION("""COMPUTED_VALUE"""),0.36002804489798584)</f>
        <v>0.3600280449</v>
      </c>
      <c r="N58" s="243">
        <f>IFERROR(__xludf.DUMMYFUNCTION("""COMPUTED_VALUE"""),0.4735810305791805)</f>
        <v>0.4735810306</v>
      </c>
      <c r="O58" s="88"/>
      <c r="P58" s="88"/>
      <c r="Q58" s="88"/>
      <c r="R58" s="88"/>
      <c r="S58" s="88" t="str">
        <f>IFERROR(__xludf.DUMMYFUNCTION("""COMPUTED_VALUE"""),"Актуально")</f>
        <v>Актуально</v>
      </c>
      <c r="T58" s="88" t="str">
        <f>IFERROR(__xludf.DUMMYFUNCTION("""COMPUTED_VALUE"""),"Семен")</f>
        <v>Семен</v>
      </c>
      <c r="U58" s="240">
        <f>IFERROR(__xludf.DUMMYFUNCTION("""COMPUTED_VALUE"""),190.0)</f>
        <v>190</v>
      </c>
      <c r="V58" s="88"/>
      <c r="W58" s="240">
        <f>IFERROR(__xludf.DUMMYFUNCTION("""COMPUTED_VALUE"""),950.0000000000002)</f>
        <v>950</v>
      </c>
      <c r="X58" s="88"/>
      <c r="Y58" s="88"/>
      <c r="Z58" s="88"/>
      <c r="AA58" s="88"/>
      <c r="AC58" s="62" t="s">
        <v>116</v>
      </c>
    </row>
    <row r="59">
      <c r="A59" s="88"/>
      <c r="B59" s="88">
        <f>IFERROR(__xludf.DUMMYFUNCTION("""COMPUTED_VALUE"""),37.0)</f>
        <v>37</v>
      </c>
      <c r="C59" s="88" t="str">
        <f>IFERROR(__xludf.DUMMYFUNCTION("""COMPUTED_VALUE"""),"qeep_D3_30ml")</f>
        <v>qeep_D3_30ml</v>
      </c>
      <c r="D59" s="88">
        <f>IFERROR(__xludf.DUMMYFUNCTION("""COMPUTED_VALUE"""),9.45003764E8)</f>
        <v>945003764</v>
      </c>
      <c r="E59" s="88" t="str">
        <f>IFERROR(__xludf.DUMMYFUNCTION("""COMPUTED_VALUE"""),"qeep")</f>
        <v>qeep</v>
      </c>
      <c r="F59" s="88" t="str">
        <f>IFERROR(__xludf.DUMMYFUNCTION("""COMPUTED_VALUE"""),"Витамин Д3 Капли 500 ME Qeep 30 мл")</f>
        <v>Витамин Д3 Капли 500 ME Qeep 30 мл</v>
      </c>
      <c r="G59" s="88"/>
      <c r="H59" s="88" t="str">
        <f>IFERROR(__xludf.DUMMYFUNCTION("""COMPUTED_VALUE"""),"БАДы")</f>
        <v>БАДы</v>
      </c>
      <c r="I59" s="88" t="str">
        <f>IFERROR(__xludf.DUMMYFUNCTION("""COMPUTED_VALUE"""),"Иммунитет")</f>
        <v>Иммунитет</v>
      </c>
      <c r="J59" s="88"/>
      <c r="K59" s="242">
        <f>IFERROR(__xludf.DUMMYFUNCTION("""COMPUTED_VALUE"""),114240.0)</f>
        <v>114240</v>
      </c>
      <c r="L59" s="88"/>
      <c r="M59" s="243">
        <f>IFERROR(__xludf.DUMMYFUNCTION("""COMPUTED_VALUE"""),0.11854089505828105)</f>
        <v>0.1185408951</v>
      </c>
      <c r="N59" s="243">
        <f>IFERROR(__xludf.DUMMYFUNCTION("""COMPUTED_VALUE"""),0.3928311344821269)</f>
        <v>0.3928311345</v>
      </c>
      <c r="O59" s="88"/>
      <c r="P59" s="88"/>
      <c r="Q59" s="88"/>
      <c r="R59" s="88"/>
      <c r="S59" s="88" t="str">
        <f>IFERROR(__xludf.DUMMYFUNCTION("""COMPUTED_VALUE"""),"Актуально")</f>
        <v>Актуально</v>
      </c>
      <c r="T59" s="88" t="str">
        <f>IFERROR(__xludf.DUMMYFUNCTION("""COMPUTED_VALUE"""),"Семен")</f>
        <v>Семен</v>
      </c>
      <c r="U59" s="240">
        <f>IFERROR(__xludf.DUMMYFUNCTION("""COMPUTED_VALUE"""),215.0)</f>
        <v>215</v>
      </c>
      <c r="V59" s="88"/>
      <c r="W59" s="240">
        <f>IFERROR(__xludf.DUMMYFUNCTION("""COMPUTED_VALUE"""),1075.0000000000002)</f>
        <v>1075</v>
      </c>
      <c r="X59" s="88"/>
      <c r="Y59" s="88"/>
      <c r="Z59" s="88"/>
      <c r="AA59" s="88"/>
      <c r="AC59" s="62" t="s">
        <v>116</v>
      </c>
    </row>
    <row r="60">
      <c r="A60" s="88"/>
      <c r="B60" s="88">
        <f>IFERROR(__xludf.DUMMYFUNCTION("""COMPUTED_VALUE"""),43.0)</f>
        <v>43</v>
      </c>
      <c r="C60" s="88" t="str">
        <f>IFERROR(__xludf.DUMMYFUNCTION("""COMPUTED_VALUE"""),"qeepzinc")</f>
        <v>qeepzinc</v>
      </c>
      <c r="D60" s="88">
        <f>IFERROR(__xludf.DUMMYFUNCTION("""COMPUTED_VALUE"""),8.1482422E8)</f>
        <v>814824220</v>
      </c>
      <c r="E60" s="88" t="str">
        <f>IFERROR(__xludf.DUMMYFUNCTION("""COMPUTED_VALUE"""),"qeep")</f>
        <v>qeep</v>
      </c>
      <c r="F60" s="88" t="str">
        <f>IFERROR(__xludf.DUMMYFUNCTION("""COMPUTED_VALUE"""),"Цинк хелат 25 мг Qeep 90 таблеток")</f>
        <v>Цинк хелат 25 мг Qeep 90 таблеток</v>
      </c>
      <c r="G60" s="88"/>
      <c r="H60" s="88" t="str">
        <f>IFERROR(__xludf.DUMMYFUNCTION("""COMPUTED_VALUE"""),"БАДы")</f>
        <v>БАДы</v>
      </c>
      <c r="I60" s="88" t="str">
        <f>IFERROR(__xludf.DUMMYFUNCTION("""COMPUTED_VALUE"""),"Иммунитет")</f>
        <v>Иммунитет</v>
      </c>
      <c r="J60" s="88"/>
      <c r="K60" s="242">
        <f>IFERROR(__xludf.DUMMYFUNCTION("""COMPUTED_VALUE"""),55165.0)</f>
        <v>55165</v>
      </c>
      <c r="L60" s="88"/>
      <c r="M60" s="243">
        <f>IFERROR(__xludf.DUMMYFUNCTION("""COMPUTED_VALUE"""),0.1187124504643997)</f>
        <v>0.1187124505</v>
      </c>
      <c r="N60" s="243">
        <f>IFERROR(__xludf.DUMMYFUNCTION("""COMPUTED_VALUE"""),0.2070238292227018)</f>
        <v>0.2070238292</v>
      </c>
      <c r="O60" s="88"/>
      <c r="P60" s="88"/>
      <c r="Q60" s="88"/>
      <c r="R60" s="88"/>
      <c r="S60" s="88" t="str">
        <f>IFERROR(__xludf.DUMMYFUNCTION("""COMPUTED_VALUE"""),"Актуально")</f>
        <v>Актуально</v>
      </c>
      <c r="T60" s="88" t="str">
        <f>IFERROR(__xludf.DUMMYFUNCTION("""COMPUTED_VALUE"""),"Семен")</f>
        <v>Семен</v>
      </c>
      <c r="U60" s="240">
        <f>IFERROR(__xludf.DUMMYFUNCTION("""COMPUTED_VALUE"""),169.09)</f>
        <v>169.09</v>
      </c>
      <c r="V60" s="88"/>
      <c r="W60" s="240">
        <f>IFERROR(__xludf.DUMMYFUNCTION("""COMPUTED_VALUE"""),845.4500000000002)</f>
        <v>845.45</v>
      </c>
      <c r="X60" s="88"/>
      <c r="Y60" s="88"/>
      <c r="Z60" s="88"/>
      <c r="AA60" s="88"/>
      <c r="AC60" s="62" t="s">
        <v>116</v>
      </c>
    </row>
    <row r="61">
      <c r="A61" s="88"/>
      <c r="B61" s="88">
        <f>IFERROR(__xludf.DUMMYFUNCTION("""COMPUTED_VALUE"""),45.0)</f>
        <v>45</v>
      </c>
      <c r="C61" s="88" t="str">
        <f>IFERROR(__xludf.DUMMYFUNCTION("""COMPUTED_VALUE"""),"qeep_omega369_90caps")</f>
        <v>qeep_omega369_90caps</v>
      </c>
      <c r="D61" s="88">
        <f>IFERROR(__xludf.DUMMYFUNCTION("""COMPUTED_VALUE"""),1.0326954E9)</f>
        <v>1032695400</v>
      </c>
      <c r="E61" s="88" t="str">
        <f>IFERROR(__xludf.DUMMYFUNCTION("""COMPUTED_VALUE"""),"qeep")</f>
        <v>qeep</v>
      </c>
      <c r="F61" s="88" t="str">
        <f>IFERROR(__xludf.DUMMYFUNCTION("""COMPUTED_VALUE"""),"Омега 3 6 9 Qeep 90 капсул")</f>
        <v>Омега 3 6 9 Qeep 90 капсул</v>
      </c>
      <c r="G61" s="88"/>
      <c r="H61" s="88" t="str">
        <f>IFERROR(__xludf.DUMMYFUNCTION("""COMPUTED_VALUE"""),"БАДы")</f>
        <v>БАДы</v>
      </c>
      <c r="I61" s="88" t="str">
        <f>IFERROR(__xludf.DUMMYFUNCTION("""COMPUTED_VALUE"""),"Иммунитет")</f>
        <v>Иммунитет</v>
      </c>
      <c r="J61" s="88"/>
      <c r="K61" s="242">
        <f>IFERROR(__xludf.DUMMYFUNCTION("""COMPUTED_VALUE"""),46681.0)</f>
        <v>46681</v>
      </c>
      <c r="L61" s="88"/>
      <c r="M61" s="243">
        <f>IFERROR(__xludf.DUMMYFUNCTION("""COMPUTED_VALUE"""),-0.0013117712382007122)</f>
        <v>-0.001311771238</v>
      </c>
      <c r="N61" s="243">
        <f>IFERROR(__xludf.DUMMYFUNCTION("""COMPUTED_VALUE"""),0.16386197482879908)</f>
        <v>0.1638619748</v>
      </c>
      <c r="O61" s="88"/>
      <c r="P61" s="88"/>
      <c r="Q61" s="88"/>
      <c r="R61" s="88"/>
      <c r="S61" s="88" t="str">
        <f>IFERROR(__xludf.DUMMYFUNCTION("""COMPUTED_VALUE"""),"На вывод")</f>
        <v>На вывод</v>
      </c>
      <c r="T61" s="88" t="str">
        <f>IFERROR(__xludf.DUMMYFUNCTION("""COMPUTED_VALUE"""),"Семен")</f>
        <v>Семен</v>
      </c>
      <c r="U61" s="240">
        <f>IFERROR(__xludf.DUMMYFUNCTION("""COMPUTED_VALUE"""),321.07)</f>
        <v>321.07</v>
      </c>
      <c r="V61" s="88"/>
      <c r="W61" s="240">
        <f>IFERROR(__xludf.DUMMYFUNCTION("""COMPUTED_VALUE"""),1605.3500000000004)</f>
        <v>1605.35</v>
      </c>
      <c r="X61" s="88"/>
      <c r="Y61" s="88"/>
      <c r="Z61" s="88"/>
      <c r="AA61" s="88"/>
      <c r="AC61" s="62" t="s">
        <v>116</v>
      </c>
    </row>
    <row r="62">
      <c r="A62" s="88"/>
      <c r="B62" s="88">
        <f>IFERROR(__xludf.DUMMYFUNCTION("""COMPUTED_VALUE"""),66.0)</f>
        <v>66</v>
      </c>
      <c r="C62" s="88" t="str">
        <f>IFERROR(__xludf.DUMMYFUNCTION("""COMPUTED_VALUE"""),"qeep_d3k2_5000ME_120tabs")</f>
        <v>qeep_d3k2_5000ME_120tabs</v>
      </c>
      <c r="D62" s="88">
        <f>IFERROR(__xludf.DUMMYFUNCTION("""COMPUTED_VALUE"""),1.499949331E9)</f>
        <v>1499949331</v>
      </c>
      <c r="E62" s="88" t="str">
        <f>IFERROR(__xludf.DUMMYFUNCTION("""COMPUTED_VALUE"""),"qeep")</f>
        <v>qeep</v>
      </c>
      <c r="F62" s="88" t="str">
        <f>IFERROR(__xludf.DUMMYFUNCTION("""COMPUTED_VALUE"""),"Витамин Д3 5000 ME К2 12,5 мкг Qeep 120 таблеток")</f>
        <v>Витамин Д3 5000 ME К2 12,5 мкг Qeep 120 таблеток</v>
      </c>
      <c r="G62" s="88"/>
      <c r="H62" s="88" t="str">
        <f>IFERROR(__xludf.DUMMYFUNCTION("""COMPUTED_VALUE"""),"БАДы")</f>
        <v>БАДы</v>
      </c>
      <c r="I62" s="88" t="str">
        <f>IFERROR(__xludf.DUMMYFUNCTION("""COMPUTED_VALUE"""),"Иммунитет")</f>
        <v>Иммунитет</v>
      </c>
      <c r="J62" s="88"/>
      <c r="K62" s="242">
        <f>IFERROR(__xludf.DUMMYFUNCTION("""COMPUTED_VALUE"""),47804.0)</f>
        <v>47804</v>
      </c>
      <c r="L62" s="88"/>
      <c r="M62" s="243">
        <f>IFERROR(__xludf.DUMMYFUNCTION("""COMPUTED_VALUE"""),0.2670213415741096)</f>
        <v>0.2670213416</v>
      </c>
      <c r="N62" s="243">
        <f>IFERROR(__xludf.DUMMYFUNCTION("""COMPUTED_VALUE"""),0.45082044252885267)</f>
        <v>0.4508204425</v>
      </c>
      <c r="O62" s="88"/>
      <c r="P62" s="88"/>
      <c r="Q62" s="88"/>
      <c r="R62" s="88"/>
      <c r="S62" s="88" t="str">
        <f>IFERROR(__xludf.DUMMYFUNCTION("""COMPUTED_VALUE"""),"Актуально")</f>
        <v>Актуально</v>
      </c>
      <c r="T62" s="88" t="str">
        <f>IFERROR(__xludf.DUMMYFUNCTION("""COMPUTED_VALUE"""),"Семен")</f>
        <v>Семен</v>
      </c>
      <c r="U62" s="240">
        <f>IFERROR(__xludf.DUMMYFUNCTION("""COMPUTED_VALUE"""),190.0)</f>
        <v>190</v>
      </c>
      <c r="V62" s="88"/>
      <c r="W62" s="240">
        <f>IFERROR(__xludf.DUMMYFUNCTION("""COMPUTED_VALUE"""),950.0000000000002)</f>
        <v>950</v>
      </c>
      <c r="X62" s="88"/>
      <c r="Y62" s="88"/>
      <c r="Z62" s="88"/>
      <c r="AA62" s="88"/>
      <c r="AC62" s="62" t="s">
        <v>116</v>
      </c>
    </row>
    <row r="63">
      <c r="A63" s="88"/>
      <c r="B63" s="88">
        <f>IFERROR(__xludf.DUMMYFUNCTION("""COMPUTED_VALUE"""),76.0)</f>
        <v>76</v>
      </c>
      <c r="C63" s="88" t="str">
        <f>IFERROR(__xludf.DUMMYFUNCTION("""COMPUTED_VALUE"""),"qeep_D3_2000ME_120caps")</f>
        <v>qeep_D3_2000ME_120caps</v>
      </c>
      <c r="D63" s="88">
        <f>IFERROR(__xludf.DUMMYFUNCTION("""COMPUTED_VALUE"""),1.342066127E9)</f>
        <v>1342066127</v>
      </c>
      <c r="E63" s="88" t="str">
        <f>IFERROR(__xludf.DUMMYFUNCTION("""COMPUTED_VALUE"""),"qeep")</f>
        <v>qeep</v>
      </c>
      <c r="F63" s="88" t="str">
        <f>IFERROR(__xludf.DUMMYFUNCTION("""COMPUTED_VALUE"""),"Витамин Д3 2000 МЕ 120 капсул")</f>
        <v>Витамин Д3 2000 МЕ 120 капсул</v>
      </c>
      <c r="G63" s="88"/>
      <c r="H63" s="88" t="str">
        <f>IFERROR(__xludf.DUMMYFUNCTION("""COMPUTED_VALUE"""),"БАДы")</f>
        <v>БАДы</v>
      </c>
      <c r="I63" s="88" t="str">
        <f>IFERROR(__xludf.DUMMYFUNCTION("""COMPUTED_VALUE"""),"Иммунитет")</f>
        <v>Иммунитет</v>
      </c>
      <c r="J63" s="88"/>
      <c r="K63" s="242">
        <f>IFERROR(__xludf.DUMMYFUNCTION("""COMPUTED_VALUE"""),24008.0)</f>
        <v>24008</v>
      </c>
      <c r="L63" s="88"/>
      <c r="M63" s="243">
        <f>IFERROR(__xludf.DUMMYFUNCTION("""COMPUTED_VALUE"""),0.14058475156301511)</f>
        <v>0.1405847516</v>
      </c>
      <c r="N63" s="243">
        <f>IFERROR(__xludf.DUMMYFUNCTION("""COMPUTED_VALUE"""),0.2553803316035942)</f>
        <v>0.2553803316</v>
      </c>
      <c r="O63" s="88"/>
      <c r="P63" s="88"/>
      <c r="Q63" s="88"/>
      <c r="R63" s="88"/>
      <c r="S63" s="88" t="str">
        <f>IFERROR(__xludf.DUMMYFUNCTION("""COMPUTED_VALUE"""),"Актуально")</f>
        <v>Актуально</v>
      </c>
      <c r="T63" s="88" t="str">
        <f>IFERROR(__xludf.DUMMYFUNCTION("""COMPUTED_VALUE"""),"Семен")</f>
        <v>Семен</v>
      </c>
      <c r="U63" s="240">
        <f>IFERROR(__xludf.DUMMYFUNCTION("""COMPUTED_VALUE"""),191.0)</f>
        <v>191</v>
      </c>
      <c r="V63" s="88"/>
      <c r="W63" s="240">
        <f>IFERROR(__xludf.DUMMYFUNCTION("""COMPUTED_VALUE"""),955.0000000000002)</f>
        <v>955</v>
      </c>
      <c r="X63" s="88"/>
      <c r="Y63" s="88"/>
      <c r="Z63" s="88"/>
      <c r="AA63" s="88"/>
      <c r="AC63" s="62" t="s">
        <v>116</v>
      </c>
    </row>
    <row r="64">
      <c r="A64" s="88"/>
      <c r="B64" s="88">
        <f>IFERROR(__xludf.DUMMYFUNCTION("""COMPUTED_VALUE"""),81.0)</f>
        <v>81</v>
      </c>
      <c r="C64" s="88" t="str">
        <f>IFERROR(__xludf.DUMMYFUNCTION("""COMPUTED_VALUE"""),"qeepcurcumin")</f>
        <v>qeepcurcumin</v>
      </c>
      <c r="D64" s="88">
        <f>IFERROR(__xludf.DUMMYFUNCTION("""COMPUTED_VALUE"""),6.50726667E8)</f>
        <v>650726667</v>
      </c>
      <c r="E64" s="88" t="str">
        <f>IFERROR(__xludf.DUMMYFUNCTION("""COMPUTED_VALUE"""),"qeep")</f>
        <v>qeep</v>
      </c>
      <c r="F64" s="88" t="str">
        <f>IFERROR(__xludf.DUMMYFUNCTION("""COMPUTED_VALUE"""),"Куркумин 130 мг Qeep 60 капсул")</f>
        <v>Куркумин 130 мг Qeep 60 капсул</v>
      </c>
      <c r="G64" s="88"/>
      <c r="H64" s="88" t="str">
        <f>IFERROR(__xludf.DUMMYFUNCTION("""COMPUTED_VALUE"""),"БАДы")</f>
        <v>БАДы</v>
      </c>
      <c r="I64" s="88" t="str">
        <f>IFERROR(__xludf.DUMMYFUNCTION("""COMPUTED_VALUE"""),"Иммунитет")</f>
        <v>Иммунитет</v>
      </c>
      <c r="J64" s="88"/>
      <c r="K64" s="242">
        <f>IFERROR(__xludf.DUMMYFUNCTION("""COMPUTED_VALUE"""),15529.0)</f>
        <v>15529</v>
      </c>
      <c r="L64" s="88"/>
      <c r="M64" s="243">
        <f>IFERROR(__xludf.DUMMYFUNCTION("""COMPUTED_VALUE"""),-0.08611008091086499)</f>
        <v>-0.08611008091</v>
      </c>
      <c r="N64" s="243">
        <f>IFERROR(__xludf.DUMMYFUNCTION("""COMPUTED_VALUE"""),0.02889385072521003)</f>
        <v>0.02889385073</v>
      </c>
      <c r="O64" s="88"/>
      <c r="P64" s="88"/>
      <c r="Q64" s="88"/>
      <c r="R64" s="88"/>
      <c r="S64" s="88" t="str">
        <f>IFERROR(__xludf.DUMMYFUNCTION("""COMPUTED_VALUE"""),"Актуально")</f>
        <v>Актуально</v>
      </c>
      <c r="T64" s="88" t="str">
        <f>IFERROR(__xludf.DUMMYFUNCTION("""COMPUTED_VALUE"""),"Семен")</f>
        <v>Семен</v>
      </c>
      <c r="U64" s="240">
        <f>IFERROR(__xludf.DUMMYFUNCTION("""COMPUTED_VALUE"""),236.59)</f>
        <v>236.59</v>
      </c>
      <c r="V64" s="88"/>
      <c r="W64" s="240">
        <f>IFERROR(__xludf.DUMMYFUNCTION("""COMPUTED_VALUE"""),1182.9500000000003)</f>
        <v>1182.95</v>
      </c>
      <c r="X64" s="88"/>
      <c r="Y64" s="88"/>
      <c r="Z64" s="88"/>
      <c r="AA64" s="88"/>
      <c r="AC64" s="62" t="s">
        <v>116</v>
      </c>
    </row>
    <row r="65">
      <c r="A65" s="88"/>
      <c r="B65" s="88">
        <f>IFERROR(__xludf.DUMMYFUNCTION("""COMPUTED_VALUE"""),88.0)</f>
        <v>88</v>
      </c>
      <c r="C65" s="88" t="str">
        <f>IFERROR(__xludf.DUMMYFUNCTION("""COMPUTED_VALUE"""),"qeep_vitaminA_90caps")</f>
        <v>qeep_vitaminA_90caps</v>
      </c>
      <c r="D65" s="88">
        <f>IFERROR(__xludf.DUMMYFUNCTION("""COMPUTED_VALUE"""),1.539152458E9)</f>
        <v>1539152458</v>
      </c>
      <c r="E65" s="88" t="str">
        <f>IFERROR(__xludf.DUMMYFUNCTION("""COMPUTED_VALUE"""),"qeep")</f>
        <v>qeep</v>
      </c>
      <c r="F65" s="88" t="str">
        <f>IFERROR(__xludf.DUMMYFUNCTION("""COMPUTED_VALUE"""),"Витамин А 10000 МЕ Qeep 90 капсул")</f>
        <v>Витамин А 10000 МЕ Qeep 90 капсул</v>
      </c>
      <c r="G65" s="88"/>
      <c r="H65" s="88" t="str">
        <f>IFERROR(__xludf.DUMMYFUNCTION("""COMPUTED_VALUE"""),"БАДы")</f>
        <v>БАДы</v>
      </c>
      <c r="I65" s="88" t="str">
        <f>IFERROR(__xludf.DUMMYFUNCTION("""COMPUTED_VALUE"""),"Иммунитет")</f>
        <v>Иммунитет</v>
      </c>
      <c r="J65" s="88"/>
      <c r="K65" s="242">
        <f>IFERROR(__xludf.DUMMYFUNCTION("""COMPUTED_VALUE"""),8173.0)</f>
        <v>8173</v>
      </c>
      <c r="L65" s="88"/>
      <c r="M65" s="243">
        <f>IFERROR(__xludf.DUMMYFUNCTION("""COMPUTED_VALUE"""),-0.56762923655513)</f>
        <v>-0.5676292366</v>
      </c>
      <c r="N65" s="243">
        <f>IFERROR(__xludf.DUMMYFUNCTION("""COMPUTED_VALUE"""),-0.49009467237606574)</f>
        <v>-0.4900946724</v>
      </c>
      <c r="O65" s="88"/>
      <c r="P65" s="88"/>
      <c r="Q65" s="88"/>
      <c r="R65" s="88"/>
      <c r="S65" s="88" t="str">
        <f>IFERROR(__xludf.DUMMYFUNCTION("""COMPUTED_VALUE"""),"Актуально")</f>
        <v>Актуально</v>
      </c>
      <c r="T65" s="88" t="str">
        <f>IFERROR(__xludf.DUMMYFUNCTION("""COMPUTED_VALUE"""),"Семен")</f>
        <v>Семен</v>
      </c>
      <c r="U65" s="240">
        <f>IFERROR(__xludf.DUMMYFUNCTION("""COMPUTED_VALUE"""),190.0)</f>
        <v>190</v>
      </c>
      <c r="V65" s="88"/>
      <c r="W65" s="240">
        <f>IFERROR(__xludf.DUMMYFUNCTION("""COMPUTED_VALUE"""),950.0000000000002)</f>
        <v>950</v>
      </c>
      <c r="X65" s="88"/>
      <c r="Y65" s="88"/>
      <c r="Z65" s="88"/>
      <c r="AA65" s="88"/>
      <c r="AC65" s="62" t="s">
        <v>116</v>
      </c>
    </row>
    <row r="66">
      <c r="A66" s="88"/>
      <c r="B66" s="88">
        <f>IFERROR(__xludf.DUMMYFUNCTION("""COMPUTED_VALUE"""),4.0)</f>
        <v>4</v>
      </c>
      <c r="C66" s="88" t="str">
        <f>IFERROR(__xludf.DUMMYFUNCTION("""COMPUTED_VALUE"""),"harly_ear_drops")</f>
        <v>harly_ear_drops</v>
      </c>
      <c r="D66" s="88">
        <f>IFERROR(__xludf.DUMMYFUNCTION("""COMPUTED_VALUE"""),1.580754644E9)</f>
        <v>1580754644</v>
      </c>
      <c r="E66" s="88" t="str">
        <f>IFERROR(__xludf.DUMMYFUNCTION("""COMPUTED_VALUE"""),"Harly")</f>
        <v>Harly</v>
      </c>
      <c r="F66" s="88" t="str">
        <f>IFERROR(__xludf.DUMMYFUNCTION("""COMPUTED_VALUE"""),"Ушные капли для чистки ушей собак и кошек Harly")</f>
        <v>Ушные капли для чистки ушей собак и кошек Harly</v>
      </c>
      <c r="G66" s="88"/>
      <c r="H66" s="88" t="str">
        <f>IFERROR(__xludf.DUMMYFUNCTION("""COMPUTED_VALUE"""),"Косметика для животных")</f>
        <v>Косметика для животных</v>
      </c>
      <c r="I66" s="88" t="str">
        <f>IFERROR(__xludf.DUMMYFUNCTION("""COMPUTED_VALUE"""),"Капли и лосьоны")</f>
        <v>Капли и лосьоны</v>
      </c>
      <c r="J66" s="88"/>
      <c r="K66" s="242">
        <f>IFERROR(__xludf.DUMMYFUNCTION("""COMPUTED_VALUE"""),1570420.0)</f>
        <v>1570420</v>
      </c>
      <c r="L66" s="88"/>
      <c r="M66" s="243">
        <f>IFERROR(__xludf.DUMMYFUNCTION("""COMPUTED_VALUE"""),0.4708302793694929)</f>
        <v>0.4708302794</v>
      </c>
      <c r="N66" s="243">
        <f>IFERROR(__xludf.DUMMYFUNCTION("""COMPUTED_VALUE"""),0.552272817962105)</f>
        <v>0.552272818</v>
      </c>
      <c r="O66" s="88"/>
      <c r="P66" s="88"/>
      <c r="Q66" s="88"/>
      <c r="R66" s="88"/>
      <c r="S66" s="88" t="str">
        <f>IFERROR(__xludf.DUMMYFUNCTION("""COMPUTED_VALUE"""),"Актуально")</f>
        <v>Актуально</v>
      </c>
      <c r="T66" s="88" t="str">
        <f>IFERROR(__xludf.DUMMYFUNCTION("""COMPUTED_VALUE"""),"Кристина")</f>
        <v>Кристина</v>
      </c>
      <c r="U66" s="240">
        <f>IFERROR(__xludf.DUMMYFUNCTION("""COMPUTED_VALUE"""),58.42)</f>
        <v>58.42</v>
      </c>
      <c r="V66" s="88"/>
      <c r="W66" s="240">
        <f>IFERROR(__xludf.DUMMYFUNCTION("""COMPUTED_VALUE"""),292.1000000000001)</f>
        <v>292.1</v>
      </c>
      <c r="X66" s="88"/>
      <c r="Y66" s="88"/>
      <c r="Z66" s="88"/>
      <c r="AA66" s="88"/>
      <c r="AC66" s="62" t="s">
        <v>116</v>
      </c>
    </row>
    <row r="67">
      <c r="A67" s="88"/>
      <c r="B67" s="88">
        <f>IFERROR(__xludf.DUMMYFUNCTION("""COMPUTED_VALUE"""),33.0)</f>
        <v>33</v>
      </c>
      <c r="C67" s="88" t="str">
        <f>IFERROR(__xludf.DUMMYFUNCTION("""COMPUTED_VALUE"""),"harly_eye_lotion")</f>
        <v>harly_eye_lotion</v>
      </c>
      <c r="D67" s="88">
        <f>IFERROR(__xludf.DUMMYFUNCTION("""COMPUTED_VALUE"""),2.022703709E9)</f>
        <v>2022703709</v>
      </c>
      <c r="E67" s="88" t="str">
        <f>IFERROR(__xludf.DUMMYFUNCTION("""COMPUTED_VALUE"""),"Harly")</f>
        <v>Harly</v>
      </c>
      <c r="F67" s="88" t="str">
        <f>IFERROR(__xludf.DUMMYFUNCTION("""COMPUTED_VALUE"""),"Лосьон для глаз собак и кошек очищающий Harly 100 мл")</f>
        <v>Лосьон для глаз собак и кошек очищающий Harly 100 мл</v>
      </c>
      <c r="G67" s="88"/>
      <c r="H67" s="88" t="str">
        <f>IFERROR(__xludf.DUMMYFUNCTION("""COMPUTED_VALUE"""),"Косметика для животных")</f>
        <v>Косметика для животных</v>
      </c>
      <c r="I67" s="88" t="str">
        <f>IFERROR(__xludf.DUMMYFUNCTION("""COMPUTED_VALUE"""),"Капли и лосьоны")</f>
        <v>Капли и лосьоны</v>
      </c>
      <c r="J67" s="88"/>
      <c r="K67" s="242">
        <f>IFERROR(__xludf.DUMMYFUNCTION("""COMPUTED_VALUE"""),134665.0)</f>
        <v>134665</v>
      </c>
      <c r="L67" s="88"/>
      <c r="M67" s="243">
        <f>IFERROR(__xludf.DUMMYFUNCTION("""COMPUTED_VALUE"""),0.11723285708225065)</f>
        <v>0.1172328571</v>
      </c>
      <c r="N67" s="243">
        <f>IFERROR(__xludf.DUMMYFUNCTION("""COMPUTED_VALUE"""),0.39692557446089216)</f>
        <v>0.3969255745</v>
      </c>
      <c r="O67" s="88"/>
      <c r="P67" s="88"/>
      <c r="Q67" s="88"/>
      <c r="R67" s="88"/>
      <c r="S67" s="88" t="str">
        <f>IFERROR(__xludf.DUMMYFUNCTION("""COMPUTED_VALUE"""),"Актуально")</f>
        <v>Актуально</v>
      </c>
      <c r="T67" s="88" t="str">
        <f>IFERROR(__xludf.DUMMYFUNCTION("""COMPUTED_VALUE"""),"Семен")</f>
        <v>Семен</v>
      </c>
      <c r="U67" s="240">
        <f>IFERROR(__xludf.DUMMYFUNCTION("""COMPUTED_VALUE"""),106.0)</f>
        <v>106</v>
      </c>
      <c r="V67" s="88"/>
      <c r="W67" s="240">
        <f>IFERROR(__xludf.DUMMYFUNCTION("""COMPUTED_VALUE"""),530.0000000000001)</f>
        <v>530</v>
      </c>
      <c r="X67" s="88"/>
      <c r="Y67" s="88"/>
      <c r="Z67" s="88"/>
      <c r="AA67" s="88"/>
      <c r="AC67" s="62" t="s">
        <v>116</v>
      </c>
    </row>
    <row r="68">
      <c r="A68" s="88"/>
      <c r="B68" s="88">
        <f>IFERROR(__xludf.DUMMYFUNCTION("""COMPUTED_VALUE"""),38.0)</f>
        <v>38</v>
      </c>
      <c r="C68" s="88" t="str">
        <f>IFERROR(__xludf.DUMMYFUNCTION("""COMPUTED_VALUE"""),"qeep_liqCollagen_apple_14shots")</f>
        <v>qeep_liqCollagen_apple_14shots</v>
      </c>
      <c r="D68" s="88">
        <f>IFERROR(__xludf.DUMMYFUNCTION("""COMPUTED_VALUE"""),1.56374202E9)</f>
        <v>1563742020</v>
      </c>
      <c r="E68" s="88" t="str">
        <f>IFERROR(__xludf.DUMMYFUNCTION("""COMPUTED_VALUE"""),"qeep")</f>
        <v>qeep</v>
      </c>
      <c r="F68" s="88" t="str">
        <f>IFERROR(__xludf.DUMMYFUNCTION("""COMPUTED_VALUE"""),"Коллаген жидкий говяжий 5000 мг Qeep яблоко 14 шотов по 25 мл")</f>
        <v>Коллаген жидкий говяжий 5000 мг Qeep яблоко 14 шотов по 25 мл</v>
      </c>
      <c r="G68" s="88"/>
      <c r="H68" s="88" t="str">
        <f>IFERROR(__xludf.DUMMYFUNCTION("""COMPUTED_VALUE"""),"БАДы")</f>
        <v>БАДы</v>
      </c>
      <c r="I68" s="88" t="str">
        <f>IFERROR(__xludf.DUMMYFUNCTION("""COMPUTED_VALUE"""),"Коллаген")</f>
        <v>Коллаген</v>
      </c>
      <c r="J68" s="88"/>
      <c r="K68" s="242">
        <f>IFERROR(__xludf.DUMMYFUNCTION("""COMPUTED_VALUE"""),71956.0)</f>
        <v>71956</v>
      </c>
      <c r="L68" s="88"/>
      <c r="M68" s="243">
        <f>IFERROR(__xludf.DUMMYFUNCTION("""COMPUTED_VALUE"""),-0.9107359182823039)</f>
        <v>-0.9107359183</v>
      </c>
      <c r="N68" s="243">
        <f>IFERROR(__xludf.DUMMYFUNCTION("""COMPUTED_VALUE"""),-0.6391810038931823)</f>
        <v>-0.6391810039</v>
      </c>
      <c r="O68" s="88"/>
      <c r="P68" s="88"/>
      <c r="Q68" s="88"/>
      <c r="R68" s="88"/>
      <c r="S68" s="88" t="str">
        <f>IFERROR(__xludf.DUMMYFUNCTION("""COMPUTED_VALUE"""),"На вывод")</f>
        <v>На вывод</v>
      </c>
      <c r="T68" s="88" t="str">
        <f>IFERROR(__xludf.DUMMYFUNCTION("""COMPUTED_VALUE"""),"Семен")</f>
        <v>Семен</v>
      </c>
      <c r="U68" s="240">
        <f>IFERROR(__xludf.DUMMYFUNCTION("""COMPUTED_VALUE"""),820.0)</f>
        <v>820</v>
      </c>
      <c r="V68" s="88"/>
      <c r="W68" s="240">
        <f>IFERROR(__xludf.DUMMYFUNCTION("""COMPUTED_VALUE"""),4100.000000000001)</f>
        <v>4100</v>
      </c>
      <c r="X68" s="88"/>
      <c r="Y68" s="88"/>
      <c r="Z68" s="88"/>
      <c r="AA68" s="88"/>
      <c r="AC68" s="62" t="s">
        <v>116</v>
      </c>
    </row>
    <row r="69">
      <c r="A69" s="88"/>
      <c r="B69" s="88">
        <f>IFERROR(__xludf.DUMMYFUNCTION("""COMPUTED_VALUE"""),39.0)</f>
        <v>39</v>
      </c>
      <c r="C69" s="88" t="str">
        <f>IFERROR(__xludf.DUMMYFUNCTION("""COMPUTED_VALUE"""),"qeep_liqCollagen_orange_14shots")</f>
        <v>qeep_liqCollagen_orange_14shots</v>
      </c>
      <c r="D69" s="88">
        <f>IFERROR(__xludf.DUMMYFUNCTION("""COMPUTED_VALUE"""),1.563742059E9)</f>
        <v>1563742059</v>
      </c>
      <c r="E69" s="88" t="str">
        <f>IFERROR(__xludf.DUMMYFUNCTION("""COMPUTED_VALUE"""),"qeep")</f>
        <v>qeep</v>
      </c>
      <c r="F69" s="88" t="str">
        <f>IFERROR(__xludf.DUMMYFUNCTION("""COMPUTED_VALUE"""),"Коллаген жидкий говяжий 5000 мг Qeep апельсин 14 шотов по 25 мл")</f>
        <v>Коллаген жидкий говяжий 5000 мг Qeep апельсин 14 шотов по 25 мл</v>
      </c>
      <c r="G69" s="88"/>
      <c r="H69" s="88" t="str">
        <f>IFERROR(__xludf.DUMMYFUNCTION("""COMPUTED_VALUE"""),"БАДы")</f>
        <v>БАДы</v>
      </c>
      <c r="I69" s="88" t="str">
        <f>IFERROR(__xludf.DUMMYFUNCTION("""COMPUTED_VALUE"""),"Коллаген")</f>
        <v>Коллаген</v>
      </c>
      <c r="J69" s="88"/>
      <c r="K69" s="242">
        <f>IFERROR(__xludf.DUMMYFUNCTION("""COMPUTED_VALUE"""),63687.0)</f>
        <v>63687</v>
      </c>
      <c r="L69" s="88"/>
      <c r="M69" s="243">
        <f>IFERROR(__xludf.DUMMYFUNCTION("""COMPUTED_VALUE"""),-0.8393695559514437)</f>
        <v>-0.839369556</v>
      </c>
      <c r="N69" s="243">
        <f>IFERROR(__xludf.DUMMYFUNCTION("""COMPUTED_VALUE"""),-0.5839437819140505)</f>
        <v>-0.5839437819</v>
      </c>
      <c r="O69" s="88"/>
      <c r="P69" s="88"/>
      <c r="Q69" s="88"/>
      <c r="R69" s="88"/>
      <c r="S69" s="88" t="str">
        <f>IFERROR(__xludf.DUMMYFUNCTION("""COMPUTED_VALUE"""),"На вывод")</f>
        <v>На вывод</v>
      </c>
      <c r="T69" s="88" t="str">
        <f>IFERROR(__xludf.DUMMYFUNCTION("""COMPUTED_VALUE"""),"Семен")</f>
        <v>Семен</v>
      </c>
      <c r="U69" s="240">
        <f>IFERROR(__xludf.DUMMYFUNCTION("""COMPUTED_VALUE"""),820.0)</f>
        <v>820</v>
      </c>
      <c r="V69" s="88"/>
      <c r="W69" s="240">
        <f>IFERROR(__xludf.DUMMYFUNCTION("""COMPUTED_VALUE"""),4100.000000000001)</f>
        <v>4100</v>
      </c>
      <c r="X69" s="88"/>
      <c r="Y69" s="88"/>
      <c r="Z69" s="88"/>
      <c r="AA69" s="88"/>
      <c r="AC69" s="62" t="s">
        <v>116</v>
      </c>
    </row>
    <row r="70">
      <c r="A70" s="88"/>
      <c r="B70" s="88">
        <f>IFERROR(__xludf.DUMMYFUNCTION("""COMPUTED_VALUE"""),58.0)</f>
        <v>58</v>
      </c>
      <c r="C70" s="88" t="str">
        <f>IFERROR(__xludf.DUMMYFUNCTION("""COMPUTED_VALUE"""),"qeepcollagen")</f>
        <v>qeepcollagen</v>
      </c>
      <c r="D70" s="88">
        <f>IFERROR(__xludf.DUMMYFUNCTION("""COMPUTED_VALUE"""),6.16963626E8)</f>
        <v>616963626</v>
      </c>
      <c r="E70" s="88" t="str">
        <f>IFERROR(__xludf.DUMMYFUNCTION("""COMPUTED_VALUE"""),"qeep")</f>
        <v>qeep</v>
      </c>
      <c r="F70" s="88" t="str">
        <f>IFERROR(__xludf.DUMMYFUNCTION("""COMPUTED_VALUE"""),"Коллаген I и III типа с Витамином С и Гиалуроновой Кислотой Qeep 60 капсул")</f>
        <v>Коллаген I и III типа с Витамином С и Гиалуроновой Кислотой Qeep 60 капсул</v>
      </c>
      <c r="G70" s="88"/>
      <c r="H70" s="88" t="str">
        <f>IFERROR(__xludf.DUMMYFUNCTION("""COMPUTED_VALUE"""),"БАДы")</f>
        <v>БАДы</v>
      </c>
      <c r="I70" s="88" t="str">
        <f>IFERROR(__xludf.DUMMYFUNCTION("""COMPUTED_VALUE"""),"Коллаген")</f>
        <v>Коллаген</v>
      </c>
      <c r="J70" s="88"/>
      <c r="K70" s="242">
        <f>IFERROR(__xludf.DUMMYFUNCTION("""COMPUTED_VALUE"""),48617.0)</f>
        <v>48617</v>
      </c>
      <c r="L70" s="88"/>
      <c r="M70" s="243">
        <f>IFERROR(__xludf.DUMMYFUNCTION("""COMPUTED_VALUE"""),0.164252372386218)</f>
        <v>0.1642523724</v>
      </c>
      <c r="N70" s="243">
        <f>IFERROR(__xludf.DUMMYFUNCTION("""COMPUTED_VALUE"""),0.33890189035059537)</f>
        <v>0.3389018904</v>
      </c>
      <c r="O70" s="88"/>
      <c r="P70" s="88"/>
      <c r="Q70" s="88"/>
      <c r="R70" s="88"/>
      <c r="S70" s="88" t="str">
        <f>IFERROR(__xludf.DUMMYFUNCTION("""COMPUTED_VALUE"""),"Актуально")</f>
        <v>Актуально</v>
      </c>
      <c r="T70" s="88" t="str">
        <f>IFERROR(__xludf.DUMMYFUNCTION("""COMPUTED_VALUE"""),"Семен")</f>
        <v>Семен</v>
      </c>
      <c r="U70" s="240">
        <f>IFERROR(__xludf.DUMMYFUNCTION("""COMPUTED_VALUE"""),225.54)</f>
        <v>225.54</v>
      </c>
      <c r="V70" s="88"/>
      <c r="W70" s="240">
        <f>IFERROR(__xludf.DUMMYFUNCTION("""COMPUTED_VALUE"""),1127.7000000000003)</f>
        <v>1127.7</v>
      </c>
      <c r="X70" s="88"/>
      <c r="Y70" s="88"/>
      <c r="Z70" s="88"/>
      <c r="AA70" s="88"/>
      <c r="AC70" s="62" t="s">
        <v>116</v>
      </c>
    </row>
    <row r="71">
      <c r="A71" s="88"/>
      <c r="B71" s="88">
        <f>IFERROR(__xludf.DUMMYFUNCTION("""COMPUTED_VALUE"""),89.0)</f>
        <v>89</v>
      </c>
      <c r="C71" s="88" t="str">
        <f>IFERROR(__xludf.DUMMYFUNCTION("""COMPUTED_VALUE"""),"qeep_liqCollagen_rspbry_14shots")</f>
        <v>qeep_liqCollagen_rspbry_14shots</v>
      </c>
      <c r="D71" s="88">
        <f>IFERROR(__xludf.DUMMYFUNCTION("""COMPUTED_VALUE"""),1.56374215E9)</f>
        <v>1563742150</v>
      </c>
      <c r="E71" s="88" t="str">
        <f>IFERROR(__xludf.DUMMYFUNCTION("""COMPUTED_VALUE"""),"qeep")</f>
        <v>qeep</v>
      </c>
      <c r="F71" s="88" t="str">
        <f>IFERROR(__xludf.DUMMYFUNCTION("""COMPUTED_VALUE"""),"Коллаген жидкий говяжий 5000 мг Qeep малина 14 шотов по 25 мл")</f>
        <v>Коллаген жидкий говяжий 5000 мг Qeep малина 14 шотов по 25 мл</v>
      </c>
      <c r="G71" s="88"/>
      <c r="H71" s="88" t="str">
        <f>IFERROR(__xludf.DUMMYFUNCTION("""COMPUTED_VALUE"""),"БАДы")</f>
        <v>БАДы</v>
      </c>
      <c r="I71" s="88" t="str">
        <f>IFERROR(__xludf.DUMMYFUNCTION("""COMPUTED_VALUE"""),"Коллаген")</f>
        <v>Коллаген</v>
      </c>
      <c r="J71" s="88"/>
      <c r="K71" s="242">
        <f>IFERROR(__xludf.DUMMYFUNCTION("""COMPUTED_VALUE"""),20431.0)</f>
        <v>20431</v>
      </c>
      <c r="L71" s="88"/>
      <c r="M71" s="243">
        <f>IFERROR(__xludf.DUMMYFUNCTION("""COMPUTED_VALUE"""),-0.5981840692650547)</f>
        <v>-0.5981840693</v>
      </c>
      <c r="N71" s="243">
        <f>IFERROR(__xludf.DUMMYFUNCTION("""COMPUTED_VALUE"""),-0.30572522053284595)</f>
        <v>-0.3057252205</v>
      </c>
      <c r="O71" s="88"/>
      <c r="P71" s="88"/>
      <c r="Q71" s="88"/>
      <c r="R71" s="88"/>
      <c r="S71" s="88" t="str">
        <f>IFERROR(__xludf.DUMMYFUNCTION("""COMPUTED_VALUE"""),"На вывод")</f>
        <v>На вывод</v>
      </c>
      <c r="T71" s="88" t="str">
        <f>IFERROR(__xludf.DUMMYFUNCTION("""COMPUTED_VALUE"""),"Семен")</f>
        <v>Семен</v>
      </c>
      <c r="U71" s="240">
        <f>IFERROR(__xludf.DUMMYFUNCTION("""COMPUTED_VALUE"""),820.0)</f>
        <v>820</v>
      </c>
      <c r="V71" s="88"/>
      <c r="W71" s="240">
        <f>IFERROR(__xludf.DUMMYFUNCTION("""COMPUTED_VALUE"""),4100.000000000001)</f>
        <v>4100</v>
      </c>
      <c r="X71" s="88"/>
      <c r="Y71" s="88"/>
      <c r="Z71" s="88"/>
      <c r="AA71" s="88"/>
      <c r="AC71" s="62" t="s">
        <v>116</v>
      </c>
    </row>
    <row r="72">
      <c r="A72" s="88"/>
      <c r="B72" s="88">
        <f>IFERROR(__xludf.DUMMYFUNCTION("""COMPUTED_VALUE"""),62.0)</f>
        <v>62</v>
      </c>
      <c r="C72" s="88" t="str">
        <f>IFERROR(__xludf.DUMMYFUNCTION("""COMPUTED_VALUE"""),"qeepcollagen_peptides_Natural")</f>
        <v>qeepcollagen_peptides_Natural</v>
      </c>
      <c r="D72" s="88">
        <f>IFERROR(__xludf.DUMMYFUNCTION("""COMPUTED_VALUE"""),7.72327923E8)</f>
        <v>772327923</v>
      </c>
      <c r="E72" s="88" t="str">
        <f>IFERROR(__xludf.DUMMYFUNCTION("""COMPUTED_VALUE"""),"qeep")</f>
        <v>qeep</v>
      </c>
      <c r="F72" s="88" t="str">
        <f>IFERROR(__xludf.DUMMYFUNCTION("""COMPUTED_VALUE"""),"Коллаген пептидный порошок для суставов и связок 5500 мг Qeep 30 порций")</f>
        <v>Коллаген пептидный порошок для суставов и связок 5500 мг Qeep 30 порций</v>
      </c>
      <c r="G72" s="88"/>
      <c r="H72" s="88" t="str">
        <f>IFERROR(__xludf.DUMMYFUNCTION("""COMPUTED_VALUE"""),"БАДы")</f>
        <v>БАДы</v>
      </c>
      <c r="I72" s="88" t="str">
        <f>IFERROR(__xludf.DUMMYFUNCTION("""COMPUTED_VALUE"""),"Коллаген")</f>
        <v>Коллаген</v>
      </c>
      <c r="J72" s="88"/>
      <c r="K72" s="242">
        <f>IFERROR(__xludf.DUMMYFUNCTION("""COMPUTED_VALUE"""),19640.0)</f>
        <v>19640</v>
      </c>
      <c r="L72" s="88"/>
      <c r="M72" s="243">
        <f>IFERROR(__xludf.DUMMYFUNCTION("""COMPUTED_VALUE"""),-0.42888867527371444)</f>
        <v>-0.4288886753</v>
      </c>
      <c r="N72" s="243">
        <f>IFERROR(__xludf.DUMMYFUNCTION("""COMPUTED_VALUE"""),-0.27885160482507326)</f>
        <v>-0.2788516048</v>
      </c>
      <c r="O72" s="88"/>
      <c r="P72" s="88"/>
      <c r="Q72" s="88"/>
      <c r="R72" s="88"/>
      <c r="S72" s="88" t="str">
        <f>IFERROR(__xludf.DUMMYFUNCTION("""COMPUTED_VALUE"""),"Актуально")</f>
        <v>Актуально</v>
      </c>
      <c r="T72" s="88" t="str">
        <f>IFERROR(__xludf.DUMMYFUNCTION("""COMPUTED_VALUE"""),"Семен")</f>
        <v>Семен</v>
      </c>
      <c r="U72" s="240">
        <f>IFERROR(__xludf.DUMMYFUNCTION("""COMPUTED_VALUE"""),342.0)</f>
        <v>342</v>
      </c>
      <c r="V72" s="88"/>
      <c r="W72" s="240">
        <f>IFERROR(__xludf.DUMMYFUNCTION("""COMPUTED_VALUE"""),1710.0000000000005)</f>
        <v>1710</v>
      </c>
      <c r="X72" s="88"/>
      <c r="Y72" s="88"/>
      <c r="Z72" s="88"/>
      <c r="AA72" s="88"/>
      <c r="AC72" s="62" t="s">
        <v>116</v>
      </c>
    </row>
    <row r="73">
      <c r="A73" s="88"/>
      <c r="B73" s="88">
        <f>IFERROR(__xludf.DUMMYFUNCTION("""COMPUTED_VALUE"""),65.0)</f>
        <v>65</v>
      </c>
      <c r="C73" s="88" t="str">
        <f>IFERROR(__xludf.DUMMYFUNCTION("""COMPUTED_VALUE"""),"qeepcollagen_peptides_lemon")</f>
        <v>qeepcollagen_peptides_lemon</v>
      </c>
      <c r="D73" s="88">
        <f>IFERROR(__xludf.DUMMYFUNCTION("""COMPUTED_VALUE"""),7.7232793E8)</f>
        <v>772327930</v>
      </c>
      <c r="E73" s="88" t="str">
        <f>IFERROR(__xludf.DUMMYFUNCTION("""COMPUTED_VALUE"""),"qeep")</f>
        <v>qeep</v>
      </c>
      <c r="F73" s="88" t="str">
        <f>IFERROR(__xludf.DUMMYFUNCTION("""COMPUTED_VALUE"""),"Коллаген пептидный порошок для суставов и связок со вкусом Лимона 5500 мг Qeep 30 порций")</f>
        <v>Коллаген пептидный порошок для суставов и связок со вкусом Лимона 5500 мг Qeep 30 порций</v>
      </c>
      <c r="G73" s="88"/>
      <c r="H73" s="88" t="str">
        <f>IFERROR(__xludf.DUMMYFUNCTION("""COMPUTED_VALUE"""),"БАДы")</f>
        <v>БАДы</v>
      </c>
      <c r="I73" s="88" t="str">
        <f>IFERROR(__xludf.DUMMYFUNCTION("""COMPUTED_VALUE"""),"Коллаген")</f>
        <v>Коллаген</v>
      </c>
      <c r="J73" s="88"/>
      <c r="K73" s="242">
        <f>IFERROR(__xludf.DUMMYFUNCTION("""COMPUTED_VALUE"""),17459.0)</f>
        <v>17459</v>
      </c>
      <c r="L73" s="88"/>
      <c r="M73" s="243">
        <f>IFERROR(__xludf.DUMMYFUNCTION("""COMPUTED_VALUE"""),-0.3512337531146881)</f>
        <v>-0.3512337531</v>
      </c>
      <c r="N73" s="243">
        <f>IFERROR(__xludf.DUMMYFUNCTION("""COMPUTED_VALUE"""),-0.24582396120950928)</f>
        <v>-0.2458239612</v>
      </c>
      <c r="O73" s="88"/>
      <c r="P73" s="88"/>
      <c r="Q73" s="88"/>
      <c r="R73" s="88"/>
      <c r="S73" s="88" t="str">
        <f>IFERROR(__xludf.DUMMYFUNCTION("""COMPUTED_VALUE"""),"Актуально")</f>
        <v>Актуально</v>
      </c>
      <c r="T73" s="88" t="str">
        <f>IFERROR(__xludf.DUMMYFUNCTION("""COMPUTED_VALUE"""),"Семен")</f>
        <v>Семен</v>
      </c>
      <c r="U73" s="240">
        <f>IFERROR(__xludf.DUMMYFUNCTION("""COMPUTED_VALUE"""),356.0)</f>
        <v>356</v>
      </c>
      <c r="V73" s="88"/>
      <c r="W73" s="240">
        <f>IFERROR(__xludf.DUMMYFUNCTION("""COMPUTED_VALUE"""),1780.0000000000005)</f>
        <v>1780</v>
      </c>
      <c r="X73" s="88"/>
      <c r="Y73" s="88"/>
      <c r="Z73" s="88"/>
      <c r="AA73" s="88"/>
      <c r="AC73" s="62" t="s">
        <v>116</v>
      </c>
    </row>
    <row r="74">
      <c r="A74" s="88"/>
      <c r="B74" s="88">
        <f>IFERROR(__xludf.DUMMYFUNCTION("""COMPUTED_VALUE"""),90.0)</f>
        <v>90</v>
      </c>
      <c r="C74" s="88" t="str">
        <f>IFERROR(__xludf.DUMMYFUNCTION("""COMPUTED_VALUE"""),"qeepcollagen_peptides_mango")</f>
        <v>qeepcollagen_peptides_mango</v>
      </c>
      <c r="D74" s="88">
        <f>IFERROR(__xludf.DUMMYFUNCTION("""COMPUTED_VALUE"""),7.71659759E8)</f>
        <v>771659759</v>
      </c>
      <c r="E74" s="88" t="str">
        <f>IFERROR(__xludf.DUMMYFUNCTION("""COMPUTED_VALUE"""),"qeep")</f>
        <v>qeep</v>
      </c>
      <c r="F74" s="88" t="str">
        <f>IFERROR(__xludf.DUMMYFUNCTION("""COMPUTED_VALUE"""),"Коллаген пептидный порошок для суставов и связок со вкусом Манго 5500 мг Qeep 30 порций")</f>
        <v>Коллаген пептидный порошок для суставов и связок со вкусом Манго 5500 мг Qeep 30 порций</v>
      </c>
      <c r="G74" s="88"/>
      <c r="H74" s="88" t="str">
        <f>IFERROR(__xludf.DUMMYFUNCTION("""COMPUTED_VALUE"""),"БАДы")</f>
        <v>БАДы</v>
      </c>
      <c r="I74" s="88" t="str">
        <f>IFERROR(__xludf.DUMMYFUNCTION("""COMPUTED_VALUE"""),"Коллаген")</f>
        <v>Коллаген</v>
      </c>
      <c r="J74" s="88"/>
      <c r="K74" s="242">
        <f>IFERROR(__xludf.DUMMYFUNCTION("""COMPUTED_VALUE"""),7907.0)</f>
        <v>7907</v>
      </c>
      <c r="L74" s="88"/>
      <c r="M74" s="243">
        <f>IFERROR(__xludf.DUMMYFUNCTION("""COMPUTED_VALUE"""),0.02024420632942935)</f>
        <v>0.02024420633</v>
      </c>
      <c r="N74" s="243">
        <f>IFERROR(__xludf.DUMMYFUNCTION("""COMPUTED_VALUE"""),0.06463369050585596)</f>
        <v>0.06463369051</v>
      </c>
      <c r="O74" s="88"/>
      <c r="P74" s="88"/>
      <c r="Q74" s="88"/>
      <c r="R74" s="88"/>
      <c r="S74" s="88" t="str">
        <f>IFERROR(__xludf.DUMMYFUNCTION("""COMPUTED_VALUE"""),"Актуально")</f>
        <v>Актуально</v>
      </c>
      <c r="T74" s="88" t="str">
        <f>IFERROR(__xludf.DUMMYFUNCTION("""COMPUTED_VALUE"""),"Семен")</f>
        <v>Семен</v>
      </c>
      <c r="U74" s="240">
        <f>IFERROR(__xludf.DUMMYFUNCTION("""COMPUTED_VALUE"""),356.0)</f>
        <v>356</v>
      </c>
      <c r="V74" s="88"/>
      <c r="W74" s="240">
        <f>IFERROR(__xludf.DUMMYFUNCTION("""COMPUTED_VALUE"""),1780.0000000000005)</f>
        <v>1780</v>
      </c>
      <c r="X74" s="88"/>
      <c r="Y74" s="88"/>
      <c r="Z74" s="88"/>
      <c r="AA74" s="88"/>
      <c r="AC74" s="62" t="s">
        <v>116</v>
      </c>
    </row>
    <row r="75">
      <c r="A75" s="88"/>
      <c r="B75" s="88">
        <f>IFERROR(__xludf.DUMMYFUNCTION("""COMPUTED_VALUE"""),51.0)</f>
        <v>51</v>
      </c>
      <c r="C75" s="88" t="str">
        <f>IFERROR(__xludf.DUMMYFUNCTION("""COMPUTED_VALUE"""),"harly_cat_premiumveal_2kg")</f>
        <v>harly_cat_premiumveal_2kg</v>
      </c>
      <c r="D75" s="88">
        <f>IFERROR(__xludf.DUMMYFUNCTION("""COMPUTED_VALUE"""),1.59664608E9)</f>
        <v>1596646080</v>
      </c>
      <c r="E75" s="88" t="str">
        <f>IFERROR(__xludf.DUMMYFUNCTION("""COMPUTED_VALUE"""),"Harly")</f>
        <v>Harly</v>
      </c>
      <c r="F75" s="88" t="str">
        <f>IFERROR(__xludf.DUMMYFUNCTION("""COMPUTED_VALUE"""),"Сухой корм для стерилизованных кошек и кастрированных котов Harly Cat Premium с телятиной и витаминами, 2 кг")</f>
        <v>Сухой корм для стерилизованных кошек и кастрированных котов Harly Cat Premium с телятиной и витаминами, 2 кг</v>
      </c>
      <c r="G75" s="88"/>
      <c r="H75" s="88" t="str">
        <f>IFERROR(__xludf.DUMMYFUNCTION("""COMPUTED_VALUE"""),"Корма и Кормовые добавки")</f>
        <v>Корма и Кормовые добавки</v>
      </c>
      <c r="I75" s="88" t="str">
        <f>IFERROR(__xludf.DUMMYFUNCTION("""COMPUTED_VALUE"""),"Корм для кошек")</f>
        <v>Корм для кошек</v>
      </c>
      <c r="J75" s="88"/>
      <c r="K75" s="242">
        <f>IFERROR(__xludf.DUMMYFUNCTION("""COMPUTED_VALUE"""),92567.0)</f>
        <v>92567</v>
      </c>
      <c r="L75" s="88"/>
      <c r="M75" s="243">
        <f>IFERROR(__xludf.DUMMYFUNCTION("""COMPUTED_VALUE"""),0.23168049362947432)</f>
        <v>0.2316804936</v>
      </c>
      <c r="N75" s="243">
        <f>IFERROR(__xludf.DUMMYFUNCTION("""COMPUTED_VALUE"""),0.40253095537180966)</f>
        <v>0.4025309554</v>
      </c>
      <c r="O75" s="88"/>
      <c r="P75" s="88"/>
      <c r="Q75" s="88"/>
      <c r="R75" s="88"/>
      <c r="S75" s="88" t="str">
        <f>IFERROR(__xludf.DUMMYFUNCTION("""COMPUTED_VALUE"""),"Актуально")</f>
        <v>Актуально</v>
      </c>
      <c r="T75" s="88" t="str">
        <f>IFERROR(__xludf.DUMMYFUNCTION("""COMPUTED_VALUE"""),"Семен")</f>
        <v>Семен</v>
      </c>
      <c r="U75" s="240">
        <f>IFERROR(__xludf.DUMMYFUNCTION("""COMPUTED_VALUE"""),405.0)</f>
        <v>405</v>
      </c>
      <c r="V75" s="88"/>
      <c r="W75" s="240">
        <f>IFERROR(__xludf.DUMMYFUNCTION("""COMPUTED_VALUE"""),2025.0000000000005)</f>
        <v>2025</v>
      </c>
      <c r="X75" s="88"/>
      <c r="Y75" s="88"/>
      <c r="Z75" s="88"/>
      <c r="AA75" s="88"/>
      <c r="AC75" s="62" t="s">
        <v>116</v>
      </c>
    </row>
    <row r="76">
      <c r="A76" s="88"/>
      <c r="B76" s="88">
        <f>IFERROR(__xludf.DUMMYFUNCTION("""COMPUTED_VALUE"""),67.0)</f>
        <v>67</v>
      </c>
      <c r="C76" s="88" t="str">
        <f>IFERROR(__xludf.DUMMYFUNCTION("""COMPUTED_VALUE"""),"harly_cat_premiumturkey_2kg")</f>
        <v>harly_cat_premiumturkey_2kg</v>
      </c>
      <c r="D76" s="88">
        <f>IFERROR(__xludf.DUMMYFUNCTION("""COMPUTED_VALUE"""),1.591515871E9)</f>
        <v>1591515871</v>
      </c>
      <c r="E76" s="88" t="str">
        <f>IFERROR(__xludf.DUMMYFUNCTION("""COMPUTED_VALUE"""),"Harly")</f>
        <v>Harly</v>
      </c>
      <c r="F76" s="88" t="str">
        <f>IFERROR(__xludf.DUMMYFUNCTION("""COMPUTED_VALUE"""),"Сухой корм для стерилизованных кошек и кастрированных котов Harly Cat Premium с индейкой и витаминами, 2 кг")</f>
        <v>Сухой корм для стерилизованных кошек и кастрированных котов Harly Cat Premium с индейкой и витаминами, 2 кг</v>
      </c>
      <c r="G76" s="88"/>
      <c r="H76" s="88" t="str">
        <f>IFERROR(__xludf.DUMMYFUNCTION("""COMPUTED_VALUE"""),"Корма и Кормовые добавки")</f>
        <v>Корма и Кормовые добавки</v>
      </c>
      <c r="I76" s="88" t="str">
        <f>IFERROR(__xludf.DUMMYFUNCTION("""COMPUTED_VALUE"""),"Корм для кошек")</f>
        <v>Корм для кошек</v>
      </c>
      <c r="J76" s="88"/>
      <c r="K76" s="242">
        <f>IFERROR(__xludf.DUMMYFUNCTION("""COMPUTED_VALUE"""),39147.0)</f>
        <v>39147</v>
      </c>
      <c r="L76" s="88"/>
      <c r="M76" s="243">
        <f>IFERROR(__xludf.DUMMYFUNCTION("""COMPUTED_VALUE"""),-1.584360728362488)</f>
        <v>-1.584360728</v>
      </c>
      <c r="N76" s="243">
        <f>IFERROR(__xludf.DUMMYFUNCTION("""COMPUTED_VALUE"""),-1.4652324179940721)</f>
        <v>-1.465232418</v>
      </c>
      <c r="O76" s="88"/>
      <c r="P76" s="88"/>
      <c r="Q76" s="88"/>
      <c r="R76" s="88"/>
      <c r="S76" s="88" t="str">
        <f>IFERROR(__xludf.DUMMYFUNCTION("""COMPUTED_VALUE"""),"Актуально")</f>
        <v>Актуально</v>
      </c>
      <c r="T76" s="88" t="str">
        <f>IFERROR(__xludf.DUMMYFUNCTION("""COMPUTED_VALUE"""),"Семен")</f>
        <v>Семен</v>
      </c>
      <c r="U76" s="240">
        <f>IFERROR(__xludf.DUMMYFUNCTION("""COMPUTED_VALUE"""),411.59)</f>
        <v>411.59</v>
      </c>
      <c r="V76" s="88"/>
      <c r="W76" s="240">
        <f>IFERROR(__xludf.DUMMYFUNCTION("""COMPUTED_VALUE"""),2057.9500000000003)</f>
        <v>2057.95</v>
      </c>
      <c r="X76" s="88"/>
      <c r="Y76" s="88"/>
      <c r="Z76" s="88"/>
      <c r="AA76" s="88"/>
      <c r="AC76" s="62" t="s">
        <v>116</v>
      </c>
    </row>
    <row r="77">
      <c r="A77" s="88"/>
      <c r="B77" s="88">
        <f>IFERROR(__xludf.DUMMYFUNCTION("""COMPUTED_VALUE"""),40.0)</f>
        <v>40</v>
      </c>
      <c r="C77" s="88" t="str">
        <f>IFERROR(__xludf.DUMMYFUNCTION("""COMPUTED_VALUE"""),"harly_dog_lamb_2kg")</f>
        <v>harly_dog_lamb_2kg</v>
      </c>
      <c r="D77" s="88">
        <f>IFERROR(__xludf.DUMMYFUNCTION("""COMPUTED_VALUE"""),1.703901908E9)</f>
        <v>1703901908</v>
      </c>
      <c r="E77" s="88" t="str">
        <f>IFERROR(__xludf.DUMMYFUNCTION("""COMPUTED_VALUE"""),"Harly")</f>
        <v>Harly</v>
      </c>
      <c r="F77" s="88" t="str">
        <f>IFERROR(__xludf.DUMMYFUNCTION("""COMPUTED_VALUE"""),"Корм для собак мелких пород сухой, ягненок Harly 2 кг")</f>
        <v>Корм для собак мелких пород сухой, ягненок Harly 2 кг</v>
      </c>
      <c r="G77" s="88"/>
      <c r="H77" s="88" t="str">
        <f>IFERROR(__xludf.DUMMYFUNCTION("""COMPUTED_VALUE"""),"Корма и Кормовые добавки")</f>
        <v>Корма и Кормовые добавки</v>
      </c>
      <c r="I77" s="88" t="str">
        <f>IFERROR(__xludf.DUMMYFUNCTION("""COMPUTED_VALUE"""),"Корм для собак")</f>
        <v>Корм для собак</v>
      </c>
      <c r="J77" s="88"/>
      <c r="K77" s="242">
        <f>IFERROR(__xludf.DUMMYFUNCTION("""COMPUTED_VALUE"""),97805.0)</f>
        <v>97805</v>
      </c>
      <c r="L77" s="88"/>
      <c r="M77" s="243">
        <f>IFERROR(__xludf.DUMMYFUNCTION("""COMPUTED_VALUE"""),-0.47500536832997986)</f>
        <v>-0.4750053683</v>
      </c>
      <c r="N77" s="243">
        <f>IFERROR(__xludf.DUMMYFUNCTION("""COMPUTED_VALUE"""),-0.10684873818185564)</f>
        <v>-0.1068487382</v>
      </c>
      <c r="O77" s="88"/>
      <c r="P77" s="88"/>
      <c r="Q77" s="88"/>
      <c r="R77" s="88"/>
      <c r="S77" s="88" t="str">
        <f>IFERROR(__xludf.DUMMYFUNCTION("""COMPUTED_VALUE"""),"Актуально")</f>
        <v>Актуально</v>
      </c>
      <c r="T77" s="88" t="str">
        <f>IFERROR(__xludf.DUMMYFUNCTION("""COMPUTED_VALUE"""),"Семен")</f>
        <v>Семен</v>
      </c>
      <c r="U77" s="240">
        <f>IFERROR(__xludf.DUMMYFUNCTION("""COMPUTED_VALUE"""),361.06)</f>
        <v>361.06</v>
      </c>
      <c r="V77" s="88"/>
      <c r="W77" s="240">
        <f>IFERROR(__xludf.DUMMYFUNCTION("""COMPUTED_VALUE"""),1805.3000000000004)</f>
        <v>1805.3</v>
      </c>
      <c r="X77" s="88"/>
      <c r="Y77" s="88"/>
      <c r="Z77" s="88"/>
      <c r="AA77" s="88"/>
      <c r="AC77" s="62" t="s">
        <v>116</v>
      </c>
    </row>
    <row r="78">
      <c r="A78" s="88"/>
      <c r="B78" s="88">
        <f>IFERROR(__xludf.DUMMYFUNCTION("""COMPUTED_VALUE"""),44.0)</f>
        <v>44</v>
      </c>
      <c r="C78" s="88" t="str">
        <f>IFERROR(__xludf.DUMMYFUNCTION("""COMPUTED_VALUE"""),"harly_dog_turkey_2kg")</f>
        <v>harly_dog_turkey_2kg</v>
      </c>
      <c r="D78" s="88">
        <f>IFERROR(__xludf.DUMMYFUNCTION("""COMPUTED_VALUE"""),1.710553197E9)</f>
        <v>1710553197</v>
      </c>
      <c r="E78" s="88" t="str">
        <f>IFERROR(__xludf.DUMMYFUNCTION("""COMPUTED_VALUE"""),"Harly")</f>
        <v>Harly</v>
      </c>
      <c r="F78" s="88" t="str">
        <f>IFERROR(__xludf.DUMMYFUNCTION("""COMPUTED_VALUE"""),"Корм для собак мелких пород сухой, индейка Harly 2 кг")</f>
        <v>Корм для собак мелких пород сухой, индейка Harly 2 кг</v>
      </c>
      <c r="G78" s="88"/>
      <c r="H78" s="88" t="str">
        <f>IFERROR(__xludf.DUMMYFUNCTION("""COMPUTED_VALUE"""),"Корма и Кормовые добавки")</f>
        <v>Корма и Кормовые добавки</v>
      </c>
      <c r="I78" s="88" t="str">
        <f>IFERROR(__xludf.DUMMYFUNCTION("""COMPUTED_VALUE"""),"Корм для собак")</f>
        <v>Корм для собак</v>
      </c>
      <c r="J78" s="88"/>
      <c r="K78" s="242">
        <f>IFERROR(__xludf.DUMMYFUNCTION("""COMPUTED_VALUE"""),80701.0)</f>
        <v>80701</v>
      </c>
      <c r="L78" s="88"/>
      <c r="M78" s="243">
        <f>IFERROR(__xludf.DUMMYFUNCTION("""COMPUTED_VALUE"""),0.3130239407581943)</f>
        <v>0.3130239408</v>
      </c>
      <c r="N78" s="243">
        <f>IFERROR(__xludf.DUMMYFUNCTION("""COMPUTED_VALUE"""),0.4119082481311624)</f>
        <v>0.4119082481</v>
      </c>
      <c r="O78" s="88"/>
      <c r="P78" s="88"/>
      <c r="Q78" s="88"/>
      <c r="R78" s="88"/>
      <c r="S78" s="88" t="str">
        <f>IFERROR(__xludf.DUMMYFUNCTION("""COMPUTED_VALUE"""),"Актуально")</f>
        <v>Актуально</v>
      </c>
      <c r="T78" s="88" t="str">
        <f>IFERROR(__xludf.DUMMYFUNCTION("""COMPUTED_VALUE"""),"Семен")</f>
        <v>Семен</v>
      </c>
      <c r="U78" s="240">
        <f>IFERROR(__xludf.DUMMYFUNCTION("""COMPUTED_VALUE"""),337.86)</f>
        <v>337.86</v>
      </c>
      <c r="V78" s="88"/>
      <c r="W78" s="240">
        <f>IFERROR(__xludf.DUMMYFUNCTION("""COMPUTED_VALUE"""),1689.3000000000004)</f>
        <v>1689.3</v>
      </c>
      <c r="X78" s="88"/>
      <c r="Y78" s="88"/>
      <c r="Z78" s="88"/>
      <c r="AA78" s="88"/>
      <c r="AC78" s="62" t="s">
        <v>116</v>
      </c>
    </row>
    <row r="79">
      <c r="A79" s="88"/>
      <c r="B79" s="88">
        <f>IFERROR(__xludf.DUMMYFUNCTION("""COMPUTED_VALUE"""),7.0)</f>
        <v>7</v>
      </c>
      <c r="C79" s="88" t="str">
        <f>IFERROR(__xludf.DUMMYFUNCTION("""COMPUTED_VALUE"""),"qeep_bloodypeeling_30ml")</f>
        <v>qeep_bloodypeeling_30ml</v>
      </c>
      <c r="D79" s="88">
        <f>IFERROR(__xludf.DUMMYFUNCTION("""COMPUTED_VALUE"""),1.856657517E9)</f>
        <v>1856657517</v>
      </c>
      <c r="E79" s="88" t="str">
        <f>IFERROR(__xludf.DUMMYFUNCTION("""COMPUTED_VALUE"""),"qeep")</f>
        <v>qeep</v>
      </c>
      <c r="F79" s="88" t="str">
        <f>IFERROR(__xludf.DUMMYFUNCTION("""COMPUTED_VALUE"""),"Кровавый кислотный пилинг для лица от прыщей AHA BHA, qeep 30 мл")</f>
        <v>Кровавый кислотный пилинг для лица от прыщей AHA BHA, qeep 30 мл</v>
      </c>
      <c r="G79" s="88"/>
      <c r="H79" s="88" t="str">
        <f>IFERROR(__xludf.DUMMYFUNCTION("""COMPUTED_VALUE"""),"Косметика")</f>
        <v>Косметика</v>
      </c>
      <c r="I79" s="88" t="str">
        <f>IFERROR(__xludf.DUMMYFUNCTION("""COMPUTED_VALUE"""),"Лицо")</f>
        <v>Лицо</v>
      </c>
      <c r="J79" s="88"/>
      <c r="K79" s="242">
        <f>IFERROR(__xludf.DUMMYFUNCTION("""COMPUTED_VALUE"""),1141856.0)</f>
        <v>1141856</v>
      </c>
      <c r="L79" s="88"/>
      <c r="M79" s="243">
        <f>IFERROR(__xludf.DUMMYFUNCTION("""COMPUTED_VALUE"""),0.21783253739455352)</f>
        <v>0.2178325374</v>
      </c>
      <c r="N79" s="243">
        <f>IFERROR(__xludf.DUMMYFUNCTION("""COMPUTED_VALUE"""),0.4975326478448986)</f>
        <v>0.4975326478</v>
      </c>
      <c r="O79" s="88"/>
      <c r="P79" s="88"/>
      <c r="Q79" s="88"/>
      <c r="R79" s="88"/>
      <c r="S79" s="88" t="str">
        <f>IFERROR(__xludf.DUMMYFUNCTION("""COMPUTED_VALUE"""),"Актуально")</f>
        <v>Актуально</v>
      </c>
      <c r="T79" s="88" t="str">
        <f>IFERROR(__xludf.DUMMYFUNCTION("""COMPUTED_VALUE"""),"Кристина")</f>
        <v>Кристина</v>
      </c>
      <c r="U79" s="240">
        <f>IFERROR(__xludf.DUMMYFUNCTION("""COMPUTED_VALUE"""),105.2)</f>
        <v>105.2</v>
      </c>
      <c r="V79" s="88"/>
      <c r="W79" s="240">
        <f>IFERROR(__xludf.DUMMYFUNCTION("""COMPUTED_VALUE"""),526.0000000000001)</f>
        <v>526</v>
      </c>
      <c r="X79" s="88"/>
      <c r="Y79" s="88"/>
      <c r="Z79" s="88"/>
      <c r="AA79" s="88"/>
      <c r="AC79" s="62" t="s">
        <v>116</v>
      </c>
    </row>
    <row r="80">
      <c r="A80" s="88"/>
      <c r="B80" s="88">
        <f>IFERROR(__xludf.DUMMYFUNCTION("""COMPUTED_VALUE"""),17.0)</f>
        <v>17</v>
      </c>
      <c r="C80" s="88" t="str">
        <f>IFERROR(__xludf.DUMMYFUNCTION("""COMPUTED_VALUE"""),"qeep_tonic_200ml")</f>
        <v>qeep_tonic_200ml</v>
      </c>
      <c r="D80" s="88">
        <f>IFERROR(__xludf.DUMMYFUNCTION("""COMPUTED_VALUE"""),2.142858345E9)</f>
        <v>2142858345</v>
      </c>
      <c r="E80" s="88" t="str">
        <f>IFERROR(__xludf.DUMMYFUNCTION("""COMPUTED_VALUE"""),"qeep")</f>
        <v>qeep</v>
      </c>
      <c r="F80" s="88" t="str">
        <f>IFERROR(__xludf.DUMMYFUNCTION("""COMPUTED_VALUE"""),"Тоник для лица от прыщей и черных точек очищающий, qeep 200 мл")</f>
        <v>Тоник для лица от прыщей и черных точек очищающий, qeep 200 мл</v>
      </c>
      <c r="G80" s="88"/>
      <c r="H80" s="88" t="str">
        <f>IFERROR(__xludf.DUMMYFUNCTION("""COMPUTED_VALUE"""),"Косметика")</f>
        <v>Косметика</v>
      </c>
      <c r="I80" s="88" t="str">
        <f>IFERROR(__xludf.DUMMYFUNCTION("""COMPUTED_VALUE"""),"Лицо")</f>
        <v>Лицо</v>
      </c>
      <c r="J80" s="88"/>
      <c r="K80" s="242">
        <f>IFERROR(__xludf.DUMMYFUNCTION("""COMPUTED_VALUE"""),505811.0)</f>
        <v>505811</v>
      </c>
      <c r="L80" s="88"/>
      <c r="M80" s="243">
        <f>IFERROR(__xludf.DUMMYFUNCTION("""COMPUTED_VALUE"""),0.24468166586611115)</f>
        <v>0.2446816659</v>
      </c>
      <c r="N80" s="243">
        <f>IFERROR(__xludf.DUMMYFUNCTION("""COMPUTED_VALUE"""),0.4713156044157467)</f>
        <v>0.4713156044</v>
      </c>
      <c r="O80" s="88"/>
      <c r="P80" s="88"/>
      <c r="Q80" s="88"/>
      <c r="R80" s="88"/>
      <c r="S80" s="88" t="str">
        <f>IFERROR(__xludf.DUMMYFUNCTION("""COMPUTED_VALUE"""),"Актуально")</f>
        <v>Актуально</v>
      </c>
      <c r="T80" s="88" t="str">
        <f>IFERROR(__xludf.DUMMYFUNCTION("""COMPUTED_VALUE"""),"Кристина")</f>
        <v>Кристина</v>
      </c>
      <c r="U80" s="240">
        <f>IFERROR(__xludf.DUMMYFUNCTION("""COMPUTED_VALUE"""),104.0)</f>
        <v>104</v>
      </c>
      <c r="V80" s="88"/>
      <c r="W80" s="240">
        <f>IFERROR(__xludf.DUMMYFUNCTION("""COMPUTED_VALUE"""),520.0000000000001)</f>
        <v>520</v>
      </c>
      <c r="X80" s="88"/>
      <c r="Y80" s="88"/>
      <c r="Z80" s="88"/>
      <c r="AA80" s="88"/>
      <c r="AC80" s="62" t="s">
        <v>116</v>
      </c>
    </row>
    <row r="81">
      <c r="A81" s="88"/>
      <c r="B81" s="88">
        <f>IFERROR(__xludf.DUMMYFUNCTION("""COMPUTED_VALUE"""),18.0)</f>
        <v>18</v>
      </c>
      <c r="C81" s="88" t="str">
        <f>IFERROR(__xludf.DUMMYFUNCTION("""COMPUTED_VALUE"""),"qeep_acnegel_20ml")</f>
        <v>qeep_acnegel_20ml</v>
      </c>
      <c r="D81" s="88">
        <f>IFERROR(__xludf.DUMMYFUNCTION("""COMPUTED_VALUE"""),2.039052035E9)</f>
        <v>2039052035</v>
      </c>
      <c r="E81" s="88" t="str">
        <f>IFERROR(__xludf.DUMMYFUNCTION("""COMPUTED_VALUE"""),"qeep")</f>
        <v>qeep</v>
      </c>
      <c r="F81" s="88" t="str">
        <f>IFERROR(__xludf.DUMMYFUNCTION("""COMPUTED_VALUE"""),"Точечный крем от прыщей. Корректор точечный против прыщей, крем от акне. Салициловая кислота, азелаиновая кислота qeep 20 мл")</f>
        <v>Точечный крем от прыщей. Корректор точечный против прыщей, крем от акне. Салициловая кислота, азелаиновая кислота qeep 20 мл</v>
      </c>
      <c r="G81" s="88"/>
      <c r="H81" s="88" t="str">
        <f>IFERROR(__xludf.DUMMYFUNCTION("""COMPUTED_VALUE"""),"Косметика")</f>
        <v>Косметика</v>
      </c>
      <c r="I81" s="88" t="str">
        <f>IFERROR(__xludf.DUMMYFUNCTION("""COMPUTED_VALUE"""),"Лицо")</f>
        <v>Лицо</v>
      </c>
      <c r="J81" s="88"/>
      <c r="K81" s="242">
        <f>IFERROR(__xludf.DUMMYFUNCTION("""COMPUTED_VALUE"""),916015.0)</f>
        <v>916015</v>
      </c>
      <c r="L81" s="88"/>
      <c r="M81" s="243">
        <f>IFERROR(__xludf.DUMMYFUNCTION("""COMPUTED_VALUE"""),0.20851207486838436)</f>
        <v>0.2085120749</v>
      </c>
      <c r="N81" s="243">
        <f>IFERROR(__xludf.DUMMYFUNCTION("""COMPUTED_VALUE"""),0.47444514092131)</f>
        <v>0.4744451409</v>
      </c>
      <c r="O81" s="88"/>
      <c r="P81" s="88"/>
      <c r="Q81" s="88"/>
      <c r="R81" s="88"/>
      <c r="S81" s="88" t="str">
        <f>IFERROR(__xludf.DUMMYFUNCTION("""COMPUTED_VALUE"""),"Актуально")</f>
        <v>Актуально</v>
      </c>
      <c r="T81" s="88" t="str">
        <f>IFERROR(__xludf.DUMMYFUNCTION("""COMPUTED_VALUE"""),"Кристина")</f>
        <v>Кристина</v>
      </c>
      <c r="U81" s="240">
        <f>IFERROR(__xludf.DUMMYFUNCTION("""COMPUTED_VALUE"""),81.2)</f>
        <v>81.2</v>
      </c>
      <c r="V81" s="88"/>
      <c r="W81" s="240">
        <f>IFERROR(__xludf.DUMMYFUNCTION("""COMPUTED_VALUE"""),406.0000000000001)</f>
        <v>406</v>
      </c>
      <c r="X81" s="88"/>
      <c r="Y81" s="88"/>
      <c r="Z81" s="88"/>
      <c r="AA81" s="88"/>
      <c r="AC81" s="62" t="s">
        <v>116</v>
      </c>
    </row>
    <row r="82">
      <c r="A82" s="88"/>
      <c r="B82" s="88">
        <f>IFERROR(__xludf.DUMMYFUNCTION("""COMPUTED_VALUE"""),20.0)</f>
        <v>20</v>
      </c>
      <c r="C82" s="88" t="str">
        <f>IFERROR(__xludf.DUMMYFUNCTION("""COMPUTED_VALUE"""),"qeep_penka_150ml")</f>
        <v>qeep_penka_150ml</v>
      </c>
      <c r="D82" s="88">
        <f>IFERROR(__xludf.DUMMYFUNCTION("""COMPUTED_VALUE"""),2.583231387E9)</f>
        <v>2583231387</v>
      </c>
      <c r="E82" s="88" t="str">
        <f>IFERROR(__xludf.DUMMYFUNCTION("""COMPUTED_VALUE"""),"qeep")</f>
        <v>qeep</v>
      </c>
      <c r="F82" s="88" t="str">
        <f>IFERROR(__xludf.DUMMYFUNCTION("""COMPUTED_VALUE"""),"Пенка для укладки волос у корней Ciao bella, qeep 150 мл")</f>
        <v>Пенка для укладки волос у корней Ciao bella, qeep 150 мл</v>
      </c>
      <c r="G82" s="88"/>
      <c r="H82" s="88" t="str">
        <f>IFERROR(__xludf.DUMMYFUNCTION("""COMPUTED_VALUE"""),"Косметика")</f>
        <v>Косметика</v>
      </c>
      <c r="I82" s="88" t="str">
        <f>IFERROR(__xludf.DUMMYFUNCTION("""COMPUTED_VALUE"""),"Лицо")</f>
        <v>Лицо</v>
      </c>
      <c r="J82" s="88"/>
      <c r="K82" s="242">
        <f>IFERROR(__xludf.DUMMYFUNCTION("""COMPUTED_VALUE"""),487541.0)</f>
        <v>487541</v>
      </c>
      <c r="L82" s="88"/>
      <c r="M82" s="243">
        <f>IFERROR(__xludf.DUMMYFUNCTION("""COMPUTED_VALUE"""),0.1506686765586136)</f>
        <v>0.1506686766</v>
      </c>
      <c r="N82" s="243">
        <f>IFERROR(__xludf.DUMMYFUNCTION("""COMPUTED_VALUE"""),0.49477678545757625)</f>
        <v>0.4947767855</v>
      </c>
      <c r="O82" s="88"/>
      <c r="P82" s="88"/>
      <c r="Q82" s="88"/>
      <c r="R82" s="88"/>
      <c r="S82" s="88" t="str">
        <f>IFERROR(__xludf.DUMMYFUNCTION("""COMPUTED_VALUE"""),"Актуально")</f>
        <v>Актуально</v>
      </c>
      <c r="T82" s="88" t="str">
        <f>IFERROR(__xludf.DUMMYFUNCTION("""COMPUTED_VALUE"""),"Кристина")</f>
        <v>Кристина</v>
      </c>
      <c r="U82" s="240">
        <f>IFERROR(__xludf.DUMMYFUNCTION("""COMPUTED_VALUE"""),137.2)</f>
        <v>137.2</v>
      </c>
      <c r="V82" s="88"/>
      <c r="W82" s="240">
        <f>IFERROR(__xludf.DUMMYFUNCTION("""COMPUTED_VALUE"""),686.0000000000001)</f>
        <v>686</v>
      </c>
      <c r="X82" s="88"/>
      <c r="Y82" s="88"/>
      <c r="Z82" s="88"/>
      <c r="AA82" s="88"/>
      <c r="AC82" s="62" t="s">
        <v>116</v>
      </c>
    </row>
    <row r="83">
      <c r="A83" s="88"/>
      <c r="B83" s="88">
        <f>IFERROR(__xludf.DUMMYFUNCTION("""COMPUTED_VALUE"""),23.0)</f>
        <v>23</v>
      </c>
      <c r="C83" s="88" t="str">
        <f>IFERROR(__xludf.DUMMYFUNCTION("""COMPUTED_VALUE"""),"qeep_acnegel_20ml_v2")</f>
        <v>qeep_acnegel_20ml_v2</v>
      </c>
      <c r="D83" s="88">
        <f>IFERROR(__xludf.DUMMYFUNCTION("""COMPUTED_VALUE"""),2.589302298E9)</f>
        <v>2589302298</v>
      </c>
      <c r="E83" s="88" t="str">
        <f>IFERROR(__xludf.DUMMYFUNCTION("""COMPUTED_VALUE"""),"qeep")</f>
        <v>qeep</v>
      </c>
      <c r="F83" s="88" t="str">
        <f>IFERROR(__xludf.DUMMYFUNCTION("""COMPUTED_VALUE"""),"Точечный крем от прыщей. Корректор точечный против прыщей, крем от акне. Салициловая кислота, азелаиновая кислота qeep 20 мл")</f>
        <v>Точечный крем от прыщей. Корректор точечный против прыщей, крем от акне. Салициловая кислота, азелаиновая кислота qeep 20 мл</v>
      </c>
      <c r="G83" s="88"/>
      <c r="H83" s="88" t="str">
        <f>IFERROR(__xludf.DUMMYFUNCTION("""COMPUTED_VALUE"""),"Косметика")</f>
        <v>Косметика</v>
      </c>
      <c r="I83" s="88" t="str">
        <f>IFERROR(__xludf.DUMMYFUNCTION("""COMPUTED_VALUE"""),"Лицо")</f>
        <v>Лицо</v>
      </c>
      <c r="J83" s="88"/>
      <c r="K83" s="242">
        <f>IFERROR(__xludf.DUMMYFUNCTION("""COMPUTED_VALUE"""),258975.0)</f>
        <v>258975</v>
      </c>
      <c r="L83" s="88"/>
      <c r="M83" s="243">
        <f>IFERROR(__xludf.DUMMYFUNCTION("""COMPUTED_VALUE"""),0.25904812334110927)</f>
        <v>0.2590481233</v>
      </c>
      <c r="N83" s="243">
        <f>IFERROR(__xludf.DUMMYFUNCTION("""COMPUTED_VALUE"""),0.5372751984115014)</f>
        <v>0.5372751984</v>
      </c>
      <c r="O83" s="88"/>
      <c r="P83" s="88"/>
      <c r="Q83" s="88"/>
      <c r="R83" s="88"/>
      <c r="S83" s="88" t="str">
        <f>IFERROR(__xludf.DUMMYFUNCTION("""COMPUTED_VALUE"""),"Актуально")</f>
        <v>Актуально</v>
      </c>
      <c r="T83" s="88" t="str">
        <f>IFERROR(__xludf.DUMMYFUNCTION("""COMPUTED_VALUE"""),"Кристина")</f>
        <v>Кристина</v>
      </c>
      <c r="U83" s="240">
        <f>IFERROR(__xludf.DUMMYFUNCTION("""COMPUTED_VALUE"""),83.4)</f>
        <v>83.4</v>
      </c>
      <c r="V83" s="88"/>
      <c r="W83" s="240">
        <f>IFERROR(__xludf.DUMMYFUNCTION("""COMPUTED_VALUE"""),417.0000000000001)</f>
        <v>417</v>
      </c>
      <c r="X83" s="88"/>
      <c r="Y83" s="88"/>
      <c r="Z83" s="88"/>
      <c r="AA83" s="88"/>
      <c r="AC83" s="62" t="s">
        <v>116</v>
      </c>
    </row>
    <row r="84">
      <c r="A84" s="88"/>
      <c r="B84" s="88">
        <f>IFERROR(__xludf.DUMMYFUNCTION("""COMPUTED_VALUE"""),1.0)</f>
        <v>1</v>
      </c>
      <c r="C84" s="88" t="str">
        <f>IFERROR(__xludf.DUMMYFUNCTION("""COMPUTED_VALUE"""),"harly_salmon_oil")</f>
        <v>harly_salmon_oil</v>
      </c>
      <c r="D84" s="88">
        <f>IFERROR(__xludf.DUMMYFUNCTION("""COMPUTED_VALUE"""),2.019073769E9)</f>
        <v>2019073769</v>
      </c>
      <c r="E84" s="88" t="str">
        <f>IFERROR(__xludf.DUMMYFUNCTION("""COMPUTED_VALUE"""),"Harly")</f>
        <v>Harly</v>
      </c>
      <c r="F84" s="88" t="str">
        <f>IFERROR(__xludf.DUMMYFUNCTION("""COMPUTED_VALUE"""),"Лососевое масло для собак и кошек Harly 150 мл")</f>
        <v>Лососевое масло для собак и кошек Harly 150 мл</v>
      </c>
      <c r="G84" s="88"/>
      <c r="H84" s="88" t="str">
        <f>IFERROR(__xludf.DUMMYFUNCTION("""COMPUTED_VALUE"""),"Корма и Кормовые добавки")</f>
        <v>Корма и Кормовые добавки</v>
      </c>
      <c r="I84" s="88" t="str">
        <f>IFERROR(__xludf.DUMMYFUNCTION("""COMPUTED_VALUE"""),"Лососевое масло")</f>
        <v>Лососевое масло</v>
      </c>
      <c r="J84" s="88"/>
      <c r="K84" s="242">
        <f>IFERROR(__xludf.DUMMYFUNCTION("""COMPUTED_VALUE"""),2545348.0)</f>
        <v>2545348</v>
      </c>
      <c r="L84" s="88"/>
      <c r="M84" s="243">
        <f>IFERROR(__xludf.DUMMYFUNCTION("""COMPUTED_VALUE"""),0.4119335238547356)</f>
        <v>0.4119335239</v>
      </c>
      <c r="N84" s="243">
        <f>IFERROR(__xludf.DUMMYFUNCTION("""COMPUTED_VALUE"""),0.5520064180870977)</f>
        <v>0.5520064181</v>
      </c>
      <c r="O84" s="88"/>
      <c r="P84" s="88" t="str">
        <f>IFERROR(__xludf.DUMMYFUNCTION("""COMPUTED_VALUE"""),"A")</f>
        <v>A</v>
      </c>
      <c r="Q84" s="88" t="str">
        <f>IFERROR(__xludf.DUMMYFUNCTION("""COMPUTED_VALUE"""),"A")</f>
        <v>A</v>
      </c>
      <c r="R84" s="88"/>
      <c r="S84" s="88" t="str">
        <f>IFERROR(__xludf.DUMMYFUNCTION("""COMPUTED_VALUE"""),"Актуально")</f>
        <v>Актуально</v>
      </c>
      <c r="T84" s="88" t="str">
        <f>IFERROR(__xludf.DUMMYFUNCTION("""COMPUTED_VALUE"""),"Семен")</f>
        <v>Семен</v>
      </c>
      <c r="U84" s="240">
        <f>IFERROR(__xludf.DUMMYFUNCTION("""COMPUTED_VALUE"""),210.0)</f>
        <v>210</v>
      </c>
      <c r="V84" s="88"/>
      <c r="W84" s="240">
        <f>IFERROR(__xludf.DUMMYFUNCTION("""COMPUTED_VALUE"""),1050.0000000000002)</f>
        <v>1050</v>
      </c>
      <c r="X84" s="88"/>
      <c r="Y84" s="88"/>
      <c r="Z84" s="88"/>
      <c r="AA84" s="88"/>
      <c r="AC84" s="62" t="s">
        <v>116</v>
      </c>
    </row>
    <row r="85">
      <c r="A85" s="88"/>
      <c r="B85" s="88">
        <f>IFERROR(__xludf.DUMMYFUNCTION("""COMPUTED_VALUE"""),8.0)</f>
        <v>8</v>
      </c>
      <c r="C85" s="88" t="str">
        <f>IFERROR(__xludf.DUMMYFUNCTION("""COMPUTED_VALUE"""),"harly_likvidator_v2")</f>
        <v>harly_likvidator_v2</v>
      </c>
      <c r="D85" s="88">
        <f>IFERROR(__xludf.DUMMYFUNCTION("""COMPUTED_VALUE"""),2.344269342E9)</f>
        <v>2344269342</v>
      </c>
      <c r="E85" s="88" t="str">
        <f>IFERROR(__xludf.DUMMYFUNCTION("""COMPUTED_VALUE"""),"Harly")</f>
        <v>Harly</v>
      </c>
      <c r="F85" s="88" t="str">
        <f>IFERROR(__xludf.DUMMYFUNCTION("""COMPUTED_VALUE"""),"Нейтрализатор запахов животных, от кошачьей мочи, 500 мл")</f>
        <v>Нейтрализатор запахов животных, от кошачьей мочи, 500 мл</v>
      </c>
      <c r="G85" s="88"/>
      <c r="H85" s="88" t="str">
        <f>IFERROR(__xludf.DUMMYFUNCTION("""COMPUTED_VALUE"""),"Гигиена и уход")</f>
        <v>Гигиена и уход</v>
      </c>
      <c r="I85" s="88" t="str">
        <f>IFERROR(__xludf.DUMMYFUNCTION("""COMPUTED_VALUE"""),"Нейтрализатор запахов")</f>
        <v>Нейтрализатор запахов</v>
      </c>
      <c r="J85" s="88"/>
      <c r="K85" s="242">
        <f>IFERROR(__xludf.DUMMYFUNCTION("""COMPUTED_VALUE"""),1024663.0)</f>
        <v>1024663</v>
      </c>
      <c r="L85" s="88"/>
      <c r="M85" s="243">
        <f>IFERROR(__xludf.DUMMYFUNCTION("""COMPUTED_VALUE"""),0.2545522083970648)</f>
        <v>0.2545522084</v>
      </c>
      <c r="N85" s="243">
        <f>IFERROR(__xludf.DUMMYFUNCTION("""COMPUTED_VALUE"""),0.45056128136178497)</f>
        <v>0.4505612814</v>
      </c>
      <c r="O85" s="88"/>
      <c r="P85" s="88" t="str">
        <f>IFERROR(__xludf.DUMMYFUNCTION("""COMPUTED_VALUE"""),"A")</f>
        <v>A</v>
      </c>
      <c r="Q85" s="88" t="str">
        <f>IFERROR(__xludf.DUMMYFUNCTION("""COMPUTED_VALUE"""),"A")</f>
        <v>A</v>
      </c>
      <c r="R85" s="88"/>
      <c r="S85" s="88" t="str">
        <f>IFERROR(__xludf.DUMMYFUNCTION("""COMPUTED_VALUE"""),"Актуально")</f>
        <v>Актуально</v>
      </c>
      <c r="T85" s="88" t="str">
        <f>IFERROR(__xludf.DUMMYFUNCTION("""COMPUTED_VALUE"""),"Семен")</f>
        <v>Семен</v>
      </c>
      <c r="U85" s="240">
        <f>IFERROR(__xludf.DUMMYFUNCTION("""COMPUTED_VALUE"""),129.49)</f>
        <v>129.49</v>
      </c>
      <c r="V85" s="88"/>
      <c r="W85" s="240">
        <f>IFERROR(__xludf.DUMMYFUNCTION("""COMPUTED_VALUE"""),647.4500000000002)</f>
        <v>647.45</v>
      </c>
      <c r="X85" s="88"/>
      <c r="Y85" s="88"/>
      <c r="Z85" s="88"/>
      <c r="AA85" s="88"/>
      <c r="AC85" s="62" t="s">
        <v>116</v>
      </c>
    </row>
    <row r="86">
      <c r="A86" s="88"/>
      <c r="B86" s="88">
        <f>IFERROR(__xludf.DUMMYFUNCTION("""COMPUTED_VALUE"""),91.0)</f>
        <v>91</v>
      </c>
      <c r="C86" s="88" t="str">
        <f>IFERROR(__xludf.DUMMYFUNCTION("""COMPUTED_VALUE"""),"harly_likvidator_500ml")</f>
        <v>harly_likvidator_500ml</v>
      </c>
      <c r="D86" s="88">
        <f>IFERROR(__xludf.DUMMYFUNCTION("""COMPUTED_VALUE"""),1.613731894E9)</f>
        <v>1613731894</v>
      </c>
      <c r="E86" s="88" t="str">
        <f>IFERROR(__xludf.DUMMYFUNCTION("""COMPUTED_VALUE"""),"Harly")</f>
        <v>Harly</v>
      </c>
      <c r="F86" s="88" t="str">
        <f>IFERROR(__xludf.DUMMYFUNCTION("""COMPUTED_VALUE"""),"Нейтрализатор запахов животных, от кошачьей мочи, 500 мл")</f>
        <v>Нейтрализатор запахов животных, от кошачьей мочи, 500 мл</v>
      </c>
      <c r="G86" s="88"/>
      <c r="H86" s="88" t="str">
        <f>IFERROR(__xludf.DUMMYFUNCTION("""COMPUTED_VALUE"""),"Гигиена и уход")</f>
        <v>Гигиена и уход</v>
      </c>
      <c r="I86" s="88" t="str">
        <f>IFERROR(__xludf.DUMMYFUNCTION("""COMPUTED_VALUE"""),"Нейтрализатор запахов")</f>
        <v>Нейтрализатор запахов</v>
      </c>
      <c r="J86" s="88"/>
      <c r="K86" s="242">
        <f>IFERROR(__xludf.DUMMYFUNCTION("""COMPUTED_VALUE"""),7605.0)</f>
        <v>7605</v>
      </c>
      <c r="L86" s="88"/>
      <c r="M86" s="243">
        <f>IFERROR(__xludf.DUMMYFUNCTION("""COMPUTED_VALUE"""),0.326513222331048)</f>
        <v>0.3265132223</v>
      </c>
      <c r="N86" s="243">
        <f>IFERROR(__xludf.DUMMYFUNCTION("""COMPUTED_VALUE"""),0.33021547502448584)</f>
        <v>0.330215475</v>
      </c>
      <c r="O86" s="88"/>
      <c r="P86" s="88" t="str">
        <f>IFERROR(__xludf.DUMMYFUNCTION("""COMPUTED_VALUE"""),"C")</f>
        <v>C</v>
      </c>
      <c r="Q86" s="88" t="str">
        <f>IFERROR(__xludf.DUMMYFUNCTION("""COMPUTED_VALUE"""),"B")</f>
        <v>B</v>
      </c>
      <c r="R86" s="88"/>
      <c r="S86" s="88" t="str">
        <f>IFERROR(__xludf.DUMMYFUNCTION("""COMPUTED_VALUE"""),"На вывод")</f>
        <v>На вывод</v>
      </c>
      <c r="T86" s="88" t="str">
        <f>IFERROR(__xludf.DUMMYFUNCTION("""COMPUTED_VALUE"""),"Семен")</f>
        <v>Семен</v>
      </c>
      <c r="U86" s="240">
        <f>IFERROR(__xludf.DUMMYFUNCTION("""COMPUTED_VALUE"""),162.38)</f>
        <v>162.38</v>
      </c>
      <c r="V86" s="88"/>
      <c r="W86" s="240">
        <f>IFERROR(__xludf.DUMMYFUNCTION("""COMPUTED_VALUE"""),811.9000000000002)</f>
        <v>811.9</v>
      </c>
      <c r="X86" s="88"/>
      <c r="Y86" s="88"/>
      <c r="Z86" s="88"/>
      <c r="AA86" s="88"/>
      <c r="AC86" s="62" t="s">
        <v>116</v>
      </c>
    </row>
    <row r="87">
      <c r="A87" s="88"/>
      <c r="B87" s="88">
        <f>IFERROR(__xludf.DUMMYFUNCTION("""COMPUTED_VALUE"""),32.0)</f>
        <v>32</v>
      </c>
      <c r="C87" s="88" t="str">
        <f>IFERROR(__xludf.DUMMYFUNCTION("""COMPUTED_VALUE"""),"qeep_magnB6_120caps")</f>
        <v>qeep_magnB6_120caps</v>
      </c>
      <c r="D87" s="88">
        <f>IFERROR(__xludf.DUMMYFUNCTION("""COMPUTED_VALUE"""),1.713149756E9)</f>
        <v>1713149756</v>
      </c>
      <c r="E87" s="88" t="str">
        <f>IFERROR(__xludf.DUMMYFUNCTION("""COMPUTED_VALUE"""),"qeep")</f>
        <v>qeep</v>
      </c>
      <c r="F87" s="88" t="str">
        <f>IFERROR(__xludf.DUMMYFUNCTION("""COMPUTED_VALUE"""),"Магний цитрат 635 мг с витамином В6 qeep, 120 капсул")</f>
        <v>Магний цитрат 635 мг с витамином В6 qeep, 120 капсул</v>
      </c>
      <c r="G87" s="88"/>
      <c r="H87" s="88" t="str">
        <f>IFERROR(__xludf.DUMMYFUNCTION("""COMPUTED_VALUE"""),"БАДы")</f>
        <v>БАДы</v>
      </c>
      <c r="I87" s="88" t="str">
        <f>IFERROR(__xludf.DUMMYFUNCTION("""COMPUTED_VALUE"""),"Нервная система")</f>
        <v>Нервная система</v>
      </c>
      <c r="J87" s="88"/>
      <c r="K87" s="242">
        <f>IFERROR(__xludf.DUMMYFUNCTION("""COMPUTED_VALUE"""),216800.0)</f>
        <v>216800</v>
      </c>
      <c r="L87" s="88"/>
      <c r="M87" s="243">
        <f>IFERROR(__xludf.DUMMYFUNCTION("""COMPUTED_VALUE"""),0.08187485611640742)</f>
        <v>0.08187485612</v>
      </c>
      <c r="N87" s="243">
        <f>IFERROR(__xludf.DUMMYFUNCTION("""COMPUTED_VALUE"""),0.4635663393715763)</f>
        <v>0.4635663394</v>
      </c>
      <c r="O87" s="88"/>
      <c r="P87" s="88" t="str">
        <f>IFERROR(__xludf.DUMMYFUNCTION("""COMPUTED_VALUE"""),"B")</f>
        <v>B</v>
      </c>
      <c r="Q87" s="88" t="str">
        <f>IFERROR(__xludf.DUMMYFUNCTION("""COMPUTED_VALUE"""),"A")</f>
        <v>A</v>
      </c>
      <c r="R87" s="88"/>
      <c r="S87" s="88" t="str">
        <f>IFERROR(__xludf.DUMMYFUNCTION("""COMPUTED_VALUE"""),"Актуально")</f>
        <v>Актуально</v>
      </c>
      <c r="T87" s="88" t="str">
        <f>IFERROR(__xludf.DUMMYFUNCTION("""COMPUTED_VALUE"""),"Семен")</f>
        <v>Семен</v>
      </c>
      <c r="U87" s="240">
        <f>IFERROR(__xludf.DUMMYFUNCTION("""COMPUTED_VALUE"""),285.0)</f>
        <v>285</v>
      </c>
      <c r="V87" s="88"/>
      <c r="W87" s="240">
        <f>IFERROR(__xludf.DUMMYFUNCTION("""COMPUTED_VALUE"""),1425.0000000000002)</f>
        <v>1425</v>
      </c>
      <c r="X87" s="88"/>
      <c r="Y87" s="88"/>
      <c r="Z87" s="88"/>
      <c r="AA87" s="88"/>
      <c r="AC87" s="62" t="s">
        <v>116</v>
      </c>
    </row>
    <row r="88">
      <c r="A88" s="88"/>
      <c r="B88" s="88">
        <f>IFERROR(__xludf.DUMMYFUNCTION("""COMPUTED_VALUE"""),61.0)</f>
        <v>61</v>
      </c>
      <c r="C88" s="88" t="str">
        <f>IFERROR(__xludf.DUMMYFUNCTION("""COMPUTED_VALUE"""),"qeep_ginkgo_biloba_90caps")</f>
        <v>qeep_ginkgo_biloba_90caps</v>
      </c>
      <c r="D88" s="88">
        <f>IFERROR(__xludf.DUMMYFUNCTION("""COMPUTED_VALUE"""),1.101364594E9)</f>
        <v>1101364594</v>
      </c>
      <c r="E88" s="88" t="str">
        <f>IFERROR(__xludf.DUMMYFUNCTION("""COMPUTED_VALUE"""),"qeep")</f>
        <v>qeep</v>
      </c>
      <c r="F88" s="88" t="str">
        <f>IFERROR(__xludf.DUMMYFUNCTION("""COMPUTED_VALUE"""),"Гинко билоба 360 мг Qeep 90 капсул")</f>
        <v>Гинко билоба 360 мг Qeep 90 капсул</v>
      </c>
      <c r="G88" s="88"/>
      <c r="H88" s="88" t="str">
        <f>IFERROR(__xludf.DUMMYFUNCTION("""COMPUTED_VALUE"""),"БАДы")</f>
        <v>БАДы</v>
      </c>
      <c r="I88" s="88" t="str">
        <f>IFERROR(__xludf.DUMMYFUNCTION("""COMPUTED_VALUE"""),"Нервная система")</f>
        <v>Нервная система</v>
      </c>
      <c r="J88" s="88"/>
      <c r="K88" s="242">
        <f>IFERROR(__xludf.DUMMYFUNCTION("""COMPUTED_VALUE"""),30422.0)</f>
        <v>30422</v>
      </c>
      <c r="L88" s="88"/>
      <c r="M88" s="243">
        <f>IFERROR(__xludf.DUMMYFUNCTION("""COMPUTED_VALUE"""),-0.06684749712955167)</f>
        <v>-0.06684749713</v>
      </c>
      <c r="N88" s="243">
        <f>IFERROR(__xludf.DUMMYFUNCTION("""COMPUTED_VALUE"""),0.07133617726008916)</f>
        <v>0.07133617726</v>
      </c>
      <c r="O88" s="88"/>
      <c r="P88" s="88" t="str">
        <f>IFERROR(__xludf.DUMMYFUNCTION("""COMPUTED_VALUE"""),"C")</f>
        <v>C</v>
      </c>
      <c r="Q88" s="88" t="str">
        <f>IFERROR(__xludf.DUMMYFUNCTION("""COMPUTED_VALUE"""),"C")</f>
        <v>C</v>
      </c>
      <c r="R88" s="88"/>
      <c r="S88" s="88" t="str">
        <f>IFERROR(__xludf.DUMMYFUNCTION("""COMPUTED_VALUE"""),"Актуально")</f>
        <v>Актуально</v>
      </c>
      <c r="T88" s="88" t="str">
        <f>IFERROR(__xludf.DUMMYFUNCTION("""COMPUTED_VALUE"""),"Семен")</f>
        <v>Семен</v>
      </c>
      <c r="U88" s="240">
        <f>IFERROR(__xludf.DUMMYFUNCTION("""COMPUTED_VALUE"""),305.0)</f>
        <v>305</v>
      </c>
      <c r="V88" s="88"/>
      <c r="W88" s="240">
        <f>IFERROR(__xludf.DUMMYFUNCTION("""COMPUTED_VALUE"""),1525.0000000000002)</f>
        <v>1525</v>
      </c>
      <c r="X88" s="88"/>
      <c r="Y88" s="88"/>
      <c r="Z88" s="88"/>
      <c r="AA88" s="88"/>
      <c r="AC88" s="62" t="s">
        <v>116</v>
      </c>
    </row>
    <row r="89">
      <c r="A89" s="88"/>
      <c r="B89" s="88">
        <f>IFERROR(__xludf.DUMMYFUNCTION("""COMPUTED_VALUE"""),80.0)</f>
        <v>80</v>
      </c>
      <c r="C89" s="88" t="str">
        <f>IFERROR(__xludf.DUMMYFUNCTION("""COMPUTED_VALUE"""),"qeep_Memory_Focus_60caps")</f>
        <v>qeep_Memory_Focus_60caps</v>
      </c>
      <c r="D89" s="88">
        <f>IFERROR(__xludf.DUMMYFUNCTION("""COMPUTED_VALUE"""),9.67623667E8)</f>
        <v>967623667</v>
      </c>
      <c r="E89" s="88" t="str">
        <f>IFERROR(__xludf.DUMMYFUNCTION("""COMPUTED_VALUE"""),"qeep")</f>
        <v>qeep</v>
      </c>
      <c r="F89" s="88" t="str">
        <f>IFERROR(__xludf.DUMMYFUNCTION("""COMPUTED_VALUE"""),"Витамины для памяти и мозга Qeep 60 капсул")</f>
        <v>Витамины для памяти и мозга Qeep 60 капсул</v>
      </c>
      <c r="G89" s="88"/>
      <c r="H89" s="88" t="str">
        <f>IFERROR(__xludf.DUMMYFUNCTION("""COMPUTED_VALUE"""),"БАДы")</f>
        <v>БАДы</v>
      </c>
      <c r="I89" s="88" t="str">
        <f>IFERROR(__xludf.DUMMYFUNCTION("""COMPUTED_VALUE"""),"Нервная система")</f>
        <v>Нервная система</v>
      </c>
      <c r="J89" s="88"/>
      <c r="K89" s="242">
        <f>IFERROR(__xludf.DUMMYFUNCTION("""COMPUTED_VALUE"""),23176.0)</f>
        <v>23176</v>
      </c>
      <c r="L89" s="88"/>
      <c r="M89" s="243">
        <f>IFERROR(__xludf.DUMMYFUNCTION("""COMPUTED_VALUE"""),0.43494569766360447)</f>
        <v>0.4349456977</v>
      </c>
      <c r="N89" s="243">
        <f>IFERROR(__xludf.DUMMYFUNCTION("""COMPUTED_VALUE"""),0.43743068831182247)</f>
        <v>0.4374306883</v>
      </c>
      <c r="O89" s="88"/>
      <c r="P89" s="88" t="str">
        <f>IFERROR(__xludf.DUMMYFUNCTION("""COMPUTED_VALUE"""),"C")</f>
        <v>C</v>
      </c>
      <c r="Q89" s="88" t="str">
        <f>IFERROR(__xludf.DUMMYFUNCTION("""COMPUTED_VALUE"""),"A")</f>
        <v>A</v>
      </c>
      <c r="R89" s="88"/>
      <c r="S89" s="88" t="str">
        <f>IFERROR(__xludf.DUMMYFUNCTION("""COMPUTED_VALUE"""),"Актуально")</f>
        <v>Актуально</v>
      </c>
      <c r="T89" s="88" t="str">
        <f>IFERROR(__xludf.DUMMYFUNCTION("""COMPUTED_VALUE"""),"Семен")</f>
        <v>Семен</v>
      </c>
      <c r="U89" s="240">
        <f>IFERROR(__xludf.DUMMYFUNCTION("""COMPUTED_VALUE"""),240.12)</f>
        <v>240.12</v>
      </c>
      <c r="V89" s="88"/>
      <c r="W89" s="240">
        <f>IFERROR(__xludf.DUMMYFUNCTION("""COMPUTED_VALUE"""),1200.6000000000004)</f>
        <v>1200.6</v>
      </c>
      <c r="X89" s="88"/>
      <c r="Y89" s="88"/>
      <c r="Z89" s="88"/>
      <c r="AA89" s="88"/>
      <c r="AC89" s="62" t="s">
        <v>116</v>
      </c>
    </row>
    <row r="90">
      <c r="A90" s="88"/>
      <c r="B90" s="88">
        <f>IFERROR(__xludf.DUMMYFUNCTION("""COMPUTED_VALUE"""),3.0)</f>
        <v>3</v>
      </c>
      <c r="C90" s="88" t="str">
        <f>IFERROR(__xludf.DUMMYFUNCTION("""COMPUTED_VALUE"""),"harly_dog_pads_30pcs")</f>
        <v>harly_dog_pads_30pcs</v>
      </c>
      <c r="D90" s="88">
        <f>IFERROR(__xludf.DUMMYFUNCTION("""COMPUTED_VALUE"""),1.581834792E9)</f>
        <v>1581834792</v>
      </c>
      <c r="E90" s="88" t="str">
        <f>IFERROR(__xludf.DUMMYFUNCTION("""COMPUTED_VALUE"""),"Harly")</f>
        <v>Harly</v>
      </c>
      <c r="F90" s="88" t="str">
        <f>IFERROR(__xludf.DUMMYFUNCTION("""COMPUTED_VALUE"""),"Пеленки для собак 60 на 40, пеленки одноразовые 30 штук")</f>
        <v>Пеленки для собак 60 на 40, пеленки одноразовые 30 штук</v>
      </c>
      <c r="G90" s="88"/>
      <c r="H90" s="88" t="str">
        <f>IFERROR(__xludf.DUMMYFUNCTION("""COMPUTED_VALUE"""),"Гигиена и уход")</f>
        <v>Гигиена и уход</v>
      </c>
      <c r="I90" s="88" t="str">
        <f>IFERROR(__xludf.DUMMYFUNCTION("""COMPUTED_VALUE"""),"Пеленки")</f>
        <v>Пеленки</v>
      </c>
      <c r="J90" s="88"/>
      <c r="K90" s="242">
        <f>IFERROR(__xludf.DUMMYFUNCTION("""COMPUTED_VALUE"""),1779244.0)</f>
        <v>1779244</v>
      </c>
      <c r="L90" s="88"/>
      <c r="M90" s="243">
        <f>IFERROR(__xludf.DUMMYFUNCTION("""COMPUTED_VALUE"""),-0.1931532762251954)</f>
        <v>-0.1931532762</v>
      </c>
      <c r="N90" s="243">
        <f>IFERROR(__xludf.DUMMYFUNCTION("""COMPUTED_VALUE"""),0.11252024259998067)</f>
        <v>0.1125202426</v>
      </c>
      <c r="O90" s="88"/>
      <c r="P90" s="88" t="str">
        <f>IFERROR(__xludf.DUMMYFUNCTION("""COMPUTED_VALUE"""),"A")</f>
        <v>A</v>
      </c>
      <c r="Q90" s="88" t="str">
        <f>IFERROR(__xludf.DUMMYFUNCTION("""COMPUTED_VALUE"""),"C")</f>
        <v>C</v>
      </c>
      <c r="R90" s="88"/>
      <c r="S90" s="88" t="str">
        <f>IFERROR(__xludf.DUMMYFUNCTION("""COMPUTED_VALUE"""),"Актуально")</f>
        <v>Актуально</v>
      </c>
      <c r="T90" s="88" t="str">
        <f>IFERROR(__xludf.DUMMYFUNCTION("""COMPUTED_VALUE"""),"Семен")</f>
        <v>Семен</v>
      </c>
      <c r="U90" s="240">
        <f>IFERROR(__xludf.DUMMYFUNCTION("""COMPUTED_VALUE"""),190.0)</f>
        <v>190</v>
      </c>
      <c r="V90" s="88"/>
      <c r="W90" s="240">
        <f>IFERROR(__xludf.DUMMYFUNCTION("""COMPUTED_VALUE"""),950.0000000000002)</f>
        <v>950</v>
      </c>
      <c r="X90" s="88"/>
      <c r="Y90" s="88"/>
      <c r="Z90" s="88"/>
      <c r="AA90" s="88"/>
      <c r="AC90" s="62" t="s">
        <v>116</v>
      </c>
    </row>
    <row r="91">
      <c r="A91" s="88"/>
      <c r="B91" s="88">
        <f>IFERROR(__xludf.DUMMYFUNCTION("""COMPUTED_VALUE"""),19.0)</f>
        <v>19</v>
      </c>
      <c r="C91" s="88" t="str">
        <f>IFERROR(__xludf.DUMMYFUNCTION("""COMPUTED_VALUE"""),"qeep_nabor_remuver_40ml")</f>
        <v>qeep_nabor_remuver_40ml</v>
      </c>
      <c r="D91" s="88">
        <f>IFERROR(__xludf.DUMMYFUNCTION("""COMPUTED_VALUE"""),1.666962684E9)</f>
        <v>1666962684</v>
      </c>
      <c r="E91" s="88" t="str">
        <f>IFERROR(__xludf.DUMMYFUNCTION("""COMPUTED_VALUE"""),"qeep")</f>
        <v>qeep</v>
      </c>
      <c r="F91" s="88" t="str">
        <f>IFERROR(__xludf.DUMMYFUNCTION("""COMPUTED_VALUE"""),"Ремувер гель qeep для удаления кутикулы 40 мл")</f>
        <v>Ремувер гель qeep для удаления кутикулы 40 мл</v>
      </c>
      <c r="G91" s="88"/>
      <c r="H91" s="88" t="str">
        <f>IFERROR(__xludf.DUMMYFUNCTION("""COMPUTED_VALUE"""),"Косметика")</f>
        <v>Косметика</v>
      </c>
      <c r="I91" s="88" t="str">
        <f>IFERROR(__xludf.DUMMYFUNCTION("""COMPUTED_VALUE"""),"Руки и ногти")</f>
        <v>Руки и ногти</v>
      </c>
      <c r="J91" s="88"/>
      <c r="K91" s="242">
        <f>IFERROR(__xludf.DUMMYFUNCTION("""COMPUTED_VALUE"""),359522.0)</f>
        <v>359522</v>
      </c>
      <c r="L91" s="88"/>
      <c r="M91" s="243">
        <f>IFERROR(__xludf.DUMMYFUNCTION("""COMPUTED_VALUE"""),-0.004004112298560673)</f>
        <v>-0.004004112299</v>
      </c>
      <c r="N91" s="243">
        <f>IFERROR(__xludf.DUMMYFUNCTION("""COMPUTED_VALUE"""),0.4043525026082386)</f>
        <v>0.4043525026</v>
      </c>
      <c r="O91" s="88"/>
      <c r="P91" s="88" t="str">
        <f>IFERROR(__xludf.DUMMYFUNCTION("""COMPUTED_VALUE"""),"B")</f>
        <v>B</v>
      </c>
      <c r="Q91" s="88" t="str">
        <f>IFERROR(__xludf.DUMMYFUNCTION("""COMPUTED_VALUE"""),"A")</f>
        <v>A</v>
      </c>
      <c r="R91" s="88"/>
      <c r="S91" s="88" t="str">
        <f>IFERROR(__xludf.DUMMYFUNCTION("""COMPUTED_VALUE"""),"Актуально")</f>
        <v>Актуально</v>
      </c>
      <c r="T91" s="88" t="str">
        <f>IFERROR(__xludf.DUMMYFUNCTION("""COMPUTED_VALUE"""),"Кристина")</f>
        <v>Кристина</v>
      </c>
      <c r="U91" s="240">
        <f>IFERROR(__xludf.DUMMYFUNCTION("""COMPUTED_VALUE"""),49.5)</f>
        <v>49.5</v>
      </c>
      <c r="V91" s="88"/>
      <c r="W91" s="240">
        <f>IFERROR(__xludf.DUMMYFUNCTION("""COMPUTED_VALUE"""),247.50000000000006)</f>
        <v>247.5</v>
      </c>
      <c r="X91" s="88"/>
      <c r="Y91" s="88"/>
      <c r="Z91" s="88"/>
      <c r="AA91" s="88"/>
      <c r="AC91" s="62" t="s">
        <v>116</v>
      </c>
    </row>
    <row r="92">
      <c r="A92" s="88"/>
      <c r="B92" s="88">
        <f>IFERROR(__xludf.DUMMYFUNCTION("""COMPUTED_VALUE"""),27.0)</f>
        <v>27</v>
      </c>
      <c r="C92" s="88" t="str">
        <f>IFERROR(__xludf.DUMMYFUNCTION("""COMPUTED_VALUE"""),"qeep_nabor_remuver_40ml_1_1")</f>
        <v>qeep_nabor_remuver_40ml_1_1</v>
      </c>
      <c r="D92" s="88">
        <f>IFERROR(__xludf.DUMMYFUNCTION("""COMPUTED_VALUE"""),2.071319159E9)</f>
        <v>2071319159</v>
      </c>
      <c r="E92" s="88" t="str">
        <f>IFERROR(__xludf.DUMMYFUNCTION("""COMPUTED_VALUE"""),"qeep")</f>
        <v>qeep</v>
      </c>
      <c r="F92" s="88" t="str">
        <f>IFERROR(__xludf.DUMMYFUNCTION("""COMPUTED_VALUE"""),"Ремувер гель qeep для удаления кутикулы 40 мл х 2")</f>
        <v>Ремувер гель qeep для удаления кутикулы 40 мл х 2</v>
      </c>
      <c r="G92" s="88"/>
      <c r="H92" s="88" t="str">
        <f>IFERROR(__xludf.DUMMYFUNCTION("""COMPUTED_VALUE"""),"Косметика")</f>
        <v>Косметика</v>
      </c>
      <c r="I92" s="88" t="str">
        <f>IFERROR(__xludf.DUMMYFUNCTION("""COMPUTED_VALUE"""),"Руки и ногти")</f>
        <v>Руки и ногти</v>
      </c>
      <c r="J92" s="88"/>
      <c r="K92" s="242">
        <f>IFERROR(__xludf.DUMMYFUNCTION("""COMPUTED_VALUE"""),116393.0)</f>
        <v>116393</v>
      </c>
      <c r="L92" s="88"/>
      <c r="M92" s="243">
        <f>IFERROR(__xludf.DUMMYFUNCTION("""COMPUTED_VALUE"""),-0.4581410947176464)</f>
        <v>-0.4581410947</v>
      </c>
      <c r="N92" s="243">
        <f>IFERROR(__xludf.DUMMYFUNCTION("""COMPUTED_VALUE"""),0.0535286372240521)</f>
        <v>0.05352863722</v>
      </c>
      <c r="O92" s="88"/>
      <c r="P92" s="88" t="str">
        <f>IFERROR(__xludf.DUMMYFUNCTION("""COMPUTED_VALUE"""),"C")</f>
        <v>C</v>
      </c>
      <c r="Q92" s="88" t="str">
        <f>IFERROR(__xludf.DUMMYFUNCTION("""COMPUTED_VALUE"""),"C")</f>
        <v>C</v>
      </c>
      <c r="R92" s="88"/>
      <c r="S92" s="88" t="str">
        <f>IFERROR(__xludf.DUMMYFUNCTION("""COMPUTED_VALUE"""),"На вывод")</f>
        <v>На вывод</v>
      </c>
      <c r="T92" s="88" t="str">
        <f>IFERROR(__xludf.DUMMYFUNCTION("""COMPUTED_VALUE"""),"Кристина")</f>
        <v>Кристина</v>
      </c>
      <c r="U92" s="240">
        <f>IFERROR(__xludf.DUMMYFUNCTION("""COMPUTED_VALUE"""),99.0)</f>
        <v>99</v>
      </c>
      <c r="V92" s="88"/>
      <c r="W92" s="240">
        <f>IFERROR(__xludf.DUMMYFUNCTION("""COMPUTED_VALUE"""),495.0000000000001)</f>
        <v>495</v>
      </c>
      <c r="X92" s="88"/>
      <c r="Y92" s="88"/>
      <c r="Z92" s="88"/>
      <c r="AA92" s="88"/>
      <c r="AC92" s="62" t="s">
        <v>116</v>
      </c>
    </row>
    <row r="93">
      <c r="A93" s="88"/>
      <c r="B93" s="88">
        <f>IFERROR(__xludf.DUMMYFUNCTION("""COMPUTED_VALUE"""),5.0)</f>
        <v>5</v>
      </c>
      <c r="C93" s="88" t="str">
        <f>IFERROR(__xludf.DUMMYFUNCTION("""COMPUTED_VALUE"""),"qeep_Perfectman_60caps")</f>
        <v>qeep_Perfectman_60caps</v>
      </c>
      <c r="D93" s="88">
        <f>IFERROR(__xludf.DUMMYFUNCTION("""COMPUTED_VALUE"""),9.46980875E8)</f>
        <v>946980875</v>
      </c>
      <c r="E93" s="88" t="str">
        <f>IFERROR(__xludf.DUMMYFUNCTION("""COMPUTED_VALUE"""),"qeep")</f>
        <v>qeep</v>
      </c>
      <c r="F93" s="88" t="str">
        <f>IFERROR(__xludf.DUMMYFUNCTION("""COMPUTED_VALUE"""),"Тестостерон для мужчин Qeep 60 капсул, экдистерон бад для потенции и мышц спортивный, цинк, тестобустер, витамины для мужчин, бустер")</f>
        <v>Тестостерон для мужчин Qeep 60 капсул, экдистерон бад для потенции и мышц спортивный, цинк, тестобустер, витамины для мужчин, бустер</v>
      </c>
      <c r="G93" s="88"/>
      <c r="H93" s="88" t="str">
        <f>IFERROR(__xludf.DUMMYFUNCTION("""COMPUTED_VALUE"""),"БАДы")</f>
        <v>БАДы</v>
      </c>
      <c r="I93" s="88" t="str">
        <f>IFERROR(__xludf.DUMMYFUNCTION("""COMPUTED_VALUE"""),"Спорт")</f>
        <v>Спорт</v>
      </c>
      <c r="J93" s="88"/>
      <c r="K93" s="242">
        <f>IFERROR(__xludf.DUMMYFUNCTION("""COMPUTED_VALUE"""),1684909.0)</f>
        <v>1684909</v>
      </c>
      <c r="L93" s="88"/>
      <c r="M93" s="243">
        <f>IFERROR(__xludf.DUMMYFUNCTION("""COMPUTED_VALUE"""),0.09469887069671104)</f>
        <v>0.0946988707</v>
      </c>
      <c r="N93" s="243">
        <f>IFERROR(__xludf.DUMMYFUNCTION("""COMPUTED_VALUE"""),0.46484195633619696)</f>
        <v>0.4648419563</v>
      </c>
      <c r="O93" s="88"/>
      <c r="P93" s="88" t="str">
        <f>IFERROR(__xludf.DUMMYFUNCTION("""COMPUTED_VALUE"""),"A")</f>
        <v>A</v>
      </c>
      <c r="Q93" s="88" t="str">
        <f>IFERROR(__xludf.DUMMYFUNCTION("""COMPUTED_VALUE"""),"A")</f>
        <v>A</v>
      </c>
      <c r="R93" s="88"/>
      <c r="S93" s="88" t="str">
        <f>IFERROR(__xludf.DUMMYFUNCTION("""COMPUTED_VALUE"""),"Актуально")</f>
        <v>Актуально</v>
      </c>
      <c r="T93" s="88" t="str">
        <f>IFERROR(__xludf.DUMMYFUNCTION("""COMPUTED_VALUE"""),"Семен")</f>
        <v>Семен</v>
      </c>
      <c r="U93" s="240">
        <f>IFERROR(__xludf.DUMMYFUNCTION("""COMPUTED_VALUE"""),252.5)</f>
        <v>252.5</v>
      </c>
      <c r="V93" s="88"/>
      <c r="W93" s="240">
        <f>IFERROR(__xludf.DUMMYFUNCTION("""COMPUTED_VALUE"""),1262.5000000000002)</f>
        <v>1262.5</v>
      </c>
      <c r="X93" s="88"/>
      <c r="Y93" s="88"/>
      <c r="Z93" s="88"/>
      <c r="AA93" s="88"/>
      <c r="AC93" s="62" t="s">
        <v>116</v>
      </c>
    </row>
    <row r="94">
      <c r="A94" s="88"/>
      <c r="B94" s="88">
        <f>IFERROR(__xludf.DUMMYFUNCTION("""COMPUTED_VALUE"""),6.0)</f>
        <v>6</v>
      </c>
      <c r="C94" s="88" t="str">
        <f>IFERROR(__xludf.DUMMYFUNCTION("""COMPUTED_VALUE"""),"qeep_ecdysterone_60caps")</f>
        <v>qeep_ecdysterone_60caps</v>
      </c>
      <c r="D94" s="88">
        <f>IFERROR(__xludf.DUMMYFUNCTION("""COMPUTED_VALUE"""),1.731455142E9)</f>
        <v>1731455142</v>
      </c>
      <c r="E94" s="88" t="str">
        <f>IFERROR(__xludf.DUMMYFUNCTION("""COMPUTED_VALUE"""),"qeep")</f>
        <v>qeep</v>
      </c>
      <c r="F94" s="88" t="str">
        <f>IFERROR(__xludf.DUMMYFUNCTION("""COMPUTED_VALUE"""),"Тестостерон для мужчин, экдистерон для потенции и мышц спортивный, цинк, тестобустер, витамины для мужчин, бустер qeep 60 капсул")</f>
        <v>Тестостерон для мужчин, экдистерон для потенции и мышц спортивный, цинк, тестобустер, витамины для мужчин, бустер qeep 60 капсул</v>
      </c>
      <c r="G94" s="88"/>
      <c r="H94" s="88" t="str">
        <f>IFERROR(__xludf.DUMMYFUNCTION("""COMPUTED_VALUE"""),"БАДы")</f>
        <v>БАДы</v>
      </c>
      <c r="I94" s="88" t="str">
        <f>IFERROR(__xludf.DUMMYFUNCTION("""COMPUTED_VALUE"""),"Спорт")</f>
        <v>Спорт</v>
      </c>
      <c r="J94" s="88"/>
      <c r="K94" s="242">
        <f>IFERROR(__xludf.DUMMYFUNCTION("""COMPUTED_VALUE"""),1235681.0)</f>
        <v>1235681</v>
      </c>
      <c r="L94" s="88"/>
      <c r="M94" s="243">
        <f>IFERROR(__xludf.DUMMYFUNCTION("""COMPUTED_VALUE"""),0.09065485096852)</f>
        <v>0.09065485097</v>
      </c>
      <c r="N94" s="243">
        <f>IFERROR(__xludf.DUMMYFUNCTION("""COMPUTED_VALUE"""),0.48393694260491693)</f>
        <v>0.4839369426</v>
      </c>
      <c r="O94" s="88"/>
      <c r="P94" s="88" t="str">
        <f>IFERROR(__xludf.DUMMYFUNCTION("""COMPUTED_VALUE"""),"A")</f>
        <v>A</v>
      </c>
      <c r="Q94" s="88" t="str">
        <f>IFERROR(__xludf.DUMMYFUNCTION("""COMPUTED_VALUE"""),"A")</f>
        <v>A</v>
      </c>
      <c r="R94" s="88"/>
      <c r="S94" s="88" t="str">
        <f>IFERROR(__xludf.DUMMYFUNCTION("""COMPUTED_VALUE"""),"Актуально")</f>
        <v>Актуально</v>
      </c>
      <c r="T94" s="88" t="str">
        <f>IFERROR(__xludf.DUMMYFUNCTION("""COMPUTED_VALUE"""),"Семен")</f>
        <v>Семен</v>
      </c>
      <c r="U94" s="240">
        <f>IFERROR(__xludf.DUMMYFUNCTION("""COMPUTED_VALUE"""),170.0)</f>
        <v>170</v>
      </c>
      <c r="V94" s="88"/>
      <c r="W94" s="240">
        <f>IFERROR(__xludf.DUMMYFUNCTION("""COMPUTED_VALUE"""),850.0000000000002)</f>
        <v>850</v>
      </c>
      <c r="X94" s="88"/>
      <c r="Y94" s="88"/>
      <c r="Z94" s="88"/>
      <c r="AA94" s="88"/>
      <c r="AC94" s="62" t="s">
        <v>116</v>
      </c>
    </row>
    <row r="95">
      <c r="A95" s="88"/>
      <c r="B95" s="88">
        <f>IFERROR(__xludf.DUMMYFUNCTION("""COMPUTED_VALUE"""),15.0)</f>
        <v>15</v>
      </c>
      <c r="C95" s="88" t="str">
        <f>IFERROR(__xludf.DUMMYFUNCTION("""COMPUTED_VALUE"""),"qeep_ZMA_120caps")</f>
        <v>qeep_ZMA_120caps</v>
      </c>
      <c r="D95" s="88">
        <f>IFERROR(__xludf.DUMMYFUNCTION("""COMPUTED_VALUE"""),1.032691496E9)</f>
        <v>1032691496</v>
      </c>
      <c r="E95" s="88" t="str">
        <f>IFERROR(__xludf.DUMMYFUNCTION("""COMPUTED_VALUE"""),"qeep")</f>
        <v>qeep</v>
      </c>
      <c r="F95" s="88" t="str">
        <f>IFERROR(__xludf.DUMMYFUNCTION("""COMPUTED_VALUE"""),"ZMA тестостерон для мужчин Цинк + Магний + Аспарагиновая Кислота + В6 Qeep Экдистерон 120 капсул")</f>
        <v>ZMA тестостерон для мужчин Цинк + Магний + Аспарагиновая Кислота + В6 Qeep Экдистерон 120 капсул</v>
      </c>
      <c r="G95" s="88"/>
      <c r="H95" s="88" t="str">
        <f>IFERROR(__xludf.DUMMYFUNCTION("""COMPUTED_VALUE"""),"БАДы")</f>
        <v>БАДы</v>
      </c>
      <c r="I95" s="88" t="str">
        <f>IFERROR(__xludf.DUMMYFUNCTION("""COMPUTED_VALUE"""),"Спорт")</f>
        <v>Спорт</v>
      </c>
      <c r="J95" s="88"/>
      <c r="K95" s="242">
        <f>IFERROR(__xludf.DUMMYFUNCTION("""COMPUTED_VALUE"""),426688.0)</f>
        <v>426688</v>
      </c>
      <c r="L95" s="88"/>
      <c r="M95" s="243">
        <f>IFERROR(__xludf.DUMMYFUNCTION("""COMPUTED_VALUE"""),0.20479898407859667)</f>
        <v>0.2047989841</v>
      </c>
      <c r="N95" s="243">
        <f>IFERROR(__xludf.DUMMYFUNCTION("""COMPUTED_VALUE"""),0.38455760620728185)</f>
        <v>0.3845576062</v>
      </c>
      <c r="O95" s="88"/>
      <c r="P95" s="88" t="str">
        <f>IFERROR(__xludf.DUMMYFUNCTION("""COMPUTED_VALUE"""),"B")</f>
        <v>B</v>
      </c>
      <c r="Q95" s="88" t="str">
        <f>IFERROR(__xludf.DUMMYFUNCTION("""COMPUTED_VALUE"""),"B")</f>
        <v>B</v>
      </c>
      <c r="R95" s="88"/>
      <c r="S95" s="88" t="str">
        <f>IFERROR(__xludf.DUMMYFUNCTION("""COMPUTED_VALUE"""),"Актуально")</f>
        <v>Актуально</v>
      </c>
      <c r="T95" s="88" t="str">
        <f>IFERROR(__xludf.DUMMYFUNCTION("""COMPUTED_VALUE"""),"Семен")</f>
        <v>Семен</v>
      </c>
      <c r="U95" s="240">
        <f>IFERROR(__xludf.DUMMYFUNCTION("""COMPUTED_VALUE"""),295.98)</f>
        <v>295.98</v>
      </c>
      <c r="V95" s="88"/>
      <c r="W95" s="240">
        <f>IFERROR(__xludf.DUMMYFUNCTION("""COMPUTED_VALUE"""),1479.9000000000003)</f>
        <v>1479.9</v>
      </c>
      <c r="X95" s="88"/>
      <c r="Y95" s="88"/>
      <c r="Z95" s="88"/>
      <c r="AA95" s="88"/>
      <c r="AC95" s="62" t="s">
        <v>116</v>
      </c>
    </row>
    <row r="96">
      <c r="A96" s="88"/>
      <c r="B96" s="88">
        <f>IFERROR(__xludf.DUMMYFUNCTION("""COMPUTED_VALUE"""),49.0)</f>
        <v>49</v>
      </c>
      <c r="C96" s="88" t="str">
        <f>IFERROR(__xludf.DUMMYFUNCTION("""COMPUTED_VALUE"""),"qeep_arginine_90caps")</f>
        <v>qeep_arginine_90caps</v>
      </c>
      <c r="D96" s="88">
        <f>IFERROR(__xludf.DUMMYFUNCTION("""COMPUTED_VALUE"""),9.51604183E8)</f>
        <v>951604183</v>
      </c>
      <c r="E96" s="88" t="str">
        <f>IFERROR(__xludf.DUMMYFUNCTION("""COMPUTED_VALUE"""),"qeep")</f>
        <v>qeep</v>
      </c>
      <c r="F96" s="88" t="str">
        <f>IFERROR(__xludf.DUMMYFUNCTION("""COMPUTED_VALUE"""),"Аргинин 1000 мг, l аргинин, Qeep 90 капсул")</f>
        <v>Аргинин 1000 мг, l аргинин, Qeep 90 капсул</v>
      </c>
      <c r="G96" s="88"/>
      <c r="H96" s="88" t="str">
        <f>IFERROR(__xludf.DUMMYFUNCTION("""COMPUTED_VALUE"""),"БАДы")</f>
        <v>БАДы</v>
      </c>
      <c r="I96" s="88" t="str">
        <f>IFERROR(__xludf.DUMMYFUNCTION("""COMPUTED_VALUE"""),"Спорт")</f>
        <v>Спорт</v>
      </c>
      <c r="J96" s="88"/>
      <c r="K96" s="242">
        <f>IFERROR(__xludf.DUMMYFUNCTION("""COMPUTED_VALUE"""),902088.0)</f>
        <v>902088</v>
      </c>
      <c r="L96" s="88"/>
      <c r="M96" s="243">
        <f>IFERROR(__xludf.DUMMYFUNCTION("""COMPUTED_VALUE"""),0.1952598065120816)</f>
        <v>0.1952598065</v>
      </c>
      <c r="N96" s="243">
        <f>IFERROR(__xludf.DUMMYFUNCTION("""COMPUTED_VALUE"""),0.4719584110157222)</f>
        <v>0.471958411</v>
      </c>
      <c r="O96" s="88"/>
      <c r="P96" s="88" t="str">
        <f>IFERROR(__xludf.DUMMYFUNCTION("""COMPUTED_VALUE"""),"B")</f>
        <v>B</v>
      </c>
      <c r="Q96" s="88" t="str">
        <f>IFERROR(__xludf.DUMMYFUNCTION("""COMPUTED_VALUE"""),"A")</f>
        <v>A</v>
      </c>
      <c r="R96" s="88"/>
      <c r="S96" s="88" t="str">
        <f>IFERROR(__xludf.DUMMYFUNCTION("""COMPUTED_VALUE"""),"Актуально")</f>
        <v>Актуально</v>
      </c>
      <c r="T96" s="88" t="str">
        <f>IFERROR(__xludf.DUMMYFUNCTION("""COMPUTED_VALUE"""),"Семен")</f>
        <v>Семен</v>
      </c>
      <c r="U96" s="240">
        <f>IFERROR(__xludf.DUMMYFUNCTION("""COMPUTED_VALUE"""),209.0)</f>
        <v>209</v>
      </c>
      <c r="V96" s="88"/>
      <c r="W96" s="240">
        <f>IFERROR(__xludf.DUMMYFUNCTION("""COMPUTED_VALUE"""),1045.0000000000002)</f>
        <v>1045</v>
      </c>
      <c r="X96" s="88"/>
      <c r="Y96" s="88"/>
      <c r="Z96" s="88"/>
      <c r="AA96" s="88"/>
      <c r="AC96" s="62" t="s">
        <v>116</v>
      </c>
    </row>
    <row r="97">
      <c r="A97" s="88"/>
      <c r="B97" s="88">
        <f>IFERROR(__xludf.DUMMYFUNCTION("""COMPUTED_VALUE"""),55.0)</f>
        <v>55</v>
      </c>
      <c r="C97" s="88" t="str">
        <f>IFERROR(__xludf.DUMMYFUNCTION("""COMPUTED_VALUE"""),"qeep_isotoniccitrus_300g")</f>
        <v>qeep_isotoniccitrus_300g</v>
      </c>
      <c r="D97" s="88">
        <f>IFERROR(__xludf.DUMMYFUNCTION("""COMPUTED_VALUE"""),1.726985284E9)</f>
        <v>1726985284</v>
      </c>
      <c r="E97" s="88" t="str">
        <f>IFERROR(__xludf.DUMMYFUNCTION("""COMPUTED_VALUE"""),"qeep")</f>
        <v>qeep</v>
      </c>
      <c r="F97" s="88" t="str">
        <f>IFERROR(__xludf.DUMMYFUNCTION("""COMPUTED_VALUE"""),"Изотоник порошок спортивный с витаминами qeep 300 г")</f>
        <v>Изотоник порошок спортивный с витаминами qeep 300 г</v>
      </c>
      <c r="G97" s="88"/>
      <c r="H97" s="88" t="str">
        <f>IFERROR(__xludf.DUMMYFUNCTION("""COMPUTED_VALUE"""),"БАДы")</f>
        <v>БАДы</v>
      </c>
      <c r="I97" s="88" t="str">
        <f>IFERROR(__xludf.DUMMYFUNCTION("""COMPUTED_VALUE"""),"Спорт")</f>
        <v>Спорт</v>
      </c>
      <c r="J97" s="88"/>
      <c r="K97" s="242">
        <f>IFERROR(__xludf.DUMMYFUNCTION("""COMPUTED_VALUE"""),37049.0)</f>
        <v>37049</v>
      </c>
      <c r="L97" s="88"/>
      <c r="M97" s="243">
        <f>IFERROR(__xludf.DUMMYFUNCTION("""COMPUTED_VALUE"""),0.17765925091523524)</f>
        <v>0.1776592509</v>
      </c>
      <c r="N97" s="243">
        <f>IFERROR(__xludf.DUMMYFUNCTION("""COMPUTED_VALUE"""),0.3244142495071811)</f>
        <v>0.3244142495</v>
      </c>
      <c r="O97" s="88"/>
      <c r="P97" s="88" t="str">
        <f>IFERROR(__xludf.DUMMYFUNCTION("""COMPUTED_VALUE"""),"C")</f>
        <v>C</v>
      </c>
      <c r="Q97" s="88" t="str">
        <f>IFERROR(__xludf.DUMMYFUNCTION("""COMPUTED_VALUE"""),"B")</f>
        <v>B</v>
      </c>
      <c r="R97" s="88"/>
      <c r="S97" s="88" t="str">
        <f>IFERROR(__xludf.DUMMYFUNCTION("""COMPUTED_VALUE"""),"Актуально")</f>
        <v>Актуально</v>
      </c>
      <c r="T97" s="88" t="str">
        <f>IFERROR(__xludf.DUMMYFUNCTION("""COMPUTED_VALUE"""),"Семен")</f>
        <v>Семен</v>
      </c>
      <c r="U97" s="240">
        <f>IFERROR(__xludf.DUMMYFUNCTION("""COMPUTED_VALUE"""),433.0)</f>
        <v>433</v>
      </c>
      <c r="V97" s="88"/>
      <c r="W97" s="240">
        <f>IFERROR(__xludf.DUMMYFUNCTION("""COMPUTED_VALUE"""),2165.0000000000005)</f>
        <v>2165</v>
      </c>
      <c r="X97" s="88"/>
      <c r="Y97" s="88"/>
      <c r="Z97" s="88"/>
      <c r="AA97" s="88"/>
      <c r="AC97" s="62" t="s">
        <v>116</v>
      </c>
    </row>
    <row r="98">
      <c r="A98" s="88"/>
      <c r="B98" s="88">
        <f>IFERROR(__xludf.DUMMYFUNCTION("""COMPUTED_VALUE"""),63.0)</f>
        <v>63</v>
      </c>
      <c r="C98" s="88" t="str">
        <f>IFERROR(__xludf.DUMMYFUNCTION("""COMPUTED_VALUE"""),"qeep_creatine_300g")</f>
        <v>qeep_creatine_300g</v>
      </c>
      <c r="D98" s="88">
        <f>IFERROR(__xludf.DUMMYFUNCTION("""COMPUTED_VALUE"""),1.566871461E9)</f>
        <v>1566871461</v>
      </c>
      <c r="E98" s="88" t="str">
        <f>IFERROR(__xludf.DUMMYFUNCTION("""COMPUTED_VALUE"""),"qeep")</f>
        <v>qeep</v>
      </c>
      <c r="F98" s="88" t="str">
        <f>IFERROR(__xludf.DUMMYFUNCTION("""COMPUTED_VALUE"""),"Креатин моногидрат 5000 мг Qeep 300 г")</f>
        <v>Креатин моногидрат 5000 мг Qeep 300 г</v>
      </c>
      <c r="G98" s="88"/>
      <c r="H98" s="88" t="str">
        <f>IFERROR(__xludf.DUMMYFUNCTION("""COMPUTED_VALUE"""),"БАДы")</f>
        <v>БАДы</v>
      </c>
      <c r="I98" s="88" t="str">
        <f>IFERROR(__xludf.DUMMYFUNCTION("""COMPUTED_VALUE"""),"Спорт")</f>
        <v>Спорт</v>
      </c>
      <c r="J98" s="88"/>
      <c r="K98" s="242">
        <f>IFERROR(__xludf.DUMMYFUNCTION("""COMPUTED_VALUE"""),28746.0)</f>
        <v>28746</v>
      </c>
      <c r="L98" s="88"/>
      <c r="M98" s="243">
        <f>IFERROR(__xludf.DUMMYFUNCTION("""COMPUTED_VALUE"""),0.05605408424801131)</f>
        <v>0.05605408425</v>
      </c>
      <c r="N98" s="243">
        <f>IFERROR(__xludf.DUMMYFUNCTION("""COMPUTED_VALUE"""),0.1376043418480183)</f>
        <v>0.1376043418</v>
      </c>
      <c r="O98" s="88"/>
      <c r="P98" s="88" t="str">
        <f>IFERROR(__xludf.DUMMYFUNCTION("""COMPUTED_VALUE"""),"C")</f>
        <v>C</v>
      </c>
      <c r="Q98" s="88" t="str">
        <f>IFERROR(__xludf.DUMMYFUNCTION("""COMPUTED_VALUE"""),"C")</f>
        <v>C</v>
      </c>
      <c r="R98" s="88"/>
      <c r="S98" s="88" t="str">
        <f>IFERROR(__xludf.DUMMYFUNCTION("""COMPUTED_VALUE"""),"Актуально")</f>
        <v>Актуально</v>
      </c>
      <c r="T98" s="88" t="str">
        <f>IFERROR(__xludf.DUMMYFUNCTION("""COMPUTED_VALUE"""),"Семен")</f>
        <v>Семен</v>
      </c>
      <c r="U98" s="240">
        <f>IFERROR(__xludf.DUMMYFUNCTION("""COMPUTED_VALUE"""),333.0)</f>
        <v>333</v>
      </c>
      <c r="V98" s="88"/>
      <c r="W98" s="240">
        <f>IFERROR(__xludf.DUMMYFUNCTION("""COMPUTED_VALUE"""),1665.0000000000005)</f>
        <v>1665</v>
      </c>
      <c r="X98" s="88"/>
      <c r="Y98" s="88"/>
      <c r="Z98" s="88"/>
      <c r="AA98" s="88"/>
      <c r="AC98" s="62" t="s">
        <v>116</v>
      </c>
    </row>
    <row r="99">
      <c r="A99" s="88"/>
      <c r="B99" s="88">
        <f>IFERROR(__xludf.DUMMYFUNCTION("""COMPUTED_VALUE"""),68.0)</f>
        <v>68</v>
      </c>
      <c r="C99" s="88" t="str">
        <f>IFERROR(__xludf.DUMMYFUNCTION("""COMPUTED_VALUE"""),"qeep_isotonicmintlime_300g")</f>
        <v>qeep_isotonicmintlime_300g</v>
      </c>
      <c r="D99" s="88">
        <f>IFERROR(__xludf.DUMMYFUNCTION("""COMPUTED_VALUE"""),1.726985022E9)</f>
        <v>1726985022</v>
      </c>
      <c r="E99" s="88" t="str">
        <f>IFERROR(__xludf.DUMMYFUNCTION("""COMPUTED_VALUE"""),"qeep")</f>
        <v>qeep</v>
      </c>
      <c r="F99" s="88" t="str">
        <f>IFERROR(__xludf.DUMMYFUNCTION("""COMPUTED_VALUE"""),"Изотоник порошок спортивный с витаминами qeep 300 г")</f>
        <v>Изотоник порошок спортивный с витаминами qeep 300 г</v>
      </c>
      <c r="G99" s="88"/>
      <c r="H99" s="88" t="str">
        <f>IFERROR(__xludf.DUMMYFUNCTION("""COMPUTED_VALUE"""),"БАДы")</f>
        <v>БАДы</v>
      </c>
      <c r="I99" s="88" t="str">
        <f>IFERROR(__xludf.DUMMYFUNCTION("""COMPUTED_VALUE"""),"Спорт")</f>
        <v>Спорт</v>
      </c>
      <c r="J99" s="88"/>
      <c r="K99" s="242">
        <f>IFERROR(__xludf.DUMMYFUNCTION("""COMPUTED_VALUE"""),28580.0)</f>
        <v>28580</v>
      </c>
      <c r="L99" s="88"/>
      <c r="M99" s="243">
        <f>IFERROR(__xludf.DUMMYFUNCTION("""COMPUTED_VALUE"""),-0.07580624380574809)</f>
        <v>-0.07580624381</v>
      </c>
      <c r="N99" s="243">
        <f>IFERROR(__xludf.DUMMYFUNCTION("""COMPUTED_VALUE"""),0.1706446977205155)</f>
        <v>0.1706446977</v>
      </c>
      <c r="O99" s="88"/>
      <c r="P99" s="88" t="str">
        <f>IFERROR(__xludf.DUMMYFUNCTION("""COMPUTED_VALUE"""),"C")</f>
        <v>C</v>
      </c>
      <c r="Q99" s="88" t="str">
        <f>IFERROR(__xludf.DUMMYFUNCTION("""COMPUTED_VALUE"""),"B")</f>
        <v>B</v>
      </c>
      <c r="R99" s="88"/>
      <c r="S99" s="88" t="str">
        <f>IFERROR(__xludf.DUMMYFUNCTION("""COMPUTED_VALUE"""),"Актуально")</f>
        <v>Актуально</v>
      </c>
      <c r="T99" s="88" t="str">
        <f>IFERROR(__xludf.DUMMYFUNCTION("""COMPUTED_VALUE"""),"Семен")</f>
        <v>Семен</v>
      </c>
      <c r="U99" s="240">
        <f>IFERROR(__xludf.DUMMYFUNCTION("""COMPUTED_VALUE"""),433.0)</f>
        <v>433</v>
      </c>
      <c r="V99" s="88"/>
      <c r="W99" s="240">
        <f>IFERROR(__xludf.DUMMYFUNCTION("""COMPUTED_VALUE"""),2165.0000000000005)</f>
        <v>2165</v>
      </c>
      <c r="X99" s="88"/>
      <c r="Y99" s="88"/>
      <c r="Z99" s="88"/>
      <c r="AA99" s="88"/>
      <c r="AC99" s="62" t="s">
        <v>116</v>
      </c>
    </row>
    <row r="100">
      <c r="A100" s="88"/>
      <c r="B100" s="88">
        <f>IFERROR(__xludf.DUMMYFUNCTION("""COMPUTED_VALUE"""),75.0)</f>
        <v>75</v>
      </c>
      <c r="C100" s="88" t="str">
        <f>IFERROR(__xludf.DUMMYFUNCTION("""COMPUTED_VALUE"""),"qeep_glutamine_90caps")</f>
        <v>qeep_glutamine_90caps</v>
      </c>
      <c r="D100" s="88">
        <f>IFERROR(__xludf.DUMMYFUNCTION("""COMPUTED_VALUE"""),1.200359466E9)</f>
        <v>1200359466</v>
      </c>
      <c r="E100" s="88" t="str">
        <f>IFERROR(__xludf.DUMMYFUNCTION("""COMPUTED_VALUE"""),"qeep")</f>
        <v>qeep</v>
      </c>
      <c r="F100" s="88" t="str">
        <f>IFERROR(__xludf.DUMMYFUNCTION("""COMPUTED_VALUE"""),"Аминокислоты Глютамин, Тирозин, L-триптофан, L-глутаминовая кислота, L-теанин Qeep 90 капсул")</f>
        <v>Аминокислоты Глютамин, Тирозин, L-триптофан, L-глутаминовая кислота, L-теанин Qeep 90 капсул</v>
      </c>
      <c r="G100" s="88"/>
      <c r="H100" s="88" t="str">
        <f>IFERROR(__xludf.DUMMYFUNCTION("""COMPUTED_VALUE"""),"БАДы")</f>
        <v>БАДы</v>
      </c>
      <c r="I100" s="88" t="str">
        <f>IFERROR(__xludf.DUMMYFUNCTION("""COMPUTED_VALUE"""),"Спорт")</f>
        <v>Спорт</v>
      </c>
      <c r="J100" s="88"/>
      <c r="K100" s="242">
        <f>IFERROR(__xludf.DUMMYFUNCTION("""COMPUTED_VALUE"""),71154.0)</f>
        <v>71154</v>
      </c>
      <c r="L100" s="88"/>
      <c r="M100" s="243">
        <f>IFERROR(__xludf.DUMMYFUNCTION("""COMPUTED_VALUE"""),0.17003505812187936)</f>
        <v>0.1700350581</v>
      </c>
      <c r="N100" s="243">
        <f>IFERROR(__xludf.DUMMYFUNCTION("""COMPUTED_VALUE"""),0.4030595939628216)</f>
        <v>0.403059594</v>
      </c>
      <c r="O100" s="88"/>
      <c r="P100" s="88" t="str">
        <f>IFERROR(__xludf.DUMMYFUNCTION("""COMPUTED_VALUE"""),"C")</f>
        <v>C</v>
      </c>
      <c r="Q100" s="88" t="str">
        <f>IFERROR(__xludf.DUMMYFUNCTION("""COMPUTED_VALUE"""),"A")</f>
        <v>A</v>
      </c>
      <c r="R100" s="88"/>
      <c r="S100" s="88" t="str">
        <f>IFERROR(__xludf.DUMMYFUNCTION("""COMPUTED_VALUE"""),"Актуально")</f>
        <v>Актуально</v>
      </c>
      <c r="T100" s="88" t="str">
        <f>IFERROR(__xludf.DUMMYFUNCTION("""COMPUTED_VALUE"""),"Семен")</f>
        <v>Семен</v>
      </c>
      <c r="U100" s="240">
        <f>IFERROR(__xludf.DUMMYFUNCTION("""COMPUTED_VALUE"""),287.39)</f>
        <v>287.39</v>
      </c>
      <c r="V100" s="88"/>
      <c r="W100" s="240">
        <f>IFERROR(__xludf.DUMMYFUNCTION("""COMPUTED_VALUE"""),1436.9500000000003)</f>
        <v>1436.95</v>
      </c>
      <c r="X100" s="88"/>
      <c r="Y100" s="88"/>
      <c r="Z100" s="88"/>
      <c r="AA100" s="88"/>
      <c r="AC100" s="62" t="s">
        <v>116</v>
      </c>
    </row>
    <row r="101">
      <c r="A101" s="88"/>
      <c r="B101" s="88">
        <f>IFERROR(__xludf.DUMMYFUNCTION("""COMPUTED_VALUE"""),96.0)</f>
        <v>96</v>
      </c>
      <c r="C101" s="88" t="str">
        <f>IFERROR(__xludf.DUMMYFUNCTION("""COMPUTED_VALUE"""),"qeep_isotonicraspblime_300g")</f>
        <v>qeep_isotonicraspblime_300g</v>
      </c>
      <c r="D101" s="88">
        <f>IFERROR(__xludf.DUMMYFUNCTION("""COMPUTED_VALUE"""),1.726985085E9)</f>
        <v>1726985085</v>
      </c>
      <c r="E101" s="88" t="str">
        <f>IFERROR(__xludf.DUMMYFUNCTION("""COMPUTED_VALUE"""),"qeep")</f>
        <v>qeep</v>
      </c>
      <c r="F101" s="88" t="str">
        <f>IFERROR(__xludf.DUMMYFUNCTION("""COMPUTED_VALUE"""),"Изотоник порошок спортивный с витаминами qeep 300 г")</f>
        <v>Изотоник порошок спортивный с витаминами qeep 300 г</v>
      </c>
      <c r="G101" s="88"/>
      <c r="H101" s="88" t="str">
        <f>IFERROR(__xludf.DUMMYFUNCTION("""COMPUTED_VALUE"""),"БАДы")</f>
        <v>БАДы</v>
      </c>
      <c r="I101" s="88" t="str">
        <f>IFERROR(__xludf.DUMMYFUNCTION("""COMPUTED_VALUE"""),"Спорт")</f>
        <v>Спорт</v>
      </c>
      <c r="J101" s="88"/>
      <c r="K101" s="242">
        <f>IFERROR(__xludf.DUMMYFUNCTION("""COMPUTED_VALUE"""),2758.0)</f>
        <v>2758</v>
      </c>
      <c r="L101" s="88"/>
      <c r="M101" s="243">
        <f>IFERROR(__xludf.DUMMYFUNCTION("""COMPUTED_VALUE"""),0.3064965554749819)</f>
        <v>0.3064965555</v>
      </c>
      <c r="N101" s="243">
        <f>IFERROR(__xludf.DUMMYFUNCTION("""COMPUTED_VALUE"""),0.3825181290790428)</f>
        <v>0.3825181291</v>
      </c>
      <c r="O101" s="88"/>
      <c r="P101" s="88" t="str">
        <f>IFERROR(__xludf.DUMMYFUNCTION("""COMPUTED_VALUE"""),"C")</f>
        <v>C</v>
      </c>
      <c r="Q101" s="88" t="str">
        <f>IFERROR(__xludf.DUMMYFUNCTION("""COMPUTED_VALUE"""),"B")</f>
        <v>B</v>
      </c>
      <c r="R101" s="88"/>
      <c r="S101" s="88" t="str">
        <f>IFERROR(__xludf.DUMMYFUNCTION("""COMPUTED_VALUE"""),"Актуально")</f>
        <v>Актуально</v>
      </c>
      <c r="T101" s="88" t="str">
        <f>IFERROR(__xludf.DUMMYFUNCTION("""COMPUTED_VALUE"""),"Семен")</f>
        <v>Семен</v>
      </c>
      <c r="U101" s="240">
        <f>IFERROR(__xludf.DUMMYFUNCTION("""COMPUTED_VALUE"""),433.0)</f>
        <v>433</v>
      </c>
      <c r="V101" s="88"/>
      <c r="W101" s="240">
        <f>IFERROR(__xludf.DUMMYFUNCTION("""COMPUTED_VALUE"""),2165.0000000000005)</f>
        <v>2165</v>
      </c>
      <c r="X101" s="88"/>
      <c r="Y101" s="88"/>
      <c r="Z101" s="88"/>
      <c r="AA101" s="88"/>
      <c r="AC101" s="62" t="s">
        <v>116</v>
      </c>
    </row>
    <row r="102">
      <c r="A102" s="88"/>
      <c r="B102" s="88">
        <f>IFERROR(__xludf.DUMMYFUNCTION("""COMPUTED_VALUE"""),54.0)</f>
        <v>54</v>
      </c>
      <c r="C102" s="88" t="str">
        <f>IFERROR(__xludf.DUMMYFUNCTION("""COMPUTED_VALUE"""),"harly_spray_250ml")</f>
        <v>harly_spray_250ml</v>
      </c>
      <c r="D102" s="88">
        <f>IFERROR(__xludf.DUMMYFUNCTION("""COMPUTED_VALUE"""),1.613729326E9)</f>
        <v>1613729326</v>
      </c>
      <c r="E102" s="88" t="str">
        <f>IFERROR(__xludf.DUMMYFUNCTION("""COMPUTED_VALUE"""),"Harly")</f>
        <v>Harly</v>
      </c>
      <c r="F102" s="88" t="str">
        <f>IFERROR(__xludf.DUMMYFUNCTION("""COMPUTED_VALUE"""),"Спрей от колтунов для длинной шерсти и легкого расчесывания")</f>
        <v>Спрей от колтунов для длинной шерсти и легкого расчесывания</v>
      </c>
      <c r="G102" s="88"/>
      <c r="H102" s="88" t="str">
        <f>IFERROR(__xludf.DUMMYFUNCTION("""COMPUTED_VALUE"""),"Косметика для животных")</f>
        <v>Косметика для животных</v>
      </c>
      <c r="I102" s="88" t="str">
        <f>IFERROR(__xludf.DUMMYFUNCTION("""COMPUTED_VALUE"""),"Спрей от колтунов")</f>
        <v>Спрей от колтунов</v>
      </c>
      <c r="J102" s="88"/>
      <c r="K102" s="242">
        <f>IFERROR(__xludf.DUMMYFUNCTION("""COMPUTED_VALUE"""),79038.0)</f>
        <v>79038</v>
      </c>
      <c r="L102" s="88"/>
      <c r="M102" s="243">
        <f>IFERROR(__xludf.DUMMYFUNCTION("""COMPUTED_VALUE"""),0.26831213363372464)</f>
        <v>0.2683121336</v>
      </c>
      <c r="N102" s="243">
        <f>IFERROR(__xludf.DUMMYFUNCTION("""COMPUTED_VALUE"""),0.48039356797727445)</f>
        <v>0.480393568</v>
      </c>
      <c r="O102" s="88"/>
      <c r="P102" s="88" t="str">
        <f>IFERROR(__xludf.DUMMYFUNCTION("""COMPUTED_VALUE"""),"C")</f>
        <v>C</v>
      </c>
      <c r="Q102" s="88" t="str">
        <f>IFERROR(__xludf.DUMMYFUNCTION("""COMPUTED_VALUE"""),"A")</f>
        <v>A</v>
      </c>
      <c r="R102" s="88"/>
      <c r="S102" s="88" t="str">
        <f>IFERROR(__xludf.DUMMYFUNCTION("""COMPUTED_VALUE"""),"Актуально")</f>
        <v>Актуально</v>
      </c>
      <c r="T102" s="88" t="str">
        <f>IFERROR(__xludf.DUMMYFUNCTION("""COMPUTED_VALUE"""),"Кристина")</f>
        <v>Кристина</v>
      </c>
      <c r="U102" s="240">
        <f>IFERROR(__xludf.DUMMYFUNCTION("""COMPUTED_VALUE"""),114.96000000000001)</f>
        <v>114.96</v>
      </c>
      <c r="V102" s="88"/>
      <c r="W102" s="240">
        <f>IFERROR(__xludf.DUMMYFUNCTION("""COMPUTED_VALUE"""),574.8000000000002)</f>
        <v>574.8</v>
      </c>
      <c r="X102" s="88"/>
      <c r="Y102" s="88"/>
      <c r="Z102" s="88"/>
      <c r="AA102" s="88"/>
      <c r="AC102" s="62" t="s">
        <v>116</v>
      </c>
    </row>
    <row r="103">
      <c r="A103" s="88"/>
      <c r="B103" s="88">
        <f>IFERROR(__xludf.DUMMYFUNCTION("""COMPUTED_VALUE"""),64.0)</f>
        <v>64</v>
      </c>
      <c r="C103" s="88" t="str">
        <f>IFERROR(__xludf.DUMMYFUNCTION("""COMPUTED_VALUE"""),"qeep_tobaccocherry_450ml")</f>
        <v>qeep_tobaccocherry_450ml</v>
      </c>
      <c r="D103" s="88">
        <f>IFERROR(__xludf.DUMMYFUNCTION("""COMPUTED_VALUE"""),1.785782001E9)</f>
        <v>1785782001</v>
      </c>
      <c r="E103" s="88" t="str">
        <f>IFERROR(__xludf.DUMMYFUNCTION("""COMPUTED_VALUE"""),"qeep")</f>
        <v>qeep</v>
      </c>
      <c r="F103" s="88" t="str">
        <f>IFERROR(__xludf.DUMMYFUNCTION("""COMPUTED_VALUE"""),"Гель для душа парфюмированный Tobacco Cherry qeep 450 мл")</f>
        <v>Гель для душа парфюмированный Tobacco Cherry qeep 450 мл</v>
      </c>
      <c r="G103" s="88"/>
      <c r="H103" s="88" t="str">
        <f>IFERROR(__xludf.DUMMYFUNCTION("""COMPUTED_VALUE"""),"Косметика")</f>
        <v>Косметика</v>
      </c>
      <c r="I103" s="88" t="str">
        <f>IFERROR(__xludf.DUMMYFUNCTION("""COMPUTED_VALUE"""),"Тело")</f>
        <v>Тело</v>
      </c>
      <c r="J103" s="88"/>
      <c r="K103" s="242">
        <f>IFERROR(__xludf.DUMMYFUNCTION("""COMPUTED_VALUE"""),74197.0)</f>
        <v>74197</v>
      </c>
      <c r="L103" s="88"/>
      <c r="M103" s="243">
        <f>IFERROR(__xludf.DUMMYFUNCTION("""COMPUTED_VALUE"""),0.046347340743503176)</f>
        <v>0.04634734074</v>
      </c>
      <c r="N103" s="243">
        <f>IFERROR(__xludf.DUMMYFUNCTION("""COMPUTED_VALUE"""),0.4159725046336487)</f>
        <v>0.4159725046</v>
      </c>
      <c r="O103" s="88"/>
      <c r="P103" s="88" t="str">
        <f>IFERROR(__xludf.DUMMYFUNCTION("""COMPUTED_VALUE"""),"C")</f>
        <v>C</v>
      </c>
      <c r="Q103" s="88" t="str">
        <f>IFERROR(__xludf.DUMMYFUNCTION("""COMPUTED_VALUE"""),"A")</f>
        <v>A</v>
      </c>
      <c r="R103" s="88"/>
      <c r="S103" s="88" t="str">
        <f>IFERROR(__xludf.DUMMYFUNCTION("""COMPUTED_VALUE"""),"Актуально")</f>
        <v>Актуально</v>
      </c>
      <c r="T103" s="88" t="str">
        <f>IFERROR(__xludf.DUMMYFUNCTION("""COMPUTED_VALUE"""),"Кристина")</f>
        <v>Кристина</v>
      </c>
      <c r="U103" s="240">
        <f>IFERROR(__xludf.DUMMYFUNCTION("""COMPUTED_VALUE"""),120.0)</f>
        <v>120</v>
      </c>
      <c r="V103" s="88"/>
      <c r="W103" s="240">
        <f>IFERROR(__xludf.DUMMYFUNCTION("""COMPUTED_VALUE"""),600.0000000000001)</f>
        <v>600</v>
      </c>
      <c r="X103" s="88"/>
      <c r="Y103" s="88"/>
      <c r="Z103" s="88"/>
      <c r="AA103" s="88"/>
      <c r="AC103" s="62" t="s">
        <v>116</v>
      </c>
    </row>
    <row r="104">
      <c r="A104" s="88"/>
      <c r="B104" s="88">
        <f>IFERROR(__xludf.DUMMYFUNCTION("""COMPUTED_VALUE"""),46.0)</f>
        <v>46</v>
      </c>
      <c r="C104" s="88" t="str">
        <f>IFERROR(__xludf.DUMMYFUNCTION("""COMPUTED_VALUE"""),"harly_catshampoo_250ml")</f>
        <v>harly_catshampoo_250ml</v>
      </c>
      <c r="D104" s="88">
        <f>IFERROR(__xludf.DUMMYFUNCTION("""COMPUTED_VALUE"""),1.873376596E9)</f>
        <v>1873376596</v>
      </c>
      <c r="E104" s="88" t="str">
        <f>IFERROR(__xludf.DUMMYFUNCTION("""COMPUTED_VALUE"""),"Harly")</f>
        <v>Harly</v>
      </c>
      <c r="F104" s="88" t="str">
        <f>IFERROR(__xludf.DUMMYFUNCTION("""COMPUTED_VALUE"""),"Шампунь для кошек гипоаллергенный с пантенолом Harly 250 мл")</f>
        <v>Шампунь для кошек гипоаллергенный с пантенолом Harly 250 мл</v>
      </c>
      <c r="G104" s="88"/>
      <c r="H104" s="88" t="str">
        <f>IFERROR(__xludf.DUMMYFUNCTION("""COMPUTED_VALUE"""),"Косметика для животных")</f>
        <v>Косметика для животных</v>
      </c>
      <c r="I104" s="88" t="str">
        <f>IFERROR(__xludf.DUMMYFUNCTION("""COMPUTED_VALUE"""),"Шампунь для кошек")</f>
        <v>Шампунь для кошек</v>
      </c>
      <c r="J104" s="88"/>
      <c r="K104" s="242">
        <f>IFERROR(__xludf.DUMMYFUNCTION("""COMPUTED_VALUE"""),59846.0)</f>
        <v>59846</v>
      </c>
      <c r="L104" s="88"/>
      <c r="M104" s="243">
        <f>IFERROR(__xludf.DUMMYFUNCTION("""COMPUTED_VALUE"""),0.018587373885436496)</f>
        <v>0.01858737389</v>
      </c>
      <c r="N104" s="243">
        <f>IFERROR(__xludf.DUMMYFUNCTION("""COMPUTED_VALUE"""),0.42279954666685715)</f>
        <v>0.4227995467</v>
      </c>
      <c r="O104" s="88"/>
      <c r="P104" s="88" t="str">
        <f>IFERROR(__xludf.DUMMYFUNCTION("""COMPUTED_VALUE"""),"C")</f>
        <v>C</v>
      </c>
      <c r="Q104" s="88" t="str">
        <f>IFERROR(__xludf.DUMMYFUNCTION("""COMPUTED_VALUE"""),"A")</f>
        <v>A</v>
      </c>
      <c r="R104" s="88"/>
      <c r="S104" s="88" t="str">
        <f>IFERROR(__xludf.DUMMYFUNCTION("""COMPUTED_VALUE"""),"Актуально")</f>
        <v>Актуально</v>
      </c>
      <c r="T104" s="88" t="str">
        <f>IFERROR(__xludf.DUMMYFUNCTION("""COMPUTED_VALUE"""),"Кристина")</f>
        <v>Кристина</v>
      </c>
      <c r="U104" s="240">
        <f>IFERROR(__xludf.DUMMYFUNCTION("""COMPUTED_VALUE"""),97.27)</f>
        <v>97.27</v>
      </c>
      <c r="V104" s="88"/>
      <c r="W104" s="240">
        <f>IFERROR(__xludf.DUMMYFUNCTION("""COMPUTED_VALUE"""),486.3500000000001)</f>
        <v>486.35</v>
      </c>
      <c r="X104" s="88"/>
      <c r="Y104" s="88"/>
      <c r="Z104" s="88" t="str">
        <f>IFERROR(__xludf.DUMMYFUNCTION("""COMPUTED_VALUE"""),"Шампуни")</f>
        <v>Шампуни</v>
      </c>
      <c r="AA104" s="88"/>
      <c r="AC104" s="62" t="s">
        <v>116</v>
      </c>
    </row>
    <row r="105">
      <c r="A105" s="88"/>
      <c r="B105" s="88">
        <f>IFERROR(__xludf.DUMMYFUNCTION("""COMPUTED_VALUE"""),77.0)</f>
        <v>77</v>
      </c>
      <c r="C105" s="88" t="str">
        <f>IFERROR(__xludf.DUMMYFUNCTION("""COMPUTED_VALUE"""),"harly_shampoo_500ml")</f>
        <v>harly_shampoo_500ml</v>
      </c>
      <c r="D105" s="88">
        <f>IFERROR(__xludf.DUMMYFUNCTION("""COMPUTED_VALUE"""),1.503121227E9)</f>
        <v>1503121227</v>
      </c>
      <c r="E105" s="88" t="str">
        <f>IFERROR(__xludf.DUMMYFUNCTION("""COMPUTED_VALUE"""),"Harly")</f>
        <v>Harly</v>
      </c>
      <c r="F105" s="88" t="str">
        <f>IFERROR(__xludf.DUMMYFUNCTION("""COMPUTED_VALUE"""),"Шампунь для собак и кошек с кондиционером, 500 мл")</f>
        <v>Шампунь для собак и кошек с кондиционером, 500 мл</v>
      </c>
      <c r="G105" s="88"/>
      <c r="H105" s="88" t="str">
        <f>IFERROR(__xludf.DUMMYFUNCTION("""COMPUTED_VALUE"""),"Косметика для животных")</f>
        <v>Косметика для животных</v>
      </c>
      <c r="I105" s="88" t="str">
        <f>IFERROR(__xludf.DUMMYFUNCTION("""COMPUTED_VALUE"""),"Шампунь для кошек")</f>
        <v>Шампунь для кошек</v>
      </c>
      <c r="J105" s="88"/>
      <c r="K105" s="242">
        <f>IFERROR(__xludf.DUMMYFUNCTION("""COMPUTED_VALUE"""),25432.0)</f>
        <v>25432</v>
      </c>
      <c r="L105" s="88"/>
      <c r="M105" s="243">
        <f>IFERROR(__xludf.DUMMYFUNCTION("""COMPUTED_VALUE"""),-0.24207653980210117)</f>
        <v>-0.2420765398</v>
      </c>
      <c r="N105" s="243">
        <f>IFERROR(__xludf.DUMMYFUNCTION("""COMPUTED_VALUE"""),0.02557814217876389)</f>
        <v>0.02557814218</v>
      </c>
      <c r="O105" s="88"/>
      <c r="P105" s="88" t="str">
        <f>IFERROR(__xludf.DUMMYFUNCTION("""COMPUTED_VALUE"""),"C")</f>
        <v>C</v>
      </c>
      <c r="Q105" s="88" t="str">
        <f>IFERROR(__xludf.DUMMYFUNCTION("""COMPUTED_VALUE"""),"C")</f>
        <v>C</v>
      </c>
      <c r="R105" s="88"/>
      <c r="S105" s="88" t="str">
        <f>IFERROR(__xludf.DUMMYFUNCTION("""COMPUTED_VALUE"""),"Актуально")</f>
        <v>Актуально</v>
      </c>
      <c r="T105" s="88" t="str">
        <f>IFERROR(__xludf.DUMMYFUNCTION("""COMPUTED_VALUE"""),"Кристина")</f>
        <v>Кристина</v>
      </c>
      <c r="U105" s="240">
        <f>IFERROR(__xludf.DUMMYFUNCTION("""COMPUTED_VALUE"""),79.35)</f>
        <v>79.35</v>
      </c>
      <c r="V105" s="88"/>
      <c r="W105" s="240">
        <f>IFERROR(__xludf.DUMMYFUNCTION("""COMPUTED_VALUE"""),396.75000000000006)</f>
        <v>396.75</v>
      </c>
      <c r="X105" s="88"/>
      <c r="Y105" s="88"/>
      <c r="Z105" s="88" t="str">
        <f>IFERROR(__xludf.DUMMYFUNCTION("""COMPUTED_VALUE"""),"Шампуни")</f>
        <v>Шампуни</v>
      </c>
      <c r="AA105" s="88"/>
      <c r="AC105" s="62" t="s">
        <v>116</v>
      </c>
    </row>
    <row r="106">
      <c r="A106" s="88"/>
      <c r="B106" s="88">
        <f>IFERROR(__xludf.DUMMYFUNCTION("""COMPUTED_VALUE"""),84.0)</f>
        <v>84</v>
      </c>
      <c r="C106" s="88" t="str">
        <f>IFERROR(__xludf.DUMMYFUNCTION("""COMPUTED_VALUE"""),"harly_longhairdog_500ml")</f>
        <v>harly_longhairdog_500ml</v>
      </c>
      <c r="D106" s="88">
        <f>IFERROR(__xludf.DUMMYFUNCTION("""COMPUTED_VALUE"""),1.873383663E9)</f>
        <v>1873383663</v>
      </c>
      <c r="E106" s="88" t="str">
        <f>IFERROR(__xludf.DUMMYFUNCTION("""COMPUTED_VALUE"""),"Harly")</f>
        <v>Harly</v>
      </c>
      <c r="F106" s="88" t="str">
        <f>IFERROR(__xludf.DUMMYFUNCTION("""COMPUTED_VALUE"""),"Шампунь для собак гипоаллергенный с пантенолом Harly 500 мл")</f>
        <v>Шампунь для собак гипоаллергенный с пантенолом Harly 500 мл</v>
      </c>
      <c r="G106" s="88"/>
      <c r="H106" s="88" t="str">
        <f>IFERROR(__xludf.DUMMYFUNCTION("""COMPUTED_VALUE"""),"Косметика для животных")</f>
        <v>Косметика для животных</v>
      </c>
      <c r="I106" s="88" t="str">
        <f>IFERROR(__xludf.DUMMYFUNCTION("""COMPUTED_VALUE"""),"Шампунь для собак")</f>
        <v>Шампунь для собак</v>
      </c>
      <c r="J106" s="88"/>
      <c r="K106" s="242">
        <f>IFERROR(__xludf.DUMMYFUNCTION("""COMPUTED_VALUE"""),12997.0)</f>
        <v>12997</v>
      </c>
      <c r="L106" s="88"/>
      <c r="M106" s="243">
        <f>IFERROR(__xludf.DUMMYFUNCTION("""COMPUTED_VALUE"""),-1.3917767280439588)</f>
        <v>-1.391776728</v>
      </c>
      <c r="N106" s="243">
        <f>IFERROR(__xludf.DUMMYFUNCTION("""COMPUTED_VALUE"""),-1.2108763135062166)</f>
        <v>-1.210876314</v>
      </c>
      <c r="O106" s="88"/>
      <c r="P106" s="88" t="str">
        <f>IFERROR(__xludf.DUMMYFUNCTION("""COMPUTED_VALUE"""),"C")</f>
        <v>C</v>
      </c>
      <c r="Q106" s="88" t="str">
        <f>IFERROR(__xludf.DUMMYFUNCTION("""COMPUTED_VALUE"""),"C")</f>
        <v>C</v>
      </c>
      <c r="R106" s="88"/>
      <c r="S106" s="88" t="str">
        <f>IFERROR(__xludf.DUMMYFUNCTION("""COMPUTED_VALUE"""),"Актуально")</f>
        <v>Актуально</v>
      </c>
      <c r="T106" s="88" t="str">
        <f>IFERROR(__xludf.DUMMYFUNCTION("""COMPUTED_VALUE"""),"Кристина")</f>
        <v>Кристина</v>
      </c>
      <c r="U106" s="240">
        <f>IFERROR(__xludf.DUMMYFUNCTION("""COMPUTED_VALUE"""),99.0)</f>
        <v>99</v>
      </c>
      <c r="V106" s="88"/>
      <c r="W106" s="240">
        <f>IFERROR(__xludf.DUMMYFUNCTION("""COMPUTED_VALUE"""),495.0000000000001)</f>
        <v>495</v>
      </c>
      <c r="X106" s="88"/>
      <c r="Y106" s="88"/>
      <c r="Z106" s="88" t="str">
        <f>IFERROR(__xludf.DUMMYFUNCTION("""COMPUTED_VALUE"""),"Шампуни")</f>
        <v>Шампуни</v>
      </c>
      <c r="AA106" s="88"/>
      <c r="AC106" s="62" t="s">
        <v>116</v>
      </c>
    </row>
    <row r="107">
      <c r="A107" s="88"/>
      <c r="B107" s="88">
        <f>IFERROR(__xludf.DUMMYFUNCTION("""COMPUTED_VALUE"""),21.0)</f>
        <v>21</v>
      </c>
      <c r="C107" s="88" t="str">
        <f>IFERROR(__xludf.DUMMYFUNCTION("""COMPUTED_VALUE"""),"harly_shampoo_blohi_500ml")</f>
        <v>harly_shampoo_blohi_500ml</v>
      </c>
      <c r="D107" s="88">
        <f>IFERROR(__xludf.DUMMYFUNCTION("""COMPUTED_VALUE"""),1.703618254E9)</f>
        <v>1703618254</v>
      </c>
      <c r="E107" s="88" t="str">
        <f>IFERROR(__xludf.DUMMYFUNCTION("""COMPUTED_VALUE"""),"Harly")</f>
        <v>Harly</v>
      </c>
      <c r="F107" s="88" t="str">
        <f>IFERROR(__xludf.DUMMYFUNCTION("""COMPUTED_VALUE"""),"Шампунь для собак и кошек от блох и клещей Harly 500 мл")</f>
        <v>Шампунь для собак и кошек от блох и клещей Harly 500 мл</v>
      </c>
      <c r="G107" s="88"/>
      <c r="H107" s="88" t="str">
        <f>IFERROR(__xludf.DUMMYFUNCTION("""COMPUTED_VALUE"""),"Косметика для животных")</f>
        <v>Косметика для животных</v>
      </c>
      <c r="I107" s="88" t="str">
        <f>IFERROR(__xludf.DUMMYFUNCTION("""COMPUTED_VALUE"""),"Шампунь от блох")</f>
        <v>Шампунь от блох</v>
      </c>
      <c r="J107" s="88"/>
      <c r="K107" s="242">
        <f>IFERROR(__xludf.DUMMYFUNCTION("""COMPUTED_VALUE"""),282637.0)</f>
        <v>282637</v>
      </c>
      <c r="L107" s="88"/>
      <c r="M107" s="243">
        <f>IFERROR(__xludf.DUMMYFUNCTION("""COMPUTED_VALUE"""),0.16887746056805372)</f>
        <v>0.1688774606</v>
      </c>
      <c r="N107" s="243">
        <f>IFERROR(__xludf.DUMMYFUNCTION("""COMPUTED_VALUE"""),0.5027215834552732)</f>
        <v>0.5027215835</v>
      </c>
      <c r="O107" s="88"/>
      <c r="P107" s="88" t="str">
        <f>IFERROR(__xludf.DUMMYFUNCTION("""COMPUTED_VALUE"""),"B")</f>
        <v>B</v>
      </c>
      <c r="Q107" s="88" t="str">
        <f>IFERROR(__xludf.DUMMYFUNCTION("""COMPUTED_VALUE"""),"A")</f>
        <v>A</v>
      </c>
      <c r="R107" s="88"/>
      <c r="S107" s="88" t="str">
        <f>IFERROR(__xludf.DUMMYFUNCTION("""COMPUTED_VALUE"""),"Актуально")</f>
        <v>Актуально</v>
      </c>
      <c r="T107" s="88" t="str">
        <f>IFERROR(__xludf.DUMMYFUNCTION("""COMPUTED_VALUE"""),"Кристина")</f>
        <v>Кристина</v>
      </c>
      <c r="U107" s="240">
        <f>IFERROR(__xludf.DUMMYFUNCTION("""COMPUTED_VALUE"""),107.14)</f>
        <v>107.14</v>
      </c>
      <c r="V107" s="88"/>
      <c r="W107" s="240">
        <f>IFERROR(__xludf.DUMMYFUNCTION("""COMPUTED_VALUE"""),535.7000000000002)</f>
        <v>535.7</v>
      </c>
      <c r="X107" s="88"/>
      <c r="Y107" s="88"/>
      <c r="Z107" s="88" t="str">
        <f>IFERROR(__xludf.DUMMYFUNCTION("""COMPUTED_VALUE"""),"Шампуни")</f>
        <v>Шампуни</v>
      </c>
      <c r="AA107" s="88"/>
      <c r="AC107" s="62" t="s">
        <v>116</v>
      </c>
    </row>
    <row r="108">
      <c r="A108" s="88"/>
      <c r="B108" s="88">
        <f>IFERROR(__xludf.DUMMYFUNCTION("""COMPUTED_VALUE"""),28.0)</f>
        <v>28</v>
      </c>
      <c r="C108" s="88" t="str">
        <f>IFERROR(__xludf.DUMMYFUNCTION("""COMPUTED_VALUE"""),"qeep_kidsvitamins_60tabs")</f>
        <v>qeep_kidsvitamins_60tabs</v>
      </c>
      <c r="D108" s="88">
        <f>IFERROR(__xludf.DUMMYFUNCTION("""COMPUTED_VALUE"""),1.581800376E9)</f>
        <v>1581800376</v>
      </c>
      <c r="E108" s="88" t="str">
        <f>IFERROR(__xludf.DUMMYFUNCTION("""COMPUTED_VALUE"""),"qeep")</f>
        <v>qeep</v>
      </c>
      <c r="F108" s="88" t="str">
        <f>IFERROR(__xludf.DUMMYFUNCTION("""COMPUTED_VALUE"""),"Витамины для детей Qeep 60 жевательных таблеток")</f>
        <v>Витамины для детей Qeep 60 жевательных таблеток</v>
      </c>
      <c r="G108" s="88"/>
      <c r="H108" s="88"/>
      <c r="I108" s="88"/>
      <c r="J108" s="88"/>
      <c r="K108" s="242">
        <f>IFERROR(__xludf.DUMMYFUNCTION("""COMPUTED_VALUE"""),150204.0)</f>
        <v>150204</v>
      </c>
      <c r="L108" s="88"/>
      <c r="M108" s="243">
        <f>IFERROR(__xludf.DUMMYFUNCTION("""COMPUTED_VALUE"""),-0.23505846477456616)</f>
        <v>-0.2350584648</v>
      </c>
      <c r="N108" s="243">
        <f>IFERROR(__xludf.DUMMYFUNCTION("""COMPUTED_VALUE"""),-0.013418401269284341)</f>
        <v>-0.01341840127</v>
      </c>
      <c r="O108" s="88"/>
      <c r="P108" s="88" t="str">
        <f>IFERROR(__xludf.DUMMYFUNCTION("""COMPUTED_VALUE"""),"B")</f>
        <v>B</v>
      </c>
      <c r="Q108" s="88" t="str">
        <f>IFERROR(__xludf.DUMMYFUNCTION("""COMPUTED_VALUE"""),"C")</f>
        <v>C</v>
      </c>
      <c r="R108" s="88"/>
      <c r="S108" s="88" t="str">
        <f>IFERROR(__xludf.DUMMYFUNCTION("""COMPUTED_VALUE"""),"На вывод")</f>
        <v>На вывод</v>
      </c>
      <c r="T108" s="88" t="str">
        <f>IFERROR(__xludf.DUMMYFUNCTION("""COMPUTED_VALUE"""),"Семен")</f>
        <v>Семен</v>
      </c>
      <c r="U108" s="240">
        <f>IFERROR(__xludf.DUMMYFUNCTION("""COMPUTED_VALUE"""),172.0)</f>
        <v>172</v>
      </c>
      <c r="V108" s="88"/>
      <c r="W108" s="240">
        <f>IFERROR(__xludf.DUMMYFUNCTION("""COMPUTED_VALUE"""),860.0000000000002)</f>
        <v>860</v>
      </c>
      <c r="X108" s="88"/>
      <c r="Y108" s="88"/>
      <c r="Z108" s="88"/>
      <c r="AA108" s="88"/>
      <c r="AC108" s="62" t="s">
        <v>116</v>
      </c>
    </row>
    <row r="109">
      <c r="A109" s="88"/>
      <c r="B109" s="88">
        <f>IFERROR(__xludf.DUMMYFUNCTION("""COMPUTED_VALUE"""),72.0)</f>
        <v>72</v>
      </c>
      <c r="C109" s="88" t="str">
        <f>IFERROR(__xludf.DUMMYFUNCTION("""COMPUTED_VALUE"""),"qeep_manbox")</f>
        <v>qeep_manbox</v>
      </c>
      <c r="D109" s="88">
        <f>IFERROR(__xludf.DUMMYFUNCTION("""COMPUTED_VALUE"""),1.773345751E9)</f>
        <v>1773345751</v>
      </c>
      <c r="E109" s="88" t="str">
        <f>IFERROR(__xludf.DUMMYFUNCTION("""COMPUTED_VALUE"""),"qeep")</f>
        <v>qeep</v>
      </c>
      <c r="F109" s="88" t="str">
        <f>IFERROR(__xludf.DUMMYFUNCTION("""COMPUTED_VALUE"""),"Витамины для мужчин комплекс для здоровья и мышечной массы qeep")</f>
        <v>Витамины для мужчин комплекс для здоровья и мышечной массы qeep</v>
      </c>
      <c r="G109" s="88"/>
      <c r="H109" s="88"/>
      <c r="I109" s="88"/>
      <c r="J109" s="88"/>
      <c r="K109" s="242">
        <f>IFERROR(__xludf.DUMMYFUNCTION("""COMPUTED_VALUE"""),9126.0)</f>
        <v>9126</v>
      </c>
      <c r="L109" s="88"/>
      <c r="M109" s="243">
        <f>IFERROR(__xludf.DUMMYFUNCTION("""COMPUTED_VALUE"""),0.4026699893200427)</f>
        <v>0.4026699893</v>
      </c>
      <c r="N109" s="243">
        <f>IFERROR(__xludf.DUMMYFUNCTION("""COMPUTED_VALUE"""),0.4043574225703097)</f>
        <v>0.4043574226</v>
      </c>
      <c r="O109" s="88"/>
      <c r="P109" s="88" t="str">
        <f>IFERROR(__xludf.DUMMYFUNCTION("""COMPUTED_VALUE"""),"C")</f>
        <v>C</v>
      </c>
      <c r="Q109" s="88" t="str">
        <f>IFERROR(__xludf.DUMMYFUNCTION("""COMPUTED_VALUE"""),"A")</f>
        <v>A</v>
      </c>
      <c r="R109" s="88"/>
      <c r="S109" s="88" t="str">
        <f>IFERROR(__xludf.DUMMYFUNCTION("""COMPUTED_VALUE"""),"На вывод")</f>
        <v>На вывод</v>
      </c>
      <c r="T109" s="88" t="str">
        <f>IFERROR(__xludf.DUMMYFUNCTION("""COMPUTED_VALUE"""),"Семен")</f>
        <v>Семен</v>
      </c>
      <c r="U109" s="240">
        <f>IFERROR(__xludf.DUMMYFUNCTION("""COMPUTED_VALUE"""),862.0)</f>
        <v>862</v>
      </c>
      <c r="V109" s="88"/>
      <c r="W109" s="240">
        <f>IFERROR(__xludf.DUMMYFUNCTION("""COMPUTED_VALUE"""),4310.000000000001)</f>
        <v>4310</v>
      </c>
      <c r="X109" s="88"/>
      <c r="Y109" s="88"/>
      <c r="Z109" s="88"/>
      <c r="AA109" s="88"/>
      <c r="AC109" s="62" t="s">
        <v>116</v>
      </c>
    </row>
    <row r="110">
      <c r="A110" s="88"/>
      <c r="B110" s="88">
        <f>IFERROR(__xludf.DUMMYFUNCTION("""COMPUTED_VALUE"""),87.0)</f>
        <v>87</v>
      </c>
      <c r="C110" s="88" t="str">
        <f>IFERROR(__xludf.DUMMYFUNCTION("""COMPUTED_VALUE"""),"qeep_ezhovik_90caps")</f>
        <v>qeep_ezhovik_90caps</v>
      </c>
      <c r="D110" s="88">
        <f>IFERROR(__xludf.DUMMYFUNCTION("""COMPUTED_VALUE"""),1.342086207E9)</f>
        <v>1342086207</v>
      </c>
      <c r="E110" s="88" t="str">
        <f>IFERROR(__xludf.DUMMYFUNCTION("""COMPUTED_VALUE"""),"qeep")</f>
        <v>qeep</v>
      </c>
      <c r="F110" s="88" t="str">
        <f>IFERROR(__xludf.DUMMYFUNCTION("""COMPUTED_VALUE"""),"Ежовик гребенчатый 540 мг Qeep 90 капсул")</f>
        <v>Ежовик гребенчатый 540 мг Qeep 90 капсул</v>
      </c>
      <c r="G110" s="88"/>
      <c r="H110" s="88"/>
      <c r="I110" s="88"/>
      <c r="J110" s="88"/>
      <c r="K110" s="242">
        <f>IFERROR(__xludf.DUMMYFUNCTION("""COMPUTED_VALUE"""),6957.0)</f>
        <v>6957</v>
      </c>
      <c r="L110" s="88"/>
      <c r="M110" s="243">
        <f>IFERROR(__xludf.DUMMYFUNCTION("""COMPUTED_VALUE"""),-0.4499729040331362)</f>
        <v>-0.449972904</v>
      </c>
      <c r="N110" s="243">
        <f>IFERROR(__xludf.DUMMYFUNCTION("""COMPUTED_VALUE"""),-0.3759480680024298)</f>
        <v>-0.375948068</v>
      </c>
      <c r="O110" s="88"/>
      <c r="P110" s="88" t="str">
        <f>IFERROR(__xludf.DUMMYFUNCTION("""COMPUTED_VALUE"""),"C")</f>
        <v>C</v>
      </c>
      <c r="Q110" s="88" t="str">
        <f>IFERROR(__xludf.DUMMYFUNCTION("""COMPUTED_VALUE"""),"C")</f>
        <v>C</v>
      </c>
      <c r="R110" s="88"/>
      <c r="S110" s="88" t="str">
        <f>IFERROR(__xludf.DUMMYFUNCTION("""COMPUTED_VALUE"""),"На вывод")</f>
        <v>На вывод</v>
      </c>
      <c r="T110" s="88" t="str">
        <f>IFERROR(__xludf.DUMMYFUNCTION("""COMPUTED_VALUE"""),"Семен")</f>
        <v>Семен</v>
      </c>
      <c r="U110" s="240">
        <f>IFERROR(__xludf.DUMMYFUNCTION("""COMPUTED_VALUE"""),333.0)</f>
        <v>333</v>
      </c>
      <c r="V110" s="88"/>
      <c r="W110" s="240">
        <f>IFERROR(__xludf.DUMMYFUNCTION("""COMPUTED_VALUE"""),1665.0000000000005)</f>
        <v>1665</v>
      </c>
      <c r="X110" s="88"/>
      <c r="Y110" s="88"/>
      <c r="Z110" s="88"/>
      <c r="AA110" s="88"/>
      <c r="AC110" s="62" t="s">
        <v>116</v>
      </c>
    </row>
    <row r="111">
      <c r="A111" s="88"/>
      <c r="B111" s="88">
        <f>IFERROR(__xludf.DUMMYFUNCTION("""COMPUTED_VALUE"""),93.0)</f>
        <v>93</v>
      </c>
      <c r="C111" s="88" t="str">
        <f>IFERROR(__xludf.DUMMYFUNCTION("""COMPUTED_VALUE"""),"qeepacnecontrol")</f>
        <v>qeepacnecontrol</v>
      </c>
      <c r="D111" s="88">
        <f>IFERROR(__xludf.DUMMYFUNCTION("""COMPUTED_VALUE"""),7.67090126E8)</f>
        <v>767090126</v>
      </c>
      <c r="E111" s="88" t="str">
        <f>IFERROR(__xludf.DUMMYFUNCTION("""COMPUTED_VALUE"""),"qeep")</f>
        <v>qeep</v>
      </c>
      <c r="F111" s="88" t="str">
        <f>IFERROR(__xludf.DUMMYFUNCTION("""COMPUTED_VALUE"""),"Сыворотка отбеливающая для лица от прыщей и угрей, 30 мл")</f>
        <v>Сыворотка отбеливающая для лица от прыщей и угрей, 30 мл</v>
      </c>
      <c r="G111" s="88"/>
      <c r="H111" s="88"/>
      <c r="I111" s="88"/>
      <c r="J111" s="88"/>
      <c r="K111" s="242">
        <f>IFERROR(__xludf.DUMMYFUNCTION("""COMPUTED_VALUE"""),0.0)</f>
        <v>0</v>
      </c>
      <c r="L111" s="88"/>
      <c r="M111" s="243">
        <f>IFERROR(__xludf.DUMMYFUNCTION("""COMPUTED_VALUE"""),0.0)</f>
        <v>0</v>
      </c>
      <c r="N111" s="243">
        <f>IFERROR(__xludf.DUMMYFUNCTION("""COMPUTED_VALUE"""),0.0)</f>
        <v>0</v>
      </c>
      <c r="O111" s="88"/>
      <c r="P111" s="88" t="str">
        <f>IFERROR(__xludf.DUMMYFUNCTION("""COMPUTED_VALUE"""),"C")</f>
        <v>C</v>
      </c>
      <c r="Q111" s="88" t="str">
        <f>IFERROR(__xludf.DUMMYFUNCTION("""COMPUTED_VALUE"""),"C")</f>
        <v>C</v>
      </c>
      <c r="R111" s="88"/>
      <c r="S111" s="88" t="str">
        <f>IFERROR(__xludf.DUMMYFUNCTION("""COMPUTED_VALUE"""),"На вывод")</f>
        <v>На вывод</v>
      </c>
      <c r="T111" s="88" t="str">
        <f>IFERROR(__xludf.DUMMYFUNCTION("""COMPUTED_VALUE"""),"Семен")</f>
        <v>Семен</v>
      </c>
      <c r="U111" s="240">
        <f>IFERROR(__xludf.DUMMYFUNCTION("""COMPUTED_VALUE"""),171.1)</f>
        <v>171.1</v>
      </c>
      <c r="V111" s="88"/>
      <c r="W111" s="240">
        <f>IFERROR(__xludf.DUMMYFUNCTION("""COMPUTED_VALUE"""),855.5000000000001)</f>
        <v>855.5</v>
      </c>
      <c r="X111" s="88"/>
      <c r="Y111" s="88"/>
      <c r="Z111" s="88"/>
      <c r="AA111" s="88"/>
      <c r="AC111" s="62" t="s">
        <v>116</v>
      </c>
    </row>
    <row r="112">
      <c r="A112" s="88"/>
      <c r="B112" s="88">
        <f>IFERROR(__xludf.DUMMYFUNCTION("""COMPUTED_VALUE"""),95.0)</f>
        <v>95</v>
      </c>
      <c r="C112" s="88" t="str">
        <f>IFERROR(__xludf.DUMMYFUNCTION("""COMPUTED_VALUE"""),"qeep_cacao_400g")</f>
        <v>qeep_cacao_400g</v>
      </c>
      <c r="D112" s="88">
        <f>IFERROR(__xludf.DUMMYFUNCTION("""COMPUTED_VALUE"""),1.099704127E9)</f>
        <v>1099704127</v>
      </c>
      <c r="E112" s="88" t="str">
        <f>IFERROR(__xludf.DUMMYFUNCTION("""COMPUTED_VALUE"""),"qeep")</f>
        <v>qeep</v>
      </c>
      <c r="F112" s="88" t="str">
        <f>IFERROR(__xludf.DUMMYFUNCTION("""COMPUTED_VALUE"""),"Какао с витаминами детское, натуральный растворимый напиток 400 г")</f>
        <v>Какао с витаминами детское, натуральный растворимый напиток 400 г</v>
      </c>
      <c r="G112" s="88"/>
      <c r="H112" s="88"/>
      <c r="I112" s="88"/>
      <c r="J112" s="88"/>
      <c r="K112" s="242">
        <f>IFERROR(__xludf.DUMMYFUNCTION("""COMPUTED_VALUE"""),0.0)</f>
        <v>0</v>
      </c>
      <c r="L112" s="88"/>
      <c r="M112" s="243">
        <f>IFERROR(__xludf.DUMMYFUNCTION("""COMPUTED_VALUE"""),0.0)</f>
        <v>0</v>
      </c>
      <c r="N112" s="243">
        <f>IFERROR(__xludf.DUMMYFUNCTION("""COMPUTED_VALUE"""),0.0)</f>
        <v>0</v>
      </c>
      <c r="O112" s="88"/>
      <c r="P112" s="88" t="str">
        <f>IFERROR(__xludf.DUMMYFUNCTION("""COMPUTED_VALUE"""),"C")</f>
        <v>C</v>
      </c>
      <c r="Q112" s="88" t="str">
        <f>IFERROR(__xludf.DUMMYFUNCTION("""COMPUTED_VALUE"""),"C")</f>
        <v>C</v>
      </c>
      <c r="R112" s="88"/>
      <c r="S112" s="88" t="str">
        <f>IFERROR(__xludf.DUMMYFUNCTION("""COMPUTED_VALUE"""),"На вывод")</f>
        <v>На вывод</v>
      </c>
      <c r="T112" s="88" t="str">
        <f>IFERROR(__xludf.DUMMYFUNCTION("""COMPUTED_VALUE"""),"Семен")</f>
        <v>Семен</v>
      </c>
      <c r="U112" s="240">
        <f>IFERROR(__xludf.DUMMYFUNCTION("""COMPUTED_VALUE"""),242.0)</f>
        <v>242</v>
      </c>
      <c r="V112" s="88"/>
      <c r="W112" s="240">
        <f>IFERROR(__xludf.DUMMYFUNCTION("""COMPUTED_VALUE"""),1210.0000000000002)</f>
        <v>1210</v>
      </c>
      <c r="X112" s="88"/>
      <c r="Y112" s="88"/>
      <c r="Z112" s="88"/>
      <c r="AA112" s="88"/>
      <c r="AC112" s="62" t="s">
        <v>116</v>
      </c>
    </row>
    <row r="113">
      <c r="A113" s="88"/>
      <c r="B113" s="88">
        <f>IFERROR(__xludf.DUMMYFUNCTION("""COMPUTED_VALUE"""),97.0)</f>
        <v>97</v>
      </c>
      <c r="C113" s="88" t="str">
        <f>IFERROR(__xludf.DUMMYFUNCTION("""COMPUTED_VALUE"""),"qeep_resveratrol_60caps")</f>
        <v>qeep_resveratrol_60caps</v>
      </c>
      <c r="D113" s="88">
        <f>IFERROR(__xludf.DUMMYFUNCTION("""COMPUTED_VALUE"""),1.271329609E9)</f>
        <v>1271329609</v>
      </c>
      <c r="E113" s="88" t="str">
        <f>IFERROR(__xludf.DUMMYFUNCTION("""COMPUTED_VALUE"""),"qeep")</f>
        <v>qeep</v>
      </c>
      <c r="F113" s="88" t="str">
        <f>IFERROR(__xludf.DUMMYFUNCTION("""COMPUTED_VALUE"""),"Ресвератрол 100 мг Qeep 60 капсул")</f>
        <v>Ресвератрол 100 мг Qeep 60 капсул</v>
      </c>
      <c r="G113" s="88"/>
      <c r="H113" s="88"/>
      <c r="I113" s="88"/>
      <c r="J113" s="88"/>
      <c r="K113" s="242">
        <f>IFERROR(__xludf.DUMMYFUNCTION("""COMPUTED_VALUE"""),0.0)</f>
        <v>0</v>
      </c>
      <c r="L113" s="88"/>
      <c r="M113" s="243">
        <f>IFERROR(__xludf.DUMMYFUNCTION("""COMPUTED_VALUE"""),0.0)</f>
        <v>0</v>
      </c>
      <c r="N113" s="243">
        <f>IFERROR(__xludf.DUMMYFUNCTION("""COMPUTED_VALUE"""),0.0)</f>
        <v>0</v>
      </c>
      <c r="O113" s="88"/>
      <c r="P113" s="88" t="str">
        <f>IFERROR(__xludf.DUMMYFUNCTION("""COMPUTED_VALUE"""),"C")</f>
        <v>C</v>
      </c>
      <c r="Q113" s="88" t="str">
        <f>IFERROR(__xludf.DUMMYFUNCTION("""COMPUTED_VALUE"""),"C")</f>
        <v>C</v>
      </c>
      <c r="R113" s="88"/>
      <c r="S113" s="88" t="str">
        <f>IFERROR(__xludf.DUMMYFUNCTION("""COMPUTED_VALUE"""),"На вывод")</f>
        <v>На вывод</v>
      </c>
      <c r="T113" s="88" t="str">
        <f>IFERROR(__xludf.DUMMYFUNCTION("""COMPUTED_VALUE"""),"Семен")</f>
        <v>Семен</v>
      </c>
      <c r="U113" s="240">
        <f>IFERROR(__xludf.DUMMYFUNCTION("""COMPUTED_VALUE"""),399.75)</f>
        <v>399.75</v>
      </c>
      <c r="V113" s="88"/>
      <c r="W113" s="240">
        <f>IFERROR(__xludf.DUMMYFUNCTION("""COMPUTED_VALUE"""),1998.7500000000005)</f>
        <v>1998.75</v>
      </c>
      <c r="X113" s="88"/>
      <c r="Y113" s="88"/>
      <c r="Z113" s="88"/>
      <c r="AA113" s="88"/>
      <c r="AC113" s="62" t="s">
        <v>116</v>
      </c>
    </row>
    <row r="114">
      <c r="A114" s="88"/>
      <c r="B114" s="88">
        <f>IFERROR(__xludf.DUMMYFUNCTION("""COMPUTED_VALUE"""),98.0)</f>
        <v>98</v>
      </c>
      <c r="C114" s="88" t="str">
        <f>IFERROR(__xludf.DUMMYFUNCTION("""COMPUTED_VALUE"""),"qeepzeolite")</f>
        <v>qeepzeolite</v>
      </c>
      <c r="D114" s="88" t="str">
        <f>IFERROR(__xludf.DUMMYFUNCTION("""COMPUTED_VALUE"""),"#N/A")</f>
        <v>#N/A</v>
      </c>
      <c r="E114" s="88" t="str">
        <f>IFERROR(__xludf.DUMMYFUNCTION("""COMPUTED_VALUE"""),"qeep")</f>
        <v>qeep</v>
      </c>
      <c r="F114" s="88" t="str">
        <f>IFERROR(__xludf.DUMMYFUNCTION("""COMPUTED_VALUE"""),"#N/A")</f>
        <v>#N/A</v>
      </c>
      <c r="G114" s="88"/>
      <c r="H114" s="88"/>
      <c r="I114" s="88"/>
      <c r="J114" s="88"/>
      <c r="K114" s="242">
        <f>IFERROR(__xludf.DUMMYFUNCTION("""COMPUTED_VALUE"""),0.0)</f>
        <v>0</v>
      </c>
      <c r="L114" s="88"/>
      <c r="M114" s="243">
        <f>IFERROR(__xludf.DUMMYFUNCTION("""COMPUTED_VALUE"""),0.0)</f>
        <v>0</v>
      </c>
      <c r="N114" s="243">
        <f>IFERROR(__xludf.DUMMYFUNCTION("""COMPUTED_VALUE"""),0.0)</f>
        <v>0</v>
      </c>
      <c r="O114" s="88"/>
      <c r="P114" s="88" t="str">
        <f>IFERROR(__xludf.DUMMYFUNCTION("""COMPUTED_VALUE"""),"C")</f>
        <v>C</v>
      </c>
      <c r="Q114" s="88" t="str">
        <f>IFERROR(__xludf.DUMMYFUNCTION("""COMPUTED_VALUE"""),"C")</f>
        <v>C</v>
      </c>
      <c r="R114" s="88"/>
      <c r="S114" s="88" t="str">
        <f>IFERROR(__xludf.DUMMYFUNCTION("""COMPUTED_VALUE"""),"На вывод")</f>
        <v>На вывод</v>
      </c>
      <c r="T114" s="88" t="str">
        <f>IFERROR(__xludf.DUMMYFUNCTION("""COMPUTED_VALUE"""),"Семен")</f>
        <v>Семен</v>
      </c>
      <c r="U114" s="240">
        <f>IFERROR(__xludf.DUMMYFUNCTION("""COMPUTED_VALUE"""),415.0)</f>
        <v>415</v>
      </c>
      <c r="V114" s="88"/>
      <c r="W114" s="240">
        <f>IFERROR(__xludf.DUMMYFUNCTION("""COMPUTED_VALUE"""),2075.0000000000005)</f>
        <v>2075</v>
      </c>
      <c r="X114" s="88"/>
      <c r="Y114" s="88"/>
      <c r="Z114" s="88"/>
      <c r="AA114" s="88"/>
      <c r="AC114" s="62" t="s">
        <v>116</v>
      </c>
    </row>
    <row r="115">
      <c r="A115" s="88"/>
      <c r="B115" s="88">
        <f>IFERROR(__xludf.DUMMYFUNCTION("""COMPUTED_VALUE"""),99.0)</f>
        <v>99</v>
      </c>
      <c r="C115" s="88" t="str">
        <f>IFERROR(__xludf.DUMMYFUNCTION("""COMPUTED_VALUE"""),"qeep_folic_omega_60caps")</f>
        <v>qeep_folic_omega_60caps</v>
      </c>
      <c r="D115" s="88">
        <f>IFERROR(__xludf.DUMMYFUNCTION("""COMPUTED_VALUE"""),1.068139791E9)</f>
        <v>1068139791</v>
      </c>
      <c r="E115" s="88" t="str">
        <f>IFERROR(__xludf.DUMMYFUNCTION("""COMPUTED_VALUE"""),"qeep")</f>
        <v>qeep</v>
      </c>
      <c r="F115" s="88" t="str">
        <f>IFERROR(__xludf.DUMMYFUNCTION("""COMPUTED_VALUE"""),"Фолиевая кислота 300 мкг Qeep 60 капсул")</f>
        <v>Фолиевая кислота 300 мкг Qeep 60 капсул</v>
      </c>
      <c r="G115" s="88"/>
      <c r="H115" s="88"/>
      <c r="I115" s="88"/>
      <c r="J115" s="88"/>
      <c r="K115" s="242">
        <f>IFERROR(__xludf.DUMMYFUNCTION("""COMPUTED_VALUE"""),0.0)</f>
        <v>0</v>
      </c>
      <c r="L115" s="88"/>
      <c r="M115" s="243">
        <f>IFERROR(__xludf.DUMMYFUNCTION("""COMPUTED_VALUE"""),0.0)</f>
        <v>0</v>
      </c>
      <c r="N115" s="243">
        <f>IFERROR(__xludf.DUMMYFUNCTION("""COMPUTED_VALUE"""),0.0)</f>
        <v>0</v>
      </c>
      <c r="O115" s="88"/>
      <c r="P115" s="88" t="str">
        <f>IFERROR(__xludf.DUMMYFUNCTION("""COMPUTED_VALUE"""),"C")</f>
        <v>C</v>
      </c>
      <c r="Q115" s="88" t="str">
        <f>IFERROR(__xludf.DUMMYFUNCTION("""COMPUTED_VALUE"""),"C")</f>
        <v>C</v>
      </c>
      <c r="R115" s="88"/>
      <c r="S115" s="88" t="str">
        <f>IFERROR(__xludf.DUMMYFUNCTION("""COMPUTED_VALUE"""),"На вывод")</f>
        <v>На вывод</v>
      </c>
      <c r="T115" s="88" t="str">
        <f>IFERROR(__xludf.DUMMYFUNCTION("""COMPUTED_VALUE"""),"Семен")</f>
        <v>Семен</v>
      </c>
      <c r="U115" s="240">
        <f>IFERROR(__xludf.DUMMYFUNCTION("""COMPUTED_VALUE"""),134.57999999999998)</f>
        <v>134.58</v>
      </c>
      <c r="V115" s="88"/>
      <c r="W115" s="240">
        <f>IFERROR(__xludf.DUMMYFUNCTION("""COMPUTED_VALUE"""),672.9000000000001)</f>
        <v>672.9</v>
      </c>
      <c r="X115" s="88"/>
      <c r="Y115" s="88"/>
      <c r="Z115" s="88"/>
      <c r="AA115" s="88"/>
      <c r="AC115" s="62" t="s">
        <v>116</v>
      </c>
    </row>
    <row r="116">
      <c r="A116" s="88"/>
      <c r="B116" s="88">
        <f>IFERROR(__xludf.DUMMYFUNCTION("""COMPUTED_VALUE"""),100.0)</f>
        <v>100</v>
      </c>
      <c r="C116" s="88" t="str">
        <f>IFERROR(__xludf.DUMMYFUNCTION("""COMPUTED_VALUE"""),"qeep_bcomplex_60caps")</f>
        <v>qeep_bcomplex_60caps</v>
      </c>
      <c r="D116" s="88">
        <f>IFERROR(__xludf.DUMMYFUNCTION("""COMPUTED_VALUE"""),1.271355943E9)</f>
        <v>1271355943</v>
      </c>
      <c r="E116" s="88" t="str">
        <f>IFERROR(__xludf.DUMMYFUNCTION("""COMPUTED_VALUE"""),"qeep")</f>
        <v>qeep</v>
      </c>
      <c r="F116" s="88" t="str">
        <f>IFERROR(__xludf.DUMMYFUNCTION("""COMPUTED_VALUE"""),"Витамины группы B Qeep 60 капсул")</f>
        <v>Витамины группы B Qeep 60 капсул</v>
      </c>
      <c r="G116" s="88"/>
      <c r="H116" s="88"/>
      <c r="I116" s="88"/>
      <c r="J116" s="88"/>
      <c r="K116" s="242">
        <f>IFERROR(__xludf.DUMMYFUNCTION("""COMPUTED_VALUE"""),862.0)</f>
        <v>862</v>
      </c>
      <c r="L116" s="88"/>
      <c r="M116" s="243">
        <f>IFERROR(__xludf.DUMMYFUNCTION("""COMPUTED_VALUE"""),0.4329491698358222)</f>
        <v>0.4329491698</v>
      </c>
      <c r="N116" s="243">
        <f>IFERROR(__xludf.DUMMYFUNCTION("""COMPUTED_VALUE"""),0.433575271310639)</f>
        <v>0.4335752713</v>
      </c>
      <c r="O116" s="88"/>
      <c r="P116" s="88" t="str">
        <f>IFERROR(__xludf.DUMMYFUNCTION("""COMPUTED_VALUE"""),"C")</f>
        <v>C</v>
      </c>
      <c r="Q116" s="88" t="str">
        <f>IFERROR(__xludf.DUMMYFUNCTION("""COMPUTED_VALUE"""),"A")</f>
        <v>A</v>
      </c>
      <c r="R116" s="88"/>
      <c r="S116" s="88" t="str">
        <f>IFERROR(__xludf.DUMMYFUNCTION("""COMPUTED_VALUE"""),"На вывод")</f>
        <v>На вывод</v>
      </c>
      <c r="T116" s="88" t="str">
        <f>IFERROR(__xludf.DUMMYFUNCTION("""COMPUTED_VALUE"""),"Семен")</f>
        <v>Семен</v>
      </c>
      <c r="U116" s="240">
        <f>IFERROR(__xludf.DUMMYFUNCTION("""COMPUTED_VALUE"""),241.0)</f>
        <v>241</v>
      </c>
      <c r="V116" s="88"/>
      <c r="W116" s="240">
        <f>IFERROR(__xludf.DUMMYFUNCTION("""COMPUTED_VALUE"""),1205.0000000000002)</f>
        <v>1205</v>
      </c>
      <c r="X116" s="88"/>
      <c r="Y116" s="88"/>
      <c r="Z116" s="88"/>
      <c r="AA116" s="88"/>
      <c r="AC116" s="62" t="s">
        <v>116</v>
      </c>
    </row>
    <row r="117">
      <c r="A117" s="88"/>
      <c r="B117" s="88">
        <f>IFERROR(__xludf.DUMMYFUNCTION("""COMPUTED_VALUE"""),101.0)</f>
        <v>101</v>
      </c>
      <c r="C117" s="88" t="str">
        <f>IFERROR(__xludf.DUMMYFUNCTION("""COMPUTED_VALUE"""),"qeep_ginseng_60tabs")</f>
        <v>qeep_ginseng_60tabs</v>
      </c>
      <c r="D117" s="88">
        <f>IFERROR(__xludf.DUMMYFUNCTION("""COMPUTED_VALUE"""),9.46976846E8)</f>
        <v>946976846</v>
      </c>
      <c r="E117" s="88" t="str">
        <f>IFERROR(__xludf.DUMMYFUNCTION("""COMPUTED_VALUE"""),"qeep")</f>
        <v>qeep</v>
      </c>
      <c r="F117" s="88" t="str">
        <f>IFERROR(__xludf.DUMMYFUNCTION("""COMPUTED_VALUE"""),"Женьшень Qeep 60 таблеток")</f>
        <v>Женьшень Qeep 60 таблеток</v>
      </c>
      <c r="G117" s="88"/>
      <c r="H117" s="88"/>
      <c r="I117" s="88"/>
      <c r="J117" s="88"/>
      <c r="K117" s="242">
        <f>IFERROR(__xludf.DUMMYFUNCTION("""COMPUTED_VALUE"""),203.0)</f>
        <v>203</v>
      </c>
      <c r="L117" s="88"/>
      <c r="M117" s="243">
        <f>IFERROR(__xludf.DUMMYFUNCTION("""COMPUTED_VALUE"""),-0.4190265486725665)</f>
        <v>-0.4190265487</v>
      </c>
      <c r="N117" s="243">
        <f>IFERROR(__xludf.DUMMYFUNCTION("""COMPUTED_VALUE"""),-0.31433628318584084)</f>
        <v>-0.3143362832</v>
      </c>
      <c r="O117" s="88"/>
      <c r="P117" s="88" t="str">
        <f>IFERROR(__xludf.DUMMYFUNCTION("""COMPUTED_VALUE"""),"C")</f>
        <v>C</v>
      </c>
      <c r="Q117" s="88" t="str">
        <f>IFERROR(__xludf.DUMMYFUNCTION("""COMPUTED_VALUE"""),"C")</f>
        <v>C</v>
      </c>
      <c r="R117" s="88"/>
      <c r="S117" s="88" t="str">
        <f>IFERROR(__xludf.DUMMYFUNCTION("""COMPUTED_VALUE"""),"На вывод")</f>
        <v>На вывод</v>
      </c>
      <c r="T117" s="88" t="str">
        <f>IFERROR(__xludf.DUMMYFUNCTION("""COMPUTED_VALUE"""),"Семен")</f>
        <v>Семен</v>
      </c>
      <c r="U117" s="240">
        <f>IFERROR(__xludf.DUMMYFUNCTION("""COMPUTED_VALUE"""),146.1)</f>
        <v>146.1</v>
      </c>
      <c r="V117" s="88"/>
      <c r="W117" s="240">
        <f>IFERROR(__xludf.DUMMYFUNCTION("""COMPUTED_VALUE"""),730.5000000000001)</f>
        <v>730.5</v>
      </c>
      <c r="X117" s="88"/>
      <c r="Y117" s="88"/>
      <c r="Z117" s="88"/>
      <c r="AA117" s="88"/>
      <c r="AC117" s="62" t="s">
        <v>116</v>
      </c>
    </row>
    <row r="118">
      <c r="A118" s="88"/>
      <c r="B118" s="88">
        <f>IFERROR(__xludf.DUMMYFUNCTION("""COMPUTED_VALUE"""),102.0)</f>
        <v>102</v>
      </c>
      <c r="C118" s="88" t="str">
        <f>IFERROR(__xludf.DUMMYFUNCTION("""COMPUTED_VALUE"""),"qeep_beautybox")</f>
        <v>qeep_beautybox</v>
      </c>
      <c r="D118" s="88">
        <f>IFERROR(__xludf.DUMMYFUNCTION("""COMPUTED_VALUE"""),1.773312643E9)</f>
        <v>1773312643</v>
      </c>
      <c r="E118" s="88" t="str">
        <f>IFERROR(__xludf.DUMMYFUNCTION("""COMPUTED_VALUE"""),"qeep")</f>
        <v>qeep</v>
      </c>
      <c r="F118" s="88" t="str">
        <f>IFERROR(__xludf.DUMMYFUNCTION("""COMPUTED_VALUE"""),"Комплекс витаминов для женщин омега 3, биотин, коллаген qeep")</f>
        <v>Комплекс витаминов для женщин омега 3, биотин, коллаген qeep</v>
      </c>
      <c r="G118" s="88"/>
      <c r="H118" s="88"/>
      <c r="I118" s="88"/>
      <c r="J118" s="88"/>
      <c r="K118" s="242">
        <f>IFERROR(__xludf.DUMMYFUNCTION("""COMPUTED_VALUE"""),0.0)</f>
        <v>0</v>
      </c>
      <c r="L118" s="88"/>
      <c r="M118" s="243">
        <f>IFERROR(__xludf.DUMMYFUNCTION("""COMPUTED_VALUE"""),0.0)</f>
        <v>0</v>
      </c>
      <c r="N118" s="243">
        <f>IFERROR(__xludf.DUMMYFUNCTION("""COMPUTED_VALUE"""),0.0)</f>
        <v>0</v>
      </c>
      <c r="O118" s="88"/>
      <c r="P118" s="88" t="str">
        <f>IFERROR(__xludf.DUMMYFUNCTION("""COMPUTED_VALUE"""),"C")</f>
        <v>C</v>
      </c>
      <c r="Q118" s="88" t="str">
        <f>IFERROR(__xludf.DUMMYFUNCTION("""COMPUTED_VALUE"""),"C")</f>
        <v>C</v>
      </c>
      <c r="R118" s="88"/>
      <c r="S118" s="88" t="str">
        <f>IFERROR(__xludf.DUMMYFUNCTION("""COMPUTED_VALUE"""),"На вывод")</f>
        <v>На вывод</v>
      </c>
      <c r="T118" s="88" t="str">
        <f>IFERROR(__xludf.DUMMYFUNCTION("""COMPUTED_VALUE"""),"Семен")</f>
        <v>Семен</v>
      </c>
      <c r="U118" s="240">
        <f>IFERROR(__xludf.DUMMYFUNCTION("""COMPUTED_VALUE"""),948.204)</f>
        <v>948.204</v>
      </c>
      <c r="V118" s="88"/>
      <c r="W118" s="240">
        <f>IFERROR(__xludf.DUMMYFUNCTION("""COMPUTED_VALUE"""),4741.02)</f>
        <v>4741.02</v>
      </c>
      <c r="X118" s="88"/>
      <c r="Y118" s="88"/>
      <c r="Z118" s="88"/>
      <c r="AA118" s="88"/>
      <c r="AC118" s="62" t="s">
        <v>116</v>
      </c>
    </row>
    <row r="119">
      <c r="A119" s="88"/>
      <c r="B119" s="88">
        <f>IFERROR(__xludf.DUMMYFUNCTION("""COMPUTED_VALUE"""),103.0)</f>
        <v>103</v>
      </c>
      <c r="C119" s="88" t="str">
        <f>IFERROR(__xludf.DUMMYFUNCTION("""COMPUTED_VALUE"""),"qeep_winterbox")</f>
        <v>qeep_winterbox</v>
      </c>
      <c r="D119" s="88">
        <f>IFERROR(__xludf.DUMMYFUNCTION("""COMPUTED_VALUE"""),1.773357213E9)</f>
        <v>1773357213</v>
      </c>
      <c r="E119" s="88" t="str">
        <f>IFERROR(__xludf.DUMMYFUNCTION("""COMPUTED_VALUE"""),"qeep")</f>
        <v>qeep</v>
      </c>
      <c r="F119" s="88" t="str">
        <f>IFERROR(__xludf.DUMMYFUNCTION("""COMPUTED_VALUE"""),"Витамины для иммунитета комплекс Д3, витамин С и цинк хелат qeep")</f>
        <v>Витамины для иммунитета комплекс Д3, витамин С и цинк хелат qeep</v>
      </c>
      <c r="G119" s="88"/>
      <c r="H119" s="88"/>
      <c r="I119" s="88"/>
      <c r="J119" s="88"/>
      <c r="K119" s="242">
        <f>IFERROR(__xludf.DUMMYFUNCTION("""COMPUTED_VALUE"""),0.0)</f>
        <v>0</v>
      </c>
      <c r="L119" s="88"/>
      <c r="M119" s="243">
        <f>IFERROR(__xludf.DUMMYFUNCTION("""COMPUTED_VALUE"""),0.0)</f>
        <v>0</v>
      </c>
      <c r="N119" s="243">
        <f>IFERROR(__xludf.DUMMYFUNCTION("""COMPUTED_VALUE"""),0.0)</f>
        <v>0</v>
      </c>
      <c r="O119" s="88"/>
      <c r="P119" s="88" t="str">
        <f>IFERROR(__xludf.DUMMYFUNCTION("""COMPUTED_VALUE"""),"C")</f>
        <v>C</v>
      </c>
      <c r="Q119" s="88" t="str">
        <f>IFERROR(__xludf.DUMMYFUNCTION("""COMPUTED_VALUE"""),"C")</f>
        <v>C</v>
      </c>
      <c r="R119" s="88"/>
      <c r="S119" s="88" t="str">
        <f>IFERROR(__xludf.DUMMYFUNCTION("""COMPUTED_VALUE"""),"На вывод")</f>
        <v>На вывод</v>
      </c>
      <c r="T119" s="88" t="str">
        <f>IFERROR(__xludf.DUMMYFUNCTION("""COMPUTED_VALUE"""),"Семен")</f>
        <v>Семен</v>
      </c>
      <c r="U119" s="240">
        <f>IFERROR(__xludf.DUMMYFUNCTION("""COMPUTED_VALUE"""),511.4)</f>
        <v>511.4</v>
      </c>
      <c r="V119" s="88"/>
      <c r="W119" s="240">
        <f>IFERROR(__xludf.DUMMYFUNCTION("""COMPUTED_VALUE"""),2557.0000000000005)</f>
        <v>2557</v>
      </c>
      <c r="X119" s="88"/>
      <c r="Y119" s="88"/>
      <c r="Z119" s="88"/>
      <c r="AA119" s="88"/>
      <c r="AC119" s="62" t="s">
        <v>116</v>
      </c>
    </row>
    <row r="120">
      <c r="A120" s="88"/>
      <c r="B120" s="88">
        <f>IFERROR(__xludf.DUMMYFUNCTION("""COMPUTED_VALUE"""),104.0)</f>
        <v>104</v>
      </c>
      <c r="C120" s="88" t="str">
        <f>IFERROR(__xludf.DUMMYFUNCTION("""COMPUTED_VALUE"""),"qeeptripleiron")</f>
        <v>qeeptripleiron</v>
      </c>
      <c r="D120" s="88">
        <f>IFERROR(__xludf.DUMMYFUNCTION("""COMPUTED_VALUE"""),7.86142411E8)</f>
        <v>786142411</v>
      </c>
      <c r="E120" s="88" t="str">
        <f>IFERROR(__xludf.DUMMYFUNCTION("""COMPUTED_VALUE"""),"qeep")</f>
        <v>qeep</v>
      </c>
      <c r="F120" s="88" t="str">
        <f>IFERROR(__xludf.DUMMYFUNCTION("""COMPUTED_VALUE"""),"Железо хелат витамины 14 мг Qeep 60 капсул")</f>
        <v>Железо хелат витамины 14 мг Qeep 60 капсул</v>
      </c>
      <c r="G120" s="88"/>
      <c r="H120" s="88"/>
      <c r="I120" s="88"/>
      <c r="J120" s="88"/>
      <c r="K120" s="242">
        <f>IFERROR(__xludf.DUMMYFUNCTION("""COMPUTED_VALUE"""),0.0)</f>
        <v>0</v>
      </c>
      <c r="L120" s="88"/>
      <c r="M120" s="243">
        <f>IFERROR(__xludf.DUMMYFUNCTION("""COMPUTED_VALUE"""),0.0)</f>
        <v>0</v>
      </c>
      <c r="N120" s="243">
        <f>IFERROR(__xludf.DUMMYFUNCTION("""COMPUTED_VALUE"""),0.0)</f>
        <v>0</v>
      </c>
      <c r="O120" s="88"/>
      <c r="P120" s="88" t="str">
        <f>IFERROR(__xludf.DUMMYFUNCTION("""COMPUTED_VALUE"""),"C")</f>
        <v>C</v>
      </c>
      <c r="Q120" s="88" t="str">
        <f>IFERROR(__xludf.DUMMYFUNCTION("""COMPUTED_VALUE"""),"C")</f>
        <v>C</v>
      </c>
      <c r="R120" s="88"/>
      <c r="S120" s="88" t="str">
        <f>IFERROR(__xludf.DUMMYFUNCTION("""COMPUTED_VALUE"""),"На вывод")</f>
        <v>На вывод</v>
      </c>
      <c r="T120" s="88" t="str">
        <f>IFERROR(__xludf.DUMMYFUNCTION("""COMPUTED_VALUE"""),"Семен")</f>
        <v>Семен</v>
      </c>
      <c r="U120" s="240">
        <f>IFERROR(__xludf.DUMMYFUNCTION("""COMPUTED_VALUE"""),259.9)</f>
        <v>259.9</v>
      </c>
      <c r="V120" s="88"/>
      <c r="W120" s="240">
        <f>IFERROR(__xludf.DUMMYFUNCTION("""COMPUTED_VALUE"""),1299.5000000000002)</f>
        <v>1299.5</v>
      </c>
      <c r="X120" s="88"/>
      <c r="Y120" s="88"/>
      <c r="Z120" s="88"/>
      <c r="AA120" s="88"/>
      <c r="AC120" s="62" t="s">
        <v>116</v>
      </c>
    </row>
    <row r="121">
      <c r="A121" s="88"/>
      <c r="B121" s="88">
        <f>IFERROR(__xludf.DUMMYFUNCTION("""COMPUTED_VALUE"""),105.0)</f>
        <v>105</v>
      </c>
      <c r="C121" s="88" t="str">
        <f>IFERROR(__xludf.DUMMYFUNCTION("""COMPUTED_VALUE"""),"qeepselenium")</f>
        <v>qeepselenium</v>
      </c>
      <c r="D121" s="88">
        <f>IFERROR(__xludf.DUMMYFUNCTION("""COMPUTED_VALUE"""),8.09190803E8)</f>
        <v>809190803</v>
      </c>
      <c r="E121" s="88" t="str">
        <f>IFERROR(__xludf.DUMMYFUNCTION("""COMPUTED_VALUE"""),"qeep")</f>
        <v>qeep</v>
      </c>
      <c r="F121" s="88" t="str">
        <f>IFERROR(__xludf.DUMMYFUNCTION("""COMPUTED_VALUE"""),"Селен витамины 125 мкг Qeep 60 капсул")</f>
        <v>Селен витамины 125 мкг Qeep 60 капсул</v>
      </c>
      <c r="G121" s="88"/>
      <c r="H121" s="88"/>
      <c r="I121" s="88"/>
      <c r="J121" s="88"/>
      <c r="K121" s="242">
        <f>IFERROR(__xludf.DUMMYFUNCTION("""COMPUTED_VALUE"""),0.0)</f>
        <v>0</v>
      </c>
      <c r="L121" s="88"/>
      <c r="M121" s="243">
        <f>IFERROR(__xludf.DUMMYFUNCTION("""COMPUTED_VALUE"""),0.0)</f>
        <v>0</v>
      </c>
      <c r="N121" s="243">
        <f>IFERROR(__xludf.DUMMYFUNCTION("""COMPUTED_VALUE"""),0.0)</f>
        <v>0</v>
      </c>
      <c r="O121" s="88"/>
      <c r="P121" s="88" t="str">
        <f>IFERROR(__xludf.DUMMYFUNCTION("""COMPUTED_VALUE"""),"C")</f>
        <v>C</v>
      </c>
      <c r="Q121" s="88" t="str">
        <f>IFERROR(__xludf.DUMMYFUNCTION("""COMPUTED_VALUE"""),"C")</f>
        <v>C</v>
      </c>
      <c r="R121" s="88"/>
      <c r="S121" s="88" t="str">
        <f>IFERROR(__xludf.DUMMYFUNCTION("""COMPUTED_VALUE"""),"На вывод")</f>
        <v>На вывод</v>
      </c>
      <c r="T121" s="88" t="str">
        <f>IFERROR(__xludf.DUMMYFUNCTION("""COMPUTED_VALUE"""),"Семен")</f>
        <v>Семен</v>
      </c>
      <c r="U121" s="240">
        <f>IFERROR(__xludf.DUMMYFUNCTION("""COMPUTED_VALUE"""),123.79)</f>
        <v>123.79</v>
      </c>
      <c r="V121" s="88"/>
      <c r="W121" s="240">
        <f>IFERROR(__xludf.DUMMYFUNCTION("""COMPUTED_VALUE"""),618.9500000000002)</f>
        <v>618.95</v>
      </c>
      <c r="X121" s="88"/>
      <c r="Y121" s="88"/>
      <c r="Z121" s="88"/>
      <c r="AA121" s="88"/>
      <c r="AC121" s="62" t="s">
        <v>116</v>
      </c>
    </row>
    <row r="122">
      <c r="A122" s="88"/>
      <c r="B122" s="88">
        <f>IFERROR(__xludf.DUMMYFUNCTION("""COMPUTED_VALUE"""),106.0)</f>
        <v>106</v>
      </c>
      <c r="C122" s="88" t="str">
        <f>IFERROR(__xludf.DUMMYFUNCTION("""COMPUTED_VALUE"""),"qeep_calcium_90caps")</f>
        <v>qeep_calcium_90caps</v>
      </c>
      <c r="D122" s="88">
        <f>IFERROR(__xludf.DUMMYFUNCTION("""COMPUTED_VALUE"""),1.180963859E9)</f>
        <v>1180963859</v>
      </c>
      <c r="E122" s="88" t="str">
        <f>IFERROR(__xludf.DUMMYFUNCTION("""COMPUTED_VALUE"""),"qeep")</f>
        <v>qeep</v>
      </c>
      <c r="F122" s="88" t="str">
        <f>IFERROR(__xludf.DUMMYFUNCTION("""COMPUTED_VALUE"""),"Кальций 320 мг Qeep 90 капсул")</f>
        <v>Кальций 320 мг Qeep 90 капсул</v>
      </c>
      <c r="G122" s="88"/>
      <c r="H122" s="88"/>
      <c r="I122" s="88"/>
      <c r="J122" s="88"/>
      <c r="K122" s="242">
        <f>IFERROR(__xludf.DUMMYFUNCTION("""COMPUTED_VALUE"""),0.0)</f>
        <v>0</v>
      </c>
      <c r="L122" s="88"/>
      <c r="M122" s="243">
        <f>IFERROR(__xludf.DUMMYFUNCTION("""COMPUTED_VALUE"""),0.0)</f>
        <v>0</v>
      </c>
      <c r="N122" s="243">
        <f>IFERROR(__xludf.DUMMYFUNCTION("""COMPUTED_VALUE"""),0.0)</f>
        <v>0</v>
      </c>
      <c r="O122" s="88"/>
      <c r="P122" s="88" t="str">
        <f>IFERROR(__xludf.DUMMYFUNCTION("""COMPUTED_VALUE"""),"C")</f>
        <v>C</v>
      </c>
      <c r="Q122" s="88" t="str">
        <f>IFERROR(__xludf.DUMMYFUNCTION("""COMPUTED_VALUE"""),"C")</f>
        <v>C</v>
      </c>
      <c r="R122" s="88"/>
      <c r="S122" s="88" t="str">
        <f>IFERROR(__xludf.DUMMYFUNCTION("""COMPUTED_VALUE"""),"На вывод")</f>
        <v>На вывод</v>
      </c>
      <c r="T122" s="88" t="str">
        <f>IFERROR(__xludf.DUMMYFUNCTION("""COMPUTED_VALUE"""),"Семен")</f>
        <v>Семен</v>
      </c>
      <c r="U122" s="240">
        <f>IFERROR(__xludf.DUMMYFUNCTION("""COMPUTED_VALUE"""),204.0)</f>
        <v>204</v>
      </c>
      <c r="V122" s="88"/>
      <c r="W122" s="240">
        <f>IFERROR(__xludf.DUMMYFUNCTION("""COMPUTED_VALUE"""),1020.0000000000002)</f>
        <v>1020</v>
      </c>
      <c r="X122" s="88"/>
      <c r="Y122" s="88"/>
      <c r="Z122" s="88"/>
      <c r="AA122" s="88"/>
      <c r="AC122" s="62" t="s">
        <v>116</v>
      </c>
    </row>
    <row r="123">
      <c r="A123" s="88"/>
      <c r="B123" s="88">
        <f>IFERROR(__xludf.DUMMYFUNCTION("""COMPUTED_VALUE"""),107.0)</f>
        <v>107</v>
      </c>
      <c r="C123" s="88" t="str">
        <f>IFERROR(__xludf.DUMMYFUNCTION("""COMPUTED_VALUE"""),"qeep_iodine_60caps")</f>
        <v>qeep_iodine_60caps</v>
      </c>
      <c r="D123" s="88">
        <f>IFERROR(__xludf.DUMMYFUNCTION("""COMPUTED_VALUE"""),1.271349661E9)</f>
        <v>1271349661</v>
      </c>
      <c r="E123" s="88" t="str">
        <f>IFERROR(__xludf.DUMMYFUNCTION("""COMPUTED_VALUE"""),"qeep")</f>
        <v>qeep</v>
      </c>
      <c r="F123" s="88" t="str">
        <f>IFERROR(__xludf.DUMMYFUNCTION("""COMPUTED_VALUE"""),"Йод 200 мкг Qeep 60 капсул")</f>
        <v>Йод 200 мкг Qeep 60 капсул</v>
      </c>
      <c r="G123" s="88"/>
      <c r="H123" s="88"/>
      <c r="I123" s="88"/>
      <c r="J123" s="88"/>
      <c r="K123" s="242">
        <f>IFERROR(__xludf.DUMMYFUNCTION("""COMPUTED_VALUE"""),350.0)</f>
        <v>350</v>
      </c>
      <c r="L123" s="88"/>
      <c r="M123" s="243">
        <f>IFERROR(__xludf.DUMMYFUNCTION("""COMPUTED_VALUE"""),-0.09960709759188861)</f>
        <v>-0.09960709759</v>
      </c>
      <c r="N123" s="243">
        <f>IFERROR(__xludf.DUMMYFUNCTION("""COMPUTED_VALUE"""),0.0034030418250949185)</f>
        <v>0.003403041825</v>
      </c>
      <c r="O123" s="88"/>
      <c r="P123" s="88" t="str">
        <f>IFERROR(__xludf.DUMMYFUNCTION("""COMPUTED_VALUE"""),"C")</f>
        <v>C</v>
      </c>
      <c r="Q123" s="88" t="str">
        <f>IFERROR(__xludf.DUMMYFUNCTION("""COMPUTED_VALUE"""),"C")</f>
        <v>C</v>
      </c>
      <c r="R123" s="88"/>
      <c r="S123" s="88" t="str">
        <f>IFERROR(__xludf.DUMMYFUNCTION("""COMPUTED_VALUE"""),"На вывод")</f>
        <v>На вывод</v>
      </c>
      <c r="T123" s="88" t="str">
        <f>IFERROR(__xludf.DUMMYFUNCTION("""COMPUTED_VALUE"""),"Семен")</f>
        <v>Семен</v>
      </c>
      <c r="U123" s="240">
        <f>IFERROR(__xludf.DUMMYFUNCTION("""COMPUTED_VALUE"""),158.51000000000002)</f>
        <v>158.51</v>
      </c>
      <c r="V123" s="88"/>
      <c r="W123" s="240">
        <f>IFERROR(__xludf.DUMMYFUNCTION("""COMPUTED_VALUE"""),792.5500000000003)</f>
        <v>792.55</v>
      </c>
      <c r="X123" s="88"/>
      <c r="Y123" s="88"/>
      <c r="Z123" s="88"/>
      <c r="AA123" s="88"/>
      <c r="AC123" s="62" t="s">
        <v>116</v>
      </c>
    </row>
    <row r="124">
      <c r="A124" s="88"/>
      <c r="B124" s="88">
        <f>IFERROR(__xludf.DUMMYFUNCTION("""COMPUTED_VALUE"""),108.0)</f>
        <v>108</v>
      </c>
      <c r="C124" s="88" t="str">
        <f>IFERROR(__xludf.DUMMYFUNCTION("""COMPUTED_VALUE"""),"qeep_zinc_30tabs")</f>
        <v>qeep_zinc_30tabs</v>
      </c>
      <c r="D124" s="88">
        <f>IFERROR(__xludf.DUMMYFUNCTION("""COMPUTED_VALUE"""),1.56674041E9)</f>
        <v>1566740410</v>
      </c>
      <c r="E124" s="88" t="str">
        <f>IFERROR(__xludf.DUMMYFUNCTION("""COMPUTED_VALUE"""),"qeep")</f>
        <v>qeep</v>
      </c>
      <c r="F124" s="88" t="str">
        <f>IFERROR(__xludf.DUMMYFUNCTION("""COMPUTED_VALUE"""),"Цинк хелат 25 мг Qeep 30 таблеток")</f>
        <v>Цинк хелат 25 мг Qeep 30 таблеток</v>
      </c>
      <c r="G124" s="88"/>
      <c r="H124" s="88"/>
      <c r="I124" s="88"/>
      <c r="J124" s="88"/>
      <c r="K124" s="242">
        <f>IFERROR(__xludf.DUMMYFUNCTION("""COMPUTED_VALUE"""),0.0)</f>
        <v>0</v>
      </c>
      <c r="L124" s="88"/>
      <c r="M124" s="243">
        <f>IFERROR(__xludf.DUMMYFUNCTION("""COMPUTED_VALUE"""),0.0)</f>
        <v>0</v>
      </c>
      <c r="N124" s="243">
        <f>IFERROR(__xludf.DUMMYFUNCTION("""COMPUTED_VALUE"""),0.0)</f>
        <v>0</v>
      </c>
      <c r="O124" s="88"/>
      <c r="P124" s="88" t="str">
        <f>IFERROR(__xludf.DUMMYFUNCTION("""COMPUTED_VALUE"""),"C")</f>
        <v>C</v>
      </c>
      <c r="Q124" s="88" t="str">
        <f>IFERROR(__xludf.DUMMYFUNCTION("""COMPUTED_VALUE"""),"C")</f>
        <v>C</v>
      </c>
      <c r="R124" s="88"/>
      <c r="S124" s="88" t="str">
        <f>IFERROR(__xludf.DUMMYFUNCTION("""COMPUTED_VALUE"""),"На вывод")</f>
        <v>На вывод</v>
      </c>
      <c r="T124" s="88" t="str">
        <f>IFERROR(__xludf.DUMMYFUNCTION("""COMPUTED_VALUE"""),"Семен")</f>
        <v>Семен</v>
      </c>
      <c r="U124" s="240">
        <f>IFERROR(__xludf.DUMMYFUNCTION("""COMPUTED_VALUE"""),100.4)</f>
        <v>100.4</v>
      </c>
      <c r="V124" s="88"/>
      <c r="W124" s="240">
        <f>IFERROR(__xludf.DUMMYFUNCTION("""COMPUTED_VALUE"""),502.0000000000001)</f>
        <v>502</v>
      </c>
      <c r="X124" s="88"/>
      <c r="Y124" s="88"/>
      <c r="Z124" s="88"/>
      <c r="AA124" s="88"/>
      <c r="AC124" s="62" t="s">
        <v>116</v>
      </c>
    </row>
    <row r="125">
      <c r="A125" s="88"/>
      <c r="B125" s="88">
        <f>IFERROR(__xludf.DUMMYFUNCTION("""COMPUTED_VALUE"""),109.0)</f>
        <v>109</v>
      </c>
      <c r="C125" s="88" t="str">
        <f>IFERROR(__xludf.DUMMYFUNCTION("""COMPUTED_VALUE"""),"qeepchrom1+1")</f>
        <v>qeepchrom1+1</v>
      </c>
      <c r="D125" s="88">
        <f>IFERROR(__xludf.DUMMYFUNCTION("""COMPUTED_VALUE"""),9.83821094E8)</f>
        <v>983821094</v>
      </c>
      <c r="E125" s="88" t="str">
        <f>IFERROR(__xludf.DUMMYFUNCTION("""COMPUTED_VALUE"""),"qeep")</f>
        <v>qeep</v>
      </c>
      <c r="F125" s="88" t="str">
        <f>IFERROR(__xludf.DUMMYFUNCTION("""COMPUTED_VALUE"""),"Пиколинат хрома 280 мг Qeep 60+60 капсул")</f>
        <v>Пиколинат хрома 280 мг Qeep 60+60 капсул</v>
      </c>
      <c r="G125" s="88"/>
      <c r="H125" s="88"/>
      <c r="I125" s="88"/>
      <c r="J125" s="88"/>
      <c r="K125" s="242">
        <f>IFERROR(__xludf.DUMMYFUNCTION("""COMPUTED_VALUE"""),0.0)</f>
        <v>0</v>
      </c>
      <c r="L125" s="88"/>
      <c r="M125" s="243">
        <f>IFERROR(__xludf.DUMMYFUNCTION("""COMPUTED_VALUE"""),0.0)</f>
        <v>0</v>
      </c>
      <c r="N125" s="243">
        <f>IFERROR(__xludf.DUMMYFUNCTION("""COMPUTED_VALUE"""),0.0)</f>
        <v>0</v>
      </c>
      <c r="O125" s="88"/>
      <c r="P125" s="88" t="str">
        <f>IFERROR(__xludf.DUMMYFUNCTION("""COMPUTED_VALUE"""),"C")</f>
        <v>C</v>
      </c>
      <c r="Q125" s="88" t="str">
        <f>IFERROR(__xludf.DUMMYFUNCTION("""COMPUTED_VALUE"""),"C")</f>
        <v>C</v>
      </c>
      <c r="R125" s="88"/>
      <c r="S125" s="88" t="str">
        <f>IFERROR(__xludf.DUMMYFUNCTION("""COMPUTED_VALUE"""),"На вывод")</f>
        <v>На вывод</v>
      </c>
      <c r="T125" s="88" t="str">
        <f>IFERROR(__xludf.DUMMYFUNCTION("""COMPUTED_VALUE"""),"Семен")</f>
        <v>Семен</v>
      </c>
      <c r="U125" s="240">
        <f>IFERROR(__xludf.DUMMYFUNCTION("""COMPUTED_VALUE"""),389.20000000000005)</f>
        <v>389.2</v>
      </c>
      <c r="V125" s="88"/>
      <c r="W125" s="240">
        <f>IFERROR(__xludf.DUMMYFUNCTION("""COMPUTED_VALUE"""),1946.0000000000007)</f>
        <v>1946</v>
      </c>
      <c r="X125" s="88"/>
      <c r="Y125" s="88"/>
      <c r="Z125" s="88"/>
      <c r="AA125" s="88"/>
      <c r="AC125" s="62" t="s">
        <v>116</v>
      </c>
    </row>
    <row r="126">
      <c r="A126" s="88"/>
      <c r="B126" s="88">
        <f>IFERROR(__xludf.DUMMYFUNCTION("""COMPUTED_VALUE"""),110.0)</f>
        <v>110</v>
      </c>
      <c r="C126" s="88" t="str">
        <f>IFERROR(__xludf.DUMMYFUNCTION("""COMPUTED_VALUE"""),"qeepmctd3")</f>
        <v>qeepmctd3</v>
      </c>
      <c r="D126" s="88">
        <f>IFERROR(__xludf.DUMMYFUNCTION("""COMPUTED_VALUE"""),7.82091641E8)</f>
        <v>782091641</v>
      </c>
      <c r="E126" s="88" t="str">
        <f>IFERROR(__xludf.DUMMYFUNCTION("""COMPUTED_VALUE"""),"qeep")</f>
        <v>qeep</v>
      </c>
      <c r="F126" s="88" t="str">
        <f>IFERROR(__xludf.DUMMYFUNCTION("""COMPUTED_VALUE"""),"Масло мст + Витамин Д3 600 МЕ Qeep 60 капсул")</f>
        <v>Масло мст + Витамин Д3 600 МЕ Qeep 60 капсул</v>
      </c>
      <c r="G126" s="88"/>
      <c r="H126" s="88"/>
      <c r="I126" s="88"/>
      <c r="J126" s="88"/>
      <c r="K126" s="242">
        <f>IFERROR(__xludf.DUMMYFUNCTION("""COMPUTED_VALUE"""),0.0)</f>
        <v>0</v>
      </c>
      <c r="L126" s="88"/>
      <c r="M126" s="243">
        <f>IFERROR(__xludf.DUMMYFUNCTION("""COMPUTED_VALUE"""),0.0)</f>
        <v>0</v>
      </c>
      <c r="N126" s="243">
        <f>IFERROR(__xludf.DUMMYFUNCTION("""COMPUTED_VALUE"""),0.0)</f>
        <v>0</v>
      </c>
      <c r="O126" s="88"/>
      <c r="P126" s="88" t="str">
        <f>IFERROR(__xludf.DUMMYFUNCTION("""COMPUTED_VALUE"""),"C")</f>
        <v>C</v>
      </c>
      <c r="Q126" s="88" t="str">
        <f>IFERROR(__xludf.DUMMYFUNCTION("""COMPUTED_VALUE"""),"C")</f>
        <v>C</v>
      </c>
      <c r="R126" s="88"/>
      <c r="S126" s="88" t="str">
        <f>IFERROR(__xludf.DUMMYFUNCTION("""COMPUTED_VALUE"""),"На вывод")</f>
        <v>На вывод</v>
      </c>
      <c r="T126" s="88" t="str">
        <f>IFERROR(__xludf.DUMMYFUNCTION("""COMPUTED_VALUE"""),"Семен")</f>
        <v>Семен</v>
      </c>
      <c r="U126" s="240">
        <f>IFERROR(__xludf.DUMMYFUNCTION("""COMPUTED_VALUE"""),143.3)</f>
        <v>143.3</v>
      </c>
      <c r="V126" s="88"/>
      <c r="W126" s="240">
        <f>IFERROR(__xludf.DUMMYFUNCTION("""COMPUTED_VALUE"""),716.5000000000002)</f>
        <v>716.5</v>
      </c>
      <c r="X126" s="88"/>
      <c r="Y126" s="88"/>
      <c r="Z126" s="88"/>
      <c r="AA126" s="88"/>
      <c r="AC126" s="62" t="s">
        <v>116</v>
      </c>
    </row>
    <row r="127">
      <c r="A127" s="88"/>
      <c r="B127" s="88">
        <f>IFERROR(__xludf.DUMMYFUNCTION("""COMPUTED_VALUE"""),111.0)</f>
        <v>111</v>
      </c>
      <c r="C127" s="88" t="str">
        <f>IFERROR(__xludf.DUMMYFUNCTION("""COMPUTED_VALUE"""),"qeepd3k2")</f>
        <v>qeepd3k2</v>
      </c>
      <c r="D127" s="88">
        <f>IFERROR(__xludf.DUMMYFUNCTION("""COMPUTED_VALUE"""),7.84856113E8)</f>
        <v>784856113</v>
      </c>
      <c r="E127" s="88" t="str">
        <f>IFERROR(__xludf.DUMMYFUNCTION("""COMPUTED_VALUE"""),"qeep")</f>
        <v>qeep</v>
      </c>
      <c r="F127" s="88" t="str">
        <f>IFERROR(__xludf.DUMMYFUNCTION("""COMPUTED_VALUE"""),"Витамин Д3 5 мкг и Витамин К2 6 мкг Qeep 60 капсул")</f>
        <v>Витамин Д3 5 мкг и Витамин К2 6 мкг Qeep 60 капсул</v>
      </c>
      <c r="G127" s="88"/>
      <c r="H127" s="88"/>
      <c r="I127" s="88"/>
      <c r="J127" s="88"/>
      <c r="K127" s="242">
        <f>IFERROR(__xludf.DUMMYFUNCTION("""COMPUTED_VALUE"""),0.0)</f>
        <v>0</v>
      </c>
      <c r="L127" s="88"/>
      <c r="M127" s="243">
        <f>IFERROR(__xludf.DUMMYFUNCTION("""COMPUTED_VALUE"""),0.0)</f>
        <v>0</v>
      </c>
      <c r="N127" s="243">
        <f>IFERROR(__xludf.DUMMYFUNCTION("""COMPUTED_VALUE"""),0.0)</f>
        <v>0</v>
      </c>
      <c r="O127" s="88"/>
      <c r="P127" s="88" t="str">
        <f>IFERROR(__xludf.DUMMYFUNCTION("""COMPUTED_VALUE"""),"C")</f>
        <v>C</v>
      </c>
      <c r="Q127" s="88" t="str">
        <f>IFERROR(__xludf.DUMMYFUNCTION("""COMPUTED_VALUE"""),"C")</f>
        <v>C</v>
      </c>
      <c r="R127" s="88"/>
      <c r="S127" s="88" t="str">
        <f>IFERROR(__xludf.DUMMYFUNCTION("""COMPUTED_VALUE"""),"На вывод")</f>
        <v>На вывод</v>
      </c>
      <c r="T127" s="88" t="str">
        <f>IFERROR(__xludf.DUMMYFUNCTION("""COMPUTED_VALUE"""),"Семен")</f>
        <v>Семен</v>
      </c>
      <c r="U127" s="240">
        <f>IFERROR(__xludf.DUMMYFUNCTION("""COMPUTED_VALUE"""),217.04)</f>
        <v>217.04</v>
      </c>
      <c r="V127" s="88"/>
      <c r="W127" s="240">
        <f>IFERROR(__xludf.DUMMYFUNCTION("""COMPUTED_VALUE"""),1085.2000000000003)</f>
        <v>1085.2</v>
      </c>
      <c r="X127" s="88"/>
      <c r="Y127" s="88"/>
      <c r="Z127" s="88"/>
      <c r="AA127" s="88"/>
      <c r="AC127" s="62" t="s">
        <v>116</v>
      </c>
    </row>
    <row r="128">
      <c r="A128" s="88"/>
      <c r="B128" s="88">
        <f>IFERROR(__xludf.DUMMYFUNCTION("""COMPUTED_VALUE"""),112.0)</f>
        <v>112</v>
      </c>
      <c r="C128" s="88" t="str">
        <f>IFERROR(__xludf.DUMMYFUNCTION("""COMPUTED_VALUE"""),"qeepd3k3_1+1")</f>
        <v>qeepd3k3_1+1</v>
      </c>
      <c r="D128" s="88">
        <f>IFERROR(__xludf.DUMMYFUNCTION("""COMPUTED_VALUE"""),9.01402455E8)</f>
        <v>901402455</v>
      </c>
      <c r="E128" s="88" t="str">
        <f>IFERROR(__xludf.DUMMYFUNCTION("""COMPUTED_VALUE"""),"qeep")</f>
        <v>qeep</v>
      </c>
      <c r="F128" s="88" t="str">
        <f>IFERROR(__xludf.DUMMYFUNCTION("""COMPUTED_VALUE"""),"Витамин Д3 5 мкг и Витамин К2 6 мкг Qeep 60+60 капсул")</f>
        <v>Витамин Д3 5 мкг и Витамин К2 6 мкг Qeep 60+60 капсул</v>
      </c>
      <c r="G128" s="88"/>
      <c r="H128" s="88"/>
      <c r="I128" s="88"/>
      <c r="J128" s="88"/>
      <c r="K128" s="242">
        <f>IFERROR(__xludf.DUMMYFUNCTION("""COMPUTED_VALUE"""),0.0)</f>
        <v>0</v>
      </c>
      <c r="L128" s="88"/>
      <c r="M128" s="243">
        <f>IFERROR(__xludf.DUMMYFUNCTION("""COMPUTED_VALUE"""),0.0)</f>
        <v>0</v>
      </c>
      <c r="N128" s="243">
        <f>IFERROR(__xludf.DUMMYFUNCTION("""COMPUTED_VALUE"""),0.0)</f>
        <v>0</v>
      </c>
      <c r="O128" s="88"/>
      <c r="P128" s="88" t="str">
        <f>IFERROR(__xludf.DUMMYFUNCTION("""COMPUTED_VALUE"""),"C")</f>
        <v>C</v>
      </c>
      <c r="Q128" s="88" t="str">
        <f>IFERROR(__xludf.DUMMYFUNCTION("""COMPUTED_VALUE"""),"C")</f>
        <v>C</v>
      </c>
      <c r="R128" s="88"/>
      <c r="S128" s="88" t="str">
        <f>IFERROR(__xludf.DUMMYFUNCTION("""COMPUTED_VALUE"""),"На вывод")</f>
        <v>На вывод</v>
      </c>
      <c r="T128" s="88" t="str">
        <f>IFERROR(__xludf.DUMMYFUNCTION("""COMPUTED_VALUE"""),"Семен")</f>
        <v>Семен</v>
      </c>
      <c r="U128" s="240">
        <f>IFERROR(__xludf.DUMMYFUNCTION("""COMPUTED_VALUE"""),434.08)</f>
        <v>434.08</v>
      </c>
      <c r="V128" s="88"/>
      <c r="W128" s="240">
        <f>IFERROR(__xludf.DUMMYFUNCTION("""COMPUTED_VALUE"""),2170.4000000000005)</f>
        <v>2170.4</v>
      </c>
      <c r="X128" s="88"/>
      <c r="Y128" s="88"/>
      <c r="Z128" s="88"/>
      <c r="AA128" s="88"/>
      <c r="AC128" s="62" t="s">
        <v>116</v>
      </c>
    </row>
    <row r="129">
      <c r="A129" s="88"/>
      <c r="B129" s="88">
        <f>IFERROR(__xludf.DUMMYFUNCTION("""COMPUTED_VALUE"""),113.0)</f>
        <v>113</v>
      </c>
      <c r="C129" s="88" t="str">
        <f>IFERROR(__xludf.DUMMYFUNCTION("""COMPUTED_VALUE"""),"qeepvitakids")</f>
        <v>qeepvitakids</v>
      </c>
      <c r="D129" s="88">
        <f>IFERROR(__xludf.DUMMYFUNCTION("""COMPUTED_VALUE"""),6.37790722E8)</f>
        <v>637790722</v>
      </c>
      <c r="E129" s="88" t="str">
        <f>IFERROR(__xludf.DUMMYFUNCTION("""COMPUTED_VALUE"""),"qeep")</f>
        <v>qeep</v>
      </c>
      <c r="F129" s="88" t="str">
        <f>IFERROR(__xludf.DUMMYFUNCTION("""COMPUTED_VALUE"""),"Витамины для детей Qeep 60 жевательных таблеток")</f>
        <v>Витамины для детей Qeep 60 жевательных таблеток</v>
      </c>
      <c r="G129" s="88"/>
      <c r="H129" s="88"/>
      <c r="I129" s="88"/>
      <c r="J129" s="88"/>
      <c r="K129" s="242">
        <f>IFERROR(__xludf.DUMMYFUNCTION("""COMPUTED_VALUE"""),0.0)</f>
        <v>0</v>
      </c>
      <c r="L129" s="88"/>
      <c r="M129" s="243">
        <f>IFERROR(__xludf.DUMMYFUNCTION("""COMPUTED_VALUE"""),0.0)</f>
        <v>0</v>
      </c>
      <c r="N129" s="243">
        <f>IFERROR(__xludf.DUMMYFUNCTION("""COMPUTED_VALUE"""),0.0)</f>
        <v>0</v>
      </c>
      <c r="O129" s="88"/>
      <c r="P129" s="88" t="str">
        <f>IFERROR(__xludf.DUMMYFUNCTION("""COMPUTED_VALUE"""),"C")</f>
        <v>C</v>
      </c>
      <c r="Q129" s="88" t="str">
        <f>IFERROR(__xludf.DUMMYFUNCTION("""COMPUTED_VALUE"""),"C")</f>
        <v>C</v>
      </c>
      <c r="R129" s="88"/>
      <c r="S129" s="88" t="str">
        <f>IFERROR(__xludf.DUMMYFUNCTION("""COMPUTED_VALUE"""),"На вывод")</f>
        <v>На вывод</v>
      </c>
      <c r="T129" s="88" t="str">
        <f>IFERROR(__xludf.DUMMYFUNCTION("""COMPUTED_VALUE"""),"Семен")</f>
        <v>Семен</v>
      </c>
      <c r="U129" s="240">
        <f>IFERROR(__xludf.DUMMYFUNCTION("""COMPUTED_VALUE"""),244.04)</f>
        <v>244.04</v>
      </c>
      <c r="V129" s="88"/>
      <c r="W129" s="240">
        <f>IFERROR(__xludf.DUMMYFUNCTION("""COMPUTED_VALUE"""),1220.2000000000003)</f>
        <v>1220.2</v>
      </c>
      <c r="X129" s="88"/>
      <c r="Y129" s="88"/>
      <c r="Z129" s="88"/>
      <c r="AA129" s="88"/>
      <c r="AC129" s="62" t="s">
        <v>116</v>
      </c>
    </row>
    <row r="130">
      <c r="A130" s="88"/>
      <c r="B130" s="88">
        <f>IFERROR(__xludf.DUMMYFUNCTION("""COMPUTED_VALUE"""),114.0)</f>
        <v>114</v>
      </c>
      <c r="C130" s="88" t="str">
        <f>IFERROR(__xludf.DUMMYFUNCTION("""COMPUTED_VALUE"""),"qeep_dinokids_30caps")</f>
        <v>qeep_dinokids_30caps</v>
      </c>
      <c r="D130" s="88">
        <f>IFERROR(__xludf.DUMMYFUNCTION("""COMPUTED_VALUE"""),9.67716766E8)</f>
        <v>967716766</v>
      </c>
      <c r="E130" s="88" t="str">
        <f>IFERROR(__xludf.DUMMYFUNCTION("""COMPUTED_VALUE"""),"qeep")</f>
        <v>qeep</v>
      </c>
      <c r="F130" s="88" t="str">
        <f>IFERROR(__xludf.DUMMYFUNCTION("""COMPUTED_VALUE"""),"Витамины бады для детей мультивитамины жевательные детские")</f>
        <v>Витамины бады для детей мультивитамины жевательные детские</v>
      </c>
      <c r="G130" s="88"/>
      <c r="H130" s="88"/>
      <c r="I130" s="88"/>
      <c r="J130" s="88"/>
      <c r="K130" s="242">
        <f>IFERROR(__xludf.DUMMYFUNCTION("""COMPUTED_VALUE"""),0.0)</f>
        <v>0</v>
      </c>
      <c r="L130" s="88"/>
      <c r="M130" s="243">
        <f>IFERROR(__xludf.DUMMYFUNCTION("""COMPUTED_VALUE"""),0.0)</f>
        <v>0</v>
      </c>
      <c r="N130" s="243">
        <f>IFERROR(__xludf.DUMMYFUNCTION("""COMPUTED_VALUE"""),0.0)</f>
        <v>0</v>
      </c>
      <c r="O130" s="88"/>
      <c r="P130" s="88" t="str">
        <f>IFERROR(__xludf.DUMMYFUNCTION("""COMPUTED_VALUE"""),"C")</f>
        <v>C</v>
      </c>
      <c r="Q130" s="88" t="str">
        <f>IFERROR(__xludf.DUMMYFUNCTION("""COMPUTED_VALUE"""),"C")</f>
        <v>C</v>
      </c>
      <c r="R130" s="88"/>
      <c r="S130" s="88" t="str">
        <f>IFERROR(__xludf.DUMMYFUNCTION("""COMPUTED_VALUE"""),"На вывод")</f>
        <v>На вывод</v>
      </c>
      <c r="T130" s="88" t="str">
        <f>IFERROR(__xludf.DUMMYFUNCTION("""COMPUTED_VALUE"""),"Семен")</f>
        <v>Семен</v>
      </c>
      <c r="U130" s="240">
        <f>IFERROR(__xludf.DUMMYFUNCTION("""COMPUTED_VALUE"""),191.0)</f>
        <v>191</v>
      </c>
      <c r="V130" s="88"/>
      <c r="W130" s="240">
        <f>IFERROR(__xludf.DUMMYFUNCTION("""COMPUTED_VALUE"""),955.0000000000002)</f>
        <v>955</v>
      </c>
      <c r="X130" s="88"/>
      <c r="Y130" s="88"/>
      <c r="Z130" s="88"/>
      <c r="AA130" s="88"/>
      <c r="AC130" s="62" t="s">
        <v>116</v>
      </c>
    </row>
    <row r="131">
      <c r="A131" s="88"/>
      <c r="B131" s="88">
        <f>IFERROR(__xludf.DUMMYFUNCTION("""COMPUTED_VALUE"""),115.0)</f>
        <v>115</v>
      </c>
      <c r="C131" s="88" t="str">
        <f>IFERROR(__xludf.DUMMYFUNCTION("""COMPUTED_VALUE"""),"qeepwomenmulti")</f>
        <v>qeepwomenmulti</v>
      </c>
      <c r="D131" s="88">
        <f>IFERROR(__xludf.DUMMYFUNCTION("""COMPUTED_VALUE"""),6.17417253E8)</f>
        <v>617417253</v>
      </c>
      <c r="E131" s="88" t="str">
        <f>IFERROR(__xludf.DUMMYFUNCTION("""COMPUTED_VALUE"""),"qeep")</f>
        <v>qeep</v>
      </c>
      <c r="F131" s="88" t="str">
        <f>IFERROR(__xludf.DUMMYFUNCTION("""COMPUTED_VALUE"""),"Витамины для женщин Qeep 30 капсул")</f>
        <v>Витамины для женщин Qeep 30 капсул</v>
      </c>
      <c r="G131" s="88"/>
      <c r="H131" s="88"/>
      <c r="I131" s="88"/>
      <c r="J131" s="88"/>
      <c r="K131" s="242">
        <f>IFERROR(__xludf.DUMMYFUNCTION("""COMPUTED_VALUE"""),0.0)</f>
        <v>0</v>
      </c>
      <c r="L131" s="88"/>
      <c r="M131" s="243">
        <f>IFERROR(__xludf.DUMMYFUNCTION("""COMPUTED_VALUE"""),0.0)</f>
        <v>0</v>
      </c>
      <c r="N131" s="243">
        <f>IFERROR(__xludf.DUMMYFUNCTION("""COMPUTED_VALUE"""),0.0)</f>
        <v>0</v>
      </c>
      <c r="O131" s="88"/>
      <c r="P131" s="88" t="str">
        <f>IFERROR(__xludf.DUMMYFUNCTION("""COMPUTED_VALUE"""),"C")</f>
        <v>C</v>
      </c>
      <c r="Q131" s="88" t="str">
        <f>IFERROR(__xludf.DUMMYFUNCTION("""COMPUTED_VALUE"""),"C")</f>
        <v>C</v>
      </c>
      <c r="R131" s="88"/>
      <c r="S131" s="88" t="str">
        <f>IFERROR(__xludf.DUMMYFUNCTION("""COMPUTED_VALUE"""),"На вывод")</f>
        <v>На вывод</v>
      </c>
      <c r="T131" s="88" t="str">
        <f>IFERROR(__xludf.DUMMYFUNCTION("""COMPUTED_VALUE"""),"Семен")</f>
        <v>Семен</v>
      </c>
      <c r="U131" s="240">
        <f>IFERROR(__xludf.DUMMYFUNCTION("""COMPUTED_VALUE"""),235.5)</f>
        <v>235.5</v>
      </c>
      <c r="V131" s="88"/>
      <c r="W131" s="240">
        <f>IFERROR(__xludf.DUMMYFUNCTION("""COMPUTED_VALUE"""),1177.5000000000002)</f>
        <v>1177.5</v>
      </c>
      <c r="X131" s="88"/>
      <c r="Y131" s="88"/>
      <c r="Z131" s="88"/>
      <c r="AA131" s="88"/>
      <c r="AC131" s="62" t="s">
        <v>116</v>
      </c>
    </row>
    <row r="132">
      <c r="A132" s="88"/>
      <c r="B132" s="88">
        <f>IFERROR(__xludf.DUMMYFUNCTION("""COMPUTED_VALUE"""),116.0)</f>
        <v>116</v>
      </c>
      <c r="C132" s="88" t="str">
        <f>IFERROR(__xludf.DUMMYFUNCTION("""COMPUTED_VALUE"""),"qeepmultivitamin")</f>
        <v>qeepmultivitamin</v>
      </c>
      <c r="D132" s="88">
        <f>IFERROR(__xludf.DUMMYFUNCTION("""COMPUTED_VALUE"""),6.18268309E8)</f>
        <v>618268309</v>
      </c>
      <c r="E132" s="88" t="str">
        <f>IFERROR(__xludf.DUMMYFUNCTION("""COMPUTED_VALUE"""),"qeep")</f>
        <v>qeep</v>
      </c>
      <c r="F132" s="88" t="str">
        <f>IFERROR(__xludf.DUMMYFUNCTION("""COMPUTED_VALUE"""),"Витамины для мужчины Qeep 60 капсул")</f>
        <v>Витамины для мужчины Qeep 60 капсул</v>
      </c>
      <c r="G132" s="88"/>
      <c r="H132" s="88"/>
      <c r="I132" s="88"/>
      <c r="J132" s="88"/>
      <c r="K132" s="242">
        <f>IFERROR(__xludf.DUMMYFUNCTION("""COMPUTED_VALUE"""),0.0)</f>
        <v>0</v>
      </c>
      <c r="L132" s="88"/>
      <c r="M132" s="243">
        <f>IFERROR(__xludf.DUMMYFUNCTION("""COMPUTED_VALUE"""),0.0)</f>
        <v>0</v>
      </c>
      <c r="N132" s="243">
        <f>IFERROR(__xludf.DUMMYFUNCTION("""COMPUTED_VALUE"""),0.0)</f>
        <v>0</v>
      </c>
      <c r="O132" s="88"/>
      <c r="P132" s="88" t="str">
        <f>IFERROR(__xludf.DUMMYFUNCTION("""COMPUTED_VALUE"""),"C")</f>
        <v>C</v>
      </c>
      <c r="Q132" s="88" t="str">
        <f>IFERROR(__xludf.DUMMYFUNCTION("""COMPUTED_VALUE"""),"C")</f>
        <v>C</v>
      </c>
      <c r="R132" s="88"/>
      <c r="S132" s="88" t="str">
        <f>IFERROR(__xludf.DUMMYFUNCTION("""COMPUTED_VALUE"""),"На вывод")</f>
        <v>На вывод</v>
      </c>
      <c r="T132" s="88" t="str">
        <f>IFERROR(__xludf.DUMMYFUNCTION("""COMPUTED_VALUE"""),"Семен")</f>
        <v>Семен</v>
      </c>
      <c r="U132" s="240">
        <f>IFERROR(__xludf.DUMMYFUNCTION("""COMPUTED_VALUE"""),402.0)</f>
        <v>402</v>
      </c>
      <c r="V132" s="88"/>
      <c r="W132" s="240">
        <f>IFERROR(__xludf.DUMMYFUNCTION("""COMPUTED_VALUE"""),2010.0000000000005)</f>
        <v>2010</v>
      </c>
      <c r="X132" s="88"/>
      <c r="Y132" s="88"/>
      <c r="Z132" s="88"/>
      <c r="AA132" s="88"/>
      <c r="AC132" s="62" t="s">
        <v>116</v>
      </c>
    </row>
    <row r="133">
      <c r="A133" s="88"/>
      <c r="B133" s="88">
        <f>IFERROR(__xludf.DUMMYFUNCTION("""COMPUTED_VALUE"""),117.0)</f>
        <v>117</v>
      </c>
      <c r="C133" s="88" t="str">
        <f>IFERROR(__xludf.DUMMYFUNCTION("""COMPUTED_VALUE"""),"qeepwomenmulti1+1")</f>
        <v>qeepwomenmulti1+1</v>
      </c>
      <c r="D133" s="88">
        <f>IFERROR(__xludf.DUMMYFUNCTION("""COMPUTED_VALUE"""),8.71809764E8)</f>
        <v>871809764</v>
      </c>
      <c r="E133" s="88" t="str">
        <f>IFERROR(__xludf.DUMMYFUNCTION("""COMPUTED_VALUE"""),"qeep")</f>
        <v>qeep</v>
      </c>
      <c r="F133" s="88" t="str">
        <f>IFERROR(__xludf.DUMMYFUNCTION("""COMPUTED_VALUE"""),"Витамины для женщин Qeep 60 капсул")</f>
        <v>Витамины для женщин Qeep 60 капсул</v>
      </c>
      <c r="G133" s="88"/>
      <c r="H133" s="88"/>
      <c r="I133" s="88"/>
      <c r="J133" s="88"/>
      <c r="K133" s="242">
        <f>IFERROR(__xludf.DUMMYFUNCTION("""COMPUTED_VALUE"""),0.0)</f>
        <v>0</v>
      </c>
      <c r="L133" s="88"/>
      <c r="M133" s="243">
        <f>IFERROR(__xludf.DUMMYFUNCTION("""COMPUTED_VALUE"""),0.0)</f>
        <v>0</v>
      </c>
      <c r="N133" s="243">
        <f>IFERROR(__xludf.DUMMYFUNCTION("""COMPUTED_VALUE"""),0.0)</f>
        <v>0</v>
      </c>
      <c r="O133" s="88"/>
      <c r="P133" s="88" t="str">
        <f>IFERROR(__xludf.DUMMYFUNCTION("""COMPUTED_VALUE"""),"C")</f>
        <v>C</v>
      </c>
      <c r="Q133" s="88" t="str">
        <f>IFERROR(__xludf.DUMMYFUNCTION("""COMPUTED_VALUE"""),"C")</f>
        <v>C</v>
      </c>
      <c r="R133" s="88"/>
      <c r="S133" s="88" t="str">
        <f>IFERROR(__xludf.DUMMYFUNCTION("""COMPUTED_VALUE"""),"На вывод")</f>
        <v>На вывод</v>
      </c>
      <c r="T133" s="88" t="str">
        <f>IFERROR(__xludf.DUMMYFUNCTION("""COMPUTED_VALUE"""),"Семен")</f>
        <v>Семен</v>
      </c>
      <c r="U133" s="240">
        <f>IFERROR(__xludf.DUMMYFUNCTION("""COMPUTED_VALUE"""),470.99)</f>
        <v>470.99</v>
      </c>
      <c r="V133" s="88"/>
      <c r="W133" s="240">
        <f>IFERROR(__xludf.DUMMYFUNCTION("""COMPUTED_VALUE"""),2354.9500000000007)</f>
        <v>2354.95</v>
      </c>
      <c r="X133" s="88"/>
      <c r="Y133" s="88"/>
      <c r="Z133" s="88"/>
      <c r="AA133" s="88"/>
      <c r="AC133" s="62" t="s">
        <v>116</v>
      </c>
    </row>
    <row r="134">
      <c r="A134" s="88"/>
      <c r="B134" s="88">
        <f>IFERROR(__xludf.DUMMYFUNCTION("""COMPUTED_VALUE"""),118.0)</f>
        <v>118</v>
      </c>
      <c r="C134" s="88" t="str">
        <f>IFERROR(__xludf.DUMMYFUNCTION("""COMPUTED_VALUE"""),"qoenzyme1+1")</f>
        <v>qoenzyme1+1</v>
      </c>
      <c r="D134" s="88">
        <f>IFERROR(__xludf.DUMMYFUNCTION("""COMPUTED_VALUE"""),8.72805901E8)</f>
        <v>872805901</v>
      </c>
      <c r="E134" s="88" t="str">
        <f>IFERROR(__xludf.DUMMYFUNCTION("""COMPUTED_VALUE"""),"qeep")</f>
        <v>qeep</v>
      </c>
      <c r="F134" s="88" t="str">
        <f>IFERROR(__xludf.DUMMYFUNCTION("""COMPUTED_VALUE"""),"Коэнзим q10 30 мг Qeep 30+30 капсул")</f>
        <v>Коэнзим q10 30 мг Qeep 30+30 капсул</v>
      </c>
      <c r="G134" s="88"/>
      <c r="H134" s="88"/>
      <c r="I134" s="88"/>
      <c r="J134" s="88"/>
      <c r="K134" s="242">
        <f>IFERROR(__xludf.DUMMYFUNCTION("""COMPUTED_VALUE"""),0.0)</f>
        <v>0</v>
      </c>
      <c r="L134" s="88"/>
      <c r="M134" s="243">
        <f>IFERROR(__xludf.DUMMYFUNCTION("""COMPUTED_VALUE"""),0.0)</f>
        <v>0</v>
      </c>
      <c r="N134" s="243">
        <f>IFERROR(__xludf.DUMMYFUNCTION("""COMPUTED_VALUE"""),0.0)</f>
        <v>0</v>
      </c>
      <c r="O134" s="88"/>
      <c r="P134" s="88" t="str">
        <f>IFERROR(__xludf.DUMMYFUNCTION("""COMPUTED_VALUE"""),"C")</f>
        <v>C</v>
      </c>
      <c r="Q134" s="88" t="str">
        <f>IFERROR(__xludf.DUMMYFUNCTION("""COMPUTED_VALUE"""),"C")</f>
        <v>C</v>
      </c>
      <c r="R134" s="88"/>
      <c r="S134" s="88" t="str">
        <f>IFERROR(__xludf.DUMMYFUNCTION("""COMPUTED_VALUE"""),"На вывод")</f>
        <v>На вывод</v>
      </c>
      <c r="T134" s="88" t="str">
        <f>IFERROR(__xludf.DUMMYFUNCTION("""COMPUTED_VALUE"""),"Семен")</f>
        <v>Семен</v>
      </c>
      <c r="U134" s="240">
        <f>IFERROR(__xludf.DUMMYFUNCTION("""COMPUTED_VALUE"""),291.6)</f>
        <v>291.6</v>
      </c>
      <c r="V134" s="88"/>
      <c r="W134" s="240">
        <f>IFERROR(__xludf.DUMMYFUNCTION("""COMPUTED_VALUE"""),1458.0000000000005)</f>
        <v>1458</v>
      </c>
      <c r="X134" s="88"/>
      <c r="Y134" s="88"/>
      <c r="Z134" s="88"/>
      <c r="AA134" s="88"/>
      <c r="AC134" s="62" t="s">
        <v>116</v>
      </c>
    </row>
    <row r="135">
      <c r="A135" s="88"/>
      <c r="B135" s="88">
        <f>IFERROR(__xludf.DUMMYFUNCTION("""COMPUTED_VALUE"""),119.0)</f>
        <v>119</v>
      </c>
      <c r="C135" s="88" t="str">
        <f>IFERROR(__xludf.DUMMYFUNCTION("""COMPUTED_VALUE"""),"qeepantioxy1+1")</f>
        <v>qeepantioxy1+1</v>
      </c>
      <c r="D135" s="88">
        <f>IFERROR(__xludf.DUMMYFUNCTION("""COMPUTED_VALUE"""),8.8044412E8)</f>
        <v>880444120</v>
      </c>
      <c r="E135" s="88" t="str">
        <f>IFERROR(__xludf.DUMMYFUNCTION("""COMPUTED_VALUE"""),"qeep")</f>
        <v>qeep</v>
      </c>
      <c r="F135" s="88" t="str">
        <f>IFERROR(__xludf.DUMMYFUNCTION("""COMPUTED_VALUE"""),"Дигидрокверцетин + Витамин А, С, Е 25 мг Qeep 30+30 капсул")</f>
        <v>Дигидрокверцетин + Витамин А, С, Е 25 мг Qeep 30+30 капсул</v>
      </c>
      <c r="G135" s="88"/>
      <c r="H135" s="88"/>
      <c r="I135" s="88"/>
      <c r="J135" s="88"/>
      <c r="K135" s="242">
        <f>IFERROR(__xludf.DUMMYFUNCTION("""COMPUTED_VALUE"""),0.0)</f>
        <v>0</v>
      </c>
      <c r="L135" s="88"/>
      <c r="M135" s="243">
        <f>IFERROR(__xludf.DUMMYFUNCTION("""COMPUTED_VALUE"""),0.0)</f>
        <v>0</v>
      </c>
      <c r="N135" s="243">
        <f>IFERROR(__xludf.DUMMYFUNCTION("""COMPUTED_VALUE"""),0.0)</f>
        <v>0</v>
      </c>
      <c r="O135" s="88"/>
      <c r="P135" s="88" t="str">
        <f>IFERROR(__xludf.DUMMYFUNCTION("""COMPUTED_VALUE"""),"C")</f>
        <v>C</v>
      </c>
      <c r="Q135" s="88" t="str">
        <f>IFERROR(__xludf.DUMMYFUNCTION("""COMPUTED_VALUE"""),"C")</f>
        <v>C</v>
      </c>
      <c r="R135" s="88"/>
      <c r="S135" s="88" t="str">
        <f>IFERROR(__xludf.DUMMYFUNCTION("""COMPUTED_VALUE"""),"На вывод")</f>
        <v>На вывод</v>
      </c>
      <c r="T135" s="88" t="str">
        <f>IFERROR(__xludf.DUMMYFUNCTION("""COMPUTED_VALUE"""),"Семен")</f>
        <v>Семен</v>
      </c>
      <c r="U135" s="240">
        <f>IFERROR(__xludf.DUMMYFUNCTION("""COMPUTED_VALUE"""),289.1)</f>
        <v>289.1</v>
      </c>
      <c r="V135" s="88"/>
      <c r="W135" s="240">
        <f>IFERROR(__xludf.DUMMYFUNCTION("""COMPUTED_VALUE"""),1445.5000000000005)</f>
        <v>1445.5</v>
      </c>
      <c r="X135" s="88"/>
      <c r="Y135" s="88"/>
      <c r="Z135" s="88"/>
      <c r="AA135" s="88"/>
      <c r="AC135" s="62" t="s">
        <v>116</v>
      </c>
    </row>
    <row r="136">
      <c r="A136" s="88"/>
      <c r="B136" s="88">
        <f>IFERROR(__xludf.DUMMYFUNCTION("""COMPUTED_VALUE"""),120.0)</f>
        <v>120</v>
      </c>
      <c r="C136" s="88" t="str">
        <f>IFERROR(__xludf.DUMMYFUNCTION("""COMPUTED_VALUE"""),"qeep_womenmulti_60caps")</f>
        <v>qeep_womenmulti_60caps</v>
      </c>
      <c r="D136" s="88">
        <f>IFERROR(__xludf.DUMMYFUNCTION("""COMPUTED_VALUE"""),1.092025113E9)</f>
        <v>1092025113</v>
      </c>
      <c r="E136" s="88" t="str">
        <f>IFERROR(__xludf.DUMMYFUNCTION("""COMPUTED_VALUE"""),"qeep")</f>
        <v>qeep</v>
      </c>
      <c r="F136" s="88" t="str">
        <f>IFERROR(__xludf.DUMMYFUNCTION("""COMPUTED_VALUE"""),"Витамины для женщин Qeep 60 капсул")</f>
        <v>Витамины для женщин Qeep 60 капсул</v>
      </c>
      <c r="G136" s="88"/>
      <c r="H136" s="88"/>
      <c r="I136" s="88"/>
      <c r="J136" s="88"/>
      <c r="K136" s="242">
        <f>IFERROR(__xludf.DUMMYFUNCTION("""COMPUTED_VALUE"""),0.0)</f>
        <v>0</v>
      </c>
      <c r="L136" s="88"/>
      <c r="M136" s="243">
        <f>IFERROR(__xludf.DUMMYFUNCTION("""COMPUTED_VALUE"""),0.0)</f>
        <v>0</v>
      </c>
      <c r="N136" s="243">
        <f>IFERROR(__xludf.DUMMYFUNCTION("""COMPUTED_VALUE"""),0.0)</f>
        <v>0</v>
      </c>
      <c r="O136" s="88"/>
      <c r="P136" s="88" t="str">
        <f>IFERROR(__xludf.DUMMYFUNCTION("""COMPUTED_VALUE"""),"C")</f>
        <v>C</v>
      </c>
      <c r="Q136" s="88" t="str">
        <f>IFERROR(__xludf.DUMMYFUNCTION("""COMPUTED_VALUE"""),"C")</f>
        <v>C</v>
      </c>
      <c r="R136" s="88"/>
      <c r="S136" s="88" t="str">
        <f>IFERROR(__xludf.DUMMYFUNCTION("""COMPUTED_VALUE"""),"На вывод")</f>
        <v>На вывод</v>
      </c>
      <c r="T136" s="88" t="str">
        <f>IFERROR(__xludf.DUMMYFUNCTION("""COMPUTED_VALUE"""),"Семен")</f>
        <v>Семен</v>
      </c>
      <c r="U136" s="240">
        <f>IFERROR(__xludf.DUMMYFUNCTION("""COMPUTED_VALUE"""),205.0)</f>
        <v>205</v>
      </c>
      <c r="V136" s="88"/>
      <c r="W136" s="240">
        <f>IFERROR(__xludf.DUMMYFUNCTION("""COMPUTED_VALUE"""),1025.0000000000002)</f>
        <v>1025</v>
      </c>
      <c r="X136" s="88"/>
      <c r="Y136" s="88"/>
      <c r="Z136" s="88"/>
      <c r="AA136" s="88"/>
      <c r="AC136" s="62" t="s">
        <v>116</v>
      </c>
    </row>
    <row r="137">
      <c r="A137" s="88"/>
      <c r="B137" s="88">
        <f>IFERROR(__xludf.DUMMYFUNCTION("""COMPUTED_VALUE"""),121.0)</f>
        <v>121</v>
      </c>
      <c r="C137" s="88" t="str">
        <f>IFERROR(__xludf.DUMMYFUNCTION("""COMPUTED_VALUE"""),"qeep_magnesium_180g")</f>
        <v>qeep_magnesium_180g</v>
      </c>
      <c r="D137" s="88" t="str">
        <f>IFERROR(__xludf.DUMMYFUNCTION("""COMPUTED_VALUE"""),"#N/A")</f>
        <v>#N/A</v>
      </c>
      <c r="E137" s="88" t="str">
        <f>IFERROR(__xludf.DUMMYFUNCTION("""COMPUTED_VALUE"""),"qeep")</f>
        <v>qeep</v>
      </c>
      <c r="F137" s="88" t="str">
        <f>IFERROR(__xludf.DUMMYFUNCTION("""COMPUTED_VALUE"""),"#N/A")</f>
        <v>#N/A</v>
      </c>
      <c r="G137" s="88"/>
      <c r="H137" s="88"/>
      <c r="I137" s="88"/>
      <c r="J137" s="88"/>
      <c r="K137" s="242">
        <f>IFERROR(__xludf.DUMMYFUNCTION("""COMPUTED_VALUE"""),0.0)</f>
        <v>0</v>
      </c>
      <c r="L137" s="88"/>
      <c r="M137" s="243">
        <f>IFERROR(__xludf.DUMMYFUNCTION("""COMPUTED_VALUE"""),0.0)</f>
        <v>0</v>
      </c>
      <c r="N137" s="243">
        <f>IFERROR(__xludf.DUMMYFUNCTION("""COMPUTED_VALUE"""),0.0)</f>
        <v>0</v>
      </c>
      <c r="O137" s="88"/>
      <c r="P137" s="88" t="str">
        <f>IFERROR(__xludf.DUMMYFUNCTION("""COMPUTED_VALUE"""),"C")</f>
        <v>C</v>
      </c>
      <c r="Q137" s="88" t="str">
        <f>IFERROR(__xludf.DUMMYFUNCTION("""COMPUTED_VALUE"""),"C")</f>
        <v>C</v>
      </c>
      <c r="R137" s="88"/>
      <c r="S137" s="88" t="str">
        <f>IFERROR(__xludf.DUMMYFUNCTION("""COMPUTED_VALUE"""),"На вывод")</f>
        <v>На вывод</v>
      </c>
      <c r="T137" s="88" t="str">
        <f>IFERROR(__xludf.DUMMYFUNCTION("""COMPUTED_VALUE"""),"Семен")</f>
        <v>Семен</v>
      </c>
      <c r="U137" s="240">
        <f>IFERROR(__xludf.DUMMYFUNCTION("""COMPUTED_VALUE"""),312.0)</f>
        <v>312</v>
      </c>
      <c r="V137" s="88"/>
      <c r="W137" s="240">
        <f>IFERROR(__xludf.DUMMYFUNCTION("""COMPUTED_VALUE"""),1560.0000000000005)</f>
        <v>1560</v>
      </c>
      <c r="X137" s="88"/>
      <c r="Y137" s="88"/>
      <c r="Z137" s="88"/>
      <c r="AA137" s="88"/>
      <c r="AC137" s="62" t="s">
        <v>116</v>
      </c>
    </row>
    <row r="138">
      <c r="A138" s="88"/>
      <c r="B138" s="88">
        <f>IFERROR(__xludf.DUMMYFUNCTION("""COMPUTED_VALUE"""),122.0)</f>
        <v>122</v>
      </c>
      <c r="C138" s="88" t="str">
        <f>IFERROR(__xludf.DUMMYFUNCTION("""COMPUTED_VALUE"""),"qeep_magnesiumB6_120caps")</f>
        <v>qeep_magnesiumB6_120caps</v>
      </c>
      <c r="D138" s="88">
        <f>IFERROR(__xludf.DUMMYFUNCTION("""COMPUTED_VALUE"""),1.082288574E9)</f>
        <v>1082288574</v>
      </c>
      <c r="E138" s="88" t="str">
        <f>IFERROR(__xludf.DUMMYFUNCTION("""COMPUTED_VALUE"""),"qeep")</f>
        <v>qeep</v>
      </c>
      <c r="F138" s="88" t="str">
        <f>IFERROR(__xludf.DUMMYFUNCTION("""COMPUTED_VALUE"""),"Магний В6 120 мг с Пробиотиками для детей и взрослых Qeep 120 капсул")</f>
        <v>Магний В6 120 мг с Пробиотиками для детей и взрослых Qeep 120 капсул</v>
      </c>
      <c r="G138" s="88"/>
      <c r="H138" s="88"/>
      <c r="I138" s="88"/>
      <c r="J138" s="88"/>
      <c r="K138" s="242">
        <f>IFERROR(__xludf.DUMMYFUNCTION("""COMPUTED_VALUE"""),0.0)</f>
        <v>0</v>
      </c>
      <c r="L138" s="88"/>
      <c r="M138" s="243">
        <f>IFERROR(__xludf.DUMMYFUNCTION("""COMPUTED_VALUE"""),0.0)</f>
        <v>0</v>
      </c>
      <c r="N138" s="243">
        <f>IFERROR(__xludf.DUMMYFUNCTION("""COMPUTED_VALUE"""),0.0)</f>
        <v>0</v>
      </c>
      <c r="O138" s="88"/>
      <c r="P138" s="88" t="str">
        <f>IFERROR(__xludf.DUMMYFUNCTION("""COMPUTED_VALUE"""),"C")</f>
        <v>C</v>
      </c>
      <c r="Q138" s="88" t="str">
        <f>IFERROR(__xludf.DUMMYFUNCTION("""COMPUTED_VALUE"""),"C")</f>
        <v>C</v>
      </c>
      <c r="R138" s="88"/>
      <c r="S138" s="88" t="str">
        <f>IFERROR(__xludf.DUMMYFUNCTION("""COMPUTED_VALUE"""),"На вывод")</f>
        <v>На вывод</v>
      </c>
      <c r="T138" s="88" t="str">
        <f>IFERROR(__xludf.DUMMYFUNCTION("""COMPUTED_VALUE"""),"Семен")</f>
        <v>Семен</v>
      </c>
      <c r="U138" s="240">
        <f>IFERROR(__xludf.DUMMYFUNCTION("""COMPUTED_VALUE"""),272.52)</f>
        <v>272.52</v>
      </c>
      <c r="V138" s="88"/>
      <c r="W138" s="240">
        <f>IFERROR(__xludf.DUMMYFUNCTION("""COMPUTED_VALUE"""),1362.6000000000001)</f>
        <v>1362.6</v>
      </c>
      <c r="X138" s="88"/>
      <c r="Y138" s="88"/>
      <c r="Z138" s="88"/>
      <c r="AA138" s="88"/>
      <c r="AC138" s="62" t="s">
        <v>116</v>
      </c>
    </row>
    <row r="139">
      <c r="A139" s="88"/>
      <c r="B139" s="88">
        <f>IFERROR(__xludf.DUMMYFUNCTION("""COMPUTED_VALUE"""),123.0)</f>
        <v>123</v>
      </c>
      <c r="C139" s="88" t="str">
        <f>IFERROR(__xludf.DUMMYFUNCTION("""COMPUTED_VALUE"""),"qeepchrom")</f>
        <v>qeepchrom</v>
      </c>
      <c r="D139" s="88">
        <f>IFERROR(__xludf.DUMMYFUNCTION("""COMPUTED_VALUE"""),7.51282312E8)</f>
        <v>751282312</v>
      </c>
      <c r="E139" s="88" t="str">
        <f>IFERROR(__xludf.DUMMYFUNCTION("""COMPUTED_VALUE"""),"qeep")</f>
        <v>qeep</v>
      </c>
      <c r="F139" s="88" t="str">
        <f>IFERROR(__xludf.DUMMYFUNCTION("""COMPUTED_VALUE"""),"Пиколинат хрома 280 мг Qeep 60 капсул")</f>
        <v>Пиколинат хрома 280 мг Qeep 60 капсул</v>
      </c>
      <c r="G139" s="88"/>
      <c r="H139" s="88"/>
      <c r="I139" s="88"/>
      <c r="J139" s="88"/>
      <c r="K139" s="242">
        <f>IFERROR(__xludf.DUMMYFUNCTION("""COMPUTED_VALUE"""),0.0)</f>
        <v>0</v>
      </c>
      <c r="L139" s="88"/>
      <c r="M139" s="243">
        <f>IFERROR(__xludf.DUMMYFUNCTION("""COMPUTED_VALUE"""),0.0)</f>
        <v>0</v>
      </c>
      <c r="N139" s="243">
        <f>IFERROR(__xludf.DUMMYFUNCTION("""COMPUTED_VALUE"""),0.0)</f>
        <v>0</v>
      </c>
      <c r="O139" s="88"/>
      <c r="P139" s="88" t="str">
        <f>IFERROR(__xludf.DUMMYFUNCTION("""COMPUTED_VALUE"""),"C")</f>
        <v>C</v>
      </c>
      <c r="Q139" s="88" t="str">
        <f>IFERROR(__xludf.DUMMYFUNCTION("""COMPUTED_VALUE"""),"C")</f>
        <v>C</v>
      </c>
      <c r="R139" s="88"/>
      <c r="S139" s="88" t="str">
        <f>IFERROR(__xludf.DUMMYFUNCTION("""COMPUTED_VALUE"""),"На вывод")</f>
        <v>На вывод</v>
      </c>
      <c r="T139" s="88" t="str">
        <f>IFERROR(__xludf.DUMMYFUNCTION("""COMPUTED_VALUE"""),"Семен")</f>
        <v>Семен</v>
      </c>
      <c r="U139" s="240">
        <f>IFERROR(__xludf.DUMMYFUNCTION("""COMPUTED_VALUE"""),194.60000000000002)</f>
        <v>194.6</v>
      </c>
      <c r="V139" s="88"/>
      <c r="W139" s="240">
        <f>IFERROR(__xludf.DUMMYFUNCTION("""COMPUTED_VALUE"""),973.0000000000003)</f>
        <v>973</v>
      </c>
      <c r="X139" s="88"/>
      <c r="Y139" s="88"/>
      <c r="Z139" s="88"/>
      <c r="AA139" s="88"/>
      <c r="AC139" s="62" t="s">
        <v>116</v>
      </c>
    </row>
    <row r="140">
      <c r="A140" s="88"/>
      <c r="B140" s="88">
        <f>IFERROR(__xludf.DUMMYFUNCTION("""COMPUTED_VALUE"""),124.0)</f>
        <v>124</v>
      </c>
      <c r="C140" s="88" t="str">
        <f>IFERROR(__xludf.DUMMYFUNCTION("""COMPUTED_VALUE"""),"qeep_gummy_multivit_60")</f>
        <v>qeep_gummy_multivit_60</v>
      </c>
      <c r="D140" s="88">
        <f>IFERROR(__xludf.DUMMYFUNCTION("""COMPUTED_VALUE"""),1.773844375E9)</f>
        <v>1773844375</v>
      </c>
      <c r="E140" s="88" t="str">
        <f>IFERROR(__xludf.DUMMYFUNCTION("""COMPUTED_VALUE"""),"qeep")</f>
        <v>qeep</v>
      </c>
      <c r="F140" s="88" t="str">
        <f>IFERROR(__xludf.DUMMYFUNCTION("""COMPUTED_VALUE"""),"Витамины для детей жевательные мультивитамины мишки qeep 60 мармеладок")</f>
        <v>Витамины для детей жевательные мультивитамины мишки qeep 60 мармеладок</v>
      </c>
      <c r="G140" s="88"/>
      <c r="H140" s="88"/>
      <c r="I140" s="88"/>
      <c r="J140" s="88"/>
      <c r="K140" s="242">
        <f>IFERROR(__xludf.DUMMYFUNCTION("""COMPUTED_VALUE"""),0.0)</f>
        <v>0</v>
      </c>
      <c r="L140" s="88"/>
      <c r="M140" s="243">
        <f>IFERROR(__xludf.DUMMYFUNCTION("""COMPUTED_VALUE"""),0.0)</f>
        <v>0</v>
      </c>
      <c r="N140" s="243">
        <f>IFERROR(__xludf.DUMMYFUNCTION("""COMPUTED_VALUE"""),0.0)</f>
        <v>0</v>
      </c>
      <c r="O140" s="88"/>
      <c r="P140" s="88" t="str">
        <f>IFERROR(__xludf.DUMMYFUNCTION("""COMPUTED_VALUE"""),"C")</f>
        <v>C</v>
      </c>
      <c r="Q140" s="88" t="str">
        <f>IFERROR(__xludf.DUMMYFUNCTION("""COMPUTED_VALUE"""),"C")</f>
        <v>C</v>
      </c>
      <c r="R140" s="88"/>
      <c r="S140" s="88" t="str">
        <f>IFERROR(__xludf.DUMMYFUNCTION("""COMPUTED_VALUE"""),"На вывод")</f>
        <v>На вывод</v>
      </c>
      <c r="T140" s="88" t="str">
        <f>IFERROR(__xludf.DUMMYFUNCTION("""COMPUTED_VALUE"""),"Семен")</f>
        <v>Семен</v>
      </c>
      <c r="U140" s="240">
        <f>IFERROR(__xludf.DUMMYFUNCTION("""COMPUTED_VALUE"""),0.0)</f>
        <v>0</v>
      </c>
      <c r="V140" s="88"/>
      <c r="W140" s="240">
        <f>IFERROR(__xludf.DUMMYFUNCTION("""COMPUTED_VALUE"""),0.0)</f>
        <v>0</v>
      </c>
      <c r="X140" s="88"/>
      <c r="Y140" s="88"/>
      <c r="Z140" s="88"/>
      <c r="AA140" s="88"/>
      <c r="AC140" s="62" t="s">
        <v>116</v>
      </c>
    </row>
    <row r="141">
      <c r="A141" s="88"/>
      <c r="B141" s="88">
        <f>IFERROR(__xludf.DUMMYFUNCTION("""COMPUTED_VALUE"""),125.0)</f>
        <v>125</v>
      </c>
      <c r="C141" s="88" t="str">
        <f>IFERROR(__xludf.DUMMYFUNCTION("""COMPUTED_VALUE"""),"qeepprobiotics1+1")</f>
        <v>qeepprobiotics1+1</v>
      </c>
      <c r="D141" s="88">
        <f>IFERROR(__xludf.DUMMYFUNCTION("""COMPUTED_VALUE"""),8.14830745E8)</f>
        <v>814830745</v>
      </c>
      <c r="E141" s="88" t="str">
        <f>IFERROR(__xludf.DUMMYFUNCTION("""COMPUTED_VALUE"""),"qeep")</f>
        <v>qeep</v>
      </c>
      <c r="F141" s="88" t="str">
        <f>IFERROR(__xludf.DUMMYFUNCTION("""COMPUTED_VALUE"""),"Пробиотики для взрослых 570 мг Qeep 30+30 капсул")</f>
        <v>Пробиотики для взрослых 570 мг Qeep 30+30 капсул</v>
      </c>
      <c r="G141" s="88"/>
      <c r="H141" s="88"/>
      <c r="I141" s="88"/>
      <c r="J141" s="88"/>
      <c r="K141" s="242">
        <f>IFERROR(__xludf.DUMMYFUNCTION("""COMPUTED_VALUE"""),0.0)</f>
        <v>0</v>
      </c>
      <c r="L141" s="88"/>
      <c r="M141" s="243">
        <f>IFERROR(__xludf.DUMMYFUNCTION("""COMPUTED_VALUE"""),0.0)</f>
        <v>0</v>
      </c>
      <c r="N141" s="243">
        <f>IFERROR(__xludf.DUMMYFUNCTION("""COMPUTED_VALUE"""),0.0)</f>
        <v>0</v>
      </c>
      <c r="O141" s="88"/>
      <c r="P141" s="88" t="str">
        <f>IFERROR(__xludf.DUMMYFUNCTION("""COMPUTED_VALUE"""),"C")</f>
        <v>C</v>
      </c>
      <c r="Q141" s="88" t="str">
        <f>IFERROR(__xludf.DUMMYFUNCTION("""COMPUTED_VALUE"""),"C")</f>
        <v>C</v>
      </c>
      <c r="R141" s="88"/>
      <c r="S141" s="88" t="str">
        <f>IFERROR(__xludf.DUMMYFUNCTION("""COMPUTED_VALUE"""),"На вывод")</f>
        <v>На вывод</v>
      </c>
      <c r="T141" s="88" t="str">
        <f>IFERROR(__xludf.DUMMYFUNCTION("""COMPUTED_VALUE"""),"Семен")</f>
        <v>Семен</v>
      </c>
      <c r="U141" s="240">
        <f>IFERROR(__xludf.DUMMYFUNCTION("""COMPUTED_VALUE"""),310.3)</f>
        <v>310.3</v>
      </c>
      <c r="V141" s="88"/>
      <c r="W141" s="240">
        <f>IFERROR(__xludf.DUMMYFUNCTION("""COMPUTED_VALUE"""),1551.5000000000005)</f>
        <v>1551.5</v>
      </c>
      <c r="X141" s="88"/>
      <c r="Y141" s="88"/>
      <c r="Z141" s="88"/>
      <c r="AA141" s="88"/>
      <c r="AC141" s="62" t="s">
        <v>116</v>
      </c>
    </row>
    <row r="142">
      <c r="A142" s="88"/>
      <c r="B142" s="88">
        <f>IFERROR(__xludf.DUMMYFUNCTION("""COMPUTED_VALUE"""),126.0)</f>
        <v>126</v>
      </c>
      <c r="C142" s="88" t="str">
        <f>IFERROR(__xludf.DUMMYFUNCTION("""COMPUTED_VALUE"""),"qeepProbiotic_Complex1+1")</f>
        <v>qeepProbiotic_Complex1+1</v>
      </c>
      <c r="D142" s="88">
        <f>IFERROR(__xludf.DUMMYFUNCTION("""COMPUTED_VALUE"""),8.81228424E8)</f>
        <v>881228424</v>
      </c>
      <c r="E142" s="88" t="str">
        <f>IFERROR(__xludf.DUMMYFUNCTION("""COMPUTED_VALUE"""),"qeep")</f>
        <v>qeep</v>
      </c>
      <c r="F142" s="88" t="str">
        <f>IFERROR(__xludf.DUMMYFUNCTION("""COMPUTED_VALUE"""),"Пробиотики для взрослых Qeep 30+30 капсул")</f>
        <v>Пробиотики для взрослых Qeep 30+30 капсул</v>
      </c>
      <c r="G142" s="88"/>
      <c r="H142" s="88"/>
      <c r="I142" s="88"/>
      <c r="J142" s="88"/>
      <c r="K142" s="242">
        <f>IFERROR(__xludf.DUMMYFUNCTION("""COMPUTED_VALUE"""),0.0)</f>
        <v>0</v>
      </c>
      <c r="L142" s="88"/>
      <c r="M142" s="243">
        <f>IFERROR(__xludf.DUMMYFUNCTION("""COMPUTED_VALUE"""),0.0)</f>
        <v>0</v>
      </c>
      <c r="N142" s="243">
        <f>IFERROR(__xludf.DUMMYFUNCTION("""COMPUTED_VALUE"""),0.0)</f>
        <v>0</v>
      </c>
      <c r="O142" s="88"/>
      <c r="P142" s="88" t="str">
        <f>IFERROR(__xludf.DUMMYFUNCTION("""COMPUTED_VALUE"""),"C")</f>
        <v>C</v>
      </c>
      <c r="Q142" s="88" t="str">
        <f>IFERROR(__xludf.DUMMYFUNCTION("""COMPUTED_VALUE"""),"C")</f>
        <v>C</v>
      </c>
      <c r="R142" s="88"/>
      <c r="S142" s="88" t="str">
        <f>IFERROR(__xludf.DUMMYFUNCTION("""COMPUTED_VALUE"""),"На вывод")</f>
        <v>На вывод</v>
      </c>
      <c r="T142" s="88" t="str">
        <f>IFERROR(__xludf.DUMMYFUNCTION("""COMPUTED_VALUE"""),"Семен")</f>
        <v>Семен</v>
      </c>
      <c r="U142" s="240">
        <f>IFERROR(__xludf.DUMMYFUNCTION("""COMPUTED_VALUE"""),236.02)</f>
        <v>236.02</v>
      </c>
      <c r="V142" s="88"/>
      <c r="W142" s="240">
        <f>IFERROR(__xludf.DUMMYFUNCTION("""COMPUTED_VALUE"""),1180.1000000000004)</f>
        <v>1180.1</v>
      </c>
      <c r="X142" s="88"/>
      <c r="Y142" s="88"/>
      <c r="Z142" s="88"/>
      <c r="AA142" s="88"/>
      <c r="AC142" s="62" t="s">
        <v>116</v>
      </c>
    </row>
    <row r="143">
      <c r="A143" s="88"/>
      <c r="B143" s="88">
        <f>IFERROR(__xludf.DUMMYFUNCTION("""COMPUTED_VALUE"""),127.0)</f>
        <v>127</v>
      </c>
      <c r="C143" s="88" t="str">
        <f>IFERROR(__xludf.DUMMYFUNCTION("""COMPUTED_VALUE"""),"qeepProbiotic_Complex")</f>
        <v>qeepProbiotic_Complex</v>
      </c>
      <c r="D143" s="88">
        <f>IFERROR(__xludf.DUMMYFUNCTION("""COMPUTED_VALUE"""),8.8122843E8)</f>
        <v>881228430</v>
      </c>
      <c r="E143" s="88" t="str">
        <f>IFERROR(__xludf.DUMMYFUNCTION("""COMPUTED_VALUE"""),"qeep")</f>
        <v>qeep</v>
      </c>
      <c r="F143" s="88" t="str">
        <f>IFERROR(__xludf.DUMMYFUNCTION("""COMPUTED_VALUE"""),"Пробиотики для взрослых Qeep 30 капсул")</f>
        <v>Пробиотики для взрослых Qeep 30 капсул</v>
      </c>
      <c r="G143" s="88"/>
      <c r="H143" s="88"/>
      <c r="I143" s="88"/>
      <c r="J143" s="88"/>
      <c r="K143" s="242">
        <f>IFERROR(__xludf.DUMMYFUNCTION("""COMPUTED_VALUE"""),0.0)</f>
        <v>0</v>
      </c>
      <c r="L143" s="88"/>
      <c r="M143" s="243">
        <f>IFERROR(__xludf.DUMMYFUNCTION("""COMPUTED_VALUE"""),0.0)</f>
        <v>0</v>
      </c>
      <c r="N143" s="243">
        <f>IFERROR(__xludf.DUMMYFUNCTION("""COMPUTED_VALUE"""),0.0)</f>
        <v>0</v>
      </c>
      <c r="O143" s="88"/>
      <c r="P143" s="88" t="str">
        <f>IFERROR(__xludf.DUMMYFUNCTION("""COMPUTED_VALUE"""),"C")</f>
        <v>C</v>
      </c>
      <c r="Q143" s="88" t="str">
        <f>IFERROR(__xludf.DUMMYFUNCTION("""COMPUTED_VALUE"""),"C")</f>
        <v>C</v>
      </c>
      <c r="R143" s="88"/>
      <c r="S143" s="88" t="str">
        <f>IFERROR(__xludf.DUMMYFUNCTION("""COMPUTED_VALUE"""),"На вывод")</f>
        <v>На вывод</v>
      </c>
      <c r="T143" s="88" t="str">
        <f>IFERROR(__xludf.DUMMYFUNCTION("""COMPUTED_VALUE"""),"Семен")</f>
        <v>Семен</v>
      </c>
      <c r="U143" s="240">
        <f>IFERROR(__xludf.DUMMYFUNCTION("""COMPUTED_VALUE"""),118.01)</f>
        <v>118.01</v>
      </c>
      <c r="V143" s="88"/>
      <c r="W143" s="240">
        <f>IFERROR(__xludf.DUMMYFUNCTION("""COMPUTED_VALUE"""),590.0500000000002)</f>
        <v>590.05</v>
      </c>
      <c r="X143" s="88"/>
      <c r="Y143" s="88"/>
      <c r="Z143" s="88"/>
      <c r="AA143" s="88"/>
      <c r="AC143" s="62" t="s">
        <v>116</v>
      </c>
    </row>
    <row r="144">
      <c r="A144" s="88"/>
      <c r="B144" s="88">
        <f>IFERROR(__xludf.DUMMYFUNCTION("""COMPUTED_VALUE"""),128.0)</f>
        <v>128</v>
      </c>
      <c r="C144" s="88" t="str">
        <f>IFERROR(__xludf.DUMMYFUNCTION("""COMPUTED_VALUE"""),"qeep_probiotic_kids_30caps")</f>
        <v>qeep_probiotic_kids_30caps</v>
      </c>
      <c r="D144" s="88">
        <f>IFERROR(__xludf.DUMMYFUNCTION("""COMPUTED_VALUE"""),9.65078619E8)</f>
        <v>965078619</v>
      </c>
      <c r="E144" s="88" t="str">
        <f>IFERROR(__xludf.DUMMYFUNCTION("""COMPUTED_VALUE"""),"qeep")</f>
        <v>qeep</v>
      </c>
      <c r="F144" s="88" t="str">
        <f>IFERROR(__xludf.DUMMYFUNCTION("""COMPUTED_VALUE"""),"Пробиотики витамины для детей 5 млрд. КОЕ Qeep 30 капсул")</f>
        <v>Пробиотики витамины для детей 5 млрд. КОЕ Qeep 30 капсул</v>
      </c>
      <c r="G144" s="88"/>
      <c r="H144" s="88"/>
      <c r="I144" s="88"/>
      <c r="J144" s="88"/>
      <c r="K144" s="242">
        <f>IFERROR(__xludf.DUMMYFUNCTION("""COMPUTED_VALUE"""),0.0)</f>
        <v>0</v>
      </c>
      <c r="L144" s="88"/>
      <c r="M144" s="243">
        <f>IFERROR(__xludf.DUMMYFUNCTION("""COMPUTED_VALUE"""),-0.620207468879668)</f>
        <v>-0.6202074689</v>
      </c>
      <c r="N144" s="243">
        <f>IFERROR(__xludf.DUMMYFUNCTION("""COMPUTED_VALUE"""),-0.6148547717842323)</f>
        <v>-0.6148547718</v>
      </c>
      <c r="O144" s="88"/>
      <c r="P144" s="88" t="str">
        <f>IFERROR(__xludf.DUMMYFUNCTION("""COMPUTED_VALUE"""),"C")</f>
        <v>C</v>
      </c>
      <c r="Q144" s="88" t="str">
        <f>IFERROR(__xludf.DUMMYFUNCTION("""COMPUTED_VALUE"""),"C")</f>
        <v>C</v>
      </c>
      <c r="R144" s="88"/>
      <c r="S144" s="88" t="str">
        <f>IFERROR(__xludf.DUMMYFUNCTION("""COMPUTED_VALUE"""),"На вывод")</f>
        <v>На вывод</v>
      </c>
      <c r="T144" s="88" t="str">
        <f>IFERROR(__xludf.DUMMYFUNCTION("""COMPUTED_VALUE"""),"Семен")</f>
        <v>Семен</v>
      </c>
      <c r="U144" s="240">
        <f>IFERROR(__xludf.DUMMYFUNCTION("""COMPUTED_VALUE"""),138.75)</f>
        <v>138.75</v>
      </c>
      <c r="V144" s="88"/>
      <c r="W144" s="240">
        <f>IFERROR(__xludf.DUMMYFUNCTION("""COMPUTED_VALUE"""),693.7500000000001)</f>
        <v>693.75</v>
      </c>
      <c r="X144" s="88"/>
      <c r="Y144" s="88"/>
      <c r="Z144" s="88"/>
      <c r="AA144" s="88"/>
      <c r="AC144" s="62" t="s">
        <v>116</v>
      </c>
    </row>
    <row r="145">
      <c r="A145" s="88"/>
      <c r="B145" s="88">
        <f>IFERROR(__xludf.DUMMYFUNCTION("""COMPUTED_VALUE"""),129.0)</f>
        <v>129</v>
      </c>
      <c r="C145" s="88" t="str">
        <f>IFERROR(__xludf.DUMMYFUNCTION("""COMPUTED_VALUE"""),"qeep_Prebiotics_Probiotic_Complex")</f>
        <v>qeep_Prebiotics_Probiotic_Complex</v>
      </c>
      <c r="D145" s="88">
        <f>IFERROR(__xludf.DUMMYFUNCTION("""COMPUTED_VALUE"""),1.099704591E9)</f>
        <v>1099704591</v>
      </c>
      <c r="E145" s="88" t="str">
        <f>IFERROR(__xludf.DUMMYFUNCTION("""COMPUTED_VALUE"""),"qeep")</f>
        <v>qeep</v>
      </c>
      <c r="F145" s="88" t="str">
        <f>IFERROR(__xludf.DUMMYFUNCTION("""COMPUTED_VALUE"""),"Пробиотики для взрослых Qeep 30+30 капсул")</f>
        <v>Пробиотики для взрослых Qeep 30+30 капсул</v>
      </c>
      <c r="G145" s="88"/>
      <c r="H145" s="88"/>
      <c r="I145" s="88"/>
      <c r="J145" s="88"/>
      <c r="K145" s="242">
        <f>IFERROR(__xludf.DUMMYFUNCTION("""COMPUTED_VALUE"""),0.0)</f>
        <v>0</v>
      </c>
      <c r="L145" s="88"/>
      <c r="M145" s="243">
        <f>IFERROR(__xludf.DUMMYFUNCTION("""COMPUTED_VALUE"""),0.0)</f>
        <v>0</v>
      </c>
      <c r="N145" s="243">
        <f>IFERROR(__xludf.DUMMYFUNCTION("""COMPUTED_VALUE"""),0.0)</f>
        <v>0</v>
      </c>
      <c r="O145" s="88"/>
      <c r="P145" s="88" t="str">
        <f>IFERROR(__xludf.DUMMYFUNCTION("""COMPUTED_VALUE"""),"C")</f>
        <v>C</v>
      </c>
      <c r="Q145" s="88" t="str">
        <f>IFERROR(__xludf.DUMMYFUNCTION("""COMPUTED_VALUE"""),"C")</f>
        <v>C</v>
      </c>
      <c r="R145" s="88"/>
      <c r="S145" s="88" t="str">
        <f>IFERROR(__xludf.DUMMYFUNCTION("""COMPUTED_VALUE"""),"На вывод")</f>
        <v>На вывод</v>
      </c>
      <c r="T145" s="88" t="str">
        <f>IFERROR(__xludf.DUMMYFUNCTION("""COMPUTED_VALUE"""),"Семен")</f>
        <v>Семен</v>
      </c>
      <c r="U145" s="240">
        <f>IFERROR(__xludf.DUMMYFUNCTION("""COMPUTED_VALUE"""),220.88)</f>
        <v>220.88</v>
      </c>
      <c r="V145" s="88"/>
      <c r="W145" s="240">
        <f>IFERROR(__xludf.DUMMYFUNCTION("""COMPUTED_VALUE"""),1104.4000000000003)</f>
        <v>1104.4</v>
      </c>
      <c r="X145" s="88"/>
      <c r="Y145" s="88"/>
      <c r="Z145" s="88"/>
      <c r="AA145" s="88"/>
      <c r="AC145" s="62" t="s">
        <v>116</v>
      </c>
    </row>
    <row r="146">
      <c r="A146" s="88"/>
      <c r="B146" s="88">
        <f>IFERROR(__xludf.DUMMYFUNCTION("""COMPUTED_VALUE"""),130.0)</f>
        <v>130</v>
      </c>
      <c r="C146" s="88" t="str">
        <f>IFERROR(__xludf.DUMMYFUNCTION("""COMPUTED_VALUE"""),"qeep_womenprobiotics_60caps")</f>
        <v>qeep_womenprobiotics_60caps</v>
      </c>
      <c r="D146" s="88">
        <f>IFERROR(__xludf.DUMMYFUNCTION("""COMPUTED_VALUE"""),1.286883075E9)</f>
        <v>1286883075</v>
      </c>
      <c r="E146" s="88" t="str">
        <f>IFERROR(__xludf.DUMMYFUNCTION("""COMPUTED_VALUE"""),"qeep")</f>
        <v>qeep</v>
      </c>
      <c r="F146" s="88" t="str">
        <f>IFERROR(__xludf.DUMMYFUNCTION("""COMPUTED_VALUE"""),"Пробиотики + Железо 8 мг + витамин Е 5,3 мг + витамин B9 0,2 мг Qeep 60 капсул")</f>
        <v>Пробиотики + Железо 8 мг + витамин Е 5,3 мг + витамин B9 0,2 мг Qeep 60 капсул</v>
      </c>
      <c r="G146" s="88"/>
      <c r="H146" s="88"/>
      <c r="I146" s="88"/>
      <c r="J146" s="88"/>
      <c r="K146" s="242">
        <f>IFERROR(__xludf.DUMMYFUNCTION("""COMPUTED_VALUE"""),0.0)</f>
        <v>0</v>
      </c>
      <c r="L146" s="88"/>
      <c r="M146" s="243">
        <f>IFERROR(__xludf.DUMMYFUNCTION("""COMPUTED_VALUE"""),0.0)</f>
        <v>0</v>
      </c>
      <c r="N146" s="243">
        <f>IFERROR(__xludf.DUMMYFUNCTION("""COMPUTED_VALUE"""),0.0)</f>
        <v>0</v>
      </c>
      <c r="O146" s="88"/>
      <c r="P146" s="88" t="str">
        <f>IFERROR(__xludf.DUMMYFUNCTION("""COMPUTED_VALUE"""),"C")</f>
        <v>C</v>
      </c>
      <c r="Q146" s="88" t="str">
        <f>IFERROR(__xludf.DUMMYFUNCTION("""COMPUTED_VALUE"""),"C")</f>
        <v>C</v>
      </c>
      <c r="R146" s="88"/>
      <c r="S146" s="88" t="str">
        <f>IFERROR(__xludf.DUMMYFUNCTION("""COMPUTED_VALUE"""),"На вывод")</f>
        <v>На вывод</v>
      </c>
      <c r="T146" s="88" t="str">
        <f>IFERROR(__xludf.DUMMYFUNCTION("""COMPUTED_VALUE"""),"Семен")</f>
        <v>Семен</v>
      </c>
      <c r="U146" s="240">
        <f>IFERROR(__xludf.DUMMYFUNCTION("""COMPUTED_VALUE"""),328.35)</f>
        <v>328.35</v>
      </c>
      <c r="V146" s="88"/>
      <c r="W146" s="240">
        <f>IFERROR(__xludf.DUMMYFUNCTION("""COMPUTED_VALUE"""),1641.7500000000005)</f>
        <v>1641.75</v>
      </c>
      <c r="X146" s="88"/>
      <c r="Y146" s="88"/>
      <c r="Z146" s="88"/>
      <c r="AA146" s="88"/>
      <c r="AC146" s="62" t="s">
        <v>116</v>
      </c>
    </row>
    <row r="147">
      <c r="A147" s="88"/>
      <c r="B147" s="88">
        <f>IFERROR(__xludf.DUMMYFUNCTION("""COMPUTED_VALUE"""),131.0)</f>
        <v>131</v>
      </c>
      <c r="C147" s="88" t="str">
        <f>IFERROR(__xludf.DUMMYFUNCTION("""COMPUTED_VALUE"""),"qeep_biotin_5000_60caps")</f>
        <v>qeep_biotin_5000_60caps</v>
      </c>
      <c r="D147" s="88">
        <f>IFERROR(__xludf.DUMMYFUNCTION("""COMPUTED_VALUE"""),9.67642951E8)</f>
        <v>967642951</v>
      </c>
      <c r="E147" s="88" t="str">
        <f>IFERROR(__xludf.DUMMYFUNCTION("""COMPUTED_VALUE"""),"qeep")</f>
        <v>qeep</v>
      </c>
      <c r="F147" s="88" t="str">
        <f>IFERROR(__xludf.DUMMYFUNCTION("""COMPUTED_VALUE"""),"Биотин 5000 мкг Qeep 60 капсул")</f>
        <v>Биотин 5000 мкг Qeep 60 капсул</v>
      </c>
      <c r="G147" s="88"/>
      <c r="H147" s="88"/>
      <c r="I147" s="88"/>
      <c r="J147" s="88"/>
      <c r="K147" s="242">
        <f>IFERROR(__xludf.DUMMYFUNCTION("""COMPUTED_VALUE"""),0.0)</f>
        <v>0</v>
      </c>
      <c r="L147" s="88"/>
      <c r="M147" s="243">
        <f>IFERROR(__xludf.DUMMYFUNCTION("""COMPUTED_VALUE"""),0.0)</f>
        <v>0</v>
      </c>
      <c r="N147" s="243">
        <f>IFERROR(__xludf.DUMMYFUNCTION("""COMPUTED_VALUE"""),0.0)</f>
        <v>0</v>
      </c>
      <c r="O147" s="88"/>
      <c r="P147" s="88" t="str">
        <f>IFERROR(__xludf.DUMMYFUNCTION("""COMPUTED_VALUE"""),"C")</f>
        <v>C</v>
      </c>
      <c r="Q147" s="88" t="str">
        <f>IFERROR(__xludf.DUMMYFUNCTION("""COMPUTED_VALUE"""),"C")</f>
        <v>C</v>
      </c>
      <c r="R147" s="88"/>
      <c r="S147" s="88" t="str">
        <f>IFERROR(__xludf.DUMMYFUNCTION("""COMPUTED_VALUE"""),"На вывод")</f>
        <v>На вывод</v>
      </c>
      <c r="T147" s="88" t="str">
        <f>IFERROR(__xludf.DUMMYFUNCTION("""COMPUTED_VALUE"""),"Семен")</f>
        <v>Семен</v>
      </c>
      <c r="U147" s="240">
        <f>IFERROR(__xludf.DUMMYFUNCTION("""COMPUTED_VALUE"""),256.0)</f>
        <v>256</v>
      </c>
      <c r="V147" s="88"/>
      <c r="W147" s="240">
        <f>IFERROR(__xludf.DUMMYFUNCTION("""COMPUTED_VALUE"""),1280.0000000000002)</f>
        <v>1280</v>
      </c>
      <c r="X147" s="88"/>
      <c r="Y147" s="88"/>
      <c r="Z147" s="88"/>
      <c r="AA147" s="88"/>
      <c r="AC147" s="62" t="s">
        <v>116</v>
      </c>
    </row>
    <row r="148">
      <c r="A148" s="88"/>
      <c r="B148" s="88">
        <f>IFERROR(__xludf.DUMMYFUNCTION("""COMPUTED_VALUE"""),132.0)</f>
        <v>132</v>
      </c>
      <c r="C148" s="88" t="str">
        <f>IFERROR(__xludf.DUMMYFUNCTION("""COMPUTED_VALUE"""),"qeep_Lecithin_180caps")</f>
        <v>qeep_Lecithin_180caps</v>
      </c>
      <c r="D148" s="88">
        <f>IFERROR(__xludf.DUMMYFUNCTION("""COMPUTED_VALUE"""),9.48290832E8)</f>
        <v>948290832</v>
      </c>
      <c r="E148" s="88" t="str">
        <f>IFERROR(__xludf.DUMMYFUNCTION("""COMPUTED_VALUE"""),"qeep")</f>
        <v>qeep</v>
      </c>
      <c r="F148" s="88" t="str">
        <f>IFERROR(__xludf.DUMMYFUNCTION("""COMPUTED_VALUE"""),"Лецитин 1200 мг Qeep 180 капсул")</f>
        <v>Лецитин 1200 мг Qeep 180 капсул</v>
      </c>
      <c r="G148" s="88"/>
      <c r="H148" s="88"/>
      <c r="I148" s="88"/>
      <c r="J148" s="88"/>
      <c r="K148" s="242">
        <f>IFERROR(__xludf.DUMMYFUNCTION("""COMPUTED_VALUE"""),0.0)</f>
        <v>0</v>
      </c>
      <c r="L148" s="88"/>
      <c r="M148" s="243">
        <f>IFERROR(__xludf.DUMMYFUNCTION("""COMPUTED_VALUE"""),0.0)</f>
        <v>0</v>
      </c>
      <c r="N148" s="243">
        <f>IFERROR(__xludf.DUMMYFUNCTION("""COMPUTED_VALUE"""),0.0)</f>
        <v>0</v>
      </c>
      <c r="O148" s="88"/>
      <c r="P148" s="88" t="str">
        <f>IFERROR(__xludf.DUMMYFUNCTION("""COMPUTED_VALUE"""),"C")</f>
        <v>C</v>
      </c>
      <c r="Q148" s="88" t="str">
        <f>IFERROR(__xludf.DUMMYFUNCTION("""COMPUTED_VALUE"""),"C")</f>
        <v>C</v>
      </c>
      <c r="R148" s="88"/>
      <c r="S148" s="88" t="str">
        <f>IFERROR(__xludf.DUMMYFUNCTION("""COMPUTED_VALUE"""),"На вывод")</f>
        <v>На вывод</v>
      </c>
      <c r="T148" s="88" t="str">
        <f>IFERROR(__xludf.DUMMYFUNCTION("""COMPUTED_VALUE"""),"Семен")</f>
        <v>Семен</v>
      </c>
      <c r="U148" s="240">
        <f>IFERROR(__xludf.DUMMYFUNCTION("""COMPUTED_VALUE"""),421.0)</f>
        <v>421</v>
      </c>
      <c r="V148" s="88"/>
      <c r="W148" s="240">
        <f>IFERROR(__xludf.DUMMYFUNCTION("""COMPUTED_VALUE"""),2105.0000000000005)</f>
        <v>2105</v>
      </c>
      <c r="X148" s="88"/>
      <c r="Y148" s="88"/>
      <c r="Z148" s="88"/>
      <c r="AA148" s="88"/>
      <c r="AC148" s="62" t="s">
        <v>116</v>
      </c>
    </row>
    <row r="149">
      <c r="A149" s="88"/>
      <c r="B149" s="88">
        <f>IFERROR(__xludf.DUMMYFUNCTION("""COMPUTED_VALUE"""),133.0)</f>
        <v>133</v>
      </c>
      <c r="C149" s="88" t="str">
        <f>IFERROR(__xludf.DUMMYFUNCTION("""COMPUTED_VALUE"""),"qeep_tyrosine_90caps")</f>
        <v>qeep_tyrosine_90caps</v>
      </c>
      <c r="D149" s="88">
        <f>IFERROR(__xludf.DUMMYFUNCTION("""COMPUTED_VALUE"""),9.50391195E8)</f>
        <v>950391195</v>
      </c>
      <c r="E149" s="88" t="str">
        <f>IFERROR(__xludf.DUMMYFUNCTION("""COMPUTED_VALUE"""),"qeep")</f>
        <v>qeep</v>
      </c>
      <c r="F149" s="88" t="str">
        <f>IFERROR(__xludf.DUMMYFUNCTION("""COMPUTED_VALUE"""),"Тирозин 762 мг Qeep 90 капсул")</f>
        <v>Тирозин 762 мг Qeep 90 капсул</v>
      </c>
      <c r="G149" s="88"/>
      <c r="H149" s="88"/>
      <c r="I149" s="88"/>
      <c r="J149" s="88"/>
      <c r="K149" s="242">
        <f>IFERROR(__xludf.DUMMYFUNCTION("""COMPUTED_VALUE"""),0.0)</f>
        <v>0</v>
      </c>
      <c r="L149" s="88"/>
      <c r="M149" s="243">
        <f>IFERROR(__xludf.DUMMYFUNCTION("""COMPUTED_VALUE"""),0.0)</f>
        <v>0</v>
      </c>
      <c r="N149" s="243">
        <f>IFERROR(__xludf.DUMMYFUNCTION("""COMPUTED_VALUE"""),0.0)</f>
        <v>0</v>
      </c>
      <c r="O149" s="88"/>
      <c r="P149" s="88" t="str">
        <f>IFERROR(__xludf.DUMMYFUNCTION("""COMPUTED_VALUE"""),"C")</f>
        <v>C</v>
      </c>
      <c r="Q149" s="88" t="str">
        <f>IFERROR(__xludf.DUMMYFUNCTION("""COMPUTED_VALUE"""),"C")</f>
        <v>C</v>
      </c>
      <c r="R149" s="88"/>
      <c r="S149" s="88" t="str">
        <f>IFERROR(__xludf.DUMMYFUNCTION("""COMPUTED_VALUE"""),"На вывод")</f>
        <v>На вывод</v>
      </c>
      <c r="T149" s="88" t="str">
        <f>IFERROR(__xludf.DUMMYFUNCTION("""COMPUTED_VALUE"""),"Семен")</f>
        <v>Семен</v>
      </c>
      <c r="U149" s="240">
        <f>IFERROR(__xludf.DUMMYFUNCTION("""COMPUTED_VALUE"""),226.0)</f>
        <v>226</v>
      </c>
      <c r="V149" s="88"/>
      <c r="W149" s="240">
        <f>IFERROR(__xludf.DUMMYFUNCTION("""COMPUTED_VALUE"""),1130.0000000000002)</f>
        <v>1130</v>
      </c>
      <c r="X149" s="88"/>
      <c r="Y149" s="88"/>
      <c r="Z149" s="88"/>
      <c r="AA149" s="88"/>
      <c r="AC149" s="62" t="s">
        <v>116</v>
      </c>
    </row>
    <row r="150">
      <c r="A150" s="88"/>
      <c r="B150" s="88">
        <f>IFERROR(__xludf.DUMMYFUNCTION("""COMPUTED_VALUE"""),134.0)</f>
        <v>134</v>
      </c>
      <c r="C150" s="88" t="str">
        <f>IFERROR(__xludf.DUMMYFUNCTION("""COMPUTED_VALUE"""),"qeep_5htp_60caps")</f>
        <v>qeep_5htp_60caps</v>
      </c>
      <c r="D150" s="88">
        <f>IFERROR(__xludf.DUMMYFUNCTION("""COMPUTED_VALUE"""),1.020776527E9)</f>
        <v>1020776527</v>
      </c>
      <c r="E150" s="88" t="str">
        <f>IFERROR(__xludf.DUMMYFUNCTION("""COMPUTED_VALUE"""),"qeep")</f>
        <v>qeep</v>
      </c>
      <c r="F150" s="88" t="str">
        <f>IFERROR(__xludf.DUMMYFUNCTION("""COMPUTED_VALUE"""),"5 HTP 600 мг Qeep 60 капсул")</f>
        <v>5 HTP 600 мг Qeep 60 капсул</v>
      </c>
      <c r="G150" s="88"/>
      <c r="H150" s="88"/>
      <c r="I150" s="88"/>
      <c r="J150" s="88"/>
      <c r="K150" s="242">
        <f>IFERROR(__xludf.DUMMYFUNCTION("""COMPUTED_VALUE"""),0.0)</f>
        <v>0</v>
      </c>
      <c r="L150" s="88"/>
      <c r="M150" s="243">
        <f>IFERROR(__xludf.DUMMYFUNCTION("""COMPUTED_VALUE"""),0.0)</f>
        <v>0</v>
      </c>
      <c r="N150" s="243">
        <f>IFERROR(__xludf.DUMMYFUNCTION("""COMPUTED_VALUE"""),0.0)</f>
        <v>0</v>
      </c>
      <c r="O150" s="88"/>
      <c r="P150" s="88" t="str">
        <f>IFERROR(__xludf.DUMMYFUNCTION("""COMPUTED_VALUE"""),"C")</f>
        <v>C</v>
      </c>
      <c r="Q150" s="88" t="str">
        <f>IFERROR(__xludf.DUMMYFUNCTION("""COMPUTED_VALUE"""),"C")</f>
        <v>C</v>
      </c>
      <c r="R150" s="88"/>
      <c r="S150" s="88" t="str">
        <f>IFERROR(__xludf.DUMMYFUNCTION("""COMPUTED_VALUE"""),"На вывод")</f>
        <v>На вывод</v>
      </c>
      <c r="T150" s="88" t="str">
        <f>IFERROR(__xludf.DUMMYFUNCTION("""COMPUTED_VALUE"""),"Семен")</f>
        <v>Семен</v>
      </c>
      <c r="U150" s="240">
        <f>IFERROR(__xludf.DUMMYFUNCTION("""COMPUTED_VALUE"""),343.7)</f>
        <v>343.7</v>
      </c>
      <c r="V150" s="88"/>
      <c r="W150" s="240">
        <f>IFERROR(__xludf.DUMMYFUNCTION("""COMPUTED_VALUE"""),1718.5000000000002)</f>
        <v>1718.5</v>
      </c>
      <c r="X150" s="88"/>
      <c r="Y150" s="88"/>
      <c r="Z150" s="88"/>
      <c r="AA150" s="88"/>
      <c r="AC150" s="62" t="s">
        <v>116</v>
      </c>
    </row>
    <row r="151">
      <c r="A151" s="88"/>
      <c r="B151" s="88">
        <f>IFERROR(__xludf.DUMMYFUNCTION("""COMPUTED_VALUE"""),135.0)</f>
        <v>135</v>
      </c>
      <c r="C151" s="88" t="str">
        <f>IFERROR(__xludf.DUMMYFUNCTION("""COMPUTED_VALUE"""),"qeep_maslo_chernogo_tmina_60caps")</f>
        <v>qeep_maslo_chernogo_tmina_60caps</v>
      </c>
      <c r="D151" s="88">
        <f>IFERROR(__xludf.DUMMYFUNCTION("""COMPUTED_VALUE"""),9.66794115E8)</f>
        <v>966794115</v>
      </c>
      <c r="E151" s="88" t="str">
        <f>IFERROR(__xludf.DUMMYFUNCTION("""COMPUTED_VALUE"""),"qeep")</f>
        <v>qeep</v>
      </c>
      <c r="F151" s="88" t="str">
        <f>IFERROR(__xludf.DUMMYFUNCTION("""COMPUTED_VALUE"""),"Масло черного тмина Qeep 60 капсул")</f>
        <v>Масло черного тмина Qeep 60 капсул</v>
      </c>
      <c r="G151" s="88"/>
      <c r="H151" s="88"/>
      <c r="I151" s="88"/>
      <c r="J151" s="88"/>
      <c r="K151" s="242">
        <f>IFERROR(__xludf.DUMMYFUNCTION("""COMPUTED_VALUE"""),0.0)</f>
        <v>0</v>
      </c>
      <c r="L151" s="88"/>
      <c r="M151" s="243">
        <f>IFERROR(__xludf.DUMMYFUNCTION("""COMPUTED_VALUE"""),0.0)</f>
        <v>0</v>
      </c>
      <c r="N151" s="243">
        <f>IFERROR(__xludf.DUMMYFUNCTION("""COMPUTED_VALUE"""),0.0)</f>
        <v>0</v>
      </c>
      <c r="O151" s="88"/>
      <c r="P151" s="88" t="str">
        <f>IFERROR(__xludf.DUMMYFUNCTION("""COMPUTED_VALUE"""),"C")</f>
        <v>C</v>
      </c>
      <c r="Q151" s="88" t="str">
        <f>IFERROR(__xludf.DUMMYFUNCTION("""COMPUTED_VALUE"""),"C")</f>
        <v>C</v>
      </c>
      <c r="R151" s="88"/>
      <c r="S151" s="88" t="str">
        <f>IFERROR(__xludf.DUMMYFUNCTION("""COMPUTED_VALUE"""),"На вывод")</f>
        <v>На вывод</v>
      </c>
      <c r="T151" s="88" t="str">
        <f>IFERROR(__xludf.DUMMYFUNCTION("""COMPUTED_VALUE"""),"Семен")</f>
        <v>Семен</v>
      </c>
      <c r="U151" s="240">
        <f>IFERROR(__xludf.DUMMYFUNCTION("""COMPUTED_VALUE"""),229.06)</f>
        <v>229.06</v>
      </c>
      <c r="V151" s="88"/>
      <c r="W151" s="240">
        <f>IFERROR(__xludf.DUMMYFUNCTION("""COMPUTED_VALUE"""),1145.3000000000002)</f>
        <v>1145.3</v>
      </c>
      <c r="X151" s="88"/>
      <c r="Y151" s="88"/>
      <c r="Z151" s="88"/>
      <c r="AA151" s="88"/>
      <c r="AC151" s="62" t="s">
        <v>116</v>
      </c>
    </row>
    <row r="152">
      <c r="A152" s="88"/>
      <c r="B152" s="88">
        <f>IFERROR(__xludf.DUMMYFUNCTION("""COMPUTED_VALUE"""),136.0)</f>
        <v>136</v>
      </c>
      <c r="C152" s="88" t="str">
        <f>IFERROR(__xludf.DUMMYFUNCTION("""COMPUTED_VALUE"""),"qeepspirulina")</f>
        <v>qeepspirulina</v>
      </c>
      <c r="D152" s="88">
        <f>IFERROR(__xludf.DUMMYFUNCTION("""COMPUTED_VALUE"""),6.17343284E8)</f>
        <v>617343284</v>
      </c>
      <c r="E152" s="88" t="str">
        <f>IFERROR(__xludf.DUMMYFUNCTION("""COMPUTED_VALUE"""),"qeep")</f>
        <v>qeep</v>
      </c>
      <c r="F152" s="88" t="str">
        <f>IFERROR(__xludf.DUMMYFUNCTION("""COMPUTED_VALUE"""),"Спирулина хлорелла 600 мг Qeep 60 капсул")</f>
        <v>Спирулина хлорелла 600 мг Qeep 60 капсул</v>
      </c>
      <c r="G152" s="88"/>
      <c r="H152" s="88"/>
      <c r="I152" s="88"/>
      <c r="J152" s="88"/>
      <c r="K152" s="242">
        <f>IFERROR(__xludf.DUMMYFUNCTION("""COMPUTED_VALUE"""),0.0)</f>
        <v>0</v>
      </c>
      <c r="L152" s="88"/>
      <c r="M152" s="243">
        <f>IFERROR(__xludf.DUMMYFUNCTION("""COMPUTED_VALUE"""),0.0)</f>
        <v>0</v>
      </c>
      <c r="N152" s="243">
        <f>IFERROR(__xludf.DUMMYFUNCTION("""COMPUTED_VALUE"""),0.0)</f>
        <v>0</v>
      </c>
      <c r="O152" s="88"/>
      <c r="P152" s="88" t="str">
        <f>IFERROR(__xludf.DUMMYFUNCTION("""COMPUTED_VALUE"""),"C")</f>
        <v>C</v>
      </c>
      <c r="Q152" s="88" t="str">
        <f>IFERROR(__xludf.DUMMYFUNCTION("""COMPUTED_VALUE"""),"C")</f>
        <v>C</v>
      </c>
      <c r="R152" s="88"/>
      <c r="S152" s="88" t="str">
        <f>IFERROR(__xludf.DUMMYFUNCTION("""COMPUTED_VALUE"""),"На вывод")</f>
        <v>На вывод</v>
      </c>
      <c r="T152" s="88" t="str">
        <f>IFERROR(__xludf.DUMMYFUNCTION("""COMPUTED_VALUE"""),"Семен")</f>
        <v>Семен</v>
      </c>
      <c r="U152" s="240">
        <f>IFERROR(__xludf.DUMMYFUNCTION("""COMPUTED_VALUE"""),272.47)</f>
        <v>272.47</v>
      </c>
      <c r="V152" s="88"/>
      <c r="W152" s="240">
        <f>IFERROR(__xludf.DUMMYFUNCTION("""COMPUTED_VALUE"""),1362.3500000000004)</f>
        <v>1362.35</v>
      </c>
      <c r="X152" s="88"/>
      <c r="Y152" s="88"/>
      <c r="Z152" s="88"/>
      <c r="AA152" s="88"/>
      <c r="AC152" s="62" t="s">
        <v>116</v>
      </c>
    </row>
    <row r="153">
      <c r="A153" s="88"/>
      <c r="B153" s="88">
        <f>IFERROR(__xludf.DUMMYFUNCTION("""COMPUTED_VALUE"""),137.0)</f>
        <v>137</v>
      </c>
      <c r="C153" s="88" t="str">
        <f>IFERROR(__xludf.DUMMYFUNCTION("""COMPUTED_VALUE"""),"qeepspirulina1+1")</f>
        <v>qeepspirulina1+1</v>
      </c>
      <c r="D153" s="88">
        <f>IFERROR(__xludf.DUMMYFUNCTION("""COMPUTED_VALUE"""),8.71802851E8)</f>
        <v>871802851</v>
      </c>
      <c r="E153" s="88" t="str">
        <f>IFERROR(__xludf.DUMMYFUNCTION("""COMPUTED_VALUE"""),"qeep")</f>
        <v>qeep</v>
      </c>
      <c r="F153" s="88" t="str">
        <f>IFERROR(__xludf.DUMMYFUNCTION("""COMPUTED_VALUE"""),"Спирулина хлорелла 600 мг Qeep 60+60 капсул")</f>
        <v>Спирулина хлорелла 600 мг Qeep 60+60 капсул</v>
      </c>
      <c r="G153" s="88"/>
      <c r="H153" s="88"/>
      <c r="I153" s="88"/>
      <c r="J153" s="88"/>
      <c r="K153" s="242">
        <f>IFERROR(__xludf.DUMMYFUNCTION("""COMPUTED_VALUE"""),0.0)</f>
        <v>0</v>
      </c>
      <c r="L153" s="88"/>
      <c r="M153" s="243">
        <f>IFERROR(__xludf.DUMMYFUNCTION("""COMPUTED_VALUE"""),0.0)</f>
        <v>0</v>
      </c>
      <c r="N153" s="243">
        <f>IFERROR(__xludf.DUMMYFUNCTION("""COMPUTED_VALUE"""),0.0)</f>
        <v>0</v>
      </c>
      <c r="O153" s="88"/>
      <c r="P153" s="88" t="str">
        <f>IFERROR(__xludf.DUMMYFUNCTION("""COMPUTED_VALUE"""),"C")</f>
        <v>C</v>
      </c>
      <c r="Q153" s="88" t="str">
        <f>IFERROR(__xludf.DUMMYFUNCTION("""COMPUTED_VALUE"""),"C")</f>
        <v>C</v>
      </c>
      <c r="R153" s="88"/>
      <c r="S153" s="88" t="str">
        <f>IFERROR(__xludf.DUMMYFUNCTION("""COMPUTED_VALUE"""),"На вывод")</f>
        <v>На вывод</v>
      </c>
      <c r="T153" s="88" t="str">
        <f>IFERROR(__xludf.DUMMYFUNCTION("""COMPUTED_VALUE"""),"Семен")</f>
        <v>Семен</v>
      </c>
      <c r="U153" s="240">
        <f>IFERROR(__xludf.DUMMYFUNCTION("""COMPUTED_VALUE"""),544.94)</f>
        <v>544.94</v>
      </c>
      <c r="V153" s="88"/>
      <c r="W153" s="240">
        <f>IFERROR(__xludf.DUMMYFUNCTION("""COMPUTED_VALUE"""),2724.7000000000007)</f>
        <v>2724.7</v>
      </c>
      <c r="X153" s="88"/>
      <c r="Y153" s="88"/>
      <c r="Z153" s="88"/>
      <c r="AA153" s="88"/>
      <c r="AC153" s="62" t="s">
        <v>116</v>
      </c>
    </row>
    <row r="154">
      <c r="A154" s="88"/>
      <c r="B154" s="88">
        <f>IFERROR(__xludf.DUMMYFUNCTION("""COMPUTED_VALUE"""),138.0)</f>
        <v>138</v>
      </c>
      <c r="C154" s="88" t="str">
        <f>IFERROR(__xludf.DUMMYFUNCTION("""COMPUTED_VALUE"""),"qeep_spirulina_3000")</f>
        <v>qeep_spirulina_3000</v>
      </c>
      <c r="D154" s="88">
        <f>IFERROR(__xludf.DUMMYFUNCTION("""COMPUTED_VALUE"""),1.032702789E9)</f>
        <v>1032702789</v>
      </c>
      <c r="E154" s="88" t="str">
        <f>IFERROR(__xludf.DUMMYFUNCTION("""COMPUTED_VALUE"""),"qeep")</f>
        <v>qeep</v>
      </c>
      <c r="F154" s="88" t="str">
        <f>IFERROR(__xludf.DUMMYFUNCTION("""COMPUTED_VALUE"""),"Спирулина 3000 мг Qeep 90 капсул")</f>
        <v>Спирулина 3000 мг Qeep 90 капсул</v>
      </c>
      <c r="G154" s="88"/>
      <c r="H154" s="88"/>
      <c r="I154" s="88"/>
      <c r="J154" s="88"/>
      <c r="K154" s="242">
        <f>IFERROR(__xludf.DUMMYFUNCTION("""COMPUTED_VALUE"""),0.0)</f>
        <v>0</v>
      </c>
      <c r="L154" s="88"/>
      <c r="M154" s="243">
        <f>IFERROR(__xludf.DUMMYFUNCTION("""COMPUTED_VALUE"""),0.0)</f>
        <v>0</v>
      </c>
      <c r="N154" s="243">
        <f>IFERROR(__xludf.DUMMYFUNCTION("""COMPUTED_VALUE"""),0.0)</f>
        <v>0</v>
      </c>
      <c r="O154" s="88"/>
      <c r="P154" s="88" t="str">
        <f>IFERROR(__xludf.DUMMYFUNCTION("""COMPUTED_VALUE"""),"C")</f>
        <v>C</v>
      </c>
      <c r="Q154" s="88" t="str">
        <f>IFERROR(__xludf.DUMMYFUNCTION("""COMPUTED_VALUE"""),"C")</f>
        <v>C</v>
      </c>
      <c r="R154" s="88"/>
      <c r="S154" s="88" t="str">
        <f>IFERROR(__xludf.DUMMYFUNCTION("""COMPUTED_VALUE"""),"На вывод")</f>
        <v>На вывод</v>
      </c>
      <c r="T154" s="88" t="str">
        <f>IFERROR(__xludf.DUMMYFUNCTION("""COMPUTED_VALUE"""),"Семен")</f>
        <v>Семен</v>
      </c>
      <c r="U154" s="240">
        <f>IFERROR(__xludf.DUMMYFUNCTION("""COMPUTED_VALUE"""),232.3)</f>
        <v>232.3</v>
      </c>
      <c r="V154" s="88"/>
      <c r="W154" s="240">
        <f>IFERROR(__xludf.DUMMYFUNCTION("""COMPUTED_VALUE"""),1161.5000000000002)</f>
        <v>1161.5</v>
      </c>
      <c r="X154" s="88"/>
      <c r="Y154" s="88"/>
      <c r="Z154" s="88"/>
      <c r="AA154" s="88"/>
      <c r="AC154" s="62" t="s">
        <v>116</v>
      </c>
    </row>
    <row r="155">
      <c r="A155" s="88"/>
      <c r="B155" s="88">
        <f>IFERROR(__xludf.DUMMYFUNCTION("""COMPUTED_VALUE"""),139.0)</f>
        <v>139</v>
      </c>
      <c r="C155" s="88" t="str">
        <f>IFERROR(__xludf.DUMMYFUNCTION("""COMPUTED_VALUE"""),"qeep_spirulinachlor_collagen_6060")</f>
        <v>qeep_spirulinachlor_collagen_6060</v>
      </c>
      <c r="D155" s="88">
        <f>IFERROR(__xludf.DUMMYFUNCTION("""COMPUTED_VALUE"""),1.09972736E9)</f>
        <v>1099727360</v>
      </c>
      <c r="E155" s="88" t="str">
        <f>IFERROR(__xludf.DUMMYFUNCTION("""COMPUTED_VALUE"""),"qeep")</f>
        <v>qeep</v>
      </c>
      <c r="F155" s="88" t="str">
        <f>IFERROR(__xludf.DUMMYFUNCTION("""COMPUTED_VALUE"""),"Спирулина хлорелла + Коллаген с Витамином С Qeep 120 капсул")</f>
        <v>Спирулина хлорелла + Коллаген с Витамином С Qeep 120 капсул</v>
      </c>
      <c r="G155" s="88"/>
      <c r="H155" s="88"/>
      <c r="I155" s="88"/>
      <c r="J155" s="88"/>
      <c r="K155" s="242">
        <f>IFERROR(__xludf.DUMMYFUNCTION("""COMPUTED_VALUE"""),0.0)</f>
        <v>0</v>
      </c>
      <c r="L155" s="88"/>
      <c r="M155" s="243">
        <f>IFERROR(__xludf.DUMMYFUNCTION("""COMPUTED_VALUE"""),0.0)</f>
        <v>0</v>
      </c>
      <c r="N155" s="243">
        <f>IFERROR(__xludf.DUMMYFUNCTION("""COMPUTED_VALUE"""),0.0)</f>
        <v>0</v>
      </c>
      <c r="O155" s="88"/>
      <c r="P155" s="88" t="str">
        <f>IFERROR(__xludf.DUMMYFUNCTION("""COMPUTED_VALUE"""),"C")</f>
        <v>C</v>
      </c>
      <c r="Q155" s="88" t="str">
        <f>IFERROR(__xludf.DUMMYFUNCTION("""COMPUTED_VALUE"""),"C")</f>
        <v>C</v>
      </c>
      <c r="R155" s="88"/>
      <c r="S155" s="88" t="str">
        <f>IFERROR(__xludf.DUMMYFUNCTION("""COMPUTED_VALUE"""),"На вывод")</f>
        <v>На вывод</v>
      </c>
      <c r="T155" s="88" t="str">
        <f>IFERROR(__xludf.DUMMYFUNCTION("""COMPUTED_VALUE"""),"Семен")</f>
        <v>Семен</v>
      </c>
      <c r="U155" s="240">
        <f>IFERROR(__xludf.DUMMYFUNCTION("""COMPUTED_VALUE"""),444.06)</f>
        <v>444.06</v>
      </c>
      <c r="V155" s="88"/>
      <c r="W155" s="240">
        <f>IFERROR(__xludf.DUMMYFUNCTION("""COMPUTED_VALUE"""),2220.3000000000006)</f>
        <v>2220.3</v>
      </c>
      <c r="X155" s="88"/>
      <c r="Y155" s="88"/>
      <c r="Z155" s="88"/>
      <c r="AA155" s="88"/>
      <c r="AC155" s="62" t="s">
        <v>116</v>
      </c>
    </row>
    <row r="156">
      <c r="A156" s="88"/>
      <c r="B156" s="88">
        <f>IFERROR(__xludf.DUMMYFUNCTION("""COMPUTED_VALUE"""),140.0)</f>
        <v>140</v>
      </c>
      <c r="C156" s="88" t="str">
        <f>IFERROR(__xludf.DUMMYFUNCTION("""COMPUTED_VALUE"""),"qeep_spirulinachlor_mctd3_6060")</f>
        <v>qeep_spirulinachlor_mctd3_6060</v>
      </c>
      <c r="D156" s="88">
        <f>IFERROR(__xludf.DUMMYFUNCTION("""COMPUTED_VALUE"""),1.099740649E9)</f>
        <v>1099740649</v>
      </c>
      <c r="E156" s="88" t="str">
        <f>IFERROR(__xludf.DUMMYFUNCTION("""COMPUTED_VALUE"""),"qeep")</f>
        <v>qeep</v>
      </c>
      <c r="F156" s="88" t="str">
        <f>IFERROR(__xludf.DUMMYFUNCTION("""COMPUTED_VALUE"""),"Спирулина хлорелла + Масло мст Витамин Д3 Qeep 120 капсул")</f>
        <v>Спирулина хлорелла + Масло мст Витамин Д3 Qeep 120 капсул</v>
      </c>
      <c r="G156" s="88"/>
      <c r="H156" s="88"/>
      <c r="I156" s="88"/>
      <c r="J156" s="88"/>
      <c r="K156" s="242">
        <f>IFERROR(__xludf.DUMMYFUNCTION("""COMPUTED_VALUE"""),0.0)</f>
        <v>0</v>
      </c>
      <c r="L156" s="88"/>
      <c r="M156" s="243">
        <f>IFERROR(__xludf.DUMMYFUNCTION("""COMPUTED_VALUE"""),0.0)</f>
        <v>0</v>
      </c>
      <c r="N156" s="243">
        <f>IFERROR(__xludf.DUMMYFUNCTION("""COMPUTED_VALUE"""),0.0)</f>
        <v>0</v>
      </c>
      <c r="O156" s="88"/>
      <c r="P156" s="88" t="str">
        <f>IFERROR(__xludf.DUMMYFUNCTION("""COMPUTED_VALUE"""),"C")</f>
        <v>C</v>
      </c>
      <c r="Q156" s="88" t="str">
        <f>IFERROR(__xludf.DUMMYFUNCTION("""COMPUTED_VALUE"""),"C")</f>
        <v>C</v>
      </c>
      <c r="R156" s="88"/>
      <c r="S156" s="88" t="str">
        <f>IFERROR(__xludf.DUMMYFUNCTION("""COMPUTED_VALUE"""),"На вывод")</f>
        <v>На вывод</v>
      </c>
      <c r="T156" s="88" t="str">
        <f>IFERROR(__xludf.DUMMYFUNCTION("""COMPUTED_VALUE"""),"Семен")</f>
        <v>Семен</v>
      </c>
      <c r="U156" s="240">
        <f>IFERROR(__xludf.DUMMYFUNCTION("""COMPUTED_VALUE"""),452.0)</f>
        <v>452</v>
      </c>
      <c r="V156" s="88"/>
      <c r="W156" s="240">
        <f>IFERROR(__xludf.DUMMYFUNCTION("""COMPUTED_VALUE"""),2260.0000000000005)</f>
        <v>2260</v>
      </c>
      <c r="X156" s="88"/>
      <c r="Y156" s="88"/>
      <c r="Z156" s="88"/>
      <c r="AA156" s="88"/>
      <c r="AC156" s="62" t="s">
        <v>116</v>
      </c>
    </row>
    <row r="157">
      <c r="A157" s="88"/>
      <c r="B157" s="88">
        <f>IFERROR(__xludf.DUMMYFUNCTION("""COMPUTED_VALUE"""),141.0)</f>
        <v>141</v>
      </c>
      <c r="C157" s="88" t="str">
        <f>IFERROR(__xludf.DUMMYFUNCTION("""COMPUTED_VALUE"""),"qeep_spirulinachlor_preprobio_6030")</f>
        <v>qeep_spirulinachlor_preprobio_6030</v>
      </c>
      <c r="D157" s="88">
        <f>IFERROR(__xludf.DUMMYFUNCTION("""COMPUTED_VALUE"""),1.099757439E9)</f>
        <v>1099757439</v>
      </c>
      <c r="E157" s="88" t="str">
        <f>IFERROR(__xludf.DUMMYFUNCTION("""COMPUTED_VALUE"""),"qeep")</f>
        <v>qeep</v>
      </c>
      <c r="F157" s="88" t="str">
        <f>IFERROR(__xludf.DUMMYFUNCTION("""COMPUTED_VALUE"""),"Спирулина хлорелла + Пробиотики для взрослых Qeep 90 капсул")</f>
        <v>Спирулина хлорелла + Пробиотики для взрослых Qeep 90 капсул</v>
      </c>
      <c r="G157" s="88"/>
      <c r="H157" s="88"/>
      <c r="I157" s="88"/>
      <c r="J157" s="88"/>
      <c r="K157" s="242">
        <f>IFERROR(__xludf.DUMMYFUNCTION("""COMPUTED_VALUE"""),0.0)</f>
        <v>0</v>
      </c>
      <c r="L157" s="88"/>
      <c r="M157" s="243">
        <f>IFERROR(__xludf.DUMMYFUNCTION("""COMPUTED_VALUE"""),0.0)</f>
        <v>0</v>
      </c>
      <c r="N157" s="243">
        <f>IFERROR(__xludf.DUMMYFUNCTION("""COMPUTED_VALUE"""),0.0)</f>
        <v>0</v>
      </c>
      <c r="O157" s="88"/>
      <c r="P157" s="88" t="str">
        <f>IFERROR(__xludf.DUMMYFUNCTION("""COMPUTED_VALUE"""),"C")</f>
        <v>C</v>
      </c>
      <c r="Q157" s="88" t="str">
        <f>IFERROR(__xludf.DUMMYFUNCTION("""COMPUTED_VALUE"""),"C")</f>
        <v>C</v>
      </c>
      <c r="R157" s="88"/>
      <c r="S157" s="88" t="str">
        <f>IFERROR(__xludf.DUMMYFUNCTION("""COMPUTED_VALUE"""),"На вывод")</f>
        <v>На вывод</v>
      </c>
      <c r="T157" s="88" t="str">
        <f>IFERROR(__xludf.DUMMYFUNCTION("""COMPUTED_VALUE"""),"Семен")</f>
        <v>Семен</v>
      </c>
      <c r="U157" s="240">
        <f>IFERROR(__xludf.DUMMYFUNCTION("""COMPUTED_VALUE"""),389.13)</f>
        <v>389.13</v>
      </c>
      <c r="V157" s="88"/>
      <c r="W157" s="240">
        <f>IFERROR(__xludf.DUMMYFUNCTION("""COMPUTED_VALUE"""),1945.6500000000003)</f>
        <v>1945.65</v>
      </c>
      <c r="X157" s="88"/>
      <c r="Y157" s="88"/>
      <c r="Z157" s="88"/>
      <c r="AA157" s="88"/>
      <c r="AC157" s="62" t="s">
        <v>116</v>
      </c>
    </row>
    <row r="158">
      <c r="A158" s="88"/>
      <c r="B158" s="88">
        <f>IFERROR(__xludf.DUMMYFUNCTION("""COMPUTED_VALUE"""),142.0)</f>
        <v>142</v>
      </c>
      <c r="C158" s="88" t="str">
        <f>IFERROR(__xludf.DUMMYFUNCTION("""COMPUTED_VALUE"""),"qeep_spirulina+chrom")</f>
        <v>qeep_spirulina+chrom</v>
      </c>
      <c r="D158" s="88" t="str">
        <f>IFERROR(__xludf.DUMMYFUNCTION("""COMPUTED_VALUE"""),"#N/A")</f>
        <v>#N/A</v>
      </c>
      <c r="E158" s="88" t="str">
        <f>IFERROR(__xludf.DUMMYFUNCTION("""COMPUTED_VALUE"""),"qeep")</f>
        <v>qeep</v>
      </c>
      <c r="F158" s="88" t="str">
        <f>IFERROR(__xludf.DUMMYFUNCTION("""COMPUTED_VALUE"""),"#N/A")</f>
        <v>#N/A</v>
      </c>
      <c r="G158" s="88"/>
      <c r="H158" s="88"/>
      <c r="I158" s="88"/>
      <c r="J158" s="88"/>
      <c r="K158" s="242">
        <f>IFERROR(__xludf.DUMMYFUNCTION("""COMPUTED_VALUE"""),0.0)</f>
        <v>0</v>
      </c>
      <c r="L158" s="88"/>
      <c r="M158" s="243">
        <f>IFERROR(__xludf.DUMMYFUNCTION("""COMPUTED_VALUE"""),0.0)</f>
        <v>0</v>
      </c>
      <c r="N158" s="243">
        <f>IFERROR(__xludf.DUMMYFUNCTION("""COMPUTED_VALUE"""),0.0)</f>
        <v>0</v>
      </c>
      <c r="O158" s="88"/>
      <c r="P158" s="88" t="str">
        <f>IFERROR(__xludf.DUMMYFUNCTION("""COMPUTED_VALUE"""),"C")</f>
        <v>C</v>
      </c>
      <c r="Q158" s="88" t="str">
        <f>IFERROR(__xludf.DUMMYFUNCTION("""COMPUTED_VALUE"""),"C")</f>
        <v>C</v>
      </c>
      <c r="R158" s="88"/>
      <c r="S158" s="88" t="str">
        <f>IFERROR(__xludf.DUMMYFUNCTION("""COMPUTED_VALUE"""),"На вывод")</f>
        <v>На вывод</v>
      </c>
      <c r="T158" s="88" t="str">
        <f>IFERROR(__xludf.DUMMYFUNCTION("""COMPUTED_VALUE"""),"Семен")</f>
        <v>Семен</v>
      </c>
      <c r="U158" s="240">
        <f>IFERROR(__xludf.DUMMYFUNCTION("""COMPUTED_VALUE"""),330.0)</f>
        <v>330</v>
      </c>
      <c r="V158" s="88"/>
      <c r="W158" s="240">
        <f>IFERROR(__xludf.DUMMYFUNCTION("""COMPUTED_VALUE"""),1650.0000000000005)</f>
        <v>1650</v>
      </c>
      <c r="X158" s="88"/>
      <c r="Y158" s="88"/>
      <c r="Z158" s="88"/>
      <c r="AA158" s="88"/>
      <c r="AC158" s="62" t="s">
        <v>116</v>
      </c>
    </row>
    <row r="159">
      <c r="A159" s="88"/>
      <c r="B159" s="88">
        <f>IFERROR(__xludf.DUMMYFUNCTION("""COMPUTED_VALUE"""),143.0)</f>
        <v>143</v>
      </c>
      <c r="C159" s="88" t="str">
        <f>IFERROR(__xludf.DUMMYFUNCTION("""COMPUTED_VALUE"""),"qeep_chlorophyll_500ml")</f>
        <v>qeep_chlorophyll_500ml</v>
      </c>
      <c r="D159" s="88">
        <f>IFERROR(__xludf.DUMMYFUNCTION("""COMPUTED_VALUE"""),1.044887692E9)</f>
        <v>1044887692</v>
      </c>
      <c r="E159" s="88" t="str">
        <f>IFERROR(__xludf.DUMMYFUNCTION("""COMPUTED_VALUE"""),"qeep")</f>
        <v>qeep</v>
      </c>
      <c r="F159" s="88" t="str">
        <f>IFERROR(__xludf.DUMMYFUNCTION("""COMPUTED_VALUE"""),"БАД Chlorophyll, 500 мл Жидкий хлорофилл со вкусом мяты, 500мл")</f>
        <v>БАД Chlorophyll, 500 мл Жидкий хлорофилл со вкусом мяты, 500мл</v>
      </c>
      <c r="G159" s="88"/>
      <c r="H159" s="88"/>
      <c r="I159" s="88"/>
      <c r="J159" s="88"/>
      <c r="K159" s="242">
        <f>IFERROR(__xludf.DUMMYFUNCTION("""COMPUTED_VALUE"""),0.0)</f>
        <v>0</v>
      </c>
      <c r="L159" s="88"/>
      <c r="M159" s="243">
        <f>IFERROR(__xludf.DUMMYFUNCTION("""COMPUTED_VALUE"""),0.0)</f>
        <v>0</v>
      </c>
      <c r="N159" s="243">
        <f>IFERROR(__xludf.DUMMYFUNCTION("""COMPUTED_VALUE"""),0.0)</f>
        <v>0</v>
      </c>
      <c r="O159" s="88"/>
      <c r="P159" s="88" t="str">
        <f>IFERROR(__xludf.DUMMYFUNCTION("""COMPUTED_VALUE"""),"C")</f>
        <v>C</v>
      </c>
      <c r="Q159" s="88" t="str">
        <f>IFERROR(__xludf.DUMMYFUNCTION("""COMPUTED_VALUE"""),"C")</f>
        <v>C</v>
      </c>
      <c r="R159" s="88"/>
      <c r="S159" s="88" t="str">
        <f>IFERROR(__xludf.DUMMYFUNCTION("""COMPUTED_VALUE"""),"На вывод")</f>
        <v>На вывод</v>
      </c>
      <c r="T159" s="88" t="str">
        <f>IFERROR(__xludf.DUMMYFUNCTION("""COMPUTED_VALUE"""),"Семен")</f>
        <v>Семен</v>
      </c>
      <c r="U159" s="240">
        <f>IFERROR(__xludf.DUMMYFUNCTION("""COMPUTED_VALUE"""),423.0)</f>
        <v>423</v>
      </c>
      <c r="V159" s="88"/>
      <c r="W159" s="240">
        <f>IFERROR(__xludf.DUMMYFUNCTION("""COMPUTED_VALUE"""),2115.0000000000005)</f>
        <v>2115</v>
      </c>
      <c r="X159" s="88"/>
      <c r="Y159" s="88"/>
      <c r="Z159" s="88"/>
      <c r="AA159" s="88"/>
      <c r="AC159" s="62" t="s">
        <v>116</v>
      </c>
    </row>
    <row r="160">
      <c r="A160" s="88"/>
      <c r="B160" s="88">
        <f>IFERROR(__xludf.DUMMYFUNCTION("""COMPUTED_VALUE"""),144.0)</f>
        <v>144</v>
      </c>
      <c r="C160" s="88" t="str">
        <f>IFERROR(__xludf.DUMMYFUNCTION("""COMPUTED_VALUE"""),"qeepomega3")</f>
        <v>qeepomega3</v>
      </c>
      <c r="D160" s="88">
        <f>IFERROR(__xludf.DUMMYFUNCTION("""COMPUTED_VALUE"""),6.5063206E8)</f>
        <v>650632060</v>
      </c>
      <c r="E160" s="88" t="str">
        <f>IFERROR(__xludf.DUMMYFUNCTION("""COMPUTED_VALUE"""),"qeep")</f>
        <v>qeep</v>
      </c>
      <c r="F160" s="88" t="str">
        <f>IFERROR(__xludf.DUMMYFUNCTION("""COMPUTED_VALUE"""),"Омега 3 1620 мг EPA 792 мг DHA 528 мг Qeep 30 капсул")</f>
        <v>Омега 3 1620 мг EPA 792 мг DHA 528 мг Qeep 30 капсул</v>
      </c>
      <c r="G160" s="88"/>
      <c r="H160" s="88"/>
      <c r="I160" s="88"/>
      <c r="J160" s="88"/>
      <c r="K160" s="242">
        <f>IFERROR(__xludf.DUMMYFUNCTION("""COMPUTED_VALUE"""),0.0)</f>
        <v>0</v>
      </c>
      <c r="L160" s="88"/>
      <c r="M160" s="243">
        <f>IFERROR(__xludf.DUMMYFUNCTION("""COMPUTED_VALUE"""),0.0)</f>
        <v>0</v>
      </c>
      <c r="N160" s="243">
        <f>IFERROR(__xludf.DUMMYFUNCTION("""COMPUTED_VALUE"""),0.0)</f>
        <v>0</v>
      </c>
      <c r="O160" s="88"/>
      <c r="P160" s="88" t="str">
        <f>IFERROR(__xludf.DUMMYFUNCTION("""COMPUTED_VALUE"""),"C")</f>
        <v>C</v>
      </c>
      <c r="Q160" s="88" t="str">
        <f>IFERROR(__xludf.DUMMYFUNCTION("""COMPUTED_VALUE"""),"C")</f>
        <v>C</v>
      </c>
      <c r="R160" s="88"/>
      <c r="S160" s="88" t="str">
        <f>IFERROR(__xludf.DUMMYFUNCTION("""COMPUTED_VALUE"""),"На вывод")</f>
        <v>На вывод</v>
      </c>
      <c r="T160" s="88" t="str">
        <f>IFERROR(__xludf.DUMMYFUNCTION("""COMPUTED_VALUE"""),"Семен")</f>
        <v>Семен</v>
      </c>
      <c r="U160" s="240">
        <f>IFERROR(__xludf.DUMMYFUNCTION("""COMPUTED_VALUE"""),189.61)</f>
        <v>189.61</v>
      </c>
      <c r="V160" s="88"/>
      <c r="W160" s="240">
        <f>IFERROR(__xludf.DUMMYFUNCTION("""COMPUTED_VALUE"""),948.0500000000003)</f>
        <v>948.05</v>
      </c>
      <c r="X160" s="88"/>
      <c r="Y160" s="88"/>
      <c r="Z160" s="88"/>
      <c r="AA160" s="88"/>
      <c r="AC160" s="62" t="s">
        <v>116</v>
      </c>
    </row>
    <row r="161">
      <c r="A161" s="88"/>
      <c r="B161" s="88">
        <f>IFERROR(__xludf.DUMMYFUNCTION("""COMPUTED_VALUE"""),145.0)</f>
        <v>145</v>
      </c>
      <c r="C161" s="88" t="str">
        <f>IFERROR(__xludf.DUMMYFUNCTION("""COMPUTED_VALUE"""),"qeepomega3_1+1")</f>
        <v>qeepomega3_1+1</v>
      </c>
      <c r="D161" s="88">
        <f>IFERROR(__xludf.DUMMYFUNCTION("""COMPUTED_VALUE"""),8.71788218E8)</f>
        <v>871788218</v>
      </c>
      <c r="E161" s="88" t="str">
        <f>IFERROR(__xludf.DUMMYFUNCTION("""COMPUTED_VALUE"""),"qeep")</f>
        <v>qeep</v>
      </c>
      <c r="F161" s="88" t="str">
        <f>IFERROR(__xludf.DUMMYFUNCTION("""COMPUTED_VALUE"""),"Омега 3 1620 мг EPA 792 мг DHA 528 мг Qeep 30+30 капсул")</f>
        <v>Омега 3 1620 мг EPA 792 мг DHA 528 мг Qeep 30+30 капсул</v>
      </c>
      <c r="G161" s="88"/>
      <c r="H161" s="88"/>
      <c r="I161" s="88"/>
      <c r="J161" s="88"/>
      <c r="K161" s="242">
        <f>IFERROR(__xludf.DUMMYFUNCTION("""COMPUTED_VALUE"""),0.0)</f>
        <v>0</v>
      </c>
      <c r="L161" s="88"/>
      <c r="M161" s="243">
        <f>IFERROR(__xludf.DUMMYFUNCTION("""COMPUTED_VALUE"""),0.0)</f>
        <v>0</v>
      </c>
      <c r="N161" s="243">
        <f>IFERROR(__xludf.DUMMYFUNCTION("""COMPUTED_VALUE"""),0.0)</f>
        <v>0</v>
      </c>
      <c r="O161" s="88"/>
      <c r="P161" s="88" t="str">
        <f>IFERROR(__xludf.DUMMYFUNCTION("""COMPUTED_VALUE"""),"C")</f>
        <v>C</v>
      </c>
      <c r="Q161" s="88" t="str">
        <f>IFERROR(__xludf.DUMMYFUNCTION("""COMPUTED_VALUE"""),"C")</f>
        <v>C</v>
      </c>
      <c r="R161" s="88"/>
      <c r="S161" s="88" t="str">
        <f>IFERROR(__xludf.DUMMYFUNCTION("""COMPUTED_VALUE"""),"На вывод")</f>
        <v>На вывод</v>
      </c>
      <c r="T161" s="88" t="str">
        <f>IFERROR(__xludf.DUMMYFUNCTION("""COMPUTED_VALUE"""),"Семен")</f>
        <v>Семен</v>
      </c>
      <c r="U161" s="240">
        <f>IFERROR(__xludf.DUMMYFUNCTION("""COMPUTED_VALUE"""),379.22)</f>
        <v>379.22</v>
      </c>
      <c r="V161" s="88"/>
      <c r="W161" s="240">
        <f>IFERROR(__xludf.DUMMYFUNCTION("""COMPUTED_VALUE"""),1896.1000000000006)</f>
        <v>1896.1</v>
      </c>
      <c r="X161" s="88"/>
      <c r="Y161" s="88"/>
      <c r="Z161" s="88"/>
      <c r="AA161" s="88"/>
      <c r="AC161" s="62" t="s">
        <v>116</v>
      </c>
    </row>
    <row r="162">
      <c r="A162" s="88"/>
      <c r="B162" s="88">
        <f>IFERROR(__xludf.DUMMYFUNCTION("""COMPUTED_VALUE"""),146.0)</f>
        <v>146</v>
      </c>
      <c r="C162" s="88" t="str">
        <f>IFERROR(__xludf.DUMMYFUNCTION("""COMPUTED_VALUE"""),"qeep_ByeBye_fat_60caps")</f>
        <v>qeep_ByeBye_fat_60caps</v>
      </c>
      <c r="D162" s="88">
        <f>IFERROR(__xludf.DUMMYFUNCTION("""COMPUTED_VALUE"""),9.65075765E8)</f>
        <v>965075765</v>
      </c>
      <c r="E162" s="88" t="str">
        <f>IFERROR(__xludf.DUMMYFUNCTION("""COMPUTED_VALUE"""),"qeep")</f>
        <v>qeep</v>
      </c>
      <c r="F162" s="88" t="str">
        <f>IFERROR(__xludf.DUMMYFUNCTION("""COMPUTED_VALUE"""),"Жиросжигатель для похудения Qeep 60 капсул")</f>
        <v>Жиросжигатель для похудения Qeep 60 капсул</v>
      </c>
      <c r="G162" s="88"/>
      <c r="H162" s="88"/>
      <c r="I162" s="88"/>
      <c r="J162" s="88"/>
      <c r="K162" s="242">
        <f>IFERROR(__xludf.DUMMYFUNCTION("""COMPUTED_VALUE"""),0.0)</f>
        <v>0</v>
      </c>
      <c r="L162" s="88"/>
      <c r="M162" s="243">
        <f>IFERROR(__xludf.DUMMYFUNCTION("""COMPUTED_VALUE"""),0.0)</f>
        <v>0</v>
      </c>
      <c r="N162" s="243">
        <f>IFERROR(__xludf.DUMMYFUNCTION("""COMPUTED_VALUE"""),0.0)</f>
        <v>0</v>
      </c>
      <c r="O162" s="88"/>
      <c r="P162" s="88" t="str">
        <f>IFERROR(__xludf.DUMMYFUNCTION("""COMPUTED_VALUE"""),"C")</f>
        <v>C</v>
      </c>
      <c r="Q162" s="88" t="str">
        <f>IFERROR(__xludf.DUMMYFUNCTION("""COMPUTED_VALUE"""),"C")</f>
        <v>C</v>
      </c>
      <c r="R162" s="88"/>
      <c r="S162" s="88" t="str">
        <f>IFERROR(__xludf.DUMMYFUNCTION("""COMPUTED_VALUE"""),"На вывод")</f>
        <v>На вывод</v>
      </c>
      <c r="T162" s="88" t="str">
        <f>IFERROR(__xludf.DUMMYFUNCTION("""COMPUTED_VALUE"""),"Семен")</f>
        <v>Семен</v>
      </c>
      <c r="U162" s="240">
        <f>IFERROR(__xludf.DUMMYFUNCTION("""COMPUTED_VALUE"""),370.0)</f>
        <v>370</v>
      </c>
      <c r="V162" s="88"/>
      <c r="W162" s="240">
        <f>IFERROR(__xludf.DUMMYFUNCTION("""COMPUTED_VALUE"""),1850.0000000000005)</f>
        <v>1850</v>
      </c>
      <c r="X162" s="88"/>
      <c r="Y162" s="88"/>
      <c r="Z162" s="88"/>
      <c r="AA162" s="88"/>
      <c r="AC162" s="62" t="s">
        <v>116</v>
      </c>
    </row>
    <row r="163">
      <c r="A163" s="88"/>
      <c r="B163" s="88">
        <f>IFERROR(__xludf.DUMMYFUNCTION("""COMPUTED_VALUE"""),147.0)</f>
        <v>147</v>
      </c>
      <c r="C163" s="88" t="str">
        <f>IFERROR(__xludf.DUMMYFUNCTION("""COMPUTED_VALUE"""),"qeep_byefat_double_60caps")</f>
        <v>qeep_byefat_double_60caps</v>
      </c>
      <c r="D163" s="88">
        <f>IFERROR(__xludf.DUMMYFUNCTION("""COMPUTED_VALUE"""),1.15456231E9)</f>
        <v>1154562310</v>
      </c>
      <c r="E163" s="88" t="str">
        <f>IFERROR(__xludf.DUMMYFUNCTION("""COMPUTED_VALUE"""),"qeep")</f>
        <v>qeep</v>
      </c>
      <c r="F163" s="88" t="str">
        <f>IFERROR(__xludf.DUMMYFUNCTION("""COMPUTED_VALUE"""),"Жиросжигатель для похудения Qeep 60 капсул")</f>
        <v>Жиросжигатель для похудения Qeep 60 капсул</v>
      </c>
      <c r="G163" s="88"/>
      <c r="H163" s="88"/>
      <c r="I163" s="88"/>
      <c r="J163" s="88"/>
      <c r="K163" s="242">
        <f>IFERROR(__xludf.DUMMYFUNCTION("""COMPUTED_VALUE"""),0.0)</f>
        <v>0</v>
      </c>
      <c r="L163" s="88"/>
      <c r="M163" s="243">
        <f>IFERROR(__xludf.DUMMYFUNCTION("""COMPUTED_VALUE"""),0.0)</f>
        <v>0</v>
      </c>
      <c r="N163" s="243">
        <f>IFERROR(__xludf.DUMMYFUNCTION("""COMPUTED_VALUE"""),0.0)</f>
        <v>0</v>
      </c>
      <c r="O163" s="88"/>
      <c r="P163" s="88" t="str">
        <f>IFERROR(__xludf.DUMMYFUNCTION("""COMPUTED_VALUE"""),"C")</f>
        <v>C</v>
      </c>
      <c r="Q163" s="88" t="str">
        <f>IFERROR(__xludf.DUMMYFUNCTION("""COMPUTED_VALUE"""),"C")</f>
        <v>C</v>
      </c>
      <c r="R163" s="88"/>
      <c r="S163" s="88" t="str">
        <f>IFERROR(__xludf.DUMMYFUNCTION("""COMPUTED_VALUE"""),"На вывод")</f>
        <v>На вывод</v>
      </c>
      <c r="T163" s="88" t="str">
        <f>IFERROR(__xludf.DUMMYFUNCTION("""COMPUTED_VALUE"""),"Семен")</f>
        <v>Семен</v>
      </c>
      <c r="U163" s="240">
        <f>IFERROR(__xludf.DUMMYFUNCTION("""COMPUTED_VALUE"""),187.0)</f>
        <v>187</v>
      </c>
      <c r="V163" s="88"/>
      <c r="W163" s="240">
        <f>IFERROR(__xludf.DUMMYFUNCTION("""COMPUTED_VALUE"""),935.0000000000002)</f>
        <v>935</v>
      </c>
      <c r="X163" s="88"/>
      <c r="Y163" s="88"/>
      <c r="Z163" s="88"/>
      <c r="AA163" s="88"/>
      <c r="AC163" s="62" t="s">
        <v>116</v>
      </c>
    </row>
    <row r="164">
      <c r="A164" s="88"/>
      <c r="B164" s="88">
        <f>IFERROR(__xludf.DUMMYFUNCTION("""COMPUTED_VALUE"""),148.0)</f>
        <v>148</v>
      </c>
      <c r="C164" s="88" t="str">
        <f>IFERROR(__xludf.DUMMYFUNCTION("""COMPUTED_VALUE"""),"qeepL_Carnitine")</f>
        <v>qeepL_Carnitine</v>
      </c>
      <c r="D164" s="88">
        <f>IFERROR(__xludf.DUMMYFUNCTION("""COMPUTED_VALUE"""),8.26800291E8)</f>
        <v>826800291</v>
      </c>
      <c r="E164" s="88" t="str">
        <f>IFERROR(__xludf.DUMMYFUNCTION("""COMPUTED_VALUE"""),"qeep")</f>
        <v>qeep</v>
      </c>
      <c r="F164" s="88" t="str">
        <f>IFERROR(__xludf.DUMMYFUNCTION("""COMPUTED_VALUE"""),"L Carnitine 900 мг Qeep 90 капсул")</f>
        <v>L Carnitine 900 мг Qeep 90 капсул</v>
      </c>
      <c r="G164" s="88"/>
      <c r="H164" s="88"/>
      <c r="I164" s="88"/>
      <c r="J164" s="88"/>
      <c r="K164" s="242">
        <f>IFERROR(__xludf.DUMMYFUNCTION("""COMPUTED_VALUE"""),0.0)</f>
        <v>0</v>
      </c>
      <c r="L164" s="88"/>
      <c r="M164" s="243">
        <f>IFERROR(__xludf.DUMMYFUNCTION("""COMPUTED_VALUE"""),0.0)</f>
        <v>0</v>
      </c>
      <c r="N164" s="243">
        <f>IFERROR(__xludf.DUMMYFUNCTION("""COMPUTED_VALUE"""),0.0)</f>
        <v>0</v>
      </c>
      <c r="O164" s="88"/>
      <c r="P164" s="88" t="str">
        <f>IFERROR(__xludf.DUMMYFUNCTION("""COMPUTED_VALUE"""),"C")</f>
        <v>C</v>
      </c>
      <c r="Q164" s="88" t="str">
        <f>IFERROR(__xludf.DUMMYFUNCTION("""COMPUTED_VALUE"""),"C")</f>
        <v>C</v>
      </c>
      <c r="R164" s="88"/>
      <c r="S164" s="88" t="str">
        <f>IFERROR(__xludf.DUMMYFUNCTION("""COMPUTED_VALUE"""),"На вывод")</f>
        <v>На вывод</v>
      </c>
      <c r="T164" s="88" t="str">
        <f>IFERROR(__xludf.DUMMYFUNCTION("""COMPUTED_VALUE"""),"Семен")</f>
        <v>Семен</v>
      </c>
      <c r="U164" s="240">
        <f>IFERROR(__xludf.DUMMYFUNCTION("""COMPUTED_VALUE"""),356.16)</f>
        <v>356.16</v>
      </c>
      <c r="V164" s="88"/>
      <c r="W164" s="240">
        <f>IFERROR(__xludf.DUMMYFUNCTION("""COMPUTED_VALUE"""),1780.8000000000004)</f>
        <v>1780.8</v>
      </c>
      <c r="X164" s="88"/>
      <c r="Y164" s="88"/>
      <c r="Z164" s="88"/>
      <c r="AA164" s="88"/>
      <c r="AC164" s="62" t="s">
        <v>116</v>
      </c>
    </row>
    <row r="165">
      <c r="A165" s="88"/>
      <c r="B165" s="88">
        <f>IFERROR(__xludf.DUMMYFUNCTION("""COMPUTED_VALUE"""),149.0)</f>
        <v>149</v>
      </c>
      <c r="C165" s="88" t="str">
        <f>IFERROR(__xludf.DUMMYFUNCTION("""COMPUTED_VALUE"""),"qeepcollagen1+1")</f>
        <v>qeepcollagen1+1</v>
      </c>
      <c r="D165" s="88">
        <f>IFERROR(__xludf.DUMMYFUNCTION("""COMPUTED_VALUE"""),8.7180646E8)</f>
        <v>871806460</v>
      </c>
      <c r="E165" s="88" t="str">
        <f>IFERROR(__xludf.DUMMYFUNCTION("""COMPUTED_VALUE"""),"qeep")</f>
        <v>qeep</v>
      </c>
      <c r="F165" s="88" t="str">
        <f>IFERROR(__xludf.DUMMYFUNCTION("""COMPUTED_VALUE"""),"Коллаген I и III типа с Витамином С и Гиалуроновой Кислотой Qeep 60+60 капсул")</f>
        <v>Коллаген I и III типа с Витамином С и Гиалуроновой Кислотой Qeep 60+60 капсул</v>
      </c>
      <c r="G165" s="88"/>
      <c r="H165" s="88"/>
      <c r="I165" s="88"/>
      <c r="J165" s="88"/>
      <c r="K165" s="242">
        <f>IFERROR(__xludf.DUMMYFUNCTION("""COMPUTED_VALUE"""),0.0)</f>
        <v>0</v>
      </c>
      <c r="L165" s="88"/>
      <c r="M165" s="243">
        <f>IFERROR(__xludf.DUMMYFUNCTION("""COMPUTED_VALUE"""),0.0)</f>
        <v>0</v>
      </c>
      <c r="N165" s="243">
        <f>IFERROR(__xludf.DUMMYFUNCTION("""COMPUTED_VALUE"""),0.0)</f>
        <v>0</v>
      </c>
      <c r="O165" s="88"/>
      <c r="P165" s="88" t="str">
        <f>IFERROR(__xludf.DUMMYFUNCTION("""COMPUTED_VALUE"""),"C")</f>
        <v>C</v>
      </c>
      <c r="Q165" s="88" t="str">
        <f>IFERROR(__xludf.DUMMYFUNCTION("""COMPUTED_VALUE"""),"C")</f>
        <v>C</v>
      </c>
      <c r="R165" s="88"/>
      <c r="S165" s="88" t="str">
        <f>IFERROR(__xludf.DUMMYFUNCTION("""COMPUTED_VALUE"""),"На вывод")</f>
        <v>На вывод</v>
      </c>
      <c r="T165" s="88" t="str">
        <f>IFERROR(__xludf.DUMMYFUNCTION("""COMPUTED_VALUE"""),"Семен")</f>
        <v>Семен</v>
      </c>
      <c r="U165" s="240">
        <f>IFERROR(__xludf.DUMMYFUNCTION("""COMPUTED_VALUE"""),451.08)</f>
        <v>451.08</v>
      </c>
      <c r="V165" s="88"/>
      <c r="W165" s="240">
        <f>IFERROR(__xludf.DUMMYFUNCTION("""COMPUTED_VALUE"""),2255.4000000000005)</f>
        <v>2255.4</v>
      </c>
      <c r="X165" s="88"/>
      <c r="Y165" s="88"/>
      <c r="Z165" s="88"/>
      <c r="AA165" s="88"/>
      <c r="AC165" s="62" t="s">
        <v>116</v>
      </c>
    </row>
    <row r="166">
      <c r="A166" s="88"/>
      <c r="B166" s="88">
        <f>IFERROR(__xludf.DUMMYFUNCTION("""COMPUTED_VALUE"""),150.0)</f>
        <v>150</v>
      </c>
      <c r="C166" s="88" t="str">
        <f>IFERROR(__xludf.DUMMYFUNCTION("""COMPUTED_VALUE"""),"qeep_Marine_Collagen_60caps")</f>
        <v>qeep_Marine_Collagen_60caps</v>
      </c>
      <c r="D166" s="88">
        <f>IFERROR(__xludf.DUMMYFUNCTION("""COMPUTED_VALUE"""),8.89954527E8)</f>
        <v>889954527</v>
      </c>
      <c r="E166" s="88" t="str">
        <f>IFERROR(__xludf.DUMMYFUNCTION("""COMPUTED_VALUE"""),"qeep")</f>
        <v>qeep</v>
      </c>
      <c r="F166" s="88" t="str">
        <f>IFERROR(__xludf.DUMMYFUNCTION("""COMPUTED_VALUE"""),"Коллаген морской I и II типа для суставов и связок Qeep 60 капсул")</f>
        <v>Коллаген морской I и II типа для суставов и связок Qeep 60 капсул</v>
      </c>
      <c r="G166" s="88"/>
      <c r="H166" s="88"/>
      <c r="I166" s="88"/>
      <c r="J166" s="88"/>
      <c r="K166" s="242">
        <f>IFERROR(__xludf.DUMMYFUNCTION("""COMPUTED_VALUE"""),0.0)</f>
        <v>0</v>
      </c>
      <c r="L166" s="88"/>
      <c r="M166" s="243">
        <f>IFERROR(__xludf.DUMMYFUNCTION("""COMPUTED_VALUE"""),0.0)</f>
        <v>0</v>
      </c>
      <c r="N166" s="243">
        <f>IFERROR(__xludf.DUMMYFUNCTION("""COMPUTED_VALUE"""),0.0)</f>
        <v>0</v>
      </c>
      <c r="O166" s="88"/>
      <c r="P166" s="88" t="str">
        <f>IFERROR(__xludf.DUMMYFUNCTION("""COMPUTED_VALUE"""),"C")</f>
        <v>C</v>
      </c>
      <c r="Q166" s="88" t="str">
        <f>IFERROR(__xludf.DUMMYFUNCTION("""COMPUTED_VALUE"""),"C")</f>
        <v>C</v>
      </c>
      <c r="R166" s="88"/>
      <c r="S166" s="88" t="str">
        <f>IFERROR(__xludf.DUMMYFUNCTION("""COMPUTED_VALUE"""),"На вывод")</f>
        <v>На вывод</v>
      </c>
      <c r="T166" s="88" t="str">
        <f>IFERROR(__xludf.DUMMYFUNCTION("""COMPUTED_VALUE"""),"Семен")</f>
        <v>Семен</v>
      </c>
      <c r="U166" s="240">
        <f>IFERROR(__xludf.DUMMYFUNCTION("""COMPUTED_VALUE"""),303.15)</f>
        <v>303.15</v>
      </c>
      <c r="V166" s="88"/>
      <c r="W166" s="240">
        <f>IFERROR(__xludf.DUMMYFUNCTION("""COMPUTED_VALUE"""),1515.7500000000002)</f>
        <v>1515.75</v>
      </c>
      <c r="X166" s="88"/>
      <c r="Y166" s="88"/>
      <c r="Z166" s="88"/>
      <c r="AA166" s="88"/>
      <c r="AC166" s="62" t="s">
        <v>116</v>
      </c>
    </row>
    <row r="167">
      <c r="A167" s="88"/>
      <c r="B167" s="88">
        <f>IFERROR(__xludf.DUMMYFUNCTION("""COMPUTED_VALUE"""),151.0)</f>
        <v>151</v>
      </c>
      <c r="C167" s="88" t="str">
        <f>IFERROR(__xludf.DUMMYFUNCTION("""COMPUTED_VALUE"""),"qeep_joint_support_90caps")</f>
        <v>qeep_joint_support_90caps</v>
      </c>
      <c r="D167" s="88">
        <f>IFERROR(__xludf.DUMMYFUNCTION("""COMPUTED_VALUE"""),1.315703641E9)</f>
        <v>1315703641</v>
      </c>
      <c r="E167" s="88" t="str">
        <f>IFERROR(__xludf.DUMMYFUNCTION("""COMPUTED_VALUE"""),"qeep")</f>
        <v>qeep</v>
      </c>
      <c r="F167" s="88" t="str">
        <f>IFERROR(__xludf.DUMMYFUNCTION("""COMPUTED_VALUE"""),"Глюкозамин 214 мг Хондроитин 270 мг + Квертецин 14 мг + Витамин С 7 мг Qeep 90 капсул")</f>
        <v>Глюкозамин 214 мг Хондроитин 270 мг + Квертецин 14 мг + Витамин С 7 мг Qeep 90 капсул</v>
      </c>
      <c r="G167" s="88"/>
      <c r="H167" s="88"/>
      <c r="I167" s="88"/>
      <c r="J167" s="88"/>
      <c r="K167" s="242">
        <f>IFERROR(__xludf.DUMMYFUNCTION("""COMPUTED_VALUE"""),0.0)</f>
        <v>0</v>
      </c>
      <c r="L167" s="88"/>
      <c r="M167" s="243">
        <f>IFERROR(__xludf.DUMMYFUNCTION("""COMPUTED_VALUE"""),0.0)</f>
        <v>0</v>
      </c>
      <c r="N167" s="243">
        <f>IFERROR(__xludf.DUMMYFUNCTION("""COMPUTED_VALUE"""),0.0)</f>
        <v>0</v>
      </c>
      <c r="O167" s="88"/>
      <c r="P167" s="88" t="str">
        <f>IFERROR(__xludf.DUMMYFUNCTION("""COMPUTED_VALUE"""),"C")</f>
        <v>C</v>
      </c>
      <c r="Q167" s="88" t="str">
        <f>IFERROR(__xludf.DUMMYFUNCTION("""COMPUTED_VALUE"""),"C")</f>
        <v>C</v>
      </c>
      <c r="R167" s="88"/>
      <c r="S167" s="88" t="str">
        <f>IFERROR(__xludf.DUMMYFUNCTION("""COMPUTED_VALUE"""),"На вывод")</f>
        <v>На вывод</v>
      </c>
      <c r="T167" s="88" t="str">
        <f>IFERROR(__xludf.DUMMYFUNCTION("""COMPUTED_VALUE"""),"Семен")</f>
        <v>Семен</v>
      </c>
      <c r="U167" s="240">
        <f>IFERROR(__xludf.DUMMYFUNCTION("""COMPUTED_VALUE"""),314.4)</f>
        <v>314.4</v>
      </c>
      <c r="V167" s="88"/>
      <c r="W167" s="240">
        <f>IFERROR(__xludf.DUMMYFUNCTION("""COMPUTED_VALUE"""),1572.0000000000002)</f>
        <v>1572</v>
      </c>
      <c r="X167" s="88"/>
      <c r="Y167" s="88"/>
      <c r="Z167" s="88"/>
      <c r="AA167" s="88"/>
      <c r="AC167" s="62" t="s">
        <v>116</v>
      </c>
    </row>
    <row r="168">
      <c r="A168" s="88"/>
      <c r="B168" s="88">
        <f>IFERROR(__xludf.DUMMYFUNCTION("""COMPUTED_VALUE"""),152.0)</f>
        <v>152</v>
      </c>
      <c r="C168" s="88" t="str">
        <f>IFERROR(__xludf.DUMMYFUNCTION("""COMPUTED_VALUE"""),"qeepbcaa")</f>
        <v>qeepbcaa</v>
      </c>
      <c r="D168" s="88">
        <f>IFERROR(__xludf.DUMMYFUNCTION("""COMPUTED_VALUE"""),8.25733116E8)</f>
        <v>825733116</v>
      </c>
      <c r="E168" s="88" t="str">
        <f>IFERROR(__xludf.DUMMYFUNCTION("""COMPUTED_VALUE"""),"qeep")</f>
        <v>qeep</v>
      </c>
      <c r="F168" s="88" t="str">
        <f>IFERROR(__xludf.DUMMYFUNCTION("""COMPUTED_VALUE"""),"BCAA капсулы 2:1:1, 620 мг Qeep 120 капсул")</f>
        <v>BCAA капсулы 2:1:1, 620 мг Qeep 120 капсул</v>
      </c>
      <c r="G168" s="88"/>
      <c r="H168" s="88"/>
      <c r="I168" s="88"/>
      <c r="J168" s="88"/>
      <c r="K168" s="242">
        <f>IFERROR(__xludf.DUMMYFUNCTION("""COMPUTED_VALUE"""),0.0)</f>
        <v>0</v>
      </c>
      <c r="L168" s="88"/>
      <c r="M168" s="243">
        <f>IFERROR(__xludf.DUMMYFUNCTION("""COMPUTED_VALUE"""),0.0)</f>
        <v>0</v>
      </c>
      <c r="N168" s="243">
        <f>IFERROR(__xludf.DUMMYFUNCTION("""COMPUTED_VALUE"""),0.0)</f>
        <v>0</v>
      </c>
      <c r="O168" s="88"/>
      <c r="P168" s="88" t="str">
        <f>IFERROR(__xludf.DUMMYFUNCTION("""COMPUTED_VALUE"""),"C")</f>
        <v>C</v>
      </c>
      <c r="Q168" s="88" t="str">
        <f>IFERROR(__xludf.DUMMYFUNCTION("""COMPUTED_VALUE"""),"C")</f>
        <v>C</v>
      </c>
      <c r="R168" s="88"/>
      <c r="S168" s="88" t="str">
        <f>IFERROR(__xludf.DUMMYFUNCTION("""COMPUTED_VALUE"""),"На вывод")</f>
        <v>На вывод</v>
      </c>
      <c r="T168" s="88" t="str">
        <f>IFERROR(__xludf.DUMMYFUNCTION("""COMPUTED_VALUE"""),"Семен")</f>
        <v>Семен</v>
      </c>
      <c r="U168" s="240">
        <f>IFERROR(__xludf.DUMMYFUNCTION("""COMPUTED_VALUE"""),313.59)</f>
        <v>313.59</v>
      </c>
      <c r="V168" s="88"/>
      <c r="W168" s="240">
        <f>IFERROR(__xludf.DUMMYFUNCTION("""COMPUTED_VALUE"""),1567.9500000000003)</f>
        <v>1567.95</v>
      </c>
      <c r="X168" s="88"/>
      <c r="Y168" s="88"/>
      <c r="Z168" s="88"/>
      <c r="AA168" s="88"/>
      <c r="AC168" s="62" t="s">
        <v>116</v>
      </c>
    </row>
    <row r="169">
      <c r="A169" s="88"/>
      <c r="B169" s="88">
        <f>IFERROR(__xludf.DUMMYFUNCTION("""COMPUTED_VALUE"""),153.0)</f>
        <v>153</v>
      </c>
      <c r="C169" s="88" t="str">
        <f>IFERROR(__xludf.DUMMYFUNCTION("""COMPUTED_VALUE"""),"qeep_bcaa_L_Carnitine")</f>
        <v>qeep_bcaa_L_Carnitine</v>
      </c>
      <c r="D169" s="88">
        <f>IFERROR(__xludf.DUMMYFUNCTION("""COMPUTED_VALUE"""),1.099581672E9)</f>
        <v>1099581672</v>
      </c>
      <c r="E169" s="88" t="str">
        <f>IFERROR(__xludf.DUMMYFUNCTION("""COMPUTED_VALUE"""),"qeep")</f>
        <v>qeep</v>
      </c>
      <c r="F169" s="88" t="str">
        <f>IFERROR(__xludf.DUMMYFUNCTION("""COMPUTED_VALUE"""),"BCAA + L Карнитин набор для спорта и похудения, в капсулах qeep 120+90 капсул")</f>
        <v>BCAA + L Карнитин набор для спорта и похудения, в капсулах qeep 120+90 капсул</v>
      </c>
      <c r="G169" s="88"/>
      <c r="H169" s="88"/>
      <c r="I169" s="88"/>
      <c r="J169" s="88"/>
      <c r="K169" s="242">
        <f>IFERROR(__xludf.DUMMYFUNCTION("""COMPUTED_VALUE"""),0.0)</f>
        <v>0</v>
      </c>
      <c r="L169" s="88"/>
      <c r="M169" s="243">
        <f>IFERROR(__xludf.DUMMYFUNCTION("""COMPUTED_VALUE"""),0.0)</f>
        <v>0</v>
      </c>
      <c r="N169" s="243">
        <f>IFERROR(__xludf.DUMMYFUNCTION("""COMPUTED_VALUE"""),0.0)</f>
        <v>0</v>
      </c>
      <c r="O169" s="88"/>
      <c r="P169" s="88" t="str">
        <f>IFERROR(__xludf.DUMMYFUNCTION("""COMPUTED_VALUE"""),"C")</f>
        <v>C</v>
      </c>
      <c r="Q169" s="88" t="str">
        <f>IFERROR(__xludf.DUMMYFUNCTION("""COMPUTED_VALUE"""),"C")</f>
        <v>C</v>
      </c>
      <c r="R169" s="88"/>
      <c r="S169" s="88" t="str">
        <f>IFERROR(__xludf.DUMMYFUNCTION("""COMPUTED_VALUE"""),"На вывод")</f>
        <v>На вывод</v>
      </c>
      <c r="T169" s="88" t="str">
        <f>IFERROR(__xludf.DUMMYFUNCTION("""COMPUTED_VALUE"""),"Семен")</f>
        <v>Семен</v>
      </c>
      <c r="U169" s="240">
        <f>IFERROR(__xludf.DUMMYFUNCTION("""COMPUTED_VALUE"""),669.75)</f>
        <v>669.75</v>
      </c>
      <c r="V169" s="88"/>
      <c r="W169" s="240">
        <f>IFERROR(__xludf.DUMMYFUNCTION("""COMPUTED_VALUE"""),3348.750000000001)</f>
        <v>3348.75</v>
      </c>
      <c r="X169" s="88"/>
      <c r="Y169" s="88"/>
      <c r="Z169" s="88"/>
      <c r="AA169" s="88"/>
      <c r="AC169" s="62" t="s">
        <v>116</v>
      </c>
    </row>
    <row r="170">
      <c r="A170" s="88"/>
      <c r="B170" s="88">
        <f>IFERROR(__xludf.DUMMYFUNCTION("""COMPUTED_VALUE"""),154.0)</f>
        <v>154</v>
      </c>
      <c r="C170" s="88" t="str">
        <f>IFERROR(__xludf.DUMMYFUNCTION("""COMPUTED_VALUE"""),"qeep_Alpha_Lipoic_60caps")</f>
        <v>qeep_Alpha_Lipoic_60caps</v>
      </c>
      <c r="D170" s="88">
        <f>IFERROR(__xludf.DUMMYFUNCTION("""COMPUTED_VALUE"""),9.4693155E8)</f>
        <v>946931550</v>
      </c>
      <c r="E170" s="88" t="str">
        <f>IFERROR(__xludf.DUMMYFUNCTION("""COMPUTED_VALUE"""),"qeep")</f>
        <v>qeep</v>
      </c>
      <c r="F170" s="88" t="str">
        <f>IFERROR(__xludf.DUMMYFUNCTION("""COMPUTED_VALUE"""),"Альфа-липоевая кислота для похудения 100 мг Qeep 60 капсул")</f>
        <v>Альфа-липоевая кислота для похудения 100 мг Qeep 60 капсул</v>
      </c>
      <c r="G170" s="88"/>
      <c r="H170" s="88"/>
      <c r="I170" s="88"/>
      <c r="J170" s="88"/>
      <c r="K170" s="242">
        <f>IFERROR(__xludf.DUMMYFUNCTION("""COMPUTED_VALUE"""),0.0)</f>
        <v>0</v>
      </c>
      <c r="L170" s="88"/>
      <c r="M170" s="243">
        <f>IFERROR(__xludf.DUMMYFUNCTION("""COMPUTED_VALUE"""),0.0)</f>
        <v>0</v>
      </c>
      <c r="N170" s="243">
        <f>IFERROR(__xludf.DUMMYFUNCTION("""COMPUTED_VALUE"""),0.0)</f>
        <v>0</v>
      </c>
      <c r="O170" s="88"/>
      <c r="P170" s="88" t="str">
        <f>IFERROR(__xludf.DUMMYFUNCTION("""COMPUTED_VALUE"""),"C")</f>
        <v>C</v>
      </c>
      <c r="Q170" s="88" t="str">
        <f>IFERROR(__xludf.DUMMYFUNCTION("""COMPUTED_VALUE"""),"C")</f>
        <v>C</v>
      </c>
      <c r="R170" s="88"/>
      <c r="S170" s="88" t="str">
        <f>IFERROR(__xludf.DUMMYFUNCTION("""COMPUTED_VALUE"""),"На вывод")</f>
        <v>На вывод</v>
      </c>
      <c r="T170" s="88" t="str">
        <f>IFERROR(__xludf.DUMMYFUNCTION("""COMPUTED_VALUE"""),"Семен")</f>
        <v>Семен</v>
      </c>
      <c r="U170" s="240">
        <f>IFERROR(__xludf.DUMMYFUNCTION("""COMPUTED_VALUE"""),275.0)</f>
        <v>275</v>
      </c>
      <c r="V170" s="88"/>
      <c r="W170" s="240">
        <f>IFERROR(__xludf.DUMMYFUNCTION("""COMPUTED_VALUE"""),1375.0000000000002)</f>
        <v>1375</v>
      </c>
      <c r="X170" s="88"/>
      <c r="Y170" s="88"/>
      <c r="Z170" s="88"/>
      <c r="AA170" s="88"/>
      <c r="AC170" s="62" t="s">
        <v>116</v>
      </c>
    </row>
    <row r="171">
      <c r="A171" s="88"/>
      <c r="B171" s="88">
        <f>IFERROR(__xludf.DUMMYFUNCTION("""COMPUTED_VALUE"""),155.0)</f>
        <v>155</v>
      </c>
      <c r="C171" s="88" t="str">
        <f>IFERROR(__xludf.DUMMYFUNCTION("""COMPUTED_VALUE"""),"qeep_taurine_90caps")</f>
        <v>qeep_taurine_90caps</v>
      </c>
      <c r="D171" s="88">
        <f>IFERROR(__xludf.DUMMYFUNCTION("""COMPUTED_VALUE"""),9.67670448E8)</f>
        <v>967670448</v>
      </c>
      <c r="E171" s="88" t="str">
        <f>IFERROR(__xludf.DUMMYFUNCTION("""COMPUTED_VALUE"""),"qeep")</f>
        <v>qeep</v>
      </c>
      <c r="F171" s="88" t="str">
        <f>IFERROR(__xludf.DUMMYFUNCTION("""COMPUTED_VALUE"""),"Таурин 1200 мг Qeep 90 капсул")</f>
        <v>Таурин 1200 мг Qeep 90 капсул</v>
      </c>
      <c r="G171" s="88"/>
      <c r="H171" s="88"/>
      <c r="I171" s="88"/>
      <c r="J171" s="88"/>
      <c r="K171" s="242">
        <f>IFERROR(__xludf.DUMMYFUNCTION("""COMPUTED_VALUE"""),0.0)</f>
        <v>0</v>
      </c>
      <c r="L171" s="88"/>
      <c r="M171" s="243">
        <f>IFERROR(__xludf.DUMMYFUNCTION("""COMPUTED_VALUE"""),0.0)</f>
        <v>0</v>
      </c>
      <c r="N171" s="243">
        <f>IFERROR(__xludf.DUMMYFUNCTION("""COMPUTED_VALUE"""),0.0)</f>
        <v>0</v>
      </c>
      <c r="O171" s="88"/>
      <c r="P171" s="88" t="str">
        <f>IFERROR(__xludf.DUMMYFUNCTION("""COMPUTED_VALUE"""),"C")</f>
        <v>C</v>
      </c>
      <c r="Q171" s="88" t="str">
        <f>IFERROR(__xludf.DUMMYFUNCTION("""COMPUTED_VALUE"""),"C")</f>
        <v>C</v>
      </c>
      <c r="R171" s="88"/>
      <c r="S171" s="88" t="str">
        <f>IFERROR(__xludf.DUMMYFUNCTION("""COMPUTED_VALUE"""),"На вывод")</f>
        <v>На вывод</v>
      </c>
      <c r="T171" s="88" t="str">
        <f>IFERROR(__xludf.DUMMYFUNCTION("""COMPUTED_VALUE"""),"Семен")</f>
        <v>Семен</v>
      </c>
      <c r="U171" s="240">
        <f>IFERROR(__xludf.DUMMYFUNCTION("""COMPUTED_VALUE"""),348.81)</f>
        <v>348.81</v>
      </c>
      <c r="V171" s="88"/>
      <c r="W171" s="240">
        <f>IFERROR(__xludf.DUMMYFUNCTION("""COMPUTED_VALUE"""),1744.0500000000004)</f>
        <v>1744.05</v>
      </c>
      <c r="X171" s="88"/>
      <c r="Y171" s="88"/>
      <c r="Z171" s="88"/>
      <c r="AA171" s="88"/>
      <c r="AC171" s="62" t="s">
        <v>116</v>
      </c>
    </row>
    <row r="172">
      <c r="A172" s="88"/>
      <c r="B172" s="88">
        <f>IFERROR(__xludf.DUMMYFUNCTION("""COMPUTED_VALUE"""),156.0)</f>
        <v>156</v>
      </c>
      <c r="C172" s="88" t="str">
        <f>IFERROR(__xludf.DUMMYFUNCTION("""COMPUTED_VALUE"""),"qeep_maman_200ml")</f>
        <v>qeep_maman_200ml</v>
      </c>
      <c r="D172" s="88">
        <f>IFERROR(__xludf.DUMMYFUNCTION("""COMPUTED_VALUE"""),3.276605917E9)</f>
        <v>3276605917</v>
      </c>
      <c r="E172" s="88" t="str">
        <f>IFERROR(__xludf.DUMMYFUNCTION("""COMPUTED_VALUE"""),"qeep")</f>
        <v>qeep</v>
      </c>
      <c r="F172" s="88" t="str">
        <f>IFERROR(__xludf.DUMMYFUNCTION("""COMPUTED_VALUE"""),"Крем от растяжек, подходит для беременных и для подростков")</f>
        <v>Крем от растяжек, подходит для беременных и для подростков</v>
      </c>
      <c r="G172" s="88"/>
      <c r="H172" s="88" t="str">
        <f>IFERROR(__xludf.DUMMYFUNCTION("""COMPUTED_VALUE"""),"Косметика")</f>
        <v>Косметика</v>
      </c>
      <c r="I172" s="88" t="str">
        <f>IFERROR(__xludf.DUMMYFUNCTION("""COMPUTED_VALUE"""),"Средство от растяжек")</f>
        <v>Средство от растяжек</v>
      </c>
      <c r="J172" s="88"/>
      <c r="K172" s="242">
        <f>IFERROR(__xludf.DUMMYFUNCTION("""COMPUTED_VALUE"""),0.0)</f>
        <v>0</v>
      </c>
      <c r="L172" s="88"/>
      <c r="M172" s="243">
        <f>IFERROR(__xludf.DUMMYFUNCTION("""COMPUTED_VALUE"""),0.0)</f>
        <v>0</v>
      </c>
      <c r="N172" s="243">
        <f>IFERROR(__xludf.DUMMYFUNCTION("""COMPUTED_VALUE"""),0.0)</f>
        <v>0</v>
      </c>
      <c r="O172" s="88"/>
      <c r="P172" s="88" t="str">
        <f>IFERROR(__xludf.DUMMYFUNCTION("""COMPUTED_VALUE"""),"C")</f>
        <v>C</v>
      </c>
      <c r="Q172" s="88" t="str">
        <f>IFERROR(__xludf.DUMMYFUNCTION("""COMPUTED_VALUE"""),"C")</f>
        <v>C</v>
      </c>
      <c r="R172" s="88"/>
      <c r="S172" s="88" t="str">
        <f>IFERROR(__xludf.DUMMYFUNCTION("""COMPUTED_VALUE"""),"Актуально")</f>
        <v>Актуально</v>
      </c>
      <c r="T172" s="88" t="str">
        <f>IFERROR(__xludf.DUMMYFUNCTION("""COMPUTED_VALUE"""),"Кристина")</f>
        <v>Кристина</v>
      </c>
      <c r="U172" s="240">
        <f>IFERROR(__xludf.DUMMYFUNCTION("""COMPUTED_VALUE"""),0.0)</f>
        <v>0</v>
      </c>
      <c r="V172" s="88"/>
      <c r="W172" s="240">
        <f>IFERROR(__xludf.DUMMYFUNCTION("""COMPUTED_VALUE"""),0.0)</f>
        <v>0</v>
      </c>
      <c r="X172" s="88"/>
      <c r="Y172" s="88"/>
      <c r="Z172" s="88"/>
      <c r="AA172" s="88"/>
      <c r="AC172" s="62" t="s">
        <v>116</v>
      </c>
    </row>
    <row r="173">
      <c r="AC173" s="62" t="s">
        <v>116</v>
      </c>
    </row>
    <row r="174">
      <c r="AC174" s="62" t="s">
        <v>116</v>
      </c>
    </row>
    <row r="175">
      <c r="AC175" s="62" t="s">
        <v>116</v>
      </c>
    </row>
    <row r="176">
      <c r="AC176" s="62" t="s">
        <v>116</v>
      </c>
    </row>
    <row r="177">
      <c r="AC177" s="62" t="s">
        <v>116</v>
      </c>
    </row>
    <row r="178">
      <c r="AC178" s="62" t="s">
        <v>116</v>
      </c>
    </row>
    <row r="179">
      <c r="AC179" s="62" t="s">
        <v>116</v>
      </c>
    </row>
    <row r="180">
      <c r="AC180" s="62" t="s">
        <v>116</v>
      </c>
    </row>
    <row r="181">
      <c r="AC181" s="62" t="s">
        <v>116</v>
      </c>
    </row>
    <row r="182">
      <c r="AC182" s="62" t="s">
        <v>116</v>
      </c>
    </row>
    <row r="183">
      <c r="AC183" s="62" t="s">
        <v>116</v>
      </c>
    </row>
    <row r="184">
      <c r="AC184" s="62" t="s">
        <v>116</v>
      </c>
    </row>
    <row r="185">
      <c r="AC185" s="62" t="s">
        <v>116</v>
      </c>
    </row>
    <row r="186">
      <c r="AC186" s="62" t="s">
        <v>116</v>
      </c>
    </row>
    <row r="187">
      <c r="AC187" s="62" t="s">
        <v>116</v>
      </c>
    </row>
    <row r="188">
      <c r="AC188" s="62" t="s">
        <v>116</v>
      </c>
    </row>
    <row r="189">
      <c r="AC189" s="62" t="s">
        <v>116</v>
      </c>
    </row>
    <row r="190">
      <c r="AC190" s="62" t="s">
        <v>116</v>
      </c>
    </row>
    <row r="191">
      <c r="AC191" s="62" t="s">
        <v>116</v>
      </c>
    </row>
    <row r="192">
      <c r="AC192" s="62" t="s">
        <v>116</v>
      </c>
    </row>
    <row r="193">
      <c r="AC193" s="62" t="s">
        <v>116</v>
      </c>
    </row>
    <row r="194">
      <c r="AC194" s="62" t="s">
        <v>116</v>
      </c>
    </row>
    <row r="195">
      <c r="AC195" s="62" t="s">
        <v>116</v>
      </c>
    </row>
    <row r="196">
      <c r="AC196" s="62" t="s">
        <v>116</v>
      </c>
    </row>
    <row r="197">
      <c r="AC197" s="62" t="s">
        <v>116</v>
      </c>
    </row>
    <row r="198">
      <c r="AC198" s="62" t="s">
        <v>116</v>
      </c>
    </row>
    <row r="199">
      <c r="AC199" s="62" t="s">
        <v>116</v>
      </c>
    </row>
    <row r="200">
      <c r="AC200" s="62" t="s">
        <v>116</v>
      </c>
    </row>
    <row r="201">
      <c r="AC201" s="62" t="s">
        <v>116</v>
      </c>
    </row>
    <row r="202">
      <c r="AC202" s="62" t="s">
        <v>116</v>
      </c>
    </row>
    <row r="203">
      <c r="AC203" s="62" t="s">
        <v>116</v>
      </c>
    </row>
    <row r="204">
      <c r="AC204" s="62" t="s">
        <v>116</v>
      </c>
    </row>
    <row r="205">
      <c r="AC205" s="62" t="s">
        <v>116</v>
      </c>
    </row>
    <row r="206">
      <c r="AC206" s="62" t="s">
        <v>116</v>
      </c>
    </row>
    <row r="207">
      <c r="AC207" s="62" t="s">
        <v>116</v>
      </c>
    </row>
    <row r="208">
      <c r="AC208" s="62" t="s">
        <v>116</v>
      </c>
    </row>
    <row r="209">
      <c r="AC209" s="62" t="s">
        <v>116</v>
      </c>
    </row>
    <row r="210">
      <c r="AC210" s="62" t="s">
        <v>116</v>
      </c>
    </row>
    <row r="211">
      <c r="AC211" s="62" t="s">
        <v>116</v>
      </c>
    </row>
    <row r="212">
      <c r="AC212" s="62" t="s">
        <v>116</v>
      </c>
    </row>
    <row r="213">
      <c r="AC213" s="62" t="s">
        <v>116</v>
      </c>
    </row>
    <row r="214">
      <c r="AC214" s="62" t="s">
        <v>116</v>
      </c>
    </row>
    <row r="215">
      <c r="AC215" s="62" t="s">
        <v>116</v>
      </c>
    </row>
    <row r="216">
      <c r="AC216" s="62" t="s">
        <v>116</v>
      </c>
    </row>
    <row r="217">
      <c r="AC217" s="62" t="s">
        <v>116</v>
      </c>
    </row>
    <row r="218">
      <c r="AC218" s="62" t="s">
        <v>116</v>
      </c>
    </row>
    <row r="219">
      <c r="AC219" s="62" t="s">
        <v>116</v>
      </c>
    </row>
    <row r="220">
      <c r="AC220" s="62" t="s">
        <v>116</v>
      </c>
    </row>
    <row r="221">
      <c r="AC221" s="62" t="s">
        <v>116</v>
      </c>
    </row>
    <row r="222">
      <c r="AC222" s="62" t="s">
        <v>116</v>
      </c>
    </row>
    <row r="223">
      <c r="AC223" s="62" t="s">
        <v>116</v>
      </c>
    </row>
    <row r="224">
      <c r="AC224" s="62" t="s">
        <v>116</v>
      </c>
    </row>
    <row r="225">
      <c r="AC225" s="62" t="s">
        <v>116</v>
      </c>
    </row>
    <row r="226">
      <c r="AC226" s="62" t="s">
        <v>116</v>
      </c>
    </row>
    <row r="227">
      <c r="AC227" s="62" t="s">
        <v>116</v>
      </c>
    </row>
    <row r="228">
      <c r="AC228" s="62" t="s">
        <v>116</v>
      </c>
    </row>
    <row r="229">
      <c r="AC229" s="62" t="s">
        <v>116</v>
      </c>
    </row>
    <row r="230">
      <c r="AC230" s="62" t="s">
        <v>116</v>
      </c>
    </row>
    <row r="231">
      <c r="AC231" s="62" t="s">
        <v>116</v>
      </c>
    </row>
    <row r="232">
      <c r="AC232" s="62" t="s">
        <v>116</v>
      </c>
    </row>
    <row r="233">
      <c r="AC233" s="62" t="s">
        <v>116</v>
      </c>
    </row>
    <row r="234">
      <c r="AC234" s="62" t="s">
        <v>116</v>
      </c>
    </row>
    <row r="235">
      <c r="AC235" s="62" t="s">
        <v>116</v>
      </c>
    </row>
    <row r="236">
      <c r="AC236" s="62" t="s">
        <v>116</v>
      </c>
    </row>
    <row r="237">
      <c r="AC237" s="62" t="s">
        <v>116</v>
      </c>
    </row>
    <row r="238">
      <c r="AC238" s="62" t="s">
        <v>116</v>
      </c>
    </row>
    <row r="239">
      <c r="AC239" s="62" t="s">
        <v>116</v>
      </c>
    </row>
    <row r="240">
      <c r="AC240" s="62" t="s">
        <v>116</v>
      </c>
    </row>
    <row r="241">
      <c r="AC241" s="62" t="s">
        <v>116</v>
      </c>
    </row>
    <row r="242">
      <c r="AC242" s="62" t="s">
        <v>116</v>
      </c>
    </row>
    <row r="243">
      <c r="AC243" s="62" t="s">
        <v>116</v>
      </c>
    </row>
    <row r="244">
      <c r="AC244" s="62" t="s">
        <v>116</v>
      </c>
    </row>
    <row r="245">
      <c r="AC245" s="62" t="s">
        <v>116</v>
      </c>
    </row>
    <row r="246">
      <c r="AC246" s="62" t="s">
        <v>116</v>
      </c>
    </row>
    <row r="247">
      <c r="AC247" s="62" t="s">
        <v>116</v>
      </c>
    </row>
    <row r="248">
      <c r="AC248" s="62" t="s">
        <v>116</v>
      </c>
    </row>
    <row r="249">
      <c r="AC249" s="62" t="s">
        <v>116</v>
      </c>
    </row>
    <row r="250">
      <c r="AC250" s="62" t="s">
        <v>116</v>
      </c>
    </row>
    <row r="251">
      <c r="AC251" s="62" t="s">
        <v>116</v>
      </c>
    </row>
    <row r="252">
      <c r="AC252" s="62" t="s">
        <v>116</v>
      </c>
    </row>
    <row r="253">
      <c r="AC253" s="62" t="s">
        <v>116</v>
      </c>
    </row>
    <row r="254">
      <c r="AC254" s="62" t="s">
        <v>116</v>
      </c>
    </row>
    <row r="255">
      <c r="AC255" s="62" t="s">
        <v>116</v>
      </c>
    </row>
    <row r="256">
      <c r="AC256" s="62" t="s">
        <v>116</v>
      </c>
    </row>
    <row r="257">
      <c r="AC257" s="62" t="s">
        <v>116</v>
      </c>
    </row>
    <row r="258">
      <c r="AC258" s="62" t="s">
        <v>116</v>
      </c>
    </row>
    <row r="259">
      <c r="AC259" s="62" t="s">
        <v>116</v>
      </c>
    </row>
    <row r="260">
      <c r="AC260" s="62" t="s">
        <v>116</v>
      </c>
    </row>
    <row r="261">
      <c r="AC261" s="62" t="s">
        <v>116</v>
      </c>
    </row>
    <row r="262">
      <c r="AC262" s="62" t="s">
        <v>116</v>
      </c>
    </row>
    <row r="263">
      <c r="AC263" s="62" t="s">
        <v>116</v>
      </c>
    </row>
    <row r="264">
      <c r="AC264" s="62" t="s">
        <v>116</v>
      </c>
    </row>
    <row r="265">
      <c r="AC265" s="62" t="s">
        <v>116</v>
      </c>
    </row>
    <row r="266">
      <c r="AC266" s="62" t="s">
        <v>116</v>
      </c>
    </row>
    <row r="267">
      <c r="AC267" s="62" t="s">
        <v>116</v>
      </c>
    </row>
    <row r="268">
      <c r="AC268" s="62" t="s">
        <v>116</v>
      </c>
    </row>
    <row r="269">
      <c r="AC269" s="62" t="s">
        <v>116</v>
      </c>
    </row>
    <row r="270">
      <c r="AC270" s="62" t="s">
        <v>116</v>
      </c>
    </row>
    <row r="271">
      <c r="AC271" s="62" t="s">
        <v>116</v>
      </c>
    </row>
    <row r="272">
      <c r="AC272" s="62" t="s">
        <v>116</v>
      </c>
    </row>
    <row r="273">
      <c r="AC273" s="62" t="s">
        <v>116</v>
      </c>
    </row>
    <row r="274">
      <c r="AC274" s="62" t="s">
        <v>116</v>
      </c>
    </row>
    <row r="275">
      <c r="AC275" s="62" t="s">
        <v>116</v>
      </c>
    </row>
    <row r="276">
      <c r="AC276" s="62" t="s">
        <v>116</v>
      </c>
    </row>
    <row r="277">
      <c r="AC277" s="62" t="s">
        <v>116</v>
      </c>
    </row>
    <row r="278">
      <c r="AC278" s="62" t="s">
        <v>116</v>
      </c>
    </row>
    <row r="279">
      <c r="AC279" s="62" t="s">
        <v>116</v>
      </c>
    </row>
    <row r="280">
      <c r="AC280" s="62" t="s">
        <v>116</v>
      </c>
    </row>
    <row r="281">
      <c r="AC281" s="62" t="s">
        <v>116</v>
      </c>
    </row>
    <row r="282">
      <c r="AC282" s="62" t="s">
        <v>116</v>
      </c>
    </row>
    <row r="283">
      <c r="AC283" s="62" t="s">
        <v>116</v>
      </c>
    </row>
    <row r="284">
      <c r="AC284" s="62" t="s">
        <v>116</v>
      </c>
    </row>
    <row r="285">
      <c r="AC285" s="62" t="s">
        <v>116</v>
      </c>
    </row>
    <row r="286">
      <c r="AC286" s="62" t="s">
        <v>116</v>
      </c>
    </row>
    <row r="287">
      <c r="AC287" s="62" t="s">
        <v>116</v>
      </c>
    </row>
    <row r="288">
      <c r="AC288" s="62" t="s">
        <v>116</v>
      </c>
    </row>
    <row r="289">
      <c r="AC289" s="62" t="s">
        <v>116</v>
      </c>
    </row>
    <row r="290">
      <c r="AC290" s="62" t="s">
        <v>116</v>
      </c>
    </row>
    <row r="291">
      <c r="AC291" s="62" t="s">
        <v>116</v>
      </c>
    </row>
    <row r="292">
      <c r="AC292" s="62" t="s">
        <v>116</v>
      </c>
    </row>
    <row r="293">
      <c r="AC293" s="62" t="s">
        <v>116</v>
      </c>
    </row>
    <row r="294">
      <c r="AC294" s="62" t="s">
        <v>116</v>
      </c>
    </row>
    <row r="295">
      <c r="AC295" s="62" t="s">
        <v>116</v>
      </c>
    </row>
    <row r="296">
      <c r="AC296" s="62" t="s">
        <v>116</v>
      </c>
    </row>
    <row r="297">
      <c r="AC297" s="62" t="s">
        <v>116</v>
      </c>
    </row>
    <row r="298">
      <c r="AC298" s="62" t="s">
        <v>116</v>
      </c>
    </row>
    <row r="299">
      <c r="AC299" s="62" t="s">
        <v>116</v>
      </c>
    </row>
    <row r="300">
      <c r="AC300" s="62" t="s">
        <v>116</v>
      </c>
    </row>
    <row r="301">
      <c r="AC301" s="62" t="s">
        <v>116</v>
      </c>
    </row>
    <row r="302">
      <c r="AC302" s="62" t="s">
        <v>116</v>
      </c>
    </row>
    <row r="303">
      <c r="AC303" s="62" t="s">
        <v>116</v>
      </c>
    </row>
    <row r="304">
      <c r="AC304" s="62" t="s">
        <v>116</v>
      </c>
    </row>
    <row r="305">
      <c r="AC305" s="62" t="s">
        <v>116</v>
      </c>
    </row>
    <row r="306">
      <c r="AC306" s="62" t="s">
        <v>116</v>
      </c>
    </row>
    <row r="307">
      <c r="AC307" s="62" t="s">
        <v>116</v>
      </c>
    </row>
    <row r="308">
      <c r="AC308" s="62" t="s">
        <v>116</v>
      </c>
    </row>
    <row r="309">
      <c r="AC309" s="62" t="s">
        <v>116</v>
      </c>
    </row>
    <row r="310">
      <c r="AC310" s="62" t="s">
        <v>116</v>
      </c>
    </row>
    <row r="311">
      <c r="AC311" s="62" t="s">
        <v>116</v>
      </c>
    </row>
    <row r="312">
      <c r="AC312" s="62" t="s">
        <v>116</v>
      </c>
    </row>
    <row r="313">
      <c r="AC313" s="62" t="s">
        <v>116</v>
      </c>
    </row>
    <row r="314">
      <c r="AC314" s="62" t="s">
        <v>116</v>
      </c>
    </row>
    <row r="315">
      <c r="AC315" s="62" t="s">
        <v>116</v>
      </c>
    </row>
    <row r="316">
      <c r="AC316" s="62" t="s">
        <v>116</v>
      </c>
    </row>
    <row r="317">
      <c r="AC317" s="62" t="s">
        <v>116</v>
      </c>
    </row>
    <row r="318">
      <c r="AC318" s="62" t="s">
        <v>116</v>
      </c>
    </row>
    <row r="319">
      <c r="AC319" s="62" t="s">
        <v>116</v>
      </c>
    </row>
    <row r="320">
      <c r="AC320" s="62" t="s">
        <v>116</v>
      </c>
    </row>
    <row r="321">
      <c r="AC321" s="62" t="s">
        <v>116</v>
      </c>
    </row>
    <row r="322">
      <c r="AC322" s="62" t="s">
        <v>116</v>
      </c>
    </row>
    <row r="323">
      <c r="AC323" s="62" t="s">
        <v>116</v>
      </c>
    </row>
    <row r="324">
      <c r="AC324" s="62" t="s">
        <v>116</v>
      </c>
    </row>
    <row r="325">
      <c r="AC325" s="62" t="s">
        <v>116</v>
      </c>
    </row>
    <row r="326">
      <c r="AC326" s="62" t="s">
        <v>116</v>
      </c>
    </row>
    <row r="327">
      <c r="AC327" s="62" t="s">
        <v>116</v>
      </c>
    </row>
    <row r="328">
      <c r="AC328" s="62" t="s">
        <v>116</v>
      </c>
    </row>
    <row r="329">
      <c r="AC329" s="62" t="s">
        <v>116</v>
      </c>
    </row>
    <row r="330">
      <c r="AC330" s="62" t="s">
        <v>116</v>
      </c>
    </row>
    <row r="331">
      <c r="AC331" s="62" t="s">
        <v>116</v>
      </c>
    </row>
    <row r="332">
      <c r="AC332" s="62" t="s">
        <v>116</v>
      </c>
    </row>
    <row r="333">
      <c r="AC333" s="62" t="s">
        <v>116</v>
      </c>
    </row>
    <row r="334">
      <c r="AC334" s="62" t="s">
        <v>116</v>
      </c>
    </row>
    <row r="335">
      <c r="AC335" s="62" t="s">
        <v>116</v>
      </c>
    </row>
    <row r="336">
      <c r="AC336" s="62" t="s">
        <v>116</v>
      </c>
    </row>
    <row r="337">
      <c r="AC337" s="62" t="s">
        <v>116</v>
      </c>
    </row>
    <row r="338">
      <c r="AC338" s="62" t="s">
        <v>116</v>
      </c>
    </row>
    <row r="339">
      <c r="AC339" s="62" t="s">
        <v>116</v>
      </c>
    </row>
    <row r="340">
      <c r="AC340" s="62" t="s">
        <v>116</v>
      </c>
    </row>
    <row r="341">
      <c r="AC341" s="62" t="s">
        <v>116</v>
      </c>
    </row>
    <row r="342">
      <c r="AC342" s="62" t="s">
        <v>116</v>
      </c>
    </row>
    <row r="343">
      <c r="AC343" s="62" t="s">
        <v>116</v>
      </c>
    </row>
    <row r="344">
      <c r="AC344" s="62" t="s">
        <v>116</v>
      </c>
    </row>
    <row r="345">
      <c r="AC345" s="62" t="s">
        <v>116</v>
      </c>
    </row>
    <row r="346">
      <c r="AC346" s="62" t="s">
        <v>116</v>
      </c>
    </row>
    <row r="347">
      <c r="AC347" s="62" t="s">
        <v>116</v>
      </c>
    </row>
    <row r="348">
      <c r="AC348" s="62" t="s">
        <v>116</v>
      </c>
    </row>
    <row r="349">
      <c r="AC349" s="62" t="s">
        <v>116</v>
      </c>
    </row>
    <row r="350">
      <c r="AC350" s="62" t="s">
        <v>116</v>
      </c>
    </row>
    <row r="351">
      <c r="AC351" s="62" t="s">
        <v>116</v>
      </c>
    </row>
    <row r="352">
      <c r="AC352" s="62" t="s">
        <v>116</v>
      </c>
    </row>
    <row r="353">
      <c r="AC353" s="62" t="s">
        <v>116</v>
      </c>
    </row>
    <row r="354">
      <c r="AC354" s="62" t="s">
        <v>116</v>
      </c>
    </row>
    <row r="355">
      <c r="AC355" s="62" t="s">
        <v>116</v>
      </c>
    </row>
    <row r="356">
      <c r="AC356" s="62" t="s">
        <v>116</v>
      </c>
    </row>
    <row r="357">
      <c r="AC357" s="62" t="s">
        <v>116</v>
      </c>
    </row>
    <row r="358">
      <c r="AC358" s="62" t="s">
        <v>116</v>
      </c>
    </row>
    <row r="359">
      <c r="AC359" s="62" t="s">
        <v>116</v>
      </c>
    </row>
    <row r="360">
      <c r="AC360" s="62" t="s">
        <v>116</v>
      </c>
    </row>
    <row r="361">
      <c r="AC361" s="62" t="s">
        <v>116</v>
      </c>
    </row>
    <row r="362">
      <c r="AC362" s="62" t="s">
        <v>116</v>
      </c>
    </row>
    <row r="363">
      <c r="AC363" s="62" t="s">
        <v>116</v>
      </c>
    </row>
    <row r="364">
      <c r="AC364" s="62" t="s">
        <v>116</v>
      </c>
    </row>
    <row r="365">
      <c r="AC365" s="62" t="s">
        <v>116</v>
      </c>
    </row>
    <row r="366">
      <c r="AC366" s="62" t="s">
        <v>116</v>
      </c>
    </row>
    <row r="367">
      <c r="AC367" s="62" t="s">
        <v>116</v>
      </c>
    </row>
    <row r="368">
      <c r="AC368" s="62" t="s">
        <v>116</v>
      </c>
    </row>
    <row r="369">
      <c r="AC369" s="62" t="s">
        <v>116</v>
      </c>
    </row>
    <row r="370">
      <c r="AC370" s="62" t="s">
        <v>116</v>
      </c>
    </row>
    <row r="371">
      <c r="AC371" s="62" t="s">
        <v>116</v>
      </c>
    </row>
    <row r="372">
      <c r="AC372" s="62" t="s">
        <v>116</v>
      </c>
    </row>
    <row r="373">
      <c r="AC373" s="62" t="s">
        <v>116</v>
      </c>
    </row>
    <row r="374">
      <c r="AC374" s="62" t="s">
        <v>116</v>
      </c>
    </row>
    <row r="375">
      <c r="AC375" s="62" t="s">
        <v>116</v>
      </c>
    </row>
    <row r="376">
      <c r="AC376" s="62" t="s">
        <v>116</v>
      </c>
    </row>
    <row r="377">
      <c r="AC377" s="62" t="s">
        <v>116</v>
      </c>
    </row>
    <row r="378">
      <c r="AC378" s="62" t="s">
        <v>116</v>
      </c>
    </row>
    <row r="379">
      <c r="AC379" s="62" t="s">
        <v>116</v>
      </c>
    </row>
    <row r="380">
      <c r="AC380" s="62" t="s">
        <v>116</v>
      </c>
    </row>
    <row r="381">
      <c r="AC381" s="62" t="s">
        <v>116</v>
      </c>
    </row>
    <row r="382">
      <c r="AC382" s="62" t="s">
        <v>116</v>
      </c>
    </row>
    <row r="383">
      <c r="AC383" s="62" t="s">
        <v>116</v>
      </c>
    </row>
    <row r="384">
      <c r="AC384" s="62" t="s">
        <v>116</v>
      </c>
    </row>
    <row r="385">
      <c r="AC385" s="62" t="s">
        <v>116</v>
      </c>
    </row>
    <row r="386">
      <c r="AC386" s="62" t="s">
        <v>116</v>
      </c>
    </row>
    <row r="387">
      <c r="AC387" s="62" t="s">
        <v>116</v>
      </c>
    </row>
    <row r="388">
      <c r="AC388" s="62" t="s">
        <v>116</v>
      </c>
    </row>
    <row r="389">
      <c r="AC389" s="62" t="s">
        <v>116</v>
      </c>
    </row>
    <row r="390">
      <c r="AC390" s="62" t="s">
        <v>116</v>
      </c>
    </row>
    <row r="391">
      <c r="AC391" s="62" t="s">
        <v>116</v>
      </c>
    </row>
    <row r="392">
      <c r="AC392" s="62" t="s">
        <v>116</v>
      </c>
    </row>
    <row r="393">
      <c r="AC393" s="62" t="s">
        <v>116</v>
      </c>
    </row>
    <row r="394">
      <c r="AC394" s="62" t="s">
        <v>116</v>
      </c>
    </row>
    <row r="395">
      <c r="AC395" s="62" t="s">
        <v>116</v>
      </c>
    </row>
    <row r="396">
      <c r="AC396" s="62" t="s">
        <v>116</v>
      </c>
    </row>
    <row r="397">
      <c r="AC397" s="62" t="s">
        <v>116</v>
      </c>
    </row>
    <row r="398">
      <c r="AC398" s="62" t="s">
        <v>116</v>
      </c>
    </row>
    <row r="399">
      <c r="AC399" s="62" t="s">
        <v>116</v>
      </c>
    </row>
    <row r="400">
      <c r="AC400" s="62" t="s">
        <v>116</v>
      </c>
    </row>
    <row r="401">
      <c r="AC401" s="62" t="s">
        <v>116</v>
      </c>
    </row>
    <row r="402">
      <c r="AC402" s="62" t="s">
        <v>116</v>
      </c>
    </row>
    <row r="403">
      <c r="AC403" s="62" t="s">
        <v>116</v>
      </c>
    </row>
    <row r="404">
      <c r="AC404" s="62" t="s">
        <v>116</v>
      </c>
    </row>
    <row r="405">
      <c r="AC405" s="62" t="s">
        <v>116</v>
      </c>
    </row>
    <row r="406">
      <c r="AC406" s="62" t="s">
        <v>116</v>
      </c>
    </row>
    <row r="407">
      <c r="AC407" s="62" t="s">
        <v>116</v>
      </c>
    </row>
    <row r="408">
      <c r="AC408" s="62" t="s">
        <v>116</v>
      </c>
    </row>
    <row r="409">
      <c r="AC409" s="62" t="s">
        <v>116</v>
      </c>
    </row>
    <row r="410">
      <c r="AC410" s="62" t="s">
        <v>116</v>
      </c>
    </row>
    <row r="411">
      <c r="AC411" s="62" t="s">
        <v>116</v>
      </c>
    </row>
    <row r="412">
      <c r="AC412" s="62" t="s">
        <v>116</v>
      </c>
    </row>
    <row r="413">
      <c r="AC413" s="62" t="s">
        <v>116</v>
      </c>
    </row>
    <row r="414">
      <c r="AC414" s="62" t="s">
        <v>116</v>
      </c>
    </row>
    <row r="415">
      <c r="AC415" s="62" t="s">
        <v>116</v>
      </c>
    </row>
    <row r="416">
      <c r="AC416" s="62" t="s">
        <v>116</v>
      </c>
    </row>
    <row r="417">
      <c r="AC417" s="62" t="s">
        <v>116</v>
      </c>
    </row>
    <row r="418">
      <c r="AC418" s="62" t="s">
        <v>116</v>
      </c>
    </row>
    <row r="419">
      <c r="AC419" s="62" t="s">
        <v>116</v>
      </c>
    </row>
    <row r="420">
      <c r="AC420" s="62" t="s">
        <v>116</v>
      </c>
    </row>
    <row r="421">
      <c r="AC421" s="62" t="s">
        <v>116</v>
      </c>
    </row>
    <row r="422">
      <c r="AC422" s="62" t="s">
        <v>116</v>
      </c>
    </row>
    <row r="423">
      <c r="AC423" s="62" t="s">
        <v>116</v>
      </c>
    </row>
    <row r="424">
      <c r="AC424" s="62" t="s">
        <v>116</v>
      </c>
    </row>
    <row r="425">
      <c r="AC425" s="62" t="s">
        <v>116</v>
      </c>
    </row>
    <row r="426">
      <c r="AC426" s="62" t="s">
        <v>116</v>
      </c>
    </row>
    <row r="427">
      <c r="AC427" s="62" t="s">
        <v>116</v>
      </c>
    </row>
    <row r="428">
      <c r="AC428" s="62" t="s">
        <v>116</v>
      </c>
    </row>
    <row r="429">
      <c r="AC429" s="62" t="s">
        <v>116</v>
      </c>
    </row>
    <row r="430">
      <c r="AC430" s="62" t="s">
        <v>116</v>
      </c>
    </row>
    <row r="431">
      <c r="AC431" s="62" t="s">
        <v>116</v>
      </c>
    </row>
    <row r="432">
      <c r="AC432" s="62" t="s">
        <v>116</v>
      </c>
    </row>
    <row r="433">
      <c r="AC433" s="62" t="s">
        <v>116</v>
      </c>
    </row>
    <row r="434">
      <c r="AC434" s="62" t="s">
        <v>116</v>
      </c>
    </row>
    <row r="435">
      <c r="AC435" s="62" t="s">
        <v>116</v>
      </c>
    </row>
    <row r="436">
      <c r="AC436" s="62" t="s">
        <v>116</v>
      </c>
    </row>
    <row r="437">
      <c r="AC437" s="62" t="s">
        <v>116</v>
      </c>
    </row>
    <row r="438">
      <c r="AC438" s="62" t="s">
        <v>116</v>
      </c>
    </row>
    <row r="439">
      <c r="AC439" s="62" t="s">
        <v>116</v>
      </c>
    </row>
    <row r="440">
      <c r="AC440" s="62" t="s">
        <v>116</v>
      </c>
    </row>
    <row r="441">
      <c r="AC441" s="62" t="s">
        <v>116</v>
      </c>
    </row>
    <row r="442">
      <c r="AC442" s="62" t="s">
        <v>116</v>
      </c>
    </row>
    <row r="443">
      <c r="AC443" s="62" t="s">
        <v>116</v>
      </c>
    </row>
    <row r="444">
      <c r="AC444" s="62" t="s">
        <v>116</v>
      </c>
    </row>
    <row r="445">
      <c r="AC445" s="62" t="s">
        <v>116</v>
      </c>
    </row>
    <row r="446">
      <c r="AC446" s="62" t="s">
        <v>116</v>
      </c>
    </row>
    <row r="447">
      <c r="AC447" s="62" t="s">
        <v>116</v>
      </c>
    </row>
    <row r="448">
      <c r="AC448" s="62" t="s">
        <v>116</v>
      </c>
    </row>
    <row r="449">
      <c r="AC449" s="62" t="s">
        <v>116</v>
      </c>
    </row>
    <row r="450">
      <c r="AC450" s="62" t="s">
        <v>116</v>
      </c>
    </row>
    <row r="451">
      <c r="AC451" s="62" t="s">
        <v>116</v>
      </c>
    </row>
    <row r="452">
      <c r="AC452" s="62" t="s">
        <v>116</v>
      </c>
    </row>
    <row r="453">
      <c r="AC453" s="62" t="s">
        <v>116</v>
      </c>
    </row>
    <row r="454">
      <c r="AC454" s="62" t="s">
        <v>116</v>
      </c>
    </row>
    <row r="455">
      <c r="AC455" s="62" t="s">
        <v>116</v>
      </c>
    </row>
    <row r="456">
      <c r="AC456" s="62" t="s">
        <v>116</v>
      </c>
    </row>
    <row r="457">
      <c r="AC457" s="62" t="s">
        <v>116</v>
      </c>
    </row>
    <row r="458">
      <c r="AC458" s="62" t="s">
        <v>116</v>
      </c>
    </row>
    <row r="459">
      <c r="AC459" s="62" t="s">
        <v>116</v>
      </c>
    </row>
    <row r="460">
      <c r="AC460" s="62" t="s">
        <v>116</v>
      </c>
    </row>
    <row r="461">
      <c r="AC461" s="62" t="s">
        <v>116</v>
      </c>
    </row>
    <row r="462">
      <c r="AC462" s="62" t="s">
        <v>116</v>
      </c>
    </row>
    <row r="463">
      <c r="AC463" s="62" t="s">
        <v>116</v>
      </c>
    </row>
    <row r="464">
      <c r="AC464" s="62" t="s">
        <v>116</v>
      </c>
    </row>
    <row r="465">
      <c r="AC465" s="62" t="s">
        <v>116</v>
      </c>
    </row>
    <row r="466">
      <c r="AC466" s="62" t="s">
        <v>116</v>
      </c>
    </row>
    <row r="467">
      <c r="AC467" s="62" t="s">
        <v>116</v>
      </c>
    </row>
    <row r="468">
      <c r="AC468" s="62" t="s">
        <v>116</v>
      </c>
    </row>
    <row r="469">
      <c r="AC469" s="62" t="s">
        <v>116</v>
      </c>
    </row>
    <row r="470">
      <c r="AC470" s="62" t="s">
        <v>116</v>
      </c>
    </row>
    <row r="471">
      <c r="AC471" s="62" t="s">
        <v>116</v>
      </c>
    </row>
    <row r="472">
      <c r="AC472" s="62" t="s">
        <v>116</v>
      </c>
    </row>
    <row r="473">
      <c r="AC473" s="62" t="s">
        <v>116</v>
      </c>
    </row>
    <row r="474">
      <c r="AC474" s="62" t="s">
        <v>116</v>
      </c>
    </row>
    <row r="475">
      <c r="AC475" s="62" t="s">
        <v>116</v>
      </c>
    </row>
    <row r="476">
      <c r="AC476" s="62" t="s">
        <v>116</v>
      </c>
    </row>
    <row r="477">
      <c r="AC477" s="62" t="s">
        <v>116</v>
      </c>
    </row>
    <row r="478">
      <c r="AC478" s="62" t="s">
        <v>116</v>
      </c>
    </row>
    <row r="479">
      <c r="AC479" s="62" t="s">
        <v>116</v>
      </c>
    </row>
    <row r="480">
      <c r="AC480" s="62" t="s">
        <v>116</v>
      </c>
    </row>
    <row r="481">
      <c r="AC481" s="62" t="s">
        <v>116</v>
      </c>
    </row>
    <row r="482">
      <c r="AC482" s="62" t="s">
        <v>116</v>
      </c>
    </row>
    <row r="483">
      <c r="AC483" s="62" t="s">
        <v>116</v>
      </c>
    </row>
    <row r="484">
      <c r="AC484" s="62" t="s">
        <v>116</v>
      </c>
    </row>
    <row r="485">
      <c r="AC485" s="62" t="s">
        <v>116</v>
      </c>
    </row>
    <row r="486">
      <c r="AC486" s="62" t="s">
        <v>116</v>
      </c>
    </row>
    <row r="487">
      <c r="AC487" s="62" t="s">
        <v>116</v>
      </c>
    </row>
    <row r="488">
      <c r="AC488" s="62" t="s">
        <v>116</v>
      </c>
    </row>
    <row r="489">
      <c r="AC489" s="62" t="s">
        <v>116</v>
      </c>
    </row>
    <row r="490">
      <c r="AC490" s="62" t="s">
        <v>116</v>
      </c>
    </row>
    <row r="491">
      <c r="AC491" s="62" t="s">
        <v>116</v>
      </c>
    </row>
    <row r="492">
      <c r="AC492" s="62" t="s">
        <v>116</v>
      </c>
    </row>
    <row r="493">
      <c r="AC493" s="62" t="s">
        <v>116</v>
      </c>
    </row>
    <row r="494">
      <c r="AC494" s="62" t="s">
        <v>116</v>
      </c>
    </row>
    <row r="495">
      <c r="AC495" s="62" t="s">
        <v>116</v>
      </c>
    </row>
    <row r="496">
      <c r="AC496" s="62" t="s">
        <v>116</v>
      </c>
    </row>
    <row r="497">
      <c r="AC497" s="62" t="s">
        <v>116</v>
      </c>
    </row>
    <row r="498">
      <c r="AC498" s="62" t="s">
        <v>116</v>
      </c>
    </row>
    <row r="499">
      <c r="AC499" s="62" t="s">
        <v>116</v>
      </c>
    </row>
    <row r="500">
      <c r="AC500" s="62" t="s">
        <v>116</v>
      </c>
    </row>
    <row r="501">
      <c r="AC501" s="62" t="s">
        <v>116</v>
      </c>
    </row>
    <row r="548">
      <c r="J548" s="242"/>
      <c r="K548" s="242"/>
      <c r="L548" s="243"/>
      <c r="N548" s="243"/>
      <c r="U548" s="240"/>
      <c r="V548" s="240"/>
    </row>
    <row r="549">
      <c r="D549" s="62">
        <v>2.0</v>
      </c>
      <c r="E549" s="62">
        <f t="shared" ref="E549:AC549" si="2">D549+1</f>
        <v>3</v>
      </c>
      <c r="F549" s="62">
        <f t="shared" si="2"/>
        <v>4</v>
      </c>
      <c r="G549" s="62">
        <f t="shared" si="2"/>
        <v>5</v>
      </c>
      <c r="H549" s="62">
        <f t="shared" si="2"/>
        <v>6</v>
      </c>
      <c r="I549" s="62">
        <f t="shared" si="2"/>
        <v>7</v>
      </c>
      <c r="J549" s="62">
        <f t="shared" si="2"/>
        <v>8</v>
      </c>
      <c r="K549" s="62">
        <f t="shared" si="2"/>
        <v>9</v>
      </c>
      <c r="L549" s="62">
        <f t="shared" si="2"/>
        <v>10</v>
      </c>
      <c r="M549" s="62">
        <f t="shared" si="2"/>
        <v>11</v>
      </c>
      <c r="N549" s="62">
        <f t="shared" si="2"/>
        <v>12</v>
      </c>
      <c r="O549" s="62">
        <f t="shared" si="2"/>
        <v>13</v>
      </c>
      <c r="P549" s="62">
        <f t="shared" si="2"/>
        <v>14</v>
      </c>
      <c r="Q549" s="62">
        <f t="shared" si="2"/>
        <v>15</v>
      </c>
      <c r="R549" s="62">
        <f t="shared" si="2"/>
        <v>16</v>
      </c>
      <c r="S549" s="62">
        <f t="shared" si="2"/>
        <v>17</v>
      </c>
      <c r="T549" s="62">
        <f t="shared" si="2"/>
        <v>18</v>
      </c>
      <c r="U549" s="62">
        <f t="shared" si="2"/>
        <v>19</v>
      </c>
      <c r="V549" s="62">
        <f t="shared" si="2"/>
        <v>20</v>
      </c>
      <c r="W549" s="62">
        <f t="shared" si="2"/>
        <v>21</v>
      </c>
      <c r="X549" s="62">
        <f t="shared" si="2"/>
        <v>22</v>
      </c>
      <c r="Y549" s="62">
        <f t="shared" si="2"/>
        <v>23</v>
      </c>
      <c r="Z549" s="62">
        <f t="shared" si="2"/>
        <v>24</v>
      </c>
      <c r="AA549" s="62">
        <f t="shared" si="2"/>
        <v>25</v>
      </c>
      <c r="AB549" s="62">
        <f t="shared" si="2"/>
        <v>26</v>
      </c>
      <c r="AC549" s="62">
        <f t="shared" si="2"/>
        <v>27</v>
      </c>
    </row>
    <row r="550">
      <c r="A550" s="88" t="str">
        <f>IFERROR(__xludf.DUMMYFUNCTION("IMPORTRANGE(""https://docs.google.com/spreadsheets/d/10Moe6hpmLSb-N4nMnPxSG0Y7shtFAK9IZuIffV4jE8E/edit"", ""Реестр / Смарт-Сэйл!A1:AA500"")"),"")</f>
        <v/>
      </c>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row>
    <row r="551">
      <c r="A551" s="88"/>
      <c r="B551" s="88"/>
      <c r="C551" s="88"/>
      <c r="D551" s="88"/>
      <c r="E551" s="88"/>
      <c r="F551" s="88"/>
      <c r="G551" s="88"/>
      <c r="H551" s="88"/>
      <c r="I551" s="88"/>
      <c r="J551" s="88"/>
      <c r="K551" s="88"/>
      <c r="L551" s="88"/>
      <c r="M551" s="88" t="str">
        <f>IFERROR(__xludf.DUMMYFUNCTION("""COMPUTED_VALUE"""),"Маржа")</f>
        <v>Маржа</v>
      </c>
      <c r="N551" s="88"/>
      <c r="O551" s="88" t="str">
        <f>IFERROR(__xludf.DUMMYFUNCTION("""COMPUTED_VALUE"""),"ABC распределение")</f>
        <v>ABC распределение</v>
      </c>
      <c r="P551" s="88"/>
      <c r="Q551" s="88"/>
      <c r="R551" s="88"/>
      <c r="S551" s="88"/>
      <c r="T551" s="88"/>
      <c r="U551" s="88"/>
      <c r="V551" s="88"/>
      <c r="W551" s="88"/>
      <c r="X551" s="88"/>
      <c r="Y551" s="88"/>
      <c r="Z551" s="88"/>
      <c r="AA551" s="88"/>
    </row>
    <row r="552">
      <c r="A552" s="88"/>
      <c r="B552" s="244" t="str">
        <f>IFERROR(__xludf.DUMMYFUNCTION("""COMPUTED_VALUE"""),"№")</f>
        <v>№</v>
      </c>
      <c r="C552" s="244" t="str">
        <f>IFERROR(__xludf.DUMMYFUNCTION("""COMPUTED_VALUE"""),"SKU")</f>
        <v>SKU</v>
      </c>
      <c r="D552" s="244" t="str">
        <f>IFERROR(__xludf.DUMMYFUNCTION("""COMPUTED_VALUE"""),"Артикул")</f>
        <v>Артикул</v>
      </c>
      <c r="E552" s="244" t="str">
        <f>IFERROR(__xludf.DUMMYFUNCTION("""COMPUTED_VALUE"""),"Бренд")</f>
        <v>Бренд</v>
      </c>
      <c r="F552" s="244" t="str">
        <f>IFERROR(__xludf.DUMMYFUNCTION("""COMPUTED_VALUE"""),"Наименование")</f>
        <v>Наименование</v>
      </c>
      <c r="G552" s="244" t="str">
        <f>IFERROR(__xludf.DUMMYFUNCTION("""COMPUTED_VALUE"""),"Ссылка")</f>
        <v>Ссылка</v>
      </c>
      <c r="H552" s="244" t="str">
        <f>IFERROR(__xludf.DUMMYFUNCTION("""COMPUTED_VALUE"""),"Категория 1")</f>
        <v>Категория 1</v>
      </c>
      <c r="I552" s="244" t="str">
        <f>IFERROR(__xludf.DUMMYFUNCTION("""COMPUTED_VALUE"""),"Категория 2")</f>
        <v>Категория 2</v>
      </c>
      <c r="J552" s="245" t="str">
        <f>IFERROR(__xludf.DUMMYFUNCTION("""COMPUTED_VALUE"""),"Тотал заказы")</f>
        <v>Тотал заказы</v>
      </c>
      <c r="K552" s="240" t="str">
        <f>IFERROR(__xludf.DUMMYFUNCTION("""COMPUTED_VALUE"""),"Тотал выручка")</f>
        <v>Тотал выручка</v>
      </c>
      <c r="L552" s="246" t="str">
        <f>IFERROR(__xludf.DUMMYFUNCTION("""COMPUTED_VALUE"""),"ДРР")</f>
        <v>ДРР</v>
      </c>
      <c r="M552" s="244" t="str">
        <f>IFERROR(__xludf.DUMMYFUNCTION("""COMPUTED_VALUE"""),"С рекламой")</f>
        <v>С рекламой</v>
      </c>
      <c r="N552" s="244" t="str">
        <f>IFERROR(__xludf.DUMMYFUNCTION("""COMPUTED_VALUE"""),"Без рекламы")</f>
        <v>Без рекламы</v>
      </c>
      <c r="O552" s="244" t="str">
        <f>IFERROR(__xludf.DUMMYFUNCTION("""COMPUTED_VALUE"""),"Объем рынка")</f>
        <v>Объем рынка</v>
      </c>
      <c r="P552" s="244" t="str">
        <f>IFERROR(__xludf.DUMMYFUNCTION("""COMPUTED_VALUE"""),"Выручка")</f>
        <v>Выручка</v>
      </c>
      <c r="Q552" s="244" t="str">
        <f>IFERROR(__xludf.DUMMYFUNCTION("""COMPUTED_VALUE"""),"Маржа")</f>
        <v>Маржа</v>
      </c>
      <c r="R552" s="244" t="str">
        <f>IFERROR(__xludf.DUMMYFUNCTION("""COMPUTED_VALUE"""),"Total")</f>
        <v>Total</v>
      </c>
      <c r="S552" s="244" t="str">
        <f>IFERROR(__xludf.DUMMYFUNCTION("""COMPUTED_VALUE"""),"Статус товара")</f>
        <v>Статус товара</v>
      </c>
      <c r="T552" s="244" t="str">
        <f>IFERROR(__xludf.DUMMYFUNCTION("""COMPUTED_VALUE"""),"Ответственный")</f>
        <v>Ответственный</v>
      </c>
      <c r="U552" s="244" t="str">
        <f>IFERROR(__xludf.DUMMYFUNCTION("""COMPUTED_VALUE"""),"Себестоимость")</f>
        <v>Себестоимость</v>
      </c>
      <c r="V552" s="88" t="str">
        <f>IFERROR(__xludf.DUMMYFUNCTION("""COMPUTED_VALUE"""),"МРЦ")</f>
        <v>МРЦ</v>
      </c>
      <c r="W552" s="88" t="str">
        <f>IFERROR(__xludf.DUMMYFUNCTION("""COMPUTED_VALUE"""),"РРЦ")</f>
        <v>РРЦ</v>
      </c>
      <c r="X552" s="88" t="str">
        <f>IFERROR(__xludf.DUMMYFUNCTION("""COMPUTED_VALUE"""),"СПП")</f>
        <v>СПП</v>
      </c>
      <c r="Y552" s="88" t="str">
        <f>IFERROR(__xludf.DUMMYFUNCTION("""COMPUTED_VALUE"""),"Заметка")</f>
        <v>Заметка</v>
      </c>
      <c r="Z552" s="88" t="str">
        <f>IFERROR(__xludf.DUMMYFUNCTION("""COMPUTED_VALUE"""),"Остатки МП")</f>
        <v>Остатки МП</v>
      </c>
      <c r="AA552" s="88" t="str">
        <f>IFERROR(__xludf.DUMMYFUNCTION("""COMPUTED_VALUE"""),"Остаток Склад")</f>
        <v>Остаток Склад</v>
      </c>
    </row>
    <row r="553">
      <c r="A553" s="88"/>
      <c r="B553" s="88">
        <f>IFERROR(__xludf.DUMMYFUNCTION("""COMPUTED_VALUE"""),89.0)</f>
        <v>89</v>
      </c>
      <c r="C553" s="88" t="str">
        <f>IFERROR(__xludf.DUMMYFUNCTION("""COMPUTED_VALUE"""),"kavmaz")</f>
        <v>kavmaz</v>
      </c>
      <c r="D553" s="88">
        <f>IFERROR(__xludf.DUMMYFUNCTION("""COMPUTED_VALUE"""),1.527086051E9)</f>
        <v>1527086051</v>
      </c>
      <c r="E553" s="88" t="str">
        <f>IFERROR(__xludf.DUMMYFUNCTION("""COMPUTED_VALUE"""),"CPA")</f>
        <v>CPA</v>
      </c>
      <c r="F553" s="88" t="str">
        <f>IFERROR(__xludf.DUMMYFUNCTION("""COMPUTED_VALUE"""),"Кавказская мазь Натуральное лечебное средство для суставов и связок обезболивающее, Алтея, 40мл")</f>
        <v>Кавказская мазь Натуральное лечебное средство для суставов и связок обезболивающее, Алтея, 40мл</v>
      </c>
      <c r="G553" s="88"/>
      <c r="H553" s="88" t="str">
        <f>IFERROR(__xludf.DUMMYFUNCTION("""COMPUTED_VALUE"""),"Парафармацевтика")</f>
        <v>Парафармацевтика</v>
      </c>
      <c r="I553" s="88" t="str">
        <f>IFERROR(__xludf.DUMMYFUNCTION("""COMPUTED_VALUE"""),"Суставы")</f>
        <v>Суставы</v>
      </c>
      <c r="J553" s="245">
        <f>IFERROR(__xludf.DUMMYFUNCTION("""COMPUTED_VALUE"""),3592.0)</f>
        <v>3592</v>
      </c>
      <c r="K553" s="240">
        <f>IFERROR(__xludf.DUMMYFUNCTION("""COMPUTED_VALUE"""),2864267.0)</f>
        <v>2864267</v>
      </c>
      <c r="L553" s="243">
        <f>IFERROR(__xludf.DUMMYFUNCTION("""COMPUTED_VALUE"""),0.110445407777976)</f>
        <v>0.1104454078</v>
      </c>
      <c r="M553" s="88"/>
      <c r="N553" s="88"/>
      <c r="O553" s="88"/>
      <c r="P553" s="88"/>
      <c r="Q553" s="88"/>
      <c r="R553" s="88"/>
      <c r="S553" s="88" t="str">
        <f>IFERROR(__xludf.DUMMYFUNCTION("""COMPUTED_VALUE"""),"Актуально")</f>
        <v>Актуально</v>
      </c>
      <c r="T553" s="88" t="str">
        <f>IFERROR(__xludf.DUMMYFUNCTION("""COMPUTED_VALUE"""),"Влад")</f>
        <v>Влад</v>
      </c>
      <c r="U553" s="88"/>
      <c r="V553" s="88"/>
      <c r="W553" s="88"/>
      <c r="X553" s="88"/>
      <c r="Y553" s="88"/>
      <c r="Z553" s="88"/>
      <c r="AA553" s="88"/>
      <c r="AC553" s="62" t="s">
        <v>2659</v>
      </c>
    </row>
    <row r="554">
      <c r="A554" s="88"/>
      <c r="B554" s="88">
        <f>IFERROR(__xludf.DUMMYFUNCTION("""COMPUTED_VALUE"""),108.0)</f>
        <v>108</v>
      </c>
      <c r="C554" s="88" t="str">
        <f>IFERROR(__xludf.DUMMYFUNCTION("""COMPUTED_VALUE"""),"uromax")</f>
        <v>uromax</v>
      </c>
      <c r="D554" s="88">
        <f>IFERROR(__xludf.DUMMYFUNCTION("""COMPUTED_VALUE"""),1.589191436E9)</f>
        <v>1589191436</v>
      </c>
      <c r="E554" s="88" t="str">
        <f>IFERROR(__xludf.DUMMYFUNCTION("""COMPUTED_VALUE"""),"CPA")</f>
        <v>CPA</v>
      </c>
      <c r="F554" s="88" t="str">
        <f>IFERROR(__xludf.DUMMYFUNCTION("""COMPUTED_VALUE"""),"Таблетки от простатита для мужчин оригинал, женьшень корень, Алтея, Уромакс, 20 капсул")</f>
        <v>Таблетки от простатита для мужчин оригинал, женьшень корень, Алтея, Уромакс, 20 капсул</v>
      </c>
      <c r="G554" s="88"/>
      <c r="H554" s="88" t="str">
        <f>IFERROR(__xludf.DUMMYFUNCTION("""COMPUTED_VALUE"""),"Парафармацевтика")</f>
        <v>Парафармацевтика</v>
      </c>
      <c r="I554" s="88" t="str">
        <f>IFERROR(__xludf.DUMMYFUNCTION("""COMPUTED_VALUE"""),"Простатит")</f>
        <v>Простатит</v>
      </c>
      <c r="J554" s="245">
        <f>IFERROR(__xludf.DUMMYFUNCTION("""COMPUTED_VALUE"""),2876.0)</f>
        <v>2876</v>
      </c>
      <c r="K554" s="240">
        <f>IFERROR(__xludf.DUMMYFUNCTION("""COMPUTED_VALUE"""),1975347.0)</f>
        <v>1975347</v>
      </c>
      <c r="L554" s="243">
        <f>IFERROR(__xludf.DUMMYFUNCTION("""COMPUTED_VALUE"""),0.0038630297826154087)</f>
        <v>0.003863029783</v>
      </c>
      <c r="M554" s="88"/>
      <c r="N554" s="88"/>
      <c r="O554" s="88"/>
      <c r="P554" s="88"/>
      <c r="Q554" s="88"/>
      <c r="R554" s="88"/>
      <c r="S554" s="88" t="str">
        <f>IFERROR(__xludf.DUMMYFUNCTION("""COMPUTED_VALUE"""),"Актуально")</f>
        <v>Актуально</v>
      </c>
      <c r="T554" s="88" t="str">
        <f>IFERROR(__xludf.DUMMYFUNCTION("""COMPUTED_VALUE"""),"Влад")</f>
        <v>Влад</v>
      </c>
      <c r="U554" s="88"/>
      <c r="V554" s="88"/>
      <c r="W554" s="88"/>
      <c r="X554" s="88"/>
      <c r="Y554" s="88"/>
      <c r="Z554" s="88"/>
      <c r="AA554" s="88"/>
      <c r="AC554" s="62" t="s">
        <v>2659</v>
      </c>
    </row>
    <row r="555">
      <c r="A555" s="88"/>
      <c r="B555" s="88">
        <f>IFERROR(__xludf.DUMMYFUNCTION("""COMPUTED_VALUE"""),94.0)</f>
        <v>94</v>
      </c>
      <c r="C555" s="88" t="str">
        <f>IFERROR(__xludf.DUMMYFUNCTION("""COMPUTED_VALUE"""),"arterol")</f>
        <v>arterol</v>
      </c>
      <c r="D555" s="88">
        <f>IFERROR(__xludf.DUMMYFUNCTION("""COMPUTED_VALUE"""),1.528107368E9)</f>
        <v>1528107368</v>
      </c>
      <c r="E555" s="88" t="str">
        <f>IFERROR(__xludf.DUMMYFUNCTION("""COMPUTED_VALUE"""),"CPA")</f>
        <v>CPA</v>
      </c>
      <c r="F555" s="88" t="str">
        <f>IFERROR(__xludf.DUMMYFUNCTION("""COMPUTED_VALUE"""),"Средство от давления, витамины для сердца, чистка сосудов, Алтея, Артерол, 10мл")</f>
        <v>Средство от давления, витамины для сердца, чистка сосудов, Алтея, Артерол, 10мл</v>
      </c>
      <c r="G555" s="88"/>
      <c r="H555" s="88" t="str">
        <f>IFERROR(__xludf.DUMMYFUNCTION("""COMPUTED_VALUE"""),"Парафармацевтика")</f>
        <v>Парафармацевтика</v>
      </c>
      <c r="I555" s="88" t="str">
        <f>IFERROR(__xludf.DUMMYFUNCTION("""COMPUTED_VALUE"""),"Здоровье сердца")</f>
        <v>Здоровье сердца</v>
      </c>
      <c r="J555" s="245">
        <f>IFERROR(__xludf.DUMMYFUNCTION("""COMPUTED_VALUE"""),3017.0)</f>
        <v>3017</v>
      </c>
      <c r="K555" s="240">
        <f>IFERROR(__xludf.DUMMYFUNCTION("""COMPUTED_VALUE"""),1975194.0)</f>
        <v>1975194</v>
      </c>
      <c r="L555" s="243">
        <f>IFERROR(__xludf.DUMMYFUNCTION("""COMPUTED_VALUE"""),0.0059096086617314554)</f>
        <v>0.005909608662</v>
      </c>
      <c r="M555" s="88"/>
      <c r="N555" s="88"/>
      <c r="O555" s="88"/>
      <c r="P555" s="88"/>
      <c r="Q555" s="88"/>
      <c r="R555" s="88"/>
      <c r="S555" s="88" t="str">
        <f>IFERROR(__xludf.DUMMYFUNCTION("""COMPUTED_VALUE"""),"Актуально")</f>
        <v>Актуально</v>
      </c>
      <c r="T555" s="88" t="str">
        <f>IFERROR(__xludf.DUMMYFUNCTION("""COMPUTED_VALUE"""),"Влад")</f>
        <v>Влад</v>
      </c>
      <c r="U555" s="88"/>
      <c r="V555" s="88"/>
      <c r="W555" s="88"/>
      <c r="X555" s="88"/>
      <c r="Y555" s="88"/>
      <c r="Z555" s="88"/>
      <c r="AA555" s="88"/>
      <c r="AC555" s="62" t="s">
        <v>2659</v>
      </c>
    </row>
    <row r="556">
      <c r="A556" s="88"/>
      <c r="B556" s="88">
        <f>IFERROR(__xludf.DUMMYFUNCTION("""COMPUTED_VALUE"""),92.0)</f>
        <v>92</v>
      </c>
      <c r="C556" s="88" t="str">
        <f>IFERROR(__xludf.DUMMYFUNCTION("""COMPUTED_VALUE"""),"kinzhal")</f>
        <v>kinzhal</v>
      </c>
      <c r="D556" s="88">
        <f>IFERROR(__xludf.DUMMYFUNCTION("""COMPUTED_VALUE"""),1.528074808E9)</f>
        <v>1528074808</v>
      </c>
      <c r="E556" s="88" t="str">
        <f>IFERROR(__xludf.DUMMYFUNCTION("""COMPUTED_VALUE"""),"CPA")</f>
        <v>CPA</v>
      </c>
      <c r="F556" s="88" t="str">
        <f>IFERROR(__xludf.DUMMYFUNCTION("""COMPUTED_VALUE"""),"Возбудитель для мужчин, средство для потенции и эрекции, витамины для мужчины, Кинжал, 20 капсул")</f>
        <v>Возбудитель для мужчин, средство для потенции и эрекции, витамины для мужчины, Кинжал, 20 капсул</v>
      </c>
      <c r="G556" s="88"/>
      <c r="H556" s="88" t="str">
        <f>IFERROR(__xludf.DUMMYFUNCTION("""COMPUTED_VALUE"""),"Парафармацевтика")</f>
        <v>Парафармацевтика</v>
      </c>
      <c r="I556" s="88" t="str">
        <f>IFERROR(__xludf.DUMMYFUNCTION("""COMPUTED_VALUE"""),"Возбудитель")</f>
        <v>Возбудитель</v>
      </c>
      <c r="J556" s="245">
        <f>IFERROR(__xludf.DUMMYFUNCTION("""COMPUTED_VALUE"""),2914.0)</f>
        <v>2914</v>
      </c>
      <c r="K556" s="240">
        <f>IFERROR(__xludf.DUMMYFUNCTION("""COMPUTED_VALUE"""),1891719.0)</f>
        <v>1891719</v>
      </c>
      <c r="L556" s="243">
        <f>IFERROR(__xludf.DUMMYFUNCTION("""COMPUTED_VALUE"""),0.005940621134005632)</f>
        <v>0.005940621134</v>
      </c>
      <c r="M556" s="88"/>
      <c r="N556" s="88"/>
      <c r="O556" s="88"/>
      <c r="P556" s="88"/>
      <c r="Q556" s="88"/>
      <c r="R556" s="88"/>
      <c r="S556" s="88" t="str">
        <f>IFERROR(__xludf.DUMMYFUNCTION("""COMPUTED_VALUE"""),"Актуально")</f>
        <v>Актуально</v>
      </c>
      <c r="T556" s="88" t="str">
        <f>IFERROR(__xludf.DUMMYFUNCTION("""COMPUTED_VALUE"""),"Влад")</f>
        <v>Влад</v>
      </c>
      <c r="U556" s="88"/>
      <c r="V556" s="88"/>
      <c r="W556" s="88"/>
      <c r="X556" s="88"/>
      <c r="Y556" s="88"/>
      <c r="Z556" s="88"/>
      <c r="AA556" s="88"/>
      <c r="AC556" s="62" t="s">
        <v>2659</v>
      </c>
    </row>
    <row r="557">
      <c r="A557" s="88"/>
      <c r="B557" s="88">
        <f>IFERROR(__xludf.DUMMYFUNCTION("""COMPUTED_VALUE"""),177.0)</f>
        <v>177</v>
      </c>
      <c r="C557" s="88" t="str">
        <f>IFERROR(__xludf.DUMMYFUNCTION("""COMPUTED_VALUE"""),"arterol_1_1_1")</f>
        <v>arterol_1_1_1</v>
      </c>
      <c r="D557" s="88">
        <f>IFERROR(__xludf.DUMMYFUNCTION("""COMPUTED_VALUE"""),2.82507871E9)</f>
        <v>2825078710</v>
      </c>
      <c r="E557" s="88" t="str">
        <f>IFERROR(__xludf.DUMMYFUNCTION("""COMPUTED_VALUE"""),"CPA")</f>
        <v>CPA</v>
      </c>
      <c r="F557" s="88" t="str">
        <f>IFERROR(__xludf.DUMMYFUNCTION("""COMPUTED_VALUE"""),"Средство от давления, витамины для сердца, чистка сосудов, Алтея, Артерол, 10мл х 3")</f>
        <v>Средство от давления, витамины для сердца, чистка сосудов, Алтея, Артерол, 10мл х 3</v>
      </c>
      <c r="G557" s="88"/>
      <c r="H557" s="88" t="str">
        <f>IFERROR(__xludf.DUMMYFUNCTION("""COMPUTED_VALUE"""),"Парафармацевтика")</f>
        <v>Парафармацевтика</v>
      </c>
      <c r="I557" s="88" t="str">
        <f>IFERROR(__xludf.DUMMYFUNCTION("""COMPUTED_VALUE"""),"Здоровье сердца")</f>
        <v>Здоровье сердца</v>
      </c>
      <c r="J557" s="245">
        <f>IFERROR(__xludf.DUMMYFUNCTION("""COMPUTED_VALUE"""),1212.0)</f>
        <v>1212</v>
      </c>
      <c r="K557" s="240">
        <f>IFERROR(__xludf.DUMMYFUNCTION("""COMPUTED_VALUE"""),1863423.0)</f>
        <v>1863423</v>
      </c>
      <c r="L557" s="243">
        <f>IFERROR(__xludf.DUMMYFUNCTION("""COMPUTED_VALUE"""),0.0)</f>
        <v>0</v>
      </c>
      <c r="M557" s="88"/>
      <c r="N557" s="88"/>
      <c r="O557" s="88"/>
      <c r="P557" s="88"/>
      <c r="Q557" s="88"/>
      <c r="R557" s="88"/>
      <c r="S557" s="88" t="str">
        <f>IFERROR(__xludf.DUMMYFUNCTION("""COMPUTED_VALUE"""),"Актуально")</f>
        <v>Актуально</v>
      </c>
      <c r="T557" s="88" t="str">
        <f>IFERROR(__xludf.DUMMYFUNCTION("""COMPUTED_VALUE"""),"Влад")</f>
        <v>Влад</v>
      </c>
      <c r="U557" s="88"/>
      <c r="V557" s="88"/>
      <c r="W557" s="88"/>
      <c r="X557" s="88"/>
      <c r="Y557" s="88"/>
      <c r="Z557" s="88"/>
      <c r="AA557" s="88"/>
      <c r="AC557" s="62" t="s">
        <v>2659</v>
      </c>
    </row>
    <row r="558">
      <c r="A558" s="88"/>
      <c r="B558" s="88">
        <f>IFERROR(__xludf.DUMMYFUNCTION("""COMPUTED_VALUE"""),104.0)</f>
        <v>104</v>
      </c>
      <c r="C558" s="88" t="str">
        <f>IFERROR(__xludf.DUMMYFUNCTION("""COMPUTED_VALUE"""),"retiderm_50ml")</f>
        <v>retiderm_50ml</v>
      </c>
      <c r="D558" s="88">
        <f>IFERROR(__xludf.DUMMYFUNCTION("""COMPUTED_VALUE"""),1.548072003E9)</f>
        <v>1548072003</v>
      </c>
      <c r="E558" s="88" t="str">
        <f>IFERROR(__xludf.DUMMYFUNCTION("""COMPUTED_VALUE"""),"Алтея")</f>
        <v>Алтея</v>
      </c>
      <c r="F558" s="88" t="str">
        <f>IFERROR(__xludf.DUMMYFUNCTION("""COMPUTED_VALUE"""),"Крем для лица с ретинолом 0.5, антивозрастной, против морщин, сыворотка от морщин и пигментных пятен, Алтея, Ретидерм, 50 мл")</f>
        <v>Крем для лица с ретинолом 0.5, антивозрастной, против морщин, сыворотка от морщин и пигментных пятен, Алтея, Ретидерм, 50 мл</v>
      </c>
      <c r="G558" s="88"/>
      <c r="H558" s="88" t="str">
        <f>IFERROR(__xludf.DUMMYFUNCTION("""COMPUTED_VALUE"""),"Красота")</f>
        <v>Красота</v>
      </c>
      <c r="I558" s="88" t="str">
        <f>IFERROR(__xludf.DUMMYFUNCTION("""COMPUTED_VALUE"""),"Ретинол")</f>
        <v>Ретинол</v>
      </c>
      <c r="J558" s="245">
        <f>IFERROR(__xludf.DUMMYFUNCTION("""COMPUTED_VALUE"""),3973.0)</f>
        <v>3973</v>
      </c>
      <c r="K558" s="240">
        <f>IFERROR(__xludf.DUMMYFUNCTION("""COMPUTED_VALUE"""),7121355.0)</f>
        <v>7121355</v>
      </c>
      <c r="L558" s="243">
        <f>IFERROR(__xludf.DUMMYFUNCTION("""COMPUTED_VALUE"""),0.10173529493052937)</f>
        <v>0.1017352949</v>
      </c>
      <c r="M558" s="88"/>
      <c r="N558" s="88"/>
      <c r="O558" s="88"/>
      <c r="P558" s="88"/>
      <c r="Q558" s="88"/>
      <c r="R558" s="88"/>
      <c r="S558" s="88" t="str">
        <f>IFERROR(__xludf.DUMMYFUNCTION("""COMPUTED_VALUE"""),"Актуально")</f>
        <v>Актуально</v>
      </c>
      <c r="T558" s="88" t="str">
        <f>IFERROR(__xludf.DUMMYFUNCTION("""COMPUTED_VALUE"""),"Даша")</f>
        <v>Даша</v>
      </c>
      <c r="U558" s="88"/>
      <c r="V558" s="88"/>
      <c r="W558" s="88"/>
      <c r="X558" s="88"/>
      <c r="Y558" s="88"/>
      <c r="Z558" s="88"/>
      <c r="AA558" s="88"/>
      <c r="AC558" s="62" t="s">
        <v>2659</v>
      </c>
    </row>
    <row r="559">
      <c r="A559" s="88"/>
      <c r="B559" s="88">
        <f>IFERROR(__xludf.DUMMYFUNCTION("""COMPUTED_VALUE"""),183.0)</f>
        <v>183</v>
      </c>
      <c r="C559" s="88" t="str">
        <f>IFERROR(__xludf.DUMMYFUNCTION("""COMPUTED_VALUE"""),"retinait_krem_1_50ml")</f>
        <v>retinait_krem_1_50ml</v>
      </c>
      <c r="D559" s="88">
        <f>IFERROR(__xludf.DUMMYFUNCTION("""COMPUTED_VALUE"""),2.829866449E9)</f>
        <v>2829866449</v>
      </c>
      <c r="E559" s="88" t="str">
        <f>IFERROR(__xludf.DUMMYFUNCTION("""COMPUTED_VALUE"""),"Алтея")</f>
        <v>Алтея</v>
      </c>
      <c r="F559" s="88" t="str">
        <f>IFERROR(__xludf.DUMMYFUNCTION("""COMPUTED_VALUE"""),"Крем для лица с липосомальным ретинолом 1% Ретинайт")</f>
        <v>Крем для лица с липосомальным ретинолом 1% Ретинайт</v>
      </c>
      <c r="G559" s="88"/>
      <c r="H559" s="88" t="str">
        <f>IFERROR(__xludf.DUMMYFUNCTION("""COMPUTED_VALUE"""),"Красота")</f>
        <v>Красота</v>
      </c>
      <c r="I559" s="88" t="str">
        <f>IFERROR(__xludf.DUMMYFUNCTION("""COMPUTED_VALUE"""),"Ретинол")</f>
        <v>Ретинол</v>
      </c>
      <c r="J559" s="245">
        <f>IFERROR(__xludf.DUMMYFUNCTION("""COMPUTED_VALUE"""),1533.0)</f>
        <v>1533</v>
      </c>
      <c r="K559" s="240">
        <f>IFERROR(__xludf.DUMMYFUNCTION("""COMPUTED_VALUE"""),3313198.0)</f>
        <v>3313198</v>
      </c>
      <c r="L559" s="243">
        <f>IFERROR(__xludf.DUMMYFUNCTION("""COMPUTED_VALUE"""),0.07287492633703146)</f>
        <v>0.07287492634</v>
      </c>
      <c r="M559" s="88"/>
      <c r="N559" s="88"/>
      <c r="O559" s="88"/>
      <c r="P559" s="88"/>
      <c r="Q559" s="88"/>
      <c r="R559" s="88"/>
      <c r="S559" s="88" t="str">
        <f>IFERROR(__xludf.DUMMYFUNCTION("""COMPUTED_VALUE"""),"Актуально")</f>
        <v>Актуально</v>
      </c>
      <c r="T559" s="88" t="str">
        <f>IFERROR(__xludf.DUMMYFUNCTION("""COMPUTED_VALUE"""),"Даша")</f>
        <v>Даша</v>
      </c>
      <c r="U559" s="88"/>
      <c r="V559" s="88"/>
      <c r="W559" s="88"/>
      <c r="X559" s="88"/>
      <c r="Y559" s="88"/>
      <c r="Z559" s="88"/>
      <c r="AA559" s="88"/>
      <c r="AC559" s="62" t="s">
        <v>2659</v>
      </c>
    </row>
    <row r="560">
      <c r="A560" s="88"/>
      <c r="B560" s="88">
        <f>IFERROR(__xludf.DUMMYFUNCTION("""COMPUTED_VALUE"""),41.0)</f>
        <v>41</v>
      </c>
      <c r="C560" s="88" t="str">
        <f>IFERROR(__xludf.DUMMYFUNCTION("""COMPUTED_VALUE"""),"insulight")</f>
        <v>insulight</v>
      </c>
      <c r="D560" s="88">
        <f>IFERROR(__xludf.DUMMYFUNCTION("""COMPUTED_VALUE"""),7.51246155E8)</f>
        <v>751246155</v>
      </c>
      <c r="E560" s="88" t="str">
        <f>IFERROR(__xludf.DUMMYFUNCTION("""COMPUTED_VALUE"""),"CPA")</f>
        <v>CPA</v>
      </c>
      <c r="F560" s="88" t="str">
        <f>IFERROR(__xludf.DUMMYFUNCTION("""COMPUTED_VALUE"""),"Диабет витамины при сахарном диабете, Алтея, Инсулайт, 49г")</f>
        <v>Диабет витамины при сахарном диабете, Алтея, Инсулайт, 49г</v>
      </c>
      <c r="G560" s="88"/>
      <c r="H560" s="88" t="str">
        <f>IFERROR(__xludf.DUMMYFUNCTION("""COMPUTED_VALUE"""),"Парафармацевтика")</f>
        <v>Парафармацевтика</v>
      </c>
      <c r="I560" s="88" t="str">
        <f>IFERROR(__xludf.DUMMYFUNCTION("""COMPUTED_VALUE"""),"Диабет")</f>
        <v>Диабет</v>
      </c>
      <c r="J560" s="245">
        <f>IFERROR(__xludf.DUMMYFUNCTION("""COMPUTED_VALUE"""),2447.0)</f>
        <v>2447</v>
      </c>
      <c r="K560" s="240">
        <f>IFERROR(__xludf.DUMMYFUNCTION("""COMPUTED_VALUE"""),1894047.0)</f>
        <v>1894047</v>
      </c>
      <c r="L560" s="243">
        <f>IFERROR(__xludf.DUMMYFUNCTION("""COMPUTED_VALUE"""),0.005045066701618281)</f>
        <v>0.005045066702</v>
      </c>
      <c r="M560" s="88"/>
      <c r="N560" s="88"/>
      <c r="O560" s="88"/>
      <c r="P560" s="88"/>
      <c r="Q560" s="88"/>
      <c r="R560" s="88"/>
      <c r="S560" s="88" t="str">
        <f>IFERROR(__xludf.DUMMYFUNCTION("""COMPUTED_VALUE"""),"Актуально")</f>
        <v>Актуально</v>
      </c>
      <c r="T560" s="88" t="str">
        <f>IFERROR(__xludf.DUMMYFUNCTION("""COMPUTED_VALUE"""),"Даша")</f>
        <v>Даша</v>
      </c>
      <c r="U560" s="88"/>
      <c r="V560" s="88"/>
      <c r="W560" s="88"/>
      <c r="X560" s="88"/>
      <c r="Y560" s="88"/>
      <c r="Z560" s="88"/>
      <c r="AA560" s="88"/>
      <c r="AC560" s="62" t="s">
        <v>2659</v>
      </c>
    </row>
    <row r="561">
      <c r="A561" s="88"/>
      <c r="B561" s="88">
        <f>IFERROR(__xludf.DUMMYFUNCTION("""COMPUTED_VALUE"""),121.0)</f>
        <v>121</v>
      </c>
      <c r="C561" s="88" t="str">
        <f>IFERROR(__xludf.DUMMYFUNCTION("""COMPUTED_VALUE"""),"nabor_remuver_kremovii")</f>
        <v>nabor_remuver_kremovii</v>
      </c>
      <c r="D561" s="88">
        <f>IFERROR(__xludf.DUMMYFUNCTION("""COMPUTED_VALUE"""),1.657229241E9)</f>
        <v>1657229241</v>
      </c>
      <c r="E561" s="88" t="str">
        <f>IFERROR(__xludf.DUMMYFUNCTION("""COMPUTED_VALUE"""),"Алтея")</f>
        <v>Алтея</v>
      </c>
      <c r="F561" s="88" t="str">
        <f>IFERROR(__xludf.DUMMYFUNCTION("""COMPUTED_VALUE"""),"Ремувер для снятия ресниц, Алтея, 18г")</f>
        <v>Ремувер для снятия ресниц, Алтея, 18г</v>
      </c>
      <c r="G561" s="88"/>
      <c r="H561" s="88" t="str">
        <f>IFERROR(__xludf.DUMMYFUNCTION("""COMPUTED_VALUE"""),"Красота")</f>
        <v>Красота</v>
      </c>
      <c r="I561" s="88" t="str">
        <f>IFERROR(__xludf.DUMMYFUNCTION("""COMPUTED_VALUE"""),"Брови и ресницы")</f>
        <v>Брови и ресницы</v>
      </c>
      <c r="J561" s="245">
        <f>IFERROR(__xludf.DUMMYFUNCTION("""COMPUTED_VALUE"""),2275.0)</f>
        <v>2275</v>
      </c>
      <c r="K561" s="240">
        <f>IFERROR(__xludf.DUMMYFUNCTION("""COMPUTED_VALUE"""),1657641.0)</f>
        <v>1657641</v>
      </c>
      <c r="L561" s="243">
        <f>IFERROR(__xludf.DUMMYFUNCTION("""COMPUTED_VALUE"""),0.11606282452593776)</f>
        <v>0.1160628245</v>
      </c>
      <c r="M561" s="88"/>
      <c r="N561" s="88"/>
      <c r="O561" s="88"/>
      <c r="P561" s="88"/>
      <c r="Q561" s="88"/>
      <c r="R561" s="88"/>
      <c r="S561" s="88" t="str">
        <f>IFERROR(__xludf.DUMMYFUNCTION("""COMPUTED_VALUE"""),"Актуально")</f>
        <v>Актуально</v>
      </c>
      <c r="T561" s="88" t="str">
        <f>IFERROR(__xludf.DUMMYFUNCTION("""COMPUTED_VALUE"""),"Даша")</f>
        <v>Даша</v>
      </c>
      <c r="U561" s="88"/>
      <c r="V561" s="88"/>
      <c r="W561" s="88"/>
      <c r="X561" s="88"/>
      <c r="Y561" s="88"/>
      <c r="Z561" s="88"/>
      <c r="AA561" s="88"/>
      <c r="AC561" s="62" t="s">
        <v>2659</v>
      </c>
    </row>
    <row r="562">
      <c r="A562" s="88"/>
      <c r="B562" s="88">
        <f>IFERROR(__xludf.DUMMYFUNCTION("""COMPUTED_VALUE"""),86.0)</f>
        <v>86</v>
      </c>
      <c r="C562" s="88" t="str">
        <f>IFERROR(__xludf.DUMMYFUNCTION("""COMPUTED_VALUE"""),"shampun_dlya_rosta_250ml")</f>
        <v>shampun_dlya_rosta_250ml</v>
      </c>
      <c r="D562" s="88">
        <f>IFERROR(__xludf.DUMMYFUNCTION("""COMPUTED_VALUE"""),1.500240551E9)</f>
        <v>1500240551</v>
      </c>
      <c r="E562" s="88" t="str">
        <f>IFERROR(__xludf.DUMMYFUNCTION("""COMPUTED_VALUE"""),"Алтея")</f>
        <v>Алтея</v>
      </c>
      <c r="F562" s="88" t="str">
        <f>IFERROR(__xludf.DUMMYFUNCTION("""COMPUTED_VALUE"""),"Шампунь лечебный для роста волос, против выпадения, с красным перцем профессиональный, Алтея, 250 мл")</f>
        <v>Шампунь лечебный для роста волос, против выпадения, с красным перцем профессиональный, Алтея, 250 мл</v>
      </c>
      <c r="G562" s="88"/>
      <c r="H562" s="88" t="str">
        <f>IFERROR(__xludf.DUMMYFUNCTION("""COMPUTED_VALUE"""),"Красота")</f>
        <v>Красота</v>
      </c>
      <c r="I562" s="88" t="str">
        <f>IFERROR(__xludf.DUMMYFUNCTION("""COMPUTED_VALUE"""),"Волосы")</f>
        <v>Волосы</v>
      </c>
      <c r="J562" s="245">
        <f>IFERROR(__xludf.DUMMYFUNCTION("""COMPUTED_VALUE"""),1553.0)</f>
        <v>1553</v>
      </c>
      <c r="K562" s="240">
        <f>IFERROR(__xludf.DUMMYFUNCTION("""COMPUTED_VALUE"""),1449951.0)</f>
        <v>1449951</v>
      </c>
      <c r="L562" s="243">
        <f>IFERROR(__xludf.DUMMYFUNCTION("""COMPUTED_VALUE"""),0.14821336119634387)</f>
        <v>0.1482133612</v>
      </c>
      <c r="M562" s="88"/>
      <c r="N562" s="88"/>
      <c r="O562" s="88"/>
      <c r="P562" s="88"/>
      <c r="Q562" s="88"/>
      <c r="R562" s="88"/>
      <c r="S562" s="88" t="str">
        <f>IFERROR(__xludf.DUMMYFUNCTION("""COMPUTED_VALUE"""),"Актуально")</f>
        <v>Актуально</v>
      </c>
      <c r="T562" s="88" t="str">
        <f>IFERROR(__xludf.DUMMYFUNCTION("""COMPUTED_VALUE"""),"Даша")</f>
        <v>Даша</v>
      </c>
      <c r="U562" s="88"/>
      <c r="V562" s="88"/>
      <c r="W562" s="88"/>
      <c r="X562" s="88"/>
      <c r="Y562" s="88"/>
      <c r="Z562" s="88"/>
      <c r="AA562" s="88"/>
      <c r="AC562" s="62" t="s">
        <v>2659</v>
      </c>
    </row>
    <row r="563">
      <c r="A563" s="88"/>
      <c r="B563" s="88">
        <f>IFERROR(__xludf.DUMMYFUNCTION("""COMPUTED_VALUE"""),116.0)</f>
        <v>116</v>
      </c>
      <c r="C563" s="88" t="str">
        <f>IFERROR(__xludf.DUMMYFUNCTION("""COMPUTED_VALUE"""),"syvorotka_dlya_lica_30ml")</f>
        <v>syvorotka_dlya_lica_30ml</v>
      </c>
      <c r="D563" s="88">
        <f>IFERROR(__xludf.DUMMYFUNCTION("""COMPUTED_VALUE"""),1.613771317E9)</f>
        <v>1613771317</v>
      </c>
      <c r="E563" s="88" t="str">
        <f>IFERROR(__xludf.DUMMYFUNCTION("""COMPUTED_VALUE"""),"Алтея")</f>
        <v>Алтея</v>
      </c>
      <c r="F563" s="88" t="str">
        <f>IFERROR(__xludf.DUMMYFUNCTION("""COMPUTED_VALUE"""),"Сыворотка с ниацинамидом для лица антивозрастная, от пигментных пятен для лица, пигментации, Алтея, 30 мл")</f>
        <v>Сыворотка с ниацинамидом для лица антивозрастная, от пигментных пятен для лица, пигментации, Алтея, 30 мл</v>
      </c>
      <c r="G563" s="88"/>
      <c r="H563" s="88" t="str">
        <f>IFERROR(__xludf.DUMMYFUNCTION("""COMPUTED_VALUE"""),"Красота")</f>
        <v>Красота</v>
      </c>
      <c r="I563" s="88" t="str">
        <f>IFERROR(__xludf.DUMMYFUNCTION("""COMPUTED_VALUE"""),"Лицо")</f>
        <v>Лицо</v>
      </c>
      <c r="J563" s="245">
        <f>IFERROR(__xludf.DUMMYFUNCTION("""COMPUTED_VALUE"""),1002.0)</f>
        <v>1002</v>
      </c>
      <c r="K563" s="240">
        <f>IFERROR(__xludf.DUMMYFUNCTION("""COMPUTED_VALUE"""),1446988.0)</f>
        <v>1446988</v>
      </c>
      <c r="L563" s="243">
        <f>IFERROR(__xludf.DUMMYFUNCTION("""COMPUTED_VALUE"""),0.2699388341852178)</f>
        <v>0.2699388342</v>
      </c>
      <c r="M563" s="88"/>
      <c r="N563" s="88"/>
      <c r="O563" s="88"/>
      <c r="P563" s="88"/>
      <c r="Q563" s="88"/>
      <c r="R563" s="88"/>
      <c r="S563" s="88" t="str">
        <f>IFERROR(__xludf.DUMMYFUNCTION("""COMPUTED_VALUE"""),"Актуально")</f>
        <v>Актуально</v>
      </c>
      <c r="T563" s="88" t="str">
        <f>IFERROR(__xludf.DUMMYFUNCTION("""COMPUTED_VALUE"""),"Даша")</f>
        <v>Даша</v>
      </c>
      <c r="U563" s="88"/>
      <c r="V563" s="88"/>
      <c r="W563" s="88"/>
      <c r="X563" s="88"/>
      <c r="Y563" s="88"/>
      <c r="Z563" s="88"/>
      <c r="AA563" s="88"/>
      <c r="AC563" s="62" t="s">
        <v>2659</v>
      </c>
    </row>
    <row r="564">
      <c r="A564" s="88"/>
      <c r="B564" s="88">
        <f>IFERROR(__xludf.DUMMYFUNCTION("""COMPUTED_VALUE"""),123.0)</f>
        <v>123</v>
      </c>
      <c r="C564" s="88" t="str">
        <f>IFERROR(__xludf.DUMMYFUNCTION("""COMPUTED_VALUE"""),"mycoplax")</f>
        <v>mycoplax</v>
      </c>
      <c r="D564" s="88">
        <f>IFERROR(__xludf.DUMMYFUNCTION("""COMPUTED_VALUE"""),1.691245886E9)</f>
        <v>1691245886</v>
      </c>
      <c r="E564" s="88" t="str">
        <f>IFERROR(__xludf.DUMMYFUNCTION("""COMPUTED_VALUE"""),"CPA")</f>
        <v>CPA</v>
      </c>
      <c r="F564" s="88" t="str">
        <f>IFERROR(__xludf.DUMMYFUNCTION("""COMPUTED_VALUE"""),"Мазь от грибка ногтей на ногах, крем гель Алтея, Микоплакс Mycoplax, 15 мл")</f>
        <v>Мазь от грибка ногтей на ногах, крем гель Алтея, Микоплакс Mycoplax, 15 мл</v>
      </c>
      <c r="G564" s="88"/>
      <c r="H564" s="88" t="str">
        <f>IFERROR(__xludf.DUMMYFUNCTION("""COMPUTED_VALUE"""),"Парафармацевтика")</f>
        <v>Парафармацевтика</v>
      </c>
      <c r="I564" s="88" t="str">
        <f>IFERROR(__xludf.DUMMYFUNCTION("""COMPUTED_VALUE"""),"Грибок")</f>
        <v>Грибок</v>
      </c>
      <c r="J564" s="245">
        <f>IFERROR(__xludf.DUMMYFUNCTION("""COMPUTED_VALUE"""),2133.0)</f>
        <v>2133</v>
      </c>
      <c r="K564" s="240">
        <f>IFERROR(__xludf.DUMMYFUNCTION("""COMPUTED_VALUE"""),1431000.0)</f>
        <v>1431000</v>
      </c>
      <c r="L564" s="243">
        <f>IFERROR(__xludf.DUMMYFUNCTION("""COMPUTED_VALUE"""),0.05993087532494759)</f>
        <v>0.05993087532</v>
      </c>
      <c r="M564" s="88"/>
      <c r="N564" s="88"/>
      <c r="O564" s="88"/>
      <c r="P564" s="88"/>
      <c r="Q564" s="88"/>
      <c r="R564" s="88"/>
      <c r="S564" s="88" t="str">
        <f>IFERROR(__xludf.DUMMYFUNCTION("""COMPUTED_VALUE"""),"Актуально")</f>
        <v>Актуально</v>
      </c>
      <c r="T564" s="88" t="str">
        <f>IFERROR(__xludf.DUMMYFUNCTION("""COMPUTED_VALUE"""),"Даша")</f>
        <v>Даша</v>
      </c>
      <c r="U564" s="88"/>
      <c r="V564" s="88"/>
      <c r="W564" s="88"/>
      <c r="X564" s="88"/>
      <c r="Y564" s="88"/>
      <c r="Z564" s="88"/>
      <c r="AA564" s="88"/>
      <c r="AC564" s="62" t="s">
        <v>2659</v>
      </c>
    </row>
    <row r="565">
      <c r="A565" s="88"/>
      <c r="B565" s="88">
        <f>IFERROR(__xludf.DUMMYFUNCTION("""COMPUTED_VALUE"""),129.0)</f>
        <v>129</v>
      </c>
      <c r="C565" s="88" t="str">
        <f>IFERROR(__xludf.DUMMYFUNCTION("""COMPUTED_VALUE"""),"yagodniy_spas")</f>
        <v>yagodniy_spas</v>
      </c>
      <c r="D565" s="88">
        <f>IFERROR(__xludf.DUMMYFUNCTION("""COMPUTED_VALUE"""),1.703614178E9)</f>
        <v>1703614178</v>
      </c>
      <c r="E565" s="88" t="str">
        <f>IFERROR(__xludf.DUMMYFUNCTION("""COMPUTED_VALUE"""),"CPA")</f>
        <v>CPA</v>
      </c>
      <c r="F565" s="88" t="str">
        <f>IFERROR(__xludf.DUMMYFUNCTION("""COMPUTED_VALUE"""),"Антипаразитарный комплекс от глистов, очищение организма от паразитов, детокс, Алтея, Ягодный спас,10 шипучих таблеток")</f>
        <v>Антипаразитарный комплекс от глистов, очищение организма от паразитов, детокс, Алтея, Ягодный спас,10 шипучих таблеток</v>
      </c>
      <c r="G565" s="88"/>
      <c r="H565" s="88" t="str">
        <f>IFERROR(__xludf.DUMMYFUNCTION("""COMPUTED_VALUE"""),"Парафармацевтика")</f>
        <v>Парафармацевтика</v>
      </c>
      <c r="I565" s="88" t="str">
        <f>IFERROR(__xludf.DUMMYFUNCTION("""COMPUTED_VALUE"""),"Антипаразитарный")</f>
        <v>Антипаразитарный</v>
      </c>
      <c r="J565" s="245">
        <f>IFERROR(__xludf.DUMMYFUNCTION("""COMPUTED_VALUE"""),1683.0)</f>
        <v>1683</v>
      </c>
      <c r="K565" s="240">
        <f>IFERROR(__xludf.DUMMYFUNCTION("""COMPUTED_VALUE"""),1198905.0)</f>
        <v>1198905</v>
      </c>
      <c r="L565" s="243">
        <f>IFERROR(__xludf.DUMMYFUNCTION("""COMPUTED_VALUE"""),0.006170069761157056)</f>
        <v>0.006170069761</v>
      </c>
      <c r="M565" s="88"/>
      <c r="N565" s="88"/>
      <c r="O565" s="88"/>
      <c r="P565" s="88"/>
      <c r="Q565" s="88"/>
      <c r="R565" s="88"/>
      <c r="S565" s="88" t="str">
        <f>IFERROR(__xludf.DUMMYFUNCTION("""COMPUTED_VALUE"""),"Актуально")</f>
        <v>Актуально</v>
      </c>
      <c r="T565" s="88" t="str">
        <f>IFERROR(__xludf.DUMMYFUNCTION("""COMPUTED_VALUE"""),"Даша")</f>
        <v>Даша</v>
      </c>
      <c r="U565" s="88"/>
      <c r="V565" s="88"/>
      <c r="W565" s="88"/>
      <c r="X565" s="88"/>
      <c r="Y565" s="88"/>
      <c r="Z565" s="88"/>
      <c r="AA565" s="88"/>
      <c r="AC565" s="62" t="s">
        <v>2659</v>
      </c>
    </row>
    <row r="566">
      <c r="A566" s="88"/>
      <c r="B566" s="88">
        <f>IFERROR(__xludf.DUMMYFUNCTION("""COMPUTED_VALUE"""),112.0)</f>
        <v>112</v>
      </c>
      <c r="C566" s="88" t="str">
        <f>IFERROR(__xludf.DUMMYFUNCTION("""COMPUTED_VALUE"""),"uhovit")</f>
        <v>uhovit</v>
      </c>
      <c r="D566" s="88">
        <f>IFERROR(__xludf.DUMMYFUNCTION("""COMPUTED_VALUE"""),1.590087137E9)</f>
        <v>1590087137</v>
      </c>
      <c r="E566" s="88" t="str">
        <f>IFERROR(__xludf.DUMMYFUNCTION("""COMPUTED_VALUE"""),"CPA")</f>
        <v>CPA</v>
      </c>
      <c r="F566" s="88" t="str">
        <f>IFERROR(__xludf.DUMMYFUNCTION("""COMPUTED_VALUE"""),"Капсулы для улучшения слуха, усилитель слуха, Алтея, Уховит, 20 капсул")</f>
        <v>Капсулы для улучшения слуха, усилитель слуха, Алтея, Уховит, 20 капсул</v>
      </c>
      <c r="G566" s="88"/>
      <c r="H566" s="88" t="str">
        <f>IFERROR(__xludf.DUMMYFUNCTION("""COMPUTED_VALUE"""),"Парафармацевтика")</f>
        <v>Парафармацевтика</v>
      </c>
      <c r="I566" s="88" t="str">
        <f>IFERROR(__xludf.DUMMYFUNCTION("""COMPUTED_VALUE"""),"Слух")</f>
        <v>Слух</v>
      </c>
      <c r="J566" s="245">
        <f>IFERROR(__xludf.DUMMYFUNCTION("""COMPUTED_VALUE"""),2461.0)</f>
        <v>2461</v>
      </c>
      <c r="K566" s="240">
        <f>IFERROR(__xludf.DUMMYFUNCTION("""COMPUTED_VALUE"""),1589329.0)</f>
        <v>1589329</v>
      </c>
      <c r="L566" s="243">
        <f>IFERROR(__xludf.DUMMYFUNCTION("""COMPUTED_VALUE"""),0.0)</f>
        <v>0</v>
      </c>
      <c r="M566" s="88"/>
      <c r="N566" s="88"/>
      <c r="O566" s="88"/>
      <c r="P566" s="88"/>
      <c r="Q566" s="88"/>
      <c r="R566" s="88"/>
      <c r="S566" s="88" t="str">
        <f>IFERROR(__xludf.DUMMYFUNCTION("""COMPUTED_VALUE"""),"Актуально")</f>
        <v>Актуально</v>
      </c>
      <c r="T566" s="88" t="str">
        <f>IFERROR(__xludf.DUMMYFUNCTION("""COMPUTED_VALUE"""),"Влад")</f>
        <v>Влад</v>
      </c>
      <c r="U566" s="88"/>
      <c r="V566" s="88"/>
      <c r="W566" s="88"/>
      <c r="X566" s="88"/>
      <c r="Y566" s="88"/>
      <c r="Z566" s="88"/>
      <c r="AA566" s="88"/>
      <c r="AC566" s="62" t="s">
        <v>2659</v>
      </c>
    </row>
    <row r="567">
      <c r="A567" s="88"/>
      <c r="B567" s="88">
        <f>IFERROR(__xludf.DUMMYFUNCTION("""COMPUTED_VALUE"""),12.0)</f>
        <v>12</v>
      </c>
      <c r="C567" s="88" t="str">
        <f>IFERROR(__xludf.DUMMYFUNCTION("""COMPUTED_VALUE"""),"wbmicelix")</f>
        <v>wbmicelix</v>
      </c>
      <c r="D567" s="88">
        <f>IFERROR(__xludf.DUMMYFUNCTION("""COMPUTED_VALUE"""),2.91845947E8)</f>
        <v>291845947</v>
      </c>
      <c r="E567" s="88" t="str">
        <f>IFERROR(__xludf.DUMMYFUNCTION("""COMPUTED_VALUE"""),"CPA")</f>
        <v>CPA</v>
      </c>
      <c r="F567" s="88" t="str">
        <f>IFERROR(__xludf.DUMMYFUNCTION("""COMPUTED_VALUE"""),"Комплекс Детокс для очищения печени и кишечника, для похудения, детокc для печени, Алтея, Мицеликс, 10 шт")</f>
        <v>Комплекс Детокс для очищения печени и кишечника, для похудения, детокc для печени, Алтея, Мицеликс, 10 шт</v>
      </c>
      <c r="G567" s="88"/>
      <c r="H567" s="88" t="str">
        <f>IFERROR(__xludf.DUMMYFUNCTION("""COMPUTED_VALUE"""),"Парафармацевтика")</f>
        <v>Парафармацевтика</v>
      </c>
      <c r="I567" s="88" t="str">
        <f>IFERROR(__xludf.DUMMYFUNCTION("""COMPUTED_VALUE"""),"Иммунитет")</f>
        <v>Иммунитет</v>
      </c>
      <c r="J567" s="245">
        <f>IFERROR(__xludf.DUMMYFUNCTION("""COMPUTED_VALUE"""),1957.0)</f>
        <v>1957</v>
      </c>
      <c r="K567" s="240">
        <f>IFERROR(__xludf.DUMMYFUNCTION("""COMPUTED_VALUE"""),1175741.0)</f>
        <v>1175741</v>
      </c>
      <c r="L567" s="243">
        <f>IFERROR(__xludf.DUMMYFUNCTION("""COMPUTED_VALUE"""),0.005459031057860533)</f>
        <v>0.005459031058</v>
      </c>
      <c r="M567" s="88"/>
      <c r="N567" s="88"/>
      <c r="O567" s="88"/>
      <c r="P567" s="88"/>
      <c r="Q567" s="88"/>
      <c r="R567" s="88"/>
      <c r="S567" s="88" t="str">
        <f>IFERROR(__xludf.DUMMYFUNCTION("""COMPUTED_VALUE"""),"Актуально")</f>
        <v>Актуально</v>
      </c>
      <c r="T567" s="88" t="str">
        <f>IFERROR(__xludf.DUMMYFUNCTION("""COMPUTED_VALUE"""),"Даша")</f>
        <v>Даша</v>
      </c>
      <c r="U567" s="88"/>
      <c r="V567" s="88"/>
      <c r="W567" s="88"/>
      <c r="X567" s="88"/>
      <c r="Y567" s="88"/>
      <c r="Z567" s="88"/>
      <c r="AA567" s="88"/>
      <c r="AC567" s="62" t="s">
        <v>2659</v>
      </c>
    </row>
    <row r="568">
      <c r="A568" s="88"/>
      <c r="B568" s="88">
        <f>IFERROR(__xludf.DUMMYFUNCTION("""COMPUTED_VALUE"""),164.0)</f>
        <v>164</v>
      </c>
      <c r="C568" s="88" t="str">
        <f>IFERROR(__xludf.DUMMYFUNCTION("""COMPUTED_VALUE"""),"sprei_buster_100ml")</f>
        <v>sprei_buster_100ml</v>
      </c>
      <c r="D568" s="88">
        <f>IFERROR(__xludf.DUMMYFUNCTION("""COMPUTED_VALUE"""),2.138241943E9)</f>
        <v>2138241943</v>
      </c>
      <c r="E568" s="88" t="str">
        <f>IFERROR(__xludf.DUMMYFUNCTION("""COMPUTED_VALUE"""),"Алтея")</f>
        <v>Алтея</v>
      </c>
      <c r="F568" s="88" t="str">
        <f>IFERROR(__xludf.DUMMYFUNCTION("""COMPUTED_VALUE"""),"Спрей для волос для роста и от выпадения волос никотиновая кислота перец размарин Алтея 100 мл")</f>
        <v>Спрей для волос для роста и от выпадения волос никотиновая кислота перец размарин Алтея 100 мл</v>
      </c>
      <c r="G568" s="88"/>
      <c r="H568" s="88" t="str">
        <f>IFERROR(__xludf.DUMMYFUNCTION("""COMPUTED_VALUE"""),"Красота")</f>
        <v>Красота</v>
      </c>
      <c r="I568" s="88" t="str">
        <f>IFERROR(__xludf.DUMMYFUNCTION("""COMPUTED_VALUE"""),"Волосы")</f>
        <v>Волосы</v>
      </c>
      <c r="J568" s="245">
        <f>IFERROR(__xludf.DUMMYFUNCTION("""COMPUTED_VALUE"""),1007.0)</f>
        <v>1007</v>
      </c>
      <c r="K568" s="240">
        <f>IFERROR(__xludf.DUMMYFUNCTION("""COMPUTED_VALUE"""),1031886.0)</f>
        <v>1031886</v>
      </c>
      <c r="L568" s="243">
        <f>IFERROR(__xludf.DUMMYFUNCTION("""COMPUTED_VALUE"""),0.19749046309379134)</f>
        <v>0.1974904631</v>
      </c>
      <c r="M568" s="88"/>
      <c r="N568" s="88"/>
      <c r="O568" s="88"/>
      <c r="P568" s="88"/>
      <c r="Q568" s="88"/>
      <c r="R568" s="88"/>
      <c r="S568" s="88" t="str">
        <f>IFERROR(__xludf.DUMMYFUNCTION("""COMPUTED_VALUE"""),"Актуально")</f>
        <v>Актуально</v>
      </c>
      <c r="T568" s="88" t="str">
        <f>IFERROR(__xludf.DUMMYFUNCTION("""COMPUTED_VALUE"""),"Даша")</f>
        <v>Даша</v>
      </c>
      <c r="U568" s="88"/>
      <c r="V568" s="88"/>
      <c r="W568" s="88"/>
      <c r="X568" s="88"/>
      <c r="Y568" s="88"/>
      <c r="Z568" s="88"/>
      <c r="AA568" s="88"/>
      <c r="AC568" s="62" t="s">
        <v>2659</v>
      </c>
    </row>
    <row r="569">
      <c r="A569" s="88"/>
      <c r="B569" s="88">
        <f>IFERROR(__xludf.DUMMYFUNCTION("""COMPUTED_VALUE"""),140.0)</f>
        <v>140</v>
      </c>
      <c r="C569" s="88" t="str">
        <f>IFERROR(__xludf.DUMMYFUNCTION("""COMPUTED_VALUE"""),"kavmaz_40ml_1_1")</f>
        <v>kavmaz_40ml_1_1</v>
      </c>
      <c r="D569" s="88">
        <f>IFERROR(__xludf.DUMMYFUNCTION("""COMPUTED_VALUE"""),1.792793774E9)</f>
        <v>1792793774</v>
      </c>
      <c r="E569" s="88" t="str">
        <f>IFERROR(__xludf.DUMMYFUNCTION("""COMPUTED_VALUE"""),"CPA")</f>
        <v>CPA</v>
      </c>
      <c r="F569" s="88" t="str">
        <f>IFERROR(__xludf.DUMMYFUNCTION("""COMPUTED_VALUE"""),"Кавказская мазь Натуральное лечебное средство для суставов и связок обезболивающее, Алтея, 40 + 40 мл")</f>
        <v>Кавказская мазь Натуральное лечебное средство для суставов и связок обезболивающее, Алтея, 40 + 40 мл</v>
      </c>
      <c r="G569" s="88"/>
      <c r="H569" s="88" t="str">
        <f>IFERROR(__xludf.DUMMYFUNCTION("""COMPUTED_VALUE"""),"Парафармацевтика")</f>
        <v>Парафармацевтика</v>
      </c>
      <c r="I569" s="88" t="str">
        <f>IFERROR(__xludf.DUMMYFUNCTION("""COMPUTED_VALUE"""),"Суставы")</f>
        <v>Суставы</v>
      </c>
      <c r="J569" s="245">
        <f>IFERROR(__xludf.DUMMYFUNCTION("""COMPUTED_VALUE"""),977.0)</f>
        <v>977</v>
      </c>
      <c r="K569" s="240">
        <f>IFERROR(__xludf.DUMMYFUNCTION("""COMPUTED_VALUE"""),1404547.0)</f>
        <v>1404547</v>
      </c>
      <c r="L569" s="243">
        <f>IFERROR(__xludf.DUMMYFUNCTION("""COMPUTED_VALUE"""),0.06399419806528368)</f>
        <v>0.06399419807</v>
      </c>
      <c r="M569" s="88"/>
      <c r="N569" s="88"/>
      <c r="O569" s="88"/>
      <c r="P569" s="88"/>
      <c r="Q569" s="88"/>
      <c r="R569" s="88"/>
      <c r="S569" s="88" t="str">
        <f>IFERROR(__xludf.DUMMYFUNCTION("""COMPUTED_VALUE"""),"Актуально")</f>
        <v>Актуально</v>
      </c>
      <c r="T569" s="88" t="str">
        <f>IFERROR(__xludf.DUMMYFUNCTION("""COMPUTED_VALUE"""),"Влад")</f>
        <v>Влад</v>
      </c>
      <c r="U569" s="88"/>
      <c r="V569" s="88"/>
      <c r="W569" s="88"/>
      <c r="X569" s="88"/>
      <c r="Y569" s="88"/>
      <c r="Z569" s="88"/>
      <c r="AA569" s="88"/>
      <c r="AC569" s="62" t="s">
        <v>2659</v>
      </c>
    </row>
    <row r="570">
      <c r="A570" s="88"/>
      <c r="B570" s="88">
        <f>IFERROR(__xludf.DUMMYFUNCTION("""COMPUTED_VALUE"""),184.0)</f>
        <v>184</v>
      </c>
      <c r="C570" s="88" t="str">
        <f>IFERROR(__xludf.DUMMYFUNCTION("""COMPUTED_VALUE"""),"retinait_krem_025_50ml")</f>
        <v>retinait_krem_025_50ml</v>
      </c>
      <c r="D570" s="88">
        <f>IFERROR(__xludf.DUMMYFUNCTION("""COMPUTED_VALUE"""),2.830096367E9)</f>
        <v>2830096367</v>
      </c>
      <c r="E570" s="88" t="str">
        <f>IFERROR(__xludf.DUMMYFUNCTION("""COMPUTED_VALUE"""),"Алтея")</f>
        <v>Алтея</v>
      </c>
      <c r="F570" s="88" t="str">
        <f>IFERROR(__xludf.DUMMYFUNCTION("""COMPUTED_VALUE"""),"Крем для лица с липосомальным ретинолом 0,25% Ретинайт")</f>
        <v>Крем для лица с липосомальным ретинолом 0,25% Ретинайт</v>
      </c>
      <c r="G570" s="88"/>
      <c r="H570" s="88" t="str">
        <f>IFERROR(__xludf.DUMMYFUNCTION("""COMPUTED_VALUE"""),"Красота")</f>
        <v>Красота</v>
      </c>
      <c r="I570" s="88" t="str">
        <f>IFERROR(__xludf.DUMMYFUNCTION("""COMPUTED_VALUE"""),"Ретинол")</f>
        <v>Ретинол</v>
      </c>
      <c r="J570" s="245">
        <f>IFERROR(__xludf.DUMMYFUNCTION("""COMPUTED_VALUE"""),594.0)</f>
        <v>594</v>
      </c>
      <c r="K570" s="240">
        <f>IFERROR(__xludf.DUMMYFUNCTION("""COMPUTED_VALUE"""),953656.0)</f>
        <v>953656</v>
      </c>
      <c r="L570" s="243">
        <f>IFERROR(__xludf.DUMMYFUNCTION("""COMPUTED_VALUE"""),0.15698633755777763)</f>
        <v>0.1569863376</v>
      </c>
      <c r="M570" s="88"/>
      <c r="N570" s="88"/>
      <c r="O570" s="88"/>
      <c r="P570" s="88"/>
      <c r="Q570" s="88"/>
      <c r="R570" s="88"/>
      <c r="S570" s="88" t="str">
        <f>IFERROR(__xludf.DUMMYFUNCTION("""COMPUTED_VALUE"""),"Актуально")</f>
        <v>Актуально</v>
      </c>
      <c r="T570" s="88" t="str">
        <f>IFERROR(__xludf.DUMMYFUNCTION("""COMPUTED_VALUE"""),"Даша")</f>
        <v>Даша</v>
      </c>
      <c r="U570" s="88"/>
      <c r="V570" s="88"/>
      <c r="W570" s="88"/>
      <c r="X570" s="88"/>
      <c r="Y570" s="88"/>
      <c r="Z570" s="88"/>
      <c r="AA570" s="88"/>
      <c r="AC570" s="62" t="s">
        <v>2659</v>
      </c>
    </row>
    <row r="571">
      <c r="A571" s="88"/>
      <c r="B571" s="88">
        <f>IFERROR(__xludf.DUMMYFUNCTION("""COMPUTED_VALUE"""),187.0)</f>
        <v>187</v>
      </c>
      <c r="C571" s="88" t="str">
        <f>IFERROR(__xludf.DUMMYFUNCTION("""COMPUTED_VALUE"""),"retinait_krem_05_50ml")</f>
        <v>retinait_krem_05_50ml</v>
      </c>
      <c r="D571" s="88">
        <f>IFERROR(__xludf.DUMMYFUNCTION("""COMPUTED_VALUE"""),2.937061626E9)</f>
        <v>2937061626</v>
      </c>
      <c r="E571" s="88" t="str">
        <f>IFERROR(__xludf.DUMMYFUNCTION("""COMPUTED_VALUE"""),"Алтея")</f>
        <v>Алтея</v>
      </c>
      <c r="F571" s="88" t="str">
        <f>IFERROR(__xludf.DUMMYFUNCTION("""COMPUTED_VALUE"""),"Крем для лица с липосомальным ретинолом 0,5% Ретинайт")</f>
        <v>Крем для лица с липосомальным ретинолом 0,5% Ретинайт</v>
      </c>
      <c r="G571" s="88"/>
      <c r="H571" s="88" t="str">
        <f>IFERROR(__xludf.DUMMYFUNCTION("""COMPUTED_VALUE"""),"Красота")</f>
        <v>Красота</v>
      </c>
      <c r="I571" s="88" t="str">
        <f>IFERROR(__xludf.DUMMYFUNCTION("""COMPUTED_VALUE"""),"Ретинол")</f>
        <v>Ретинол</v>
      </c>
      <c r="J571" s="245">
        <f>IFERROR(__xludf.DUMMYFUNCTION("""COMPUTED_VALUE"""),561.0)</f>
        <v>561</v>
      </c>
      <c r="K571" s="240">
        <f>IFERROR(__xludf.DUMMYFUNCTION("""COMPUTED_VALUE"""),834064.0)</f>
        <v>834064</v>
      </c>
      <c r="L571" s="243">
        <f>IFERROR(__xludf.DUMMYFUNCTION("""COMPUTED_VALUE"""),0.0)</f>
        <v>0</v>
      </c>
      <c r="M571" s="88"/>
      <c r="N571" s="88"/>
      <c r="O571" s="88"/>
      <c r="P571" s="88"/>
      <c r="Q571" s="88"/>
      <c r="R571" s="88"/>
      <c r="S571" s="88" t="str">
        <f>IFERROR(__xludf.DUMMYFUNCTION("""COMPUTED_VALUE"""),"Актуально")</f>
        <v>Актуально</v>
      </c>
      <c r="T571" s="88" t="str">
        <f>IFERROR(__xludf.DUMMYFUNCTION("""COMPUTED_VALUE"""),"Даша")</f>
        <v>Даша</v>
      </c>
      <c r="U571" s="88"/>
      <c r="V571" s="88"/>
      <c r="W571" s="88"/>
      <c r="X571" s="88"/>
      <c r="Y571" s="88"/>
      <c r="Z571" s="88"/>
      <c r="AA571" s="88"/>
      <c r="AC571" s="62" t="s">
        <v>2659</v>
      </c>
    </row>
    <row r="572">
      <c r="A572" s="88"/>
      <c r="B572" s="88">
        <f>IFERROR(__xludf.DUMMYFUNCTION("""COMPUTED_VALUE"""),169.0)</f>
        <v>169</v>
      </c>
      <c r="C572" s="88" t="str">
        <f>IFERROR(__xludf.DUMMYFUNCTION("""COMPUTED_VALUE"""),"telomeras_60caps")</f>
        <v>telomeras_60caps</v>
      </c>
      <c r="D572" s="88">
        <f>IFERROR(__xludf.DUMMYFUNCTION("""COMPUTED_VALUE"""),2.498032276E9)</f>
        <v>2498032276</v>
      </c>
      <c r="E572" s="88" t="str">
        <f>IFERROR(__xludf.DUMMYFUNCTION("""COMPUTED_VALUE"""),"Алтея")</f>
        <v>Алтея</v>
      </c>
      <c r="F572" s="88" t="str">
        <f>IFERROR(__xludf.DUMMYFUNCTION("""COMPUTED_VALUE"""),"Теломераза NMN ТА-65 Алтея 60 капсул")</f>
        <v>Теломераза NMN ТА-65 Алтея 60 капсул</v>
      </c>
      <c r="G572" s="88"/>
      <c r="H572" s="88" t="str">
        <f>IFERROR(__xludf.DUMMYFUNCTION("""COMPUTED_VALUE"""),"БАДы")</f>
        <v>БАДы</v>
      </c>
      <c r="I572" s="88" t="str">
        <f>IFERROR(__xludf.DUMMYFUNCTION("""COMPUTED_VALUE"""),"Молодость")</f>
        <v>Молодость</v>
      </c>
      <c r="J572" s="245">
        <f>IFERROR(__xludf.DUMMYFUNCTION("""COMPUTED_VALUE"""),276.0)</f>
        <v>276</v>
      </c>
      <c r="K572" s="240">
        <f>IFERROR(__xludf.DUMMYFUNCTION("""COMPUTED_VALUE"""),743737.0)</f>
        <v>743737</v>
      </c>
      <c r="L572" s="243">
        <f>IFERROR(__xludf.DUMMYFUNCTION("""COMPUTED_VALUE"""),0.15005545347347246)</f>
        <v>0.1500554535</v>
      </c>
      <c r="M572" s="88"/>
      <c r="N572" s="88"/>
      <c r="O572" s="88"/>
      <c r="P572" s="88"/>
      <c r="Q572" s="88"/>
      <c r="R572" s="88"/>
      <c r="S572" s="88" t="str">
        <f>IFERROR(__xludf.DUMMYFUNCTION("""COMPUTED_VALUE"""),"Актуально")</f>
        <v>Актуально</v>
      </c>
      <c r="T572" s="88" t="str">
        <f>IFERROR(__xludf.DUMMYFUNCTION("""COMPUTED_VALUE"""),"Даша")</f>
        <v>Даша</v>
      </c>
      <c r="U572" s="88"/>
      <c r="V572" s="88"/>
      <c r="W572" s="88"/>
      <c r="X572" s="88"/>
      <c r="Y572" s="88"/>
      <c r="Z572" s="88"/>
      <c r="AA572" s="88"/>
      <c r="AC572" s="62" t="s">
        <v>2659</v>
      </c>
    </row>
    <row r="573">
      <c r="A573" s="88"/>
      <c r="B573" s="88">
        <f>IFERROR(__xludf.DUMMYFUNCTION("""COMPUTED_VALUE"""),155.0)</f>
        <v>155</v>
      </c>
      <c r="C573" s="88" t="str">
        <f>IFERROR(__xludf.DUMMYFUNCTION("""COMPUTED_VALUE"""),"maska_dlya_lica_100ml")</f>
        <v>maska_dlya_lica_100ml</v>
      </c>
      <c r="D573" s="88">
        <f>IFERROR(__xludf.DUMMYFUNCTION("""COMPUTED_VALUE"""),2.015306117E9)</f>
        <v>2015306117</v>
      </c>
      <c r="E573" s="88" t="str">
        <f>IFERROR(__xludf.DUMMYFUNCTION("""COMPUTED_VALUE"""),"Алтея")</f>
        <v>Алтея</v>
      </c>
      <c r="F573" s="88" t="str">
        <f>IFERROR(__xludf.DUMMYFUNCTION("""COMPUTED_VALUE"""),"Маска для лица очищающая и увлажняющая , для сужения пор Алтея 100 мл")</f>
        <v>Маска для лица очищающая и увлажняющая , для сужения пор Алтея 100 мл</v>
      </c>
      <c r="G573" s="88"/>
      <c r="H573" s="88" t="str">
        <f>IFERROR(__xludf.DUMMYFUNCTION("""COMPUTED_VALUE"""),"Красота")</f>
        <v>Красота</v>
      </c>
      <c r="I573" s="88" t="str">
        <f>IFERROR(__xludf.DUMMYFUNCTION("""COMPUTED_VALUE"""),"Лицо")</f>
        <v>Лицо</v>
      </c>
      <c r="J573" s="245">
        <f>IFERROR(__xludf.DUMMYFUNCTION("""COMPUTED_VALUE"""),874.0)</f>
        <v>874</v>
      </c>
      <c r="K573" s="240">
        <f>IFERROR(__xludf.DUMMYFUNCTION("""COMPUTED_VALUE"""),736747.0)</f>
        <v>736747</v>
      </c>
      <c r="L573" s="243">
        <f>IFERROR(__xludf.DUMMYFUNCTION("""COMPUTED_VALUE"""),0.2791135138928289)</f>
        <v>0.2791135139</v>
      </c>
      <c r="M573" s="88"/>
      <c r="N573" s="88"/>
      <c r="O573" s="88"/>
      <c r="P573" s="88"/>
      <c r="Q573" s="88"/>
      <c r="R573" s="88"/>
      <c r="S573" s="88" t="str">
        <f>IFERROR(__xludf.DUMMYFUNCTION("""COMPUTED_VALUE"""),"Актуально")</f>
        <v>Актуально</v>
      </c>
      <c r="T573" s="88" t="str">
        <f>IFERROR(__xludf.DUMMYFUNCTION("""COMPUTED_VALUE"""),"Даша")</f>
        <v>Даша</v>
      </c>
      <c r="U573" s="88"/>
      <c r="V573" s="88"/>
      <c r="W573" s="88"/>
      <c r="X573" s="88"/>
      <c r="Y573" s="88"/>
      <c r="Z573" s="88"/>
      <c r="AA573" s="88"/>
      <c r="AC573" s="62" t="s">
        <v>2659</v>
      </c>
    </row>
    <row r="574">
      <c r="A574" s="88"/>
      <c r="B574" s="88">
        <f>IFERROR(__xludf.DUMMYFUNCTION("""COMPUTED_VALUE"""),174.0)</f>
        <v>174</v>
      </c>
      <c r="C574" s="88" t="str">
        <f>IFERROR(__xludf.DUMMYFUNCTION("""COMPUTED_VALUE"""),"retinait_syvorotka_1_30ml")</f>
        <v>retinait_syvorotka_1_30ml</v>
      </c>
      <c r="D574" s="88">
        <f>IFERROR(__xludf.DUMMYFUNCTION("""COMPUTED_VALUE"""),2.583177512E9)</f>
        <v>2583177512</v>
      </c>
      <c r="E574" s="88" t="str">
        <f>IFERROR(__xludf.DUMMYFUNCTION("""COMPUTED_VALUE"""),"Алтея")</f>
        <v>Алтея</v>
      </c>
      <c r="F574" s="88" t="str">
        <f>IFERROR(__xludf.DUMMYFUNCTION("""COMPUTED_VALUE"""),"Сыворотка с ретинолом 1% для лица от морщин антивозрастная Алтея 30 мл")</f>
        <v>Сыворотка с ретинолом 1% для лица от морщин антивозрастная Алтея 30 мл</v>
      </c>
      <c r="G574" s="88"/>
      <c r="H574" s="88" t="str">
        <f>IFERROR(__xludf.DUMMYFUNCTION("""COMPUTED_VALUE"""),"Красота")</f>
        <v>Красота</v>
      </c>
      <c r="I574" s="88" t="str">
        <f>IFERROR(__xludf.DUMMYFUNCTION("""COMPUTED_VALUE"""),"Ретинол")</f>
        <v>Ретинол</v>
      </c>
      <c r="J574" s="245">
        <f>IFERROR(__xludf.DUMMYFUNCTION("""COMPUTED_VALUE"""),499.0)</f>
        <v>499</v>
      </c>
      <c r="K574" s="240">
        <f>IFERROR(__xludf.DUMMYFUNCTION("""COMPUTED_VALUE"""),732915.0)</f>
        <v>732915</v>
      </c>
      <c r="L574" s="243">
        <f>IFERROR(__xludf.DUMMYFUNCTION("""COMPUTED_VALUE"""),0.4640723184816793)</f>
        <v>0.4640723185</v>
      </c>
      <c r="M574" s="88"/>
      <c r="N574" s="88"/>
      <c r="O574" s="88"/>
      <c r="P574" s="88"/>
      <c r="Q574" s="88"/>
      <c r="R574" s="88"/>
      <c r="S574" s="88" t="str">
        <f>IFERROR(__xludf.DUMMYFUNCTION("""COMPUTED_VALUE"""),"Актуально")</f>
        <v>Актуально</v>
      </c>
      <c r="T574" s="88" t="str">
        <f>IFERROR(__xludf.DUMMYFUNCTION("""COMPUTED_VALUE"""),"Даша")</f>
        <v>Даша</v>
      </c>
      <c r="U574" s="88"/>
      <c r="V574" s="88"/>
      <c r="W574" s="88"/>
      <c r="X574" s="88"/>
      <c r="Y574" s="88"/>
      <c r="Z574" s="88"/>
      <c r="AA574" s="88"/>
      <c r="AC574" s="62" t="s">
        <v>2659</v>
      </c>
    </row>
    <row r="575">
      <c r="A575" s="88"/>
      <c r="B575" s="88">
        <f>IFERROR(__xludf.DUMMYFUNCTION("""COMPUTED_VALUE"""),165.0)</f>
        <v>165</v>
      </c>
      <c r="C575" s="88" t="str">
        <f>IFERROR(__xludf.DUMMYFUNCTION("""COMPUTED_VALUE"""),"krem_buster_250ml")</f>
        <v>krem_buster_250ml</v>
      </c>
      <c r="D575" s="88">
        <f>IFERROR(__xludf.DUMMYFUNCTION("""COMPUTED_VALUE"""),2.138376665E9)</f>
        <v>2138376665</v>
      </c>
      <c r="E575" s="88" t="str">
        <f>IFERROR(__xludf.DUMMYFUNCTION("""COMPUTED_VALUE"""),"Алтея")</f>
        <v>Алтея</v>
      </c>
      <c r="F575" s="88" t="str">
        <f>IFERROR(__xludf.DUMMYFUNCTION("""COMPUTED_VALUE"""),"Антицеллюитный крем гель для тела от целлюлита Алтея 250 мл")</f>
        <v>Антицеллюитный крем гель для тела от целлюлита Алтея 250 мл</v>
      </c>
      <c r="G575" s="88"/>
      <c r="H575" s="88" t="str">
        <f>IFERROR(__xludf.DUMMYFUNCTION("""COMPUTED_VALUE"""),"Красота")</f>
        <v>Красота</v>
      </c>
      <c r="I575" s="88" t="str">
        <f>IFERROR(__xludf.DUMMYFUNCTION("""COMPUTED_VALUE"""),"Тело")</f>
        <v>Тело</v>
      </c>
      <c r="J575" s="245">
        <f>IFERROR(__xludf.DUMMYFUNCTION("""COMPUTED_VALUE"""),618.0)</f>
        <v>618</v>
      </c>
      <c r="K575" s="240">
        <f>IFERROR(__xludf.DUMMYFUNCTION("""COMPUTED_VALUE"""),689572.0)</f>
        <v>689572</v>
      </c>
      <c r="L575" s="243">
        <f>IFERROR(__xludf.DUMMYFUNCTION("""COMPUTED_VALUE"""),0.17884635923442366)</f>
        <v>0.1788463592</v>
      </c>
      <c r="M575" s="88"/>
      <c r="N575" s="88"/>
      <c r="O575" s="88"/>
      <c r="P575" s="88"/>
      <c r="Q575" s="88"/>
      <c r="R575" s="88"/>
      <c r="S575" s="88" t="str">
        <f>IFERROR(__xludf.DUMMYFUNCTION("""COMPUTED_VALUE"""),"Актуально")</f>
        <v>Актуально</v>
      </c>
      <c r="T575" s="88" t="str">
        <f>IFERROR(__xludf.DUMMYFUNCTION("""COMPUTED_VALUE"""),"Даша")</f>
        <v>Даша</v>
      </c>
      <c r="U575" s="88"/>
      <c r="V575" s="88"/>
      <c r="W575" s="88"/>
      <c r="X575" s="88"/>
      <c r="Y575" s="88"/>
      <c r="Z575" s="88"/>
      <c r="AA575" s="88"/>
      <c r="AC575" s="62" t="s">
        <v>2659</v>
      </c>
    </row>
    <row r="576">
      <c r="A576" s="88"/>
      <c r="B576" s="88">
        <f>IFERROR(__xludf.DUMMYFUNCTION("""COMPUTED_VALUE"""),175.0)</f>
        <v>175</v>
      </c>
      <c r="C576" s="88" t="str">
        <f>IFERROR(__xludf.DUMMYFUNCTION("""COMPUTED_VALUE"""),"gel_antiakne_20ml_v2")</f>
        <v>gel_antiakne_20ml_v2</v>
      </c>
      <c r="D576" s="88">
        <f>IFERROR(__xludf.DUMMYFUNCTION("""COMPUTED_VALUE"""),2.616859755E9)</f>
        <v>2616859755</v>
      </c>
      <c r="E576" s="88" t="str">
        <f>IFERROR(__xludf.DUMMYFUNCTION("""COMPUTED_VALUE"""),"Алтея")</f>
        <v>Алтея</v>
      </c>
      <c r="F576" s="88" t="str">
        <f>IFERROR(__xludf.DUMMYFUNCTION("""COMPUTED_VALUE"""),"Крем от прыщей точечный/против прыщей, от акне комедонов угрей черных точек, средство для подростков, для проблемной кожи, гель от прыщей на лице cалициловая, азелаиновая кислота. Алтея 20 мл")</f>
        <v>Крем от прыщей точечный/против прыщей, от акне комедонов угрей черных точек, средство для подростков, для проблемной кожи, гель от прыщей на лице cалициловая, азелаиновая кислота. Алтея 20 мл</v>
      </c>
      <c r="G576" s="88"/>
      <c r="H576" s="88" t="str">
        <f>IFERROR(__xludf.DUMMYFUNCTION("""COMPUTED_VALUE"""),"Красота")</f>
        <v>Красота</v>
      </c>
      <c r="I576" s="88" t="str">
        <f>IFERROR(__xludf.DUMMYFUNCTION("""COMPUTED_VALUE"""),"Лицо")</f>
        <v>Лицо</v>
      </c>
      <c r="J576" s="245">
        <f>IFERROR(__xludf.DUMMYFUNCTION("""COMPUTED_VALUE"""),953.0)</f>
        <v>953</v>
      </c>
      <c r="K576" s="240">
        <f>IFERROR(__xludf.DUMMYFUNCTION("""COMPUTED_VALUE"""),689173.0)</f>
        <v>689173</v>
      </c>
      <c r="L576" s="243">
        <f>IFERROR(__xludf.DUMMYFUNCTION("""COMPUTED_VALUE"""),0.466163899775528)</f>
        <v>0.4661638998</v>
      </c>
      <c r="M576" s="88"/>
      <c r="N576" s="88"/>
      <c r="O576" s="88"/>
      <c r="P576" s="88"/>
      <c r="Q576" s="88"/>
      <c r="R576" s="88"/>
      <c r="S576" s="88" t="str">
        <f>IFERROR(__xludf.DUMMYFUNCTION("""COMPUTED_VALUE"""),"Актуально")</f>
        <v>Актуально</v>
      </c>
      <c r="T576" s="88" t="str">
        <f>IFERROR(__xludf.DUMMYFUNCTION("""COMPUTED_VALUE"""),"Даша")</f>
        <v>Даша</v>
      </c>
      <c r="U576" s="88"/>
      <c r="V576" s="88"/>
      <c r="W576" s="88"/>
      <c r="X576" s="88"/>
      <c r="Y576" s="88"/>
      <c r="Z576" s="88"/>
      <c r="AA576" s="88"/>
      <c r="AC576" s="62" t="s">
        <v>2659</v>
      </c>
    </row>
    <row r="577">
      <c r="A577" s="88"/>
      <c r="B577" s="88">
        <f>IFERROR(__xludf.DUMMYFUNCTION("""COMPUTED_VALUE"""),80.0)</f>
        <v>80</v>
      </c>
      <c r="C577" s="88" t="str">
        <f>IFERROR(__xludf.DUMMYFUNCTION("""COMPUTED_VALUE"""),"sustalit_75ml")</f>
        <v>sustalit_75ml</v>
      </c>
      <c r="D577" s="88">
        <f>IFERROR(__xludf.DUMMYFUNCTION("""COMPUTED_VALUE"""),1.354226463E9)</f>
        <v>1354226463</v>
      </c>
      <c r="E577" s="88" t="str">
        <f>IFERROR(__xludf.DUMMYFUNCTION("""COMPUTED_VALUE"""),"CPA")</f>
        <v>CPA</v>
      </c>
      <c r="F577" s="88" t="str">
        <f>IFERROR(__xludf.DUMMYFUNCTION("""COMPUTED_VALUE"""),"Мазь для суставов обезболивающая, крем Алтея, Сусталит, 75 мл")</f>
        <v>Мазь для суставов обезболивающая, крем Алтея, Сусталит, 75 мл</v>
      </c>
      <c r="G577" s="88"/>
      <c r="H577" s="88" t="str">
        <f>IFERROR(__xludf.DUMMYFUNCTION("""COMPUTED_VALUE"""),"Парафармацевтика")</f>
        <v>Парафармацевтика</v>
      </c>
      <c r="I577" s="88" t="str">
        <f>IFERROR(__xludf.DUMMYFUNCTION("""COMPUTED_VALUE"""),"Суставы")</f>
        <v>Суставы</v>
      </c>
      <c r="J577" s="245">
        <f>IFERROR(__xludf.DUMMYFUNCTION("""COMPUTED_VALUE"""),1690.0)</f>
        <v>1690</v>
      </c>
      <c r="K577" s="240">
        <f>IFERROR(__xludf.DUMMYFUNCTION("""COMPUTED_VALUE"""),1239853.0)</f>
        <v>1239853</v>
      </c>
      <c r="L577" s="243">
        <f>IFERROR(__xludf.DUMMYFUNCTION("""COMPUTED_VALUE"""),0.14471530583867603)</f>
        <v>0.1447153058</v>
      </c>
      <c r="M577" s="88"/>
      <c r="N577" s="88"/>
      <c r="O577" s="88"/>
      <c r="P577" s="88"/>
      <c r="Q577" s="88"/>
      <c r="R577" s="88"/>
      <c r="S577" s="88" t="str">
        <f>IFERROR(__xludf.DUMMYFUNCTION("""COMPUTED_VALUE"""),"Актуально")</f>
        <v>Актуально</v>
      </c>
      <c r="T577" s="88" t="str">
        <f>IFERROR(__xludf.DUMMYFUNCTION("""COMPUTED_VALUE"""),"Влад")</f>
        <v>Влад</v>
      </c>
      <c r="U577" s="88"/>
      <c r="V577" s="88"/>
      <c r="W577" s="88"/>
      <c r="X577" s="88"/>
      <c r="Y577" s="88"/>
      <c r="Z577" s="88"/>
      <c r="AA577" s="88"/>
      <c r="AC577" s="62" t="s">
        <v>2659</v>
      </c>
    </row>
    <row r="578">
      <c r="A578" s="88"/>
      <c r="B578" s="88">
        <f>IFERROR(__xludf.DUMMYFUNCTION("""COMPUTED_VALUE"""),56.0)</f>
        <v>56</v>
      </c>
      <c r="C578" s="88" t="str">
        <f>IFERROR(__xludf.DUMMYFUNCTION("""COMPUTED_VALUE"""),"kardicin_1_1_1")</f>
        <v>kardicin_1_1_1</v>
      </c>
      <c r="D578" s="88">
        <f>IFERROR(__xludf.DUMMYFUNCTION("""COMPUTED_VALUE"""),1.12930106E9)</f>
        <v>1129301060</v>
      </c>
      <c r="E578" s="88" t="str">
        <f>IFERROR(__xludf.DUMMYFUNCTION("""COMPUTED_VALUE"""),"CPA")</f>
        <v>CPA</v>
      </c>
      <c r="F578" s="88" t="str">
        <f>IFERROR(__xludf.DUMMYFUNCTION("""COMPUTED_VALUE"""),"Средство от давления, витамины для сердца, чистка сосудов, Алтея, Кардицин, 3 шт")</f>
        <v>Средство от давления, витамины для сердца, чистка сосудов, Алтея, Кардицин, 3 шт</v>
      </c>
      <c r="G578" s="88"/>
      <c r="H578" s="88" t="str">
        <f>IFERROR(__xludf.DUMMYFUNCTION("""COMPUTED_VALUE"""),"Парафармацевтика")</f>
        <v>Парафармацевтика</v>
      </c>
      <c r="I578" s="88" t="str">
        <f>IFERROR(__xludf.DUMMYFUNCTION("""COMPUTED_VALUE"""),"Здоровье сердца")</f>
        <v>Здоровье сердца</v>
      </c>
      <c r="J578" s="245">
        <f>IFERROR(__xludf.DUMMYFUNCTION("""COMPUTED_VALUE"""),769.0)</f>
        <v>769</v>
      </c>
      <c r="K578" s="240">
        <f>IFERROR(__xludf.DUMMYFUNCTION("""COMPUTED_VALUE"""),1221458.0)</f>
        <v>1221458</v>
      </c>
      <c r="L578" s="243">
        <f>IFERROR(__xludf.DUMMYFUNCTION("""COMPUTED_VALUE"""),0.08720677731039463)</f>
        <v>0.08720677731</v>
      </c>
      <c r="M578" s="88"/>
      <c r="N578" s="88"/>
      <c r="O578" s="88"/>
      <c r="P578" s="88"/>
      <c r="Q578" s="88"/>
      <c r="R578" s="88"/>
      <c r="S578" s="88" t="str">
        <f>IFERROR(__xludf.DUMMYFUNCTION("""COMPUTED_VALUE"""),"Актуально")</f>
        <v>Актуально</v>
      </c>
      <c r="T578" s="88" t="str">
        <f>IFERROR(__xludf.DUMMYFUNCTION("""COMPUTED_VALUE"""),"Влад")</f>
        <v>Влад</v>
      </c>
      <c r="U578" s="88"/>
      <c r="V578" s="88"/>
      <c r="W578" s="88"/>
      <c r="X578" s="88"/>
      <c r="Y578" s="88"/>
      <c r="Z578" s="88"/>
      <c r="AA578" s="88"/>
      <c r="AC578" s="62" t="s">
        <v>2659</v>
      </c>
    </row>
    <row r="579">
      <c r="A579" s="88"/>
      <c r="B579" s="88">
        <f>IFERROR(__xludf.DUMMYFUNCTION("""COMPUTED_VALUE"""),102.0)</f>
        <v>102</v>
      </c>
      <c r="C579" s="88" t="str">
        <f>IFERROR(__xludf.DUMMYFUNCTION("""COMPUTED_VALUE"""),"kavmaz_60ml")</f>
        <v>kavmaz_60ml</v>
      </c>
      <c r="D579" s="88">
        <f>IFERROR(__xludf.DUMMYFUNCTION("""COMPUTED_VALUE"""),1.548037857E9)</f>
        <v>1548037857</v>
      </c>
      <c r="E579" s="88" t="str">
        <f>IFERROR(__xludf.DUMMYFUNCTION("""COMPUTED_VALUE"""),"CPA")</f>
        <v>CPA</v>
      </c>
      <c r="F579" s="88" t="str">
        <f>IFERROR(__xludf.DUMMYFUNCTION("""COMPUTED_VALUE"""),"Кавказская мазь Натуральное лечебное средство для суставов и связок обезболивающее, Алтея, 60мл")</f>
        <v>Кавказская мазь Натуральное лечебное средство для суставов и связок обезболивающее, Алтея, 60мл</v>
      </c>
      <c r="G579" s="88"/>
      <c r="H579" s="88" t="str">
        <f>IFERROR(__xludf.DUMMYFUNCTION("""COMPUTED_VALUE"""),"Парафармацевтика")</f>
        <v>Парафармацевтика</v>
      </c>
      <c r="I579" s="88" t="str">
        <f>IFERROR(__xludf.DUMMYFUNCTION("""COMPUTED_VALUE"""),"Суставы")</f>
        <v>Суставы</v>
      </c>
      <c r="J579" s="245">
        <f>IFERROR(__xludf.DUMMYFUNCTION("""COMPUTED_VALUE"""),1041.0)</f>
        <v>1041</v>
      </c>
      <c r="K579" s="240">
        <f>IFERROR(__xludf.DUMMYFUNCTION("""COMPUTED_VALUE"""),1173675.0)</f>
        <v>1173675</v>
      </c>
      <c r="L579" s="243">
        <f>IFERROR(__xludf.DUMMYFUNCTION("""COMPUTED_VALUE"""),0.1194403894604554)</f>
        <v>0.1194403895</v>
      </c>
      <c r="M579" s="88"/>
      <c r="N579" s="88"/>
      <c r="O579" s="88"/>
      <c r="P579" s="88"/>
      <c r="Q579" s="88"/>
      <c r="R579" s="88"/>
      <c r="S579" s="88" t="str">
        <f>IFERROR(__xludf.DUMMYFUNCTION("""COMPUTED_VALUE"""),"Актуально")</f>
        <v>Актуально</v>
      </c>
      <c r="T579" s="88" t="str">
        <f>IFERROR(__xludf.DUMMYFUNCTION("""COMPUTED_VALUE"""),"Влад")</f>
        <v>Влад</v>
      </c>
      <c r="U579" s="88"/>
      <c r="V579" s="88"/>
      <c r="W579" s="88"/>
      <c r="X579" s="88"/>
      <c r="Y579" s="88"/>
      <c r="Z579" s="88"/>
      <c r="AA579" s="88"/>
      <c r="AC579" s="62" t="s">
        <v>2659</v>
      </c>
    </row>
    <row r="580">
      <c r="A580" s="88"/>
      <c r="B580" s="88">
        <f>IFERROR(__xludf.DUMMYFUNCTION("""COMPUTED_VALUE"""),62.0)</f>
        <v>62</v>
      </c>
      <c r="C580" s="88" t="str">
        <f>IFERROR(__xludf.DUMMYFUNCTION("""COMPUTED_VALUE"""),"cardicin_BAD_60caps")</f>
        <v>cardicin_BAD_60caps</v>
      </c>
      <c r="D580" s="88">
        <f>IFERROR(__xludf.DUMMYFUNCTION("""COMPUTED_VALUE"""),1.171930661E9)</f>
        <v>1171930661</v>
      </c>
      <c r="E580" s="88" t="str">
        <f>IFERROR(__xludf.DUMMYFUNCTION("""COMPUTED_VALUE"""),"Алтея")</f>
        <v>Алтея</v>
      </c>
      <c r="F580" s="88" t="str">
        <f>IFERROR(__xludf.DUMMYFUNCTION("""COMPUTED_VALUE"""),"Таблетки от давления при гипертонии для сердца, чистка сосудов, Алтея, Кардицин, 60 капсул")</f>
        <v>Таблетки от давления при гипертонии для сердца, чистка сосудов, Алтея, Кардицин, 60 капсул</v>
      </c>
      <c r="G580" s="88"/>
      <c r="H580" s="88" t="str">
        <f>IFERROR(__xludf.DUMMYFUNCTION("""COMPUTED_VALUE"""),"БАДы")</f>
        <v>БАДы</v>
      </c>
      <c r="I580" s="88" t="str">
        <f>IFERROR(__xludf.DUMMYFUNCTION("""COMPUTED_VALUE"""),"Сердце")</f>
        <v>Сердце</v>
      </c>
      <c r="J580" s="245">
        <f>IFERROR(__xludf.DUMMYFUNCTION("""COMPUTED_VALUE"""),897.0)</f>
        <v>897</v>
      </c>
      <c r="K580" s="240">
        <f>IFERROR(__xludf.DUMMYFUNCTION("""COMPUTED_VALUE"""),1023603.0)</f>
        <v>1023603</v>
      </c>
      <c r="L580" s="243">
        <f>IFERROR(__xludf.DUMMYFUNCTION("""COMPUTED_VALUE"""),0.0295771499692752)</f>
        <v>0.02957714997</v>
      </c>
      <c r="M580" s="88"/>
      <c r="N580" s="88"/>
      <c r="O580" s="88"/>
      <c r="P580" s="88"/>
      <c r="Q580" s="88"/>
      <c r="R580" s="88"/>
      <c r="S580" s="88" t="str">
        <f>IFERROR(__xludf.DUMMYFUNCTION("""COMPUTED_VALUE"""),"Актуально")</f>
        <v>Актуально</v>
      </c>
      <c r="T580" s="88" t="str">
        <f>IFERROR(__xludf.DUMMYFUNCTION("""COMPUTED_VALUE"""),"Влад")</f>
        <v>Влад</v>
      </c>
      <c r="U580" s="88"/>
      <c r="V580" s="88"/>
      <c r="W580" s="88"/>
      <c r="X580" s="88"/>
      <c r="Y580" s="88"/>
      <c r="Z580" s="88"/>
      <c r="AA580" s="88"/>
      <c r="AC580" s="62" t="s">
        <v>2659</v>
      </c>
    </row>
    <row r="581">
      <c r="A581" s="88"/>
      <c r="B581" s="88">
        <f>IFERROR(__xludf.DUMMYFUNCTION("""COMPUTED_VALUE"""),115.0)</f>
        <v>115</v>
      </c>
      <c r="C581" s="88" t="str">
        <f>IFERROR(__xludf.DUMMYFUNCTION("""COMPUTED_VALUE"""),"maslo_dlya_borodi_50ml")</f>
        <v>maslo_dlya_borodi_50ml</v>
      </c>
      <c r="D581" s="88">
        <f>IFERROR(__xludf.DUMMYFUNCTION("""COMPUTED_VALUE"""),1.613737006E9)</f>
        <v>1613737006</v>
      </c>
      <c r="E581" s="88" t="str">
        <f>IFERROR(__xludf.DUMMYFUNCTION("""COMPUTED_VALUE"""),"Алтея")</f>
        <v>Алтея</v>
      </c>
      <c r="F581" s="88" t="str">
        <f>IFERROR(__xludf.DUMMYFUNCTION("""COMPUTED_VALUE"""),"Масло для роста бороды, средство для роста, уход за бородой, смягчающее, Алтея, 50 мл")</f>
        <v>Масло для роста бороды, средство для роста, уход за бородой, смягчающее, Алтея, 50 мл</v>
      </c>
      <c r="G581" s="88"/>
      <c r="H581" s="88" t="str">
        <f>IFERROR(__xludf.DUMMYFUNCTION("""COMPUTED_VALUE"""),"Красота")</f>
        <v>Красота</v>
      </c>
      <c r="I581" s="88" t="str">
        <f>IFERROR(__xludf.DUMMYFUNCTION("""COMPUTED_VALUE"""),"Мужское")</f>
        <v>Мужское</v>
      </c>
      <c r="J581" s="245">
        <f>IFERROR(__xludf.DUMMYFUNCTION("""COMPUTED_VALUE"""),1037.0)</f>
        <v>1037</v>
      </c>
      <c r="K581" s="240">
        <f>IFERROR(__xludf.DUMMYFUNCTION("""COMPUTED_VALUE"""),792999.0)</f>
        <v>792999</v>
      </c>
      <c r="L581" s="243">
        <f>IFERROR(__xludf.DUMMYFUNCTION("""COMPUTED_VALUE"""),0.2135504066209415)</f>
        <v>0.2135504066</v>
      </c>
      <c r="M581" s="88"/>
      <c r="N581" s="88"/>
      <c r="O581" s="88"/>
      <c r="P581" s="88"/>
      <c r="Q581" s="88"/>
      <c r="R581" s="88"/>
      <c r="S581" s="88" t="str">
        <f>IFERROR(__xludf.DUMMYFUNCTION("""COMPUTED_VALUE"""),"Актуально")</f>
        <v>Актуально</v>
      </c>
      <c r="T581" s="88" t="str">
        <f>IFERROR(__xludf.DUMMYFUNCTION("""COMPUTED_VALUE"""),"Влад")</f>
        <v>Влад</v>
      </c>
      <c r="U581" s="88"/>
      <c r="V581" s="88"/>
      <c r="W581" s="88"/>
      <c r="X581" s="88"/>
      <c r="Y581" s="88"/>
      <c r="Z581" s="88"/>
      <c r="AA581" s="88"/>
      <c r="AC581" s="62" t="s">
        <v>2659</v>
      </c>
    </row>
    <row r="582">
      <c r="A582" s="88"/>
      <c r="B582" s="88">
        <f>IFERROR(__xludf.DUMMYFUNCTION("""COMPUTED_VALUE"""),149.0)</f>
        <v>149</v>
      </c>
      <c r="C582" s="88" t="str">
        <f>IFERROR(__xludf.DUMMYFUNCTION("""COMPUTED_VALUE"""),"kinzhal_1_1")</f>
        <v>kinzhal_1_1</v>
      </c>
      <c r="D582" s="88">
        <f>IFERROR(__xludf.DUMMYFUNCTION("""COMPUTED_VALUE"""),1.851900175E9)</f>
        <v>1851900175</v>
      </c>
      <c r="E582" s="88" t="str">
        <f>IFERROR(__xludf.DUMMYFUNCTION("""COMPUTED_VALUE"""),"CPA")</f>
        <v>CPA</v>
      </c>
      <c r="F582" s="88" t="str">
        <f>IFERROR(__xludf.DUMMYFUNCTION("""COMPUTED_VALUE"""),"Возбудитель для мужчин, средство для потенции и эрекции, витамины для мужчины, Кинжал, 20 капсул х 2")</f>
        <v>Возбудитель для мужчин, средство для потенции и эрекции, витамины для мужчины, Кинжал, 20 капсул х 2</v>
      </c>
      <c r="G582" s="88"/>
      <c r="H582" s="88" t="str">
        <f>IFERROR(__xludf.DUMMYFUNCTION("""COMPUTED_VALUE"""),"Парафармацевтика")</f>
        <v>Парафармацевтика</v>
      </c>
      <c r="I582" s="88" t="str">
        <f>IFERROR(__xludf.DUMMYFUNCTION("""COMPUTED_VALUE"""),"Возбудитель")</f>
        <v>Возбудитель</v>
      </c>
      <c r="J582" s="245">
        <f>IFERROR(__xludf.DUMMYFUNCTION("""COMPUTED_VALUE"""),656.0)</f>
        <v>656</v>
      </c>
      <c r="K582" s="240">
        <f>IFERROR(__xludf.DUMMYFUNCTION("""COMPUTED_VALUE"""),782704.0)</f>
        <v>782704</v>
      </c>
      <c r="L582" s="243">
        <f>IFERROR(__xludf.DUMMYFUNCTION("""COMPUTED_VALUE"""),0.0)</f>
        <v>0</v>
      </c>
      <c r="M582" s="88"/>
      <c r="N582" s="88"/>
      <c r="O582" s="88"/>
      <c r="P582" s="88"/>
      <c r="Q582" s="88"/>
      <c r="R582" s="88"/>
      <c r="S582" s="88" t="str">
        <f>IFERROR(__xludf.DUMMYFUNCTION("""COMPUTED_VALUE"""),"Актуально")</f>
        <v>Актуально</v>
      </c>
      <c r="T582" s="88" t="str">
        <f>IFERROR(__xludf.DUMMYFUNCTION("""COMPUTED_VALUE"""),"Влад")</f>
        <v>Влад</v>
      </c>
      <c r="U582" s="88"/>
      <c r="V582" s="88"/>
      <c r="W582" s="88"/>
      <c r="X582" s="88"/>
      <c r="Y582" s="88"/>
      <c r="Z582" s="88"/>
      <c r="AA582" s="88"/>
      <c r="AC582" s="62" t="s">
        <v>2659</v>
      </c>
    </row>
    <row r="583">
      <c r="A583" s="88"/>
      <c r="B583" s="88">
        <f>IFERROR(__xludf.DUMMYFUNCTION("""COMPUTED_VALUE"""),54.0)</f>
        <v>54</v>
      </c>
      <c r="C583" s="88" t="str">
        <f>IFERROR(__xludf.DUMMYFUNCTION("""COMPUTED_VALUE"""),"micardin_1_1_1")</f>
        <v>micardin_1_1_1</v>
      </c>
      <c r="D583" s="88">
        <f>IFERROR(__xludf.DUMMYFUNCTION("""COMPUTED_VALUE"""),1.129297876E9)</f>
        <v>1129297876</v>
      </c>
      <c r="E583" s="88" t="str">
        <f>IFERROR(__xludf.DUMMYFUNCTION("""COMPUTED_VALUE"""),"CPA")</f>
        <v>CPA</v>
      </c>
      <c r="F583" s="88" t="str">
        <f>IFERROR(__xludf.DUMMYFUNCTION("""COMPUTED_VALUE"""),"Средство от давления, витамины для сердца, чистка сосудов, Алтея, Микардин, 3 шт")</f>
        <v>Средство от давления, витамины для сердца, чистка сосудов, Алтея, Микардин, 3 шт</v>
      </c>
      <c r="G583" s="88"/>
      <c r="H583" s="88" t="str">
        <f>IFERROR(__xludf.DUMMYFUNCTION("""COMPUTED_VALUE"""),"Парафармацевтика")</f>
        <v>Парафармацевтика</v>
      </c>
      <c r="I583" s="88" t="str">
        <f>IFERROR(__xludf.DUMMYFUNCTION("""COMPUTED_VALUE"""),"Здоровье сердца")</f>
        <v>Здоровье сердца</v>
      </c>
      <c r="J583" s="245">
        <f>IFERROR(__xludf.DUMMYFUNCTION("""COMPUTED_VALUE"""),497.0)</f>
        <v>497</v>
      </c>
      <c r="K583" s="240">
        <f>IFERROR(__xludf.DUMMYFUNCTION("""COMPUTED_VALUE"""),762162.0)</f>
        <v>762162</v>
      </c>
      <c r="L583" s="243">
        <f>IFERROR(__xludf.DUMMYFUNCTION("""COMPUTED_VALUE"""),0.048971548397847176)</f>
        <v>0.0489715484</v>
      </c>
      <c r="M583" s="88"/>
      <c r="N583" s="88"/>
      <c r="O583" s="88"/>
      <c r="P583" s="88"/>
      <c r="Q583" s="88"/>
      <c r="R583" s="88"/>
      <c r="S583" s="88" t="str">
        <f>IFERROR(__xludf.DUMMYFUNCTION("""COMPUTED_VALUE"""),"Актуально")</f>
        <v>Актуально</v>
      </c>
      <c r="T583" s="88" t="str">
        <f>IFERROR(__xludf.DUMMYFUNCTION("""COMPUTED_VALUE"""),"Влад")</f>
        <v>Влад</v>
      </c>
      <c r="U583" s="88"/>
      <c r="V583" s="88"/>
      <c r="W583" s="88"/>
      <c r="X583" s="88"/>
      <c r="Y583" s="88"/>
      <c r="Z583" s="88"/>
      <c r="AA583" s="88"/>
      <c r="AC583" s="62" t="s">
        <v>2659</v>
      </c>
    </row>
    <row r="584">
      <c r="A584" s="88"/>
      <c r="B584" s="88">
        <f>IFERROR(__xludf.DUMMYFUNCTION("""COMPUTED_VALUE"""),167.0)</f>
        <v>167</v>
      </c>
      <c r="C584" s="88" t="str">
        <f>IFERROR(__xludf.DUMMYFUNCTION("""COMPUTED_VALUE"""),"syvorotka_dlya_rosta_6ml_v2")</f>
        <v>syvorotka_dlya_rosta_6ml_v2</v>
      </c>
      <c r="D584" s="88">
        <f>IFERROR(__xludf.DUMMYFUNCTION("""COMPUTED_VALUE"""),2.3969724E9)</f>
        <v>2396972400</v>
      </c>
      <c r="E584" s="88" t="str">
        <f>IFERROR(__xludf.DUMMYFUNCTION("""COMPUTED_VALUE"""),"Алтея")</f>
        <v>Алтея</v>
      </c>
      <c r="F584" s="88" t="str">
        <f>IFERROR(__xludf.DUMMYFUNCTION("""COMPUTED_VALUE"""),"Сыворотка для роста ресниц и бровей, гель для роста, Алтея, 6 мл")</f>
        <v>Сыворотка для роста ресниц и бровей, гель для роста, Алтея, 6 мл</v>
      </c>
      <c r="G584" s="88"/>
      <c r="H584" s="88" t="str">
        <f>IFERROR(__xludf.DUMMYFUNCTION("""COMPUTED_VALUE"""),"Красота")</f>
        <v>Красота</v>
      </c>
      <c r="I584" s="88" t="str">
        <f>IFERROR(__xludf.DUMMYFUNCTION("""COMPUTED_VALUE"""),"Брови и ресницы")</f>
        <v>Брови и ресницы</v>
      </c>
      <c r="J584" s="245">
        <f>IFERROR(__xludf.DUMMYFUNCTION("""COMPUTED_VALUE"""),396.0)</f>
        <v>396</v>
      </c>
      <c r="K584" s="240">
        <f>IFERROR(__xludf.DUMMYFUNCTION("""COMPUTED_VALUE"""),676612.0)</f>
        <v>676612</v>
      </c>
      <c r="L584" s="243">
        <f>IFERROR(__xludf.DUMMYFUNCTION("""COMPUTED_VALUE"""),0.205669862890401)</f>
        <v>0.2056698629</v>
      </c>
      <c r="M584" s="88"/>
      <c r="N584" s="88"/>
      <c r="O584" s="88"/>
      <c r="P584" s="88"/>
      <c r="Q584" s="88"/>
      <c r="R584" s="88"/>
      <c r="S584" s="88" t="str">
        <f>IFERROR(__xludf.DUMMYFUNCTION("""COMPUTED_VALUE"""),"Актуально")</f>
        <v>Актуально</v>
      </c>
      <c r="T584" s="88" t="str">
        <f>IFERROR(__xludf.DUMMYFUNCTION("""COMPUTED_VALUE"""),"Даша")</f>
        <v>Даша</v>
      </c>
      <c r="U584" s="88"/>
      <c r="V584" s="88"/>
      <c r="W584" s="88"/>
      <c r="X584" s="88"/>
      <c r="Y584" s="88"/>
      <c r="Z584" s="88"/>
      <c r="AA584" s="88"/>
      <c r="AC584" s="62" t="s">
        <v>2659</v>
      </c>
    </row>
    <row r="585">
      <c r="A585" s="88"/>
      <c r="B585" s="88">
        <f>IFERROR(__xludf.DUMMYFUNCTION("""COMPUTED_VALUE"""),159.0)</f>
        <v>159</v>
      </c>
      <c r="C585" s="88" t="str">
        <f>IFERROR(__xludf.DUMMYFUNCTION("""COMPUTED_VALUE"""),"curly_method_300ml")</f>
        <v>curly_method_300ml</v>
      </c>
      <c r="D585" s="88">
        <f>IFERROR(__xludf.DUMMYFUNCTION("""COMPUTED_VALUE"""),2.067943215E9)</f>
        <v>2067943215</v>
      </c>
      <c r="E585" s="88" t="str">
        <f>IFERROR(__xludf.DUMMYFUNCTION("""COMPUTED_VALUE"""),"Алтея")</f>
        <v>Алтея</v>
      </c>
      <c r="F585" s="88" t="str">
        <f>IFERROR(__xludf.DUMMYFUNCTION("""COMPUTED_VALUE"""),"Крем для кудрявых и вьющихся волос Алтея 300 мл")</f>
        <v>Крем для кудрявых и вьющихся волос Алтея 300 мл</v>
      </c>
      <c r="G585" s="88"/>
      <c r="H585" s="88" t="str">
        <f>IFERROR(__xludf.DUMMYFUNCTION("""COMPUTED_VALUE"""),"Красота")</f>
        <v>Красота</v>
      </c>
      <c r="I585" s="88" t="str">
        <f>IFERROR(__xludf.DUMMYFUNCTION("""COMPUTED_VALUE"""),"Волосы")</f>
        <v>Волосы</v>
      </c>
      <c r="J585" s="245">
        <f>IFERROR(__xludf.DUMMYFUNCTION("""COMPUTED_VALUE"""),626.0)</f>
        <v>626</v>
      </c>
      <c r="K585" s="240">
        <f>IFERROR(__xludf.DUMMYFUNCTION("""COMPUTED_VALUE"""),652813.0)</f>
        <v>652813</v>
      </c>
      <c r="L585" s="243">
        <f>IFERROR(__xludf.DUMMYFUNCTION("""COMPUTED_VALUE"""),0.2015840585742012)</f>
        <v>0.2015840586</v>
      </c>
      <c r="M585" s="88"/>
      <c r="N585" s="88"/>
      <c r="O585" s="88"/>
      <c r="P585" s="88"/>
      <c r="Q585" s="88"/>
      <c r="R585" s="88"/>
      <c r="S585" s="88" t="str">
        <f>IFERROR(__xludf.DUMMYFUNCTION("""COMPUTED_VALUE"""),"Актуально")</f>
        <v>Актуально</v>
      </c>
      <c r="T585" s="88" t="str">
        <f>IFERROR(__xludf.DUMMYFUNCTION("""COMPUTED_VALUE"""),"Даша")</f>
        <v>Даша</v>
      </c>
      <c r="U585" s="88"/>
      <c r="V585" s="88"/>
      <c r="W585" s="88"/>
      <c r="X585" s="88"/>
      <c r="Y585" s="88"/>
      <c r="Z585" s="88"/>
      <c r="AA585" s="88"/>
      <c r="AC585" s="62" t="s">
        <v>2659</v>
      </c>
    </row>
    <row r="586">
      <c r="A586" s="88"/>
      <c r="B586" s="88">
        <f>IFERROR(__xludf.DUMMYFUNCTION("""COMPUTED_VALUE"""),160.0)</f>
        <v>160</v>
      </c>
      <c r="C586" s="88" t="str">
        <f>IFERROR(__xludf.DUMMYFUNCTION("""COMPUTED_VALUE"""),"penka_kudryavii_metod_150ml")</f>
        <v>penka_kudryavii_metod_150ml</v>
      </c>
      <c r="D586" s="88">
        <f>IFERROR(__xludf.DUMMYFUNCTION("""COMPUTED_VALUE"""),2.0679528E9)</f>
        <v>2067952800</v>
      </c>
      <c r="E586" s="88" t="str">
        <f>IFERROR(__xludf.DUMMYFUNCTION("""COMPUTED_VALUE"""),"Алтея")</f>
        <v>Алтея</v>
      </c>
      <c r="F586" s="88" t="str">
        <f>IFERROR(__xludf.DUMMYFUNCTION("""COMPUTED_VALUE"""),"Пенка для укладки кудрявых волос Алтея 150 мл")</f>
        <v>Пенка для укладки кудрявых волос Алтея 150 мл</v>
      </c>
      <c r="G586" s="88"/>
      <c r="H586" s="88" t="str">
        <f>IFERROR(__xludf.DUMMYFUNCTION("""COMPUTED_VALUE"""),"Красота")</f>
        <v>Красота</v>
      </c>
      <c r="I586" s="88" t="str">
        <f>IFERROR(__xludf.DUMMYFUNCTION("""COMPUTED_VALUE"""),"Волосы")</f>
        <v>Волосы</v>
      </c>
      <c r="J586" s="245">
        <f>IFERROR(__xludf.DUMMYFUNCTION("""COMPUTED_VALUE"""),607.0)</f>
        <v>607</v>
      </c>
      <c r="K586" s="240">
        <f>IFERROR(__xludf.DUMMYFUNCTION("""COMPUTED_VALUE"""),649281.0)</f>
        <v>649281</v>
      </c>
      <c r="L586" s="243">
        <f>IFERROR(__xludf.DUMMYFUNCTION("""COMPUTED_VALUE"""),0.0795786819728284)</f>
        <v>0.07957868197</v>
      </c>
      <c r="M586" s="88"/>
      <c r="N586" s="88"/>
      <c r="O586" s="88"/>
      <c r="P586" s="88"/>
      <c r="Q586" s="88"/>
      <c r="R586" s="88"/>
      <c r="S586" s="88" t="str">
        <f>IFERROR(__xludf.DUMMYFUNCTION("""COMPUTED_VALUE"""),"Актуально")</f>
        <v>Актуально</v>
      </c>
      <c r="T586" s="88" t="str">
        <f>IFERROR(__xludf.DUMMYFUNCTION("""COMPUTED_VALUE"""),"Даша")</f>
        <v>Даша</v>
      </c>
      <c r="U586" s="88"/>
      <c r="V586" s="88"/>
      <c r="W586" s="88"/>
      <c r="X586" s="88"/>
      <c r="Y586" s="88"/>
      <c r="Z586" s="88"/>
      <c r="AA586" s="88"/>
      <c r="AC586" s="62" t="s">
        <v>2659</v>
      </c>
    </row>
    <row r="587">
      <c r="A587" s="88"/>
      <c r="B587" s="88">
        <f>IFERROR(__xludf.DUMMYFUNCTION("""COMPUTED_VALUE"""),105.0)</f>
        <v>105</v>
      </c>
      <c r="C587" s="88" t="str">
        <f>IFERROR(__xludf.DUMMYFUNCTION("""COMPUTED_VALUE"""),"insulight_BAD_60caps")</f>
        <v>insulight_BAD_60caps</v>
      </c>
      <c r="D587" s="88">
        <f>IFERROR(__xludf.DUMMYFUNCTION("""COMPUTED_VALUE"""),1.566867106E9)</f>
        <v>1566867106</v>
      </c>
      <c r="E587" s="88" t="str">
        <f>IFERROR(__xludf.DUMMYFUNCTION("""COMPUTED_VALUE"""),"Алтея")</f>
        <v>Алтея</v>
      </c>
      <c r="F587" s="88" t="str">
        <f>IFERROR(__xludf.DUMMYFUNCTION("""COMPUTED_VALUE"""),"Витамины для диабетиков, для профилактики от сахарного диабета, Алтея, Инсулайт, 60 капсул")</f>
        <v>Витамины для диабетиков, для профилактики от сахарного диабета, Алтея, Инсулайт, 60 капсул</v>
      </c>
      <c r="G587" s="88"/>
      <c r="H587" s="88" t="str">
        <f>IFERROR(__xludf.DUMMYFUNCTION("""COMPUTED_VALUE"""),"БАДы")</f>
        <v>БАДы</v>
      </c>
      <c r="I587" s="88" t="str">
        <f>IFERROR(__xludf.DUMMYFUNCTION("""COMPUTED_VALUE"""),"Диабет")</f>
        <v>Диабет</v>
      </c>
      <c r="J587" s="245">
        <f>IFERROR(__xludf.DUMMYFUNCTION("""COMPUTED_VALUE"""),628.0)</f>
        <v>628</v>
      </c>
      <c r="K587" s="240">
        <f>IFERROR(__xludf.DUMMYFUNCTION("""COMPUTED_VALUE"""),647007.0)</f>
        <v>647007</v>
      </c>
      <c r="L587" s="243">
        <f>IFERROR(__xludf.DUMMYFUNCTION("""COMPUTED_VALUE"""),0.04235171430911876)</f>
        <v>0.04235171431</v>
      </c>
      <c r="M587" s="88"/>
      <c r="N587" s="88"/>
      <c r="O587" s="88"/>
      <c r="P587" s="88"/>
      <c r="Q587" s="88"/>
      <c r="R587" s="88"/>
      <c r="S587" s="88" t="str">
        <f>IFERROR(__xludf.DUMMYFUNCTION("""COMPUTED_VALUE"""),"Актуально")</f>
        <v>Актуально</v>
      </c>
      <c r="T587" s="88" t="str">
        <f>IFERROR(__xludf.DUMMYFUNCTION("""COMPUTED_VALUE"""),"Даша")</f>
        <v>Даша</v>
      </c>
      <c r="U587" s="88"/>
      <c r="V587" s="88"/>
      <c r="W587" s="88"/>
      <c r="X587" s="88"/>
      <c r="Y587" s="88"/>
      <c r="Z587" s="88"/>
      <c r="AA587" s="88"/>
      <c r="AC587" s="62" t="s">
        <v>2659</v>
      </c>
    </row>
    <row r="588">
      <c r="A588" s="88"/>
      <c r="B588" s="88">
        <f>IFERROR(__xludf.DUMMYFUNCTION("""COMPUTED_VALUE"""),144.0)</f>
        <v>144</v>
      </c>
      <c r="C588" s="88" t="str">
        <f>IFERROR(__xludf.DUMMYFUNCTION("""COMPUTED_VALUE"""),"krovavii_piling_30ml")</f>
        <v>krovavii_piling_30ml</v>
      </c>
      <c r="D588" s="88">
        <f>IFERROR(__xludf.DUMMYFUNCTION("""COMPUTED_VALUE"""),1.80607945E9)</f>
        <v>1806079450</v>
      </c>
      <c r="E588" s="88" t="str">
        <f>IFERROR(__xludf.DUMMYFUNCTION("""COMPUTED_VALUE"""),"Алтея")</f>
        <v>Алтея</v>
      </c>
      <c r="F588" s="88" t="str">
        <f>IFERROR(__xludf.DUMMYFUNCTION("""COMPUTED_VALUE"""),"Кровавый кислотный пилинг для лица от прыщей от акне AHA BHA салициловая кислота, Алтея 30 мл")</f>
        <v>Кровавый кислотный пилинг для лица от прыщей от акне AHA BHA салициловая кислота, Алтея 30 мл</v>
      </c>
      <c r="G588" s="88"/>
      <c r="H588" s="88" t="str">
        <f>IFERROR(__xludf.DUMMYFUNCTION("""COMPUTED_VALUE"""),"Красота")</f>
        <v>Красота</v>
      </c>
      <c r="I588" s="88" t="str">
        <f>IFERROR(__xludf.DUMMYFUNCTION("""COMPUTED_VALUE"""),"Лицо")</f>
        <v>Лицо</v>
      </c>
      <c r="J588" s="245">
        <f>IFERROR(__xludf.DUMMYFUNCTION("""COMPUTED_VALUE"""),635.0)</f>
        <v>635</v>
      </c>
      <c r="K588" s="240">
        <f>IFERROR(__xludf.DUMMYFUNCTION("""COMPUTED_VALUE"""),538668.0)</f>
        <v>538668</v>
      </c>
      <c r="L588" s="243">
        <f>IFERROR(__xludf.DUMMYFUNCTION("""COMPUTED_VALUE"""),0.19499629734827387)</f>
        <v>0.1949962973</v>
      </c>
      <c r="M588" s="88"/>
      <c r="N588" s="88"/>
      <c r="O588" s="88"/>
      <c r="P588" s="88"/>
      <c r="Q588" s="88"/>
      <c r="R588" s="88"/>
      <c r="S588" s="88" t="str">
        <f>IFERROR(__xludf.DUMMYFUNCTION("""COMPUTED_VALUE"""),"Актуально")</f>
        <v>Актуально</v>
      </c>
      <c r="T588" s="88" t="str">
        <f>IFERROR(__xludf.DUMMYFUNCTION("""COMPUTED_VALUE"""),"Даша")</f>
        <v>Даша</v>
      </c>
      <c r="U588" s="88"/>
      <c r="V588" s="88"/>
      <c r="W588" s="88"/>
      <c r="X588" s="88"/>
      <c r="Y588" s="88"/>
      <c r="Z588" s="88"/>
      <c r="AA588" s="88"/>
      <c r="AC588" s="62" t="s">
        <v>2659</v>
      </c>
    </row>
    <row r="589">
      <c r="A589" s="88"/>
      <c r="B589" s="88">
        <f>IFERROR(__xludf.DUMMYFUNCTION("""COMPUTED_VALUE"""),168.0)</f>
        <v>168</v>
      </c>
      <c r="C589" s="88" t="str">
        <f>IFERROR(__xludf.DUMMYFUNCTION("""COMPUTED_VALUE"""),"skrab_babl_gam_200ml")</f>
        <v>skrab_babl_gam_200ml</v>
      </c>
      <c r="D589" s="88">
        <f>IFERROR(__xludf.DUMMYFUNCTION("""COMPUTED_VALUE"""),2.445342489E9)</f>
        <v>2445342489</v>
      </c>
      <c r="E589" s="88" t="str">
        <f>IFERROR(__xludf.DUMMYFUNCTION("""COMPUTED_VALUE"""),"Алтея")</f>
        <v>Алтея</v>
      </c>
      <c r="F589" s="88" t="str">
        <f>IFERROR(__xludf.DUMMYFUNCTION("""COMPUTED_VALUE"""),"Скраб пилинг для кожи головы, Алтея, 200 мл")</f>
        <v>Скраб пилинг для кожи головы, Алтея, 200 мл</v>
      </c>
      <c r="G589" s="88"/>
      <c r="H589" s="88" t="str">
        <f>IFERROR(__xludf.DUMMYFUNCTION("""COMPUTED_VALUE"""),"Красота")</f>
        <v>Красота</v>
      </c>
      <c r="I589" s="88" t="str">
        <f>IFERROR(__xludf.DUMMYFUNCTION("""COMPUTED_VALUE"""),"Волосы")</f>
        <v>Волосы</v>
      </c>
      <c r="J589" s="245">
        <f>IFERROR(__xludf.DUMMYFUNCTION("""COMPUTED_VALUE"""),536.0)</f>
        <v>536</v>
      </c>
      <c r="K589" s="240">
        <f>IFERROR(__xludf.DUMMYFUNCTION("""COMPUTED_VALUE"""),527196.0)</f>
        <v>527196</v>
      </c>
      <c r="L589" s="243">
        <f>IFERROR(__xludf.DUMMYFUNCTION("""COMPUTED_VALUE"""),0.3930449709216307)</f>
        <v>0.3930449709</v>
      </c>
      <c r="M589" s="88"/>
      <c r="N589" s="88"/>
      <c r="O589" s="88"/>
      <c r="P589" s="88"/>
      <c r="Q589" s="88"/>
      <c r="R589" s="88"/>
      <c r="S589" s="88" t="str">
        <f>IFERROR(__xludf.DUMMYFUNCTION("""COMPUTED_VALUE"""),"Актуально")</f>
        <v>Актуально</v>
      </c>
      <c r="T589" s="88" t="str">
        <f>IFERROR(__xludf.DUMMYFUNCTION("""COMPUTED_VALUE"""),"Даша")</f>
        <v>Даша</v>
      </c>
      <c r="U589" s="88"/>
      <c r="V589" s="88"/>
      <c r="W589" s="88"/>
      <c r="X589" s="88"/>
      <c r="Y589" s="88"/>
      <c r="Z589" s="88"/>
      <c r="AA589" s="88"/>
      <c r="AC589" s="62" t="s">
        <v>2659</v>
      </c>
    </row>
    <row r="590">
      <c r="A590" s="88"/>
      <c r="B590" s="88">
        <f>IFERROR(__xludf.DUMMYFUNCTION("""COMPUTED_VALUE"""),35.0)</f>
        <v>35</v>
      </c>
      <c r="C590" s="88" t="str">
        <f>IFERROR(__xludf.DUMMYFUNCTION("""COMPUTED_VALUE"""),"kardicin")</f>
        <v>kardicin</v>
      </c>
      <c r="D590" s="88">
        <f>IFERROR(__xludf.DUMMYFUNCTION("""COMPUTED_VALUE"""),7.27886779E8)</f>
        <v>727886779</v>
      </c>
      <c r="E590" s="88" t="str">
        <f>IFERROR(__xludf.DUMMYFUNCTION("""COMPUTED_VALUE"""),"CPA")</f>
        <v>CPA</v>
      </c>
      <c r="F590" s="88" t="str">
        <f>IFERROR(__xludf.DUMMYFUNCTION("""COMPUTED_VALUE"""),"Средство от давления, витамины для сердца, чистка сосудов, Алтея, Кардицин, 10мг")</f>
        <v>Средство от давления, витамины для сердца, чистка сосудов, Алтея, Кардицин, 10мг</v>
      </c>
      <c r="G590" s="88"/>
      <c r="H590" s="88" t="str">
        <f>IFERROR(__xludf.DUMMYFUNCTION("""COMPUTED_VALUE"""),"Парафармацевтика")</f>
        <v>Парафармацевтика</v>
      </c>
      <c r="I590" s="88" t="str">
        <f>IFERROR(__xludf.DUMMYFUNCTION("""COMPUTED_VALUE"""),"Здоровье сердца")</f>
        <v>Здоровье сердца</v>
      </c>
      <c r="J590" s="245">
        <f>IFERROR(__xludf.DUMMYFUNCTION("""COMPUTED_VALUE"""),1169.0)</f>
        <v>1169</v>
      </c>
      <c r="K590" s="240">
        <f>IFERROR(__xludf.DUMMYFUNCTION("""COMPUTED_VALUE"""),736965.0)</f>
        <v>736965</v>
      </c>
      <c r="L590" s="243">
        <f>IFERROR(__xludf.DUMMYFUNCTION("""COMPUTED_VALUE"""),0.0)</f>
        <v>0</v>
      </c>
      <c r="M590" s="88"/>
      <c r="N590" s="88"/>
      <c r="O590" s="88"/>
      <c r="P590" s="88"/>
      <c r="Q590" s="88"/>
      <c r="R590" s="88"/>
      <c r="S590" s="88" t="str">
        <f>IFERROR(__xludf.DUMMYFUNCTION("""COMPUTED_VALUE"""),"Актуально")</f>
        <v>Актуально</v>
      </c>
      <c r="T590" s="88" t="str">
        <f>IFERROR(__xludf.DUMMYFUNCTION("""COMPUTED_VALUE"""),"Влад")</f>
        <v>Влад</v>
      </c>
      <c r="U590" s="88"/>
      <c r="V590" s="88"/>
      <c r="W590" s="88"/>
      <c r="X590" s="88"/>
      <c r="Y590" s="88"/>
      <c r="Z590" s="88"/>
      <c r="AA590" s="88"/>
      <c r="AC590" s="62" t="s">
        <v>2659</v>
      </c>
    </row>
    <row r="591">
      <c r="A591" s="88"/>
      <c r="B591" s="88">
        <f>IFERROR(__xludf.DUMMYFUNCTION("""COMPUTED_VALUE"""),110.0)</f>
        <v>110</v>
      </c>
      <c r="C591" s="88" t="str">
        <f>IFERROR(__xludf.DUMMYFUNCTION("""COMPUTED_VALUE"""),"ekzifol")</f>
        <v>ekzifol</v>
      </c>
      <c r="D591" s="88">
        <f>IFERROR(__xludf.DUMMYFUNCTION("""COMPUTED_VALUE"""),1.590039392E9)</f>
        <v>1590039392</v>
      </c>
      <c r="E591" s="88" t="str">
        <f>IFERROR(__xludf.DUMMYFUNCTION("""COMPUTED_VALUE"""),"CPA")</f>
        <v>CPA</v>
      </c>
      <c r="F591" s="88" t="str">
        <f>IFERROR(__xludf.DUMMYFUNCTION("""COMPUTED_VALUE"""),"Мазь от грибка ногтей на ногах, противогрибковое средство для ногтей, Алтея, Экзифол, 30 мл")</f>
        <v>Мазь от грибка ногтей на ногах, противогрибковое средство для ногтей, Алтея, Экзифол, 30 мл</v>
      </c>
      <c r="G591" s="88"/>
      <c r="H591" s="88" t="str">
        <f>IFERROR(__xludf.DUMMYFUNCTION("""COMPUTED_VALUE"""),"Парафармацевтика")</f>
        <v>Парафармацевтика</v>
      </c>
      <c r="I591" s="88" t="str">
        <f>IFERROR(__xludf.DUMMYFUNCTION("""COMPUTED_VALUE"""),"Грибок")</f>
        <v>Грибок</v>
      </c>
      <c r="J591" s="245">
        <f>IFERROR(__xludf.DUMMYFUNCTION("""COMPUTED_VALUE"""),768.0)</f>
        <v>768</v>
      </c>
      <c r="K591" s="240">
        <f>IFERROR(__xludf.DUMMYFUNCTION("""COMPUTED_VALUE"""),524974.0)</f>
        <v>524974</v>
      </c>
      <c r="L591" s="243">
        <f>IFERROR(__xludf.DUMMYFUNCTION("""COMPUTED_VALUE"""),0.0)</f>
        <v>0</v>
      </c>
      <c r="M591" s="88"/>
      <c r="N591" s="88"/>
      <c r="O591" s="88"/>
      <c r="P591" s="88"/>
      <c r="Q591" s="88"/>
      <c r="R591" s="88"/>
      <c r="S591" s="88" t="str">
        <f>IFERROR(__xludf.DUMMYFUNCTION("""COMPUTED_VALUE"""),"Актуально")</f>
        <v>Актуально</v>
      </c>
      <c r="T591" s="88" t="str">
        <f>IFERROR(__xludf.DUMMYFUNCTION("""COMPUTED_VALUE"""),"Даша")</f>
        <v>Даша</v>
      </c>
      <c r="U591" s="88"/>
      <c r="V591" s="88"/>
      <c r="W591" s="88"/>
      <c r="X591" s="88"/>
      <c r="Y591" s="88"/>
      <c r="Z591" s="88"/>
      <c r="AA591" s="88"/>
      <c r="AC591" s="62" t="s">
        <v>2659</v>
      </c>
    </row>
    <row r="592">
      <c r="A592" s="88"/>
      <c r="B592" s="88">
        <f>IFERROR(__xludf.DUMMYFUNCTION("""COMPUTED_VALUE"""),127.0)</f>
        <v>127</v>
      </c>
      <c r="C592" s="88" t="str">
        <f>IFERROR(__xludf.DUMMYFUNCTION("""COMPUTED_VALUE"""),"krem_ot_rastyazhek")</f>
        <v>krem_ot_rastyazhek</v>
      </c>
      <c r="D592" s="88">
        <f>IFERROR(__xludf.DUMMYFUNCTION("""COMPUTED_VALUE"""),1.691475362E9)</f>
        <v>1691475362</v>
      </c>
      <c r="E592" s="88" t="str">
        <f>IFERROR(__xludf.DUMMYFUNCTION("""COMPUTED_VALUE"""),"Алтея")</f>
        <v>Алтея</v>
      </c>
      <c r="F592" s="88" t="str">
        <f>IFERROR(__xludf.DUMMYFUNCTION("""COMPUTED_VALUE"""),"Крем/масло от растяжек для беременных и подростков с эластином, Алтея, 200 мл")</f>
        <v>Крем/масло от растяжек для беременных и подростков с эластином, Алтея, 200 мл</v>
      </c>
      <c r="G592" s="88"/>
      <c r="H592" s="88" t="str">
        <f>IFERROR(__xludf.DUMMYFUNCTION("""COMPUTED_VALUE"""),"Красота")</f>
        <v>Красота</v>
      </c>
      <c r="I592" s="88" t="str">
        <f>IFERROR(__xludf.DUMMYFUNCTION("""COMPUTED_VALUE"""),"Тело")</f>
        <v>Тело</v>
      </c>
      <c r="J592" s="245">
        <f>IFERROR(__xludf.DUMMYFUNCTION("""COMPUTED_VALUE"""),458.0)</f>
        <v>458</v>
      </c>
      <c r="K592" s="240">
        <f>IFERROR(__xludf.DUMMYFUNCTION("""COMPUTED_VALUE"""),499351.0)</f>
        <v>499351</v>
      </c>
      <c r="L592" s="243">
        <f>IFERROR(__xludf.DUMMYFUNCTION("""COMPUTED_VALUE"""),0.1721386350482927)</f>
        <v>0.172138635</v>
      </c>
      <c r="M592" s="88"/>
      <c r="N592" s="88"/>
      <c r="O592" s="88"/>
      <c r="P592" s="88"/>
      <c r="Q592" s="88"/>
      <c r="R592" s="88"/>
      <c r="S592" s="88" t="str">
        <f>IFERROR(__xludf.DUMMYFUNCTION("""COMPUTED_VALUE"""),"Актуально")</f>
        <v>Актуально</v>
      </c>
      <c r="T592" s="88" t="str">
        <f>IFERROR(__xludf.DUMMYFUNCTION("""COMPUTED_VALUE"""),"Даша")</f>
        <v>Даша</v>
      </c>
      <c r="U592" s="88"/>
      <c r="V592" s="88"/>
      <c r="W592" s="88"/>
      <c r="X592" s="88"/>
      <c r="Y592" s="88"/>
      <c r="Z592" s="88"/>
      <c r="AA592" s="88"/>
      <c r="AC592" s="62" t="s">
        <v>2659</v>
      </c>
    </row>
    <row r="593">
      <c r="A593" s="88"/>
      <c r="B593" s="88">
        <f>IFERROR(__xludf.DUMMYFUNCTION("""COMPUTED_VALUE"""),153.0)</f>
        <v>153</v>
      </c>
      <c r="C593" s="88" t="str">
        <f>IFERROR(__xludf.DUMMYFUNCTION("""COMPUTED_VALUE"""),"maska-batter_dlya_rosta_500ml")</f>
        <v>maska-batter_dlya_rosta_500ml</v>
      </c>
      <c r="D593" s="88">
        <f>IFERROR(__xludf.DUMMYFUNCTION("""COMPUTED_VALUE"""),1.917245431E9)</f>
        <v>1917245431</v>
      </c>
      <c r="E593" s="88" t="str">
        <f>IFERROR(__xludf.DUMMYFUNCTION("""COMPUTED_VALUE"""),"Алтея")</f>
        <v>Алтея</v>
      </c>
      <c r="F593" s="88" t="str">
        <f>IFERROR(__xludf.DUMMYFUNCTION("""COMPUTED_VALUE"""),"Маска для роста волос с перцем, средство для роста волос, для укрепления, Алтея 500мл")</f>
        <v>Маска для роста волос с перцем, средство для роста волос, для укрепления, Алтея 500мл</v>
      </c>
      <c r="G593" s="88"/>
      <c r="H593" s="88" t="str">
        <f>IFERROR(__xludf.DUMMYFUNCTION("""COMPUTED_VALUE"""),"Красота")</f>
        <v>Красота</v>
      </c>
      <c r="I593" s="88" t="str">
        <f>IFERROR(__xludf.DUMMYFUNCTION("""COMPUTED_VALUE"""),"Волосы")</f>
        <v>Волосы</v>
      </c>
      <c r="J593" s="245">
        <f>IFERROR(__xludf.DUMMYFUNCTION("""COMPUTED_VALUE"""),337.0)</f>
        <v>337</v>
      </c>
      <c r="K593" s="240">
        <f>IFERROR(__xludf.DUMMYFUNCTION("""COMPUTED_VALUE"""),461933.0)</f>
        <v>461933</v>
      </c>
      <c r="L593" s="243">
        <f>IFERROR(__xludf.DUMMYFUNCTION("""COMPUTED_VALUE"""),0.1125012514368967)</f>
        <v>0.1125012514</v>
      </c>
      <c r="M593" s="88"/>
      <c r="N593" s="88"/>
      <c r="O593" s="88"/>
      <c r="P593" s="88"/>
      <c r="Q593" s="88"/>
      <c r="R593" s="88"/>
      <c r="S593" s="88" t="str">
        <f>IFERROR(__xludf.DUMMYFUNCTION("""COMPUTED_VALUE"""),"Актуально")</f>
        <v>Актуально</v>
      </c>
      <c r="T593" s="88" t="str">
        <f>IFERROR(__xludf.DUMMYFUNCTION("""COMPUTED_VALUE"""),"Даша")</f>
        <v>Даша</v>
      </c>
      <c r="U593" s="88"/>
      <c r="V593" s="88"/>
      <c r="W593" s="88"/>
      <c r="X593" s="88"/>
      <c r="Y593" s="88"/>
      <c r="Z593" s="88"/>
      <c r="AA593" s="88"/>
      <c r="AC593" s="62" t="s">
        <v>2659</v>
      </c>
    </row>
    <row r="594">
      <c r="A594" s="88"/>
      <c r="B594" s="88">
        <f>IFERROR(__xludf.DUMMYFUNCTION("""COMPUTED_VALUE"""),152.0)</f>
        <v>152</v>
      </c>
      <c r="C594" s="88" t="str">
        <f>IFERROR(__xludf.DUMMYFUNCTION("""COMPUTED_VALUE"""),"yagodniy_spas_1_1")</f>
        <v>yagodniy_spas_1_1</v>
      </c>
      <c r="D594" s="88">
        <f>IFERROR(__xludf.DUMMYFUNCTION("""COMPUTED_VALUE"""),1.884227964E9)</f>
        <v>1884227964</v>
      </c>
      <c r="E594" s="88" t="str">
        <f>IFERROR(__xludf.DUMMYFUNCTION("""COMPUTED_VALUE"""),"CPA")</f>
        <v>CPA</v>
      </c>
      <c r="F594" s="88" t="str">
        <f>IFERROR(__xludf.DUMMYFUNCTION("""COMPUTED_VALUE"""),"Антипаразитарный комплекс от глистов, очищение организма от паразитов, детокс, Алтея, Ягодный спас, 20 шипучих таблеток")</f>
        <v>Антипаразитарный комплекс от глистов, очищение организма от паразитов, детокс, Алтея, Ягодный спас, 20 шипучих таблеток</v>
      </c>
      <c r="G594" s="88"/>
      <c r="H594" s="88" t="str">
        <f>IFERROR(__xludf.DUMMYFUNCTION("""COMPUTED_VALUE"""),"Парафармацевтика")</f>
        <v>Парафармацевтика</v>
      </c>
      <c r="I594" s="88" t="str">
        <f>IFERROR(__xludf.DUMMYFUNCTION("""COMPUTED_VALUE"""),"Антипаразитарный")</f>
        <v>Антипаразитарный</v>
      </c>
      <c r="J594" s="245">
        <f>IFERROR(__xludf.DUMMYFUNCTION("""COMPUTED_VALUE"""),310.0)</f>
        <v>310</v>
      </c>
      <c r="K594" s="240">
        <f>IFERROR(__xludf.DUMMYFUNCTION("""COMPUTED_VALUE"""),427912.0)</f>
        <v>427912</v>
      </c>
      <c r="L594" s="243">
        <f>IFERROR(__xludf.DUMMYFUNCTION("""COMPUTED_VALUE"""),0.0022777867669053447)</f>
        <v>0.002277786767</v>
      </c>
      <c r="M594" s="88"/>
      <c r="N594" s="88"/>
      <c r="O594" s="88"/>
      <c r="P594" s="88"/>
      <c r="Q594" s="88"/>
      <c r="R594" s="88"/>
      <c r="S594" s="88" t="str">
        <f>IFERROR(__xludf.DUMMYFUNCTION("""COMPUTED_VALUE"""),"Актуально")</f>
        <v>Актуально</v>
      </c>
      <c r="T594" s="88" t="str">
        <f>IFERROR(__xludf.DUMMYFUNCTION("""COMPUTED_VALUE"""),"Даша")</f>
        <v>Даша</v>
      </c>
      <c r="U594" s="88"/>
      <c r="V594" s="88"/>
      <c r="W594" s="88"/>
      <c r="X594" s="88"/>
      <c r="Y594" s="88"/>
      <c r="Z594" s="88"/>
      <c r="AA594" s="88"/>
      <c r="AC594" s="62" t="s">
        <v>2659</v>
      </c>
    </row>
    <row r="595">
      <c r="A595" s="88"/>
      <c r="B595" s="88">
        <f>IFERROR(__xludf.DUMMYFUNCTION("""COMPUTED_VALUE"""),156.0)</f>
        <v>156</v>
      </c>
      <c r="C595" s="88" t="str">
        <f>IFERROR(__xludf.DUMMYFUNCTION("""COMPUTED_VALUE"""),"tonik_dlya_lica_200ml")</f>
        <v>tonik_dlya_lica_200ml</v>
      </c>
      <c r="D595" s="88">
        <f>IFERROR(__xludf.DUMMYFUNCTION("""COMPUTED_VALUE"""),2.015547267E9)</f>
        <v>2015547267</v>
      </c>
      <c r="E595" s="88" t="str">
        <f>IFERROR(__xludf.DUMMYFUNCTION("""COMPUTED_VALUE"""),"Алтея")</f>
        <v>Алтея</v>
      </c>
      <c r="F595" s="88" t="str">
        <f>IFERROR(__xludf.DUMMYFUNCTION("""COMPUTED_VALUE"""),"Тоник для лица очищающий, увлажняющий тонер, лосьон от пигментации, от прыщей и акне, черных точек для подростков с гликолевой салициловой кислотой, центеллой, ниацинамидом, Алтея 200 мл")</f>
        <v>Тоник для лица очищающий, увлажняющий тонер, лосьон от пигментации, от прыщей и акне, черных точек для подростков с гликолевой салициловой кислотой, центеллой, ниацинамидом, Алтея 200 мл</v>
      </c>
      <c r="G595" s="88"/>
      <c r="H595" s="88" t="str">
        <f>IFERROR(__xludf.DUMMYFUNCTION("""COMPUTED_VALUE"""),"Красота")</f>
        <v>Красота</v>
      </c>
      <c r="I595" s="88" t="str">
        <f>IFERROR(__xludf.DUMMYFUNCTION("""COMPUTED_VALUE"""),"Лицо")</f>
        <v>Лицо</v>
      </c>
      <c r="J595" s="245">
        <f>IFERROR(__xludf.DUMMYFUNCTION("""COMPUTED_VALUE"""),659.0)</f>
        <v>659</v>
      </c>
      <c r="K595" s="240">
        <f>IFERROR(__xludf.DUMMYFUNCTION("""COMPUTED_VALUE"""),414905.0)</f>
        <v>414905</v>
      </c>
      <c r="L595" s="243">
        <f>IFERROR(__xludf.DUMMYFUNCTION("""COMPUTED_VALUE"""),0.5939767855292175)</f>
        <v>0.5939767855</v>
      </c>
      <c r="M595" s="88"/>
      <c r="N595" s="88"/>
      <c r="O595" s="88"/>
      <c r="P595" s="88"/>
      <c r="Q595" s="88"/>
      <c r="R595" s="88"/>
      <c r="S595" s="88" t="str">
        <f>IFERROR(__xludf.DUMMYFUNCTION("""COMPUTED_VALUE"""),"Актуально")</f>
        <v>Актуально</v>
      </c>
      <c r="T595" s="88" t="str">
        <f>IFERROR(__xludf.DUMMYFUNCTION("""COMPUTED_VALUE"""),"Даша")</f>
        <v>Даша</v>
      </c>
      <c r="U595" s="88"/>
      <c r="V595" s="88"/>
      <c r="W595" s="88"/>
      <c r="X595" s="88"/>
      <c r="Y595" s="88"/>
      <c r="Z595" s="88"/>
      <c r="AA595" s="88"/>
      <c r="AC595" s="62" t="s">
        <v>2659</v>
      </c>
    </row>
    <row r="596">
      <c r="A596" s="88"/>
      <c r="B596" s="88">
        <f>IFERROR(__xludf.DUMMYFUNCTION("""COMPUTED_VALUE"""),126.0)</f>
        <v>126</v>
      </c>
      <c r="C596" s="88" t="str">
        <f>IFERROR(__xludf.DUMMYFUNCTION("""COMPUTED_VALUE"""),"maska-batter_250ml")</f>
        <v>maska-batter_250ml</v>
      </c>
      <c r="D596" s="88">
        <f>IFERROR(__xludf.DUMMYFUNCTION("""COMPUTED_VALUE"""),1.691464882E9)</f>
        <v>1691464882</v>
      </c>
      <c r="E596" s="88" t="str">
        <f>IFERROR(__xludf.DUMMYFUNCTION("""COMPUTED_VALUE"""),"Алтея")</f>
        <v>Алтея</v>
      </c>
      <c r="F596" s="88" t="str">
        <f>IFERROR(__xludf.DUMMYFUNCTION("""COMPUTED_VALUE"""),"Восстанавливающая маска для волос с кератином увлажняющая, Алтея, 250 мл")</f>
        <v>Восстанавливающая маска для волос с кератином увлажняющая, Алтея, 250 мл</v>
      </c>
      <c r="G596" s="88"/>
      <c r="H596" s="88" t="str">
        <f>IFERROR(__xludf.DUMMYFUNCTION("""COMPUTED_VALUE"""),"Красота")</f>
        <v>Красота</v>
      </c>
      <c r="I596" s="88" t="str">
        <f>IFERROR(__xludf.DUMMYFUNCTION("""COMPUTED_VALUE"""),"Волосы")</f>
        <v>Волосы</v>
      </c>
      <c r="J596" s="245">
        <f>IFERROR(__xludf.DUMMYFUNCTION("""COMPUTED_VALUE"""),394.0)</f>
        <v>394</v>
      </c>
      <c r="K596" s="240">
        <f>IFERROR(__xludf.DUMMYFUNCTION("""COMPUTED_VALUE"""),413647.0)</f>
        <v>413647</v>
      </c>
      <c r="L596" s="243">
        <f>IFERROR(__xludf.DUMMYFUNCTION("""COMPUTED_VALUE"""),0.1761536008480661)</f>
        <v>0.1761536008</v>
      </c>
      <c r="M596" s="88"/>
      <c r="N596" s="88"/>
      <c r="O596" s="88"/>
      <c r="P596" s="88"/>
      <c r="Q596" s="88"/>
      <c r="R596" s="88"/>
      <c r="S596" s="88" t="str">
        <f>IFERROR(__xludf.DUMMYFUNCTION("""COMPUTED_VALUE"""),"Актуально")</f>
        <v>Актуально</v>
      </c>
      <c r="T596" s="88" t="str">
        <f>IFERROR(__xludf.DUMMYFUNCTION("""COMPUTED_VALUE"""),"Даша")</f>
        <v>Даша</v>
      </c>
      <c r="U596" s="88"/>
      <c r="V596" s="88"/>
      <c r="W596" s="88"/>
      <c r="X596" s="88"/>
      <c r="Y596" s="88"/>
      <c r="Z596" s="88"/>
      <c r="AA596" s="88"/>
      <c r="AC596" s="62" t="s">
        <v>2659</v>
      </c>
    </row>
    <row r="597">
      <c r="A597" s="88"/>
      <c r="B597" s="88">
        <f>IFERROR(__xludf.DUMMYFUNCTION("""COMPUTED_VALUE"""),109.0)</f>
        <v>109</v>
      </c>
      <c r="C597" s="88" t="str">
        <f>IFERROR(__xludf.DUMMYFUNCTION("""COMPUTED_VALUE"""),"varifit")</f>
        <v>varifit</v>
      </c>
      <c r="D597" s="88">
        <f>IFERROR(__xludf.DUMMYFUNCTION("""COMPUTED_VALUE"""),1.590032182E9)</f>
        <v>1590032182</v>
      </c>
      <c r="E597" s="88" t="str">
        <f>IFERROR(__xludf.DUMMYFUNCTION("""COMPUTED_VALUE"""),"CPA")</f>
        <v>CPA</v>
      </c>
      <c r="F597" s="88" t="str">
        <f>IFERROR(__xludf.DUMMYFUNCTION("""COMPUTED_VALUE"""),"Крем мазь от варикоза, конский каштан, Алтея, Варифит, 30 мл")</f>
        <v>Крем мазь от варикоза, конский каштан, Алтея, Варифит, 30 мл</v>
      </c>
      <c r="G597" s="88"/>
      <c r="H597" s="88" t="str">
        <f>IFERROR(__xludf.DUMMYFUNCTION("""COMPUTED_VALUE"""),"Парафармацевтика")</f>
        <v>Парафармацевтика</v>
      </c>
      <c r="I597" s="88" t="str">
        <f>IFERROR(__xludf.DUMMYFUNCTION("""COMPUTED_VALUE"""),"Варикоз")</f>
        <v>Варикоз</v>
      </c>
      <c r="J597" s="245">
        <f>IFERROR(__xludf.DUMMYFUNCTION("""COMPUTED_VALUE"""),593.0)</f>
        <v>593</v>
      </c>
      <c r="K597" s="240">
        <f>IFERROR(__xludf.DUMMYFUNCTION("""COMPUTED_VALUE"""),410198.0)</f>
        <v>410198</v>
      </c>
      <c r="L597" s="243">
        <f>IFERROR(__xludf.DUMMYFUNCTION("""COMPUTED_VALUE"""),0.13607571589817602)</f>
        <v>0.1360757159</v>
      </c>
      <c r="M597" s="88"/>
      <c r="N597" s="88"/>
      <c r="O597" s="88"/>
      <c r="P597" s="88"/>
      <c r="Q597" s="88"/>
      <c r="R597" s="88"/>
      <c r="S597" s="88" t="str">
        <f>IFERROR(__xludf.DUMMYFUNCTION("""COMPUTED_VALUE"""),"Актуально")</f>
        <v>Актуально</v>
      </c>
      <c r="T597" s="88" t="str">
        <f>IFERROR(__xludf.DUMMYFUNCTION("""COMPUTED_VALUE"""),"Даша")</f>
        <v>Даша</v>
      </c>
      <c r="U597" s="88"/>
      <c r="V597" s="88"/>
      <c r="W597" s="88"/>
      <c r="X597" s="88"/>
      <c r="Y597" s="88"/>
      <c r="Z597" s="88"/>
      <c r="AA597" s="88"/>
      <c r="AC597" s="62" t="s">
        <v>2659</v>
      </c>
    </row>
    <row r="598">
      <c r="A598" s="88"/>
      <c r="B598" s="88">
        <f>IFERROR(__xludf.DUMMYFUNCTION("""COMPUTED_VALUE"""),39.0)</f>
        <v>39</v>
      </c>
      <c r="C598" s="88" t="str">
        <f>IFERROR(__xludf.DUMMYFUNCTION("""COMPUTED_VALUE"""),"khvoinitsa")</f>
        <v>khvoinitsa</v>
      </c>
      <c r="D598" s="88">
        <f>IFERROR(__xludf.DUMMYFUNCTION("""COMPUTED_VALUE"""),7.36435678E8)</f>
        <v>736435678</v>
      </c>
      <c r="E598" s="88" t="str">
        <f>IFERROR(__xludf.DUMMYFUNCTION("""COMPUTED_VALUE"""),"CPA")</f>
        <v>CPA</v>
      </c>
      <c r="F598" s="88" t="str">
        <f>IFERROR(__xludf.DUMMYFUNCTION("""COMPUTED_VALUE"""),"Хвойный экстракт для иммунитета и оздоровления Хвойница")</f>
        <v>Хвойный экстракт для иммунитета и оздоровления Хвойница</v>
      </c>
      <c r="G598" s="88"/>
      <c r="H598" s="88" t="str">
        <f>IFERROR(__xludf.DUMMYFUNCTION("""COMPUTED_VALUE"""),"Парафармацевтика")</f>
        <v>Парафармацевтика</v>
      </c>
      <c r="I598" s="88" t="str">
        <f>IFERROR(__xludf.DUMMYFUNCTION("""COMPUTED_VALUE"""),"Иммунитет")</f>
        <v>Иммунитет</v>
      </c>
      <c r="J598" s="245">
        <f>IFERROR(__xludf.DUMMYFUNCTION("""COMPUTED_VALUE"""),623.0)</f>
        <v>623</v>
      </c>
      <c r="K598" s="240">
        <f>IFERROR(__xludf.DUMMYFUNCTION("""COMPUTED_VALUE"""),381236.0)</f>
        <v>381236</v>
      </c>
      <c r="L598" s="243">
        <f>IFERROR(__xludf.DUMMYFUNCTION("""COMPUTED_VALUE"""),0.0700039092583072)</f>
        <v>0.07000390926</v>
      </c>
      <c r="M598" s="88"/>
      <c r="N598" s="88"/>
      <c r="O598" s="88"/>
      <c r="P598" s="88"/>
      <c r="Q598" s="88"/>
      <c r="R598" s="88"/>
      <c r="S598" s="88" t="str">
        <f>IFERROR(__xludf.DUMMYFUNCTION("""COMPUTED_VALUE"""),"Актуально")</f>
        <v>Актуально</v>
      </c>
      <c r="T598" s="88" t="str">
        <f>IFERROR(__xludf.DUMMYFUNCTION("""COMPUTED_VALUE"""),"Даша")</f>
        <v>Даша</v>
      </c>
      <c r="U598" s="88"/>
      <c r="V598" s="88"/>
      <c r="W598" s="88"/>
      <c r="X598" s="88"/>
      <c r="Y598" s="88"/>
      <c r="Z598" s="88"/>
      <c r="AA598" s="88"/>
      <c r="AC598" s="62" t="s">
        <v>2659</v>
      </c>
    </row>
    <row r="599">
      <c r="A599" s="88"/>
      <c r="B599" s="88">
        <f>IFERROR(__xludf.DUMMYFUNCTION("""COMPUTED_VALUE"""),163.0)</f>
        <v>163</v>
      </c>
      <c r="C599" s="88" t="str">
        <f>IFERROR(__xludf.DUMMYFUNCTION("""COMPUTED_VALUE"""),"matte_wax_50ml")</f>
        <v>matte_wax_50ml</v>
      </c>
      <c r="D599" s="88">
        <f>IFERROR(__xludf.DUMMYFUNCTION("""COMPUTED_VALUE"""),2.138175361E9)</f>
        <v>2138175361</v>
      </c>
      <c r="E599" s="88" t="str">
        <f>IFERROR(__xludf.DUMMYFUNCTION("""COMPUTED_VALUE"""),"Алтея")</f>
        <v>Алтея</v>
      </c>
      <c r="F599" s="88" t="str">
        <f>IFERROR(__xludf.DUMMYFUNCTION("""COMPUTED_VALUE"""),"Воск для укладки волос Алтея 50 мл")</f>
        <v>Воск для укладки волос Алтея 50 мл</v>
      </c>
      <c r="G599" s="88"/>
      <c r="H599" s="88" t="str">
        <f>IFERROR(__xludf.DUMMYFUNCTION("""COMPUTED_VALUE"""),"Красота")</f>
        <v>Красота</v>
      </c>
      <c r="I599" s="88" t="str">
        <f>IFERROR(__xludf.DUMMYFUNCTION("""COMPUTED_VALUE"""),"Волосы")</f>
        <v>Волосы</v>
      </c>
      <c r="J599" s="245">
        <f>IFERROR(__xludf.DUMMYFUNCTION("""COMPUTED_VALUE"""),370.0)</f>
        <v>370</v>
      </c>
      <c r="K599" s="240">
        <f>IFERROR(__xludf.DUMMYFUNCTION("""COMPUTED_VALUE"""),365881.0)</f>
        <v>365881</v>
      </c>
      <c r="L599" s="243">
        <f>IFERROR(__xludf.DUMMYFUNCTION("""COMPUTED_VALUE"""),0.369871824718966)</f>
        <v>0.3698718247</v>
      </c>
      <c r="M599" s="88"/>
      <c r="N599" s="88"/>
      <c r="O599" s="88"/>
      <c r="P599" s="88"/>
      <c r="Q599" s="88"/>
      <c r="R599" s="88"/>
      <c r="S599" s="88" t="str">
        <f>IFERROR(__xludf.DUMMYFUNCTION("""COMPUTED_VALUE"""),"Актуально")</f>
        <v>Актуально</v>
      </c>
      <c r="T599" s="88" t="str">
        <f>IFERROR(__xludf.DUMMYFUNCTION("""COMPUTED_VALUE"""),"Даша")</f>
        <v>Даша</v>
      </c>
      <c r="U599" s="88"/>
      <c r="V599" s="88"/>
      <c r="W599" s="88"/>
      <c r="X599" s="88"/>
      <c r="Y599" s="88"/>
      <c r="Z599" s="88"/>
      <c r="AA599" s="88"/>
      <c r="AC599" s="62" t="s">
        <v>2659</v>
      </c>
    </row>
    <row r="600">
      <c r="A600" s="88"/>
      <c r="B600" s="88">
        <f>IFERROR(__xludf.DUMMYFUNCTION("""COMPUTED_VALUE"""),49.0)</f>
        <v>49</v>
      </c>
      <c r="C600" s="88" t="str">
        <f>IFERROR(__xludf.DUMMYFUNCTION("""COMPUTED_VALUE"""),"allicil_gribok15ml")</f>
        <v>allicil_gribok15ml</v>
      </c>
      <c r="D600" s="88">
        <f>IFERROR(__xludf.DUMMYFUNCTION("""COMPUTED_VALUE"""),9.16705489E8)</f>
        <v>916705489</v>
      </c>
      <c r="E600" s="88" t="str">
        <f>IFERROR(__xludf.DUMMYFUNCTION("""COMPUTED_VALUE"""),"CPA")</f>
        <v>CPA</v>
      </c>
      <c r="F600" s="88" t="str">
        <f>IFERROR(__xludf.DUMMYFUNCTION("""COMPUTED_VALUE"""),"Мазь от грибка ногтей на ногах Аллицил, противогрибковое средство, Алтея,15 мл")</f>
        <v>Мазь от грибка ногтей на ногах Аллицил, противогрибковое средство, Алтея,15 мл</v>
      </c>
      <c r="G600" s="88"/>
      <c r="H600" s="88" t="str">
        <f>IFERROR(__xludf.DUMMYFUNCTION("""COMPUTED_VALUE"""),"Парафармацевтика")</f>
        <v>Парафармацевтика</v>
      </c>
      <c r="I600" s="88" t="str">
        <f>IFERROR(__xludf.DUMMYFUNCTION("""COMPUTED_VALUE"""),"Грибок")</f>
        <v>Грибок</v>
      </c>
      <c r="J600" s="245">
        <f>IFERROR(__xludf.DUMMYFUNCTION("""COMPUTED_VALUE"""),547.0)</f>
        <v>547</v>
      </c>
      <c r="K600" s="240">
        <f>IFERROR(__xludf.DUMMYFUNCTION("""COMPUTED_VALUE"""),356526.0)</f>
        <v>356526</v>
      </c>
      <c r="L600" s="243">
        <f>IFERROR(__xludf.DUMMYFUNCTION("""COMPUTED_VALUE"""),0.21047363791140056)</f>
        <v>0.2104736379</v>
      </c>
      <c r="M600" s="88"/>
      <c r="N600" s="88"/>
      <c r="O600" s="88"/>
      <c r="P600" s="88"/>
      <c r="Q600" s="88"/>
      <c r="R600" s="88"/>
      <c r="S600" s="88" t="str">
        <f>IFERROR(__xludf.DUMMYFUNCTION("""COMPUTED_VALUE"""),"Актуально")</f>
        <v>Актуально</v>
      </c>
      <c r="T600" s="88" t="str">
        <f>IFERROR(__xludf.DUMMYFUNCTION("""COMPUTED_VALUE"""),"Даша")</f>
        <v>Даша</v>
      </c>
      <c r="U600" s="88"/>
      <c r="V600" s="88"/>
      <c r="W600" s="88"/>
      <c r="X600" s="88"/>
      <c r="Y600" s="88"/>
      <c r="Z600" s="88"/>
      <c r="AA600" s="88"/>
      <c r="AC600" s="62" t="s">
        <v>2659</v>
      </c>
    </row>
    <row r="601">
      <c r="A601" s="88"/>
      <c r="B601" s="88">
        <f>IFERROR(__xludf.DUMMYFUNCTION("""COMPUTED_VALUE"""),171.0)</f>
        <v>171</v>
      </c>
      <c r="C601" s="88" t="str">
        <f>IFERROR(__xludf.DUMMYFUNCTION("""COMPUTED_VALUE"""),"intimvita_300ml")</f>
        <v>intimvita_300ml</v>
      </c>
      <c r="D601" s="88">
        <f>IFERROR(__xludf.DUMMYFUNCTION("""COMPUTED_VALUE"""),2.545691905E9)</f>
        <v>2545691905</v>
      </c>
      <c r="E601" s="88" t="str">
        <f>IFERROR(__xludf.DUMMYFUNCTION("""COMPUTED_VALUE"""),"Алтея")</f>
        <v>Алтея</v>
      </c>
      <c r="F601" s="88" t="str">
        <f>IFERROR(__xludf.DUMMYFUNCTION("""COMPUTED_VALUE"""),"Гель для интимной гигиены с молочной кислотой, Алтея, Интимвита, 300 мл")</f>
        <v>Гель для интимной гигиены с молочной кислотой, Алтея, Интимвита, 300 мл</v>
      </c>
      <c r="G601" s="88"/>
      <c r="H601" s="88" t="str">
        <f>IFERROR(__xludf.DUMMYFUNCTION("""COMPUTED_VALUE"""),"Красота")</f>
        <v>Красота</v>
      </c>
      <c r="I601" s="88" t="str">
        <f>IFERROR(__xludf.DUMMYFUNCTION("""COMPUTED_VALUE"""),"Тело")</f>
        <v>Тело</v>
      </c>
      <c r="J601" s="245">
        <f>IFERROR(__xludf.DUMMYFUNCTION("""COMPUTED_VALUE"""),379.0)</f>
        <v>379</v>
      </c>
      <c r="K601" s="240">
        <f>IFERROR(__xludf.DUMMYFUNCTION("""COMPUTED_VALUE"""),335483.0)</f>
        <v>335483</v>
      </c>
      <c r="L601" s="243">
        <f>IFERROR(__xludf.DUMMYFUNCTION("""COMPUTED_VALUE"""),0.3620960541368713)</f>
        <v>0.3620960541</v>
      </c>
      <c r="M601" s="88"/>
      <c r="N601" s="88"/>
      <c r="O601" s="88"/>
      <c r="P601" s="88"/>
      <c r="Q601" s="88"/>
      <c r="R601" s="88"/>
      <c r="S601" s="88" t="str">
        <f>IFERROR(__xludf.DUMMYFUNCTION("""COMPUTED_VALUE"""),"Актуально")</f>
        <v>Актуально</v>
      </c>
      <c r="T601" s="88" t="str">
        <f>IFERROR(__xludf.DUMMYFUNCTION("""COMPUTED_VALUE"""),"Даша")</f>
        <v>Даша</v>
      </c>
      <c r="U601" s="88"/>
      <c r="V601" s="88"/>
      <c r="W601" s="88"/>
      <c r="X601" s="88"/>
      <c r="Y601" s="88"/>
      <c r="Z601" s="88"/>
      <c r="AA601" s="88"/>
      <c r="AC601" s="62" t="s">
        <v>2659</v>
      </c>
    </row>
    <row r="602">
      <c r="A602" s="88"/>
      <c r="B602" s="88">
        <f>IFERROR(__xludf.DUMMYFUNCTION("""COMPUTED_VALUE"""),170.0)</f>
        <v>170</v>
      </c>
      <c r="C602" s="88" t="str">
        <f>IFERROR(__xludf.DUMMYFUNCTION("""COMPUTED_VALUE"""),"krem_dlya_vek_30ml")</f>
        <v>krem_dlya_vek_30ml</v>
      </c>
      <c r="D602" s="88">
        <f>IFERROR(__xludf.DUMMYFUNCTION("""COMPUTED_VALUE"""),2.498445505E9)</f>
        <v>2498445505</v>
      </c>
      <c r="E602" s="88" t="str">
        <f>IFERROR(__xludf.DUMMYFUNCTION("""COMPUTED_VALUE"""),"Алтея")</f>
        <v>Алтея</v>
      </c>
      <c r="F602" s="88" t="str">
        <f>IFERROR(__xludf.DUMMYFUNCTION("""COMPUTED_VALUE"""),"Крем для век и кожи вокруг глаз Жидкие патчи для глаз Алтея 30 мл")</f>
        <v>Крем для век и кожи вокруг глаз Жидкие патчи для глаз Алтея 30 мл</v>
      </c>
      <c r="G602" s="88"/>
      <c r="H602" s="88" t="str">
        <f>IFERROR(__xludf.DUMMYFUNCTION("""COMPUTED_VALUE"""),"Красота")</f>
        <v>Красота</v>
      </c>
      <c r="I602" s="88" t="str">
        <f>IFERROR(__xludf.DUMMYFUNCTION("""COMPUTED_VALUE"""),"Лицо")</f>
        <v>Лицо</v>
      </c>
      <c r="J602" s="245">
        <f>IFERROR(__xludf.DUMMYFUNCTION("""COMPUTED_VALUE"""),326.0)</f>
        <v>326</v>
      </c>
      <c r="K602" s="240">
        <f>IFERROR(__xludf.DUMMYFUNCTION("""COMPUTED_VALUE"""),333031.0)</f>
        <v>333031</v>
      </c>
      <c r="L602" s="243">
        <f>IFERROR(__xludf.DUMMYFUNCTION("""COMPUTED_VALUE"""),0.26655033074999024)</f>
        <v>0.2665503307</v>
      </c>
      <c r="M602" s="88"/>
      <c r="N602" s="88"/>
      <c r="O602" s="88"/>
      <c r="P602" s="88"/>
      <c r="Q602" s="88"/>
      <c r="R602" s="88"/>
      <c r="S602" s="88" t="str">
        <f>IFERROR(__xludf.DUMMYFUNCTION("""COMPUTED_VALUE"""),"Актуально")</f>
        <v>Актуально</v>
      </c>
      <c r="T602" s="88" t="str">
        <f>IFERROR(__xludf.DUMMYFUNCTION("""COMPUTED_VALUE"""),"Даша")</f>
        <v>Даша</v>
      </c>
      <c r="U602" s="88"/>
      <c r="V602" s="88"/>
      <c r="W602" s="88"/>
      <c r="X602" s="88"/>
      <c r="Y602" s="88"/>
      <c r="Z602" s="88"/>
      <c r="AA602" s="88"/>
      <c r="AC602" s="62" t="s">
        <v>2659</v>
      </c>
    </row>
    <row r="603">
      <c r="A603" s="88"/>
      <c r="B603" s="88">
        <f>IFERROR(__xludf.DUMMYFUNCTION("""COMPUTED_VALUE"""),178.0)</f>
        <v>178</v>
      </c>
      <c r="C603" s="88" t="str">
        <f>IFERROR(__xludf.DUMMYFUNCTION("""COMPUTED_VALUE"""),"insulight_1_1")</f>
        <v>insulight_1_1</v>
      </c>
      <c r="D603" s="88">
        <f>IFERROR(__xludf.DUMMYFUNCTION("""COMPUTED_VALUE"""),2.825101652E9)</f>
        <v>2825101652</v>
      </c>
      <c r="E603" s="88" t="str">
        <f>IFERROR(__xludf.DUMMYFUNCTION("""COMPUTED_VALUE"""),"CPA")</f>
        <v>CPA</v>
      </c>
      <c r="F603" s="88" t="str">
        <f>IFERROR(__xludf.DUMMYFUNCTION("""COMPUTED_VALUE"""),"Диабет витамины при сахарном диабете, Алтея, Инсулайт, 49г х 2")</f>
        <v>Диабет витамины при сахарном диабете, Алтея, Инсулайт, 49г х 2</v>
      </c>
      <c r="G603" s="88"/>
      <c r="H603" s="88" t="str">
        <f>IFERROR(__xludf.DUMMYFUNCTION("""COMPUTED_VALUE"""),"Парафармацевтика")</f>
        <v>Парафармацевтика</v>
      </c>
      <c r="I603" s="88" t="str">
        <f>IFERROR(__xludf.DUMMYFUNCTION("""COMPUTED_VALUE"""),"Диабет")</f>
        <v>Диабет</v>
      </c>
      <c r="J603" s="245">
        <f>IFERROR(__xludf.DUMMYFUNCTION("""COMPUTED_VALUE"""),207.0)</f>
        <v>207</v>
      </c>
      <c r="K603" s="240">
        <f>IFERROR(__xludf.DUMMYFUNCTION("""COMPUTED_VALUE"""),326526.0)</f>
        <v>326526</v>
      </c>
      <c r="L603" s="243">
        <f>IFERROR(__xludf.DUMMYFUNCTION("""COMPUTED_VALUE"""),0.0)</f>
        <v>0</v>
      </c>
      <c r="M603" s="88"/>
      <c r="N603" s="88"/>
      <c r="O603" s="88"/>
      <c r="P603" s="88"/>
      <c r="Q603" s="88"/>
      <c r="R603" s="88"/>
      <c r="S603" s="88" t="str">
        <f>IFERROR(__xludf.DUMMYFUNCTION("""COMPUTED_VALUE"""),"Актуально")</f>
        <v>Актуально</v>
      </c>
      <c r="T603" s="88" t="str">
        <f>IFERROR(__xludf.DUMMYFUNCTION("""COMPUTED_VALUE"""),"Даша")</f>
        <v>Даша</v>
      </c>
      <c r="U603" s="88"/>
      <c r="V603" s="88"/>
      <c r="W603" s="88"/>
      <c r="X603" s="88"/>
      <c r="Y603" s="88"/>
      <c r="Z603" s="88"/>
      <c r="AA603" s="88"/>
      <c r="AC603" s="62" t="s">
        <v>2659</v>
      </c>
    </row>
    <row r="604">
      <c r="A604" s="88"/>
      <c r="B604" s="88">
        <f>IFERROR(__xludf.DUMMYFUNCTION("""COMPUTED_VALUE"""),93.0)</f>
        <v>93</v>
      </c>
      <c r="C604" s="88" t="str">
        <f>IFERROR(__xludf.DUMMYFUNCTION("""COMPUTED_VALUE"""),"urofol")</f>
        <v>urofol</v>
      </c>
      <c r="D604" s="88">
        <f>IFERROR(__xludf.DUMMYFUNCTION("""COMPUTED_VALUE"""),1.52808575E9)</f>
        <v>1528085750</v>
      </c>
      <c r="E604" s="88" t="str">
        <f>IFERROR(__xludf.DUMMYFUNCTION("""COMPUTED_VALUE"""),"CPA")</f>
        <v>CPA</v>
      </c>
      <c r="F604" s="88" t="str">
        <f>IFERROR(__xludf.DUMMYFUNCTION("""COMPUTED_VALUE"""),"Таблетки от недержания мочи от цистита, Алтея, Урофол, 20 капсул")</f>
        <v>Таблетки от недержания мочи от цистита, Алтея, Урофол, 20 капсул</v>
      </c>
      <c r="G604" s="88"/>
      <c r="H604" s="88" t="str">
        <f>IFERROR(__xludf.DUMMYFUNCTION("""COMPUTED_VALUE"""),"Парафармацевтика")</f>
        <v>Парафармацевтика</v>
      </c>
      <c r="I604" s="88" t="str">
        <f>IFERROR(__xludf.DUMMYFUNCTION("""COMPUTED_VALUE"""),"Цистит")</f>
        <v>Цистит</v>
      </c>
      <c r="J604" s="245">
        <f>IFERROR(__xludf.DUMMYFUNCTION("""COMPUTED_VALUE"""),526.0)</f>
        <v>526</v>
      </c>
      <c r="K604" s="240">
        <f>IFERROR(__xludf.DUMMYFUNCTION("""COMPUTED_VALUE"""),321156.0)</f>
        <v>321156</v>
      </c>
      <c r="L604" s="243">
        <f>IFERROR(__xludf.DUMMYFUNCTION("""COMPUTED_VALUE"""),0.0)</f>
        <v>0</v>
      </c>
      <c r="M604" s="88"/>
      <c r="N604" s="88"/>
      <c r="O604" s="88"/>
      <c r="P604" s="88"/>
      <c r="Q604" s="88"/>
      <c r="R604" s="88"/>
      <c r="S604" s="88" t="str">
        <f>IFERROR(__xludf.DUMMYFUNCTION("""COMPUTED_VALUE"""),"Актуально")</f>
        <v>Актуально</v>
      </c>
      <c r="T604" s="88" t="str">
        <f>IFERROR(__xludf.DUMMYFUNCTION("""COMPUTED_VALUE"""),"Даша")</f>
        <v>Даша</v>
      </c>
      <c r="U604" s="88"/>
      <c r="V604" s="88"/>
      <c r="W604" s="88"/>
      <c r="X604" s="88"/>
      <c r="Y604" s="88"/>
      <c r="Z604" s="88"/>
      <c r="AA604" s="88"/>
      <c r="AC604" s="62" t="s">
        <v>2659</v>
      </c>
    </row>
    <row r="605">
      <c r="A605" s="88"/>
      <c r="B605" s="88">
        <f>IFERROR(__xludf.DUMMYFUNCTION("""COMPUTED_VALUE"""),161.0)</f>
        <v>161</v>
      </c>
      <c r="C605" s="88" t="str">
        <f>IFERROR(__xludf.DUMMYFUNCTION("""COMPUTED_VALUE"""),"silk_hair_300ml")</f>
        <v>silk_hair_300ml</v>
      </c>
      <c r="D605" s="88">
        <f>IFERROR(__xludf.DUMMYFUNCTION("""COMPUTED_VALUE"""),2.067962201E9)</f>
        <v>2067962201</v>
      </c>
      <c r="E605" s="88" t="str">
        <f>IFERROR(__xludf.DUMMYFUNCTION("""COMPUTED_VALUE"""),"Алтея")</f>
        <v>Алтея</v>
      </c>
      <c r="F605" s="88" t="str">
        <f>IFERROR(__xludf.DUMMYFUNCTION("""COMPUTED_VALUE"""),"Kрем для волос разглаживающий праймер кондиционер реконструктор флюид для непослушных или кудрявых волос для кончиков Султан 300мл Алтея La Sultane")</f>
        <v>Kрем для волос разглаживающий праймер кондиционер реконструктор флюид для непослушных или кудрявых волос для кончиков Султан 300мл Алтея La Sultane</v>
      </c>
      <c r="G605" s="88"/>
      <c r="H605" s="88" t="str">
        <f>IFERROR(__xludf.DUMMYFUNCTION("""COMPUTED_VALUE"""),"Красота")</f>
        <v>Красота</v>
      </c>
      <c r="I605" s="88" t="str">
        <f>IFERROR(__xludf.DUMMYFUNCTION("""COMPUTED_VALUE"""),"Волосы")</f>
        <v>Волосы</v>
      </c>
      <c r="J605" s="245">
        <f>IFERROR(__xludf.DUMMYFUNCTION("""COMPUTED_VALUE"""),348.0)</f>
        <v>348</v>
      </c>
      <c r="K605" s="240">
        <f>IFERROR(__xludf.DUMMYFUNCTION("""COMPUTED_VALUE"""),313788.0)</f>
        <v>313788</v>
      </c>
      <c r="L605" s="243">
        <f>IFERROR(__xludf.DUMMYFUNCTION("""COMPUTED_VALUE"""),0.20039150486952975)</f>
        <v>0.2003915049</v>
      </c>
      <c r="M605" s="88"/>
      <c r="N605" s="88"/>
      <c r="O605" s="88"/>
      <c r="P605" s="88"/>
      <c r="Q605" s="88"/>
      <c r="R605" s="88"/>
      <c r="S605" s="88" t="str">
        <f>IFERROR(__xludf.DUMMYFUNCTION("""COMPUTED_VALUE"""),"Актуально")</f>
        <v>Актуально</v>
      </c>
      <c r="T605" s="88" t="str">
        <f>IFERROR(__xludf.DUMMYFUNCTION("""COMPUTED_VALUE"""),"Даша")</f>
        <v>Даша</v>
      </c>
      <c r="U605" s="88"/>
      <c r="V605" s="88"/>
      <c r="W605" s="88"/>
      <c r="X605" s="88"/>
      <c r="Y605" s="88"/>
      <c r="Z605" s="88"/>
      <c r="AA605" s="88"/>
      <c r="AC605" s="62" t="s">
        <v>2659</v>
      </c>
    </row>
    <row r="606">
      <c r="A606" s="88"/>
      <c r="B606" s="88">
        <f>IFERROR(__xludf.DUMMYFUNCTION("""COMPUTED_VALUE"""),25.0)</f>
        <v>25</v>
      </c>
      <c r="C606" s="88" t="str">
        <f>IFERROR(__xludf.DUMMYFUNCTION("""COMPUTED_VALUE"""),"artoks")</f>
        <v>artoks</v>
      </c>
      <c r="D606" s="88">
        <f>IFERROR(__xludf.DUMMYFUNCTION("""COMPUTED_VALUE"""),3.27290561E8)</f>
        <v>327290561</v>
      </c>
      <c r="E606" s="88" t="str">
        <f>IFERROR(__xludf.DUMMYFUNCTION("""COMPUTED_VALUE"""),"CPA")</f>
        <v>CPA</v>
      </c>
      <c r="F606" s="88" t="str">
        <f>IFERROR(__xludf.DUMMYFUNCTION("""COMPUTED_VALUE"""),"Мазь для суставов обезболивающая Артокс, панты марала крем Алтея, 50 мл")</f>
        <v>Мазь для суставов обезболивающая Артокс, панты марала крем Алтея, 50 мл</v>
      </c>
      <c r="G606" s="88"/>
      <c r="H606" s="88" t="str">
        <f>IFERROR(__xludf.DUMMYFUNCTION("""COMPUTED_VALUE"""),"Парафармацевтика")</f>
        <v>Парафармацевтика</v>
      </c>
      <c r="I606" s="88" t="str">
        <f>IFERROR(__xludf.DUMMYFUNCTION("""COMPUTED_VALUE"""),"Суставы")</f>
        <v>Суставы</v>
      </c>
      <c r="J606" s="245">
        <f>IFERROR(__xludf.DUMMYFUNCTION("""COMPUTED_VALUE"""),970.0)</f>
        <v>970</v>
      </c>
      <c r="K606" s="240">
        <f>IFERROR(__xludf.DUMMYFUNCTION("""COMPUTED_VALUE"""),668522.0)</f>
        <v>668522</v>
      </c>
      <c r="L606" s="243">
        <f>IFERROR(__xludf.DUMMYFUNCTION("""COMPUTED_VALUE"""),0.190554852495505)</f>
        <v>0.1905548525</v>
      </c>
      <c r="M606" s="88"/>
      <c r="N606" s="88"/>
      <c r="O606" s="88"/>
      <c r="P606" s="88"/>
      <c r="Q606" s="88"/>
      <c r="R606" s="88"/>
      <c r="S606" s="88" t="str">
        <f>IFERROR(__xludf.DUMMYFUNCTION("""COMPUTED_VALUE"""),"Актуально")</f>
        <v>Актуально</v>
      </c>
      <c r="T606" s="88" t="str">
        <f>IFERROR(__xludf.DUMMYFUNCTION("""COMPUTED_VALUE"""),"Влад")</f>
        <v>Влад</v>
      </c>
      <c r="U606" s="88"/>
      <c r="V606" s="88"/>
      <c r="W606" s="88"/>
      <c r="X606" s="88"/>
      <c r="Y606" s="88"/>
      <c r="Z606" s="88"/>
      <c r="AA606" s="88"/>
      <c r="AC606" s="62" t="s">
        <v>2659</v>
      </c>
    </row>
    <row r="607">
      <c r="A607" s="88"/>
      <c r="B607" s="88">
        <f>IFERROR(__xludf.DUMMYFUNCTION("""COMPUTED_VALUE"""),113.0)</f>
        <v>113</v>
      </c>
      <c r="C607" s="88" t="str">
        <f>IFERROR(__xludf.DUMMYFUNCTION("""COMPUTED_VALUE"""),"gemorekt")</f>
        <v>gemorekt</v>
      </c>
      <c r="D607" s="88">
        <f>IFERROR(__xludf.DUMMYFUNCTION("""COMPUTED_VALUE"""),1.590267064E9)</f>
        <v>1590267064</v>
      </c>
      <c r="E607" s="88" t="str">
        <f>IFERROR(__xludf.DUMMYFUNCTION("""COMPUTED_VALUE"""),"CPA")</f>
        <v>CPA</v>
      </c>
      <c r="F607" s="88" t="str">
        <f>IFERROR(__xludf.DUMMYFUNCTION("""COMPUTED_VALUE"""),"Крем гель от геморроя и анальных трещин / Геморект, 15 мл")</f>
        <v>Крем гель от геморроя и анальных трещин / Геморект, 15 мл</v>
      </c>
      <c r="G607" s="88"/>
      <c r="H607" s="88" t="str">
        <f>IFERROR(__xludf.DUMMYFUNCTION("""COMPUTED_VALUE"""),"Парафармацевтика")</f>
        <v>Парафармацевтика</v>
      </c>
      <c r="I607" s="88" t="str">
        <f>IFERROR(__xludf.DUMMYFUNCTION("""COMPUTED_VALUE"""),"Геморрой")</f>
        <v>Геморрой</v>
      </c>
      <c r="J607" s="245">
        <f>IFERROR(__xludf.DUMMYFUNCTION("""COMPUTED_VALUE"""),486.0)</f>
        <v>486</v>
      </c>
      <c r="K607" s="240">
        <f>IFERROR(__xludf.DUMMYFUNCTION("""COMPUTED_VALUE"""),311694.0)</f>
        <v>311694</v>
      </c>
      <c r="L607" s="243">
        <f>IFERROR(__xludf.DUMMYFUNCTION("""COMPUTED_VALUE"""),0.07230183565612427)</f>
        <v>0.07230183566</v>
      </c>
      <c r="M607" s="88"/>
      <c r="N607" s="88"/>
      <c r="O607" s="88"/>
      <c r="P607" s="88"/>
      <c r="Q607" s="88"/>
      <c r="R607" s="88"/>
      <c r="S607" s="88" t="str">
        <f>IFERROR(__xludf.DUMMYFUNCTION("""COMPUTED_VALUE"""),"Актуально")</f>
        <v>Актуально</v>
      </c>
      <c r="T607" s="88" t="str">
        <f>IFERROR(__xludf.DUMMYFUNCTION("""COMPUTED_VALUE"""),"Даша")</f>
        <v>Даша</v>
      </c>
      <c r="U607" s="88"/>
      <c r="V607" s="88"/>
      <c r="W607" s="88"/>
      <c r="X607" s="88"/>
      <c r="Y607" s="88"/>
      <c r="Z607" s="88"/>
      <c r="AA607" s="88"/>
      <c r="AC607" s="62" t="s">
        <v>2659</v>
      </c>
    </row>
    <row r="608">
      <c r="A608" s="88"/>
      <c r="B608" s="88">
        <f>IFERROR(__xludf.DUMMYFUNCTION("""COMPUTED_VALUE"""),133.0)</f>
        <v>133</v>
      </c>
      <c r="C608" s="88" t="str">
        <f>IFERROR(__xludf.DUMMYFUNCTION("""COMPUTED_VALUE"""),"enzim_pudra_80gr")</f>
        <v>enzim_pudra_80gr</v>
      </c>
      <c r="D608" s="88">
        <f>IFERROR(__xludf.DUMMYFUNCTION("""COMPUTED_VALUE"""),1.745153183E9)</f>
        <v>1745153183</v>
      </c>
      <c r="E608" s="88" t="str">
        <f>IFERROR(__xludf.DUMMYFUNCTION("""COMPUTED_VALUE"""),"Алтея")</f>
        <v>Алтея</v>
      </c>
      <c r="F608" s="88" t="str">
        <f>IFERROR(__xludf.DUMMYFUNCTION("""COMPUTED_VALUE"""),"Энзимная пудра для умывания тела и лица, от прыщей, Алтея, 80г")</f>
        <v>Энзимная пудра для умывания тела и лица, от прыщей, Алтея, 80г</v>
      </c>
      <c r="G608" s="88"/>
      <c r="H608" s="88" t="str">
        <f>IFERROR(__xludf.DUMMYFUNCTION("""COMPUTED_VALUE"""),"Красота")</f>
        <v>Красота</v>
      </c>
      <c r="I608" s="88" t="str">
        <f>IFERROR(__xludf.DUMMYFUNCTION("""COMPUTED_VALUE"""),"Лицо")</f>
        <v>Лицо</v>
      </c>
      <c r="J608" s="245">
        <f>IFERROR(__xludf.DUMMYFUNCTION("""COMPUTED_VALUE"""),390.0)</f>
        <v>390</v>
      </c>
      <c r="K608" s="240">
        <f>IFERROR(__xludf.DUMMYFUNCTION("""COMPUTED_VALUE"""),310090.0)</f>
        <v>310090</v>
      </c>
      <c r="L608" s="243">
        <f>IFERROR(__xludf.DUMMYFUNCTION("""COMPUTED_VALUE"""),0.044560200135444546)</f>
        <v>0.04456020014</v>
      </c>
      <c r="M608" s="88"/>
      <c r="N608" s="88"/>
      <c r="O608" s="88"/>
      <c r="P608" s="88"/>
      <c r="Q608" s="88"/>
      <c r="R608" s="88"/>
      <c r="S608" s="88" t="str">
        <f>IFERROR(__xludf.DUMMYFUNCTION("""COMPUTED_VALUE"""),"Актуально")</f>
        <v>Актуально</v>
      </c>
      <c r="T608" s="88" t="str">
        <f>IFERROR(__xludf.DUMMYFUNCTION("""COMPUTED_VALUE"""),"Даша")</f>
        <v>Даша</v>
      </c>
      <c r="U608" s="88"/>
      <c r="V608" s="88"/>
      <c r="W608" s="88"/>
      <c r="X608" s="88"/>
      <c r="Y608" s="88"/>
      <c r="Z608" s="88"/>
      <c r="AA608" s="88"/>
      <c r="AC608" s="62" t="s">
        <v>2659</v>
      </c>
    </row>
    <row r="609">
      <c r="A609" s="88"/>
      <c r="B609" s="88">
        <f>IFERROR(__xludf.DUMMYFUNCTION("""COMPUTED_VALUE"""),137.0)</f>
        <v>137</v>
      </c>
      <c r="C609" s="88" t="str">
        <f>IFERROR(__xludf.DUMMYFUNCTION("""COMPUTED_VALUE"""),"berberin_laif_BAD_60caps")</f>
        <v>berberin_laif_BAD_60caps</v>
      </c>
      <c r="D609" s="88">
        <f>IFERROR(__xludf.DUMMYFUNCTION("""COMPUTED_VALUE"""),1.753227855E9)</f>
        <v>1753227855</v>
      </c>
      <c r="E609" s="88" t="str">
        <f>IFERROR(__xludf.DUMMYFUNCTION("""COMPUTED_VALUE"""),"Алтея")</f>
        <v>Алтея</v>
      </c>
      <c r="F609" s="88" t="str">
        <f>IFERROR(__xludf.DUMMYFUNCTION("""COMPUTED_VALUE"""),"Берберин + хром + коэнзим + B6 для похудения, контроль аппетита и веса, Алтея, Берберин Лайф, 60 капсул")</f>
        <v>Берберин + хром + коэнзим + B6 для похудения, контроль аппетита и веса, Алтея, Берберин Лайф, 60 капсул</v>
      </c>
      <c r="G609" s="88"/>
      <c r="H609" s="88" t="str">
        <f>IFERROR(__xludf.DUMMYFUNCTION("""COMPUTED_VALUE"""),"БАДы")</f>
        <v>БАДы</v>
      </c>
      <c r="I609" s="88" t="str">
        <f>IFERROR(__xludf.DUMMYFUNCTION("""COMPUTED_VALUE"""),"Диабет")</f>
        <v>Диабет</v>
      </c>
      <c r="J609" s="245">
        <f>IFERROR(__xludf.DUMMYFUNCTION("""COMPUTED_VALUE"""),214.0)</f>
        <v>214</v>
      </c>
      <c r="K609" s="240">
        <f>IFERROR(__xludf.DUMMYFUNCTION("""COMPUTED_VALUE"""),305760.0)</f>
        <v>305760</v>
      </c>
      <c r="L609" s="243">
        <f>IFERROR(__xludf.DUMMYFUNCTION("""COMPUTED_VALUE"""),0.1078553895211931)</f>
        <v>0.1078553895</v>
      </c>
      <c r="M609" s="88"/>
      <c r="N609" s="88"/>
      <c r="O609" s="88"/>
      <c r="P609" s="88"/>
      <c r="Q609" s="88"/>
      <c r="R609" s="88"/>
      <c r="S609" s="88" t="str">
        <f>IFERROR(__xludf.DUMMYFUNCTION("""COMPUTED_VALUE"""),"Актуально")</f>
        <v>Актуально</v>
      </c>
      <c r="T609" s="88" t="str">
        <f>IFERROR(__xludf.DUMMYFUNCTION("""COMPUTED_VALUE"""),"Даша")</f>
        <v>Даша</v>
      </c>
      <c r="U609" s="88"/>
      <c r="V609" s="88"/>
      <c r="W609" s="88"/>
      <c r="X609" s="88"/>
      <c r="Y609" s="88"/>
      <c r="Z609" s="88"/>
      <c r="AA609" s="88"/>
      <c r="AC609" s="62" t="s">
        <v>2659</v>
      </c>
    </row>
    <row r="610">
      <c r="A610" s="88"/>
      <c r="B610" s="88">
        <f>IFERROR(__xludf.DUMMYFUNCTION("""COMPUTED_VALUE"""),135.0)</f>
        <v>135</v>
      </c>
      <c r="C610" s="88" t="str">
        <f>IFERROR(__xludf.DUMMYFUNCTION("""COMPUTED_VALUE"""),"indolakt_BAD_60caps")</f>
        <v>indolakt_BAD_60caps</v>
      </c>
      <c r="D610" s="88">
        <f>IFERROR(__xludf.DUMMYFUNCTION("""COMPUTED_VALUE"""),1.752021365E9)</f>
        <v>1752021365</v>
      </c>
      <c r="E610" s="88" t="str">
        <f>IFERROR(__xludf.DUMMYFUNCTION("""COMPUTED_VALUE"""),"Алтея")</f>
        <v>Алтея</v>
      </c>
      <c r="F610" s="88" t="str">
        <f>IFERROR(__xludf.DUMMYFUNCTION("""COMPUTED_VALUE"""),"Индол 3 карбинол брокколи витамины с зеленым чаем Алтея, Индолакт, 60 капсул")</f>
        <v>Индол 3 карбинол брокколи витамины с зеленым чаем Алтея, Индолакт, 60 капсул</v>
      </c>
      <c r="G610" s="88"/>
      <c r="H610" s="88" t="str">
        <f>IFERROR(__xludf.DUMMYFUNCTION("""COMPUTED_VALUE"""),"БАДы")</f>
        <v>БАДы</v>
      </c>
      <c r="I610" s="88" t="str">
        <f>IFERROR(__xludf.DUMMYFUNCTION("""COMPUTED_VALUE"""),"Женское")</f>
        <v>Женское</v>
      </c>
      <c r="J610" s="245">
        <f>IFERROR(__xludf.DUMMYFUNCTION("""COMPUTED_VALUE"""),344.0)</f>
        <v>344</v>
      </c>
      <c r="K610" s="240">
        <f>IFERROR(__xludf.DUMMYFUNCTION("""COMPUTED_VALUE"""),303862.0)</f>
        <v>303862</v>
      </c>
      <c r="L610" s="243">
        <f>IFERROR(__xludf.DUMMYFUNCTION("""COMPUTED_VALUE"""),0.11177666141208838)</f>
        <v>0.1117766614</v>
      </c>
      <c r="M610" s="88"/>
      <c r="N610" s="88"/>
      <c r="O610" s="88"/>
      <c r="P610" s="88"/>
      <c r="Q610" s="88"/>
      <c r="R610" s="88"/>
      <c r="S610" s="88" t="str">
        <f>IFERROR(__xludf.DUMMYFUNCTION("""COMPUTED_VALUE"""),"Актуально")</f>
        <v>Актуально</v>
      </c>
      <c r="T610" s="88" t="str">
        <f>IFERROR(__xludf.DUMMYFUNCTION("""COMPUTED_VALUE"""),"Даша")</f>
        <v>Даша</v>
      </c>
      <c r="U610" s="88"/>
      <c r="V610" s="88"/>
      <c r="W610" s="88"/>
      <c r="X610" s="88"/>
      <c r="Y610" s="88"/>
      <c r="Z610" s="88"/>
      <c r="AA610" s="88"/>
      <c r="AC610" s="62" t="s">
        <v>2659</v>
      </c>
    </row>
    <row r="611">
      <c r="A611" s="88"/>
      <c r="B611" s="88">
        <f>IFERROR(__xludf.DUMMYFUNCTION("""COMPUTED_VALUE"""),85.0)</f>
        <v>85</v>
      </c>
      <c r="C611" s="88" t="str">
        <f>IFERROR(__xludf.DUMMYFUNCTION("""COMPUTED_VALUE"""),"shampun_protiv_perhoti_250ml")</f>
        <v>shampun_protiv_perhoti_250ml</v>
      </c>
      <c r="D611" s="88">
        <f>IFERROR(__xludf.DUMMYFUNCTION("""COMPUTED_VALUE"""),1.440687097E9)</f>
        <v>1440687097</v>
      </c>
      <c r="E611" s="88" t="str">
        <f>IFERROR(__xludf.DUMMYFUNCTION("""COMPUTED_VALUE"""),"Алтея")</f>
        <v>Алтея</v>
      </c>
      <c r="F611" s="88" t="str">
        <f>IFERROR(__xludf.DUMMYFUNCTION("""COMPUTED_VALUE"""),"Шампунь от перхоти лечебный с климбазолом Алтея, 250мл")</f>
        <v>Шампунь от перхоти лечебный с климбазолом Алтея, 250мл</v>
      </c>
      <c r="G611" s="88"/>
      <c r="H611" s="88" t="str">
        <f>IFERROR(__xludf.DUMMYFUNCTION("""COMPUTED_VALUE"""),"Красота")</f>
        <v>Красота</v>
      </c>
      <c r="I611" s="88" t="str">
        <f>IFERROR(__xludf.DUMMYFUNCTION("""COMPUTED_VALUE"""),"Волосы")</f>
        <v>Волосы</v>
      </c>
      <c r="J611" s="245">
        <f>IFERROR(__xludf.DUMMYFUNCTION("""COMPUTED_VALUE"""),298.0)</f>
        <v>298</v>
      </c>
      <c r="K611" s="240">
        <f>IFERROR(__xludf.DUMMYFUNCTION("""COMPUTED_VALUE"""),270113.0)</f>
        <v>270113</v>
      </c>
      <c r="L611" s="243">
        <f>IFERROR(__xludf.DUMMYFUNCTION("""COMPUTED_VALUE"""),0.32245587668864517)</f>
        <v>0.3224558767</v>
      </c>
      <c r="M611" s="88"/>
      <c r="N611" s="88"/>
      <c r="O611" s="88"/>
      <c r="P611" s="88"/>
      <c r="Q611" s="88"/>
      <c r="R611" s="88"/>
      <c r="S611" s="88" t="str">
        <f>IFERROR(__xludf.DUMMYFUNCTION("""COMPUTED_VALUE"""),"Актуально")</f>
        <v>Актуально</v>
      </c>
      <c r="T611" s="88" t="str">
        <f>IFERROR(__xludf.DUMMYFUNCTION("""COMPUTED_VALUE"""),"Даша")</f>
        <v>Даша</v>
      </c>
      <c r="U611" s="88"/>
      <c r="V611" s="88"/>
      <c r="W611" s="88"/>
      <c r="X611" s="88"/>
      <c r="Y611" s="88"/>
      <c r="Z611" s="88"/>
      <c r="AA611" s="88"/>
      <c r="AC611" s="62" t="s">
        <v>2659</v>
      </c>
    </row>
    <row r="612">
      <c r="A612" s="88"/>
      <c r="B612" s="88">
        <f>IFERROR(__xludf.DUMMYFUNCTION("""COMPUTED_VALUE"""),45.0)</f>
        <v>45</v>
      </c>
      <c r="C612" s="88" t="str">
        <f>IFERROR(__xludf.DUMMYFUNCTION("""COMPUTED_VALUE"""),"okospas")</f>
        <v>okospas</v>
      </c>
      <c r="D612" s="88">
        <f>IFERROR(__xludf.DUMMYFUNCTION("""COMPUTED_VALUE"""),8.36659639E8)</f>
        <v>836659639</v>
      </c>
      <c r="E612" s="88" t="str">
        <f>IFERROR(__xludf.DUMMYFUNCTION("""COMPUTED_VALUE"""),"CPA")</f>
        <v>CPA</v>
      </c>
      <c r="F612" s="88" t="str">
        <f>IFERROR(__xludf.DUMMYFUNCTION("""COMPUTED_VALUE"""),"Витамины для глаз и восстановления зрения Окоспас, с лютеином и черникой, 10 мл")</f>
        <v>Витамины для глаз и восстановления зрения Окоспас, с лютеином и черникой, 10 мл</v>
      </c>
      <c r="G612" s="88"/>
      <c r="H612" s="88" t="str">
        <f>IFERROR(__xludf.DUMMYFUNCTION("""COMPUTED_VALUE"""),"Парафармацевтика")</f>
        <v>Парафармацевтика</v>
      </c>
      <c r="I612" s="88" t="str">
        <f>IFERROR(__xludf.DUMMYFUNCTION("""COMPUTED_VALUE"""),"Здоровье глаз")</f>
        <v>Здоровье глаз</v>
      </c>
      <c r="J612" s="245">
        <f>IFERROR(__xludf.DUMMYFUNCTION("""COMPUTED_VALUE"""),1025.0)</f>
        <v>1025</v>
      </c>
      <c r="K612" s="240">
        <f>IFERROR(__xludf.DUMMYFUNCTION("""COMPUTED_VALUE"""),618308.0)</f>
        <v>618308</v>
      </c>
      <c r="L612" s="243">
        <f>IFERROR(__xludf.DUMMYFUNCTION("""COMPUTED_VALUE"""),0.011121546627247262)</f>
        <v>0.01112154663</v>
      </c>
      <c r="M612" s="88"/>
      <c r="N612" s="88"/>
      <c r="O612" s="88"/>
      <c r="P612" s="88"/>
      <c r="Q612" s="88"/>
      <c r="R612" s="88"/>
      <c r="S612" s="88" t="str">
        <f>IFERROR(__xludf.DUMMYFUNCTION("""COMPUTED_VALUE"""),"Актуально")</f>
        <v>Актуально</v>
      </c>
      <c r="T612" s="88" t="str">
        <f>IFERROR(__xludf.DUMMYFUNCTION("""COMPUTED_VALUE"""),"Влад")</f>
        <v>Влад</v>
      </c>
      <c r="U612" s="88"/>
      <c r="V612" s="88"/>
      <c r="W612" s="88"/>
      <c r="X612" s="88"/>
      <c r="Y612" s="88"/>
      <c r="Z612" s="88"/>
      <c r="AA612" s="88"/>
      <c r="AC612" s="62" t="s">
        <v>2659</v>
      </c>
    </row>
    <row r="613">
      <c r="A613" s="88"/>
      <c r="B613" s="88">
        <f>IFERROR(__xludf.DUMMYFUNCTION("""COMPUTED_VALUE"""),99.0)</f>
        <v>99</v>
      </c>
      <c r="C613" s="88" t="str">
        <f>IFERROR(__xludf.DUMMYFUNCTION("""COMPUTED_VALUE"""),"oftalmol")</f>
        <v>oftalmol</v>
      </c>
      <c r="D613" s="88">
        <f>IFERROR(__xludf.DUMMYFUNCTION("""COMPUTED_VALUE"""),1.542468939E9)</f>
        <v>1542468939</v>
      </c>
      <c r="E613" s="88" t="str">
        <f>IFERROR(__xludf.DUMMYFUNCTION("""COMPUTED_VALUE"""),"CPA")</f>
        <v>CPA</v>
      </c>
      <c r="F613" s="88" t="str">
        <f>IFERROR(__xludf.DUMMYFUNCTION("""COMPUTED_VALUE"""),"Витамины для глаз; лютеин комплекс для глаз для зрения, комплекс витаминов (А, E, С) цинк для улучшения и восстановления зрения, увлажняющие капли / Офтальмол Oftalmol")</f>
        <v>Витамины для глаз; лютеин комплекс для глаз для зрения, комплекс витаминов (А, E, С) цинк для улучшения и восстановления зрения, увлажняющие капли / Офтальмол Oftalmol</v>
      </c>
      <c r="G613" s="88"/>
      <c r="H613" s="88" t="str">
        <f>IFERROR(__xludf.DUMMYFUNCTION("""COMPUTED_VALUE"""),"Парафармацевтика")</f>
        <v>Парафармацевтика</v>
      </c>
      <c r="I613" s="88" t="str">
        <f>IFERROR(__xludf.DUMMYFUNCTION("""COMPUTED_VALUE"""),"Здоровье глаз")</f>
        <v>Здоровье глаз</v>
      </c>
      <c r="J613" s="245">
        <f>IFERROR(__xludf.DUMMYFUNCTION("""COMPUTED_VALUE"""),754.0)</f>
        <v>754</v>
      </c>
      <c r="K613" s="240">
        <f>IFERROR(__xludf.DUMMYFUNCTION("""COMPUTED_VALUE"""),485345.0)</f>
        <v>485345</v>
      </c>
      <c r="L613" s="243">
        <f>IFERROR(__xludf.DUMMYFUNCTION("""COMPUTED_VALUE"""),0.0)</f>
        <v>0</v>
      </c>
      <c r="M613" s="88"/>
      <c r="N613" s="88"/>
      <c r="O613" s="88"/>
      <c r="P613" s="88"/>
      <c r="Q613" s="88"/>
      <c r="R613" s="88"/>
      <c r="S613" s="88" t="str">
        <f>IFERROR(__xludf.DUMMYFUNCTION("""COMPUTED_VALUE"""),"Актуально")</f>
        <v>Актуально</v>
      </c>
      <c r="T613" s="88" t="str">
        <f>IFERROR(__xludf.DUMMYFUNCTION("""COMPUTED_VALUE"""),"Влад")</f>
        <v>Влад</v>
      </c>
      <c r="U613" s="88"/>
      <c r="V613" s="88"/>
      <c r="W613" s="88"/>
      <c r="X613" s="88"/>
      <c r="Y613" s="88"/>
      <c r="Z613" s="88"/>
      <c r="AA613" s="88"/>
      <c r="AC613" s="62" t="s">
        <v>2659</v>
      </c>
    </row>
    <row r="614">
      <c r="A614" s="88" t="str">
        <f>IFERROR(__xludf.DUMMYFUNCTION("""COMPUTED_VALUE"""),"вывод")</f>
        <v>вывод</v>
      </c>
      <c r="B614" s="88">
        <f>IFERROR(__xludf.DUMMYFUNCTION("""COMPUTED_VALUE"""),139.0)</f>
        <v>139</v>
      </c>
      <c r="C614" s="88" t="str">
        <f>IFERROR(__xludf.DUMMYFUNCTION("""COMPUTED_VALUE"""),"revmastop_BAD_60caps")</f>
        <v>revmastop_BAD_60caps</v>
      </c>
      <c r="D614" s="88">
        <f>IFERROR(__xludf.DUMMYFUNCTION("""COMPUTED_VALUE"""),1.761037555E9)</f>
        <v>1761037555</v>
      </c>
      <c r="E614" s="88" t="str">
        <f>IFERROR(__xludf.DUMMYFUNCTION("""COMPUTED_VALUE"""),"Алтея")</f>
        <v>Алтея</v>
      </c>
      <c r="F614" s="88" t="str">
        <f>IFERROR(__xludf.DUMMYFUNCTION("""COMPUTED_VALUE"""),"Глюкозамин хондроитин МСМ для суставов и связок Ревмастоп Алтея 60 капсул")</f>
        <v>Глюкозамин хондроитин МСМ для суставов и связок Ревмастоп Алтея 60 капсул</v>
      </c>
      <c r="G614" s="88"/>
      <c r="H614" s="88" t="str">
        <f>IFERROR(__xludf.DUMMYFUNCTION("""COMPUTED_VALUE"""),"БАДы")</f>
        <v>БАДы</v>
      </c>
      <c r="I614" s="88" t="str">
        <f>IFERROR(__xludf.DUMMYFUNCTION("""COMPUTED_VALUE"""),"Суставы")</f>
        <v>Суставы</v>
      </c>
      <c r="J614" s="245">
        <f>IFERROR(__xludf.DUMMYFUNCTION("""COMPUTED_VALUE"""),410.0)</f>
        <v>410</v>
      </c>
      <c r="K614" s="240">
        <f>IFERROR(__xludf.DUMMYFUNCTION("""COMPUTED_VALUE"""),421010.0)</f>
        <v>421010</v>
      </c>
      <c r="L614" s="243">
        <f>IFERROR(__xludf.DUMMYFUNCTION("""COMPUTED_VALUE"""),0.3237186024084938)</f>
        <v>0.3237186024</v>
      </c>
      <c r="M614" s="88"/>
      <c r="N614" s="88"/>
      <c r="O614" s="88"/>
      <c r="P614" s="88"/>
      <c r="Q614" s="88"/>
      <c r="R614" s="88"/>
      <c r="S614" s="88" t="str">
        <f>IFERROR(__xludf.DUMMYFUNCTION("""COMPUTED_VALUE"""),"На вывод")</f>
        <v>На вывод</v>
      </c>
      <c r="T614" s="88" t="str">
        <f>IFERROR(__xludf.DUMMYFUNCTION("""COMPUTED_VALUE"""),"Влад")</f>
        <v>Влад</v>
      </c>
      <c r="U614" s="88"/>
      <c r="V614" s="88"/>
      <c r="W614" s="88"/>
      <c r="X614" s="88"/>
      <c r="Y614" s="88"/>
      <c r="Z614" s="88"/>
      <c r="AA614" s="88"/>
      <c r="AC614" s="62" t="s">
        <v>2659</v>
      </c>
    </row>
    <row r="615">
      <c r="A615" s="88"/>
      <c r="B615" s="88">
        <f>IFERROR(__xludf.DUMMYFUNCTION("""COMPUTED_VALUE"""),166.0)</f>
        <v>166</v>
      </c>
      <c r="C615" s="88" t="str">
        <f>IFERROR(__xludf.DUMMYFUNCTION("""COMPUTED_VALUE"""),"maslo_dlya_volos_parf_110ml_")</f>
        <v>maslo_dlya_volos_parf_110ml_</v>
      </c>
      <c r="D615" s="88">
        <f>IFERROR(__xludf.DUMMYFUNCTION("""COMPUTED_VALUE"""),2.168297398E9)</f>
        <v>2168297398</v>
      </c>
      <c r="E615" s="88" t="str">
        <f>IFERROR(__xludf.DUMMYFUNCTION("""COMPUTED_VALUE"""),"Алтея")</f>
        <v>Алтея</v>
      </c>
      <c r="F615" s="88" t="str">
        <f>IFERROR(__xludf.DUMMYFUNCTION("""COMPUTED_VALUE"""),"Масло для волос несмываемое профессиональное Tom Ford Lost Cherry, Алтея, 110 мл")</f>
        <v>Масло для волос несмываемое профессиональное Tom Ford Lost Cherry, Алтея, 110 мл</v>
      </c>
      <c r="G615" s="88"/>
      <c r="H615" s="88" t="str">
        <f>IFERROR(__xludf.DUMMYFUNCTION("""COMPUTED_VALUE"""),"Красота")</f>
        <v>Красота</v>
      </c>
      <c r="I615" s="88" t="str">
        <f>IFERROR(__xludf.DUMMYFUNCTION("""COMPUTED_VALUE"""),"Волосы")</f>
        <v>Волосы</v>
      </c>
      <c r="J615" s="245">
        <f>IFERROR(__xludf.DUMMYFUNCTION("""COMPUTED_VALUE"""),286.0)</f>
        <v>286</v>
      </c>
      <c r="K615" s="240">
        <f>IFERROR(__xludf.DUMMYFUNCTION("""COMPUTED_VALUE"""),245530.0)</f>
        <v>245530</v>
      </c>
      <c r="L615" s="243">
        <f>IFERROR(__xludf.DUMMYFUNCTION("""COMPUTED_VALUE"""),0.4775144000244369)</f>
        <v>0.4775144</v>
      </c>
      <c r="M615" s="88"/>
      <c r="N615" s="88"/>
      <c r="O615" s="88"/>
      <c r="P615" s="88"/>
      <c r="Q615" s="88"/>
      <c r="R615" s="88"/>
      <c r="S615" s="88" t="str">
        <f>IFERROR(__xludf.DUMMYFUNCTION("""COMPUTED_VALUE"""),"Актуально")</f>
        <v>Актуально</v>
      </c>
      <c r="T615" s="88" t="str">
        <f>IFERROR(__xludf.DUMMYFUNCTION("""COMPUTED_VALUE"""),"Даша")</f>
        <v>Даша</v>
      </c>
      <c r="U615" s="88"/>
      <c r="V615" s="88"/>
      <c r="W615" s="88"/>
      <c r="X615" s="88"/>
      <c r="Y615" s="88"/>
      <c r="Z615" s="88"/>
      <c r="AA615" s="88"/>
      <c r="AC615" s="62" t="s">
        <v>2659</v>
      </c>
    </row>
    <row r="616">
      <c r="A616" s="88"/>
      <c r="B616" s="88">
        <f>IFERROR(__xludf.DUMMYFUNCTION("""COMPUTED_VALUE"""),38.0)</f>
        <v>38</v>
      </c>
      <c r="C616" s="88" t="str">
        <f>IFERROR(__xludf.DUMMYFUNCTION("""COMPUTED_VALUE"""),"activeprost")</f>
        <v>activeprost</v>
      </c>
      <c r="D616" s="88">
        <f>IFERROR(__xludf.DUMMYFUNCTION("""COMPUTED_VALUE"""),7.32602771E8)</f>
        <v>732602771</v>
      </c>
      <c r="E616" s="88" t="str">
        <f>IFERROR(__xludf.DUMMYFUNCTION("""COMPUTED_VALUE"""),"CPA")</f>
        <v>CPA</v>
      </c>
      <c r="F616" s="88" t="str">
        <f>IFERROR(__xludf.DUMMYFUNCTION("""COMPUTED_VALUE"""),"Таблетки от простатита для мужчин для потенции Алтея, Активпрост, 10 штук")</f>
        <v>Таблетки от простатита для мужчин для потенции Алтея, Активпрост, 10 штук</v>
      </c>
      <c r="G616" s="88"/>
      <c r="H616" s="88" t="str">
        <f>IFERROR(__xludf.DUMMYFUNCTION("""COMPUTED_VALUE"""),"Парафармацевтика")</f>
        <v>Парафармацевтика</v>
      </c>
      <c r="I616" s="88" t="str">
        <f>IFERROR(__xludf.DUMMYFUNCTION("""COMPUTED_VALUE"""),"Простатит")</f>
        <v>Простатит</v>
      </c>
      <c r="J616" s="245">
        <f>IFERROR(__xludf.DUMMYFUNCTION("""COMPUTED_VALUE"""),640.0)</f>
        <v>640</v>
      </c>
      <c r="K616" s="240">
        <f>IFERROR(__xludf.DUMMYFUNCTION("""COMPUTED_VALUE"""),411840.0)</f>
        <v>411840</v>
      </c>
      <c r="L616" s="243">
        <f>IFERROR(__xludf.DUMMYFUNCTION("""COMPUTED_VALUE"""),0.08478321527777777)</f>
        <v>0.08478321528</v>
      </c>
      <c r="M616" s="88"/>
      <c r="N616" s="88"/>
      <c r="O616" s="88"/>
      <c r="P616" s="88"/>
      <c r="Q616" s="88"/>
      <c r="R616" s="88"/>
      <c r="S616" s="88" t="str">
        <f>IFERROR(__xludf.DUMMYFUNCTION("""COMPUTED_VALUE"""),"Актуально")</f>
        <v>Актуально</v>
      </c>
      <c r="T616" s="88" t="str">
        <f>IFERROR(__xludf.DUMMYFUNCTION("""COMPUTED_VALUE"""),"Влад")</f>
        <v>Влад</v>
      </c>
      <c r="U616" s="88"/>
      <c r="V616" s="88"/>
      <c r="W616" s="88"/>
      <c r="X616" s="88"/>
      <c r="Y616" s="88"/>
      <c r="Z616" s="88"/>
      <c r="AA616" s="88"/>
      <c r="AC616" s="62" t="s">
        <v>2659</v>
      </c>
    </row>
    <row r="617">
      <c r="A617" s="88"/>
      <c r="B617" s="88">
        <f>IFERROR(__xludf.DUMMYFUNCTION("""COMPUTED_VALUE"""),98.0)</f>
        <v>98</v>
      </c>
      <c r="C617" s="88" t="str">
        <f>IFERROR(__xludf.DUMMYFUNCTION("""COMPUTED_VALUE"""),"enteroshol")</f>
        <v>enteroshol</v>
      </c>
      <c r="D617" s="88">
        <f>IFERROR(__xludf.DUMMYFUNCTION("""COMPUTED_VALUE"""),1.542004482E9)</f>
        <v>1542004482</v>
      </c>
      <c r="E617" s="88" t="str">
        <f>IFERROR(__xludf.DUMMYFUNCTION("""COMPUTED_VALUE"""),"CPA")</f>
        <v>CPA</v>
      </c>
      <c r="F617" s="88" t="str">
        <f>IFERROR(__xludf.DUMMYFUNCTION("""COMPUTED_VALUE"""),"Таблетки от изжоги, для желудка и печени, чистка печени и желудка, Энтеросхол, 20 капсул")</f>
        <v>Таблетки от изжоги, для желудка и печени, чистка печени и желудка, Энтеросхол, 20 капсул</v>
      </c>
      <c r="G617" s="88"/>
      <c r="H617" s="88" t="str">
        <f>IFERROR(__xludf.DUMMYFUNCTION("""COMPUTED_VALUE"""),"Парафармацевтика")</f>
        <v>Парафармацевтика</v>
      </c>
      <c r="I617" s="88" t="str">
        <f>IFERROR(__xludf.DUMMYFUNCTION("""COMPUTED_VALUE"""),"ЖКТ")</f>
        <v>ЖКТ</v>
      </c>
      <c r="J617" s="245">
        <f>IFERROR(__xludf.DUMMYFUNCTION("""COMPUTED_VALUE"""),380.0)</f>
        <v>380</v>
      </c>
      <c r="K617" s="240">
        <f>IFERROR(__xludf.DUMMYFUNCTION("""COMPUTED_VALUE"""),243141.0)</f>
        <v>243141</v>
      </c>
      <c r="L617" s="243">
        <f>IFERROR(__xludf.DUMMYFUNCTION("""COMPUTED_VALUE"""),0.0)</f>
        <v>0</v>
      </c>
      <c r="M617" s="88"/>
      <c r="N617" s="88"/>
      <c r="O617" s="88"/>
      <c r="P617" s="88"/>
      <c r="Q617" s="88"/>
      <c r="R617" s="88"/>
      <c r="S617" s="88" t="str">
        <f>IFERROR(__xludf.DUMMYFUNCTION("""COMPUTED_VALUE"""),"Актуально")</f>
        <v>Актуально</v>
      </c>
      <c r="T617" s="88" t="str">
        <f>IFERROR(__xludf.DUMMYFUNCTION("""COMPUTED_VALUE"""),"Даша")</f>
        <v>Даша</v>
      </c>
      <c r="U617" s="88"/>
      <c r="V617" s="88"/>
      <c r="W617" s="88"/>
      <c r="X617" s="88"/>
      <c r="Y617" s="88"/>
      <c r="Z617" s="88"/>
      <c r="AA617" s="88"/>
      <c r="AC617" s="62" t="s">
        <v>2659</v>
      </c>
    </row>
    <row r="618">
      <c r="A618" s="88"/>
      <c r="B618" s="88">
        <f>IFERROR(__xludf.DUMMYFUNCTION("""COMPUTED_VALUE"""),52.0)</f>
        <v>52</v>
      </c>
      <c r="C618" s="88" t="str">
        <f>IFERROR(__xludf.DUMMYFUNCTION("""COMPUTED_VALUE"""),"artoks_1_1")</f>
        <v>artoks_1_1</v>
      </c>
      <c r="D618" s="88">
        <f>IFERROR(__xludf.DUMMYFUNCTION("""COMPUTED_VALUE"""),1.12926195E9)</f>
        <v>1129261950</v>
      </c>
      <c r="E618" s="88" t="str">
        <f>IFERROR(__xludf.DUMMYFUNCTION("""COMPUTED_VALUE"""),"CPA")</f>
        <v>CPA</v>
      </c>
      <c r="F618" s="88" t="str">
        <f>IFERROR(__xludf.DUMMYFUNCTION("""COMPUTED_VALUE"""),"Мазь для суставов обезболивающая Артокс, панты марала крем Алтея, 50+50 мл")</f>
        <v>Мазь для суставов обезболивающая Артокс, панты марала крем Алтея, 50+50 мл</v>
      </c>
      <c r="G618" s="88"/>
      <c r="H618" s="88" t="str">
        <f>IFERROR(__xludf.DUMMYFUNCTION("""COMPUTED_VALUE"""),"Парафармацевтика")</f>
        <v>Парафармацевтика</v>
      </c>
      <c r="I618" s="88" t="str">
        <f>IFERROR(__xludf.DUMMYFUNCTION("""COMPUTED_VALUE"""),"Суставы")</f>
        <v>Суставы</v>
      </c>
      <c r="J618" s="245">
        <f>IFERROR(__xludf.DUMMYFUNCTION("""COMPUTED_VALUE"""),360.0)</f>
        <v>360</v>
      </c>
      <c r="K618" s="240">
        <f>IFERROR(__xludf.DUMMYFUNCTION("""COMPUTED_VALUE"""),399964.0)</f>
        <v>399964</v>
      </c>
      <c r="L618" s="243">
        <f>IFERROR(__xludf.DUMMYFUNCTION("""COMPUTED_VALUE"""),0.019979065638407456)</f>
        <v>0.01997906564</v>
      </c>
      <c r="M618" s="88"/>
      <c r="N618" s="88"/>
      <c r="O618" s="88"/>
      <c r="P618" s="88"/>
      <c r="Q618" s="88"/>
      <c r="R618" s="88"/>
      <c r="S618" s="88" t="str">
        <f>IFERROR(__xludf.DUMMYFUNCTION("""COMPUTED_VALUE"""),"Актуально")</f>
        <v>Актуально</v>
      </c>
      <c r="T618" s="88" t="str">
        <f>IFERROR(__xludf.DUMMYFUNCTION("""COMPUTED_VALUE"""),"Влад")</f>
        <v>Влад</v>
      </c>
      <c r="U618" s="88"/>
      <c r="V618" s="88"/>
      <c r="W618" s="88"/>
      <c r="X618" s="88"/>
      <c r="Y618" s="88"/>
      <c r="Z618" s="88"/>
      <c r="AA618" s="88"/>
      <c r="AC618" s="62" t="s">
        <v>2659</v>
      </c>
    </row>
    <row r="619">
      <c r="A619" s="88"/>
      <c r="B619" s="88">
        <f>IFERROR(__xludf.DUMMYFUNCTION("""COMPUTED_VALUE"""),64.0)</f>
        <v>64</v>
      </c>
      <c r="C619" s="88" t="str">
        <f>IFERROR(__xludf.DUMMYFUNCTION("""COMPUTED_VALUE"""),"khvoinitsa_1_1")</f>
        <v>khvoinitsa_1_1</v>
      </c>
      <c r="D619" s="88">
        <f>IFERROR(__xludf.DUMMYFUNCTION("""COMPUTED_VALUE"""),1.191194423E9)</f>
        <v>1191194423</v>
      </c>
      <c r="E619" s="88" t="str">
        <f>IFERROR(__xludf.DUMMYFUNCTION("""COMPUTED_VALUE"""),"CPA")</f>
        <v>CPA</v>
      </c>
      <c r="F619" s="88" t="str">
        <f>IFERROR(__xludf.DUMMYFUNCTION("""COMPUTED_VALUE"""),"Хвойный экстракт для иммунитета и оздоровления Хвойница")</f>
        <v>Хвойный экстракт для иммунитета и оздоровления Хвойница</v>
      </c>
      <c r="G619" s="88"/>
      <c r="H619" s="88" t="str">
        <f>IFERROR(__xludf.DUMMYFUNCTION("""COMPUTED_VALUE"""),"Парафармацевтика")</f>
        <v>Парафармацевтика</v>
      </c>
      <c r="I619" s="88" t="str">
        <f>IFERROR(__xludf.DUMMYFUNCTION("""COMPUTED_VALUE"""),"Иммунитет")</f>
        <v>Иммунитет</v>
      </c>
      <c r="J619" s="245">
        <f>IFERROR(__xludf.DUMMYFUNCTION("""COMPUTED_VALUE"""),210.0)</f>
        <v>210</v>
      </c>
      <c r="K619" s="240">
        <f>IFERROR(__xludf.DUMMYFUNCTION("""COMPUTED_VALUE"""),242912.0)</f>
        <v>242912</v>
      </c>
      <c r="L619" s="243">
        <f>IFERROR(__xludf.DUMMYFUNCTION("""COMPUTED_VALUE"""),0.07344132245422211)</f>
        <v>0.07344132245</v>
      </c>
      <c r="M619" s="88"/>
      <c r="N619" s="88"/>
      <c r="O619" s="88"/>
      <c r="P619" s="88"/>
      <c r="Q619" s="88"/>
      <c r="R619" s="88"/>
      <c r="S619" s="88" t="str">
        <f>IFERROR(__xludf.DUMMYFUNCTION("""COMPUTED_VALUE"""),"Актуально")</f>
        <v>Актуально</v>
      </c>
      <c r="T619" s="88" t="str">
        <f>IFERROR(__xludf.DUMMYFUNCTION("""COMPUTED_VALUE"""),"Даша")</f>
        <v>Даша</v>
      </c>
      <c r="U619" s="88"/>
      <c r="V619" s="88"/>
      <c r="W619" s="88"/>
      <c r="X619" s="88"/>
      <c r="Y619" s="88"/>
      <c r="Z619" s="88"/>
      <c r="AA619" s="88"/>
      <c r="AC619" s="62" t="s">
        <v>2659</v>
      </c>
    </row>
    <row r="620">
      <c r="A620" s="88"/>
      <c r="B620" s="88">
        <f>IFERROR(__xludf.DUMMYFUNCTION("""COMPUTED_VALUE"""),78.0)</f>
        <v>78</v>
      </c>
      <c r="C620" s="88" t="str">
        <f>IFERROR(__xludf.DUMMYFUNCTION("""COMPUTED_VALUE"""),"daoshen_75ml")</f>
        <v>daoshen_75ml</v>
      </c>
      <c r="D620" s="88">
        <f>IFERROR(__xludf.DUMMYFUNCTION("""COMPUTED_VALUE"""),1.350973604E9)</f>
        <v>1350973604</v>
      </c>
      <c r="E620" s="88" t="str">
        <f>IFERROR(__xludf.DUMMYFUNCTION("""COMPUTED_VALUE"""),"CPA")</f>
        <v>CPA</v>
      </c>
      <c r="F620" s="88" t="str">
        <f>IFERROR(__xludf.DUMMYFUNCTION("""COMPUTED_VALUE"""),"Мазь от грибка ногтей и стопы ног противогрибковая Даошэн. Крем гель от грибка ногтей / 75 мл")</f>
        <v>Мазь от грибка ногтей и стопы ног противогрибковая Даошэн. Крем гель от грибка ногтей / 75 мл</v>
      </c>
      <c r="G620" s="88"/>
      <c r="H620" s="88" t="str">
        <f>IFERROR(__xludf.DUMMYFUNCTION("""COMPUTED_VALUE"""),"Парафармацевтика")</f>
        <v>Парафармацевтика</v>
      </c>
      <c r="I620" s="88" t="str">
        <f>IFERROR(__xludf.DUMMYFUNCTION("""COMPUTED_VALUE"""),"Грибок")</f>
        <v>Грибок</v>
      </c>
      <c r="J620" s="245">
        <f>IFERROR(__xludf.DUMMYFUNCTION("""COMPUTED_VALUE"""),244.0)</f>
        <v>244</v>
      </c>
      <c r="K620" s="240">
        <f>IFERROR(__xludf.DUMMYFUNCTION("""COMPUTED_VALUE"""),240156.0)</f>
        <v>240156</v>
      </c>
      <c r="L620" s="243">
        <f>IFERROR(__xludf.DUMMYFUNCTION("""COMPUTED_VALUE"""),0.17350743047435832)</f>
        <v>0.1735074305</v>
      </c>
      <c r="M620" s="88"/>
      <c r="N620" s="88"/>
      <c r="O620" s="88"/>
      <c r="P620" s="88"/>
      <c r="Q620" s="88"/>
      <c r="R620" s="88"/>
      <c r="S620" s="88" t="str">
        <f>IFERROR(__xludf.DUMMYFUNCTION("""COMPUTED_VALUE"""),"Актуально")</f>
        <v>Актуально</v>
      </c>
      <c r="T620" s="88" t="str">
        <f>IFERROR(__xludf.DUMMYFUNCTION("""COMPUTED_VALUE"""),"Даша")</f>
        <v>Даша</v>
      </c>
      <c r="U620" s="88"/>
      <c r="V620" s="88"/>
      <c r="W620" s="88"/>
      <c r="X620" s="88"/>
      <c r="Y620" s="88"/>
      <c r="Z620" s="88"/>
      <c r="AA620" s="88"/>
      <c r="AC620" s="62" t="s">
        <v>2659</v>
      </c>
    </row>
    <row r="621">
      <c r="A621" s="88"/>
      <c r="B621" s="88">
        <f>IFERROR(__xludf.DUMMYFUNCTION("""COMPUTED_VALUE"""),122.0)</f>
        <v>122</v>
      </c>
      <c r="C621" s="88" t="str">
        <f>IFERROR(__xludf.DUMMYFUNCTION("""COMPUTED_VALUE"""),"gel_dlya_brovei_6ml")</f>
        <v>gel_dlya_brovei_6ml</v>
      </c>
      <c r="D621" s="88">
        <f>IFERROR(__xludf.DUMMYFUNCTION("""COMPUTED_VALUE"""),1.671085702E9)</f>
        <v>1671085702</v>
      </c>
      <c r="E621" s="88" t="str">
        <f>IFERROR(__xludf.DUMMYFUNCTION("""COMPUTED_VALUE"""),"Алтея")</f>
        <v>Алтея</v>
      </c>
      <c r="F621" s="88" t="str">
        <f>IFERROR(__xludf.DUMMYFUNCTION("""COMPUTED_VALUE"""),"Гель для бровей с эффектом ламинирования, Алтея, 6 мл")</f>
        <v>Гель для бровей с эффектом ламинирования, Алтея, 6 мл</v>
      </c>
      <c r="G621" s="88"/>
      <c r="H621" s="88" t="str">
        <f>IFERROR(__xludf.DUMMYFUNCTION("""COMPUTED_VALUE"""),"Красота")</f>
        <v>Красота</v>
      </c>
      <c r="I621" s="88" t="str">
        <f>IFERROR(__xludf.DUMMYFUNCTION("""COMPUTED_VALUE"""),"Брови и ресницы")</f>
        <v>Брови и ресницы</v>
      </c>
      <c r="J621" s="245">
        <f>IFERROR(__xludf.DUMMYFUNCTION("""COMPUTED_VALUE"""),427.0)</f>
        <v>427</v>
      </c>
      <c r="K621" s="240">
        <f>IFERROR(__xludf.DUMMYFUNCTION("""COMPUTED_VALUE"""),231349.0)</f>
        <v>231349</v>
      </c>
      <c r="L621" s="243">
        <f>IFERROR(__xludf.DUMMYFUNCTION("""COMPUTED_VALUE"""),0.4317980576963808)</f>
        <v>0.4317980577</v>
      </c>
      <c r="M621" s="88"/>
      <c r="N621" s="88"/>
      <c r="O621" s="88"/>
      <c r="P621" s="88"/>
      <c r="Q621" s="88"/>
      <c r="R621" s="88"/>
      <c r="S621" s="88" t="str">
        <f>IFERROR(__xludf.DUMMYFUNCTION("""COMPUTED_VALUE"""),"Актуально")</f>
        <v>Актуально</v>
      </c>
      <c r="T621" s="88" t="str">
        <f>IFERROR(__xludf.DUMMYFUNCTION("""COMPUTED_VALUE"""),"Даша")</f>
        <v>Даша</v>
      </c>
      <c r="U621" s="88"/>
      <c r="V621" s="88"/>
      <c r="W621" s="88"/>
      <c r="X621" s="88"/>
      <c r="Y621" s="88"/>
      <c r="Z621" s="88"/>
      <c r="AA621" s="88"/>
      <c r="AC621" s="62" t="s">
        <v>2659</v>
      </c>
    </row>
    <row r="622">
      <c r="A622" s="88"/>
      <c r="B622" s="88">
        <f>IFERROR(__xludf.DUMMYFUNCTION("""COMPUTED_VALUE"""),138.0)</f>
        <v>138</v>
      </c>
      <c r="C622" s="88" t="str">
        <f>IFERROR(__xludf.DUMMYFUNCTION("""COMPUTED_VALUE"""),"b_kompleks_BAD_60tabl")</f>
        <v>b_kompleks_BAD_60tabl</v>
      </c>
      <c r="D622" s="88">
        <f>IFERROR(__xludf.DUMMYFUNCTION("""COMPUTED_VALUE"""),1.758604241E9)</f>
        <v>1758604241</v>
      </c>
      <c r="E622" s="88" t="str">
        <f>IFERROR(__xludf.DUMMYFUNCTION("""COMPUTED_VALUE"""),"Алтея")</f>
        <v>Алтея</v>
      </c>
      <c r="F622" s="88" t="str">
        <f>IFERROR(__xludf.DUMMYFUNCTION("""COMPUTED_VALUE"""),"Витамины группы В комплекс Алтея 60 жевательных таблеток")</f>
        <v>Витамины группы В комплекс Алтея 60 жевательных таблеток</v>
      </c>
      <c r="G622" s="88"/>
      <c r="H622" s="88" t="str">
        <f>IFERROR(__xludf.DUMMYFUNCTION("""COMPUTED_VALUE"""),"БАДы")</f>
        <v>БАДы</v>
      </c>
      <c r="I622" s="88" t="str">
        <f>IFERROR(__xludf.DUMMYFUNCTION("""COMPUTED_VALUE"""),"Женское")</f>
        <v>Женское</v>
      </c>
      <c r="J622" s="245">
        <f>IFERROR(__xludf.DUMMYFUNCTION("""COMPUTED_VALUE"""),376.0)</f>
        <v>376</v>
      </c>
      <c r="K622" s="240">
        <f>IFERROR(__xludf.DUMMYFUNCTION("""COMPUTED_VALUE"""),225779.0)</f>
        <v>225779</v>
      </c>
      <c r="L622" s="243">
        <f>IFERROR(__xludf.DUMMYFUNCTION("""COMPUTED_VALUE"""),0.2620995043826042)</f>
        <v>0.2620995044</v>
      </c>
      <c r="M622" s="88"/>
      <c r="N622" s="88"/>
      <c r="O622" s="88"/>
      <c r="P622" s="88"/>
      <c r="Q622" s="88"/>
      <c r="R622" s="88"/>
      <c r="S622" s="88" t="str">
        <f>IFERROR(__xludf.DUMMYFUNCTION("""COMPUTED_VALUE"""),"Актуально")</f>
        <v>Актуально</v>
      </c>
      <c r="T622" s="88" t="str">
        <f>IFERROR(__xludf.DUMMYFUNCTION("""COMPUTED_VALUE"""),"Даша")</f>
        <v>Даша</v>
      </c>
      <c r="U622" s="88"/>
      <c r="V622" s="88"/>
      <c r="W622" s="88"/>
      <c r="X622" s="88"/>
      <c r="Y622" s="88"/>
      <c r="Z622" s="88"/>
      <c r="AA622" s="88"/>
      <c r="AC622" s="62" t="s">
        <v>2659</v>
      </c>
    </row>
    <row r="623">
      <c r="A623" s="88"/>
      <c r="B623" s="88">
        <f>IFERROR(__xludf.DUMMYFUNCTION("""COMPUTED_VALUE"""),117.0)</f>
        <v>117</v>
      </c>
      <c r="C623" s="88" t="str">
        <f>IFERROR(__xludf.DUMMYFUNCTION("""COMPUTED_VALUE"""),"menoflavon_BAD_60caps")</f>
        <v>menoflavon_BAD_60caps</v>
      </c>
      <c r="D623" s="88">
        <f>IFERROR(__xludf.DUMMYFUNCTION("""COMPUTED_VALUE"""),1.614639084E9)</f>
        <v>1614639084</v>
      </c>
      <c r="E623" s="88" t="str">
        <f>IFERROR(__xludf.DUMMYFUNCTION("""COMPUTED_VALUE"""),"Алтея")</f>
        <v>Алтея</v>
      </c>
      <c r="F623" s="88" t="str">
        <f>IFERROR(__xludf.DUMMYFUNCTION("""COMPUTED_VALUE"""),"Фитоэстрогены для женщин, от приливов при климаксе, при менопаузе, Алтея, Мено Флавон, 60 капсул")</f>
        <v>Фитоэстрогены для женщин, от приливов при климаксе, при менопаузе, Алтея, Мено Флавон, 60 капсул</v>
      </c>
      <c r="G623" s="88"/>
      <c r="H623" s="88" t="str">
        <f>IFERROR(__xludf.DUMMYFUNCTION("""COMPUTED_VALUE"""),"БАДы")</f>
        <v>БАДы</v>
      </c>
      <c r="I623" s="88" t="str">
        <f>IFERROR(__xludf.DUMMYFUNCTION("""COMPUTED_VALUE"""),"Женское")</f>
        <v>Женское</v>
      </c>
      <c r="J623" s="245">
        <f>IFERROR(__xludf.DUMMYFUNCTION("""COMPUTED_VALUE"""),224.0)</f>
        <v>224</v>
      </c>
      <c r="K623" s="240">
        <f>IFERROR(__xludf.DUMMYFUNCTION("""COMPUTED_VALUE"""),218346.0)</f>
        <v>218346</v>
      </c>
      <c r="L623" s="243">
        <f>IFERROR(__xludf.DUMMYFUNCTION("""COMPUTED_VALUE"""),0.3251416755745468)</f>
        <v>0.3251416756</v>
      </c>
      <c r="M623" s="88"/>
      <c r="N623" s="88"/>
      <c r="O623" s="88"/>
      <c r="P623" s="88"/>
      <c r="Q623" s="88"/>
      <c r="R623" s="88"/>
      <c r="S623" s="88" t="str">
        <f>IFERROR(__xludf.DUMMYFUNCTION("""COMPUTED_VALUE"""),"Актуально")</f>
        <v>Актуально</v>
      </c>
      <c r="T623" s="88" t="str">
        <f>IFERROR(__xludf.DUMMYFUNCTION("""COMPUTED_VALUE"""),"Даша")</f>
        <v>Даша</v>
      </c>
      <c r="U623" s="88"/>
      <c r="V623" s="88"/>
      <c r="W623" s="88"/>
      <c r="X623" s="88"/>
      <c r="Y623" s="88"/>
      <c r="Z623" s="88"/>
      <c r="AA623" s="88"/>
      <c r="AC623" s="62" t="s">
        <v>2659</v>
      </c>
    </row>
    <row r="624">
      <c r="A624" s="88"/>
      <c r="B624" s="88">
        <f>IFERROR(__xludf.DUMMYFUNCTION("""COMPUTED_VALUE"""),73.0)</f>
        <v>73</v>
      </c>
      <c r="C624" s="88" t="str">
        <f>IFERROR(__xludf.DUMMYFUNCTION("""COMPUTED_VALUE"""),"synergel_60ml")</f>
        <v>synergel_60ml</v>
      </c>
      <c r="D624" s="88">
        <f>IFERROR(__xludf.DUMMYFUNCTION("""COMPUTED_VALUE"""),1.324992259E9)</f>
        <v>1324992259</v>
      </c>
      <c r="E624" s="88" t="str">
        <f>IFERROR(__xludf.DUMMYFUNCTION("""COMPUTED_VALUE"""),"CPA")</f>
        <v>CPA</v>
      </c>
      <c r="F624" s="88" t="str">
        <f>IFERROR(__xludf.DUMMYFUNCTION("""COMPUTED_VALUE"""),"Мазь для суставов обезболивающая от боли в спине, глюкозамин Алтея, Синергель, 60 мл")</f>
        <v>Мазь для суставов обезболивающая от боли в спине, глюкозамин Алтея, Синергель, 60 мл</v>
      </c>
      <c r="G624" s="88"/>
      <c r="H624" s="88" t="str">
        <f>IFERROR(__xludf.DUMMYFUNCTION("""COMPUTED_VALUE"""),"Парафармацевтика")</f>
        <v>Парафармацевтика</v>
      </c>
      <c r="I624" s="88" t="str">
        <f>IFERROR(__xludf.DUMMYFUNCTION("""COMPUTED_VALUE"""),"Суставы")</f>
        <v>Суставы</v>
      </c>
      <c r="J624" s="245">
        <f>IFERROR(__xludf.DUMMYFUNCTION("""COMPUTED_VALUE"""),439.0)</f>
        <v>439</v>
      </c>
      <c r="K624" s="240">
        <f>IFERROR(__xludf.DUMMYFUNCTION("""COMPUTED_VALUE"""),394513.0)</f>
        <v>394513</v>
      </c>
      <c r="L624" s="243">
        <f>IFERROR(__xludf.DUMMYFUNCTION("""COMPUTED_VALUE"""),0.029939672102060007)</f>
        <v>0.0299396721</v>
      </c>
      <c r="M624" s="88"/>
      <c r="N624" s="88"/>
      <c r="O624" s="88"/>
      <c r="P624" s="88"/>
      <c r="Q624" s="88"/>
      <c r="R624" s="88"/>
      <c r="S624" s="88" t="str">
        <f>IFERROR(__xludf.DUMMYFUNCTION("""COMPUTED_VALUE"""),"Актуально")</f>
        <v>Актуально</v>
      </c>
      <c r="T624" s="88" t="str">
        <f>IFERROR(__xludf.DUMMYFUNCTION("""COMPUTED_VALUE"""),"Влад")</f>
        <v>Влад</v>
      </c>
      <c r="U624" s="88"/>
      <c r="V624" s="88"/>
      <c r="W624" s="88"/>
      <c r="X624" s="88"/>
      <c r="Y624" s="88"/>
      <c r="Z624" s="88"/>
      <c r="AA624" s="88"/>
      <c r="AC624" s="62" t="s">
        <v>2659</v>
      </c>
    </row>
    <row r="625">
      <c r="A625" s="88"/>
      <c r="B625" s="88">
        <f>IFERROR(__xludf.DUMMYFUNCTION("""COMPUTED_VALUE"""),37.0)</f>
        <v>37</v>
      </c>
      <c r="C625" s="88" t="str">
        <f>IFERROR(__xludf.DUMMYFUNCTION("""COMPUTED_VALUE"""),"trezax")</f>
        <v>trezax</v>
      </c>
      <c r="D625" s="88">
        <f>IFERROR(__xludf.DUMMYFUNCTION("""COMPUTED_VALUE"""),7.33369927E8)</f>
        <v>733369927</v>
      </c>
      <c r="E625" s="88" t="str">
        <f>IFERROR(__xludf.DUMMYFUNCTION("""COMPUTED_VALUE"""),"CPA")</f>
        <v>CPA</v>
      </c>
      <c r="F625" s="88" t="str">
        <f>IFERROR(__xludf.DUMMYFUNCTION("""COMPUTED_VALUE"""),"Капли от алкогольной зависимости, от алкогольной зависимости, Алтея, Трезакс, 10 мл")</f>
        <v>Капли от алкогольной зависимости, от алкогольной зависимости, Алтея, Трезакс, 10 мл</v>
      </c>
      <c r="G625" s="88"/>
      <c r="H625" s="88" t="str">
        <f>IFERROR(__xludf.DUMMYFUNCTION("""COMPUTED_VALUE"""),"Парафармацевтика")</f>
        <v>Парафармацевтика</v>
      </c>
      <c r="I625" s="88" t="str">
        <f>IFERROR(__xludf.DUMMYFUNCTION("""COMPUTED_VALUE"""),"Алкоголь и Курение")</f>
        <v>Алкоголь и Курение</v>
      </c>
      <c r="J625" s="245">
        <f>IFERROR(__xludf.DUMMYFUNCTION("""COMPUTED_VALUE"""),464.0)</f>
        <v>464</v>
      </c>
      <c r="K625" s="240">
        <f>IFERROR(__xludf.DUMMYFUNCTION("""COMPUTED_VALUE"""),307221.0)</f>
        <v>307221</v>
      </c>
      <c r="L625" s="243">
        <f>IFERROR(__xludf.DUMMYFUNCTION("""COMPUTED_VALUE"""),0.0)</f>
        <v>0</v>
      </c>
      <c r="M625" s="88"/>
      <c r="N625" s="88"/>
      <c r="O625" s="88"/>
      <c r="P625" s="88"/>
      <c r="Q625" s="88"/>
      <c r="R625" s="88"/>
      <c r="S625" s="88" t="str">
        <f>IFERROR(__xludf.DUMMYFUNCTION("""COMPUTED_VALUE"""),"Актуально")</f>
        <v>Актуально</v>
      </c>
      <c r="T625" s="88" t="str">
        <f>IFERROR(__xludf.DUMMYFUNCTION("""COMPUTED_VALUE"""),"Влад")</f>
        <v>Влад</v>
      </c>
      <c r="U625" s="88"/>
      <c r="V625" s="88"/>
      <c r="W625" s="88"/>
      <c r="X625" s="88"/>
      <c r="Y625" s="88"/>
      <c r="Z625" s="88"/>
      <c r="AA625" s="88"/>
      <c r="AC625" s="62" t="s">
        <v>2659</v>
      </c>
    </row>
    <row r="626">
      <c r="A626" s="88"/>
      <c r="B626" s="88">
        <f>IFERROR(__xludf.DUMMYFUNCTION("""COMPUTED_VALUE"""),55.0)</f>
        <v>55</v>
      </c>
      <c r="C626" s="88" t="str">
        <f>IFERROR(__xludf.DUMMYFUNCTION("""COMPUTED_VALUE"""),"kardicin_1_1")</f>
        <v>kardicin_1_1</v>
      </c>
      <c r="D626" s="88">
        <f>IFERROR(__xludf.DUMMYFUNCTION("""COMPUTED_VALUE"""),1.129300642E9)</f>
        <v>1129300642</v>
      </c>
      <c r="E626" s="88" t="str">
        <f>IFERROR(__xludf.DUMMYFUNCTION("""COMPUTED_VALUE"""),"CPA")</f>
        <v>CPA</v>
      </c>
      <c r="F626" s="88" t="str">
        <f>IFERROR(__xludf.DUMMYFUNCTION("""COMPUTED_VALUE"""),"Средство от давления, витамины для сердца, чистка сосудов, Алтея, Кардицин, 2 шт")</f>
        <v>Средство от давления, витамины для сердца, чистка сосудов, Алтея, Кардицин, 2 шт</v>
      </c>
      <c r="G626" s="88"/>
      <c r="H626" s="88" t="str">
        <f>IFERROR(__xludf.DUMMYFUNCTION("""COMPUTED_VALUE"""),"Парафармацевтика")</f>
        <v>Парафармацевтика</v>
      </c>
      <c r="I626" s="88" t="str">
        <f>IFERROR(__xludf.DUMMYFUNCTION("""COMPUTED_VALUE"""),"Здоровье сердца")</f>
        <v>Здоровье сердца</v>
      </c>
      <c r="J626" s="245">
        <f>IFERROR(__xludf.DUMMYFUNCTION("""COMPUTED_VALUE"""),248.0)</f>
        <v>248</v>
      </c>
      <c r="K626" s="240">
        <f>IFERROR(__xludf.DUMMYFUNCTION("""COMPUTED_VALUE"""),284410.0)</f>
        <v>284410</v>
      </c>
      <c r="L626" s="243">
        <f>IFERROR(__xludf.DUMMYFUNCTION("""COMPUTED_VALUE"""),0.0)</f>
        <v>0</v>
      </c>
      <c r="M626" s="88"/>
      <c r="N626" s="88"/>
      <c r="O626" s="88"/>
      <c r="P626" s="88"/>
      <c r="Q626" s="88"/>
      <c r="R626" s="88"/>
      <c r="S626" s="88" t="str">
        <f>IFERROR(__xludf.DUMMYFUNCTION("""COMPUTED_VALUE"""),"Актуально")</f>
        <v>Актуально</v>
      </c>
      <c r="T626" s="88" t="str">
        <f>IFERROR(__xludf.DUMMYFUNCTION("""COMPUTED_VALUE"""),"Влад")</f>
        <v>Влад</v>
      </c>
      <c r="U626" s="88"/>
      <c r="V626" s="88"/>
      <c r="W626" s="88"/>
      <c r="X626" s="88"/>
      <c r="Y626" s="88"/>
      <c r="Z626" s="88"/>
      <c r="AA626" s="88"/>
      <c r="AC626" s="62" t="s">
        <v>2659</v>
      </c>
    </row>
    <row r="627">
      <c r="A627" s="88"/>
      <c r="B627" s="88">
        <f>IFERROR(__xludf.DUMMYFUNCTION("""COMPUTED_VALUE"""),181.0)</f>
        <v>181</v>
      </c>
      <c r="C627" s="88" t="str">
        <f>IFERROR(__xludf.DUMMYFUNCTION("""COMPUTED_VALUE"""),"uromax_1_1")</f>
        <v>uromax_1_1</v>
      </c>
      <c r="D627" s="88">
        <f>IFERROR(__xludf.DUMMYFUNCTION("""COMPUTED_VALUE"""),2.825142977E9)</f>
        <v>2825142977</v>
      </c>
      <c r="E627" s="88" t="str">
        <f>IFERROR(__xludf.DUMMYFUNCTION("""COMPUTED_VALUE"""),"CPA")</f>
        <v>CPA</v>
      </c>
      <c r="F627" s="88" t="str">
        <f>IFERROR(__xludf.DUMMYFUNCTION("""COMPUTED_VALUE"""),"Таблетки от простатита для мужчин, женьшень корень, Алтея, Уромакс, 20 капсул х 2")</f>
        <v>Таблетки от простатита для мужчин, женьшень корень, Алтея, Уромакс, 20 капсул х 2</v>
      </c>
      <c r="G627" s="88"/>
      <c r="H627" s="88" t="str">
        <f>IFERROR(__xludf.DUMMYFUNCTION("""COMPUTED_VALUE"""),"Парафармацевтика")</f>
        <v>Парафармацевтика</v>
      </c>
      <c r="I627" s="88" t="str">
        <f>IFERROR(__xludf.DUMMYFUNCTION("""COMPUTED_VALUE"""),"Простатит")</f>
        <v>Простатит</v>
      </c>
      <c r="J627" s="245">
        <f>IFERROR(__xludf.DUMMYFUNCTION("""COMPUTED_VALUE"""),179.0)</f>
        <v>179</v>
      </c>
      <c r="K627" s="240">
        <f>IFERROR(__xludf.DUMMYFUNCTION("""COMPUTED_VALUE"""),271849.0)</f>
        <v>271849</v>
      </c>
      <c r="L627" s="243">
        <f>IFERROR(__xludf.DUMMYFUNCTION("""COMPUTED_VALUE"""),0.0)</f>
        <v>0</v>
      </c>
      <c r="M627" s="88"/>
      <c r="N627" s="88"/>
      <c r="O627" s="88"/>
      <c r="P627" s="88"/>
      <c r="Q627" s="88"/>
      <c r="R627" s="88"/>
      <c r="S627" s="88" t="str">
        <f>IFERROR(__xludf.DUMMYFUNCTION("""COMPUTED_VALUE"""),"Актуально")</f>
        <v>Актуально</v>
      </c>
      <c r="T627" s="88" t="str">
        <f>IFERROR(__xludf.DUMMYFUNCTION("""COMPUTED_VALUE"""),"Влад")</f>
        <v>Влад</v>
      </c>
      <c r="U627" s="88"/>
      <c r="V627" s="88"/>
      <c r="W627" s="88"/>
      <c r="X627" s="88"/>
      <c r="Y627" s="88"/>
      <c r="Z627" s="88"/>
      <c r="AA627" s="88"/>
      <c r="AC627" s="62" t="s">
        <v>2659</v>
      </c>
    </row>
    <row r="628">
      <c r="A628" s="88"/>
      <c r="B628" s="88">
        <f>IFERROR(__xludf.DUMMYFUNCTION("""COMPUTED_VALUE"""),136.0)</f>
        <v>136</v>
      </c>
      <c r="C628" s="88" t="str">
        <f>IFERROR(__xludf.DUMMYFUNCTION("""COMPUTED_VALUE"""),"i_am_alpha_BAD_60caps")</f>
        <v>i_am_alpha_BAD_60caps</v>
      </c>
      <c r="D628" s="88">
        <f>IFERROR(__xludf.DUMMYFUNCTION("""COMPUTED_VALUE"""),1.752060204E9)</f>
        <v>1752060204</v>
      </c>
      <c r="E628" s="88" t="str">
        <f>IFERROR(__xludf.DUMMYFUNCTION("""COMPUTED_VALUE"""),"Алтея")</f>
        <v>Алтея</v>
      </c>
      <c r="F628" s="88" t="str">
        <f>IFERROR(__xludf.DUMMYFUNCTION("""COMPUTED_VALUE"""),"Тестостерон для мужчин I am alpha Алтея 60 капсул, экдистерон для потенции и мышц спортивный, цинк, тестобустер, витамины для мужчин, бустер")</f>
        <v>Тестостерон для мужчин I am alpha Алтея 60 капсул, экдистерон для потенции и мышц спортивный, цинк, тестобустер, витамины для мужчин, бустер</v>
      </c>
      <c r="G628" s="88"/>
      <c r="H628" s="88" t="str">
        <f>IFERROR(__xludf.DUMMYFUNCTION("""COMPUTED_VALUE"""),"БАДы")</f>
        <v>БАДы</v>
      </c>
      <c r="I628" s="88" t="str">
        <f>IFERROR(__xludf.DUMMYFUNCTION("""COMPUTED_VALUE"""),"Мужское")</f>
        <v>Мужское</v>
      </c>
      <c r="J628" s="245">
        <f>IFERROR(__xludf.DUMMYFUNCTION("""COMPUTED_VALUE"""),223.0)</f>
        <v>223</v>
      </c>
      <c r="K628" s="240">
        <f>IFERROR(__xludf.DUMMYFUNCTION("""COMPUTED_VALUE"""),266839.0)</f>
        <v>266839</v>
      </c>
      <c r="L628" s="243">
        <f>IFERROR(__xludf.DUMMYFUNCTION("""COMPUTED_VALUE"""),0.16895794055591576)</f>
        <v>0.1689579406</v>
      </c>
      <c r="M628" s="88"/>
      <c r="N628" s="88"/>
      <c r="O628" s="88"/>
      <c r="P628" s="88"/>
      <c r="Q628" s="88"/>
      <c r="R628" s="88"/>
      <c r="S628" s="88" t="str">
        <f>IFERROR(__xludf.DUMMYFUNCTION("""COMPUTED_VALUE"""),"Актуально")</f>
        <v>Актуально</v>
      </c>
      <c r="T628" s="88" t="str">
        <f>IFERROR(__xludf.DUMMYFUNCTION("""COMPUTED_VALUE"""),"Влад")</f>
        <v>Влад</v>
      </c>
      <c r="U628" s="88"/>
      <c r="V628" s="88"/>
      <c r="W628" s="88"/>
      <c r="X628" s="88"/>
      <c r="Y628" s="88"/>
      <c r="Z628" s="88"/>
      <c r="AA628" s="88"/>
      <c r="AC628" s="62" t="s">
        <v>2659</v>
      </c>
    </row>
    <row r="629">
      <c r="A629" s="88"/>
      <c r="B629" s="88">
        <f>IFERROR(__xludf.DUMMYFUNCTION("""COMPUTED_VALUE"""),21.0)</f>
        <v>21</v>
      </c>
      <c r="C629" s="88" t="str">
        <f>IFERROR(__xludf.DUMMYFUNCTION("""COMPUTED_VALUE"""),"micardinforte")</f>
        <v>micardinforte</v>
      </c>
      <c r="D629" s="88">
        <f>IFERROR(__xludf.DUMMYFUNCTION("""COMPUTED_VALUE"""),3.13362644E8)</f>
        <v>313362644</v>
      </c>
      <c r="E629" s="88" t="str">
        <f>IFERROR(__xludf.DUMMYFUNCTION("""COMPUTED_VALUE"""),"CPA")</f>
        <v>CPA</v>
      </c>
      <c r="F629" s="88" t="str">
        <f>IFERROR(__xludf.DUMMYFUNCTION("""COMPUTED_VALUE"""),"Средство от давления, чистка сосудов, Алтея, Микардин Форте, 10 капсул")</f>
        <v>Средство от давления, чистка сосудов, Алтея, Микардин Форте, 10 капсул</v>
      </c>
      <c r="G629" s="88"/>
      <c r="H629" s="88" t="str">
        <f>IFERROR(__xludf.DUMMYFUNCTION("""COMPUTED_VALUE"""),"Парафармацевтика")</f>
        <v>Парафармацевтика</v>
      </c>
      <c r="I629" s="88" t="str">
        <f>IFERROR(__xludf.DUMMYFUNCTION("""COMPUTED_VALUE"""),"Здоровье сердца")</f>
        <v>Здоровье сердца</v>
      </c>
      <c r="J629" s="245">
        <f>IFERROR(__xludf.DUMMYFUNCTION("""COMPUTED_VALUE"""),409.0)</f>
        <v>409</v>
      </c>
      <c r="K629" s="240">
        <f>IFERROR(__xludf.DUMMYFUNCTION("""COMPUTED_VALUE"""),259796.0)</f>
        <v>259796</v>
      </c>
      <c r="L629" s="243">
        <f>IFERROR(__xludf.DUMMYFUNCTION("""COMPUTED_VALUE"""),0.22675883323838703)</f>
        <v>0.2267588332</v>
      </c>
      <c r="M629" s="88"/>
      <c r="N629" s="88"/>
      <c r="O629" s="88"/>
      <c r="P629" s="88"/>
      <c r="Q629" s="88"/>
      <c r="R629" s="88"/>
      <c r="S629" s="88" t="str">
        <f>IFERROR(__xludf.DUMMYFUNCTION("""COMPUTED_VALUE"""),"Актуально")</f>
        <v>Актуально</v>
      </c>
      <c r="T629" s="88" t="str">
        <f>IFERROR(__xludf.DUMMYFUNCTION("""COMPUTED_VALUE"""),"Влад")</f>
        <v>Влад</v>
      </c>
      <c r="U629" s="88"/>
      <c r="V629" s="88"/>
      <c r="W629" s="88"/>
      <c r="X629" s="88"/>
      <c r="Y629" s="88"/>
      <c r="Z629" s="88"/>
      <c r="AA629" s="88"/>
      <c r="AC629" s="62" t="s">
        <v>2659</v>
      </c>
    </row>
    <row r="630">
      <c r="A630" s="88"/>
      <c r="B630" s="88">
        <f>IFERROR(__xludf.DUMMYFUNCTION("""COMPUTED_VALUE"""),120.0)</f>
        <v>120</v>
      </c>
      <c r="C630" s="88" t="str">
        <f>IFERROR(__xludf.DUMMYFUNCTION("""COMPUTED_VALUE"""),"wbbiotrin_1_1_1")</f>
        <v>wbbiotrin_1_1_1</v>
      </c>
      <c r="D630" s="88">
        <f>IFERROR(__xludf.DUMMYFUNCTION("""COMPUTED_VALUE"""),1.646797818E9)</f>
        <v>1646797818</v>
      </c>
      <c r="E630" s="88" t="str">
        <f>IFERROR(__xludf.DUMMYFUNCTION("""COMPUTED_VALUE"""),"CPA")</f>
        <v>CPA</v>
      </c>
      <c r="F630" s="88" t="str">
        <f>IFERROR(__xludf.DUMMYFUNCTION("""COMPUTED_VALUE"""),"Мазь для суставов обезболивающая, панты морала,коллаген, хондротин, глюкозамин, Биотрин, 3 шт")</f>
        <v>Мазь для суставов обезболивающая, панты морала,коллаген, хондротин, глюкозамин, Биотрин, 3 шт</v>
      </c>
      <c r="G630" s="88"/>
      <c r="H630" s="88" t="str">
        <f>IFERROR(__xludf.DUMMYFUNCTION("""COMPUTED_VALUE"""),"Парафармацевтика")</f>
        <v>Парафармацевтика</v>
      </c>
      <c r="I630" s="88" t="str">
        <f>IFERROR(__xludf.DUMMYFUNCTION("""COMPUTED_VALUE"""),"Суставы")</f>
        <v>Суставы</v>
      </c>
      <c r="J630" s="245">
        <f>IFERROR(__xludf.DUMMYFUNCTION("""COMPUTED_VALUE"""),177.0)</f>
        <v>177</v>
      </c>
      <c r="K630" s="240">
        <f>IFERROR(__xludf.DUMMYFUNCTION("""COMPUTED_VALUE"""),250825.0)</f>
        <v>250825</v>
      </c>
      <c r="L630" s="243">
        <f>IFERROR(__xludf.DUMMYFUNCTION("""COMPUTED_VALUE"""),0.12765203165553674)</f>
        <v>0.1276520317</v>
      </c>
      <c r="M630" s="88"/>
      <c r="N630" s="88"/>
      <c r="O630" s="88"/>
      <c r="P630" s="88"/>
      <c r="Q630" s="88"/>
      <c r="R630" s="88"/>
      <c r="S630" s="88" t="str">
        <f>IFERROR(__xludf.DUMMYFUNCTION("""COMPUTED_VALUE"""),"Актуально")</f>
        <v>Актуально</v>
      </c>
      <c r="T630" s="88" t="str">
        <f>IFERROR(__xludf.DUMMYFUNCTION("""COMPUTED_VALUE"""),"Влад")</f>
        <v>Влад</v>
      </c>
      <c r="U630" s="88"/>
      <c r="V630" s="88"/>
      <c r="W630" s="88"/>
      <c r="X630" s="88"/>
      <c r="Y630" s="88"/>
      <c r="Z630" s="88"/>
      <c r="AA630" s="88"/>
      <c r="AC630" s="62" t="s">
        <v>2659</v>
      </c>
    </row>
    <row r="631">
      <c r="A631" s="88"/>
      <c r="B631" s="88">
        <f>IFERROR(__xludf.DUMMYFUNCTION("""COMPUTED_VALUE"""),19.0)</f>
        <v>19</v>
      </c>
      <c r="C631" s="88" t="str">
        <f>IFERROR(__xludf.DUMMYFUNCTION("""COMPUTED_VALUE"""),"micardin")</f>
        <v>micardin</v>
      </c>
      <c r="D631" s="88">
        <f>IFERROR(__xludf.DUMMYFUNCTION("""COMPUTED_VALUE"""),2.96818697E8)</f>
        <v>296818697</v>
      </c>
      <c r="E631" s="88" t="str">
        <f>IFERROR(__xludf.DUMMYFUNCTION("""COMPUTED_VALUE"""),"CPA")</f>
        <v>CPA</v>
      </c>
      <c r="F631" s="88" t="str">
        <f>IFERROR(__xludf.DUMMYFUNCTION("""COMPUTED_VALUE"""),"Средство от давления, витамины для сердца, чистка сосудов, Алтея, Микардин, 10 капсул")</f>
        <v>Средство от давления, витамины для сердца, чистка сосудов, Алтея, Микардин, 10 капсул</v>
      </c>
      <c r="G631" s="88"/>
      <c r="H631" s="88" t="str">
        <f>IFERROR(__xludf.DUMMYFUNCTION("""COMPUTED_VALUE"""),"Парафармацевтика")</f>
        <v>Парафармацевтика</v>
      </c>
      <c r="I631" s="88" t="str">
        <f>IFERROR(__xludf.DUMMYFUNCTION("""COMPUTED_VALUE"""),"Здоровье сердца")</f>
        <v>Здоровье сердца</v>
      </c>
      <c r="J631" s="245">
        <f>IFERROR(__xludf.DUMMYFUNCTION("""COMPUTED_VALUE"""),393.0)</f>
        <v>393</v>
      </c>
      <c r="K631" s="240">
        <f>IFERROR(__xludf.DUMMYFUNCTION("""COMPUTED_VALUE"""),248718.0)</f>
        <v>248718</v>
      </c>
      <c r="L631" s="243">
        <f>IFERROR(__xludf.DUMMYFUNCTION("""COMPUTED_VALUE"""),0.0)</f>
        <v>0</v>
      </c>
      <c r="M631" s="88"/>
      <c r="N631" s="88"/>
      <c r="O631" s="88"/>
      <c r="P631" s="88"/>
      <c r="Q631" s="88"/>
      <c r="R631" s="88"/>
      <c r="S631" s="88" t="str">
        <f>IFERROR(__xludf.DUMMYFUNCTION("""COMPUTED_VALUE"""),"Актуально")</f>
        <v>Актуально</v>
      </c>
      <c r="T631" s="88" t="str">
        <f>IFERROR(__xludf.DUMMYFUNCTION("""COMPUTED_VALUE"""),"Влад")</f>
        <v>Влад</v>
      </c>
      <c r="U631" s="88"/>
      <c r="V631" s="88"/>
      <c r="W631" s="88"/>
      <c r="X631" s="88"/>
      <c r="Y631" s="88"/>
      <c r="Z631" s="88"/>
      <c r="AA631" s="88"/>
      <c r="AC631" s="62" t="s">
        <v>2659</v>
      </c>
    </row>
    <row r="632">
      <c r="A632" s="88"/>
      <c r="B632" s="88">
        <f>IFERROR(__xludf.DUMMYFUNCTION("""COMPUTED_VALUE"""),72.0)</f>
        <v>72</v>
      </c>
      <c r="C632" s="88" t="str">
        <f>IFERROR(__xludf.DUMMYFUNCTION("""COMPUTED_VALUE"""),"artoks_75ml")</f>
        <v>artoks_75ml</v>
      </c>
      <c r="D632" s="88">
        <f>IFERROR(__xludf.DUMMYFUNCTION("""COMPUTED_VALUE"""),1.323284376E9)</f>
        <v>1323284376</v>
      </c>
      <c r="E632" s="88" t="str">
        <f>IFERROR(__xludf.DUMMYFUNCTION("""COMPUTED_VALUE"""),"CPA")</f>
        <v>CPA</v>
      </c>
      <c r="F632" s="88" t="str">
        <f>IFERROR(__xludf.DUMMYFUNCTION("""COMPUTED_VALUE"""),"Крем мазь для суставов и связок Артокс обезболивающий, панты марала 75 мл")</f>
        <v>Крем мазь для суставов и связок Артокс обезболивающий, панты марала 75 мл</v>
      </c>
      <c r="G632" s="88"/>
      <c r="H632" s="88" t="str">
        <f>IFERROR(__xludf.DUMMYFUNCTION("""COMPUTED_VALUE"""),"Парафармацевтика")</f>
        <v>Парафармацевтика</v>
      </c>
      <c r="I632" s="88" t="str">
        <f>IFERROR(__xludf.DUMMYFUNCTION("""COMPUTED_VALUE"""),"Суставы")</f>
        <v>Суставы</v>
      </c>
      <c r="J632" s="245">
        <f>IFERROR(__xludf.DUMMYFUNCTION("""COMPUTED_VALUE"""),251.0)</f>
        <v>251</v>
      </c>
      <c r="K632" s="240">
        <f>IFERROR(__xludf.DUMMYFUNCTION("""COMPUTED_VALUE"""),222657.0)</f>
        <v>222657</v>
      </c>
      <c r="L632" s="243">
        <f>IFERROR(__xludf.DUMMYFUNCTION("""COMPUTED_VALUE"""),0.09579071285879179)</f>
        <v>0.09579071286</v>
      </c>
      <c r="M632" s="88"/>
      <c r="N632" s="88"/>
      <c r="O632" s="88"/>
      <c r="P632" s="88"/>
      <c r="Q632" s="88"/>
      <c r="R632" s="88"/>
      <c r="S632" s="88" t="str">
        <f>IFERROR(__xludf.DUMMYFUNCTION("""COMPUTED_VALUE"""),"Актуально")</f>
        <v>Актуально</v>
      </c>
      <c r="T632" s="88" t="str">
        <f>IFERROR(__xludf.DUMMYFUNCTION("""COMPUTED_VALUE"""),"Влад")</f>
        <v>Влад</v>
      </c>
      <c r="U632" s="88"/>
      <c r="V632" s="88"/>
      <c r="W632" s="88"/>
      <c r="X632" s="88"/>
      <c r="Y632" s="88"/>
      <c r="Z632" s="88"/>
      <c r="AA632" s="88"/>
      <c r="AC632" s="62" t="s">
        <v>2659</v>
      </c>
    </row>
    <row r="633">
      <c r="A633" s="88"/>
      <c r="B633" s="88">
        <f>IFERROR(__xludf.DUMMYFUNCTION("""COMPUTED_VALUE"""),82.0)</f>
        <v>82</v>
      </c>
      <c r="C633" s="88" t="str">
        <f>IFERROR(__xludf.DUMMYFUNCTION("""COMPUTED_VALUE"""),"krem_dlya_ruk_75ml")</f>
        <v>krem_dlya_ruk_75ml</v>
      </c>
      <c r="D633" s="88">
        <f>IFERROR(__xludf.DUMMYFUNCTION("""COMPUTED_VALUE"""),1.413555098E9)</f>
        <v>1413555098</v>
      </c>
      <c r="E633" s="88" t="str">
        <f>IFERROR(__xludf.DUMMYFUNCTION("""COMPUTED_VALUE"""),"Алтея")</f>
        <v>Алтея</v>
      </c>
      <c r="F633" s="88" t="str">
        <f>IFERROR(__xludf.DUMMYFUNCTION("""COMPUTED_VALUE"""),"Ламеллярный крем для рук с мочевиной, увлажняющий и питательный с маслом кокоса, Алтея, 75 мл")</f>
        <v>Ламеллярный крем для рук с мочевиной, увлажняющий и питательный с маслом кокоса, Алтея, 75 мл</v>
      </c>
      <c r="G633" s="88"/>
      <c r="H633" s="88" t="str">
        <f>IFERROR(__xludf.DUMMYFUNCTION("""COMPUTED_VALUE"""),"Красота")</f>
        <v>Красота</v>
      </c>
      <c r="I633" s="88" t="str">
        <f>IFERROR(__xludf.DUMMYFUNCTION("""COMPUTED_VALUE"""),"Руки и ногти")</f>
        <v>Руки и ногти</v>
      </c>
      <c r="J633" s="245">
        <f>IFERROR(__xludf.DUMMYFUNCTION("""COMPUTED_VALUE"""),425.0)</f>
        <v>425</v>
      </c>
      <c r="K633" s="240">
        <f>IFERROR(__xludf.DUMMYFUNCTION("""COMPUTED_VALUE"""),221600.0)</f>
        <v>221600</v>
      </c>
      <c r="L633" s="243">
        <f>IFERROR(__xludf.DUMMYFUNCTION("""COMPUTED_VALUE"""),0.19395744426895306)</f>
        <v>0.1939574443</v>
      </c>
      <c r="M633" s="88"/>
      <c r="N633" s="88"/>
      <c r="O633" s="88"/>
      <c r="P633" s="88"/>
      <c r="Q633" s="88"/>
      <c r="R633" s="88"/>
      <c r="S633" s="88" t="str">
        <f>IFERROR(__xludf.DUMMYFUNCTION("""COMPUTED_VALUE"""),"Актуально")</f>
        <v>Актуально</v>
      </c>
      <c r="T633" s="88" t="str">
        <f>IFERROR(__xludf.DUMMYFUNCTION("""COMPUTED_VALUE"""),"Влад")</f>
        <v>Влад</v>
      </c>
      <c r="U633" s="88"/>
      <c r="V633" s="88"/>
      <c r="W633" s="88"/>
      <c r="X633" s="88"/>
      <c r="Y633" s="88"/>
      <c r="Z633" s="88"/>
      <c r="AA633" s="88"/>
      <c r="AC633" s="62" t="s">
        <v>2659</v>
      </c>
    </row>
    <row r="634">
      <c r="A634" s="88"/>
      <c r="B634" s="88">
        <f>IFERROR(__xludf.DUMMYFUNCTION("""COMPUTED_VALUE"""),5.0)</f>
        <v>5</v>
      </c>
      <c r="C634" s="88" t="str">
        <f>IFERROR(__xludf.DUMMYFUNCTION("""COMPUTED_VALUE"""),"wbsinergel")</f>
        <v>wbsinergel</v>
      </c>
      <c r="D634" s="88">
        <f>IFERROR(__xludf.DUMMYFUNCTION("""COMPUTED_VALUE"""),2.89049035E8)</f>
        <v>289049035</v>
      </c>
      <c r="E634" s="88" t="str">
        <f>IFERROR(__xludf.DUMMYFUNCTION("""COMPUTED_VALUE"""),"CPA")</f>
        <v>CPA</v>
      </c>
      <c r="F634" s="88" t="str">
        <f>IFERROR(__xludf.DUMMYFUNCTION("""COMPUTED_VALUE"""),"Мазь для суставов обезболивающая с глюкозамин Алтея, Синергель, 30 мл")</f>
        <v>Мазь для суставов обезболивающая с глюкозамин Алтея, Синергель, 30 мл</v>
      </c>
      <c r="G634" s="88"/>
      <c r="H634" s="88" t="str">
        <f>IFERROR(__xludf.DUMMYFUNCTION("""COMPUTED_VALUE"""),"Парафармацевтика")</f>
        <v>Парафармацевтика</v>
      </c>
      <c r="I634" s="88" t="str">
        <f>IFERROR(__xludf.DUMMYFUNCTION("""COMPUTED_VALUE"""),"Суставы")</f>
        <v>Суставы</v>
      </c>
      <c r="J634" s="245">
        <f>IFERROR(__xludf.DUMMYFUNCTION("""COMPUTED_VALUE"""),329.0)</f>
        <v>329</v>
      </c>
      <c r="K634" s="240">
        <f>IFERROR(__xludf.DUMMYFUNCTION("""COMPUTED_VALUE"""),214331.0)</f>
        <v>214331</v>
      </c>
      <c r="L634" s="243">
        <f>IFERROR(__xludf.DUMMYFUNCTION("""COMPUTED_VALUE"""),0.05349333535512828)</f>
        <v>0.05349333536</v>
      </c>
      <c r="M634" s="88"/>
      <c r="N634" s="88"/>
      <c r="O634" s="88"/>
      <c r="P634" s="88"/>
      <c r="Q634" s="88"/>
      <c r="R634" s="88"/>
      <c r="S634" s="88" t="str">
        <f>IFERROR(__xludf.DUMMYFUNCTION("""COMPUTED_VALUE"""),"Актуально")</f>
        <v>Актуально</v>
      </c>
      <c r="T634" s="88" t="str">
        <f>IFERROR(__xludf.DUMMYFUNCTION("""COMPUTED_VALUE"""),"Влад")</f>
        <v>Влад</v>
      </c>
      <c r="U634" s="88"/>
      <c r="V634" s="88"/>
      <c r="W634" s="88"/>
      <c r="X634" s="88"/>
      <c r="Y634" s="88"/>
      <c r="Z634" s="88"/>
      <c r="AA634" s="88"/>
      <c r="AC634" s="62" t="s">
        <v>2659</v>
      </c>
    </row>
    <row r="635">
      <c r="A635" s="88"/>
      <c r="B635" s="88">
        <f>IFERROR(__xludf.DUMMYFUNCTION("""COMPUTED_VALUE"""),42.0)</f>
        <v>42</v>
      </c>
      <c r="C635" s="88" t="str">
        <f>IFERROR(__xludf.DUMMYFUNCTION("""COMPUTED_VALUE"""),"otivin")</f>
        <v>otivin</v>
      </c>
      <c r="D635" s="88">
        <f>IFERROR(__xludf.DUMMYFUNCTION("""COMPUTED_VALUE"""),7.92260062E8)</f>
        <v>792260062</v>
      </c>
      <c r="E635" s="88" t="str">
        <f>IFERROR(__xludf.DUMMYFUNCTION("""COMPUTED_VALUE"""),"CPA")</f>
        <v>CPA</v>
      </c>
      <c r="F635" s="88" t="str">
        <f>IFERROR(__xludf.DUMMYFUNCTION("""COMPUTED_VALUE"""),"Усилитель слуха. Ушные капли. Капли для улучшения слуха, Алтея, Отивин, 10 мл")</f>
        <v>Усилитель слуха. Ушные капли. Капли для улучшения слуха, Алтея, Отивин, 10 мл</v>
      </c>
      <c r="G635" s="88"/>
      <c r="H635" s="88" t="str">
        <f>IFERROR(__xludf.DUMMYFUNCTION("""COMPUTED_VALUE"""),"Парафармацевтика")</f>
        <v>Парафармацевтика</v>
      </c>
      <c r="I635" s="88" t="str">
        <f>IFERROR(__xludf.DUMMYFUNCTION("""COMPUTED_VALUE"""),"Слух")</f>
        <v>Слух</v>
      </c>
      <c r="J635" s="245">
        <f>IFERROR(__xludf.DUMMYFUNCTION("""COMPUTED_VALUE"""),356.0)</f>
        <v>356</v>
      </c>
      <c r="K635" s="240">
        <f>IFERROR(__xludf.DUMMYFUNCTION("""COMPUTED_VALUE"""),211696.0)</f>
        <v>211696</v>
      </c>
      <c r="L635" s="243">
        <f>IFERROR(__xludf.DUMMYFUNCTION("""COMPUTED_VALUE"""),0.0)</f>
        <v>0</v>
      </c>
      <c r="M635" s="88"/>
      <c r="N635" s="88"/>
      <c r="O635" s="88"/>
      <c r="P635" s="88"/>
      <c r="Q635" s="88"/>
      <c r="R635" s="88"/>
      <c r="S635" s="88" t="str">
        <f>IFERROR(__xludf.DUMMYFUNCTION("""COMPUTED_VALUE"""),"Актуально")</f>
        <v>Актуально</v>
      </c>
      <c r="T635" s="88" t="str">
        <f>IFERROR(__xludf.DUMMYFUNCTION("""COMPUTED_VALUE"""),"Влад")</f>
        <v>Влад</v>
      </c>
      <c r="U635" s="88"/>
      <c r="V635" s="88"/>
      <c r="W635" s="88"/>
      <c r="X635" s="88"/>
      <c r="Y635" s="88"/>
      <c r="Z635" s="88"/>
      <c r="AA635" s="88"/>
      <c r="AC635" s="62" t="s">
        <v>2659</v>
      </c>
    </row>
    <row r="636">
      <c r="A636" s="88"/>
      <c r="B636" s="88">
        <f>IFERROR(__xludf.DUMMYFUNCTION("""COMPUTED_VALUE"""),97.0)</f>
        <v>97</v>
      </c>
      <c r="C636" s="88" t="str">
        <f>IFERROR(__xludf.DUMMYFUNCTION("""COMPUTED_VALUE"""),"trezvin")</f>
        <v>trezvin</v>
      </c>
      <c r="D636" s="88">
        <f>IFERROR(__xludf.DUMMYFUNCTION("""COMPUTED_VALUE"""),1.541858934E9)</f>
        <v>1541858934</v>
      </c>
      <c r="E636" s="88" t="str">
        <f>IFERROR(__xludf.DUMMYFUNCTION("""COMPUTED_VALUE"""),"CPA")</f>
        <v>CPA</v>
      </c>
      <c r="F636" s="88" t="str">
        <f>IFERROR(__xludf.DUMMYFUNCTION("""COMPUTED_VALUE"""),"Капсулы от алкогольной зависимости, пищевая добавка Трезвин")</f>
        <v>Капсулы от алкогольной зависимости, пищевая добавка Трезвин</v>
      </c>
      <c r="G636" s="88"/>
      <c r="H636" s="88" t="str">
        <f>IFERROR(__xludf.DUMMYFUNCTION("""COMPUTED_VALUE"""),"Парафармацевтика")</f>
        <v>Парафармацевтика</v>
      </c>
      <c r="I636" s="88" t="str">
        <f>IFERROR(__xludf.DUMMYFUNCTION("""COMPUTED_VALUE"""),"Алкоголь и Курение")</f>
        <v>Алкоголь и Курение</v>
      </c>
      <c r="J636" s="245">
        <f>IFERROR(__xludf.DUMMYFUNCTION("""COMPUTED_VALUE"""),314.0)</f>
        <v>314</v>
      </c>
      <c r="K636" s="240">
        <f>IFERROR(__xludf.DUMMYFUNCTION("""COMPUTED_VALUE"""),201606.0)</f>
        <v>201606</v>
      </c>
      <c r="L636" s="243">
        <f>IFERROR(__xludf.DUMMYFUNCTION("""COMPUTED_VALUE"""),0.0)</f>
        <v>0</v>
      </c>
      <c r="M636" s="88"/>
      <c r="N636" s="88"/>
      <c r="O636" s="88"/>
      <c r="P636" s="88"/>
      <c r="Q636" s="88"/>
      <c r="R636" s="88"/>
      <c r="S636" s="88" t="str">
        <f>IFERROR(__xludf.DUMMYFUNCTION("""COMPUTED_VALUE"""),"Актуально")</f>
        <v>Актуально</v>
      </c>
      <c r="T636" s="88" t="str">
        <f>IFERROR(__xludf.DUMMYFUNCTION("""COMPUTED_VALUE"""),"Влад")</f>
        <v>Влад</v>
      </c>
      <c r="U636" s="88"/>
      <c r="V636" s="88"/>
      <c r="W636" s="88"/>
      <c r="X636" s="88"/>
      <c r="Y636" s="88"/>
      <c r="Z636" s="88"/>
      <c r="AA636" s="88"/>
      <c r="AC636" s="62" t="s">
        <v>2659</v>
      </c>
    </row>
    <row r="637">
      <c r="A637" s="88"/>
      <c r="B637" s="88">
        <f>IFERROR(__xludf.DUMMYFUNCTION("""COMPUTED_VALUE"""),53.0)</f>
        <v>53</v>
      </c>
      <c r="C637" s="88" t="str">
        <f>IFERROR(__xludf.DUMMYFUNCTION("""COMPUTED_VALUE"""),"micardin_1_1")</f>
        <v>micardin_1_1</v>
      </c>
      <c r="D637" s="88">
        <f>IFERROR(__xludf.DUMMYFUNCTION("""COMPUTED_VALUE"""),1.129297463E9)</f>
        <v>1129297463</v>
      </c>
      <c r="E637" s="88" t="str">
        <f>IFERROR(__xludf.DUMMYFUNCTION("""COMPUTED_VALUE"""),"CPA")</f>
        <v>CPA</v>
      </c>
      <c r="F637" s="88" t="str">
        <f>IFERROR(__xludf.DUMMYFUNCTION("""COMPUTED_VALUE"""),"Средство от давления, витамины для сердца, чистка сосудов, Алтея, Микардин, 2 шт")</f>
        <v>Средство от давления, витамины для сердца, чистка сосудов, Алтея, Микардин, 2 шт</v>
      </c>
      <c r="G637" s="88"/>
      <c r="H637" s="88" t="str">
        <f>IFERROR(__xludf.DUMMYFUNCTION("""COMPUTED_VALUE"""),"Парафармацевтика")</f>
        <v>Парафармацевтика</v>
      </c>
      <c r="I637" s="88" t="str">
        <f>IFERROR(__xludf.DUMMYFUNCTION("""COMPUTED_VALUE"""),"Здоровье сердца")</f>
        <v>Здоровье сердца</v>
      </c>
      <c r="J637" s="245">
        <f>IFERROR(__xludf.DUMMYFUNCTION("""COMPUTED_VALUE"""),168.0)</f>
        <v>168</v>
      </c>
      <c r="K637" s="240">
        <f>IFERROR(__xludf.DUMMYFUNCTION("""COMPUTED_VALUE"""),200274.0)</f>
        <v>200274</v>
      </c>
      <c r="L637" s="243">
        <f>IFERROR(__xludf.DUMMYFUNCTION("""COMPUTED_VALUE"""),0.15507365319512267)</f>
        <v>0.1550736532</v>
      </c>
      <c r="M637" s="88"/>
      <c r="N637" s="88"/>
      <c r="O637" s="88"/>
      <c r="P637" s="88"/>
      <c r="Q637" s="88"/>
      <c r="R637" s="88"/>
      <c r="S637" s="88" t="str">
        <f>IFERROR(__xludf.DUMMYFUNCTION("""COMPUTED_VALUE"""),"Актуально")</f>
        <v>Актуально</v>
      </c>
      <c r="T637" s="88" t="str">
        <f>IFERROR(__xludf.DUMMYFUNCTION("""COMPUTED_VALUE"""),"Влад")</f>
        <v>Влад</v>
      </c>
      <c r="U637" s="88"/>
      <c r="V637" s="88"/>
      <c r="W637" s="88"/>
      <c r="X637" s="88"/>
      <c r="Y637" s="88"/>
      <c r="Z637" s="88"/>
      <c r="AA637" s="88"/>
      <c r="AC637" s="62" t="s">
        <v>2659</v>
      </c>
    </row>
    <row r="638">
      <c r="A638" s="88"/>
      <c r="B638" s="88">
        <f>IFERROR(__xludf.DUMMYFUNCTION("""COMPUTED_VALUE"""),91.0)</f>
        <v>91</v>
      </c>
      <c r="C638" s="88" t="str">
        <f>IFERROR(__xludf.DUMMYFUNCTION("""COMPUTED_VALUE"""),"chudogrib")</f>
        <v>chudogrib</v>
      </c>
      <c r="D638" s="88">
        <f>IFERROR(__xludf.DUMMYFUNCTION("""COMPUTED_VALUE"""),1.528840163E9)</f>
        <v>1528840163</v>
      </c>
      <c r="E638" s="88" t="str">
        <f>IFERROR(__xludf.DUMMYFUNCTION("""COMPUTED_VALUE"""),"CPA")</f>
        <v>CPA</v>
      </c>
      <c r="F638" s="88" t="str">
        <f>IFERROR(__xludf.DUMMYFUNCTION("""COMPUTED_VALUE"""),"Антипаразитарный комплекс от глистов, очищение организма от паразитов, детокс, Алтея, Чудо гриб, чудогриб, 20 капсул")</f>
        <v>Антипаразитарный комплекс от глистов, очищение организма от паразитов, детокс, Алтея, Чудо гриб, чудогриб, 20 капсул</v>
      </c>
      <c r="G638" s="88"/>
      <c r="H638" s="88" t="str">
        <f>IFERROR(__xludf.DUMMYFUNCTION("""COMPUTED_VALUE"""),"Парафармацевтика")</f>
        <v>Парафармацевтика</v>
      </c>
      <c r="I638" s="88" t="str">
        <f>IFERROR(__xludf.DUMMYFUNCTION("""COMPUTED_VALUE"""),"Детокс")</f>
        <v>Детокс</v>
      </c>
      <c r="J638" s="245">
        <f>IFERROR(__xludf.DUMMYFUNCTION("""COMPUTED_VALUE"""),331.0)</f>
        <v>331</v>
      </c>
      <c r="K638" s="240">
        <f>IFERROR(__xludf.DUMMYFUNCTION("""COMPUTED_VALUE"""),199604.0)</f>
        <v>199604</v>
      </c>
      <c r="L638" s="243">
        <f>IFERROR(__xludf.DUMMYFUNCTION("""COMPUTED_VALUE"""),0.0)</f>
        <v>0</v>
      </c>
      <c r="M638" s="88"/>
      <c r="N638" s="88"/>
      <c r="O638" s="88"/>
      <c r="P638" s="88"/>
      <c r="Q638" s="88"/>
      <c r="R638" s="88"/>
      <c r="S638" s="88" t="str">
        <f>IFERROR(__xludf.DUMMYFUNCTION("""COMPUTED_VALUE"""),"Актуально")</f>
        <v>Актуально</v>
      </c>
      <c r="T638" s="88" t="str">
        <f>IFERROR(__xludf.DUMMYFUNCTION("""COMPUTED_VALUE"""),"Влад")</f>
        <v>Влад</v>
      </c>
      <c r="U638" s="88"/>
      <c r="V638" s="88"/>
      <c r="W638" s="88"/>
      <c r="X638" s="88"/>
      <c r="Y638" s="88"/>
      <c r="Z638" s="88"/>
      <c r="AA638" s="88"/>
      <c r="AC638" s="62" t="s">
        <v>2659</v>
      </c>
    </row>
    <row r="639">
      <c r="A639" s="88"/>
      <c r="B639" s="88">
        <f>IFERROR(__xludf.DUMMYFUNCTION("""COMPUTED_VALUE"""),43.0)</f>
        <v>43</v>
      </c>
      <c r="C639" s="88" t="str">
        <f>IFERROR(__xludf.DUMMYFUNCTION("""COMPUTED_VALUE"""),"psoral")</f>
        <v>psoral</v>
      </c>
      <c r="D639" s="88">
        <f>IFERROR(__xludf.DUMMYFUNCTION("""COMPUTED_VALUE"""),7.93309964E8)</f>
        <v>793309964</v>
      </c>
      <c r="E639" s="88" t="str">
        <f>IFERROR(__xludf.DUMMYFUNCTION("""COMPUTED_VALUE"""),"CPA")</f>
        <v>CPA</v>
      </c>
      <c r="F639" s="88" t="str">
        <f>IFERROR(__xludf.DUMMYFUNCTION("""COMPUTED_VALUE"""),"Мазь от псориаза и дерматита, крем от зуда, Алтея, Псорал, 30 мл")</f>
        <v>Мазь от псориаза и дерматита, крем от зуда, Алтея, Псорал, 30 мл</v>
      </c>
      <c r="G639" s="88"/>
      <c r="H639" s="88" t="str">
        <f>IFERROR(__xludf.DUMMYFUNCTION("""COMPUTED_VALUE"""),"Парафармацевтика")</f>
        <v>Парафармацевтика</v>
      </c>
      <c r="I639" s="88" t="str">
        <f>IFERROR(__xludf.DUMMYFUNCTION("""COMPUTED_VALUE"""),"Псориаз")</f>
        <v>Псориаз</v>
      </c>
      <c r="J639" s="245">
        <f>IFERROR(__xludf.DUMMYFUNCTION("""COMPUTED_VALUE"""),252.0)</f>
        <v>252</v>
      </c>
      <c r="K639" s="240">
        <f>IFERROR(__xludf.DUMMYFUNCTION("""COMPUTED_VALUE"""),173239.0)</f>
        <v>173239</v>
      </c>
      <c r="L639" s="243">
        <f>IFERROR(__xludf.DUMMYFUNCTION("""COMPUTED_VALUE"""),0.04027833079156541)</f>
        <v>0.04027833079</v>
      </c>
      <c r="M639" s="88"/>
      <c r="N639" s="88"/>
      <c r="O639" s="88"/>
      <c r="P639" s="88"/>
      <c r="Q639" s="88"/>
      <c r="R639" s="88"/>
      <c r="S639" s="88" t="str">
        <f>IFERROR(__xludf.DUMMYFUNCTION("""COMPUTED_VALUE"""),"Актуально")</f>
        <v>Актуально</v>
      </c>
      <c r="T639" s="88" t="str">
        <f>IFERROR(__xludf.DUMMYFUNCTION("""COMPUTED_VALUE"""),"Влад")</f>
        <v>Влад</v>
      </c>
      <c r="U639" s="88"/>
      <c r="V639" s="88"/>
      <c r="W639" s="88"/>
      <c r="X639" s="88"/>
      <c r="Y639" s="88"/>
      <c r="Z639" s="88"/>
      <c r="AA639" s="88"/>
      <c r="AC639" s="62" t="s">
        <v>2659</v>
      </c>
    </row>
    <row r="640">
      <c r="A640" s="88"/>
      <c r="B640" s="88">
        <f>IFERROR(__xludf.DUMMYFUNCTION("""COMPUTED_VALUE"""),151.0)</f>
        <v>151</v>
      </c>
      <c r="C640" s="88" t="str">
        <f>IFERROR(__xludf.DUMMYFUNCTION("""COMPUTED_VALUE"""),"solevoy_sprei_200ml")</f>
        <v>solevoy_sprei_200ml</v>
      </c>
      <c r="D640" s="88">
        <f>IFERROR(__xludf.DUMMYFUNCTION("""COMPUTED_VALUE"""),1.860164273E9)</f>
        <v>1860164273</v>
      </c>
      <c r="E640" s="88" t="str">
        <f>IFERROR(__xludf.DUMMYFUNCTION("""COMPUTED_VALUE"""),"Алтея")</f>
        <v>Алтея</v>
      </c>
      <c r="F640" s="88" t="str">
        <f>IFERROR(__xludf.DUMMYFUNCTION("""COMPUTED_VALUE"""),"Спрей для волос солевой для объема и укладки волос с фиксацией Алтея 200 мл")</f>
        <v>Спрей для волос солевой для объема и укладки волос с фиксацией Алтея 200 мл</v>
      </c>
      <c r="G640" s="88"/>
      <c r="H640" s="88" t="str">
        <f>IFERROR(__xludf.DUMMYFUNCTION("""COMPUTED_VALUE"""),"Красота")</f>
        <v>Красота</v>
      </c>
      <c r="I640" s="88" t="str">
        <f>IFERROR(__xludf.DUMMYFUNCTION("""COMPUTED_VALUE"""),"Волосы")</f>
        <v>Волосы</v>
      </c>
      <c r="J640" s="245">
        <f>IFERROR(__xludf.DUMMYFUNCTION("""COMPUTED_VALUE"""),251.0)</f>
        <v>251</v>
      </c>
      <c r="K640" s="240">
        <f>IFERROR(__xludf.DUMMYFUNCTION("""COMPUTED_VALUE"""),214417.0)</f>
        <v>214417</v>
      </c>
      <c r="L640" s="243">
        <f>IFERROR(__xludf.DUMMYFUNCTION("""COMPUTED_VALUE"""),0.24770695968136852)</f>
        <v>0.2477069597</v>
      </c>
      <c r="M640" s="88"/>
      <c r="N640" s="88"/>
      <c r="O640" s="88"/>
      <c r="P640" s="88"/>
      <c r="Q640" s="88"/>
      <c r="R640" s="88"/>
      <c r="S640" s="88" t="str">
        <f>IFERROR(__xludf.DUMMYFUNCTION("""COMPUTED_VALUE"""),"Актуально")</f>
        <v>Актуально</v>
      </c>
      <c r="T640" s="88" t="str">
        <f>IFERROR(__xludf.DUMMYFUNCTION("""COMPUTED_VALUE"""),"Даша")</f>
        <v>Даша</v>
      </c>
      <c r="U640" s="88"/>
      <c r="V640" s="88"/>
      <c r="W640" s="88"/>
      <c r="X640" s="88"/>
      <c r="Y640" s="88"/>
      <c r="Z640" s="88"/>
      <c r="AA640" s="88"/>
      <c r="AC640" s="62" t="s">
        <v>2659</v>
      </c>
    </row>
    <row r="641">
      <c r="A641" s="88"/>
      <c r="B641" s="88">
        <f>IFERROR(__xludf.DUMMYFUNCTION("""COMPUTED_VALUE"""),173.0)</f>
        <v>173</v>
      </c>
      <c r="C641" s="88" t="str">
        <f>IFERROR(__xludf.DUMMYFUNCTION("""COMPUTED_VALUE"""),"pink_pepper_50ml")</f>
        <v>pink_pepper_50ml</v>
      </c>
      <c r="D641" s="88">
        <f>IFERROR(__xludf.DUMMYFUNCTION("""COMPUTED_VALUE"""),2.58313961E9)</f>
        <v>2583139610</v>
      </c>
      <c r="E641" s="88" t="str">
        <f>IFERROR(__xludf.DUMMYFUNCTION("""COMPUTED_VALUE"""),"Алтея")</f>
        <v>Алтея</v>
      </c>
      <c r="F641" s="88" t="str">
        <f>IFERROR(__xludf.DUMMYFUNCTION("""COMPUTED_VALUE"""),"Крем для лица увлажняющий питательный с ниацинамидом Алтея 50 мл")</f>
        <v>Крем для лица увлажняющий питательный с ниацинамидом Алтея 50 мл</v>
      </c>
      <c r="G641" s="88"/>
      <c r="H641" s="88" t="str">
        <f>IFERROR(__xludf.DUMMYFUNCTION("""COMPUTED_VALUE"""),"Красота")</f>
        <v>Красота</v>
      </c>
      <c r="I641" s="88" t="str">
        <f>IFERROR(__xludf.DUMMYFUNCTION("""COMPUTED_VALUE"""),"Лицо")</f>
        <v>Лицо</v>
      </c>
      <c r="J641" s="245">
        <f>IFERROR(__xludf.DUMMYFUNCTION("""COMPUTED_VALUE"""),194.0)</f>
        <v>194</v>
      </c>
      <c r="K641" s="240">
        <f>IFERROR(__xludf.DUMMYFUNCTION("""COMPUTED_VALUE"""),209235.0)</f>
        <v>209235</v>
      </c>
      <c r="L641" s="243">
        <f>IFERROR(__xludf.DUMMYFUNCTION("""COMPUTED_VALUE"""),0.27355815226897984)</f>
        <v>0.2735581523</v>
      </c>
      <c r="M641" s="88"/>
      <c r="N641" s="88"/>
      <c r="O641" s="88"/>
      <c r="P641" s="88"/>
      <c r="Q641" s="88"/>
      <c r="R641" s="88"/>
      <c r="S641" s="88" t="str">
        <f>IFERROR(__xludf.DUMMYFUNCTION("""COMPUTED_VALUE"""),"Актуально")</f>
        <v>Актуально</v>
      </c>
      <c r="T641" s="88" t="str">
        <f>IFERROR(__xludf.DUMMYFUNCTION("""COMPUTED_VALUE"""),"Даша")</f>
        <v>Даша</v>
      </c>
      <c r="U641" s="88"/>
      <c r="V641" s="88"/>
      <c r="W641" s="88"/>
      <c r="X641" s="88"/>
      <c r="Y641" s="88"/>
      <c r="Z641" s="88"/>
      <c r="AA641" s="88"/>
      <c r="AC641" s="62" t="s">
        <v>2659</v>
      </c>
    </row>
    <row r="642">
      <c r="A642" s="88"/>
      <c r="B642" s="88">
        <f>IFERROR(__xludf.DUMMYFUNCTION("""COMPUTED_VALUE"""),87.0)</f>
        <v>87</v>
      </c>
      <c r="C642" s="88" t="str">
        <f>IFERROR(__xludf.DUMMYFUNCTION("""COMPUTED_VALUE"""),"piling_100ml")</f>
        <v>piling_100ml</v>
      </c>
      <c r="D642" s="88">
        <f>IFERROR(__xludf.DUMMYFUNCTION("""COMPUTED_VALUE"""),1.500346998E9)</f>
        <v>1500346998</v>
      </c>
      <c r="E642" s="88" t="str">
        <f>IFERROR(__xludf.DUMMYFUNCTION("""COMPUTED_VALUE"""),"Алтея")</f>
        <v>Алтея</v>
      </c>
      <c r="F642" s="88" t="str">
        <f>IFERROR(__xludf.DUMMYFUNCTION("""COMPUTED_VALUE"""),"Пилинг для кожи головы профессиональный скраб от перхоти, Алтея, 100 мл")</f>
        <v>Пилинг для кожи головы профессиональный скраб от перхоти, Алтея, 100 мл</v>
      </c>
      <c r="G642" s="88"/>
      <c r="H642" s="88" t="str">
        <f>IFERROR(__xludf.DUMMYFUNCTION("""COMPUTED_VALUE"""),"Красота")</f>
        <v>Красота</v>
      </c>
      <c r="I642" s="88" t="str">
        <f>IFERROR(__xludf.DUMMYFUNCTION("""COMPUTED_VALUE"""),"Волосы")</f>
        <v>Волосы</v>
      </c>
      <c r="J642" s="245">
        <f>IFERROR(__xludf.DUMMYFUNCTION("""COMPUTED_VALUE"""),505.0)</f>
        <v>505</v>
      </c>
      <c r="K642" s="240">
        <f>IFERROR(__xludf.DUMMYFUNCTION("""COMPUTED_VALUE"""),157196.0)</f>
        <v>157196</v>
      </c>
      <c r="L642" s="243">
        <f>IFERROR(__xludf.DUMMYFUNCTION("""COMPUTED_VALUE"""),0.0)</f>
        <v>0</v>
      </c>
      <c r="M642" s="88"/>
      <c r="N642" s="88"/>
      <c r="O642" s="88"/>
      <c r="P642" s="88"/>
      <c r="Q642" s="88"/>
      <c r="R642" s="88"/>
      <c r="S642" s="88" t="str">
        <f>IFERROR(__xludf.DUMMYFUNCTION("""COMPUTED_VALUE"""),"На вывод")</f>
        <v>На вывод</v>
      </c>
      <c r="T642" s="88" t="str">
        <f>IFERROR(__xludf.DUMMYFUNCTION("""COMPUTED_VALUE"""),"Даша")</f>
        <v>Даша</v>
      </c>
      <c r="U642" s="88"/>
      <c r="V642" s="88"/>
      <c r="W642" s="88"/>
      <c r="X642" s="88"/>
      <c r="Y642" s="88"/>
      <c r="Z642" s="88"/>
      <c r="AA642" s="88"/>
      <c r="AC642" s="62" t="s">
        <v>2659</v>
      </c>
    </row>
    <row r="643">
      <c r="A643" s="88"/>
      <c r="B643" s="88">
        <f>IFERROR(__xludf.DUMMYFUNCTION("""COMPUTED_VALUE"""),154.0)</f>
        <v>154</v>
      </c>
      <c r="C643" s="88" t="str">
        <f>IFERROR(__xludf.DUMMYFUNCTION("""COMPUTED_VALUE"""),"gel_brows_5ml")</f>
        <v>gel_brows_5ml</v>
      </c>
      <c r="D643" s="88">
        <f>IFERROR(__xludf.DUMMYFUNCTION("""COMPUTED_VALUE"""),1.917265136E9)</f>
        <v>1917265136</v>
      </c>
      <c r="E643" s="88" t="str">
        <f>IFERROR(__xludf.DUMMYFUNCTION("""COMPUTED_VALUE"""),"Алтея")</f>
        <v>Алтея</v>
      </c>
      <c r="F643" s="88" t="str">
        <f>IFERROR(__xludf.DUMMYFUNCTION("""COMPUTED_VALUE"""),"Гель для бровей с коллагеном и эластином, фиксация на 24 часа, Алтея, 5 мл")</f>
        <v>Гель для бровей с коллагеном и эластином, фиксация на 24 часа, Алтея, 5 мл</v>
      </c>
      <c r="G643" s="88"/>
      <c r="H643" s="88" t="str">
        <f>IFERROR(__xludf.DUMMYFUNCTION("""COMPUTED_VALUE"""),"Красота")</f>
        <v>Красота</v>
      </c>
      <c r="I643" s="88" t="str">
        <f>IFERROR(__xludf.DUMMYFUNCTION("""COMPUTED_VALUE"""),"Брови и ресницы")</f>
        <v>Брови и ресницы</v>
      </c>
      <c r="J643" s="245">
        <f>IFERROR(__xludf.DUMMYFUNCTION("""COMPUTED_VALUE"""),207.0)</f>
        <v>207</v>
      </c>
      <c r="K643" s="240">
        <f>IFERROR(__xludf.DUMMYFUNCTION("""COMPUTED_VALUE"""),155916.0)</f>
        <v>155916</v>
      </c>
      <c r="L643" s="243">
        <f>IFERROR(__xludf.DUMMYFUNCTION("""COMPUTED_VALUE"""),0.9666395371225532)</f>
        <v>0.9666395371</v>
      </c>
      <c r="M643" s="88"/>
      <c r="N643" s="88"/>
      <c r="O643" s="88"/>
      <c r="P643" s="88"/>
      <c r="Q643" s="88"/>
      <c r="R643" s="88"/>
      <c r="S643" s="88" t="str">
        <f>IFERROR(__xludf.DUMMYFUNCTION("""COMPUTED_VALUE"""),"Актуально")</f>
        <v>Актуально</v>
      </c>
      <c r="T643" s="88" t="str">
        <f>IFERROR(__xludf.DUMMYFUNCTION("""COMPUTED_VALUE"""),"Даша")</f>
        <v>Даша</v>
      </c>
      <c r="U643" s="88"/>
      <c r="V643" s="88"/>
      <c r="W643" s="88"/>
      <c r="X643" s="88"/>
      <c r="Y643" s="88"/>
      <c r="Z643" s="88"/>
      <c r="AA643" s="88"/>
      <c r="AC643" s="62" t="s">
        <v>2659</v>
      </c>
    </row>
    <row r="644">
      <c r="A644" s="88"/>
      <c r="B644" s="88">
        <f>IFERROR(__xludf.DUMMYFUNCTION("""COMPUTED_VALUE"""),30.0)</f>
        <v>30</v>
      </c>
      <c r="C644" s="88" t="str">
        <f>IFERROR(__xludf.DUMMYFUNCTION("""COMPUTED_VALUE"""),"daoshen")</f>
        <v>daoshen</v>
      </c>
      <c r="D644" s="88">
        <f>IFERROR(__xludf.DUMMYFUNCTION("""COMPUTED_VALUE"""),5.63811764E8)</f>
        <v>563811764</v>
      </c>
      <c r="E644" s="88" t="str">
        <f>IFERROR(__xludf.DUMMYFUNCTION("""COMPUTED_VALUE"""),"CPA")</f>
        <v>CPA</v>
      </c>
      <c r="F644" s="88" t="str">
        <f>IFERROR(__xludf.DUMMYFUNCTION("""COMPUTED_VALUE"""),"Мазь от грибка ногтей на ногах, противогрибковое средство с коллоидным серебром, Алтея, Даошэн, 15 мл")</f>
        <v>Мазь от грибка ногтей на ногах, противогрибковое средство с коллоидным серебром, Алтея, Даошэн, 15 мл</v>
      </c>
      <c r="G644" s="88"/>
      <c r="H644" s="88" t="str">
        <f>IFERROR(__xludf.DUMMYFUNCTION("""COMPUTED_VALUE"""),"Парафармацевтика")</f>
        <v>Парафармацевтика</v>
      </c>
      <c r="I644" s="88" t="str">
        <f>IFERROR(__xludf.DUMMYFUNCTION("""COMPUTED_VALUE"""),"Грибок")</f>
        <v>Грибок</v>
      </c>
      <c r="J644" s="245">
        <f>IFERROR(__xludf.DUMMYFUNCTION("""COMPUTED_VALUE"""),227.0)</f>
        <v>227</v>
      </c>
      <c r="K644" s="240">
        <f>IFERROR(__xludf.DUMMYFUNCTION("""COMPUTED_VALUE"""),150920.0)</f>
        <v>150920</v>
      </c>
      <c r="L644" s="243">
        <f>IFERROR(__xludf.DUMMYFUNCTION("""COMPUTED_VALUE"""),0.05847729085608269)</f>
        <v>0.05847729086</v>
      </c>
      <c r="M644" s="88"/>
      <c r="N644" s="88"/>
      <c r="O644" s="88"/>
      <c r="P644" s="88"/>
      <c r="Q644" s="88"/>
      <c r="R644" s="88"/>
      <c r="S644" s="88" t="str">
        <f>IFERROR(__xludf.DUMMYFUNCTION("""COMPUTED_VALUE"""),"Актуально")</f>
        <v>Актуально</v>
      </c>
      <c r="T644" s="88" t="str">
        <f>IFERROR(__xludf.DUMMYFUNCTION("""COMPUTED_VALUE"""),"Даша")</f>
        <v>Даша</v>
      </c>
      <c r="U644" s="88"/>
      <c r="V644" s="88"/>
      <c r="W644" s="88"/>
      <c r="X644" s="88"/>
      <c r="Y644" s="88"/>
      <c r="Z644" s="88"/>
      <c r="AA644" s="88"/>
      <c r="AC644" s="62" t="s">
        <v>2659</v>
      </c>
    </row>
    <row r="645">
      <c r="A645" s="88"/>
      <c r="B645" s="88">
        <f>IFERROR(__xludf.DUMMYFUNCTION("""COMPUTED_VALUE"""),63.0)</f>
        <v>63</v>
      </c>
      <c r="C645" s="88" t="str">
        <f>IFERROR(__xludf.DUMMYFUNCTION("""COMPUTED_VALUE"""),"sanatsin_1_1")</f>
        <v>sanatsin_1_1</v>
      </c>
      <c r="D645" s="88">
        <f>IFERROR(__xludf.DUMMYFUNCTION("""COMPUTED_VALUE"""),1.188041492E9)</f>
        <v>1188041492</v>
      </c>
      <c r="E645" s="88" t="str">
        <f>IFERROR(__xludf.DUMMYFUNCTION("""COMPUTED_VALUE"""),"CPA")</f>
        <v>CPA</v>
      </c>
      <c r="F645" s="88" t="str">
        <f>IFERROR(__xludf.DUMMYFUNCTION("""COMPUTED_VALUE"""),"Санацин антипаразитарный комплекс от паразитов и от глистов. Капсулы от глистов, против паразитов / 20 капсул*2")</f>
        <v>Санацин антипаразитарный комплекс от паразитов и от глистов. Капсулы от глистов, против паразитов / 20 капсул*2</v>
      </c>
      <c r="G645" s="88"/>
      <c r="H645" s="88" t="str">
        <f>IFERROR(__xludf.DUMMYFUNCTION("""COMPUTED_VALUE"""),"Парафармацевтика")</f>
        <v>Парафармацевтика</v>
      </c>
      <c r="I645" s="88" t="str">
        <f>IFERROR(__xludf.DUMMYFUNCTION("""COMPUTED_VALUE"""),"Антипаразитарный")</f>
        <v>Антипаразитарный</v>
      </c>
      <c r="J645" s="245">
        <f>IFERROR(__xludf.DUMMYFUNCTION("""COMPUTED_VALUE"""),137.0)</f>
        <v>137</v>
      </c>
      <c r="K645" s="240">
        <f>IFERROR(__xludf.DUMMYFUNCTION("""COMPUTED_VALUE"""),150441.0)</f>
        <v>150441</v>
      </c>
      <c r="L645" s="243">
        <f>IFERROR(__xludf.DUMMYFUNCTION("""COMPUTED_VALUE"""),0.16112721452263679)</f>
        <v>0.1611272145</v>
      </c>
      <c r="M645" s="88"/>
      <c r="N645" s="88"/>
      <c r="O645" s="88"/>
      <c r="P645" s="88"/>
      <c r="Q645" s="88"/>
      <c r="R645" s="88"/>
      <c r="S645" s="88" t="str">
        <f>IFERROR(__xludf.DUMMYFUNCTION("""COMPUTED_VALUE"""),"Актуально")</f>
        <v>Актуально</v>
      </c>
      <c r="T645" s="88" t="str">
        <f>IFERROR(__xludf.DUMMYFUNCTION("""COMPUTED_VALUE"""),"Даша")</f>
        <v>Даша</v>
      </c>
      <c r="U645" s="88"/>
      <c r="V645" s="88"/>
      <c r="W645" s="88"/>
      <c r="X645" s="88"/>
      <c r="Y645" s="88"/>
      <c r="Z645" s="88"/>
      <c r="AA645" s="88"/>
      <c r="AC645" s="62" t="s">
        <v>2659</v>
      </c>
    </row>
    <row r="646">
      <c r="A646" s="88"/>
      <c r="B646" s="88">
        <f>IFERROR(__xludf.DUMMYFUNCTION("""COMPUTED_VALUE"""),107.0)</f>
        <v>107</v>
      </c>
      <c r="C646" s="88" t="str">
        <f>IFERROR(__xludf.DUMMYFUNCTION("""COMPUTED_VALUE"""),"maslo_dlya_volos_parf_110ml")</f>
        <v>maslo_dlya_volos_parf_110ml</v>
      </c>
      <c r="D646" s="88">
        <f>IFERROR(__xludf.DUMMYFUNCTION("""COMPUTED_VALUE"""),1.583009752E9)</f>
        <v>1583009752</v>
      </c>
      <c r="E646" s="88" t="str">
        <f>IFERROR(__xludf.DUMMYFUNCTION("""COMPUTED_VALUE"""),"Алтея")</f>
        <v>Алтея</v>
      </c>
      <c r="F646" s="88" t="str">
        <f>IFERROR(__xludf.DUMMYFUNCTION("""COMPUTED_VALUE"""),"Масло для волос парфюмированное, сыворотка для волос Tom Ford Lost Cherry, Алтея, 110 мл")</f>
        <v>Масло для волос парфюмированное, сыворотка для волос Tom Ford Lost Cherry, Алтея, 110 мл</v>
      </c>
      <c r="G646" s="88"/>
      <c r="H646" s="88" t="str">
        <f>IFERROR(__xludf.DUMMYFUNCTION("""COMPUTED_VALUE"""),"Красота")</f>
        <v>Красота</v>
      </c>
      <c r="I646" s="88" t="str">
        <f>IFERROR(__xludf.DUMMYFUNCTION("""COMPUTED_VALUE"""),"Волосы")</f>
        <v>Волосы</v>
      </c>
      <c r="J646" s="245">
        <f>IFERROR(__xludf.DUMMYFUNCTION("""COMPUTED_VALUE"""),348.0)</f>
        <v>348</v>
      </c>
      <c r="K646" s="240">
        <f>IFERROR(__xludf.DUMMYFUNCTION("""COMPUTED_VALUE"""),150105.0)</f>
        <v>150105</v>
      </c>
      <c r="L646" s="243">
        <f>IFERROR(__xludf.DUMMYFUNCTION("""COMPUTED_VALUE"""),0.0)</f>
        <v>0</v>
      </c>
      <c r="M646" s="88"/>
      <c r="N646" s="88"/>
      <c r="O646" s="88"/>
      <c r="P646" s="88"/>
      <c r="Q646" s="88"/>
      <c r="R646" s="88"/>
      <c r="S646" s="88" t="str">
        <f>IFERROR(__xludf.DUMMYFUNCTION("""COMPUTED_VALUE"""),"На вывод")</f>
        <v>На вывод</v>
      </c>
      <c r="T646" s="88" t="str">
        <f>IFERROR(__xludf.DUMMYFUNCTION("""COMPUTED_VALUE"""),"Даша")</f>
        <v>Даша</v>
      </c>
      <c r="U646" s="88"/>
      <c r="V646" s="88"/>
      <c r="W646" s="88"/>
      <c r="X646" s="88"/>
      <c r="Y646" s="88"/>
      <c r="Z646" s="88"/>
      <c r="AA646" s="88"/>
      <c r="AC646" s="62" t="s">
        <v>2659</v>
      </c>
    </row>
    <row r="647">
      <c r="A647" s="88"/>
      <c r="B647" s="88">
        <f>IFERROR(__xludf.DUMMYFUNCTION("""COMPUTED_VALUE"""),147.0)</f>
        <v>147</v>
      </c>
      <c r="C647" s="88" t="str">
        <f>IFERROR(__xludf.DUMMYFUNCTION("""COMPUTED_VALUE"""),"gel_for_men_3_in_1_1000ml")</f>
        <v>gel_for_men_3_in_1_1000ml</v>
      </c>
      <c r="D647" s="88">
        <f>IFERROR(__xludf.DUMMYFUNCTION("""COMPUTED_VALUE"""),1.847971373E9)</f>
        <v>1847971373</v>
      </c>
      <c r="E647" s="88" t="str">
        <f>IFERROR(__xludf.DUMMYFUNCTION("""COMPUTED_VALUE"""),"Алтея")</f>
        <v>Алтея</v>
      </c>
      <c r="F647" s="88" t="str">
        <f>IFERROR(__xludf.DUMMYFUNCTION("""COMPUTED_VALUE"""),"Гель для душа мужской парфюмированный Алтея 1000 мл")</f>
        <v>Гель для душа мужской парфюмированный Алтея 1000 мл</v>
      </c>
      <c r="G647" s="88"/>
      <c r="H647" s="88" t="str">
        <f>IFERROR(__xludf.DUMMYFUNCTION("""COMPUTED_VALUE"""),"Красота")</f>
        <v>Красота</v>
      </c>
      <c r="I647" s="88" t="str">
        <f>IFERROR(__xludf.DUMMYFUNCTION("""COMPUTED_VALUE"""),"Мужское")</f>
        <v>Мужское</v>
      </c>
      <c r="J647" s="245">
        <f>IFERROR(__xludf.DUMMYFUNCTION("""COMPUTED_VALUE"""),160.0)</f>
        <v>160</v>
      </c>
      <c r="K647" s="240">
        <f>IFERROR(__xludf.DUMMYFUNCTION("""COMPUTED_VALUE"""),172830.0)</f>
        <v>172830</v>
      </c>
      <c r="L647" s="243">
        <f>IFERROR(__xludf.DUMMYFUNCTION("""COMPUTED_VALUE"""),0.43414245096337445)</f>
        <v>0.434142451</v>
      </c>
      <c r="M647" s="88"/>
      <c r="N647" s="88"/>
      <c r="O647" s="88"/>
      <c r="P647" s="88"/>
      <c r="Q647" s="88"/>
      <c r="R647" s="88"/>
      <c r="S647" s="88" t="str">
        <f>IFERROR(__xludf.DUMMYFUNCTION("""COMPUTED_VALUE"""),"Актуально")</f>
        <v>Актуально</v>
      </c>
      <c r="T647" s="88" t="str">
        <f>IFERROR(__xludf.DUMMYFUNCTION("""COMPUTED_VALUE"""),"Влад")</f>
        <v>Влад</v>
      </c>
      <c r="U647" s="88"/>
      <c r="V647" s="88"/>
      <c r="W647" s="88"/>
      <c r="X647" s="88"/>
      <c r="Y647" s="88"/>
      <c r="Z647" s="88"/>
      <c r="AA647" s="88"/>
      <c r="AC647" s="62" t="s">
        <v>2659</v>
      </c>
    </row>
    <row r="648">
      <c r="A648" s="88"/>
      <c r="B648" s="88">
        <f>IFERROR(__xludf.DUMMYFUNCTION("""COMPUTED_VALUE"""),134.0)</f>
        <v>134</v>
      </c>
      <c r="C648" s="88" t="str">
        <f>IFERROR(__xludf.DUMMYFUNCTION("""COMPUTED_VALUE"""),"syvorotka_guk_30ml")</f>
        <v>syvorotka_guk_30ml</v>
      </c>
      <c r="D648" s="88">
        <f>IFERROR(__xludf.DUMMYFUNCTION("""COMPUTED_VALUE"""),1.745303363E9)</f>
        <v>1745303363</v>
      </c>
      <c r="E648" s="88" t="str">
        <f>IFERROR(__xludf.DUMMYFUNCTION("""COMPUTED_VALUE"""),"Алтея")</f>
        <v>Алтея</v>
      </c>
      <c r="F648" s="88" t="str">
        <f>IFERROR(__xludf.DUMMYFUNCTION("""COMPUTED_VALUE"""),"Сыворотка с витамином с, увлажняющая с гиалуроновой кислотой, Алтея, 30 мл")</f>
        <v>Сыворотка с витамином с, увлажняющая с гиалуроновой кислотой, Алтея, 30 мл</v>
      </c>
      <c r="G648" s="88"/>
      <c r="H648" s="88" t="str">
        <f>IFERROR(__xludf.DUMMYFUNCTION("""COMPUTED_VALUE"""),"Красота")</f>
        <v>Красота</v>
      </c>
      <c r="I648" s="88" t="str">
        <f>IFERROR(__xludf.DUMMYFUNCTION("""COMPUTED_VALUE"""),"Лицо")</f>
        <v>Лицо</v>
      </c>
      <c r="J648" s="245">
        <f>IFERROR(__xludf.DUMMYFUNCTION("""COMPUTED_VALUE"""),120.0)</f>
        <v>120</v>
      </c>
      <c r="K648" s="240">
        <f>IFERROR(__xludf.DUMMYFUNCTION("""COMPUTED_VALUE"""),137220.0)</f>
        <v>137220</v>
      </c>
      <c r="L648" s="243">
        <f>IFERROR(__xludf.DUMMYFUNCTION("""COMPUTED_VALUE"""),0.35437301246174024)</f>
        <v>0.3543730125</v>
      </c>
      <c r="M648" s="88"/>
      <c r="N648" s="88"/>
      <c r="O648" s="88"/>
      <c r="P648" s="88"/>
      <c r="Q648" s="88"/>
      <c r="R648" s="88"/>
      <c r="S648" s="88" t="str">
        <f>IFERROR(__xludf.DUMMYFUNCTION("""COMPUTED_VALUE"""),"Актуально")</f>
        <v>Актуально</v>
      </c>
      <c r="T648" s="88" t="str">
        <f>IFERROR(__xludf.DUMMYFUNCTION("""COMPUTED_VALUE"""),"Даша")</f>
        <v>Даша</v>
      </c>
      <c r="U648" s="88"/>
      <c r="V648" s="88"/>
      <c r="W648" s="88"/>
      <c r="X648" s="88"/>
      <c r="Y648" s="88"/>
      <c r="Z648" s="88"/>
      <c r="AA648" s="88"/>
      <c r="AC648" s="62" t="s">
        <v>2659</v>
      </c>
    </row>
    <row r="649">
      <c r="A649" s="88"/>
      <c r="B649" s="88">
        <f>IFERROR(__xludf.DUMMYFUNCTION("""COMPUTED_VALUE"""),157.0)</f>
        <v>157</v>
      </c>
      <c r="C649" s="88" t="str">
        <f>IFERROR(__xludf.DUMMYFUNCTION("""COMPUTED_VALUE"""),"gel_antiakne_20ml")</f>
        <v>gel_antiakne_20ml</v>
      </c>
      <c r="D649" s="88">
        <f>IFERROR(__xludf.DUMMYFUNCTION("""COMPUTED_VALUE"""),2.015557258E9)</f>
        <v>2015557258</v>
      </c>
      <c r="E649" s="88" t="str">
        <f>IFERROR(__xludf.DUMMYFUNCTION("""COMPUTED_VALUE"""),"Алтея")</f>
        <v>Алтея</v>
      </c>
      <c r="F649" s="88" t="str">
        <f>IFERROR(__xludf.DUMMYFUNCTION("""COMPUTED_VALUE"""),"Точечный крем от прыщей. Корректор точечный против прыщей, крем от акне. Салициловая кислота, азелаиновая кислота Алтея 20 мл")</f>
        <v>Точечный крем от прыщей. Корректор точечный против прыщей, крем от акне. Салициловая кислота, азелаиновая кислота Алтея 20 мл</v>
      </c>
      <c r="G649" s="88"/>
      <c r="H649" s="88" t="str">
        <f>IFERROR(__xludf.DUMMYFUNCTION("""COMPUTED_VALUE"""),"Красота")</f>
        <v>Красота</v>
      </c>
      <c r="I649" s="88" t="str">
        <f>IFERROR(__xludf.DUMMYFUNCTION("""COMPUTED_VALUE"""),"Лицо")</f>
        <v>Лицо</v>
      </c>
      <c r="J649" s="245">
        <f>IFERROR(__xludf.DUMMYFUNCTION("""COMPUTED_VALUE"""),195.0)</f>
        <v>195</v>
      </c>
      <c r="K649" s="240">
        <f>IFERROR(__xludf.DUMMYFUNCTION("""COMPUTED_VALUE"""),130761.0)</f>
        <v>130761</v>
      </c>
      <c r="L649" s="243">
        <f>IFERROR(__xludf.DUMMYFUNCTION("""COMPUTED_VALUE"""),0.13349607493059854)</f>
        <v>0.1334960749</v>
      </c>
      <c r="M649" s="88"/>
      <c r="N649" s="88"/>
      <c r="O649" s="88"/>
      <c r="P649" s="88"/>
      <c r="Q649" s="88"/>
      <c r="R649" s="88"/>
      <c r="S649" s="88" t="str">
        <f>IFERROR(__xludf.DUMMYFUNCTION("""COMPUTED_VALUE"""),"Актуально")</f>
        <v>Актуально</v>
      </c>
      <c r="T649" s="88" t="str">
        <f>IFERROR(__xludf.DUMMYFUNCTION("""COMPUTED_VALUE"""),"Даша")</f>
        <v>Даша</v>
      </c>
      <c r="U649" s="88"/>
      <c r="V649" s="88"/>
      <c r="W649" s="88"/>
      <c r="X649" s="88"/>
      <c r="Y649" s="88"/>
      <c r="Z649" s="88"/>
      <c r="AA649" s="88"/>
      <c r="AC649" s="62" t="s">
        <v>2659</v>
      </c>
    </row>
    <row r="650">
      <c r="A650" s="88"/>
      <c r="B650" s="88">
        <f>IFERROR(__xludf.DUMMYFUNCTION("""COMPUTED_VALUE"""),179.0)</f>
        <v>179</v>
      </c>
      <c r="C650" s="88" t="str">
        <f>IFERROR(__xludf.DUMMYFUNCTION("""COMPUTED_VALUE"""),"mycoplax_1_1")</f>
        <v>mycoplax_1_1</v>
      </c>
      <c r="D650" s="88">
        <f>IFERROR(__xludf.DUMMYFUNCTION("""COMPUTED_VALUE"""),2.825114763E9)</f>
        <v>2825114763</v>
      </c>
      <c r="E650" s="88" t="str">
        <f>IFERROR(__xludf.DUMMYFUNCTION("""COMPUTED_VALUE"""),"CPA")</f>
        <v>CPA</v>
      </c>
      <c r="F650" s="88" t="str">
        <f>IFERROR(__xludf.DUMMYFUNCTION("""COMPUTED_VALUE"""),"Мазь от грибка ногтей на ногах, крем гель Алтея, Микоплакс Mycoplax, 15 мл х 2")</f>
        <v>Мазь от грибка ногтей на ногах, крем гель Алтея, Микоплакс Mycoplax, 15 мл х 2</v>
      </c>
      <c r="G650" s="88"/>
      <c r="H650" s="88" t="str">
        <f>IFERROR(__xludf.DUMMYFUNCTION("""COMPUTED_VALUE"""),"Парафармацевтика")</f>
        <v>Парафармацевтика</v>
      </c>
      <c r="I650" s="88" t="str">
        <f>IFERROR(__xludf.DUMMYFUNCTION("""COMPUTED_VALUE"""),"Грибок")</f>
        <v>Грибок</v>
      </c>
      <c r="J650" s="245">
        <f>IFERROR(__xludf.DUMMYFUNCTION("""COMPUTED_VALUE"""),81.0)</f>
        <v>81</v>
      </c>
      <c r="K650" s="240">
        <f>IFERROR(__xludf.DUMMYFUNCTION("""COMPUTED_VALUE"""),118723.0)</f>
        <v>118723</v>
      </c>
      <c r="L650" s="243">
        <f>IFERROR(__xludf.DUMMYFUNCTION("""COMPUTED_VALUE"""),0.0)</f>
        <v>0</v>
      </c>
      <c r="M650" s="88"/>
      <c r="N650" s="88"/>
      <c r="O650" s="88"/>
      <c r="P650" s="88"/>
      <c r="Q650" s="88"/>
      <c r="R650" s="88"/>
      <c r="S650" s="88" t="str">
        <f>IFERROR(__xludf.DUMMYFUNCTION("""COMPUTED_VALUE"""),"Актуально")</f>
        <v>Актуально</v>
      </c>
      <c r="T650" s="88" t="str">
        <f>IFERROR(__xludf.DUMMYFUNCTION("""COMPUTED_VALUE"""),"Даша")</f>
        <v>Даша</v>
      </c>
      <c r="U650" s="88"/>
      <c r="V650" s="88"/>
      <c r="W650" s="88"/>
      <c r="X650" s="88"/>
      <c r="Y650" s="88"/>
      <c r="Z650" s="88"/>
      <c r="AA650" s="88"/>
      <c r="AC650" s="62" t="s">
        <v>2659</v>
      </c>
    </row>
    <row r="651">
      <c r="A651" s="88"/>
      <c r="B651" s="88">
        <f>IFERROR(__xludf.DUMMYFUNCTION("""COMPUTED_VALUE"""),148.0)</f>
        <v>148</v>
      </c>
      <c r="C651" s="88" t="str">
        <f>IFERROR(__xludf.DUMMYFUNCTION("""COMPUTED_VALUE"""),"nabor_penka_dlya_resnic")</f>
        <v>nabor_penka_dlya_resnic</v>
      </c>
      <c r="D651" s="88">
        <f>IFERROR(__xludf.DUMMYFUNCTION("""COMPUTED_VALUE"""),1.847974827E9)</f>
        <v>1847974827</v>
      </c>
      <c r="E651" s="88" t="str">
        <f>IFERROR(__xludf.DUMMYFUNCTION("""COMPUTED_VALUE"""),"Алтея")</f>
        <v>Алтея</v>
      </c>
      <c r="F651" s="88" t="str">
        <f>IFERROR(__xludf.DUMMYFUNCTION("""COMPUTED_VALUE"""),"Пенка для нарощенных ресниц и для бровей, для умывания и очищения ресниц Алтея 150 мл")</f>
        <v>Пенка для нарощенных ресниц и для бровей, для умывания и очищения ресниц Алтея 150 мл</v>
      </c>
      <c r="G651" s="88"/>
      <c r="H651" s="88" t="str">
        <f>IFERROR(__xludf.DUMMYFUNCTION("""COMPUTED_VALUE"""),"Красота")</f>
        <v>Красота</v>
      </c>
      <c r="I651" s="88" t="str">
        <f>IFERROR(__xludf.DUMMYFUNCTION("""COMPUTED_VALUE"""),"Брови и ресницы")</f>
        <v>Брови и ресницы</v>
      </c>
      <c r="J651" s="245">
        <f>IFERROR(__xludf.DUMMYFUNCTION("""COMPUTED_VALUE"""),131.0)</f>
        <v>131</v>
      </c>
      <c r="K651" s="240">
        <f>IFERROR(__xludf.DUMMYFUNCTION("""COMPUTED_VALUE"""),107894.0)</f>
        <v>107894</v>
      </c>
      <c r="L651" s="243">
        <f>IFERROR(__xludf.DUMMYFUNCTION("""COMPUTED_VALUE"""),0.13871395295382505)</f>
        <v>0.138713953</v>
      </c>
      <c r="M651" s="88"/>
      <c r="N651" s="88"/>
      <c r="O651" s="88"/>
      <c r="P651" s="88"/>
      <c r="Q651" s="88"/>
      <c r="R651" s="88"/>
      <c r="S651" s="88" t="str">
        <f>IFERROR(__xludf.DUMMYFUNCTION("""COMPUTED_VALUE"""),"Актуально")</f>
        <v>Актуально</v>
      </c>
      <c r="T651" s="88" t="str">
        <f>IFERROR(__xludf.DUMMYFUNCTION("""COMPUTED_VALUE"""),"Даша")</f>
        <v>Даша</v>
      </c>
      <c r="U651" s="88"/>
      <c r="V651" s="88"/>
      <c r="W651" s="88"/>
      <c r="X651" s="88"/>
      <c r="Y651" s="88"/>
      <c r="Z651" s="88"/>
      <c r="AA651" s="88"/>
      <c r="AC651" s="62" t="s">
        <v>2659</v>
      </c>
    </row>
    <row r="652">
      <c r="A652" s="88"/>
      <c r="B652" s="88"/>
      <c r="C652" s="88" t="str">
        <f>IFERROR(__xludf.DUMMYFUNCTION("""COMPUTED_VALUE"""),"Retinol_Start_Kit")</f>
        <v>Retinol_Start_Kit</v>
      </c>
      <c r="D652" s="88">
        <f>IFERROR(__xludf.DUMMYFUNCTION("""COMPUTED_VALUE"""),3.307454109E9)</f>
        <v>3307454109</v>
      </c>
      <c r="E652" s="88" t="str">
        <f>IFERROR(__xludf.DUMMYFUNCTION("""COMPUTED_VALUE"""),"Алтея")</f>
        <v>Алтея</v>
      </c>
      <c r="F652" s="88" t="str">
        <f>IFERROR(__xludf.DUMMYFUNCTION("""COMPUTED_VALUE"""),"Набор уходовой косметики для лица с ретинолом")</f>
        <v>Набор уходовой косметики для лица с ретинолом</v>
      </c>
      <c r="G652" s="88"/>
      <c r="H652" s="88" t="str">
        <f>IFERROR(__xludf.DUMMYFUNCTION("""COMPUTED_VALUE"""),"Красота")</f>
        <v>Красота</v>
      </c>
      <c r="I652" s="88" t="str">
        <f>IFERROR(__xludf.DUMMYFUNCTION("""COMPUTED_VALUE"""),"Ретинол")</f>
        <v>Ретинол</v>
      </c>
      <c r="J652" s="88"/>
      <c r="K652" s="88"/>
      <c r="L652" s="88"/>
      <c r="M652" s="88"/>
      <c r="N652" s="88"/>
      <c r="O652" s="88"/>
      <c r="P652" s="88"/>
      <c r="Q652" s="88"/>
      <c r="R652" s="88"/>
      <c r="S652" s="88" t="str">
        <f>IFERROR(__xludf.DUMMYFUNCTION("""COMPUTED_VALUE"""),"Новинка")</f>
        <v>Новинка</v>
      </c>
      <c r="T652" s="88"/>
      <c r="U652" s="88"/>
      <c r="V652" s="88"/>
      <c r="W652" s="88"/>
      <c r="X652" s="88"/>
      <c r="Y652" s="88"/>
      <c r="Z652" s="88"/>
      <c r="AA652" s="88"/>
      <c r="AC652" s="62" t="s">
        <v>2659</v>
      </c>
    </row>
    <row r="653">
      <c r="A653" s="88"/>
      <c r="B653" s="88"/>
      <c r="C653" s="88" t="str">
        <f>IFERROR(__xludf.DUMMYFUNCTION("""COMPUTED_VALUE"""),"maska-batter_500ml")</f>
        <v>maska-batter_500ml</v>
      </c>
      <c r="D653" s="88">
        <f>IFERROR(__xludf.DUMMYFUNCTION("""COMPUTED_VALUE"""),3.31380513E9)</f>
        <v>3313805130</v>
      </c>
      <c r="E653" s="88" t="str">
        <f>IFERROR(__xludf.DUMMYFUNCTION("""COMPUTED_VALUE"""),"Алтея")</f>
        <v>Алтея</v>
      </c>
      <c r="F653" s="88" t="str">
        <f>IFERROR(__xludf.DUMMYFUNCTION("""COMPUTED_VALUE"""),"Маска для волос с кератином торговой марки Алтея")</f>
        <v>Маска для волос с кератином торговой марки Алтея</v>
      </c>
      <c r="G653" s="88"/>
      <c r="H653" s="88" t="str">
        <f>IFERROR(__xludf.DUMMYFUNCTION("""COMPUTED_VALUE"""),"Красота")</f>
        <v>Красота</v>
      </c>
      <c r="I653" s="88" t="str">
        <f>IFERROR(__xludf.DUMMYFUNCTION("""COMPUTED_VALUE"""),"Волосы")</f>
        <v>Волосы</v>
      </c>
      <c r="J653" s="88"/>
      <c r="K653" s="88"/>
      <c r="L653" s="88"/>
      <c r="M653" s="88"/>
      <c r="N653" s="88"/>
      <c r="O653" s="88"/>
      <c r="P653" s="88"/>
      <c r="Q653" s="88"/>
      <c r="R653" s="88"/>
      <c r="S653" s="88" t="str">
        <f>IFERROR(__xludf.DUMMYFUNCTION("""COMPUTED_VALUE"""),"Новинка")</f>
        <v>Новинка</v>
      </c>
      <c r="T653" s="88"/>
      <c r="U653" s="88"/>
      <c r="V653" s="88"/>
      <c r="W653" s="88"/>
      <c r="X653" s="88"/>
      <c r="Y653" s="88"/>
      <c r="Z653" s="88"/>
      <c r="AA653" s="88"/>
      <c r="AC653" s="62" t="s">
        <v>2659</v>
      </c>
    </row>
    <row r="654">
      <c r="A654" s="88"/>
      <c r="B654" s="88">
        <f>IFERROR(__xludf.DUMMYFUNCTION("""COMPUTED_VALUE"""),118.0)</f>
        <v>118</v>
      </c>
      <c r="C654" s="88" t="str">
        <f>IFERROR(__xludf.DUMMYFUNCTION("""COMPUTED_VALUE"""),"penka_160ml")</f>
        <v>penka_160ml</v>
      </c>
      <c r="D654" s="88">
        <f>IFERROR(__xludf.DUMMYFUNCTION("""COMPUTED_VALUE"""),1.629533131E9)</f>
        <v>1629533131</v>
      </c>
      <c r="E654" s="88" t="str">
        <f>IFERROR(__xludf.DUMMYFUNCTION("""COMPUTED_VALUE"""),"Алтея")</f>
        <v>Алтея</v>
      </c>
      <c r="F654" s="88" t="str">
        <f>IFERROR(__xludf.DUMMYFUNCTION("""COMPUTED_VALUE"""),"Мицеллярная пенка для умывания лица, для снятия макияжа, средство для снятия макияжа, Алтея, 160")</f>
        <v>Мицеллярная пенка для умывания лица, для снятия макияжа, средство для снятия макияжа, Алтея, 160</v>
      </c>
      <c r="G654" s="88"/>
      <c r="H654" s="88" t="str">
        <f>IFERROR(__xludf.DUMMYFUNCTION("""COMPUTED_VALUE"""),"Красота")</f>
        <v>Красота</v>
      </c>
      <c r="I654" s="88" t="str">
        <f>IFERROR(__xludf.DUMMYFUNCTION("""COMPUTED_VALUE"""),"Лицо")</f>
        <v>Лицо</v>
      </c>
      <c r="J654" s="245">
        <f>IFERROR(__xludf.DUMMYFUNCTION("""COMPUTED_VALUE"""),138.0)</f>
        <v>138</v>
      </c>
      <c r="K654" s="240">
        <f>IFERROR(__xludf.DUMMYFUNCTION("""COMPUTED_VALUE"""),106514.0)</f>
        <v>106514</v>
      </c>
      <c r="L654" s="243">
        <f>IFERROR(__xludf.DUMMYFUNCTION("""COMPUTED_VALUE"""),0.8011944762097001)</f>
        <v>0.8011944762</v>
      </c>
      <c r="M654" s="88"/>
      <c r="N654" s="88"/>
      <c r="O654" s="88"/>
      <c r="P654" s="88"/>
      <c r="Q654" s="88"/>
      <c r="R654" s="88"/>
      <c r="S654" s="88" t="str">
        <f>IFERROR(__xludf.DUMMYFUNCTION("""COMPUTED_VALUE"""),"Актуально")</f>
        <v>Актуально</v>
      </c>
      <c r="T654" s="88" t="str">
        <f>IFERROR(__xludf.DUMMYFUNCTION("""COMPUTED_VALUE"""),"Даша")</f>
        <v>Даша</v>
      </c>
      <c r="U654" s="88"/>
      <c r="V654" s="88"/>
      <c r="W654" s="88"/>
      <c r="X654" s="88"/>
      <c r="Y654" s="88"/>
      <c r="Z654" s="88"/>
      <c r="AA654" s="88"/>
      <c r="AC654" s="62" t="s">
        <v>2659</v>
      </c>
    </row>
    <row r="655">
      <c r="A655" s="88"/>
      <c r="B655" s="88">
        <f>IFERROR(__xludf.DUMMYFUNCTION("""COMPUTED_VALUE"""),3.0)</f>
        <v>3</v>
      </c>
      <c r="C655" s="88" t="str">
        <f>IFERROR(__xludf.DUMMYFUNCTION("""COMPUTED_VALUE"""),"pantogor")</f>
        <v>pantogor</v>
      </c>
      <c r="D655" s="88">
        <f>IFERROR(__xludf.DUMMYFUNCTION("""COMPUTED_VALUE"""),2.88894202E8)</f>
        <v>288894202</v>
      </c>
      <c r="E655" s="88" t="str">
        <f>IFERROR(__xludf.DUMMYFUNCTION("""COMPUTED_VALUE"""),"CPA")</f>
        <v>CPA</v>
      </c>
      <c r="F655" s="88" t="str">
        <f>IFERROR(__xludf.DUMMYFUNCTION("""COMPUTED_VALUE"""),"Мазь для суставов, крем от боли в суставах обезболивающая, панты марала бальзам Алтея, Пантогор, 30 мл")</f>
        <v>Мазь для суставов, крем от боли в суставах обезболивающая, панты марала бальзам Алтея, Пантогор, 30 мл</v>
      </c>
      <c r="G655" s="88"/>
      <c r="H655" s="88" t="str">
        <f>IFERROR(__xludf.DUMMYFUNCTION("""COMPUTED_VALUE"""),"Парафармацевтика")</f>
        <v>Парафармацевтика</v>
      </c>
      <c r="I655" s="88" t="str">
        <f>IFERROR(__xludf.DUMMYFUNCTION("""COMPUTED_VALUE"""),"Суставы")</f>
        <v>Суставы</v>
      </c>
      <c r="J655" s="245">
        <f>IFERROR(__xludf.DUMMYFUNCTION("""COMPUTED_VALUE"""),284.0)</f>
        <v>284</v>
      </c>
      <c r="K655" s="240">
        <f>IFERROR(__xludf.DUMMYFUNCTION("""COMPUTED_VALUE"""),169326.0)</f>
        <v>169326</v>
      </c>
      <c r="L655" s="243">
        <f>IFERROR(__xludf.DUMMYFUNCTION("""COMPUTED_VALUE"""),0.0)</f>
        <v>0</v>
      </c>
      <c r="M655" s="88"/>
      <c r="N655" s="88"/>
      <c r="O655" s="88"/>
      <c r="P655" s="88"/>
      <c r="Q655" s="88"/>
      <c r="R655" s="88"/>
      <c r="S655" s="88" t="str">
        <f>IFERROR(__xludf.DUMMYFUNCTION("""COMPUTED_VALUE"""),"Актуально")</f>
        <v>Актуально</v>
      </c>
      <c r="T655" s="88" t="str">
        <f>IFERROR(__xludf.DUMMYFUNCTION("""COMPUTED_VALUE"""),"Влад")</f>
        <v>Влад</v>
      </c>
      <c r="U655" s="88"/>
      <c r="V655" s="88"/>
      <c r="W655" s="88"/>
      <c r="X655" s="88"/>
      <c r="Y655" s="88"/>
      <c r="Z655" s="88"/>
      <c r="AA655" s="88"/>
      <c r="AC655" s="62" t="s">
        <v>2659</v>
      </c>
    </row>
    <row r="656">
      <c r="A656" s="88"/>
      <c r="B656" s="88">
        <f>IFERROR(__xludf.DUMMYFUNCTION("""COMPUTED_VALUE"""),66.0)</f>
        <v>66</v>
      </c>
      <c r="C656" s="88" t="str">
        <f>IFERROR(__xludf.DUMMYFUNCTION("""COMPUTED_VALUE"""),"dardrakona_1_1")</f>
        <v>dardrakona_1_1</v>
      </c>
      <c r="D656" s="88">
        <f>IFERROR(__xludf.DUMMYFUNCTION("""COMPUTED_VALUE"""),1.188111089E9)</f>
        <v>1188111089</v>
      </c>
      <c r="E656" s="88" t="str">
        <f>IFERROR(__xludf.DUMMYFUNCTION("""COMPUTED_VALUE"""),"CPA")</f>
        <v>CPA</v>
      </c>
      <c r="F656" s="88" t="str">
        <f>IFERROR(__xludf.DUMMYFUNCTION("""COMPUTED_VALUE"""),"Крем от варикоза усталости и отеков ног охлаждающий Дар Дракона, 30 мл")</f>
        <v>Крем от варикоза усталости и отеков ног охлаждающий Дар Дракона, 30 мл</v>
      </c>
      <c r="G656" s="88"/>
      <c r="H656" s="88" t="str">
        <f>IFERROR(__xludf.DUMMYFUNCTION("""COMPUTED_VALUE"""),"Парафармацевтика")</f>
        <v>Парафармацевтика</v>
      </c>
      <c r="I656" s="88" t="str">
        <f>IFERROR(__xludf.DUMMYFUNCTION("""COMPUTED_VALUE"""),"Варикоз")</f>
        <v>Варикоз</v>
      </c>
      <c r="J656" s="245">
        <f>IFERROR(__xludf.DUMMYFUNCTION("""COMPUTED_VALUE"""),121.0)</f>
        <v>121</v>
      </c>
      <c r="K656" s="240">
        <f>IFERROR(__xludf.DUMMYFUNCTION("""COMPUTED_VALUE"""),104812.0)</f>
        <v>104812</v>
      </c>
      <c r="L656" s="243">
        <f>IFERROR(__xludf.DUMMYFUNCTION("""COMPUTED_VALUE"""),0.17694144077014082)</f>
        <v>0.1769414408</v>
      </c>
      <c r="M656" s="88"/>
      <c r="N656" s="88"/>
      <c r="O656" s="88"/>
      <c r="P656" s="88"/>
      <c r="Q656" s="88"/>
      <c r="R656" s="88"/>
      <c r="S656" s="88" t="str">
        <f>IFERROR(__xludf.DUMMYFUNCTION("""COMPUTED_VALUE"""),"Актуально")</f>
        <v>Актуально</v>
      </c>
      <c r="T656" s="88" t="str">
        <f>IFERROR(__xludf.DUMMYFUNCTION("""COMPUTED_VALUE"""),"Даша")</f>
        <v>Даша</v>
      </c>
      <c r="U656" s="88"/>
      <c r="V656" s="88"/>
      <c r="W656" s="88"/>
      <c r="X656" s="88"/>
      <c r="Y656" s="88"/>
      <c r="Z656" s="88"/>
      <c r="AA656" s="88"/>
      <c r="AC656" s="62" t="s">
        <v>2659</v>
      </c>
    </row>
    <row r="657">
      <c r="A657" s="88"/>
      <c r="B657" s="88">
        <f>IFERROR(__xludf.DUMMYFUNCTION("""COMPUTED_VALUE"""),114.0)</f>
        <v>114</v>
      </c>
      <c r="C657" s="88" t="str">
        <f>IFERROR(__xludf.DUMMYFUNCTION("""COMPUTED_VALUE"""),"wowglam")</f>
        <v>wowglam</v>
      </c>
      <c r="D657" s="88">
        <f>IFERROR(__xludf.DUMMYFUNCTION("""COMPUTED_VALUE"""),1.597150074E9)</f>
        <v>1597150074</v>
      </c>
      <c r="E657" s="88" t="str">
        <f>IFERROR(__xludf.DUMMYFUNCTION("""COMPUTED_VALUE"""),"Алтея")</f>
        <v>Алтея</v>
      </c>
      <c r="F657" s="88" t="str">
        <f>IFERROR(__xludf.DUMMYFUNCTION("""COMPUTED_VALUE"""),"Сыворотка для роста волос, биотин, бетаин, кератин, масло жожоба, Алтея, WOW GLAM, 10 штук по 2 мл")</f>
        <v>Сыворотка для роста волос, биотин, бетаин, кератин, масло жожоба, Алтея, WOW GLAM, 10 штук по 2 мл</v>
      </c>
      <c r="G657" s="88"/>
      <c r="H657" s="88" t="str">
        <f>IFERROR(__xludf.DUMMYFUNCTION("""COMPUTED_VALUE"""),"Красота")</f>
        <v>Красота</v>
      </c>
      <c r="I657" s="88" t="str">
        <f>IFERROR(__xludf.DUMMYFUNCTION("""COMPUTED_VALUE"""),"Волосы")</f>
        <v>Волосы</v>
      </c>
      <c r="J657" s="245">
        <f>IFERROR(__xludf.DUMMYFUNCTION("""COMPUTED_VALUE"""),147.0)</f>
        <v>147</v>
      </c>
      <c r="K657" s="240">
        <f>IFERROR(__xludf.DUMMYFUNCTION("""COMPUTED_VALUE"""),99980.0)</f>
        <v>99980</v>
      </c>
      <c r="L657" s="243">
        <f>IFERROR(__xludf.DUMMYFUNCTION("""COMPUTED_VALUE"""),0.1252568598719744)</f>
        <v>0.1252568599</v>
      </c>
      <c r="M657" s="88"/>
      <c r="N657" s="88"/>
      <c r="O657" s="88"/>
      <c r="P657" s="88"/>
      <c r="Q657" s="88"/>
      <c r="R657" s="88"/>
      <c r="S657" s="88" t="str">
        <f>IFERROR(__xludf.DUMMYFUNCTION("""COMPUTED_VALUE"""),"Актуально")</f>
        <v>Актуально</v>
      </c>
      <c r="T657" s="88" t="str">
        <f>IFERROR(__xludf.DUMMYFUNCTION("""COMPUTED_VALUE"""),"Даша")</f>
        <v>Даша</v>
      </c>
      <c r="U657" s="88"/>
      <c r="V657" s="88"/>
      <c r="W657" s="88"/>
      <c r="X657" s="88"/>
      <c r="Y657" s="88"/>
      <c r="Z657" s="88"/>
      <c r="AA657" s="88"/>
      <c r="AC657" s="62" t="s">
        <v>2659</v>
      </c>
    </row>
    <row r="658">
      <c r="A658" s="88"/>
      <c r="B658" s="88">
        <f>IFERROR(__xludf.DUMMYFUNCTION("""COMPUTED_VALUE"""),186.0)</f>
        <v>186</v>
      </c>
      <c r="C658" s="88" t="str">
        <f>IFERROR(__xludf.DUMMYFUNCTION("""COMPUTED_VALUE"""),"enzim_pudra_80gr_v2")</f>
        <v>enzim_pudra_80gr_v2</v>
      </c>
      <c r="D658" s="88">
        <f>IFERROR(__xludf.DUMMYFUNCTION("""COMPUTED_VALUE"""),2.915421784E9)</f>
        <v>2915421784</v>
      </c>
      <c r="E658" s="88" t="str">
        <f>IFERROR(__xludf.DUMMYFUNCTION("""COMPUTED_VALUE"""),"Алтея")</f>
        <v>Алтея</v>
      </c>
      <c r="F658" s="88" t="str">
        <f>IFERROR(__xludf.DUMMYFUNCTION("""COMPUTED_VALUE"""),"Энзимная пудра для умывания тела и лица, от прыщей, Алтея, 80г")</f>
        <v>Энзимная пудра для умывания тела и лица, от прыщей, Алтея, 80г</v>
      </c>
      <c r="G658" s="88"/>
      <c r="H658" s="88" t="str">
        <f>IFERROR(__xludf.DUMMYFUNCTION("""COMPUTED_VALUE"""),"Красота")</f>
        <v>Красота</v>
      </c>
      <c r="I658" s="88" t="str">
        <f>IFERROR(__xludf.DUMMYFUNCTION("""COMPUTED_VALUE"""),"Лицо")</f>
        <v>Лицо</v>
      </c>
      <c r="J658" s="245">
        <f>IFERROR(__xludf.DUMMYFUNCTION("""COMPUTED_VALUE"""),71.0)</f>
        <v>71</v>
      </c>
      <c r="K658" s="240">
        <f>IFERROR(__xludf.DUMMYFUNCTION("""COMPUTED_VALUE"""),94394.0)</f>
        <v>94394</v>
      </c>
      <c r="L658" s="243">
        <f>IFERROR(__xludf.DUMMYFUNCTION("""COMPUTED_VALUE"""),0.1445683486238532)</f>
        <v>0.1445683486</v>
      </c>
      <c r="M658" s="88"/>
      <c r="N658" s="88"/>
      <c r="O658" s="88"/>
      <c r="P658" s="88"/>
      <c r="Q658" s="88"/>
      <c r="R658" s="88"/>
      <c r="S658" s="88" t="str">
        <f>IFERROR(__xludf.DUMMYFUNCTION("""COMPUTED_VALUE"""),"Актуально")</f>
        <v>Актуально</v>
      </c>
      <c r="T658" s="88" t="str">
        <f>IFERROR(__xludf.DUMMYFUNCTION("""COMPUTED_VALUE"""),"Даша")</f>
        <v>Даша</v>
      </c>
      <c r="U658" s="88"/>
      <c r="V658" s="88"/>
      <c r="W658" s="88"/>
      <c r="X658" s="88"/>
      <c r="Y658" s="88"/>
      <c r="Z658" s="88"/>
      <c r="AA658" s="88"/>
      <c r="AC658" s="62" t="s">
        <v>2659</v>
      </c>
    </row>
    <row r="659">
      <c r="A659" s="88"/>
      <c r="B659" s="88">
        <f>IFERROR(__xludf.DUMMYFUNCTION("""COMPUTED_VALUE"""),81.0)</f>
        <v>81</v>
      </c>
      <c r="C659" s="88" t="str">
        <f>IFERROR(__xludf.DUMMYFUNCTION("""COMPUTED_VALUE"""),"vetonus_100ml")</f>
        <v>vetonus_100ml</v>
      </c>
      <c r="D659" s="88">
        <f>IFERROR(__xludf.DUMMYFUNCTION("""COMPUTED_VALUE"""),1.403753693E9)</f>
        <v>1403753693</v>
      </c>
      <c r="E659" s="88" t="str">
        <f>IFERROR(__xludf.DUMMYFUNCTION("""COMPUTED_VALUE"""),"CPA")</f>
        <v>CPA</v>
      </c>
      <c r="F659" s="88" t="str">
        <f>IFERROR(__xludf.DUMMYFUNCTION("""COMPUTED_VALUE"""),"Крем от варикоза усталости и отеков ног Ветонус натуральный, 30 мл")</f>
        <v>Крем от варикоза усталости и отеков ног Ветонус натуральный, 30 мл</v>
      </c>
      <c r="G659" s="88"/>
      <c r="H659" s="88" t="str">
        <f>IFERROR(__xludf.DUMMYFUNCTION("""COMPUTED_VALUE"""),"Парафармацевтика")</f>
        <v>Парафармацевтика</v>
      </c>
      <c r="I659" s="88" t="str">
        <f>IFERROR(__xludf.DUMMYFUNCTION("""COMPUTED_VALUE"""),"Варикоз")</f>
        <v>Варикоз</v>
      </c>
      <c r="J659" s="245">
        <f>IFERROR(__xludf.DUMMYFUNCTION("""COMPUTED_VALUE"""),105.0)</f>
        <v>105</v>
      </c>
      <c r="K659" s="240">
        <f>IFERROR(__xludf.DUMMYFUNCTION("""COMPUTED_VALUE"""),89879.0)</f>
        <v>89879</v>
      </c>
      <c r="L659" s="243">
        <f>IFERROR(__xludf.DUMMYFUNCTION("""COMPUTED_VALUE"""),0.17003917322177595)</f>
        <v>0.1700391732</v>
      </c>
      <c r="M659" s="88"/>
      <c r="N659" s="88"/>
      <c r="O659" s="88"/>
      <c r="P659" s="88"/>
      <c r="Q659" s="88"/>
      <c r="R659" s="88"/>
      <c r="S659" s="88" t="str">
        <f>IFERROR(__xludf.DUMMYFUNCTION("""COMPUTED_VALUE"""),"Актуально")</f>
        <v>Актуально</v>
      </c>
      <c r="T659" s="88" t="str">
        <f>IFERROR(__xludf.DUMMYFUNCTION("""COMPUTED_VALUE"""),"Даша")</f>
        <v>Даша</v>
      </c>
      <c r="U659" s="88"/>
      <c r="V659" s="88"/>
      <c r="W659" s="88"/>
      <c r="X659" s="88"/>
      <c r="Y659" s="88"/>
      <c r="Z659" s="88"/>
      <c r="AA659" s="88"/>
      <c r="AC659" s="62" t="s">
        <v>2659</v>
      </c>
    </row>
    <row r="660">
      <c r="A660" s="88"/>
      <c r="B660" s="88">
        <f>IFERROR(__xludf.DUMMYFUNCTION("""COMPUTED_VALUE"""),83.0)</f>
        <v>83</v>
      </c>
      <c r="C660" s="88" t="str">
        <f>IFERROR(__xludf.DUMMYFUNCTION("""COMPUTED_VALUE"""),"kremshelk_100ml")</f>
        <v>kremshelk_100ml</v>
      </c>
      <c r="D660" s="88">
        <f>IFERROR(__xludf.DUMMYFUNCTION("""COMPUTED_VALUE"""),1.413566896E9)</f>
        <v>1413566896</v>
      </c>
      <c r="E660" s="88" t="str">
        <f>IFERROR(__xludf.DUMMYFUNCTION("""COMPUTED_VALUE"""),"Алтея")</f>
        <v>Алтея</v>
      </c>
      <c r="F660" s="88" t="str">
        <f>IFERROR(__xludf.DUMMYFUNCTION("""COMPUTED_VALUE"""),"Крем с мочевиной 10% увлажняющий для рук и тела, от трещин на пятках и сухости, 100 мл, Алтея")</f>
        <v>Крем с мочевиной 10% увлажняющий для рук и тела, от трещин на пятках и сухости, 100 мл, Алтея</v>
      </c>
      <c r="G660" s="88"/>
      <c r="H660" s="88" t="str">
        <f>IFERROR(__xludf.DUMMYFUNCTION("""COMPUTED_VALUE"""),"Красота")</f>
        <v>Красота</v>
      </c>
      <c r="I660" s="88" t="str">
        <f>IFERROR(__xludf.DUMMYFUNCTION("""COMPUTED_VALUE"""),"Пятки")</f>
        <v>Пятки</v>
      </c>
      <c r="J660" s="245">
        <f>IFERROR(__xludf.DUMMYFUNCTION("""COMPUTED_VALUE"""),120.0)</f>
        <v>120</v>
      </c>
      <c r="K660" s="240">
        <f>IFERROR(__xludf.DUMMYFUNCTION("""COMPUTED_VALUE"""),88816.0)</f>
        <v>88816</v>
      </c>
      <c r="L660" s="243">
        <f>IFERROR(__xludf.DUMMYFUNCTION("""COMPUTED_VALUE"""),0.2265725099193839)</f>
        <v>0.2265725099</v>
      </c>
      <c r="M660" s="88"/>
      <c r="N660" s="88"/>
      <c r="O660" s="88"/>
      <c r="P660" s="88"/>
      <c r="Q660" s="88"/>
      <c r="R660" s="88"/>
      <c r="S660" s="88" t="str">
        <f>IFERROR(__xludf.DUMMYFUNCTION("""COMPUTED_VALUE"""),"Актуально")</f>
        <v>Актуально</v>
      </c>
      <c r="T660" s="88" t="str">
        <f>IFERROR(__xludf.DUMMYFUNCTION("""COMPUTED_VALUE"""),"Даша")</f>
        <v>Даша</v>
      </c>
      <c r="U660" s="88"/>
      <c r="V660" s="88"/>
      <c r="W660" s="88"/>
      <c r="X660" s="88"/>
      <c r="Y660" s="88"/>
      <c r="Z660" s="88"/>
      <c r="AA660" s="88"/>
      <c r="AC660" s="62" t="s">
        <v>2659</v>
      </c>
    </row>
    <row r="661">
      <c r="A661" s="88"/>
      <c r="B661" s="88">
        <f>IFERROR(__xludf.DUMMYFUNCTION("""COMPUTED_VALUE"""),143.0)</f>
        <v>143</v>
      </c>
      <c r="C661" s="88" t="str">
        <f>IFERROR(__xludf.DUMMYFUNCTION("""COMPUTED_VALUE"""),"alteya_beauty_brows_box")</f>
        <v>alteya_beauty_brows_box</v>
      </c>
      <c r="D661" s="88">
        <f>IFERROR(__xludf.DUMMYFUNCTION("""COMPUTED_VALUE"""),1.805983376E9)</f>
        <v>1805983376</v>
      </c>
      <c r="E661" s="88" t="str">
        <f>IFERROR(__xludf.DUMMYFUNCTION("""COMPUTED_VALUE"""),"Алтея")</f>
        <v>Алтея</v>
      </c>
      <c r="F661" s="88" t="str">
        <f>IFERROR(__xludf.DUMMYFUNCTION("""COMPUTED_VALUE"""),"Уход за бровями набор Гель для бровей + сыворотка для ресниц, набор для бровей и ресниц косметический Beauty Brows Box, Алтея")</f>
        <v>Уход за бровями набор Гель для бровей + сыворотка для ресниц, набор для бровей и ресниц косметический Beauty Brows Box, Алтея</v>
      </c>
      <c r="G661" s="88"/>
      <c r="H661" s="88" t="str">
        <f>IFERROR(__xludf.DUMMYFUNCTION("""COMPUTED_VALUE"""),"Красота")</f>
        <v>Красота</v>
      </c>
      <c r="I661" s="88" t="str">
        <f>IFERROR(__xludf.DUMMYFUNCTION("""COMPUTED_VALUE"""),"Брови и ресницы")</f>
        <v>Брови и ресницы</v>
      </c>
      <c r="J661" s="245">
        <f>IFERROR(__xludf.DUMMYFUNCTION("""COMPUTED_VALUE"""),87.0)</f>
        <v>87</v>
      </c>
      <c r="K661" s="240">
        <f>IFERROR(__xludf.DUMMYFUNCTION("""COMPUTED_VALUE"""),84303.0)</f>
        <v>84303</v>
      </c>
      <c r="L661" s="243">
        <f>IFERROR(__xludf.DUMMYFUNCTION("""COMPUTED_VALUE"""),0.3891660458109439)</f>
        <v>0.3891660458</v>
      </c>
      <c r="M661" s="88"/>
      <c r="N661" s="88"/>
      <c r="O661" s="88"/>
      <c r="P661" s="88"/>
      <c r="Q661" s="88"/>
      <c r="R661" s="88"/>
      <c r="S661" s="88" t="str">
        <f>IFERROR(__xludf.DUMMYFUNCTION("""COMPUTED_VALUE"""),"Актуально")</f>
        <v>Актуально</v>
      </c>
      <c r="T661" s="88" t="str">
        <f>IFERROR(__xludf.DUMMYFUNCTION("""COMPUTED_VALUE"""),"Даша")</f>
        <v>Даша</v>
      </c>
      <c r="U661" s="88"/>
      <c r="V661" s="88"/>
      <c r="W661" s="88"/>
      <c r="X661" s="88"/>
      <c r="Y661" s="88"/>
      <c r="Z661" s="88"/>
      <c r="AA661" s="88"/>
      <c r="AC661" s="62" t="s">
        <v>2659</v>
      </c>
    </row>
    <row r="662">
      <c r="A662" s="88"/>
      <c r="B662" s="88">
        <f>IFERROR(__xludf.DUMMYFUNCTION("""COMPUTED_VALUE"""),59.0)</f>
        <v>59</v>
      </c>
      <c r="C662" s="88" t="str">
        <f>IFERROR(__xludf.DUMMYFUNCTION("""COMPUTED_VALUE"""),"wbpantogor_1_1")</f>
        <v>wbpantogor_1_1</v>
      </c>
      <c r="D662" s="88">
        <f>IFERROR(__xludf.DUMMYFUNCTION("""COMPUTED_VALUE"""),1.15457288E9)</f>
        <v>1154572880</v>
      </c>
      <c r="E662" s="88" t="str">
        <f>IFERROR(__xludf.DUMMYFUNCTION("""COMPUTED_VALUE"""),"CPA")</f>
        <v>CPA</v>
      </c>
      <c r="F662" s="88" t="str">
        <f>IFERROR(__xludf.DUMMYFUNCTION("""COMPUTED_VALUE"""),"Мазь для суставов, крем от боли в суставах обезболивающая, панты марала бальзам Алтея, Пантогор, 2 штуки")</f>
        <v>Мазь для суставов, крем от боли в суставах обезболивающая, панты марала бальзам Алтея, Пантогор, 2 штуки</v>
      </c>
      <c r="G662" s="88"/>
      <c r="H662" s="88" t="str">
        <f>IFERROR(__xludf.DUMMYFUNCTION("""COMPUTED_VALUE"""),"Парафармацевтика")</f>
        <v>Парафармацевтика</v>
      </c>
      <c r="I662" s="88" t="str">
        <f>IFERROR(__xludf.DUMMYFUNCTION("""COMPUTED_VALUE"""),"Суставы")</f>
        <v>Суставы</v>
      </c>
      <c r="J662" s="245">
        <f>IFERROR(__xludf.DUMMYFUNCTION("""COMPUTED_VALUE"""),138.0)</f>
        <v>138</v>
      </c>
      <c r="K662" s="240">
        <f>IFERROR(__xludf.DUMMYFUNCTION("""COMPUTED_VALUE"""),159881.0)</f>
        <v>159881</v>
      </c>
      <c r="L662" s="243">
        <f>IFERROR(__xludf.DUMMYFUNCTION("""COMPUTED_VALUE"""),0.02004677009776021)</f>
        <v>0.0200467701</v>
      </c>
      <c r="M662" s="88"/>
      <c r="N662" s="88"/>
      <c r="O662" s="88"/>
      <c r="P662" s="88"/>
      <c r="Q662" s="88"/>
      <c r="R662" s="88"/>
      <c r="S662" s="88" t="str">
        <f>IFERROR(__xludf.DUMMYFUNCTION("""COMPUTED_VALUE"""),"Актуально")</f>
        <v>Актуально</v>
      </c>
      <c r="T662" s="88" t="str">
        <f>IFERROR(__xludf.DUMMYFUNCTION("""COMPUTED_VALUE"""),"Влад")</f>
        <v>Влад</v>
      </c>
      <c r="U662" s="88"/>
      <c r="V662" s="88"/>
      <c r="W662" s="88"/>
      <c r="X662" s="88"/>
      <c r="Y662" s="88"/>
      <c r="Z662" s="88"/>
      <c r="AA662" s="88"/>
      <c r="AC662" s="62" t="s">
        <v>2659</v>
      </c>
    </row>
    <row r="663">
      <c r="A663" s="88"/>
      <c r="B663" s="88">
        <f>IFERROR(__xludf.DUMMYFUNCTION("""COMPUTED_VALUE"""),125.0)</f>
        <v>125</v>
      </c>
      <c r="C663" s="88" t="str">
        <f>IFERROR(__xludf.DUMMYFUNCTION("""COMPUTED_VALUE"""),"osteofast")</f>
        <v>osteofast</v>
      </c>
      <c r="D663" s="88">
        <f>IFERROR(__xludf.DUMMYFUNCTION("""COMPUTED_VALUE"""),1.691265016E9)</f>
        <v>1691265016</v>
      </c>
      <c r="E663" s="88" t="str">
        <f>IFERROR(__xludf.DUMMYFUNCTION("""COMPUTED_VALUE"""),"CPA")</f>
        <v>CPA</v>
      </c>
      <c r="F663" s="88" t="str">
        <f>IFERROR(__xludf.DUMMYFUNCTION("""COMPUTED_VALUE"""),"Мазь для суставов обезболивающая, панты марала и глюкозамин, Алтея, Остеофаст, Osteofast, 30 мл")</f>
        <v>Мазь для суставов обезболивающая, панты марала и глюкозамин, Алтея, Остеофаст, Osteofast, 30 мл</v>
      </c>
      <c r="G663" s="88"/>
      <c r="H663" s="88" t="str">
        <f>IFERROR(__xludf.DUMMYFUNCTION("""COMPUTED_VALUE"""),"Парафармацевтика")</f>
        <v>Парафармацевтика</v>
      </c>
      <c r="I663" s="88" t="str">
        <f>IFERROR(__xludf.DUMMYFUNCTION("""COMPUTED_VALUE"""),"Суставы")</f>
        <v>Суставы</v>
      </c>
      <c r="J663" s="245">
        <f>IFERROR(__xludf.DUMMYFUNCTION("""COMPUTED_VALUE"""),219.0)</f>
        <v>219</v>
      </c>
      <c r="K663" s="240">
        <f>IFERROR(__xludf.DUMMYFUNCTION("""COMPUTED_VALUE"""),149892.0)</f>
        <v>149892</v>
      </c>
      <c r="L663" s="243">
        <f>IFERROR(__xludf.DUMMYFUNCTION("""COMPUTED_VALUE"""),0.0)</f>
        <v>0</v>
      </c>
      <c r="M663" s="88"/>
      <c r="N663" s="88"/>
      <c r="O663" s="88"/>
      <c r="P663" s="88"/>
      <c r="Q663" s="88"/>
      <c r="R663" s="88"/>
      <c r="S663" s="88" t="str">
        <f>IFERROR(__xludf.DUMMYFUNCTION("""COMPUTED_VALUE"""),"Актуально")</f>
        <v>Актуально</v>
      </c>
      <c r="T663" s="88" t="str">
        <f>IFERROR(__xludf.DUMMYFUNCTION("""COMPUTED_VALUE"""),"Влад")</f>
        <v>Влад</v>
      </c>
      <c r="U663" s="88"/>
      <c r="V663" s="88"/>
      <c r="W663" s="88"/>
      <c r="X663" s="88"/>
      <c r="Y663" s="88"/>
      <c r="Z663" s="88"/>
      <c r="AA663" s="88"/>
      <c r="AC663" s="62" t="s">
        <v>2659</v>
      </c>
    </row>
    <row r="664">
      <c r="A664" s="88"/>
      <c r="B664" s="88">
        <f>IFERROR(__xludf.DUMMYFUNCTION("""COMPUTED_VALUE"""),61.0)</f>
        <v>61</v>
      </c>
      <c r="C664" s="88" t="str">
        <f>IFERROR(__xludf.DUMMYFUNCTION("""COMPUTED_VALUE"""),"pirantoks_BAD_60caps")</f>
        <v>pirantoks_BAD_60caps</v>
      </c>
      <c r="D664" s="88">
        <f>IFERROR(__xludf.DUMMYFUNCTION("""COMPUTED_VALUE"""),1.171820923E9)</f>
        <v>1171820923</v>
      </c>
      <c r="E664" s="88" t="str">
        <f>IFERROR(__xludf.DUMMYFUNCTION("""COMPUTED_VALUE"""),"Алтея")</f>
        <v>Алтея</v>
      </c>
      <c r="F664" s="88" t="str">
        <f>IFERROR(__xludf.DUMMYFUNCTION("""COMPUTED_VALUE"""),"Антипаразитарный комплекс от глистов, очищение организма от паразитов, черный орех детокс, Алтея, Пирантокс, 60 капсул")</f>
        <v>Антипаразитарный комплекс от глистов, очищение организма от паразитов, черный орех детокс, Алтея, Пирантокс, 60 капсул</v>
      </c>
      <c r="G664" s="88"/>
      <c r="H664" s="88" t="str">
        <f>IFERROR(__xludf.DUMMYFUNCTION("""COMPUTED_VALUE"""),"БАДы")</f>
        <v>БАДы</v>
      </c>
      <c r="I664" s="88" t="str">
        <f>IFERROR(__xludf.DUMMYFUNCTION("""COMPUTED_VALUE"""),"От паразитов")</f>
        <v>От паразитов</v>
      </c>
      <c r="J664" s="245">
        <f>IFERROR(__xludf.DUMMYFUNCTION("""COMPUTED_VALUE"""),116.0)</f>
        <v>116</v>
      </c>
      <c r="K664" s="240">
        <f>IFERROR(__xludf.DUMMYFUNCTION("""COMPUTED_VALUE"""),72504.0)</f>
        <v>72504</v>
      </c>
      <c r="L664" s="243">
        <f>IFERROR(__xludf.DUMMYFUNCTION("""COMPUTED_VALUE"""),0.0)</f>
        <v>0</v>
      </c>
      <c r="M664" s="88"/>
      <c r="N664" s="88"/>
      <c r="O664" s="88"/>
      <c r="P664" s="88"/>
      <c r="Q664" s="88"/>
      <c r="R664" s="88"/>
      <c r="S664" s="88" t="str">
        <f>IFERROR(__xludf.DUMMYFUNCTION("""COMPUTED_VALUE"""),"Актуально")</f>
        <v>Актуально</v>
      </c>
      <c r="T664" s="88" t="str">
        <f>IFERROR(__xludf.DUMMYFUNCTION("""COMPUTED_VALUE"""),"Даша")</f>
        <v>Даша</v>
      </c>
      <c r="U664" s="88"/>
      <c r="V664" s="88"/>
      <c r="W664" s="88"/>
      <c r="X664" s="88"/>
      <c r="Y664" s="88"/>
      <c r="Z664" s="88"/>
      <c r="AA664" s="88"/>
      <c r="AC664" s="62" t="s">
        <v>2659</v>
      </c>
    </row>
    <row r="665">
      <c r="A665" s="88"/>
      <c r="B665" s="88">
        <f>IFERROR(__xludf.DUMMYFUNCTION("""COMPUTED_VALUE"""),28.0)</f>
        <v>28</v>
      </c>
      <c r="C665" s="88" t="str">
        <f>IFERROR(__xludf.DUMMYFUNCTION("""COMPUTED_VALUE"""),"adenofringreen")</f>
        <v>adenofringreen</v>
      </c>
      <c r="D665" s="88">
        <f>IFERROR(__xludf.DUMMYFUNCTION("""COMPUTED_VALUE"""),3.96723649E8)</f>
        <v>396723649</v>
      </c>
      <c r="E665" s="88" t="str">
        <f>IFERROR(__xludf.DUMMYFUNCTION("""COMPUTED_VALUE"""),"CPA")</f>
        <v>CPA</v>
      </c>
      <c r="F665" s="88" t="str">
        <f>IFERROR(__xludf.DUMMYFUNCTION("""COMPUTED_VALUE"""),"Таблетки от простатита для мужчин для потенции Алтея, Аденофрин, 20 шт")</f>
        <v>Таблетки от простатита для мужчин для потенции Алтея, Аденофрин, 20 шт</v>
      </c>
      <c r="G665" s="88"/>
      <c r="H665" s="88" t="str">
        <f>IFERROR(__xludf.DUMMYFUNCTION("""COMPUTED_VALUE"""),"Парафармацевтика")</f>
        <v>Парафармацевтика</v>
      </c>
      <c r="I665" s="88" t="str">
        <f>IFERROR(__xludf.DUMMYFUNCTION("""COMPUTED_VALUE"""),"Простатит")</f>
        <v>Простатит</v>
      </c>
      <c r="J665" s="245">
        <f>IFERROR(__xludf.DUMMYFUNCTION("""COMPUTED_VALUE"""),321.0)</f>
        <v>321</v>
      </c>
      <c r="K665" s="240">
        <f>IFERROR(__xludf.DUMMYFUNCTION("""COMPUTED_VALUE"""),140109.0)</f>
        <v>140109</v>
      </c>
      <c r="L665" s="243">
        <f>IFERROR(__xludf.DUMMYFUNCTION("""COMPUTED_VALUE"""),0.0)</f>
        <v>0</v>
      </c>
      <c r="M665" s="88"/>
      <c r="N665" s="88"/>
      <c r="O665" s="88"/>
      <c r="P665" s="88"/>
      <c r="Q665" s="88"/>
      <c r="R665" s="88"/>
      <c r="S665" s="88" t="str">
        <f>IFERROR(__xludf.DUMMYFUNCTION("""COMPUTED_VALUE"""),"На вывод")</f>
        <v>На вывод</v>
      </c>
      <c r="T665" s="88" t="str">
        <f>IFERROR(__xludf.DUMMYFUNCTION("""COMPUTED_VALUE"""),"Влад")</f>
        <v>Влад</v>
      </c>
      <c r="U665" s="88"/>
      <c r="V665" s="88"/>
      <c r="W665" s="88"/>
      <c r="X665" s="88"/>
      <c r="Y665" s="88"/>
      <c r="Z665" s="88"/>
      <c r="AA665" s="88"/>
      <c r="AC665" s="62" t="s">
        <v>2659</v>
      </c>
    </row>
    <row r="666">
      <c r="A666" s="88"/>
      <c r="B666" s="88">
        <f>IFERROR(__xludf.DUMMYFUNCTION("""COMPUTED_VALUE"""),146.0)</f>
        <v>146</v>
      </c>
      <c r="C666" s="88" t="str">
        <f>IFERROR(__xludf.DUMMYFUNCTION("""COMPUTED_VALUE"""),"erobrut")</f>
        <v>erobrut</v>
      </c>
      <c r="D666" s="88">
        <f>IFERROR(__xludf.DUMMYFUNCTION("""COMPUTED_VALUE"""),1.829804935E9)</f>
        <v>1829804935</v>
      </c>
      <c r="E666" s="88" t="str">
        <f>IFERROR(__xludf.DUMMYFUNCTION("""COMPUTED_VALUE"""),"CPA")</f>
        <v>CPA</v>
      </c>
      <c r="F666" s="88" t="str">
        <f>IFERROR(__xludf.DUMMYFUNCTION("""COMPUTED_VALUE"""),"Возбудитель для мужчин, таблетки для потенции, капсулы для секса, 18+, Эробрут, Алтея, 20 капсул")</f>
        <v>Возбудитель для мужчин, таблетки для потенции, капсулы для секса, 18+, Эробрут, Алтея, 20 капсул</v>
      </c>
      <c r="G666" s="88"/>
      <c r="H666" s="88" t="str">
        <f>IFERROR(__xludf.DUMMYFUNCTION("""COMPUTED_VALUE"""),"Парафармацевтика")</f>
        <v>Парафармацевтика</v>
      </c>
      <c r="I666" s="88" t="str">
        <f>IFERROR(__xludf.DUMMYFUNCTION("""COMPUTED_VALUE"""),"Возбудитель")</f>
        <v>Возбудитель</v>
      </c>
      <c r="J666" s="245">
        <f>IFERROR(__xludf.DUMMYFUNCTION("""COMPUTED_VALUE"""),166.0)</f>
        <v>166</v>
      </c>
      <c r="K666" s="240">
        <f>IFERROR(__xludf.DUMMYFUNCTION("""COMPUTED_VALUE"""),122913.0)</f>
        <v>122913</v>
      </c>
      <c r="L666" s="243">
        <f>IFERROR(__xludf.DUMMYFUNCTION("""COMPUTED_VALUE"""),0.0)</f>
        <v>0</v>
      </c>
      <c r="M666" s="88"/>
      <c r="N666" s="88"/>
      <c r="O666" s="88"/>
      <c r="P666" s="88"/>
      <c r="Q666" s="88"/>
      <c r="R666" s="88"/>
      <c r="S666" s="88" t="str">
        <f>IFERROR(__xludf.DUMMYFUNCTION("""COMPUTED_VALUE"""),"Актуально")</f>
        <v>Актуально</v>
      </c>
      <c r="T666" s="88" t="str">
        <f>IFERROR(__xludf.DUMMYFUNCTION("""COMPUTED_VALUE"""),"Влад")</f>
        <v>Влад</v>
      </c>
      <c r="U666" s="88"/>
      <c r="V666" s="88"/>
      <c r="W666" s="88"/>
      <c r="X666" s="88"/>
      <c r="Y666" s="88"/>
      <c r="Z666" s="88"/>
      <c r="AA666" s="88"/>
      <c r="AC666" s="62" t="s">
        <v>2659</v>
      </c>
    </row>
    <row r="667">
      <c r="A667" s="88"/>
      <c r="B667" s="88">
        <f>IFERROR(__xludf.DUMMYFUNCTION("""COMPUTED_VALUE"""),145.0)</f>
        <v>145</v>
      </c>
      <c r="C667" s="88" t="str">
        <f>IFERROR(__xludf.DUMMYFUNCTION("""COMPUTED_VALUE"""),"urinofix")</f>
        <v>urinofix</v>
      </c>
      <c r="D667" s="88">
        <f>IFERROR(__xludf.DUMMYFUNCTION("""COMPUTED_VALUE"""),1.829803107E9)</f>
        <v>1829803107</v>
      </c>
      <c r="E667" s="88" t="str">
        <f>IFERROR(__xludf.DUMMYFUNCTION("""COMPUTED_VALUE"""),"CPA")</f>
        <v>CPA</v>
      </c>
      <c r="F667" s="88" t="str">
        <f>IFERROR(__xludf.DUMMYFUNCTION("""COMPUTED_VALUE"""),"От цистита для женщин, от недержания мочи, Уринофикс, Алтея 20 капсул")</f>
        <v>От цистита для женщин, от недержания мочи, Уринофикс, Алтея 20 капсул</v>
      </c>
      <c r="G667" s="88"/>
      <c r="H667" s="88" t="str">
        <f>IFERROR(__xludf.DUMMYFUNCTION("""COMPUTED_VALUE"""),"Парафармацевтика")</f>
        <v>Парафармацевтика</v>
      </c>
      <c r="I667" s="88" t="str">
        <f>IFERROR(__xludf.DUMMYFUNCTION("""COMPUTED_VALUE"""),"Цистит")</f>
        <v>Цистит</v>
      </c>
      <c r="J667" s="245">
        <f>IFERROR(__xludf.DUMMYFUNCTION("""COMPUTED_VALUE"""),95.0)</f>
        <v>95</v>
      </c>
      <c r="K667" s="240">
        <f>IFERROR(__xludf.DUMMYFUNCTION("""COMPUTED_VALUE"""),68999.0)</f>
        <v>68999</v>
      </c>
      <c r="L667" s="243">
        <f>IFERROR(__xludf.DUMMYFUNCTION("""COMPUTED_VALUE"""),0.0)</f>
        <v>0</v>
      </c>
      <c r="M667" s="88"/>
      <c r="N667" s="88"/>
      <c r="O667" s="88"/>
      <c r="P667" s="88"/>
      <c r="Q667" s="88"/>
      <c r="R667" s="88"/>
      <c r="S667" s="88" t="str">
        <f>IFERROR(__xludf.DUMMYFUNCTION("""COMPUTED_VALUE"""),"Актуально")</f>
        <v>Актуально</v>
      </c>
      <c r="T667" s="88" t="str">
        <f>IFERROR(__xludf.DUMMYFUNCTION("""COMPUTED_VALUE"""),"Даша")</f>
        <v>Даша</v>
      </c>
      <c r="U667" s="88"/>
      <c r="V667" s="88"/>
      <c r="W667" s="88"/>
      <c r="X667" s="88"/>
      <c r="Y667" s="88"/>
      <c r="Z667" s="88"/>
      <c r="AA667" s="88"/>
      <c r="AC667" s="62" t="s">
        <v>2659</v>
      </c>
    </row>
    <row r="668">
      <c r="A668" s="88"/>
      <c r="B668" s="88">
        <f>IFERROR(__xludf.DUMMYFUNCTION("""COMPUTED_VALUE"""),130.0)</f>
        <v>130</v>
      </c>
      <c r="C668" s="88" t="str">
        <f>IFERROR(__xludf.DUMMYFUNCTION("""COMPUTED_VALUE"""),"syvorotka_dlya_rosta_6ml")</f>
        <v>syvorotka_dlya_rosta_6ml</v>
      </c>
      <c r="D668" s="88">
        <f>IFERROR(__xludf.DUMMYFUNCTION("""COMPUTED_VALUE"""),1.713211121E9)</f>
        <v>1713211121</v>
      </c>
      <c r="E668" s="88" t="str">
        <f>IFERROR(__xludf.DUMMYFUNCTION("""COMPUTED_VALUE"""),"Алтея")</f>
        <v>Алтея</v>
      </c>
      <c r="F668" s="88" t="str">
        <f>IFERROR(__xludf.DUMMYFUNCTION("""COMPUTED_VALUE"""),"Сыворотка для роста ресниц и бровей, гель для роста, Алтея, 6 мл")</f>
        <v>Сыворотка для роста ресниц и бровей, гель для роста, Алтея, 6 мл</v>
      </c>
      <c r="G668" s="88"/>
      <c r="H668" s="88" t="str">
        <f>IFERROR(__xludf.DUMMYFUNCTION("""COMPUTED_VALUE"""),"Красота")</f>
        <v>Красота</v>
      </c>
      <c r="I668" s="88" t="str">
        <f>IFERROR(__xludf.DUMMYFUNCTION("""COMPUTED_VALUE"""),"Брови и ресницы")</f>
        <v>Брови и ресницы</v>
      </c>
      <c r="J668" s="245">
        <f>IFERROR(__xludf.DUMMYFUNCTION("""COMPUTED_VALUE"""),124.0)</f>
        <v>124</v>
      </c>
      <c r="K668" s="240">
        <f>IFERROR(__xludf.DUMMYFUNCTION("""COMPUTED_VALUE"""),63846.0)</f>
        <v>63846</v>
      </c>
      <c r="L668" s="243">
        <f>IFERROR(__xludf.DUMMYFUNCTION("""COMPUTED_VALUE"""),0.0)</f>
        <v>0</v>
      </c>
      <c r="M668" s="88"/>
      <c r="N668" s="88"/>
      <c r="O668" s="88"/>
      <c r="P668" s="88"/>
      <c r="Q668" s="88"/>
      <c r="R668" s="88"/>
      <c r="S668" s="88" t="str">
        <f>IFERROR(__xludf.DUMMYFUNCTION("""COMPUTED_VALUE"""),"Актуально")</f>
        <v>Актуально</v>
      </c>
      <c r="T668" s="88" t="str">
        <f>IFERROR(__xludf.DUMMYFUNCTION("""COMPUTED_VALUE"""),"Даша")</f>
        <v>Даша</v>
      </c>
      <c r="U668" s="88"/>
      <c r="V668" s="88"/>
      <c r="W668" s="88"/>
      <c r="X668" s="88"/>
      <c r="Y668" s="88"/>
      <c r="Z668" s="88"/>
      <c r="AA668" s="88"/>
      <c r="AC668" s="62" t="s">
        <v>2659</v>
      </c>
    </row>
    <row r="669">
      <c r="A669" s="88"/>
      <c r="B669" s="88">
        <f>IFERROR(__xludf.DUMMYFUNCTION("""COMPUTED_VALUE"""),182.0)</f>
        <v>182</v>
      </c>
      <c r="C669" s="88" t="str">
        <f>IFERROR(__xludf.DUMMYFUNCTION("""COMPUTED_VALUE"""),"varifit_1_1")</f>
        <v>varifit_1_1</v>
      </c>
      <c r="D669" s="88">
        <f>IFERROR(__xludf.DUMMYFUNCTION("""COMPUTED_VALUE"""),2.825161431E9)</f>
        <v>2825161431</v>
      </c>
      <c r="E669" s="88" t="str">
        <f>IFERROR(__xludf.DUMMYFUNCTION("""COMPUTED_VALUE"""),"CPA")</f>
        <v>CPA</v>
      </c>
      <c r="F669" s="88" t="str">
        <f>IFERROR(__xludf.DUMMYFUNCTION("""COMPUTED_VALUE"""),"Крем мазь от варикоза, конский каштан, Алтея, Варифит, 30 мл х 2")</f>
        <v>Крем мазь от варикоза, конский каштан, Алтея, Варифит, 30 мл х 2</v>
      </c>
      <c r="G669" s="88"/>
      <c r="H669" s="88" t="str">
        <f>IFERROR(__xludf.DUMMYFUNCTION("""COMPUTED_VALUE"""),"Парафармацевтика")</f>
        <v>Парафармацевтика</v>
      </c>
      <c r="I669" s="88" t="str">
        <f>IFERROR(__xludf.DUMMYFUNCTION("""COMPUTED_VALUE"""),"Варикоз")</f>
        <v>Варикоз</v>
      </c>
      <c r="J669" s="245">
        <f>IFERROR(__xludf.DUMMYFUNCTION("""COMPUTED_VALUE"""),46.0)</f>
        <v>46</v>
      </c>
      <c r="K669" s="240">
        <f>IFERROR(__xludf.DUMMYFUNCTION("""COMPUTED_VALUE"""),62539.0)</f>
        <v>62539</v>
      </c>
      <c r="L669" s="243">
        <f>IFERROR(__xludf.DUMMYFUNCTION("""COMPUTED_VALUE"""),0.0)</f>
        <v>0</v>
      </c>
      <c r="M669" s="88"/>
      <c r="N669" s="88"/>
      <c r="O669" s="88"/>
      <c r="P669" s="88"/>
      <c r="Q669" s="88"/>
      <c r="R669" s="88"/>
      <c r="S669" s="88" t="str">
        <f>IFERROR(__xludf.DUMMYFUNCTION("""COMPUTED_VALUE"""),"Актуально")</f>
        <v>Актуально</v>
      </c>
      <c r="T669" s="88" t="str">
        <f>IFERROR(__xludf.DUMMYFUNCTION("""COMPUTED_VALUE"""),"Даша")</f>
        <v>Даша</v>
      </c>
      <c r="U669" s="88"/>
      <c r="V669" s="88"/>
      <c r="W669" s="88"/>
      <c r="X669" s="88"/>
      <c r="Y669" s="88"/>
      <c r="Z669" s="88"/>
      <c r="AA669" s="88"/>
      <c r="AC669" s="62" t="s">
        <v>2659</v>
      </c>
    </row>
    <row r="670">
      <c r="A670" s="88"/>
      <c r="B670" s="88">
        <f>IFERROR(__xludf.DUMMYFUNCTION("""COMPUTED_VALUE"""),131.0)</f>
        <v>131</v>
      </c>
      <c r="C670" s="88" t="str">
        <f>IFERROR(__xludf.DUMMYFUNCTION("""COMPUTED_VALUE"""),"termo_sprei_200ml")</f>
        <v>termo_sprei_200ml</v>
      </c>
      <c r="D670" s="88">
        <f>IFERROR(__xludf.DUMMYFUNCTION("""COMPUTED_VALUE"""),1.720926371E9)</f>
        <v>1720926371</v>
      </c>
      <c r="E670" s="88" t="str">
        <f>IFERROR(__xludf.DUMMYFUNCTION("""COMPUTED_VALUE"""),"Алтея")</f>
        <v>Алтея</v>
      </c>
      <c r="F670" s="88" t="str">
        <f>IFERROR(__xludf.DUMMYFUNCTION("""COMPUTED_VALUE"""),"Спрей для волос 17 в 1 восстанавливающий с кератином, Алтея, 200 мл")</f>
        <v>Спрей для волос 17 в 1 восстанавливающий с кератином, Алтея, 200 мл</v>
      </c>
      <c r="G670" s="88"/>
      <c r="H670" s="88" t="str">
        <f>IFERROR(__xludf.DUMMYFUNCTION("""COMPUTED_VALUE"""),"Красота")</f>
        <v>Красота</v>
      </c>
      <c r="I670" s="88" t="str">
        <f>IFERROR(__xludf.DUMMYFUNCTION("""COMPUTED_VALUE"""),"Волосы")</f>
        <v>Волосы</v>
      </c>
      <c r="J670" s="245">
        <f>IFERROR(__xludf.DUMMYFUNCTION("""COMPUTED_VALUE"""),77.0)</f>
        <v>77</v>
      </c>
      <c r="K670" s="240">
        <f>IFERROR(__xludf.DUMMYFUNCTION("""COMPUTED_VALUE"""),57133.0)</f>
        <v>57133</v>
      </c>
      <c r="L670" s="243">
        <f>IFERROR(__xludf.DUMMYFUNCTION("""COMPUTED_VALUE"""),0.05072998848301332)</f>
        <v>0.05072998848</v>
      </c>
      <c r="M670" s="88"/>
      <c r="N670" s="88"/>
      <c r="O670" s="88"/>
      <c r="P670" s="88"/>
      <c r="Q670" s="88"/>
      <c r="R670" s="88"/>
      <c r="S670" s="88" t="str">
        <f>IFERROR(__xludf.DUMMYFUNCTION("""COMPUTED_VALUE"""),"Актуально")</f>
        <v>Актуально</v>
      </c>
      <c r="T670" s="88" t="str">
        <f>IFERROR(__xludf.DUMMYFUNCTION("""COMPUTED_VALUE"""),"Даша")</f>
        <v>Даша</v>
      </c>
      <c r="U670" s="88"/>
      <c r="V670" s="88"/>
      <c r="W670" s="88"/>
      <c r="X670" s="88"/>
      <c r="Y670" s="88"/>
      <c r="Z670" s="88"/>
      <c r="AA670" s="88"/>
      <c r="AC670" s="62" t="s">
        <v>2659</v>
      </c>
    </row>
    <row r="671">
      <c r="A671" s="88"/>
      <c r="B671" s="88">
        <f>IFERROR(__xludf.DUMMYFUNCTION("""COMPUTED_VALUE"""),162.0)</f>
        <v>162</v>
      </c>
      <c r="C671" s="88" t="str">
        <f>IFERROR(__xludf.DUMMYFUNCTION("""COMPUTED_VALUE"""),"ekdisteron_ultra_man_60caps")</f>
        <v>ekdisteron_ultra_man_60caps</v>
      </c>
      <c r="D671" s="88">
        <f>IFERROR(__xludf.DUMMYFUNCTION("""COMPUTED_VALUE"""),2.099218978E9)</f>
        <v>2099218978</v>
      </c>
      <c r="E671" s="88" t="str">
        <f>IFERROR(__xludf.DUMMYFUNCTION("""COMPUTED_VALUE"""),"Алтея")</f>
        <v>Алтея</v>
      </c>
      <c r="F671" s="88" t="str">
        <f>IFERROR(__xludf.DUMMYFUNCTION("""COMPUTED_VALUE"""),"Тестостерон для мужчин, экдистерон для потенции и мышц спортивный, цинк, тестобустер, витамины для мужчин, бустер Алтея 60 капсул")</f>
        <v>Тестостерон для мужчин, экдистерон для потенции и мышц спортивный, цинк, тестобустер, витамины для мужчин, бустер Алтея 60 капсул</v>
      </c>
      <c r="G671" s="88"/>
      <c r="H671" s="88" t="str">
        <f>IFERROR(__xludf.DUMMYFUNCTION("""COMPUTED_VALUE"""),"БАДы")</f>
        <v>БАДы</v>
      </c>
      <c r="I671" s="88" t="str">
        <f>IFERROR(__xludf.DUMMYFUNCTION("""COMPUTED_VALUE"""),"Мужское")</f>
        <v>Мужское</v>
      </c>
      <c r="J671" s="245">
        <f>IFERROR(__xludf.DUMMYFUNCTION("""COMPUTED_VALUE"""),112.0)</f>
        <v>112</v>
      </c>
      <c r="K671" s="240">
        <f>IFERROR(__xludf.DUMMYFUNCTION("""COMPUTED_VALUE"""),119695.0)</f>
        <v>119695</v>
      </c>
      <c r="L671" s="243">
        <f>IFERROR(__xludf.DUMMYFUNCTION("""COMPUTED_VALUE"""),0.23019329788211704)</f>
        <v>0.2301932979</v>
      </c>
      <c r="M671" s="88"/>
      <c r="N671" s="88"/>
      <c r="O671" s="88"/>
      <c r="P671" s="88"/>
      <c r="Q671" s="88"/>
      <c r="R671" s="88"/>
      <c r="S671" s="88" t="str">
        <f>IFERROR(__xludf.DUMMYFUNCTION("""COMPUTED_VALUE"""),"Актуально")</f>
        <v>Актуально</v>
      </c>
      <c r="T671" s="88" t="str">
        <f>IFERROR(__xludf.DUMMYFUNCTION("""COMPUTED_VALUE"""),"Влад")</f>
        <v>Влад</v>
      </c>
      <c r="U671" s="88"/>
      <c r="V671" s="88"/>
      <c r="W671" s="88"/>
      <c r="X671" s="88"/>
      <c r="Y671" s="88"/>
      <c r="Z671" s="88"/>
      <c r="AA671" s="88"/>
      <c r="AC671" s="62" t="s">
        <v>2659</v>
      </c>
    </row>
    <row r="672">
      <c r="A672" s="88"/>
      <c r="B672" s="88">
        <f>IFERROR(__xludf.DUMMYFUNCTION("""COMPUTED_VALUE"""),70.0)</f>
        <v>70</v>
      </c>
      <c r="C672" s="88" t="str">
        <f>IFERROR(__xludf.DUMMYFUNCTION("""COMPUTED_VALUE"""),"psoral_50ml")</f>
        <v>psoral_50ml</v>
      </c>
      <c r="D672" s="88">
        <f>IFERROR(__xludf.DUMMYFUNCTION("""COMPUTED_VALUE"""),1.271351989E9)</f>
        <v>1271351989</v>
      </c>
      <c r="E672" s="88" t="str">
        <f>IFERROR(__xludf.DUMMYFUNCTION("""COMPUTED_VALUE"""),"CPA")</f>
        <v>CPA</v>
      </c>
      <c r="F672" s="88" t="str">
        <f>IFERROR(__xludf.DUMMYFUNCTION("""COMPUTED_VALUE"""),"Мазь от псориаза и дерматита, крем от зуда, Алтея, Псорал, 50 мл")</f>
        <v>Мазь от псориаза и дерматита, крем от зуда, Алтея, Псорал, 50 мл</v>
      </c>
      <c r="G672" s="88"/>
      <c r="H672" s="88" t="str">
        <f>IFERROR(__xludf.DUMMYFUNCTION("""COMPUTED_VALUE"""),"Парафармацевтика")</f>
        <v>Парафармацевтика</v>
      </c>
      <c r="I672" s="88" t="str">
        <f>IFERROR(__xludf.DUMMYFUNCTION("""COMPUTED_VALUE"""),"Псориаз")</f>
        <v>Псориаз</v>
      </c>
      <c r="J672" s="245">
        <f>IFERROR(__xludf.DUMMYFUNCTION("""COMPUTED_VALUE"""),150.0)</f>
        <v>150</v>
      </c>
      <c r="K672" s="240">
        <f>IFERROR(__xludf.DUMMYFUNCTION("""COMPUTED_VALUE"""),112409.0)</f>
        <v>112409</v>
      </c>
      <c r="L672" s="243">
        <f>IFERROR(__xludf.DUMMYFUNCTION("""COMPUTED_VALUE"""),0.0)</f>
        <v>0</v>
      </c>
      <c r="M672" s="88"/>
      <c r="N672" s="88"/>
      <c r="O672" s="88"/>
      <c r="P672" s="88"/>
      <c r="Q672" s="88"/>
      <c r="R672" s="88"/>
      <c r="S672" s="88" t="str">
        <f>IFERROR(__xludf.DUMMYFUNCTION("""COMPUTED_VALUE"""),"Актуально")</f>
        <v>Актуально</v>
      </c>
      <c r="T672" s="88" t="str">
        <f>IFERROR(__xludf.DUMMYFUNCTION("""COMPUTED_VALUE"""),"Влад")</f>
        <v>Влад</v>
      </c>
      <c r="U672" s="88"/>
      <c r="V672" s="88"/>
      <c r="W672" s="88"/>
      <c r="X672" s="88"/>
      <c r="Y672" s="88"/>
      <c r="Z672" s="88"/>
      <c r="AA672" s="88"/>
      <c r="AC672" s="62" t="s">
        <v>2659</v>
      </c>
    </row>
    <row r="673">
      <c r="A673" s="88"/>
      <c r="B673" s="88">
        <f>IFERROR(__xludf.DUMMYFUNCTION("""COMPUTED_VALUE"""),4.0)</f>
        <v>4</v>
      </c>
      <c r="C673" s="88" t="str">
        <f>IFERROR(__xludf.DUMMYFUNCTION("""COMPUTED_VALUE"""),"wbvaritox")</f>
        <v>wbvaritox</v>
      </c>
      <c r="D673" s="88">
        <f>IFERROR(__xludf.DUMMYFUNCTION("""COMPUTED_VALUE"""),2.89030651E8)</f>
        <v>289030651</v>
      </c>
      <c r="E673" s="88" t="str">
        <f>IFERROR(__xludf.DUMMYFUNCTION("""COMPUTED_VALUE"""),"CPA")</f>
        <v>CPA</v>
      </c>
      <c r="F673" s="88" t="str">
        <f>IFERROR(__xludf.DUMMYFUNCTION("""COMPUTED_VALUE"""),"Крем от варикоза усталости и отеков ног охлаждающий Varitox, 30 мл")</f>
        <v>Крем от варикоза усталости и отеков ног охлаждающий Varitox, 30 мл</v>
      </c>
      <c r="G673" s="88"/>
      <c r="H673" s="88" t="str">
        <f>IFERROR(__xludf.DUMMYFUNCTION("""COMPUTED_VALUE"""),"Парафармацевтика")</f>
        <v>Парафармацевтика</v>
      </c>
      <c r="I673" s="88" t="str">
        <f>IFERROR(__xludf.DUMMYFUNCTION("""COMPUTED_VALUE"""),"Варикоз")</f>
        <v>Варикоз</v>
      </c>
      <c r="J673" s="245">
        <f>IFERROR(__xludf.DUMMYFUNCTION("""COMPUTED_VALUE"""),126.0)</f>
        <v>126</v>
      </c>
      <c r="K673" s="240">
        <f>IFERROR(__xludf.DUMMYFUNCTION("""COMPUTED_VALUE"""),56237.0)</f>
        <v>56237</v>
      </c>
      <c r="L673" s="243">
        <f>IFERROR(__xludf.DUMMYFUNCTION("""COMPUTED_VALUE"""),0.3809008569091523)</f>
        <v>0.3809008569</v>
      </c>
      <c r="M673" s="88"/>
      <c r="N673" s="88"/>
      <c r="O673" s="88"/>
      <c r="P673" s="88"/>
      <c r="Q673" s="88"/>
      <c r="R673" s="88"/>
      <c r="S673" s="88" t="str">
        <f>IFERROR(__xludf.DUMMYFUNCTION("""COMPUTED_VALUE"""),"Актуально")</f>
        <v>Актуально</v>
      </c>
      <c r="T673" s="88" t="str">
        <f>IFERROR(__xludf.DUMMYFUNCTION("""COMPUTED_VALUE"""),"Даша")</f>
        <v>Даша</v>
      </c>
      <c r="U673" s="88"/>
      <c r="V673" s="88"/>
      <c r="W673" s="88"/>
      <c r="X673" s="88"/>
      <c r="Y673" s="88"/>
      <c r="Z673" s="88"/>
      <c r="AA673" s="88"/>
      <c r="AC673" s="62" t="s">
        <v>2659</v>
      </c>
    </row>
    <row r="674">
      <c r="A674" s="88"/>
      <c r="B674" s="88">
        <f>IFERROR(__xludf.DUMMYFUNCTION("""COMPUTED_VALUE"""),33.0)</f>
        <v>33</v>
      </c>
      <c r="C674" s="88" t="str">
        <f>IFERROR(__xludf.DUMMYFUNCTION("""COMPUTED_VALUE"""),"smokinglock")</f>
        <v>smokinglock</v>
      </c>
      <c r="D674" s="88">
        <f>IFERROR(__xludf.DUMMYFUNCTION("""COMPUTED_VALUE"""),6.69955177E8)</f>
        <v>669955177</v>
      </c>
      <c r="E674" s="88" t="str">
        <f>IFERROR(__xludf.DUMMYFUNCTION("""COMPUTED_VALUE"""),"CPA")</f>
        <v>CPA</v>
      </c>
      <c r="F674" s="88" t="str">
        <f>IFERROR(__xludf.DUMMYFUNCTION("""COMPUTED_VALUE"""),"От курения средство, от никотиновой зависимости, Алтея, Smoking Lock, 10 мл")</f>
        <v>От курения средство, от никотиновой зависимости, Алтея, Smoking Lock, 10 мл</v>
      </c>
      <c r="G674" s="88"/>
      <c r="H674" s="88" t="str">
        <f>IFERROR(__xludf.DUMMYFUNCTION("""COMPUTED_VALUE"""),"Парафармацевтика")</f>
        <v>Парафармацевтика</v>
      </c>
      <c r="I674" s="88" t="str">
        <f>IFERROR(__xludf.DUMMYFUNCTION("""COMPUTED_VALUE"""),"Алкоголь и Курение")</f>
        <v>Алкоголь и Курение</v>
      </c>
      <c r="J674" s="245">
        <f>IFERROR(__xludf.DUMMYFUNCTION("""COMPUTED_VALUE"""),182.0)</f>
        <v>182</v>
      </c>
      <c r="K674" s="240">
        <f>IFERROR(__xludf.DUMMYFUNCTION("""COMPUTED_VALUE"""),98689.0)</f>
        <v>98689</v>
      </c>
      <c r="L674" s="243">
        <f>IFERROR(__xludf.DUMMYFUNCTION("""COMPUTED_VALUE"""),0.0)</f>
        <v>0</v>
      </c>
      <c r="M674" s="88"/>
      <c r="N674" s="88"/>
      <c r="O674" s="88"/>
      <c r="P674" s="88"/>
      <c r="Q674" s="88"/>
      <c r="R674" s="88"/>
      <c r="S674" s="88" t="str">
        <f>IFERROR(__xludf.DUMMYFUNCTION("""COMPUTED_VALUE"""),"Актуально")</f>
        <v>Актуально</v>
      </c>
      <c r="T674" s="88" t="str">
        <f>IFERROR(__xludf.DUMMYFUNCTION("""COMPUTED_VALUE"""),"Влад")</f>
        <v>Влад</v>
      </c>
      <c r="U674" s="88"/>
      <c r="V674" s="88"/>
      <c r="W674" s="88"/>
      <c r="X674" s="88"/>
      <c r="Y674" s="88"/>
      <c r="Z674" s="88"/>
      <c r="AA674" s="88"/>
      <c r="AC674" s="62" t="s">
        <v>2659</v>
      </c>
    </row>
    <row r="675">
      <c r="A675" s="88"/>
      <c r="B675" s="88">
        <f>IFERROR(__xludf.DUMMYFUNCTION("""COMPUTED_VALUE"""),180.0)</f>
        <v>180</v>
      </c>
      <c r="C675" s="88" t="str">
        <f>IFERROR(__xludf.DUMMYFUNCTION("""COMPUTED_VALUE"""),"wbmicelix_1_1")</f>
        <v>wbmicelix_1_1</v>
      </c>
      <c r="D675" s="88">
        <f>IFERROR(__xludf.DUMMYFUNCTION("""COMPUTED_VALUE"""),2.825129893E9)</f>
        <v>2825129893</v>
      </c>
      <c r="E675" s="88" t="str">
        <f>IFERROR(__xludf.DUMMYFUNCTION("""COMPUTED_VALUE"""),"CPA")</f>
        <v>CPA</v>
      </c>
      <c r="F675" s="88" t="str">
        <f>IFERROR(__xludf.DUMMYFUNCTION("""COMPUTED_VALUE"""),"Комплекс Детокс для очищения печени и кишечника, для похудения, детокc для печени, Алтея, Мицеликс, 10 шт х 2")</f>
        <v>Комплекс Детокс для очищения печени и кишечника, для похудения, детокc для печени, Алтея, Мицеликс, 10 шт х 2</v>
      </c>
      <c r="G675" s="88"/>
      <c r="H675" s="88" t="str">
        <f>IFERROR(__xludf.DUMMYFUNCTION("""COMPUTED_VALUE"""),"Парафармацевтика")</f>
        <v>Парафармацевтика</v>
      </c>
      <c r="I675" s="88" t="str">
        <f>IFERROR(__xludf.DUMMYFUNCTION("""COMPUTED_VALUE"""),"Иммунитет")</f>
        <v>Иммунитет</v>
      </c>
      <c r="J675" s="245">
        <f>IFERROR(__xludf.DUMMYFUNCTION("""COMPUTED_VALUE"""),37.0)</f>
        <v>37</v>
      </c>
      <c r="K675" s="240">
        <f>IFERROR(__xludf.DUMMYFUNCTION("""COMPUTED_VALUE"""),54797.0)</f>
        <v>54797</v>
      </c>
      <c r="L675" s="243">
        <f>IFERROR(__xludf.DUMMYFUNCTION("""COMPUTED_VALUE"""),0.0)</f>
        <v>0</v>
      </c>
      <c r="M675" s="88"/>
      <c r="N675" s="88"/>
      <c r="O675" s="88"/>
      <c r="P675" s="88"/>
      <c r="Q675" s="88"/>
      <c r="R675" s="88"/>
      <c r="S675" s="88" t="str">
        <f>IFERROR(__xludf.DUMMYFUNCTION("""COMPUTED_VALUE"""),"Актуально")</f>
        <v>Актуально</v>
      </c>
      <c r="T675" s="88" t="str">
        <f>IFERROR(__xludf.DUMMYFUNCTION("""COMPUTED_VALUE"""),"Даша")</f>
        <v>Даша</v>
      </c>
      <c r="U675" s="88"/>
      <c r="V675" s="88"/>
      <c r="W675" s="88"/>
      <c r="X675" s="88"/>
      <c r="Y675" s="88"/>
      <c r="Z675" s="88"/>
      <c r="AA675" s="88"/>
      <c r="AC675" s="62" t="s">
        <v>2659</v>
      </c>
    </row>
    <row r="676">
      <c r="A676" s="88"/>
      <c r="B676" s="88">
        <f>IFERROR(__xludf.DUMMYFUNCTION("""COMPUTED_VALUE"""),74.0)</f>
        <v>74</v>
      </c>
      <c r="C676" s="88" t="str">
        <f>IFERROR(__xludf.DUMMYFUNCTION("""COMPUTED_VALUE"""),"pantogor_100ml")</f>
        <v>pantogor_100ml</v>
      </c>
      <c r="D676" s="88">
        <f>IFERROR(__xludf.DUMMYFUNCTION("""COMPUTED_VALUE"""),1.324991816E9)</f>
        <v>1324991816</v>
      </c>
      <c r="E676" s="88" t="str">
        <f>IFERROR(__xludf.DUMMYFUNCTION("""COMPUTED_VALUE"""),"CPA")</f>
        <v>CPA</v>
      </c>
      <c r="F676" s="88" t="str">
        <f>IFERROR(__xludf.DUMMYFUNCTION("""COMPUTED_VALUE"""),"Крем мазь для суставов и связок Пантогор обезболивающий, 100 мл")</f>
        <v>Крем мазь для суставов и связок Пантогор обезболивающий, 100 мл</v>
      </c>
      <c r="G676" s="88"/>
      <c r="H676" s="88" t="str">
        <f>IFERROR(__xludf.DUMMYFUNCTION("""COMPUTED_VALUE"""),"Парафармацевтика")</f>
        <v>Парафармацевтика</v>
      </c>
      <c r="I676" s="88" t="str">
        <f>IFERROR(__xludf.DUMMYFUNCTION("""COMPUTED_VALUE"""),"Суставы")</f>
        <v>Суставы</v>
      </c>
      <c r="J676" s="245">
        <f>IFERROR(__xludf.DUMMYFUNCTION("""COMPUTED_VALUE"""),110.0)</f>
        <v>110</v>
      </c>
      <c r="K676" s="240">
        <f>IFERROR(__xludf.DUMMYFUNCTION("""COMPUTED_VALUE"""),97453.0)</f>
        <v>97453</v>
      </c>
      <c r="L676" s="243">
        <f>IFERROR(__xludf.DUMMYFUNCTION("""COMPUTED_VALUE"""),0.0)</f>
        <v>0</v>
      </c>
      <c r="M676" s="88"/>
      <c r="N676" s="88"/>
      <c r="O676" s="88"/>
      <c r="P676" s="88"/>
      <c r="Q676" s="88"/>
      <c r="R676" s="88"/>
      <c r="S676" s="88" t="str">
        <f>IFERROR(__xludf.DUMMYFUNCTION("""COMPUTED_VALUE"""),"Актуально")</f>
        <v>Актуально</v>
      </c>
      <c r="T676" s="88" t="str">
        <f>IFERROR(__xludf.DUMMYFUNCTION("""COMPUTED_VALUE"""),"Влад")</f>
        <v>Влад</v>
      </c>
      <c r="U676" s="88"/>
      <c r="V676" s="88"/>
      <c r="W676" s="88"/>
      <c r="X676" s="88"/>
      <c r="Y676" s="88"/>
      <c r="Z676" s="88"/>
      <c r="AA676" s="88"/>
      <c r="AC676" s="62" t="s">
        <v>2659</v>
      </c>
    </row>
    <row r="677">
      <c r="A677" s="88"/>
      <c r="B677" s="88">
        <f>IFERROR(__xludf.DUMMYFUNCTION("""COMPUTED_VALUE"""),176.0)</f>
        <v>176</v>
      </c>
      <c r="C677" s="88" t="str">
        <f>IFERROR(__xludf.DUMMYFUNCTION("""COMPUTED_VALUE"""),"arterol_1_1")</f>
        <v>arterol_1_1</v>
      </c>
      <c r="D677" s="88">
        <f>IFERROR(__xludf.DUMMYFUNCTION("""COMPUTED_VALUE"""),2.825063594E9)</f>
        <v>2825063594</v>
      </c>
      <c r="E677" s="88" t="str">
        <f>IFERROR(__xludf.DUMMYFUNCTION("""COMPUTED_VALUE"""),"CPA")</f>
        <v>CPA</v>
      </c>
      <c r="F677" s="88" t="str">
        <f>IFERROR(__xludf.DUMMYFUNCTION("""COMPUTED_VALUE"""),"Средство от давления, витамины для сердца, чистка сосудов, Алтея, Артерол, 10мл х 2")</f>
        <v>Средство от давления, витамины для сердца, чистка сосудов, Алтея, Артерол, 10мл х 2</v>
      </c>
      <c r="G677" s="88"/>
      <c r="H677" s="88" t="str">
        <f>IFERROR(__xludf.DUMMYFUNCTION("""COMPUTED_VALUE"""),"Парафармацевтика")</f>
        <v>Парафармацевтика</v>
      </c>
      <c r="I677" s="88" t="str">
        <f>IFERROR(__xludf.DUMMYFUNCTION("""COMPUTED_VALUE"""),"Здоровье сердца")</f>
        <v>Здоровье сердца</v>
      </c>
      <c r="J677" s="245">
        <f>IFERROR(__xludf.DUMMYFUNCTION("""COMPUTED_VALUE"""),64.0)</f>
        <v>64</v>
      </c>
      <c r="K677" s="240">
        <f>IFERROR(__xludf.DUMMYFUNCTION("""COMPUTED_VALUE"""),93705.0)</f>
        <v>93705</v>
      </c>
      <c r="L677" s="243">
        <f>IFERROR(__xludf.DUMMYFUNCTION("""COMPUTED_VALUE"""),0.0)</f>
        <v>0</v>
      </c>
      <c r="M677" s="88"/>
      <c r="N677" s="88"/>
      <c r="O677" s="88"/>
      <c r="P677" s="88"/>
      <c r="Q677" s="88"/>
      <c r="R677" s="88"/>
      <c r="S677" s="88" t="str">
        <f>IFERROR(__xludf.DUMMYFUNCTION("""COMPUTED_VALUE"""),"Актуально")</f>
        <v>Актуально</v>
      </c>
      <c r="T677" s="88" t="str">
        <f>IFERROR(__xludf.DUMMYFUNCTION("""COMPUTED_VALUE"""),"Влад")</f>
        <v>Влад</v>
      </c>
      <c r="U677" s="88"/>
      <c r="V677" s="88"/>
      <c r="W677" s="88"/>
      <c r="X677" s="88"/>
      <c r="Y677" s="88"/>
      <c r="Z677" s="88"/>
      <c r="AA677" s="88"/>
      <c r="AC677" s="62" t="s">
        <v>2659</v>
      </c>
    </row>
    <row r="678">
      <c r="A678" s="88"/>
      <c r="B678" s="88">
        <f>IFERROR(__xludf.DUMMYFUNCTION("""COMPUTED_VALUE"""),76.0)</f>
        <v>76</v>
      </c>
      <c r="C678" s="88" t="str">
        <f>IFERROR(__xludf.DUMMYFUNCTION("""COMPUTED_VALUE"""),"nabor_remuver_40ml")</f>
        <v>nabor_remuver_40ml</v>
      </c>
      <c r="D678" s="88">
        <f>IFERROR(__xludf.DUMMYFUNCTION("""COMPUTED_VALUE"""),1.350956924E9)</f>
        <v>1350956924</v>
      </c>
      <c r="E678" s="88" t="str">
        <f>IFERROR(__xludf.DUMMYFUNCTION("""COMPUTED_VALUE"""),"Алтея")</f>
        <v>Алтея</v>
      </c>
      <c r="F678" s="88" t="str">
        <f>IFERROR(__xludf.DUMMYFUNCTION("""COMPUTED_VALUE"""),"Ремувер для удаления кутикулы, Алтея, 40 мл")</f>
        <v>Ремувер для удаления кутикулы, Алтея, 40 мл</v>
      </c>
      <c r="G678" s="88"/>
      <c r="H678" s="88" t="str">
        <f>IFERROR(__xludf.DUMMYFUNCTION("""COMPUTED_VALUE"""),"Красота")</f>
        <v>Красота</v>
      </c>
      <c r="I678" s="88" t="str">
        <f>IFERROR(__xludf.DUMMYFUNCTION("""COMPUTED_VALUE"""),"Руки и ногти")</f>
        <v>Руки и ногти</v>
      </c>
      <c r="J678" s="245">
        <f>IFERROR(__xludf.DUMMYFUNCTION("""COMPUTED_VALUE"""),136.0)</f>
        <v>136</v>
      </c>
      <c r="K678" s="240">
        <f>IFERROR(__xludf.DUMMYFUNCTION("""COMPUTED_VALUE"""),82664.0)</f>
        <v>82664</v>
      </c>
      <c r="L678" s="243">
        <f>IFERROR(__xludf.DUMMYFUNCTION("""COMPUTED_VALUE"""),0.19886053965450495)</f>
        <v>0.1988605397</v>
      </c>
      <c r="M678" s="88"/>
      <c r="N678" s="88"/>
      <c r="O678" s="88"/>
      <c r="P678" s="88"/>
      <c r="Q678" s="88"/>
      <c r="R678" s="88"/>
      <c r="S678" s="88" t="str">
        <f>IFERROR(__xludf.DUMMYFUNCTION("""COMPUTED_VALUE"""),"Актуально")</f>
        <v>Актуально</v>
      </c>
      <c r="T678" s="88" t="str">
        <f>IFERROR(__xludf.DUMMYFUNCTION("""COMPUTED_VALUE"""),"Влад")</f>
        <v>Влад</v>
      </c>
      <c r="U678" s="88"/>
      <c r="V678" s="88"/>
      <c r="W678" s="88"/>
      <c r="X678" s="88"/>
      <c r="Y678" s="88"/>
      <c r="Z678" s="88"/>
      <c r="AA678" s="88"/>
      <c r="AC678" s="62" t="s">
        <v>2659</v>
      </c>
    </row>
    <row r="679">
      <c r="A679" s="88"/>
      <c r="B679" s="88">
        <f>IFERROR(__xludf.DUMMYFUNCTION("""COMPUTED_VALUE"""),58.0)</f>
        <v>58</v>
      </c>
      <c r="C679" s="88" t="str">
        <f>IFERROR(__xludf.DUMMYFUNCTION("""COMPUTED_VALUE"""),"chudofrukt_1_1")</f>
        <v>chudofrukt_1_1</v>
      </c>
      <c r="D679" s="88">
        <f>IFERROR(__xludf.DUMMYFUNCTION("""COMPUTED_VALUE"""),1.154571921E9)</f>
        <v>1154571921</v>
      </c>
      <c r="E679" s="88" t="str">
        <f>IFERROR(__xludf.DUMMYFUNCTION("""COMPUTED_VALUE"""),"CPA")</f>
        <v>CPA</v>
      </c>
      <c r="F679" s="88" t="str">
        <f>IFERROR(__xludf.DUMMYFUNCTION("""COMPUTED_VALUE"""),"Шипучие таблетки для похудения, детокс, жиросжигатель, Алтея, Чудо фрукт, 10 шт х 2")</f>
        <v>Шипучие таблетки для похудения, детокс, жиросжигатель, Алтея, Чудо фрукт, 10 шт х 2</v>
      </c>
      <c r="G679" s="88"/>
      <c r="H679" s="88" t="str">
        <f>IFERROR(__xludf.DUMMYFUNCTION("""COMPUTED_VALUE"""),"Парафармацевтика")</f>
        <v>Парафармацевтика</v>
      </c>
      <c r="I679" s="88" t="str">
        <f>IFERROR(__xludf.DUMMYFUNCTION("""COMPUTED_VALUE"""),"Детокс")</f>
        <v>Детокс</v>
      </c>
      <c r="J679" s="245">
        <f>IFERROR(__xludf.DUMMYFUNCTION("""COMPUTED_VALUE"""),100.0)</f>
        <v>100</v>
      </c>
      <c r="K679" s="240">
        <f>IFERROR(__xludf.DUMMYFUNCTION("""COMPUTED_VALUE"""),76792.0)</f>
        <v>76792</v>
      </c>
      <c r="L679" s="243">
        <f>IFERROR(__xludf.DUMMYFUNCTION("""COMPUTED_VALUE"""),0.0)</f>
        <v>0</v>
      </c>
      <c r="M679" s="88"/>
      <c r="N679" s="88"/>
      <c r="O679" s="88"/>
      <c r="P679" s="88"/>
      <c r="Q679" s="88"/>
      <c r="R679" s="88"/>
      <c r="S679" s="88" t="str">
        <f>IFERROR(__xludf.DUMMYFUNCTION("""COMPUTED_VALUE"""),"Актуально")</f>
        <v>Актуально</v>
      </c>
      <c r="T679" s="88" t="str">
        <f>IFERROR(__xludf.DUMMYFUNCTION("""COMPUTED_VALUE"""),"Влад")</f>
        <v>Влад</v>
      </c>
      <c r="U679" s="88"/>
      <c r="V679" s="88"/>
      <c r="W679" s="88"/>
      <c r="X679" s="88"/>
      <c r="Y679" s="88"/>
      <c r="Z679" s="88"/>
      <c r="AA679" s="88"/>
      <c r="AC679" s="62" t="s">
        <v>2659</v>
      </c>
    </row>
    <row r="680">
      <c r="A680" s="88"/>
      <c r="B680" s="88">
        <f>IFERROR(__xludf.DUMMYFUNCTION("""COMPUTED_VALUE"""),60.0)</f>
        <v>60</v>
      </c>
      <c r="C680" s="88" t="str">
        <f>IFERROR(__xludf.DUMMYFUNCTION("""COMPUTED_VALUE"""),"Т-34_BAD_60caps")</f>
        <v>Т-34_BAD_60caps</v>
      </c>
      <c r="D680" s="88">
        <f>IFERROR(__xludf.DUMMYFUNCTION("""COMPUTED_VALUE"""),1.171921502E9)</f>
        <v>1171921502</v>
      </c>
      <c r="E680" s="88" t="str">
        <f>IFERROR(__xludf.DUMMYFUNCTION("""COMPUTED_VALUE"""),"Алтея")</f>
        <v>Алтея</v>
      </c>
      <c r="F680" s="88" t="str">
        <f>IFERROR(__xludf.DUMMYFUNCTION("""COMPUTED_VALUE"""),"Возбудитель для мужчин, БАД Т-34 возбуждающие для потенции, эрекции, 60 капсул")</f>
        <v>Возбудитель для мужчин, БАД Т-34 возбуждающие для потенции, эрекции, 60 капсул</v>
      </c>
      <c r="G680" s="88"/>
      <c r="H680" s="88" t="str">
        <f>IFERROR(__xludf.DUMMYFUNCTION("""COMPUTED_VALUE"""),"БАДы")</f>
        <v>БАДы</v>
      </c>
      <c r="I680" s="88" t="str">
        <f>IFERROR(__xludf.DUMMYFUNCTION("""COMPUTED_VALUE"""),"Мужское")</f>
        <v>Мужское</v>
      </c>
      <c r="J680" s="245">
        <f>IFERROR(__xludf.DUMMYFUNCTION("""COMPUTED_VALUE"""),106.0)</f>
        <v>106</v>
      </c>
      <c r="K680" s="240">
        <f>IFERROR(__xludf.DUMMYFUNCTION("""COMPUTED_VALUE"""),75387.0)</f>
        <v>75387</v>
      </c>
      <c r="L680" s="243">
        <f>IFERROR(__xludf.DUMMYFUNCTION("""COMPUTED_VALUE"""),0.0)</f>
        <v>0</v>
      </c>
      <c r="M680" s="88"/>
      <c r="N680" s="88"/>
      <c r="O680" s="88"/>
      <c r="P680" s="88"/>
      <c r="Q680" s="88"/>
      <c r="R680" s="88"/>
      <c r="S680" s="88" t="str">
        <f>IFERROR(__xludf.DUMMYFUNCTION("""COMPUTED_VALUE"""),"Актуально")</f>
        <v>Актуально</v>
      </c>
      <c r="T680" s="88" t="str">
        <f>IFERROR(__xludf.DUMMYFUNCTION("""COMPUTED_VALUE"""),"Влад")</f>
        <v>Влад</v>
      </c>
      <c r="U680" s="88"/>
      <c r="V680" s="88"/>
      <c r="W680" s="88"/>
      <c r="X680" s="88"/>
      <c r="Y680" s="88"/>
      <c r="Z680" s="88"/>
      <c r="AA680" s="88"/>
      <c r="AC680" s="62" t="s">
        <v>2659</v>
      </c>
    </row>
    <row r="681">
      <c r="A681" s="88"/>
      <c r="B681" s="88">
        <f>IFERROR(__xludf.DUMMYFUNCTION("""COMPUTED_VALUE"""),2.0)</f>
        <v>2</v>
      </c>
      <c r="C681" s="88" t="str">
        <f>IFERROR(__xludf.DUMMYFUNCTION("""COMPUTED_VALUE"""),"wbgetsize")</f>
        <v>wbgetsize</v>
      </c>
      <c r="D681" s="88">
        <f>IFERROR(__xludf.DUMMYFUNCTION("""COMPUTED_VALUE"""),2.86744793E8)</f>
        <v>286744793</v>
      </c>
      <c r="E681" s="88" t="str">
        <f>IFERROR(__xludf.DUMMYFUNCTION("""COMPUTED_VALUE"""),"CPA")</f>
        <v>CPA</v>
      </c>
      <c r="F681" s="88" t="str">
        <f>IFERROR(__xludf.DUMMYFUNCTION("""COMPUTED_VALUE"""),"Насадка для увеличения члена, мастурбатор, секс игрушки, Getsize")</f>
        <v>Насадка для увеличения члена, мастурбатор, секс игрушки, Getsize</v>
      </c>
      <c r="G681" s="88"/>
      <c r="H681" s="88" t="str">
        <f>IFERROR(__xludf.DUMMYFUNCTION("""COMPUTED_VALUE"""),"18+")</f>
        <v>18+</v>
      </c>
      <c r="I681" s="88" t="str">
        <f>IFERROR(__xludf.DUMMYFUNCTION("""COMPUTED_VALUE"""),"Игрушки для взрослых")</f>
        <v>Игрушки для взрослых</v>
      </c>
      <c r="J681" s="245">
        <f>IFERROR(__xludf.DUMMYFUNCTION("""COMPUTED_VALUE"""),92.0)</f>
        <v>92</v>
      </c>
      <c r="K681" s="240">
        <f>IFERROR(__xludf.DUMMYFUNCTION("""COMPUTED_VALUE"""),72418.0)</f>
        <v>72418</v>
      </c>
      <c r="L681" s="243">
        <f>IFERROR(__xludf.DUMMYFUNCTION("""COMPUTED_VALUE"""),0.0)</f>
        <v>0</v>
      </c>
      <c r="M681" s="88"/>
      <c r="N681" s="88"/>
      <c r="O681" s="88"/>
      <c r="P681" s="88"/>
      <c r="Q681" s="88"/>
      <c r="R681" s="88"/>
      <c r="S681" s="88" t="str">
        <f>IFERROR(__xludf.DUMMYFUNCTION("""COMPUTED_VALUE"""),"Актуально")</f>
        <v>Актуально</v>
      </c>
      <c r="T681" s="88" t="str">
        <f>IFERROR(__xludf.DUMMYFUNCTION("""COMPUTED_VALUE"""),"Влад")</f>
        <v>Влад</v>
      </c>
      <c r="U681" s="88"/>
      <c r="V681" s="88"/>
      <c r="W681" s="88"/>
      <c r="X681" s="88"/>
      <c r="Y681" s="88"/>
      <c r="Z681" s="88"/>
      <c r="AA681" s="88"/>
      <c r="AC681" s="62" t="s">
        <v>2659</v>
      </c>
    </row>
    <row r="682">
      <c r="A682" s="88"/>
      <c r="B682" s="88">
        <f>IFERROR(__xludf.DUMMYFUNCTION("""COMPUTED_VALUE"""),100.0)</f>
        <v>100</v>
      </c>
      <c r="C682" s="88" t="str">
        <f>IFERROR(__xludf.DUMMYFUNCTION("""COMPUTED_VALUE"""),"frutaksa_BAD_200gr")</f>
        <v>frutaksa_BAD_200gr</v>
      </c>
      <c r="D682" s="88">
        <f>IFERROR(__xludf.DUMMYFUNCTION("""COMPUTED_VALUE"""),1.542480921E9)</f>
        <v>1542480921</v>
      </c>
      <c r="E682" s="88" t="str">
        <f>IFERROR(__xludf.DUMMYFUNCTION("""COMPUTED_VALUE"""),"Алтея")</f>
        <v>Алтея</v>
      </c>
      <c r="F682" s="88" t="str">
        <f>IFERROR(__xludf.DUMMYFUNCTION("""COMPUTED_VALUE"""),"Жиросжигатель, детокс, Алтея, Алтея, Фрутакса, 200 грамм")</f>
        <v>Жиросжигатель, детокс, Алтея, Алтея, Фрутакса, 200 грамм</v>
      </c>
      <c r="G682" s="88"/>
      <c r="H682" s="88" t="str">
        <f>IFERROR(__xludf.DUMMYFUNCTION("""COMPUTED_VALUE"""),"БАДы")</f>
        <v>БАДы</v>
      </c>
      <c r="I682" s="88" t="str">
        <f>IFERROR(__xludf.DUMMYFUNCTION("""COMPUTED_VALUE"""),"Похудение")</f>
        <v>Похудение</v>
      </c>
      <c r="J682" s="245">
        <f>IFERROR(__xludf.DUMMYFUNCTION("""COMPUTED_VALUE"""),70.0)</f>
        <v>70</v>
      </c>
      <c r="K682" s="240">
        <f>IFERROR(__xludf.DUMMYFUNCTION("""COMPUTED_VALUE"""),65880.0)</f>
        <v>65880</v>
      </c>
      <c r="L682" s="243">
        <f>IFERROR(__xludf.DUMMYFUNCTION("""COMPUTED_VALUE"""),0.0)</f>
        <v>0</v>
      </c>
      <c r="M682" s="88"/>
      <c r="N682" s="88"/>
      <c r="O682" s="88"/>
      <c r="P682" s="88"/>
      <c r="Q682" s="88"/>
      <c r="R682" s="88"/>
      <c r="S682" s="88" t="str">
        <f>IFERROR(__xludf.DUMMYFUNCTION("""COMPUTED_VALUE"""),"Актуально")</f>
        <v>Актуально</v>
      </c>
      <c r="T682" s="88" t="str">
        <f>IFERROR(__xludf.DUMMYFUNCTION("""COMPUTED_VALUE"""),"Влад")</f>
        <v>Влад</v>
      </c>
      <c r="U682" s="88"/>
      <c r="V682" s="88"/>
      <c r="W682" s="88"/>
      <c r="X682" s="88"/>
      <c r="Y682" s="88"/>
      <c r="Z682" s="88"/>
      <c r="AA682" s="88"/>
      <c r="AC682" s="62" t="s">
        <v>2659</v>
      </c>
    </row>
    <row r="683">
      <c r="A683" s="88"/>
      <c r="B683" s="88">
        <f>IFERROR(__xludf.DUMMYFUNCTION("""COMPUTED_VALUE"""),158.0)</f>
        <v>158</v>
      </c>
      <c r="C683" s="88" t="str">
        <f>IFERROR(__xludf.DUMMYFUNCTION("""COMPUTED_VALUE"""),"nabor_remuver_40ml_1_1")</f>
        <v>nabor_remuver_40ml_1_1</v>
      </c>
      <c r="D683" s="88">
        <f>IFERROR(__xludf.DUMMYFUNCTION("""COMPUTED_VALUE"""),2.067921716E9)</f>
        <v>2067921716</v>
      </c>
      <c r="E683" s="88" t="str">
        <f>IFERROR(__xludf.DUMMYFUNCTION("""COMPUTED_VALUE"""),"Алтея")</f>
        <v>Алтея</v>
      </c>
      <c r="F683" s="88" t="str">
        <f>IFERROR(__xludf.DUMMYFUNCTION("""COMPUTED_VALUE"""),"Ремувер для удаления кутикулы, Алтея, 40 мл х 2")</f>
        <v>Ремувер для удаления кутикулы, Алтея, 40 мл х 2</v>
      </c>
      <c r="G683" s="88"/>
      <c r="H683" s="88" t="str">
        <f>IFERROR(__xludf.DUMMYFUNCTION("""COMPUTED_VALUE"""),"Красота")</f>
        <v>Красота</v>
      </c>
      <c r="I683" s="88" t="str">
        <f>IFERROR(__xludf.DUMMYFUNCTION("""COMPUTED_VALUE"""),"Руки и ногти")</f>
        <v>Руки и ногти</v>
      </c>
      <c r="J683" s="245">
        <f>IFERROR(__xludf.DUMMYFUNCTION("""COMPUTED_VALUE"""),95.0)</f>
        <v>95</v>
      </c>
      <c r="K683" s="240">
        <f>IFERROR(__xludf.DUMMYFUNCTION("""COMPUTED_VALUE"""),65238.0)</f>
        <v>65238</v>
      </c>
      <c r="L683" s="243">
        <f>IFERROR(__xludf.DUMMYFUNCTION("""COMPUTED_VALUE"""),0.16017398985253994)</f>
        <v>0.1601739899</v>
      </c>
      <c r="M683" s="88"/>
      <c r="N683" s="88"/>
      <c r="O683" s="88"/>
      <c r="P683" s="88"/>
      <c r="Q683" s="88"/>
      <c r="R683" s="88"/>
      <c r="S683" s="88" t="str">
        <f>IFERROR(__xludf.DUMMYFUNCTION("""COMPUTED_VALUE"""),"Актуально")</f>
        <v>Актуально</v>
      </c>
      <c r="T683" s="88" t="str">
        <f>IFERROR(__xludf.DUMMYFUNCTION("""COMPUTED_VALUE"""),"Влад")</f>
        <v>Влад</v>
      </c>
      <c r="U683" s="88"/>
      <c r="V683" s="88"/>
      <c r="W683" s="88"/>
      <c r="X683" s="88"/>
      <c r="Y683" s="88"/>
      <c r="Z683" s="88"/>
      <c r="AA683" s="88"/>
      <c r="AC683" s="62" t="s">
        <v>2659</v>
      </c>
    </row>
    <row r="684">
      <c r="A684" s="88"/>
      <c r="B684" s="88">
        <f>IFERROR(__xludf.DUMMYFUNCTION("""COMPUTED_VALUE"""),84.0)</f>
        <v>84</v>
      </c>
      <c r="C684" s="88" t="str">
        <f>IFERROR(__xludf.DUMMYFUNCTION("""COMPUTED_VALUE"""),"glikiron_BAD_60caps")</f>
        <v>glikiron_BAD_60caps</v>
      </c>
      <c r="D684" s="88">
        <f>IFERROR(__xludf.DUMMYFUNCTION("""COMPUTED_VALUE"""),1.422277198E9)</f>
        <v>1422277198</v>
      </c>
      <c r="E684" s="88" t="str">
        <f>IFERROR(__xludf.DUMMYFUNCTION("""COMPUTED_VALUE"""),"Алтея")</f>
        <v>Алтея</v>
      </c>
      <c r="F684" s="88" t="str">
        <f>IFERROR(__xludf.DUMMYFUNCTION("""COMPUTED_VALUE"""),"Гликирон БАД для профилактики диабета контроль аппетита")</f>
        <v>Гликирон БАД для профилактики диабета контроль аппетита</v>
      </c>
      <c r="G684" s="88"/>
      <c r="H684" s="88" t="str">
        <f>IFERROR(__xludf.DUMMYFUNCTION("""COMPUTED_VALUE"""),"БАДы")</f>
        <v>БАДы</v>
      </c>
      <c r="I684" s="88" t="str">
        <f>IFERROR(__xludf.DUMMYFUNCTION("""COMPUTED_VALUE"""),"Диабет")</f>
        <v>Диабет</v>
      </c>
      <c r="J684" s="245">
        <f>IFERROR(__xludf.DUMMYFUNCTION("""COMPUTED_VALUE"""),58.0)</f>
        <v>58</v>
      </c>
      <c r="K684" s="240">
        <f>IFERROR(__xludf.DUMMYFUNCTION("""COMPUTED_VALUE"""),54103.0)</f>
        <v>54103</v>
      </c>
      <c r="L684" s="243">
        <f>IFERROR(__xludf.DUMMYFUNCTION("""COMPUTED_VALUE"""),0.07656262233147884)</f>
        <v>0.07656262233</v>
      </c>
      <c r="M684" s="88"/>
      <c r="N684" s="88"/>
      <c r="O684" s="88"/>
      <c r="P684" s="88"/>
      <c r="Q684" s="88"/>
      <c r="R684" s="88"/>
      <c r="S684" s="88" t="str">
        <f>IFERROR(__xludf.DUMMYFUNCTION("""COMPUTED_VALUE"""),"Актуально")</f>
        <v>Актуально</v>
      </c>
      <c r="T684" s="88" t="str">
        <f>IFERROR(__xludf.DUMMYFUNCTION("""COMPUTED_VALUE"""),"Даша")</f>
        <v>Даша</v>
      </c>
      <c r="U684" s="88"/>
      <c r="V684" s="88"/>
      <c r="W684" s="88"/>
      <c r="X684" s="88"/>
      <c r="Y684" s="88"/>
      <c r="Z684" s="88"/>
      <c r="AA684" s="88"/>
      <c r="AC684" s="62" t="s">
        <v>2659</v>
      </c>
    </row>
    <row r="685">
      <c r="A685" s="88"/>
      <c r="B685" s="88"/>
      <c r="C685" s="88" t="str">
        <f>IFERROR(__xludf.DUMMYFUNCTION("""COMPUTED_VALUE"""),"antigiperton")</f>
        <v>antigiperton</v>
      </c>
      <c r="D685" s="88"/>
      <c r="E685" s="88" t="str">
        <f>IFERROR(__xludf.DUMMYFUNCTION("""COMPUTED_VALUE"""),"CPA")</f>
        <v>CPA</v>
      </c>
      <c r="F685" s="88"/>
      <c r="G685" s="88"/>
      <c r="H685" s="88" t="str">
        <f>IFERROR(__xludf.DUMMYFUNCTION("""COMPUTED_VALUE"""),"Парафармацевтика")</f>
        <v>Парафармацевтика</v>
      </c>
      <c r="I685" s="88" t="str">
        <f>IFERROR(__xludf.DUMMYFUNCTION("""COMPUTED_VALUE"""),"Здоровье сердца")</f>
        <v>Здоровье сердца</v>
      </c>
      <c r="J685" s="88"/>
      <c r="K685" s="88"/>
      <c r="L685" s="88"/>
      <c r="M685" s="88"/>
      <c r="N685" s="88"/>
      <c r="O685" s="88"/>
      <c r="P685" s="88"/>
      <c r="Q685" s="88"/>
      <c r="R685" s="88"/>
      <c r="S685" s="88" t="str">
        <f>IFERROR(__xludf.DUMMYFUNCTION("""COMPUTED_VALUE"""),"Новинка")</f>
        <v>Новинка</v>
      </c>
      <c r="T685" s="88" t="str">
        <f>IFERROR(__xludf.DUMMYFUNCTION("""COMPUTED_VALUE"""),"Влад")</f>
        <v>Влад</v>
      </c>
      <c r="U685" s="88"/>
      <c r="V685" s="88"/>
      <c r="W685" s="88"/>
      <c r="X685" s="88"/>
      <c r="Y685" s="88"/>
      <c r="Z685" s="88"/>
      <c r="AA685" s="88"/>
      <c r="AC685" s="62" t="s">
        <v>2659</v>
      </c>
    </row>
    <row r="686">
      <c r="A686" s="88"/>
      <c r="B686" s="88"/>
      <c r="C686" s="88" t="str">
        <f>IFERROR(__xludf.DUMMYFUNCTION("""COMPUTED_VALUE"""),"psoral11")</f>
        <v>psoral11</v>
      </c>
      <c r="D686" s="88"/>
      <c r="E686" s="88" t="str">
        <f>IFERROR(__xludf.DUMMYFUNCTION("""COMPUTED_VALUE"""),"CPA")</f>
        <v>CPA</v>
      </c>
      <c r="F686" s="88"/>
      <c r="G686" s="88"/>
      <c r="H686" s="88" t="str">
        <f>IFERROR(__xludf.DUMMYFUNCTION("""COMPUTED_VALUE"""),"Парафармацевтика")</f>
        <v>Парафармацевтика</v>
      </c>
      <c r="I686" s="88" t="str">
        <f>IFERROR(__xludf.DUMMYFUNCTION("""COMPUTED_VALUE"""),"Псориаз")</f>
        <v>Псориаз</v>
      </c>
      <c r="J686" s="88"/>
      <c r="K686" s="88"/>
      <c r="L686" s="88"/>
      <c r="M686" s="88"/>
      <c r="N686" s="88"/>
      <c r="O686" s="88"/>
      <c r="P686" s="88"/>
      <c r="Q686" s="88"/>
      <c r="R686" s="88"/>
      <c r="S686" s="88" t="str">
        <f>IFERROR(__xludf.DUMMYFUNCTION("""COMPUTED_VALUE"""),"Новинка")</f>
        <v>Новинка</v>
      </c>
      <c r="T686" s="88" t="str">
        <f>IFERROR(__xludf.DUMMYFUNCTION("""COMPUTED_VALUE"""),"Влад")</f>
        <v>Влад</v>
      </c>
      <c r="U686" s="88"/>
      <c r="V686" s="88"/>
      <c r="W686" s="88"/>
      <c r="X686" s="88"/>
      <c r="Y686" s="88"/>
      <c r="Z686" s="88"/>
      <c r="AA686" s="88"/>
      <c r="AC686" s="62" t="s">
        <v>2659</v>
      </c>
    </row>
    <row r="687">
      <c r="A687" s="88"/>
      <c r="B687" s="88"/>
      <c r="C687" s="88" t="str">
        <f>IFERROR(__xludf.DUMMYFUNCTION("""COMPUTED_VALUE"""),"syvorotka_dlya_lica_30ml_v2")</f>
        <v>syvorotka_dlya_lica_30ml_v2</v>
      </c>
      <c r="D687" s="88">
        <f>IFERROR(__xludf.DUMMYFUNCTION("""COMPUTED_VALUE"""),3.159927877E9)</f>
        <v>3159927877</v>
      </c>
      <c r="E687" s="88" t="str">
        <f>IFERROR(__xludf.DUMMYFUNCTION("""COMPUTED_VALUE"""),"Алтея")</f>
        <v>Алтея</v>
      </c>
      <c r="F687" s="88" t="str">
        <f>IFERROR(__xludf.DUMMYFUNCTION("""COMPUTED_VALUE"""),"Сыворотка для лица с ниацинамидом для лица антивозрастная, от пигментных пятен, пигментации, Алтея, 30 мл")</f>
        <v>Сыворотка для лица с ниацинамидом для лица антивозрастная, от пигментных пятен, пигментации, Алтея, 30 мл</v>
      </c>
      <c r="G687" s="88"/>
      <c r="H687" s="88" t="str">
        <f>IFERROR(__xludf.DUMMYFUNCTION("""COMPUTED_VALUE"""),"Красота")</f>
        <v>Красота</v>
      </c>
      <c r="I687" s="88" t="str">
        <f>IFERROR(__xludf.DUMMYFUNCTION("""COMPUTED_VALUE"""),"Лицо")</f>
        <v>Лицо</v>
      </c>
      <c r="J687" s="88"/>
      <c r="K687" s="88"/>
      <c r="L687" s="88"/>
      <c r="M687" s="88"/>
      <c r="N687" s="88"/>
      <c r="O687" s="88"/>
      <c r="P687" s="88"/>
      <c r="Q687" s="88"/>
      <c r="R687" s="88"/>
      <c r="S687" s="88" t="str">
        <f>IFERROR(__xludf.DUMMYFUNCTION("""COMPUTED_VALUE"""),"Новинка")</f>
        <v>Новинка</v>
      </c>
      <c r="T687" s="88" t="str">
        <f>IFERROR(__xludf.DUMMYFUNCTION("""COMPUTED_VALUE"""),"Даша")</f>
        <v>Даша</v>
      </c>
      <c r="U687" s="88"/>
      <c r="V687" s="88"/>
      <c r="W687" s="88"/>
      <c r="X687" s="88"/>
      <c r="Y687" s="88"/>
      <c r="Z687" s="88"/>
      <c r="AA687" s="88"/>
      <c r="AC687" s="62" t="s">
        <v>2659</v>
      </c>
    </row>
    <row r="688">
      <c r="A688" s="88"/>
      <c r="B688" s="88"/>
      <c r="C688" s="88" t="str">
        <f>IFERROR(__xludf.DUMMYFUNCTION("""COMPUTED_VALUE"""),"krem_spf50_50ml")</f>
        <v>krem_spf50_50ml</v>
      </c>
      <c r="D688" s="88">
        <f>IFERROR(__xludf.DUMMYFUNCTION("""COMPUTED_VALUE"""),3.164675898E9)</f>
        <v>3164675898</v>
      </c>
      <c r="E688" s="88" t="str">
        <f>IFERROR(__xludf.DUMMYFUNCTION("""COMPUTED_VALUE"""),"Алтея")</f>
        <v>Алтея</v>
      </c>
      <c r="F688" s="88" t="str">
        <f>IFERROR(__xludf.DUMMYFUNCTION("""COMPUTED_VALUE"""),"База под макияж увлажняющая с SPF 50 для лица Крем солнцезащитный, крем-флюид, Алтея, 50 мл")</f>
        <v>База под макияж увлажняющая с SPF 50 для лица Крем солнцезащитный, крем-флюид, Алтея, 50 мл</v>
      </c>
      <c r="G688" s="88"/>
      <c r="H688" s="88" t="str">
        <f>IFERROR(__xludf.DUMMYFUNCTION("""COMPUTED_VALUE"""),"Красота")</f>
        <v>Красота</v>
      </c>
      <c r="I688" s="88" t="str">
        <f>IFERROR(__xludf.DUMMYFUNCTION("""COMPUTED_VALUE"""),"Лицо")</f>
        <v>Лицо</v>
      </c>
      <c r="J688" s="88"/>
      <c r="K688" s="88"/>
      <c r="L688" s="88"/>
      <c r="M688" s="88"/>
      <c r="N688" s="88"/>
      <c r="O688" s="88"/>
      <c r="P688" s="88"/>
      <c r="Q688" s="88"/>
      <c r="R688" s="88"/>
      <c r="S688" s="88" t="str">
        <f>IFERROR(__xludf.DUMMYFUNCTION("""COMPUTED_VALUE"""),"Новинка")</f>
        <v>Новинка</v>
      </c>
      <c r="T688" s="88" t="str">
        <f>IFERROR(__xludf.DUMMYFUNCTION("""COMPUTED_VALUE"""),"Даша")</f>
        <v>Даша</v>
      </c>
      <c r="U688" s="88"/>
      <c r="V688" s="88"/>
      <c r="W688" s="88"/>
      <c r="X688" s="88"/>
      <c r="Y688" s="88"/>
      <c r="Z688" s="88"/>
      <c r="AA688" s="88"/>
      <c r="AC688" s="62" t="s">
        <v>2659</v>
      </c>
    </row>
    <row r="689">
      <c r="A689" s="88"/>
      <c r="B689" s="88">
        <f>IFERROR(__xludf.DUMMYFUNCTION("""COMPUTED_VALUE"""),16.0)</f>
        <v>16</v>
      </c>
      <c r="C689" s="88" t="str">
        <f>IFERROR(__xludf.DUMMYFUNCTION("""COMPUTED_VALUE"""),"sanatsin")</f>
        <v>sanatsin</v>
      </c>
      <c r="D689" s="88">
        <f>IFERROR(__xludf.DUMMYFUNCTION("""COMPUTED_VALUE"""),2.96756085E8)</f>
        <v>296756085</v>
      </c>
      <c r="E689" s="88" t="str">
        <f>IFERROR(__xludf.DUMMYFUNCTION("""COMPUTED_VALUE"""),"CPA")</f>
        <v>CPA</v>
      </c>
      <c r="F689" s="88" t="str">
        <f>IFERROR(__xludf.DUMMYFUNCTION("""COMPUTED_VALUE"""),"От паразитов, от глистов комплекс, Алтея, Санацин, 20 штук")</f>
        <v>От паразитов, от глистов комплекс, Алтея, Санацин, 20 штук</v>
      </c>
      <c r="G689" s="88"/>
      <c r="H689" s="88" t="str">
        <f>IFERROR(__xludf.DUMMYFUNCTION("""COMPUTED_VALUE"""),"Парафармацевтика")</f>
        <v>Парафармацевтика</v>
      </c>
      <c r="I689" s="88" t="str">
        <f>IFERROR(__xludf.DUMMYFUNCTION("""COMPUTED_VALUE"""),"Антипаразитарный")</f>
        <v>Антипаразитарный</v>
      </c>
      <c r="J689" s="245">
        <f>IFERROR(__xludf.DUMMYFUNCTION("""COMPUTED_VALUE"""),78.0)</f>
        <v>78</v>
      </c>
      <c r="K689" s="240">
        <f>IFERROR(__xludf.DUMMYFUNCTION("""COMPUTED_VALUE"""),51738.0)</f>
        <v>51738</v>
      </c>
      <c r="L689" s="243">
        <f>IFERROR(__xludf.DUMMYFUNCTION("""COMPUTED_VALUE"""),0.0)</f>
        <v>0</v>
      </c>
      <c r="M689" s="88"/>
      <c r="N689" s="88"/>
      <c r="O689" s="88"/>
      <c r="P689" s="88"/>
      <c r="Q689" s="88"/>
      <c r="R689" s="88"/>
      <c r="S689" s="88" t="str">
        <f>IFERROR(__xludf.DUMMYFUNCTION("""COMPUTED_VALUE"""),"Актуально")</f>
        <v>Актуально</v>
      </c>
      <c r="T689" s="88" t="str">
        <f>IFERROR(__xludf.DUMMYFUNCTION("""COMPUTED_VALUE"""),"Даша")</f>
        <v>Даша</v>
      </c>
      <c r="U689" s="88"/>
      <c r="V689" s="88"/>
      <c r="W689" s="88"/>
      <c r="X689" s="88"/>
      <c r="Y689" s="88"/>
      <c r="Z689" s="88"/>
      <c r="AA689" s="88"/>
      <c r="AC689" s="62" t="s">
        <v>2659</v>
      </c>
    </row>
    <row r="690">
      <c r="A690" s="88"/>
      <c r="B690" s="88">
        <f>IFERROR(__xludf.DUMMYFUNCTION("""COMPUTED_VALUE"""),128.0)</f>
        <v>128</v>
      </c>
      <c r="C690" s="88" t="str">
        <f>IFERROR(__xludf.DUMMYFUNCTION("""COMPUTED_VALUE"""),"stik_ot_mozoley")</f>
        <v>stik_ot_mozoley</v>
      </c>
      <c r="D690" s="88">
        <f>IFERROR(__xludf.DUMMYFUNCTION("""COMPUTED_VALUE"""),1.70231937E9)</f>
        <v>1702319370</v>
      </c>
      <c r="E690" s="88" t="str">
        <f>IFERROR(__xludf.DUMMYFUNCTION("""COMPUTED_VALUE"""),"Алтея")</f>
        <v>Алтея</v>
      </c>
      <c r="F690" s="88" t="str">
        <f>IFERROR(__xludf.DUMMYFUNCTION("""COMPUTED_VALUE"""),"Карандаш от мозолей, стик от натирания, мозольный пластырь, Алтея, 20 г")</f>
        <v>Карандаш от мозолей, стик от натирания, мозольный пластырь, Алтея, 20 г</v>
      </c>
      <c r="G690" s="88"/>
      <c r="H690" s="88" t="str">
        <f>IFERROR(__xludf.DUMMYFUNCTION("""COMPUTED_VALUE"""),"Красота")</f>
        <v>Красота</v>
      </c>
      <c r="I690" s="88" t="str">
        <f>IFERROR(__xludf.DUMMYFUNCTION("""COMPUTED_VALUE"""),"Пятки")</f>
        <v>Пятки</v>
      </c>
      <c r="J690" s="245">
        <f>IFERROR(__xludf.DUMMYFUNCTION("""COMPUTED_VALUE"""),119.0)</f>
        <v>119</v>
      </c>
      <c r="K690" s="240">
        <f>IFERROR(__xludf.DUMMYFUNCTION("""COMPUTED_VALUE"""),51302.0)</f>
        <v>51302</v>
      </c>
      <c r="L690" s="243">
        <f>IFERROR(__xludf.DUMMYFUNCTION("""COMPUTED_VALUE"""),0.12107360705235663)</f>
        <v>0.1210736071</v>
      </c>
      <c r="M690" s="88"/>
      <c r="N690" s="88"/>
      <c r="O690" s="88"/>
      <c r="P690" s="88"/>
      <c r="Q690" s="88"/>
      <c r="R690" s="88"/>
      <c r="S690" s="88" t="str">
        <f>IFERROR(__xludf.DUMMYFUNCTION("""COMPUTED_VALUE"""),"Актуально")</f>
        <v>Актуально</v>
      </c>
      <c r="T690" s="88" t="str">
        <f>IFERROR(__xludf.DUMMYFUNCTION("""COMPUTED_VALUE"""),"Даша")</f>
        <v>Даша</v>
      </c>
      <c r="U690" s="88"/>
      <c r="V690" s="88"/>
      <c r="W690" s="88"/>
      <c r="X690" s="88"/>
      <c r="Y690" s="88"/>
      <c r="Z690" s="88"/>
      <c r="AA690" s="88"/>
      <c r="AC690" s="62" t="s">
        <v>2659</v>
      </c>
    </row>
    <row r="691">
      <c r="A691" s="88"/>
      <c r="B691" s="88">
        <f>IFERROR(__xludf.DUMMYFUNCTION("""COMPUTED_VALUE"""),17.0)</f>
        <v>17</v>
      </c>
      <c r="C691" s="88" t="str">
        <f>IFERROR(__xludf.DUMMYFUNCTION("""COMPUTED_VALUE"""),"glikiron")</f>
        <v>glikiron</v>
      </c>
      <c r="D691" s="88">
        <f>IFERROR(__xludf.DUMMYFUNCTION("""COMPUTED_VALUE"""),2.96790094E8)</f>
        <v>296790094</v>
      </c>
      <c r="E691" s="88" t="str">
        <f>IFERROR(__xludf.DUMMYFUNCTION("""COMPUTED_VALUE"""),"CPA")</f>
        <v>CPA</v>
      </c>
      <c r="F691" s="88" t="str">
        <f>IFERROR(__xludf.DUMMYFUNCTION("""COMPUTED_VALUE"""),"Витаминный комплекс пищевая добавка для диабетиков Гликирон. Для иммунитета, для энергии. Сахарный диабет / 50 мл")</f>
        <v>Витаминный комплекс пищевая добавка для диабетиков Гликирон. Для иммунитета, для энергии. Сахарный диабет / 50 мл</v>
      </c>
      <c r="G691" s="88"/>
      <c r="H691" s="88" t="str">
        <f>IFERROR(__xludf.DUMMYFUNCTION("""COMPUTED_VALUE"""),"Парафармацевтика")</f>
        <v>Парафармацевтика</v>
      </c>
      <c r="I691" s="88" t="str">
        <f>IFERROR(__xludf.DUMMYFUNCTION("""COMPUTED_VALUE"""),"Диабет")</f>
        <v>Диабет</v>
      </c>
      <c r="J691" s="245">
        <f>IFERROR(__xludf.DUMMYFUNCTION("""COMPUTED_VALUE"""),87.0)</f>
        <v>87</v>
      </c>
      <c r="K691" s="240">
        <f>IFERROR(__xludf.DUMMYFUNCTION("""COMPUTED_VALUE"""),51200.0)</f>
        <v>51200</v>
      </c>
      <c r="L691" s="243">
        <f>IFERROR(__xludf.DUMMYFUNCTION("""COMPUTED_VALUE"""),0.0)</f>
        <v>0</v>
      </c>
      <c r="M691" s="88"/>
      <c r="N691" s="88"/>
      <c r="O691" s="88"/>
      <c r="P691" s="88"/>
      <c r="Q691" s="88"/>
      <c r="R691" s="88"/>
      <c r="S691" s="88" t="str">
        <f>IFERROR(__xludf.DUMMYFUNCTION("""COMPUTED_VALUE"""),"Актуально")</f>
        <v>Актуально</v>
      </c>
      <c r="T691" s="88" t="str">
        <f>IFERROR(__xludf.DUMMYFUNCTION("""COMPUTED_VALUE"""),"Даша")</f>
        <v>Даша</v>
      </c>
      <c r="U691" s="88"/>
      <c r="V691" s="88"/>
      <c r="W691" s="88"/>
      <c r="X691" s="88"/>
      <c r="Y691" s="88"/>
      <c r="Z691" s="88"/>
      <c r="AA691" s="88"/>
      <c r="AC691" s="62" t="s">
        <v>2659</v>
      </c>
    </row>
    <row r="692">
      <c r="A692" s="88"/>
      <c r="B692" s="88">
        <f>IFERROR(__xludf.DUMMYFUNCTION("""COMPUTED_VALUE"""),65.0)</f>
        <v>65</v>
      </c>
      <c r="C692" s="88" t="str">
        <f>IFERROR(__xludf.DUMMYFUNCTION("""COMPUTED_VALUE"""),"vetonus_1_1")</f>
        <v>vetonus_1_1</v>
      </c>
      <c r="D692" s="88">
        <f>IFERROR(__xludf.DUMMYFUNCTION("""COMPUTED_VALUE"""),1.188108975E9)</f>
        <v>1188108975</v>
      </c>
      <c r="E692" s="88" t="str">
        <f>IFERROR(__xludf.DUMMYFUNCTION("""COMPUTED_VALUE"""),"CPA")</f>
        <v>CPA</v>
      </c>
      <c r="F692" s="88" t="str">
        <f>IFERROR(__xludf.DUMMYFUNCTION("""COMPUTED_VALUE"""),"Крем от варикоза усталости и отеков ног Ветонус натуральный, 30 мл")</f>
        <v>Крем от варикоза усталости и отеков ног Ветонус натуральный, 30 мл</v>
      </c>
      <c r="G692" s="88"/>
      <c r="H692" s="88" t="str">
        <f>IFERROR(__xludf.DUMMYFUNCTION("""COMPUTED_VALUE"""),"Парафармацевтика")</f>
        <v>Парафармацевтика</v>
      </c>
      <c r="I692" s="88" t="str">
        <f>IFERROR(__xludf.DUMMYFUNCTION("""COMPUTED_VALUE"""),"Варикоз")</f>
        <v>Варикоз</v>
      </c>
      <c r="J692" s="245">
        <f>IFERROR(__xludf.DUMMYFUNCTION("""COMPUTED_VALUE"""),51.0)</f>
        <v>51</v>
      </c>
      <c r="K692" s="240">
        <f>IFERROR(__xludf.DUMMYFUNCTION("""COMPUTED_VALUE"""),44256.0)</f>
        <v>44256</v>
      </c>
      <c r="L692" s="243">
        <f>IFERROR(__xludf.DUMMYFUNCTION("""COMPUTED_VALUE"""),0.0)</f>
        <v>0</v>
      </c>
      <c r="M692" s="88"/>
      <c r="N692" s="88"/>
      <c r="O692" s="88"/>
      <c r="P692" s="88"/>
      <c r="Q692" s="88"/>
      <c r="R692" s="88"/>
      <c r="S692" s="88" t="str">
        <f>IFERROR(__xludf.DUMMYFUNCTION("""COMPUTED_VALUE"""),"Актуально")</f>
        <v>Актуально</v>
      </c>
      <c r="T692" s="88" t="str">
        <f>IFERROR(__xludf.DUMMYFUNCTION("""COMPUTED_VALUE"""),"Даша")</f>
        <v>Даша</v>
      </c>
      <c r="U692" s="88"/>
      <c r="V692" s="88"/>
      <c r="W692" s="88"/>
      <c r="X692" s="88"/>
      <c r="Y692" s="88"/>
      <c r="Z692" s="88"/>
      <c r="AA692" s="88"/>
      <c r="AC692" s="62" t="s">
        <v>2659</v>
      </c>
    </row>
    <row r="693">
      <c r="A693" s="88"/>
      <c r="B693" s="88">
        <f>IFERROR(__xludf.DUMMYFUNCTION("""COMPUTED_VALUE"""),111.0)</f>
        <v>111</v>
      </c>
      <c r="C693" s="88" t="str">
        <f>IFERROR(__xludf.DUMMYFUNCTION("""COMPUTED_VALUE"""),"glukofol")</f>
        <v>glukofol</v>
      </c>
      <c r="D693" s="88">
        <f>IFERROR(__xludf.DUMMYFUNCTION("""COMPUTED_VALUE"""),1.590064366E9)</f>
        <v>1590064366</v>
      </c>
      <c r="E693" s="88" t="str">
        <f>IFERROR(__xludf.DUMMYFUNCTION("""COMPUTED_VALUE"""),"CPA")</f>
        <v>CPA</v>
      </c>
      <c r="F693" s="88" t="str">
        <f>IFERROR(__xludf.DUMMYFUNCTION("""COMPUTED_VALUE"""),"Витамины для диабетиков от сахарного диабета, Алтея, Глюкофол, 10 мл")</f>
        <v>Витамины для диабетиков от сахарного диабета, Алтея, Глюкофол, 10 мл</v>
      </c>
      <c r="G693" s="88"/>
      <c r="H693" s="88" t="str">
        <f>IFERROR(__xludf.DUMMYFUNCTION("""COMPUTED_VALUE"""),"Парафармацевтика")</f>
        <v>Парафармацевтика</v>
      </c>
      <c r="I693" s="88" t="str">
        <f>IFERROR(__xludf.DUMMYFUNCTION("""COMPUTED_VALUE"""),"Диабет")</f>
        <v>Диабет</v>
      </c>
      <c r="J693" s="245">
        <f>IFERROR(__xludf.DUMMYFUNCTION("""COMPUTED_VALUE"""),48.0)</f>
        <v>48</v>
      </c>
      <c r="K693" s="240">
        <f>IFERROR(__xludf.DUMMYFUNCTION("""COMPUTED_VALUE"""),29293.0)</f>
        <v>29293</v>
      </c>
      <c r="L693" s="243">
        <f>IFERROR(__xludf.DUMMYFUNCTION("""COMPUTED_VALUE"""),0.0)</f>
        <v>0</v>
      </c>
      <c r="M693" s="88"/>
      <c r="N693" s="88"/>
      <c r="O693" s="88"/>
      <c r="P693" s="88"/>
      <c r="Q693" s="88"/>
      <c r="R693" s="88"/>
      <c r="S693" s="88" t="str">
        <f>IFERROR(__xludf.DUMMYFUNCTION("""COMPUTED_VALUE"""),"Актуально")</f>
        <v>Актуально</v>
      </c>
      <c r="T693" s="88" t="str">
        <f>IFERROR(__xludf.DUMMYFUNCTION("""COMPUTED_VALUE"""),"Даша")</f>
        <v>Даша</v>
      </c>
      <c r="U693" s="88"/>
      <c r="V693" s="88"/>
      <c r="W693" s="88"/>
      <c r="X693" s="88"/>
      <c r="Y693" s="88"/>
      <c r="Z693" s="88"/>
      <c r="AA693" s="88"/>
      <c r="AC693" s="62" t="s">
        <v>2659</v>
      </c>
    </row>
    <row r="694">
      <c r="A694" s="88"/>
      <c r="B694" s="88">
        <f>IFERROR(__xludf.DUMMYFUNCTION("""COMPUTED_VALUE"""),20.0)</f>
        <v>20</v>
      </c>
      <c r="C694" s="88" t="str">
        <f>IFERROR(__xludf.DUMMYFUNCTION("""COMPUTED_VALUE"""),"micolan")</f>
        <v>micolan</v>
      </c>
      <c r="D694" s="88">
        <f>IFERROR(__xludf.DUMMYFUNCTION("""COMPUTED_VALUE"""),3.07654206E8)</f>
        <v>307654206</v>
      </c>
      <c r="E694" s="88" t="str">
        <f>IFERROR(__xludf.DUMMYFUNCTION("""COMPUTED_VALUE"""),"CPA")</f>
        <v>CPA</v>
      </c>
      <c r="F694" s="88" t="str">
        <f>IFERROR(__xludf.DUMMYFUNCTION("""COMPUTED_VALUE"""),"Мазь от грибка ногтей на ногах, противогрибковое средство с коллоидным серебром, Алтея, Миколан, 15 мл")</f>
        <v>Мазь от грибка ногтей на ногах, противогрибковое средство с коллоидным серебром, Алтея, Миколан, 15 мл</v>
      </c>
      <c r="G694" s="88"/>
      <c r="H694" s="88" t="str">
        <f>IFERROR(__xludf.DUMMYFUNCTION("""COMPUTED_VALUE"""),"Парафармацевтика")</f>
        <v>Парафармацевтика</v>
      </c>
      <c r="I694" s="88" t="str">
        <f>IFERROR(__xludf.DUMMYFUNCTION("""COMPUTED_VALUE"""),"Грибок")</f>
        <v>Грибок</v>
      </c>
      <c r="J694" s="245">
        <f>IFERROR(__xludf.DUMMYFUNCTION("""COMPUTED_VALUE"""),56.0)</f>
        <v>56</v>
      </c>
      <c r="K694" s="240">
        <f>IFERROR(__xludf.DUMMYFUNCTION("""COMPUTED_VALUE"""),29047.0)</f>
        <v>29047</v>
      </c>
      <c r="L694" s="243">
        <f>IFERROR(__xludf.DUMMYFUNCTION("""COMPUTED_VALUE"""),0.0)</f>
        <v>0</v>
      </c>
      <c r="M694" s="88"/>
      <c r="N694" s="88"/>
      <c r="O694" s="88"/>
      <c r="P694" s="88"/>
      <c r="Q694" s="88"/>
      <c r="R694" s="88"/>
      <c r="S694" s="88" t="str">
        <f>IFERROR(__xludf.DUMMYFUNCTION("""COMPUTED_VALUE"""),"Актуально")</f>
        <v>Актуально</v>
      </c>
      <c r="T694" s="88" t="str">
        <f>IFERROR(__xludf.DUMMYFUNCTION("""COMPUTED_VALUE"""),"Даша")</f>
        <v>Даша</v>
      </c>
      <c r="U694" s="88"/>
      <c r="V694" s="88"/>
      <c r="W694" s="88"/>
      <c r="X694" s="88"/>
      <c r="Y694" s="88"/>
      <c r="Z694" s="88"/>
      <c r="AA694" s="88"/>
      <c r="AC694" s="62" t="s">
        <v>2659</v>
      </c>
    </row>
    <row r="695">
      <c r="A695" s="88"/>
      <c r="B695" s="88">
        <f>IFERROR(__xludf.DUMMYFUNCTION("""COMPUTED_VALUE"""),47.0)</f>
        <v>47</v>
      </c>
      <c r="C695" s="88" t="str">
        <f>IFERROR(__xludf.DUMMYFUNCTION("""COMPUTED_VALUE"""),"vetonus")</f>
        <v>vetonus</v>
      </c>
      <c r="D695" s="88">
        <f>IFERROR(__xludf.DUMMYFUNCTION("""COMPUTED_VALUE"""),8.47511103E8)</f>
        <v>847511103</v>
      </c>
      <c r="E695" s="88" t="str">
        <f>IFERROR(__xludf.DUMMYFUNCTION("""COMPUTED_VALUE"""),"CPA")</f>
        <v>CPA</v>
      </c>
      <c r="F695" s="88" t="str">
        <f>IFERROR(__xludf.DUMMYFUNCTION("""COMPUTED_VALUE"""),"Крем от варикоза усталости и отеков ног Ветонус натуральный, 30 мл")</f>
        <v>Крем от варикоза усталости и отеков ног Ветонус натуральный, 30 мл</v>
      </c>
      <c r="G695" s="88"/>
      <c r="H695" s="88" t="str">
        <f>IFERROR(__xludf.DUMMYFUNCTION("""COMPUTED_VALUE"""),"Парафармацевтика")</f>
        <v>Парафармацевтика</v>
      </c>
      <c r="I695" s="88" t="str">
        <f>IFERROR(__xludf.DUMMYFUNCTION("""COMPUTED_VALUE"""),"Варикоз")</f>
        <v>Варикоз</v>
      </c>
      <c r="J695" s="245">
        <f>IFERROR(__xludf.DUMMYFUNCTION("""COMPUTED_VALUE"""),43.0)</f>
        <v>43</v>
      </c>
      <c r="K695" s="240">
        <f>IFERROR(__xludf.DUMMYFUNCTION("""COMPUTED_VALUE"""),28564.0)</f>
        <v>28564</v>
      </c>
      <c r="L695" s="243">
        <f>IFERROR(__xludf.DUMMYFUNCTION("""COMPUTED_VALUE"""),0.5284288961630024)</f>
        <v>0.5284288962</v>
      </c>
      <c r="M695" s="88"/>
      <c r="N695" s="88"/>
      <c r="O695" s="88"/>
      <c r="P695" s="88"/>
      <c r="Q695" s="88"/>
      <c r="R695" s="88"/>
      <c r="S695" s="88" t="str">
        <f>IFERROR(__xludf.DUMMYFUNCTION("""COMPUTED_VALUE"""),"Актуально")</f>
        <v>Актуально</v>
      </c>
      <c r="T695" s="88" t="str">
        <f>IFERROR(__xludf.DUMMYFUNCTION("""COMPUTED_VALUE"""),"Даша")</f>
        <v>Даша</v>
      </c>
      <c r="U695" s="88"/>
      <c r="V695" s="88"/>
      <c r="W695" s="88"/>
      <c r="X695" s="88"/>
      <c r="Y695" s="88"/>
      <c r="Z695" s="88"/>
      <c r="AA695" s="88"/>
      <c r="AC695" s="62" t="s">
        <v>2659</v>
      </c>
    </row>
    <row r="696">
      <c r="A696" s="88"/>
      <c r="B696" s="88">
        <f>IFERROR(__xludf.DUMMYFUNCTION("""COMPUTED_VALUE"""),26.0)</f>
        <v>26</v>
      </c>
      <c r="C696" s="88" t="str">
        <f>IFERROR(__xludf.DUMMYFUNCTION("""COMPUTED_VALUE"""),"brutalax")</f>
        <v>brutalax</v>
      </c>
      <c r="D696" s="88">
        <f>IFERROR(__xludf.DUMMYFUNCTION("""COMPUTED_VALUE"""),3.56313449E8)</f>
        <v>356313449</v>
      </c>
      <c r="E696" s="88" t="str">
        <f>IFERROR(__xludf.DUMMYFUNCTION("""COMPUTED_VALUE"""),"CPA")</f>
        <v>CPA</v>
      </c>
      <c r="F696" s="88" t="str">
        <f>IFERROR(__xludf.DUMMYFUNCTION("""COMPUTED_VALUE"""),"Возбудитель для мужчин, таблетки для потенции у мужчин, для секса, Бруталакс, 18+")</f>
        <v>Возбудитель для мужчин, таблетки для потенции у мужчин, для секса, Бруталакс, 18+</v>
      </c>
      <c r="G696" s="88"/>
      <c r="H696" s="88" t="str">
        <f>IFERROR(__xludf.DUMMYFUNCTION("""COMPUTED_VALUE"""),"Парафармацевтика")</f>
        <v>Парафармацевтика</v>
      </c>
      <c r="I696" s="88" t="str">
        <f>IFERROR(__xludf.DUMMYFUNCTION("""COMPUTED_VALUE"""),"Возбудитель")</f>
        <v>Возбудитель</v>
      </c>
      <c r="J696" s="245">
        <f>IFERROR(__xludf.DUMMYFUNCTION("""COMPUTED_VALUE"""),101.0)</f>
        <v>101</v>
      </c>
      <c r="K696" s="240">
        <f>IFERROR(__xludf.DUMMYFUNCTION("""COMPUTED_VALUE"""),63259.0)</f>
        <v>63259</v>
      </c>
      <c r="L696" s="243">
        <f>IFERROR(__xludf.DUMMYFUNCTION("""COMPUTED_VALUE"""),0.0)</f>
        <v>0</v>
      </c>
      <c r="M696" s="88"/>
      <c r="N696" s="88"/>
      <c r="O696" s="88"/>
      <c r="P696" s="88"/>
      <c r="Q696" s="88"/>
      <c r="R696" s="88"/>
      <c r="S696" s="88" t="str">
        <f>IFERROR(__xludf.DUMMYFUNCTION("""COMPUTED_VALUE"""),"Актуально")</f>
        <v>Актуально</v>
      </c>
      <c r="T696" s="88" t="str">
        <f>IFERROR(__xludf.DUMMYFUNCTION("""COMPUTED_VALUE"""),"Влад")</f>
        <v>Влад</v>
      </c>
      <c r="U696" s="88"/>
      <c r="V696" s="88"/>
      <c r="W696" s="88"/>
      <c r="X696" s="88"/>
      <c r="Y696" s="88"/>
      <c r="Z696" s="88"/>
      <c r="AA696" s="88"/>
      <c r="AC696" s="62" t="s">
        <v>2659</v>
      </c>
    </row>
    <row r="697">
      <c r="A697" s="88"/>
      <c r="B697" s="88">
        <f>IFERROR(__xludf.DUMMYFUNCTION("""COMPUTED_VALUE"""),119.0)</f>
        <v>119</v>
      </c>
      <c r="C697" s="88" t="str">
        <f>IFERROR(__xludf.DUMMYFUNCTION("""COMPUTED_VALUE"""),"relaksinol_BAD_60caps")</f>
        <v>relaksinol_BAD_60caps</v>
      </c>
      <c r="D697" s="88">
        <f>IFERROR(__xludf.DUMMYFUNCTION("""COMPUTED_VALUE"""),1.629559728E9)</f>
        <v>1629559728</v>
      </c>
      <c r="E697" s="88" t="str">
        <f>IFERROR(__xludf.DUMMYFUNCTION("""COMPUTED_VALUE"""),"Алтея")</f>
        <v>Алтея</v>
      </c>
      <c r="F697" s="88" t="str">
        <f>IFERROR(__xludf.DUMMYFUNCTION("""COMPUTED_VALUE"""),"Магний В6 с лавандой, Алтея, Релаксинол, 60 капсул")</f>
        <v>Магний В6 с лавандой, Алтея, Релаксинол, 60 капсул</v>
      </c>
      <c r="G697" s="88"/>
      <c r="H697" s="88" t="str">
        <f>IFERROR(__xludf.DUMMYFUNCTION("""COMPUTED_VALUE"""),"БАДы")</f>
        <v>БАДы</v>
      </c>
      <c r="I697" s="88" t="str">
        <f>IFERROR(__xludf.DUMMYFUNCTION("""COMPUTED_VALUE"""),"Нервная система")</f>
        <v>Нервная система</v>
      </c>
      <c r="J697" s="245">
        <f>IFERROR(__xludf.DUMMYFUNCTION("""COMPUTED_VALUE"""),34.0)</f>
        <v>34</v>
      </c>
      <c r="K697" s="240">
        <f>IFERROR(__xludf.DUMMYFUNCTION("""COMPUTED_VALUE"""),25211.0)</f>
        <v>25211</v>
      </c>
      <c r="L697" s="243">
        <f>IFERROR(__xludf.DUMMYFUNCTION("""COMPUTED_VALUE"""),0.11607384078378485)</f>
        <v>0.1160738408</v>
      </c>
      <c r="M697" s="88"/>
      <c r="N697" s="88"/>
      <c r="O697" s="88"/>
      <c r="P697" s="88"/>
      <c r="Q697" s="88"/>
      <c r="R697" s="88"/>
      <c r="S697" s="88" t="str">
        <f>IFERROR(__xludf.DUMMYFUNCTION("""COMPUTED_VALUE"""),"Актуально")</f>
        <v>Актуально</v>
      </c>
      <c r="T697" s="88" t="str">
        <f>IFERROR(__xludf.DUMMYFUNCTION("""COMPUTED_VALUE"""),"Даша")</f>
        <v>Даша</v>
      </c>
      <c r="U697" s="88"/>
      <c r="V697" s="88"/>
      <c r="W697" s="88"/>
      <c r="X697" s="88"/>
      <c r="Y697" s="88"/>
      <c r="Z697" s="88"/>
      <c r="AA697" s="88"/>
      <c r="AC697" s="62" t="s">
        <v>2659</v>
      </c>
    </row>
    <row r="698">
      <c r="A698" s="88"/>
      <c r="B698" s="88">
        <f>IFERROR(__xludf.DUMMYFUNCTION("""COMPUTED_VALUE"""),88.0)</f>
        <v>88</v>
      </c>
      <c r="C698" s="88" t="str">
        <f>IFERROR(__xludf.DUMMYFUNCTION("""COMPUTED_VALUE"""),"gidrofilnoe_maslo_150ml")</f>
        <v>gidrofilnoe_maslo_150ml</v>
      </c>
      <c r="D698" s="88">
        <f>IFERROR(__xludf.DUMMYFUNCTION("""COMPUTED_VALUE"""),1.526983919E9)</f>
        <v>1526983919</v>
      </c>
      <c r="E698" s="88" t="str">
        <f>IFERROR(__xludf.DUMMYFUNCTION("""COMPUTED_VALUE"""),"Алтея")</f>
        <v>Алтея</v>
      </c>
      <c r="F698" s="88" t="str">
        <f>IFERROR(__xludf.DUMMYFUNCTION("""COMPUTED_VALUE"""),"Гидрофильное масло для снятия макияжа с лавандой, Алтея , 150 мл")</f>
        <v>Гидрофильное масло для снятия макияжа с лавандой, Алтея , 150 мл</v>
      </c>
      <c r="G698" s="88"/>
      <c r="H698" s="88" t="str">
        <f>IFERROR(__xludf.DUMMYFUNCTION("""COMPUTED_VALUE"""),"Красота")</f>
        <v>Красота</v>
      </c>
      <c r="I698" s="88" t="str">
        <f>IFERROR(__xludf.DUMMYFUNCTION("""COMPUTED_VALUE"""),"Лицо")</f>
        <v>Лицо</v>
      </c>
      <c r="J698" s="245">
        <f>IFERROR(__xludf.DUMMYFUNCTION("""COMPUTED_VALUE"""),40.0)</f>
        <v>40</v>
      </c>
      <c r="K698" s="240">
        <f>IFERROR(__xludf.DUMMYFUNCTION("""COMPUTED_VALUE"""),21410.0)</f>
        <v>21410</v>
      </c>
      <c r="L698" s="243">
        <f>IFERROR(__xludf.DUMMYFUNCTION("""COMPUTED_VALUE"""),0.0)</f>
        <v>0</v>
      </c>
      <c r="M698" s="88"/>
      <c r="N698" s="88"/>
      <c r="O698" s="88"/>
      <c r="P698" s="88"/>
      <c r="Q698" s="88"/>
      <c r="R698" s="88"/>
      <c r="S698" s="88" t="str">
        <f>IFERROR(__xludf.DUMMYFUNCTION("""COMPUTED_VALUE"""),"Актуально")</f>
        <v>Актуально</v>
      </c>
      <c r="T698" s="88" t="str">
        <f>IFERROR(__xludf.DUMMYFUNCTION("""COMPUTED_VALUE"""),"Даша")</f>
        <v>Даша</v>
      </c>
      <c r="U698" s="88"/>
      <c r="V698" s="88"/>
      <c r="W698" s="88"/>
      <c r="X698" s="88"/>
      <c r="Y698" s="88"/>
      <c r="Z698" s="88"/>
      <c r="AA698" s="88"/>
      <c r="AC698" s="62" t="s">
        <v>2659</v>
      </c>
    </row>
    <row r="699">
      <c r="A699" s="88"/>
      <c r="B699" s="88">
        <f>IFERROR(__xludf.DUMMYFUNCTION("""COMPUTED_VALUE"""),9.0)</f>
        <v>9</v>
      </c>
      <c r="C699" s="88" t="str">
        <f>IFERROR(__xludf.DUMMYFUNCTION("""COMPUTED_VALUE"""),"trezor")</f>
        <v>trezor</v>
      </c>
      <c r="D699" s="88">
        <f>IFERROR(__xludf.DUMMYFUNCTION("""COMPUTED_VALUE"""),2.90202723E8)</f>
        <v>290202723</v>
      </c>
      <c r="E699" s="88" t="str">
        <f>IFERROR(__xludf.DUMMYFUNCTION("""COMPUTED_VALUE"""),"CPA")</f>
        <v>CPA</v>
      </c>
      <c r="F699" s="88" t="str">
        <f>IFERROR(__xludf.DUMMYFUNCTION("""COMPUTED_VALUE"""),"От алкогольной зависимости, средство от алкоголизма, Алтея, Трезор, 10 стиков")</f>
        <v>От алкогольной зависимости, средство от алкоголизма, Алтея, Трезор, 10 стиков</v>
      </c>
      <c r="G699" s="88"/>
      <c r="H699" s="88" t="str">
        <f>IFERROR(__xludf.DUMMYFUNCTION("""COMPUTED_VALUE"""),"Парафармацевтика")</f>
        <v>Парафармацевтика</v>
      </c>
      <c r="I699" s="88" t="str">
        <f>IFERROR(__xludf.DUMMYFUNCTION("""COMPUTED_VALUE"""),"Алкоголь и Курение")</f>
        <v>Алкоголь и Курение</v>
      </c>
      <c r="J699" s="245">
        <f>IFERROR(__xludf.DUMMYFUNCTION("""COMPUTED_VALUE"""),102.0)</f>
        <v>102</v>
      </c>
      <c r="K699" s="240">
        <f>IFERROR(__xludf.DUMMYFUNCTION("""COMPUTED_VALUE"""),62187.0)</f>
        <v>62187</v>
      </c>
      <c r="L699" s="243">
        <f>IFERROR(__xludf.DUMMYFUNCTION("""COMPUTED_VALUE"""),0.0)</f>
        <v>0</v>
      </c>
      <c r="M699" s="88"/>
      <c r="N699" s="88"/>
      <c r="O699" s="88"/>
      <c r="P699" s="88"/>
      <c r="Q699" s="88"/>
      <c r="R699" s="88"/>
      <c r="S699" s="88" t="str">
        <f>IFERROR(__xludf.DUMMYFUNCTION("""COMPUTED_VALUE"""),"Актуально")</f>
        <v>Актуально</v>
      </c>
      <c r="T699" s="88" t="str">
        <f>IFERROR(__xludf.DUMMYFUNCTION("""COMPUTED_VALUE"""),"Влад")</f>
        <v>Влад</v>
      </c>
      <c r="U699" s="88"/>
      <c r="V699" s="88"/>
      <c r="W699" s="88"/>
      <c r="X699" s="88"/>
      <c r="Y699" s="88"/>
      <c r="Z699" s="88"/>
      <c r="AA699" s="88"/>
      <c r="AC699" s="62" t="s">
        <v>2659</v>
      </c>
    </row>
    <row r="700">
      <c r="A700" s="88"/>
      <c r="B700" s="88">
        <f>IFERROR(__xludf.DUMMYFUNCTION("""COMPUTED_VALUE"""),34.0)</f>
        <v>34</v>
      </c>
      <c r="C700" s="88" t="str">
        <f>IFERROR(__xludf.DUMMYFUNCTION("""COMPUTED_VALUE"""),"pirantox")</f>
        <v>pirantox</v>
      </c>
      <c r="D700" s="88">
        <f>IFERROR(__xludf.DUMMYFUNCTION("""COMPUTED_VALUE"""),6.69985038E8)</f>
        <v>669985038</v>
      </c>
      <c r="E700" s="88" t="str">
        <f>IFERROR(__xludf.DUMMYFUNCTION("""COMPUTED_VALUE"""),"CPA")</f>
        <v>CPA</v>
      </c>
      <c r="F700" s="88" t="str">
        <f>IFERROR(__xludf.DUMMYFUNCTION("""COMPUTED_VALUE"""),"Антипаразитарный комплекс от глистов, очищение организма от паразитов, детокс, Алтея, Пирантокс, 10 капсул")</f>
        <v>Антипаразитарный комплекс от глистов, очищение организма от паразитов, детокс, Алтея, Пирантокс, 10 капсул</v>
      </c>
      <c r="G700" s="88"/>
      <c r="H700" s="88" t="str">
        <f>IFERROR(__xludf.DUMMYFUNCTION("""COMPUTED_VALUE"""),"Парафармацевтика")</f>
        <v>Парафармацевтика</v>
      </c>
      <c r="I700" s="88" t="str">
        <f>IFERROR(__xludf.DUMMYFUNCTION("""COMPUTED_VALUE"""),"Детокс")</f>
        <v>Детокс</v>
      </c>
      <c r="J700" s="245">
        <f>IFERROR(__xludf.DUMMYFUNCTION("""COMPUTED_VALUE"""),89.0)</f>
        <v>89</v>
      </c>
      <c r="K700" s="240">
        <f>IFERROR(__xludf.DUMMYFUNCTION("""COMPUTED_VALUE"""),58853.0)</f>
        <v>58853</v>
      </c>
      <c r="L700" s="243">
        <f>IFERROR(__xludf.DUMMYFUNCTION("""COMPUTED_VALUE"""),0.0)</f>
        <v>0</v>
      </c>
      <c r="M700" s="88"/>
      <c r="N700" s="88"/>
      <c r="O700" s="88"/>
      <c r="P700" s="88"/>
      <c r="Q700" s="88"/>
      <c r="R700" s="88"/>
      <c r="S700" s="88" t="str">
        <f>IFERROR(__xludf.DUMMYFUNCTION("""COMPUTED_VALUE"""),"Актуально")</f>
        <v>Актуально</v>
      </c>
      <c r="T700" s="88" t="str">
        <f>IFERROR(__xludf.DUMMYFUNCTION("""COMPUTED_VALUE"""),"Влад")</f>
        <v>Влад</v>
      </c>
      <c r="U700" s="88"/>
      <c r="V700" s="88"/>
      <c r="W700" s="88"/>
      <c r="X700" s="88"/>
      <c r="Y700" s="88"/>
      <c r="Z700" s="88"/>
      <c r="AA700" s="88"/>
      <c r="AC700" s="62" t="s">
        <v>2659</v>
      </c>
    </row>
    <row r="701">
      <c r="A701" s="88"/>
      <c r="B701" s="88">
        <f>IFERROR(__xludf.DUMMYFUNCTION("""COMPUTED_VALUE"""),6.0)</f>
        <v>6</v>
      </c>
      <c r="C701" s="88" t="str">
        <f>IFERROR(__xludf.DUMMYFUNCTION("""COMPUTED_VALUE"""),"wbbiotrin")</f>
        <v>wbbiotrin</v>
      </c>
      <c r="D701" s="88">
        <f>IFERROR(__xludf.DUMMYFUNCTION("""COMPUTED_VALUE"""),2.89386465E8)</f>
        <v>289386465</v>
      </c>
      <c r="E701" s="88" t="str">
        <f>IFERROR(__xludf.DUMMYFUNCTION("""COMPUTED_VALUE"""),"CPA")</f>
        <v>CPA</v>
      </c>
      <c r="F701" s="88" t="str">
        <f>IFERROR(__xludf.DUMMYFUNCTION("""COMPUTED_VALUE"""),"Мазь для суставов обезболивающая, панты морала,коллаген, хондротин, глюкозамин, Биотрин, 30 мл")</f>
        <v>Мазь для суставов обезболивающая, панты морала,коллаген, хондротин, глюкозамин, Биотрин, 30 мл</v>
      </c>
      <c r="G701" s="88"/>
      <c r="H701" s="88" t="str">
        <f>IFERROR(__xludf.DUMMYFUNCTION("""COMPUTED_VALUE"""),"Парафармацевтика")</f>
        <v>Парафармацевтика</v>
      </c>
      <c r="I701" s="88" t="str">
        <f>IFERROR(__xludf.DUMMYFUNCTION("""COMPUTED_VALUE"""),"Суставы")</f>
        <v>Суставы</v>
      </c>
      <c r="J701" s="245">
        <f>IFERROR(__xludf.DUMMYFUNCTION("""COMPUTED_VALUE"""),88.0)</f>
        <v>88</v>
      </c>
      <c r="K701" s="240">
        <f>IFERROR(__xludf.DUMMYFUNCTION("""COMPUTED_VALUE"""),56129.0)</f>
        <v>56129</v>
      </c>
      <c r="L701" s="243">
        <f>IFERROR(__xludf.DUMMYFUNCTION("""COMPUTED_VALUE"""),0.0)</f>
        <v>0</v>
      </c>
      <c r="M701" s="88"/>
      <c r="N701" s="88"/>
      <c r="O701" s="88"/>
      <c r="P701" s="88"/>
      <c r="Q701" s="88"/>
      <c r="R701" s="88"/>
      <c r="S701" s="88" t="str">
        <f>IFERROR(__xludf.DUMMYFUNCTION("""COMPUTED_VALUE"""),"Актуально")</f>
        <v>Актуально</v>
      </c>
      <c r="T701" s="88" t="str">
        <f>IFERROR(__xludf.DUMMYFUNCTION("""COMPUTED_VALUE"""),"Влад")</f>
        <v>Влад</v>
      </c>
      <c r="U701" s="88"/>
      <c r="V701" s="88"/>
      <c r="W701" s="88"/>
      <c r="X701" s="88"/>
      <c r="Y701" s="88"/>
      <c r="Z701" s="88"/>
      <c r="AA701" s="88"/>
      <c r="AC701" s="62" t="s">
        <v>2659</v>
      </c>
    </row>
    <row r="702">
      <c r="A702" s="88"/>
      <c r="B702" s="88">
        <f>IFERROR(__xludf.DUMMYFUNCTION("""COMPUTED_VALUE"""),172.0)</f>
        <v>172</v>
      </c>
      <c r="C702" s="88" t="str">
        <f>IFERROR(__xludf.DUMMYFUNCTION("""COMPUTED_VALUE"""),"gel_dlya_britya_300ml")</f>
        <v>gel_dlya_britya_300ml</v>
      </c>
      <c r="D702" s="88">
        <f>IFERROR(__xludf.DUMMYFUNCTION("""COMPUTED_VALUE"""),2.58310045E9)</f>
        <v>2583100450</v>
      </c>
      <c r="E702" s="88" t="str">
        <f>IFERROR(__xludf.DUMMYFUNCTION("""COMPUTED_VALUE"""),"Алтея")</f>
        <v>Алтея</v>
      </c>
      <c r="F702" s="88" t="str">
        <f>IFERROR(__xludf.DUMMYFUNCTION("""COMPUTED_VALUE"""),"Гель для бритья мужской охлаждающий с ментолом Алтея 300 мл")</f>
        <v>Гель для бритья мужской охлаждающий с ментолом Алтея 300 мл</v>
      </c>
      <c r="G702" s="88"/>
      <c r="H702" s="88" t="str">
        <f>IFERROR(__xludf.DUMMYFUNCTION("""COMPUTED_VALUE"""),"Красота")</f>
        <v>Красота</v>
      </c>
      <c r="I702" s="88" t="str">
        <f>IFERROR(__xludf.DUMMYFUNCTION("""COMPUTED_VALUE"""),"Мужское")</f>
        <v>Мужское</v>
      </c>
      <c r="J702" s="245">
        <f>IFERROR(__xludf.DUMMYFUNCTION("""COMPUTED_VALUE"""),36.0)</f>
        <v>36</v>
      </c>
      <c r="K702" s="240">
        <f>IFERROR(__xludf.DUMMYFUNCTION("""COMPUTED_VALUE"""),53499.0)</f>
        <v>53499</v>
      </c>
      <c r="L702" s="243">
        <f>IFERROR(__xludf.DUMMYFUNCTION("""COMPUTED_VALUE"""),0.0)</f>
        <v>0</v>
      </c>
      <c r="M702" s="88"/>
      <c r="N702" s="88"/>
      <c r="O702" s="88"/>
      <c r="P702" s="88"/>
      <c r="Q702" s="88"/>
      <c r="R702" s="88"/>
      <c r="S702" s="88" t="str">
        <f>IFERROR(__xludf.DUMMYFUNCTION("""COMPUTED_VALUE"""),"Актуально")</f>
        <v>Актуально</v>
      </c>
      <c r="T702" s="88" t="str">
        <f>IFERROR(__xludf.DUMMYFUNCTION("""COMPUTED_VALUE"""),"Влад")</f>
        <v>Влад</v>
      </c>
      <c r="U702" s="88"/>
      <c r="V702" s="88"/>
      <c r="W702" s="88"/>
      <c r="X702" s="88"/>
      <c r="Y702" s="88"/>
      <c r="Z702" s="88"/>
      <c r="AA702" s="88"/>
      <c r="AC702" s="62" t="s">
        <v>2659</v>
      </c>
    </row>
    <row r="703">
      <c r="A703" s="88"/>
      <c r="B703" s="88">
        <f>IFERROR(__xludf.DUMMYFUNCTION("""COMPUTED_VALUE"""),132.0)</f>
        <v>132</v>
      </c>
      <c r="C703" s="88" t="str">
        <f>IFERROR(__xludf.DUMMYFUNCTION("""COMPUTED_VALUE"""),"limfaks_BAD_30caps")</f>
        <v>limfaks_BAD_30caps</v>
      </c>
      <c r="D703" s="88">
        <f>IFERROR(__xludf.DUMMYFUNCTION("""COMPUTED_VALUE"""),1.745055145E9)</f>
        <v>1745055145</v>
      </c>
      <c r="E703" s="88" t="str">
        <f>IFERROR(__xludf.DUMMYFUNCTION("""COMPUTED_VALUE"""),"Алтея")</f>
        <v>Алтея</v>
      </c>
      <c r="F703" s="88" t="str">
        <f>IFERROR(__xludf.DUMMYFUNCTION("""COMPUTED_VALUE"""),"Биологически активная добавка к пище: ""Комплекс для здоровья лимфатической системы"" Лимфакс")</f>
        <v>Биологически активная добавка к пище: "Комплекс для здоровья лимфатической системы" Лимфакс</v>
      </c>
      <c r="G703" s="88"/>
      <c r="H703" s="88" t="str">
        <f>IFERROR(__xludf.DUMMYFUNCTION("""COMPUTED_VALUE"""),"БАДы")</f>
        <v>БАДы</v>
      </c>
      <c r="I703" s="88" t="str">
        <f>IFERROR(__xludf.DUMMYFUNCTION("""COMPUTED_VALUE"""),"Детокс")</f>
        <v>Детокс</v>
      </c>
      <c r="J703" s="245">
        <f>IFERROR(__xludf.DUMMYFUNCTION("""COMPUTED_VALUE"""),63.0)</f>
        <v>63</v>
      </c>
      <c r="K703" s="240">
        <f>IFERROR(__xludf.DUMMYFUNCTION("""COMPUTED_VALUE"""),48765.0)</f>
        <v>48765</v>
      </c>
      <c r="L703" s="243">
        <f>IFERROR(__xludf.DUMMYFUNCTION("""COMPUTED_VALUE"""),0.11996271973751665)</f>
        <v>0.1199627197</v>
      </c>
      <c r="M703" s="88"/>
      <c r="N703" s="88"/>
      <c r="O703" s="88"/>
      <c r="P703" s="88"/>
      <c r="Q703" s="88"/>
      <c r="R703" s="88"/>
      <c r="S703" s="88" t="str">
        <f>IFERROR(__xludf.DUMMYFUNCTION("""COMPUTED_VALUE"""),"На вывод")</f>
        <v>На вывод</v>
      </c>
      <c r="T703" s="88" t="str">
        <f>IFERROR(__xludf.DUMMYFUNCTION("""COMPUTED_VALUE"""),"Влад")</f>
        <v>Влад</v>
      </c>
      <c r="U703" s="88"/>
      <c r="V703" s="88"/>
      <c r="W703" s="88"/>
      <c r="X703" s="88"/>
      <c r="Y703" s="88"/>
      <c r="Z703" s="88"/>
      <c r="AA703" s="88"/>
      <c r="AC703" s="62" t="s">
        <v>2659</v>
      </c>
    </row>
    <row r="704">
      <c r="A704" s="88"/>
      <c r="B704" s="88">
        <f>IFERROR(__xludf.DUMMYFUNCTION("""COMPUTED_VALUE"""),13.0)</f>
        <v>13</v>
      </c>
      <c r="C704" s="88" t="str">
        <f>IFERROR(__xludf.DUMMYFUNCTION("""COMPUTED_VALUE"""),"wboptitrin")</f>
        <v>wboptitrin</v>
      </c>
      <c r="D704" s="88">
        <f>IFERROR(__xludf.DUMMYFUNCTION("""COMPUTED_VALUE"""),2.91860206E8)</f>
        <v>291860206</v>
      </c>
      <c r="E704" s="88" t="str">
        <f>IFERROR(__xludf.DUMMYFUNCTION("""COMPUTED_VALUE"""),"CPA")</f>
        <v>CPA</v>
      </c>
      <c r="F704" s="88" t="str">
        <f>IFERROR(__xludf.DUMMYFUNCTION("""COMPUTED_VALUE"""),"Витамины для глаз, лютеин комплекс для зрения, Оптитрин, 7 ампул")</f>
        <v>Витамины для глаз, лютеин комплекс для зрения, Оптитрин, 7 ампул</v>
      </c>
      <c r="G704" s="88"/>
      <c r="H704" s="88" t="str">
        <f>IFERROR(__xludf.DUMMYFUNCTION("""COMPUTED_VALUE"""),"Парафармацевтика")</f>
        <v>Парафармацевтика</v>
      </c>
      <c r="I704" s="88" t="str">
        <f>IFERROR(__xludf.DUMMYFUNCTION("""COMPUTED_VALUE"""),"Здоровье глаз")</f>
        <v>Здоровье глаз</v>
      </c>
      <c r="J704" s="245">
        <f>IFERROR(__xludf.DUMMYFUNCTION("""COMPUTED_VALUE"""),74.0)</f>
        <v>74</v>
      </c>
      <c r="K704" s="240">
        <f>IFERROR(__xludf.DUMMYFUNCTION("""COMPUTED_VALUE"""),46658.0)</f>
        <v>46658</v>
      </c>
      <c r="L704" s="243">
        <f>IFERROR(__xludf.DUMMYFUNCTION("""COMPUTED_VALUE"""),0.0)</f>
        <v>0</v>
      </c>
      <c r="M704" s="88"/>
      <c r="N704" s="88"/>
      <c r="O704" s="88"/>
      <c r="P704" s="88"/>
      <c r="Q704" s="88"/>
      <c r="R704" s="88"/>
      <c r="S704" s="88" t="str">
        <f>IFERROR(__xludf.DUMMYFUNCTION("""COMPUTED_VALUE"""),"Актуально")</f>
        <v>Актуально</v>
      </c>
      <c r="T704" s="88" t="str">
        <f>IFERROR(__xludf.DUMMYFUNCTION("""COMPUTED_VALUE"""),"Влад")</f>
        <v>Влад</v>
      </c>
      <c r="U704" s="88"/>
      <c r="V704" s="88"/>
      <c r="W704" s="88"/>
      <c r="X704" s="88"/>
      <c r="Y704" s="88"/>
      <c r="Z704" s="88"/>
      <c r="AA704" s="88"/>
      <c r="AC704" s="62" t="s">
        <v>2659</v>
      </c>
    </row>
    <row r="705">
      <c r="A705" s="88"/>
      <c r="B705" s="88">
        <f>IFERROR(__xludf.DUMMYFUNCTION("""COMPUTED_VALUE"""),48.0)</f>
        <v>48</v>
      </c>
      <c r="C705" s="88" t="str">
        <f>IFERROR(__xludf.DUMMYFUNCTION("""COMPUTED_VALUE"""),"t34poten10caps")</f>
        <v>t34poten10caps</v>
      </c>
      <c r="D705" s="88">
        <f>IFERROR(__xludf.DUMMYFUNCTION("""COMPUTED_VALUE"""),8.89458318E8)</f>
        <v>889458318</v>
      </c>
      <c r="E705" s="88" t="str">
        <f>IFERROR(__xludf.DUMMYFUNCTION("""COMPUTED_VALUE"""),"CPA")</f>
        <v>CPA</v>
      </c>
      <c r="F705" s="88" t="str">
        <f>IFERROR(__xludf.DUMMYFUNCTION("""COMPUTED_VALUE"""),"Возбудитель для мужчин, таблетки для потенции, капсулы для секса, 18+, Т-34")</f>
        <v>Возбудитель для мужчин, таблетки для потенции, капсулы для секса, 18+, Т-34</v>
      </c>
      <c r="G705" s="88"/>
      <c r="H705" s="88" t="str">
        <f>IFERROR(__xludf.DUMMYFUNCTION("""COMPUTED_VALUE"""),"Парафармацевтика")</f>
        <v>Парафармацевтика</v>
      </c>
      <c r="I705" s="88" t="str">
        <f>IFERROR(__xludf.DUMMYFUNCTION("""COMPUTED_VALUE"""),"Возбудитель")</f>
        <v>Возбудитель</v>
      </c>
      <c r="J705" s="245">
        <f>IFERROR(__xludf.DUMMYFUNCTION("""COMPUTED_VALUE"""),82.0)</f>
        <v>82</v>
      </c>
      <c r="K705" s="240">
        <f>IFERROR(__xludf.DUMMYFUNCTION("""COMPUTED_VALUE"""),46492.0)</f>
        <v>46492</v>
      </c>
      <c r="L705" s="243">
        <f>IFERROR(__xludf.DUMMYFUNCTION("""COMPUTED_VALUE"""),0.0)</f>
        <v>0</v>
      </c>
      <c r="M705" s="88"/>
      <c r="N705" s="88"/>
      <c r="O705" s="88"/>
      <c r="P705" s="88"/>
      <c r="Q705" s="88"/>
      <c r="R705" s="88"/>
      <c r="S705" s="88" t="str">
        <f>IFERROR(__xludf.DUMMYFUNCTION("""COMPUTED_VALUE"""),"На вывод")</f>
        <v>На вывод</v>
      </c>
      <c r="T705" s="88" t="str">
        <f>IFERROR(__xludf.DUMMYFUNCTION("""COMPUTED_VALUE"""),"Влад")</f>
        <v>Влад</v>
      </c>
      <c r="U705" s="88"/>
      <c r="V705" s="88"/>
      <c r="W705" s="88"/>
      <c r="X705" s="88"/>
      <c r="Y705" s="88"/>
      <c r="Z705" s="88"/>
      <c r="AA705" s="88"/>
      <c r="AC705" s="62" t="s">
        <v>2659</v>
      </c>
    </row>
    <row r="706">
      <c r="A706" s="88"/>
      <c r="B706" s="88">
        <f>IFERROR(__xludf.DUMMYFUNCTION("""COMPUTED_VALUE"""),29.0)</f>
        <v>29</v>
      </c>
      <c r="C706" s="88" t="str">
        <f>IFERROR(__xludf.DUMMYFUNCTION("""COMPUTED_VALUE"""),"okucin")</f>
        <v>okucin</v>
      </c>
      <c r="D706" s="88">
        <f>IFERROR(__xludf.DUMMYFUNCTION("""COMPUTED_VALUE"""),3.99457649E8)</f>
        <v>399457649</v>
      </c>
      <c r="E706" s="88" t="str">
        <f>IFERROR(__xludf.DUMMYFUNCTION("""COMPUTED_VALUE"""),"CPA")</f>
        <v>CPA</v>
      </c>
      <c r="F706" s="88" t="str">
        <f>IFERROR(__xludf.DUMMYFUNCTION("""COMPUTED_VALUE"""),"Витамины для глаз и восстановления зрения, лютеин, Окуцин, Алтея, 10 мл")</f>
        <v>Витамины для глаз и восстановления зрения, лютеин, Окуцин, Алтея, 10 мл</v>
      </c>
      <c r="G706" s="88"/>
      <c r="H706" s="88" t="str">
        <f>IFERROR(__xludf.DUMMYFUNCTION("""COMPUTED_VALUE"""),"Парафармацевтика")</f>
        <v>Парафармацевтика</v>
      </c>
      <c r="I706" s="88" t="str">
        <f>IFERROR(__xludf.DUMMYFUNCTION("""COMPUTED_VALUE"""),"Здоровье глаз")</f>
        <v>Здоровье глаз</v>
      </c>
      <c r="J706" s="245">
        <f>IFERROR(__xludf.DUMMYFUNCTION("""COMPUTED_VALUE"""),72.0)</f>
        <v>72</v>
      </c>
      <c r="K706" s="240">
        <f>IFERROR(__xludf.DUMMYFUNCTION("""COMPUTED_VALUE"""),44448.0)</f>
        <v>44448</v>
      </c>
      <c r="L706" s="243">
        <f>IFERROR(__xludf.DUMMYFUNCTION("""COMPUTED_VALUE"""),0.0)</f>
        <v>0</v>
      </c>
      <c r="M706" s="88"/>
      <c r="N706" s="88"/>
      <c r="O706" s="88"/>
      <c r="P706" s="88"/>
      <c r="Q706" s="88"/>
      <c r="R706" s="88"/>
      <c r="S706" s="88" t="str">
        <f>IFERROR(__xludf.DUMMYFUNCTION("""COMPUTED_VALUE"""),"Актуально")</f>
        <v>Актуально</v>
      </c>
      <c r="T706" s="88" t="str">
        <f>IFERROR(__xludf.DUMMYFUNCTION("""COMPUTED_VALUE"""),"Влад")</f>
        <v>Влад</v>
      </c>
      <c r="U706" s="88"/>
      <c r="V706" s="88"/>
      <c r="W706" s="88"/>
      <c r="X706" s="88"/>
      <c r="Y706" s="88"/>
      <c r="Z706" s="88"/>
      <c r="AA706" s="88"/>
      <c r="AC706" s="62" t="s">
        <v>2659</v>
      </c>
    </row>
    <row r="707">
      <c r="A707" s="88"/>
      <c r="B707" s="88">
        <f>IFERROR(__xludf.DUMMYFUNCTION("""COMPUTED_VALUE"""),68.0)</f>
        <v>68</v>
      </c>
      <c r="C707" s="88" t="str">
        <f>IFERROR(__xludf.DUMMYFUNCTION("""COMPUTED_VALUE"""),"biotrin_60ml")</f>
        <v>biotrin_60ml</v>
      </c>
      <c r="D707" s="88">
        <f>IFERROR(__xludf.DUMMYFUNCTION("""COMPUTED_VALUE"""),1.271273685E9)</f>
        <v>1271273685</v>
      </c>
      <c r="E707" s="88" t="str">
        <f>IFERROR(__xludf.DUMMYFUNCTION("""COMPUTED_VALUE"""),"CPA")</f>
        <v>CPA</v>
      </c>
      <c r="F707" s="88" t="str">
        <f>IFERROR(__xludf.DUMMYFUNCTION("""COMPUTED_VALUE"""),"Мазь для суставов обезболивающая, панты морала, хондротин, глюкозамин, Биотрин, 60 мл")</f>
        <v>Мазь для суставов обезболивающая, панты морала, хондротин, глюкозамин, Биотрин, 60 мл</v>
      </c>
      <c r="G707" s="88"/>
      <c r="H707" s="88" t="str">
        <f>IFERROR(__xludf.DUMMYFUNCTION("""COMPUTED_VALUE"""),"Парафармацевтика")</f>
        <v>Парафармацевтика</v>
      </c>
      <c r="I707" s="88" t="str">
        <f>IFERROR(__xludf.DUMMYFUNCTION("""COMPUTED_VALUE"""),"Суставы")</f>
        <v>Суставы</v>
      </c>
      <c r="J707" s="245">
        <f>IFERROR(__xludf.DUMMYFUNCTION("""COMPUTED_VALUE"""),185.0)</f>
        <v>185</v>
      </c>
      <c r="K707" s="240">
        <f>IFERROR(__xludf.DUMMYFUNCTION("""COMPUTED_VALUE"""),41599.0)</f>
        <v>41599</v>
      </c>
      <c r="L707" s="243">
        <f>IFERROR(__xludf.DUMMYFUNCTION("""COMPUTED_VALUE"""),0.6730829897353302)</f>
        <v>0.6730829897</v>
      </c>
      <c r="M707" s="88"/>
      <c r="N707" s="88"/>
      <c r="O707" s="88"/>
      <c r="P707" s="88"/>
      <c r="Q707" s="88"/>
      <c r="R707" s="88"/>
      <c r="S707" s="88" t="str">
        <f>IFERROR(__xludf.DUMMYFUNCTION("""COMPUTED_VALUE"""),"На вывод")</f>
        <v>На вывод</v>
      </c>
      <c r="T707" s="88" t="str">
        <f>IFERROR(__xludf.DUMMYFUNCTION("""COMPUTED_VALUE"""),"Влад")</f>
        <v>Влад</v>
      </c>
      <c r="U707" s="88"/>
      <c r="V707" s="88"/>
      <c r="W707" s="88"/>
      <c r="X707" s="88"/>
      <c r="Y707" s="88"/>
      <c r="Z707" s="88"/>
      <c r="AA707" s="88"/>
      <c r="AC707" s="62" t="s">
        <v>2659</v>
      </c>
    </row>
    <row r="708">
      <c r="A708" s="88"/>
      <c r="B708" s="88">
        <f>IFERROR(__xludf.DUMMYFUNCTION("""COMPUTED_VALUE"""),18.0)</f>
        <v>18</v>
      </c>
      <c r="C708" s="88" t="str">
        <f>IFERROR(__xludf.DUMMYFUNCTION("""COMPUTED_VALUE"""),"adenofrin")</f>
        <v>adenofrin</v>
      </c>
      <c r="D708" s="88">
        <f>IFERROR(__xludf.DUMMYFUNCTION("""COMPUTED_VALUE"""),2.96818197E8)</f>
        <v>296818197</v>
      </c>
      <c r="E708" s="88" t="str">
        <f>IFERROR(__xludf.DUMMYFUNCTION("""COMPUTED_VALUE"""),"CPA")</f>
        <v>CPA</v>
      </c>
      <c r="F708" s="88" t="str">
        <f>IFERROR(__xludf.DUMMYFUNCTION("""COMPUTED_VALUE"""),"Возбудитель для мужчин, для эрекции, для потенции, для секса. 18+ / Аденофрин")</f>
        <v>Возбудитель для мужчин, для эрекции, для потенции, для секса. 18+ / Аденофрин</v>
      </c>
      <c r="G708" s="88"/>
      <c r="H708" s="88" t="str">
        <f>IFERROR(__xludf.DUMMYFUNCTION("""COMPUTED_VALUE"""),"Парафармацевтика")</f>
        <v>Парафармацевтика</v>
      </c>
      <c r="I708" s="88" t="str">
        <f>IFERROR(__xludf.DUMMYFUNCTION("""COMPUTED_VALUE"""),"Простатит")</f>
        <v>Простатит</v>
      </c>
      <c r="J708" s="245">
        <f>IFERROR(__xludf.DUMMYFUNCTION("""COMPUTED_VALUE"""),61.0)</f>
        <v>61</v>
      </c>
      <c r="K708" s="240">
        <f>IFERROR(__xludf.DUMMYFUNCTION("""COMPUTED_VALUE"""),38939.0)</f>
        <v>38939</v>
      </c>
      <c r="L708" s="243">
        <f>IFERROR(__xludf.DUMMYFUNCTION("""COMPUTED_VALUE"""),0.0)</f>
        <v>0</v>
      </c>
      <c r="M708" s="88"/>
      <c r="N708" s="88"/>
      <c r="O708" s="88"/>
      <c r="P708" s="88"/>
      <c r="Q708" s="88"/>
      <c r="R708" s="88"/>
      <c r="S708" s="88" t="str">
        <f>IFERROR(__xludf.DUMMYFUNCTION("""COMPUTED_VALUE"""),"На вывод")</f>
        <v>На вывод</v>
      </c>
      <c r="T708" s="88" t="str">
        <f>IFERROR(__xludf.DUMMYFUNCTION("""COMPUTED_VALUE"""),"Влад")</f>
        <v>Влад</v>
      </c>
      <c r="U708" s="88"/>
      <c r="V708" s="88"/>
      <c r="W708" s="88"/>
      <c r="X708" s="88"/>
      <c r="Y708" s="88"/>
      <c r="Z708" s="88"/>
      <c r="AA708" s="88"/>
      <c r="AC708" s="62" t="s">
        <v>2659</v>
      </c>
    </row>
    <row r="709">
      <c r="A709" s="88"/>
      <c r="B709" s="88">
        <f>IFERROR(__xludf.DUMMYFUNCTION("""COMPUTED_VALUE"""),79.0)</f>
        <v>79</v>
      </c>
      <c r="C709" s="88" t="str">
        <f>IFERROR(__xludf.DUMMYFUNCTION("""COMPUTED_VALUE"""),"dardrakona_75ml")</f>
        <v>dardrakona_75ml</v>
      </c>
      <c r="D709" s="88">
        <f>IFERROR(__xludf.DUMMYFUNCTION("""COMPUTED_VALUE"""),1.350973968E9)</f>
        <v>1350973968</v>
      </c>
      <c r="E709" s="88" t="str">
        <f>IFERROR(__xludf.DUMMYFUNCTION("""COMPUTED_VALUE"""),"CPA")</f>
        <v>CPA</v>
      </c>
      <c r="F709" s="88" t="str">
        <f>IFERROR(__xludf.DUMMYFUNCTION("""COMPUTED_VALUE"""),"Крем от варикоза усталости и отеков ног, Алтея, Дар Дракона, 75 мл")</f>
        <v>Крем от варикоза усталости и отеков ног, Алтея, Дар Дракона, 75 мл</v>
      </c>
      <c r="G709" s="88"/>
      <c r="H709" s="88" t="str">
        <f>IFERROR(__xludf.DUMMYFUNCTION("""COMPUTED_VALUE"""),"Парафармацевтика")</f>
        <v>Парафармацевтика</v>
      </c>
      <c r="I709" s="88" t="str">
        <f>IFERROR(__xludf.DUMMYFUNCTION("""COMPUTED_VALUE"""),"Варикоз")</f>
        <v>Варикоз</v>
      </c>
      <c r="J709" s="245">
        <f>IFERROR(__xludf.DUMMYFUNCTION("""COMPUTED_VALUE"""),32.0)</f>
        <v>32</v>
      </c>
      <c r="K709" s="240">
        <f>IFERROR(__xludf.DUMMYFUNCTION("""COMPUTED_VALUE"""),20664.0)</f>
        <v>20664</v>
      </c>
      <c r="L709" s="243">
        <f>IFERROR(__xludf.DUMMYFUNCTION("""COMPUTED_VALUE"""),0.0)</f>
        <v>0</v>
      </c>
      <c r="M709" s="88"/>
      <c r="N709" s="88"/>
      <c r="O709" s="88"/>
      <c r="P709" s="88"/>
      <c r="Q709" s="88"/>
      <c r="R709" s="88"/>
      <c r="S709" s="88" t="str">
        <f>IFERROR(__xludf.DUMMYFUNCTION("""COMPUTED_VALUE"""),"Актуально")</f>
        <v>Актуально</v>
      </c>
      <c r="T709" s="88" t="str">
        <f>IFERROR(__xludf.DUMMYFUNCTION("""COMPUTED_VALUE"""),"Даша")</f>
        <v>Даша</v>
      </c>
      <c r="U709" s="88"/>
      <c r="V709" s="88"/>
      <c r="W709" s="88"/>
      <c r="X709" s="88"/>
      <c r="Y709" s="88"/>
      <c r="Z709" s="88"/>
      <c r="AA709" s="88"/>
      <c r="AC709" s="62" t="s">
        <v>2659</v>
      </c>
    </row>
    <row r="710">
      <c r="A710" s="88"/>
      <c r="B710" s="88">
        <f>IFERROR(__xludf.DUMMYFUNCTION("""COMPUTED_VALUE"""),150.0)</f>
        <v>150</v>
      </c>
      <c r="C710" s="88" t="str">
        <f>IFERROR(__xludf.DUMMYFUNCTION("""COMPUTED_VALUE"""),"sinergel_30ml_1_1")</f>
        <v>sinergel_30ml_1_1</v>
      </c>
      <c r="D710" s="88">
        <f>IFERROR(__xludf.DUMMYFUNCTION("""COMPUTED_VALUE"""),1.851902167E9)</f>
        <v>1851902167</v>
      </c>
      <c r="E710" s="88" t="str">
        <f>IFERROR(__xludf.DUMMYFUNCTION("""COMPUTED_VALUE"""),"CPA")</f>
        <v>CPA</v>
      </c>
      <c r="F710" s="88" t="str">
        <f>IFERROR(__xludf.DUMMYFUNCTION("""COMPUTED_VALUE"""),"Мазь для суставов обезболивающая с глюкозамин Алтея, Синергель, 30 мл х 2")</f>
        <v>Мазь для суставов обезболивающая с глюкозамин Алтея, Синергель, 30 мл х 2</v>
      </c>
      <c r="G710" s="88"/>
      <c r="H710" s="88" t="str">
        <f>IFERROR(__xludf.DUMMYFUNCTION("""COMPUTED_VALUE"""),"Парафармацевтика")</f>
        <v>Парафармацевтика</v>
      </c>
      <c r="I710" s="88" t="str">
        <f>IFERROR(__xludf.DUMMYFUNCTION("""COMPUTED_VALUE"""),"Суставы")</f>
        <v>Суставы</v>
      </c>
      <c r="J710" s="245">
        <f>IFERROR(__xludf.DUMMYFUNCTION("""COMPUTED_VALUE"""),33.0)</f>
        <v>33</v>
      </c>
      <c r="K710" s="240">
        <f>IFERROR(__xludf.DUMMYFUNCTION("""COMPUTED_VALUE"""),38771.0)</f>
        <v>38771</v>
      </c>
      <c r="L710" s="243">
        <f>IFERROR(__xludf.DUMMYFUNCTION("""COMPUTED_VALUE"""),0.0)</f>
        <v>0</v>
      </c>
      <c r="M710" s="88"/>
      <c r="N710" s="88"/>
      <c r="O710" s="88"/>
      <c r="P710" s="88"/>
      <c r="Q710" s="88"/>
      <c r="R710" s="88"/>
      <c r="S710" s="88" t="str">
        <f>IFERROR(__xludf.DUMMYFUNCTION("""COMPUTED_VALUE"""),"Актуально")</f>
        <v>Актуально</v>
      </c>
      <c r="T710" s="88" t="str">
        <f>IFERROR(__xludf.DUMMYFUNCTION("""COMPUTED_VALUE"""),"Влад")</f>
        <v>Влад</v>
      </c>
      <c r="U710" s="88"/>
      <c r="V710" s="88"/>
      <c r="W710" s="88"/>
      <c r="X710" s="88"/>
      <c r="Y710" s="88"/>
      <c r="Z710" s="88"/>
      <c r="AA710" s="88"/>
      <c r="AC710" s="62" t="s">
        <v>2659</v>
      </c>
    </row>
    <row r="711">
      <c r="A711" s="88"/>
      <c r="B711" s="88">
        <f>IFERROR(__xludf.DUMMYFUNCTION("""COMPUTED_VALUE"""),57.0)</f>
        <v>57</v>
      </c>
      <c r="C711" s="88" t="str">
        <f>IFERROR(__xludf.DUMMYFUNCTION("""COMPUTED_VALUE"""),"wbbiotrin_1_1")</f>
        <v>wbbiotrin_1_1</v>
      </c>
      <c r="D711" s="88">
        <f>IFERROR(__xludf.DUMMYFUNCTION("""COMPUTED_VALUE"""),1.15456532E9)</f>
        <v>1154565320</v>
      </c>
      <c r="E711" s="88" t="str">
        <f>IFERROR(__xludf.DUMMYFUNCTION("""COMPUTED_VALUE"""),"CPA")</f>
        <v>CPA</v>
      </c>
      <c r="F711" s="88" t="str">
        <f>IFERROR(__xludf.DUMMYFUNCTION("""COMPUTED_VALUE"""),"Мазь для суставов обезболивающая, панты морала,коллаген, хондротин, глюкозамин, Биотрин, 2 шт")</f>
        <v>Мазь для суставов обезболивающая, панты морала,коллаген, хондротин, глюкозамин, Биотрин, 2 шт</v>
      </c>
      <c r="G711" s="88"/>
      <c r="H711" s="88" t="str">
        <f>IFERROR(__xludf.DUMMYFUNCTION("""COMPUTED_VALUE"""),"Парафармацевтика")</f>
        <v>Парафармацевтика</v>
      </c>
      <c r="I711" s="88" t="str">
        <f>IFERROR(__xludf.DUMMYFUNCTION("""COMPUTED_VALUE"""),"Суставы")</f>
        <v>Суставы</v>
      </c>
      <c r="J711" s="245">
        <f>IFERROR(__xludf.DUMMYFUNCTION("""COMPUTED_VALUE"""),37.0)</f>
        <v>37</v>
      </c>
      <c r="K711" s="240">
        <f>IFERROR(__xludf.DUMMYFUNCTION("""COMPUTED_VALUE"""),38601.0)</f>
        <v>38601</v>
      </c>
      <c r="L711" s="243">
        <f>IFERROR(__xludf.DUMMYFUNCTION("""COMPUTED_VALUE"""),0.0)</f>
        <v>0</v>
      </c>
      <c r="M711" s="88"/>
      <c r="N711" s="88"/>
      <c r="O711" s="88"/>
      <c r="P711" s="88"/>
      <c r="Q711" s="88"/>
      <c r="R711" s="88"/>
      <c r="S711" s="88" t="str">
        <f>IFERROR(__xludf.DUMMYFUNCTION("""COMPUTED_VALUE"""),"Актуально")</f>
        <v>Актуально</v>
      </c>
      <c r="T711" s="88" t="str">
        <f>IFERROR(__xludf.DUMMYFUNCTION("""COMPUTED_VALUE"""),"Влад")</f>
        <v>Влад</v>
      </c>
      <c r="U711" s="88"/>
      <c r="V711" s="88"/>
      <c r="W711" s="88"/>
      <c r="X711" s="88"/>
      <c r="Y711" s="88"/>
      <c r="Z711" s="88"/>
      <c r="AA711" s="88"/>
      <c r="AC711" s="62" t="s">
        <v>2659</v>
      </c>
    </row>
    <row r="712">
      <c r="A712" s="88"/>
      <c r="B712" s="88">
        <f>IFERROR(__xludf.DUMMYFUNCTION("""COMPUTED_VALUE"""),1.0)</f>
        <v>1</v>
      </c>
      <c r="C712" s="88" t="str">
        <f>IFERROR(__xludf.DUMMYFUNCTION("""COMPUTED_VALUE"""),"wbgetsizegel")</f>
        <v>wbgetsizegel</v>
      </c>
      <c r="D712" s="88">
        <f>IFERROR(__xludf.DUMMYFUNCTION("""COMPUTED_VALUE"""),2.88346567E8)</f>
        <v>288346567</v>
      </c>
      <c r="E712" s="88" t="str">
        <f>IFERROR(__xludf.DUMMYFUNCTION("""COMPUTED_VALUE"""),"CPA")</f>
        <v>CPA</v>
      </c>
      <c r="F712" s="88" t="str">
        <f>IFERROR(__xludf.DUMMYFUNCTION("""COMPUTED_VALUE"""),"Возбуждающая смазка лубрикант для увеличения члена на водной основе съедобная, Алтея, Getsize, 30 мл")</f>
        <v>Возбуждающая смазка лубрикант для увеличения члена на водной основе съедобная, Алтея, Getsize, 30 мл</v>
      </c>
      <c r="G712" s="88"/>
      <c r="H712" s="88" t="str">
        <f>IFERROR(__xludf.DUMMYFUNCTION("""COMPUTED_VALUE"""),"18+")</f>
        <v>18+</v>
      </c>
      <c r="I712" s="88" t="str">
        <f>IFERROR(__xludf.DUMMYFUNCTION("""COMPUTED_VALUE"""),"Смазка")</f>
        <v>Смазка</v>
      </c>
      <c r="J712" s="245">
        <f>IFERROR(__xludf.DUMMYFUNCTION("""COMPUTED_VALUE"""),63.0)</f>
        <v>63</v>
      </c>
      <c r="K712" s="240">
        <f>IFERROR(__xludf.DUMMYFUNCTION("""COMPUTED_VALUE"""),33520.0)</f>
        <v>33520</v>
      </c>
      <c r="L712" s="243">
        <f>IFERROR(__xludf.DUMMYFUNCTION("""COMPUTED_VALUE"""),0.0)</f>
        <v>0</v>
      </c>
      <c r="M712" s="88"/>
      <c r="N712" s="88"/>
      <c r="O712" s="88"/>
      <c r="P712" s="88"/>
      <c r="Q712" s="88"/>
      <c r="R712" s="88"/>
      <c r="S712" s="88" t="str">
        <f>IFERROR(__xludf.DUMMYFUNCTION("""COMPUTED_VALUE"""),"Актуально")</f>
        <v>Актуально</v>
      </c>
      <c r="T712" s="88" t="str">
        <f>IFERROR(__xludf.DUMMYFUNCTION("""COMPUTED_VALUE"""),"Влад")</f>
        <v>Влад</v>
      </c>
      <c r="U712" s="88"/>
      <c r="V712" s="88"/>
      <c r="W712" s="88"/>
      <c r="X712" s="88"/>
      <c r="Y712" s="88"/>
      <c r="Z712" s="88"/>
      <c r="AA712" s="88"/>
      <c r="AC712" s="62" t="s">
        <v>2659</v>
      </c>
    </row>
    <row r="713">
      <c r="A713" s="88"/>
      <c r="B713" s="88">
        <f>IFERROR(__xludf.DUMMYFUNCTION("""COMPUTED_VALUE"""),23.0)</f>
        <v>23</v>
      </c>
      <c r="C713" s="88" t="str">
        <f>IFERROR(__xludf.DUMMYFUNCTION("""COMPUTED_VALUE"""),"wbvizox")</f>
        <v>wbvizox</v>
      </c>
      <c r="D713" s="88">
        <f>IFERROR(__xludf.DUMMYFUNCTION("""COMPUTED_VALUE"""),3.27231771E8)</f>
        <v>327231771</v>
      </c>
      <c r="E713" s="88" t="str">
        <f>IFERROR(__xludf.DUMMYFUNCTION("""COMPUTED_VALUE"""),"CPA")</f>
        <v>CPA</v>
      </c>
      <c r="F713" s="88" t="str">
        <f>IFERROR(__xludf.DUMMYFUNCTION("""COMPUTED_VALUE"""),"Витамины для глаз, комплекс для зрения с лютеином и черникой Алтея, Визокс, Vizox, 10 мл")</f>
        <v>Витамины для глаз, комплекс для зрения с лютеином и черникой Алтея, Визокс, Vizox, 10 мл</v>
      </c>
      <c r="G713" s="88"/>
      <c r="H713" s="88" t="str">
        <f>IFERROR(__xludf.DUMMYFUNCTION("""COMPUTED_VALUE"""),"Парафармацевтика")</f>
        <v>Парафармацевтика</v>
      </c>
      <c r="I713" s="88" t="str">
        <f>IFERROR(__xludf.DUMMYFUNCTION("""COMPUTED_VALUE"""),"Здоровье глаз")</f>
        <v>Здоровье глаз</v>
      </c>
      <c r="J713" s="245">
        <f>IFERROR(__xludf.DUMMYFUNCTION("""COMPUTED_VALUE"""),61.0)</f>
        <v>61</v>
      </c>
      <c r="K713" s="240">
        <f>IFERROR(__xludf.DUMMYFUNCTION("""COMPUTED_VALUE"""),31687.0)</f>
        <v>31687</v>
      </c>
      <c r="L713" s="243">
        <f>IFERROR(__xludf.DUMMYFUNCTION("""COMPUTED_VALUE"""),0.0)</f>
        <v>0</v>
      </c>
      <c r="M713" s="88"/>
      <c r="N713" s="88"/>
      <c r="O713" s="88"/>
      <c r="P713" s="88"/>
      <c r="Q713" s="88"/>
      <c r="R713" s="88"/>
      <c r="S713" s="88" t="str">
        <f>IFERROR(__xludf.DUMMYFUNCTION("""COMPUTED_VALUE"""),"Актуально")</f>
        <v>Актуально</v>
      </c>
      <c r="T713" s="88" t="str">
        <f>IFERROR(__xludf.DUMMYFUNCTION("""COMPUTED_VALUE"""),"Влад")</f>
        <v>Влад</v>
      </c>
      <c r="U713" s="88"/>
      <c r="V713" s="88"/>
      <c r="W713" s="88"/>
      <c r="X713" s="88"/>
      <c r="Y713" s="88"/>
      <c r="Z713" s="88"/>
      <c r="AA713" s="88"/>
      <c r="AC713" s="62" t="s">
        <v>2659</v>
      </c>
    </row>
    <row r="714">
      <c r="A714" s="88"/>
      <c r="B714" s="88">
        <f>IFERROR(__xludf.DUMMYFUNCTION("""COMPUTED_VALUE"""),14.0)</f>
        <v>14</v>
      </c>
      <c r="C714" s="88" t="str">
        <f>IFERROR(__xludf.DUMMYFUNCTION("""COMPUTED_VALUE"""),"wbalkotoxic")</f>
        <v>wbalkotoxic</v>
      </c>
      <c r="D714" s="88">
        <f>IFERROR(__xludf.DUMMYFUNCTION("""COMPUTED_VALUE"""),2.99140637E8)</f>
        <v>299140637</v>
      </c>
      <c r="E714" s="88" t="str">
        <f>IFERROR(__xludf.DUMMYFUNCTION("""COMPUTED_VALUE"""),"CPA")</f>
        <v>CPA</v>
      </c>
      <c r="F714" s="88" t="str">
        <f>IFERROR(__xludf.DUMMYFUNCTION("""COMPUTED_VALUE"""),"Капли от алкогольной зависимости, от алкоголизма от запоя, Alkotoxic, 10 мл")</f>
        <v>Капли от алкогольной зависимости, от алкоголизма от запоя, Alkotoxic, 10 мл</v>
      </c>
      <c r="G714" s="88"/>
      <c r="H714" s="88" t="str">
        <f>IFERROR(__xludf.DUMMYFUNCTION("""COMPUTED_VALUE"""),"Парафармацевтика")</f>
        <v>Парафармацевтика</v>
      </c>
      <c r="I714" s="88" t="str">
        <f>IFERROR(__xludf.DUMMYFUNCTION("""COMPUTED_VALUE"""),"Алкоголь и Курение")</f>
        <v>Алкоголь и Курение</v>
      </c>
      <c r="J714" s="245">
        <f>IFERROR(__xludf.DUMMYFUNCTION("""COMPUTED_VALUE"""),58.0)</f>
        <v>58</v>
      </c>
      <c r="K714" s="240">
        <f>IFERROR(__xludf.DUMMYFUNCTION("""COMPUTED_VALUE"""),30994.0)</f>
        <v>30994</v>
      </c>
      <c r="L714" s="243">
        <f>IFERROR(__xludf.DUMMYFUNCTION("""COMPUTED_VALUE"""),0.0)</f>
        <v>0</v>
      </c>
      <c r="M714" s="88"/>
      <c r="N714" s="88"/>
      <c r="O714" s="88"/>
      <c r="P714" s="88"/>
      <c r="Q714" s="88"/>
      <c r="R714" s="88"/>
      <c r="S714" s="88" t="str">
        <f>IFERROR(__xludf.DUMMYFUNCTION("""COMPUTED_VALUE"""),"Актуально")</f>
        <v>Актуально</v>
      </c>
      <c r="T714" s="88" t="str">
        <f>IFERROR(__xludf.DUMMYFUNCTION("""COMPUTED_VALUE"""),"Влад")</f>
        <v>Влад</v>
      </c>
      <c r="U714" s="88"/>
      <c r="V714" s="88"/>
      <c r="W714" s="88"/>
      <c r="X714" s="88"/>
      <c r="Y714" s="88"/>
      <c r="Z714" s="88"/>
      <c r="AA714" s="88"/>
      <c r="AC714" s="62" t="s">
        <v>2659</v>
      </c>
    </row>
    <row r="715">
      <c r="A715" s="88"/>
      <c r="B715" s="88">
        <f>IFERROR(__xludf.DUMMYFUNCTION("""COMPUTED_VALUE"""),32.0)</f>
        <v>32</v>
      </c>
      <c r="C715" s="88" t="str">
        <f>IFERROR(__xludf.DUMMYFUNCTION("""COMPUTED_VALUE"""),"chudofrukt")</f>
        <v>chudofrukt</v>
      </c>
      <c r="D715" s="88">
        <f>IFERROR(__xludf.DUMMYFUNCTION("""COMPUTED_VALUE"""),6.36852972E8)</f>
        <v>636852972</v>
      </c>
      <c r="E715" s="88" t="str">
        <f>IFERROR(__xludf.DUMMYFUNCTION("""COMPUTED_VALUE"""),"CPA")</f>
        <v>CPA</v>
      </c>
      <c r="F715" s="88" t="str">
        <f>IFERROR(__xludf.DUMMYFUNCTION("""COMPUTED_VALUE"""),"Шипучие таблетки для похудения, детокс, жиросжигатель, Алтея, Чудо фрукт, 10 таблеток")</f>
        <v>Шипучие таблетки для похудения, детокс, жиросжигатель, Алтея, Чудо фрукт, 10 таблеток</v>
      </c>
      <c r="G715" s="88"/>
      <c r="H715" s="88" t="str">
        <f>IFERROR(__xludf.DUMMYFUNCTION("""COMPUTED_VALUE"""),"Парафармацевтика")</f>
        <v>Парафармацевтика</v>
      </c>
      <c r="I715" s="88" t="str">
        <f>IFERROR(__xludf.DUMMYFUNCTION("""COMPUTED_VALUE"""),"Детокс")</f>
        <v>Детокс</v>
      </c>
      <c r="J715" s="245">
        <f>IFERROR(__xludf.DUMMYFUNCTION("""COMPUTED_VALUE"""),54.0)</f>
        <v>54</v>
      </c>
      <c r="K715" s="240">
        <f>IFERROR(__xludf.DUMMYFUNCTION("""COMPUTED_VALUE"""),25939.0)</f>
        <v>25939</v>
      </c>
      <c r="L715" s="243">
        <f>IFERROR(__xludf.DUMMYFUNCTION("""COMPUTED_VALUE"""),0.0)</f>
        <v>0</v>
      </c>
      <c r="M715" s="88"/>
      <c r="N715" s="88"/>
      <c r="O715" s="88"/>
      <c r="P715" s="88"/>
      <c r="Q715" s="88"/>
      <c r="R715" s="88"/>
      <c r="S715" s="88" t="str">
        <f>IFERROR(__xludf.DUMMYFUNCTION("""COMPUTED_VALUE"""),"Актуально")</f>
        <v>Актуально</v>
      </c>
      <c r="T715" s="88" t="str">
        <f>IFERROR(__xludf.DUMMYFUNCTION("""COMPUTED_VALUE"""),"Влад")</f>
        <v>Влад</v>
      </c>
      <c r="U715" s="88"/>
      <c r="V715" s="88"/>
      <c r="W715" s="88"/>
      <c r="X715" s="88"/>
      <c r="Y715" s="88"/>
      <c r="Z715" s="88"/>
      <c r="AA715" s="88"/>
      <c r="AC715" s="62" t="s">
        <v>2659</v>
      </c>
    </row>
    <row r="716">
      <c r="A716" s="88"/>
      <c r="B716" s="88">
        <f>IFERROR(__xludf.DUMMYFUNCTION("""COMPUTED_VALUE"""),15.0)</f>
        <v>15</v>
      </c>
      <c r="C716" s="88" t="str">
        <f>IFERROR(__xludf.DUMMYFUNCTION("""COMPUTED_VALUE"""),"fruitalica")</f>
        <v>fruitalica</v>
      </c>
      <c r="D716" s="88">
        <f>IFERROR(__xludf.DUMMYFUNCTION("""COMPUTED_VALUE"""),3.01630774E8)</f>
        <v>301630774</v>
      </c>
      <c r="E716" s="88" t="str">
        <f>IFERROR(__xludf.DUMMYFUNCTION("""COMPUTED_VALUE"""),"Алтея")</f>
        <v>Алтея</v>
      </c>
      <c r="F716" s="88" t="str">
        <f>IFERROR(__xludf.DUMMYFUNCTION("""COMPUTED_VALUE"""),"Таблетки для похудения, жиросжигатель, детокс Алтея, Фруталика, 10 капсул")</f>
        <v>Таблетки для похудения, жиросжигатель, детокс Алтея, Фруталика, 10 капсул</v>
      </c>
      <c r="G716" s="88"/>
      <c r="H716" s="88" t="str">
        <f>IFERROR(__xludf.DUMMYFUNCTION("""COMPUTED_VALUE"""),"БАДы")</f>
        <v>БАДы</v>
      </c>
      <c r="I716" s="88" t="str">
        <f>IFERROR(__xludf.DUMMYFUNCTION("""COMPUTED_VALUE"""),"Похудение")</f>
        <v>Похудение</v>
      </c>
      <c r="J716" s="245">
        <f>IFERROR(__xludf.DUMMYFUNCTION("""COMPUTED_VALUE"""),55.0)</f>
        <v>55</v>
      </c>
      <c r="K716" s="240">
        <f>IFERROR(__xludf.DUMMYFUNCTION("""COMPUTED_VALUE"""),24676.0)</f>
        <v>24676</v>
      </c>
      <c r="L716" s="243">
        <f>IFERROR(__xludf.DUMMYFUNCTION("""COMPUTED_VALUE"""),0.0)</f>
        <v>0</v>
      </c>
      <c r="M716" s="88"/>
      <c r="N716" s="88"/>
      <c r="O716" s="88"/>
      <c r="P716" s="88"/>
      <c r="Q716" s="88"/>
      <c r="R716" s="88"/>
      <c r="S716" s="88" t="str">
        <f>IFERROR(__xludf.DUMMYFUNCTION("""COMPUTED_VALUE"""),"Актуально")</f>
        <v>Актуально</v>
      </c>
      <c r="T716" s="88" t="str">
        <f>IFERROR(__xludf.DUMMYFUNCTION("""COMPUTED_VALUE"""),"Влад")</f>
        <v>Влад</v>
      </c>
      <c r="U716" s="88"/>
      <c r="V716" s="88"/>
      <c r="W716" s="88"/>
      <c r="X716" s="88"/>
      <c r="Y716" s="88"/>
      <c r="Z716" s="88"/>
      <c r="AA716" s="88"/>
      <c r="AC716" s="62" t="s">
        <v>2659</v>
      </c>
    </row>
    <row r="717">
      <c r="A717" s="88"/>
      <c r="B717" s="88">
        <f>IFERROR(__xludf.DUMMYFUNCTION("""COMPUTED_VALUE"""),24.0)</f>
        <v>24</v>
      </c>
      <c r="C717" s="88" t="str">
        <f>IFERROR(__xludf.DUMMYFUNCTION("""COMPUTED_VALUE"""),"papiderm")</f>
        <v>papiderm</v>
      </c>
      <c r="D717" s="88">
        <f>IFERROR(__xludf.DUMMYFUNCTION("""COMPUTED_VALUE"""),3.27232798E8)</f>
        <v>327232798</v>
      </c>
      <c r="E717" s="88" t="str">
        <f>IFERROR(__xludf.DUMMYFUNCTION("""COMPUTED_VALUE"""),"CPA")</f>
        <v>CPA</v>
      </c>
      <c r="F717" s="88" t="str">
        <f>IFERROR(__xludf.DUMMYFUNCTION("""COMPUTED_VALUE"""),"Средство от бородавок, удаление папиллом, Алтея, Папидерм, 11 мл")</f>
        <v>Средство от бородавок, удаление папиллом, Алтея, Папидерм, 11 мл</v>
      </c>
      <c r="G717" s="88"/>
      <c r="H717" s="88" t="str">
        <f>IFERROR(__xludf.DUMMYFUNCTION("""COMPUTED_VALUE"""),"Парафармацевтика")</f>
        <v>Парафармацевтика</v>
      </c>
      <c r="I717" s="88" t="str">
        <f>IFERROR(__xludf.DUMMYFUNCTION("""COMPUTED_VALUE"""),"Папиломы")</f>
        <v>Папиломы</v>
      </c>
      <c r="J717" s="245">
        <f>IFERROR(__xludf.DUMMYFUNCTION("""COMPUTED_VALUE"""),36.0)</f>
        <v>36</v>
      </c>
      <c r="K717" s="240">
        <f>IFERROR(__xludf.DUMMYFUNCTION("""COMPUTED_VALUE"""),19717.0)</f>
        <v>19717</v>
      </c>
      <c r="L717" s="243">
        <f>IFERROR(__xludf.DUMMYFUNCTION("""COMPUTED_VALUE"""),0.0)</f>
        <v>0</v>
      </c>
      <c r="M717" s="88"/>
      <c r="N717" s="88"/>
      <c r="O717" s="88"/>
      <c r="P717" s="88"/>
      <c r="Q717" s="88"/>
      <c r="R717" s="88"/>
      <c r="S717" s="88" t="str">
        <f>IFERROR(__xludf.DUMMYFUNCTION("""COMPUTED_VALUE"""),"Под вопросом")</f>
        <v>Под вопросом</v>
      </c>
      <c r="T717" s="88" t="str">
        <f>IFERROR(__xludf.DUMMYFUNCTION("""COMPUTED_VALUE"""),"Влад")</f>
        <v>Влад</v>
      </c>
      <c r="U717" s="88"/>
      <c r="V717" s="88"/>
      <c r="W717" s="88"/>
      <c r="X717" s="88"/>
      <c r="Y717" s="88"/>
      <c r="Z717" s="88"/>
      <c r="AA717" s="88"/>
      <c r="AC717" s="62" t="s">
        <v>2659</v>
      </c>
    </row>
    <row r="718">
      <c r="A718" s="88"/>
      <c r="B718" s="88">
        <f>IFERROR(__xludf.DUMMYFUNCTION("""COMPUTED_VALUE"""),10.0)</f>
        <v>10</v>
      </c>
      <c r="C718" s="88" t="str">
        <f>IFERROR(__xludf.DUMMYFUNCTION("""COMPUTED_VALUE"""),"wbneomaxblue")</f>
        <v>wbneomaxblue</v>
      </c>
      <c r="D718" s="88">
        <f>IFERROR(__xludf.DUMMYFUNCTION("""COMPUTED_VALUE"""),2.95356614E8)</f>
        <v>295356614</v>
      </c>
      <c r="E718" s="88" t="str">
        <f>IFERROR(__xludf.DUMMYFUNCTION("""COMPUTED_VALUE"""),"CPA")</f>
        <v>CPA</v>
      </c>
      <c r="F718" s="88" t="str">
        <f>IFERROR(__xludf.DUMMYFUNCTION("""COMPUTED_VALUE"""),"Таблетки для мужчин для секса, возбудитель, средство для потенции и эрекции, витамины для мужчины, Neomax blue, Неомаксблу, 10 штук")</f>
        <v>Таблетки для мужчин для секса, возбудитель, средство для потенции и эрекции, витамины для мужчины, Neomax blue, Неомаксблу, 10 штук</v>
      </c>
      <c r="G718" s="88"/>
      <c r="H718" s="88" t="str">
        <f>IFERROR(__xludf.DUMMYFUNCTION("""COMPUTED_VALUE"""),"Парафармацевтика")</f>
        <v>Парафармацевтика</v>
      </c>
      <c r="I718" s="88" t="str">
        <f>IFERROR(__xludf.DUMMYFUNCTION("""COMPUTED_VALUE"""),"Возбудитель")</f>
        <v>Возбудитель</v>
      </c>
      <c r="J718" s="245">
        <f>IFERROR(__xludf.DUMMYFUNCTION("""COMPUTED_VALUE"""),50.0)</f>
        <v>50</v>
      </c>
      <c r="K718" s="240">
        <f>IFERROR(__xludf.DUMMYFUNCTION("""COMPUTED_VALUE"""),19036.0)</f>
        <v>19036</v>
      </c>
      <c r="L718" s="243">
        <f>IFERROR(__xludf.DUMMYFUNCTION("""COMPUTED_VALUE"""),0.0)</f>
        <v>0</v>
      </c>
      <c r="M718" s="88"/>
      <c r="N718" s="88"/>
      <c r="O718" s="88"/>
      <c r="P718" s="88"/>
      <c r="Q718" s="88"/>
      <c r="R718" s="88"/>
      <c r="S718" s="88" t="str">
        <f>IFERROR(__xludf.DUMMYFUNCTION("""COMPUTED_VALUE"""),"Актуально")</f>
        <v>Актуально</v>
      </c>
      <c r="T718" s="88" t="str">
        <f>IFERROR(__xludf.DUMMYFUNCTION("""COMPUTED_VALUE"""),"Влад")</f>
        <v>Влад</v>
      </c>
      <c r="U718" s="88"/>
      <c r="V718" s="88"/>
      <c r="W718" s="88"/>
      <c r="X718" s="88"/>
      <c r="Y718" s="88"/>
      <c r="Z718" s="88"/>
      <c r="AA718" s="88"/>
      <c r="AC718" s="62" t="s">
        <v>2659</v>
      </c>
    </row>
    <row r="719">
      <c r="A719" s="88"/>
      <c r="B719" s="88">
        <f>IFERROR(__xludf.DUMMYFUNCTION("""COMPUTED_VALUE"""),96.0)</f>
        <v>96</v>
      </c>
      <c r="C719" s="88" t="str">
        <f>IFERROR(__xludf.DUMMYFUNCTION("""COMPUTED_VALUE"""),"urolgan")</f>
        <v>urolgan</v>
      </c>
      <c r="D719" s="88">
        <f>IFERROR(__xludf.DUMMYFUNCTION("""COMPUTED_VALUE"""),1.541839778E9)</f>
        <v>1541839778</v>
      </c>
      <c r="E719" s="88" t="str">
        <f>IFERROR(__xludf.DUMMYFUNCTION("""COMPUTED_VALUE"""),"CPA")</f>
        <v>CPA</v>
      </c>
      <c r="F719" s="88" t="str">
        <f>IFERROR(__xludf.DUMMYFUNCTION("""COMPUTED_VALUE"""),"Средство от простатита для потенции Уролган")</f>
        <v>Средство от простатита для потенции Уролган</v>
      </c>
      <c r="G719" s="88"/>
      <c r="H719" s="88" t="str">
        <f>IFERROR(__xludf.DUMMYFUNCTION("""COMPUTED_VALUE"""),"Парафармацевтика")</f>
        <v>Парафармацевтика</v>
      </c>
      <c r="I719" s="88" t="str">
        <f>IFERROR(__xludf.DUMMYFUNCTION("""COMPUTED_VALUE"""),"Простатит")</f>
        <v>Простатит</v>
      </c>
      <c r="J719" s="245">
        <f>IFERROR(__xludf.DUMMYFUNCTION("""COMPUTED_VALUE"""),34.0)</f>
        <v>34</v>
      </c>
      <c r="K719" s="240">
        <f>IFERROR(__xludf.DUMMYFUNCTION("""COMPUTED_VALUE"""),18975.0)</f>
        <v>18975</v>
      </c>
      <c r="L719" s="243">
        <f>IFERROR(__xludf.DUMMYFUNCTION("""COMPUTED_VALUE"""),0.0)</f>
        <v>0</v>
      </c>
      <c r="M719" s="88"/>
      <c r="N719" s="88"/>
      <c r="O719" s="88"/>
      <c r="P719" s="88"/>
      <c r="Q719" s="88"/>
      <c r="R719" s="88"/>
      <c r="S719" s="88" t="str">
        <f>IFERROR(__xludf.DUMMYFUNCTION("""COMPUTED_VALUE"""),"Актуально")</f>
        <v>Актуально</v>
      </c>
      <c r="T719" s="88" t="str">
        <f>IFERROR(__xludf.DUMMYFUNCTION("""COMPUTED_VALUE"""),"Влад")</f>
        <v>Влад</v>
      </c>
      <c r="U719" s="88"/>
      <c r="V719" s="88"/>
      <c r="W719" s="88"/>
      <c r="X719" s="88"/>
      <c r="Y719" s="88"/>
      <c r="Z719" s="88"/>
      <c r="AA719" s="88"/>
      <c r="AC719" s="62" t="s">
        <v>2659</v>
      </c>
    </row>
    <row r="720">
      <c r="A720" s="88"/>
      <c r="B720" s="88">
        <f>IFERROR(__xludf.DUMMYFUNCTION("""COMPUTED_VALUE"""),11.0)</f>
        <v>11</v>
      </c>
      <c r="C720" s="88" t="str">
        <f>IFERROR(__xludf.DUMMYFUNCTION("""COMPUTED_VALUE"""),"wbneomax")</f>
        <v>wbneomax</v>
      </c>
      <c r="D720" s="88">
        <f>IFERROR(__xludf.DUMMYFUNCTION("""COMPUTED_VALUE"""),2.91910198E8)</f>
        <v>291910198</v>
      </c>
      <c r="E720" s="88" t="str">
        <f>IFERROR(__xludf.DUMMYFUNCTION("""COMPUTED_VALUE"""),"CPA")</f>
        <v>CPA</v>
      </c>
      <c r="F720" s="88" t="str">
        <f>IFERROR(__xludf.DUMMYFUNCTION("""COMPUTED_VALUE"""),"Таблетки для мужчин для секса, возбудитель, средство для потенции и эрекции, витамины для мужчины, Neomax, Неомакс, 13 штук")</f>
        <v>Таблетки для мужчин для секса, возбудитель, средство для потенции и эрекции, витамины для мужчины, Neomax, Неомакс, 13 штук</v>
      </c>
      <c r="G720" s="88"/>
      <c r="H720" s="88" t="str">
        <f>IFERROR(__xludf.DUMMYFUNCTION("""COMPUTED_VALUE"""),"Парафармацевтика")</f>
        <v>Парафармацевтика</v>
      </c>
      <c r="I720" s="88" t="str">
        <f>IFERROR(__xludf.DUMMYFUNCTION("""COMPUTED_VALUE"""),"Возбудитель")</f>
        <v>Возбудитель</v>
      </c>
      <c r="J720" s="245">
        <f>IFERROR(__xludf.DUMMYFUNCTION("""COMPUTED_VALUE"""),36.0)</f>
        <v>36</v>
      </c>
      <c r="K720" s="240">
        <f>IFERROR(__xludf.DUMMYFUNCTION("""COMPUTED_VALUE"""),18517.0)</f>
        <v>18517</v>
      </c>
      <c r="L720" s="243">
        <f>IFERROR(__xludf.DUMMYFUNCTION("""COMPUTED_VALUE"""),0.0)</f>
        <v>0</v>
      </c>
      <c r="M720" s="88"/>
      <c r="N720" s="88"/>
      <c r="O720" s="88"/>
      <c r="P720" s="88"/>
      <c r="Q720" s="88"/>
      <c r="R720" s="88"/>
      <c r="S720" s="88" t="str">
        <f>IFERROR(__xludf.DUMMYFUNCTION("""COMPUTED_VALUE"""),"Актуально")</f>
        <v>Актуально</v>
      </c>
      <c r="T720" s="88" t="str">
        <f>IFERROR(__xludf.DUMMYFUNCTION("""COMPUTED_VALUE"""),"Влад")</f>
        <v>Влад</v>
      </c>
      <c r="U720" s="88"/>
      <c r="V720" s="88"/>
      <c r="W720" s="88"/>
      <c r="X720" s="88"/>
      <c r="Y720" s="88"/>
      <c r="Z720" s="88"/>
      <c r="AA720" s="88"/>
      <c r="AC720" s="62" t="s">
        <v>2659</v>
      </c>
    </row>
    <row r="721">
      <c r="A721" s="88"/>
      <c r="B721" s="88">
        <f>IFERROR(__xludf.DUMMYFUNCTION("""COMPUTED_VALUE"""),101.0)</f>
        <v>101</v>
      </c>
      <c r="C721" s="88" t="str">
        <f>IFERROR(__xludf.DUMMYFUNCTION("""COMPUTED_VALUE"""),"frutalika_BAD_60caps")</f>
        <v>frutalika_BAD_60caps</v>
      </c>
      <c r="D721" s="88">
        <f>IFERROR(__xludf.DUMMYFUNCTION("""COMPUTED_VALUE"""),1.548063119E9)</f>
        <v>1548063119</v>
      </c>
      <c r="E721" s="88" t="str">
        <f>IFERROR(__xludf.DUMMYFUNCTION("""COMPUTED_VALUE"""),"Алтея")</f>
        <v>Алтея</v>
      </c>
      <c r="F721" s="88" t="str">
        <f>IFERROR(__xludf.DUMMYFUNCTION("""COMPUTED_VALUE"""),"Пиколинат хрома для похудения, детокс, жиросжигатель, Алтея, Фруталика, 60 капсул")</f>
        <v>Пиколинат хрома для похудения, детокс, жиросжигатель, Алтея, Фруталика, 60 капсул</v>
      </c>
      <c r="G721" s="88"/>
      <c r="H721" s="88" t="str">
        <f>IFERROR(__xludf.DUMMYFUNCTION("""COMPUTED_VALUE"""),"БАДы")</f>
        <v>БАДы</v>
      </c>
      <c r="I721" s="88" t="str">
        <f>IFERROR(__xludf.DUMMYFUNCTION("""COMPUTED_VALUE"""),"Похудение")</f>
        <v>Похудение</v>
      </c>
      <c r="J721" s="245">
        <f>IFERROR(__xludf.DUMMYFUNCTION("""COMPUTED_VALUE"""),23.0)</f>
        <v>23</v>
      </c>
      <c r="K721" s="240">
        <f>IFERROR(__xludf.DUMMYFUNCTION("""COMPUTED_VALUE"""),15377.0)</f>
        <v>15377</v>
      </c>
      <c r="L721" s="243">
        <f>IFERROR(__xludf.DUMMYFUNCTION("""COMPUTED_VALUE"""),0.0)</f>
        <v>0</v>
      </c>
      <c r="M721" s="88"/>
      <c r="N721" s="88"/>
      <c r="O721" s="88"/>
      <c r="P721" s="88"/>
      <c r="Q721" s="88"/>
      <c r="R721" s="88"/>
      <c r="S721" s="88" t="str">
        <f>IFERROR(__xludf.DUMMYFUNCTION("""COMPUTED_VALUE"""),"Актуально")</f>
        <v>Актуально</v>
      </c>
      <c r="T721" s="88" t="str">
        <f>IFERROR(__xludf.DUMMYFUNCTION("""COMPUTED_VALUE"""),"Влад")</f>
        <v>Влад</v>
      </c>
      <c r="U721" s="88"/>
      <c r="V721" s="88"/>
      <c r="W721" s="88"/>
      <c r="X721" s="88"/>
      <c r="Y721" s="88"/>
      <c r="Z721" s="88"/>
      <c r="AA721" s="88"/>
      <c r="AC721" s="62" t="s">
        <v>2659</v>
      </c>
    </row>
    <row r="722">
      <c r="A722" s="88"/>
      <c r="B722" s="88">
        <f>IFERROR(__xludf.DUMMYFUNCTION("""COMPUTED_VALUE"""),51.0)</f>
        <v>51</v>
      </c>
      <c r="C722" s="88" t="str">
        <f>IFERROR(__xludf.DUMMYFUNCTION("""COMPUTED_VALUE"""),"chudofrukt_BAD_60caps")</f>
        <v>chudofrukt_BAD_60caps</v>
      </c>
      <c r="D722" s="88">
        <f>IFERROR(__xludf.DUMMYFUNCTION("""COMPUTED_VALUE"""),1.08225213E9)</f>
        <v>1082252130</v>
      </c>
      <c r="E722" s="88" t="str">
        <f>IFERROR(__xludf.DUMMYFUNCTION("""COMPUTED_VALUE"""),"Алтея")</f>
        <v>Алтея</v>
      </c>
      <c r="F722" s="88" t="str">
        <f>IFERROR(__xludf.DUMMYFUNCTION("""COMPUTED_VALUE"""),"Таблетки для похудения, жиросжигатель детокс для снижения веса, Алтея, Чудофрукт, 60 капсул")</f>
        <v>Таблетки для похудения, жиросжигатель детокс для снижения веса, Алтея, Чудофрукт, 60 капсул</v>
      </c>
      <c r="G722" s="88"/>
      <c r="H722" s="88" t="str">
        <f>IFERROR(__xludf.DUMMYFUNCTION("""COMPUTED_VALUE"""),"БАДы")</f>
        <v>БАДы</v>
      </c>
      <c r="I722" s="88" t="str">
        <f>IFERROR(__xludf.DUMMYFUNCTION("""COMPUTED_VALUE"""),"Похудение")</f>
        <v>Похудение</v>
      </c>
      <c r="J722" s="245">
        <f>IFERROR(__xludf.DUMMYFUNCTION("""COMPUTED_VALUE"""),22.0)</f>
        <v>22</v>
      </c>
      <c r="K722" s="240">
        <f>IFERROR(__xludf.DUMMYFUNCTION("""COMPUTED_VALUE"""),10610.0)</f>
        <v>10610</v>
      </c>
      <c r="L722" s="243">
        <f>IFERROR(__xludf.DUMMYFUNCTION("""COMPUTED_VALUE"""),0.0)</f>
        <v>0</v>
      </c>
      <c r="M722" s="88"/>
      <c r="N722" s="88"/>
      <c r="O722" s="88"/>
      <c r="P722" s="88"/>
      <c r="Q722" s="88"/>
      <c r="R722" s="88"/>
      <c r="S722" s="88" t="str">
        <f>IFERROR(__xludf.DUMMYFUNCTION("""COMPUTED_VALUE"""),"Актуально")</f>
        <v>Актуально</v>
      </c>
      <c r="T722" s="88" t="str">
        <f>IFERROR(__xludf.DUMMYFUNCTION("""COMPUTED_VALUE"""),"Влад")</f>
        <v>Влад</v>
      </c>
      <c r="U722" s="88"/>
      <c r="V722" s="88"/>
      <c r="W722" s="88"/>
      <c r="X722" s="88"/>
      <c r="Y722" s="88"/>
      <c r="Z722" s="88"/>
      <c r="AA722" s="88"/>
      <c r="AC722" s="62" t="s">
        <v>2659</v>
      </c>
    </row>
    <row r="723">
      <c r="A723" s="88"/>
      <c r="B723" s="88">
        <f>IFERROR(__xludf.DUMMYFUNCTION("""COMPUTED_VALUE"""),8.0)</f>
        <v>8</v>
      </c>
      <c r="C723" s="88" t="str">
        <f>IFERROR(__xludf.DUMMYFUNCTION("""COMPUTED_VALUE"""),"dolgar")</f>
        <v>dolgar</v>
      </c>
      <c r="D723" s="88">
        <f>IFERROR(__xludf.DUMMYFUNCTION("""COMPUTED_VALUE"""),2.90413438E8)</f>
        <v>290413438</v>
      </c>
      <c r="E723" s="88" t="str">
        <f>IFERROR(__xludf.DUMMYFUNCTION("""COMPUTED_VALUE"""),"CPA")</f>
        <v>CPA</v>
      </c>
      <c r="F723" s="88" t="str">
        <f>IFERROR(__xludf.DUMMYFUNCTION("""COMPUTED_VALUE"""),"Мазь от грибка ногтей на ногах, противогрибковое средство с коллоидным серебром, Алтея, Долгар, 15 мл")</f>
        <v>Мазь от грибка ногтей на ногах, противогрибковое средство с коллоидным серебром, Алтея, Долгар, 15 мл</v>
      </c>
      <c r="G723" s="88"/>
      <c r="H723" s="88" t="str">
        <f>IFERROR(__xludf.DUMMYFUNCTION("""COMPUTED_VALUE"""),"Парафармацевтика")</f>
        <v>Парафармацевтика</v>
      </c>
      <c r="I723" s="88" t="str">
        <f>IFERROR(__xludf.DUMMYFUNCTION("""COMPUTED_VALUE"""),"Грибок")</f>
        <v>Грибок</v>
      </c>
      <c r="J723" s="245">
        <f>IFERROR(__xludf.DUMMYFUNCTION("""COMPUTED_VALUE"""),31.0)</f>
        <v>31</v>
      </c>
      <c r="K723" s="240">
        <f>IFERROR(__xludf.DUMMYFUNCTION("""COMPUTED_VALUE"""),19733.0)</f>
        <v>19733</v>
      </c>
      <c r="L723" s="243">
        <f>IFERROR(__xludf.DUMMYFUNCTION("""COMPUTED_VALUE"""),0.0)</f>
        <v>0</v>
      </c>
      <c r="M723" s="88"/>
      <c r="N723" s="88"/>
      <c r="O723" s="88"/>
      <c r="P723" s="88"/>
      <c r="Q723" s="88"/>
      <c r="R723" s="88"/>
      <c r="S723" s="88" t="str">
        <f>IFERROR(__xludf.DUMMYFUNCTION("""COMPUTED_VALUE"""),"Актуально")</f>
        <v>Актуально</v>
      </c>
      <c r="T723" s="88" t="str">
        <f>IFERROR(__xludf.DUMMYFUNCTION("""COMPUTED_VALUE"""),"Даша")</f>
        <v>Даша</v>
      </c>
      <c r="U723" s="88"/>
      <c r="V723" s="88"/>
      <c r="W723" s="88"/>
      <c r="X723" s="88"/>
      <c r="Y723" s="88"/>
      <c r="Z723" s="88"/>
      <c r="AA723" s="88"/>
      <c r="AC723" s="62" t="s">
        <v>2659</v>
      </c>
    </row>
    <row r="724">
      <c r="A724" s="88"/>
      <c r="B724" s="88">
        <f>IFERROR(__xludf.DUMMYFUNCTION("""COMPUTED_VALUE"""),141.0)</f>
        <v>141</v>
      </c>
      <c r="C724" s="88" t="str">
        <f>IFERROR(__xludf.DUMMYFUNCTION("""COMPUTED_VALUE"""),"gel_parfum_tabacco_vanille_450ml")</f>
        <v>gel_parfum_tabacco_vanille_450ml</v>
      </c>
      <c r="D724" s="88">
        <f>IFERROR(__xludf.DUMMYFUNCTION("""COMPUTED_VALUE"""),1.793172927E9)</f>
        <v>1793172927</v>
      </c>
      <c r="E724" s="88" t="str">
        <f>IFERROR(__xludf.DUMMYFUNCTION("""COMPUTED_VALUE"""),"Алтея")</f>
        <v>Алтея</v>
      </c>
      <c r="F724" s="88" t="str">
        <f>IFERROR(__xludf.DUMMYFUNCTION("""COMPUTED_VALUE"""),"Гель для душа женский парфюмированный Tobacco Vanille, Алтея, 450 мл")</f>
        <v>Гель для душа женский парфюмированный Tobacco Vanille, Алтея, 450 мл</v>
      </c>
      <c r="G724" s="88"/>
      <c r="H724" s="88" t="str">
        <f>IFERROR(__xludf.DUMMYFUNCTION("""COMPUTED_VALUE"""),"Красота")</f>
        <v>Красота</v>
      </c>
      <c r="I724" s="88" t="str">
        <f>IFERROR(__xludf.DUMMYFUNCTION("""COMPUTED_VALUE"""),"Тело")</f>
        <v>Тело</v>
      </c>
      <c r="J724" s="245">
        <f>IFERROR(__xludf.DUMMYFUNCTION("""COMPUTED_VALUE"""),33.0)</f>
        <v>33</v>
      </c>
      <c r="K724" s="240">
        <f>IFERROR(__xludf.DUMMYFUNCTION("""COMPUTED_VALUE"""),19694.0)</f>
        <v>19694</v>
      </c>
      <c r="L724" s="243">
        <f>IFERROR(__xludf.DUMMYFUNCTION("""COMPUTED_VALUE"""),0.18900774774042856)</f>
        <v>0.1890077477</v>
      </c>
      <c r="M724" s="88"/>
      <c r="N724" s="88"/>
      <c r="O724" s="88"/>
      <c r="P724" s="88"/>
      <c r="Q724" s="88"/>
      <c r="R724" s="88"/>
      <c r="S724" s="88" t="str">
        <f>IFERROR(__xludf.DUMMYFUNCTION("""COMPUTED_VALUE"""),"Актуально")</f>
        <v>Актуально</v>
      </c>
      <c r="T724" s="88" t="str">
        <f>IFERROR(__xludf.DUMMYFUNCTION("""COMPUTED_VALUE"""),"Даша")</f>
        <v>Даша</v>
      </c>
      <c r="U724" s="88"/>
      <c r="V724" s="88"/>
      <c r="W724" s="88"/>
      <c r="X724" s="88"/>
      <c r="Y724" s="88"/>
      <c r="Z724" s="88"/>
      <c r="AA724" s="88"/>
      <c r="AC724" s="62" t="s">
        <v>2659</v>
      </c>
    </row>
    <row r="725">
      <c r="A725" s="88"/>
      <c r="B725" s="88">
        <f>IFERROR(__xludf.DUMMYFUNCTION("""COMPUTED_VALUE"""),27.0)</f>
        <v>27</v>
      </c>
      <c r="C725" s="88" t="str">
        <f>IFERROR(__xludf.DUMMYFUNCTION("""COMPUTED_VALUE"""),"dardrakona")</f>
        <v>dardrakona</v>
      </c>
      <c r="D725" s="88">
        <f>IFERROR(__xludf.DUMMYFUNCTION("""COMPUTED_VALUE"""),3.59068917E8)</f>
        <v>359068917</v>
      </c>
      <c r="E725" s="88" t="str">
        <f>IFERROR(__xludf.DUMMYFUNCTION("""COMPUTED_VALUE"""),"CPA")</f>
        <v>CPA</v>
      </c>
      <c r="F725" s="88" t="str">
        <f>IFERROR(__xludf.DUMMYFUNCTION("""COMPUTED_VALUE"""),"Крем от варикоза усталости и отеков ног, Алтея, Дар Дракона, 30 мл")</f>
        <v>Крем от варикоза усталости и отеков ног, Алтея, Дар Дракона, 30 мл</v>
      </c>
      <c r="G725" s="88"/>
      <c r="H725" s="88" t="str">
        <f>IFERROR(__xludf.DUMMYFUNCTION("""COMPUTED_VALUE"""),"Парафармацевтика")</f>
        <v>Парафармацевтика</v>
      </c>
      <c r="I725" s="88" t="str">
        <f>IFERROR(__xludf.DUMMYFUNCTION("""COMPUTED_VALUE"""),"Варикоз")</f>
        <v>Варикоз</v>
      </c>
      <c r="J725" s="245">
        <f>IFERROR(__xludf.DUMMYFUNCTION("""COMPUTED_VALUE"""),17.0)</f>
        <v>17</v>
      </c>
      <c r="K725" s="240">
        <f>IFERROR(__xludf.DUMMYFUNCTION("""COMPUTED_VALUE"""),10745.0)</f>
        <v>10745</v>
      </c>
      <c r="L725" s="243">
        <f>IFERROR(__xludf.DUMMYFUNCTION("""COMPUTED_VALUE"""),0.0)</f>
        <v>0</v>
      </c>
      <c r="M725" s="88"/>
      <c r="N725" s="88"/>
      <c r="O725" s="88"/>
      <c r="P725" s="88"/>
      <c r="Q725" s="88"/>
      <c r="R725" s="88"/>
      <c r="S725" s="88" t="str">
        <f>IFERROR(__xludf.DUMMYFUNCTION("""COMPUTED_VALUE"""),"Актуально")</f>
        <v>Актуально</v>
      </c>
      <c r="T725" s="88" t="str">
        <f>IFERROR(__xludf.DUMMYFUNCTION("""COMPUTED_VALUE"""),"Даша")</f>
        <v>Даша</v>
      </c>
      <c r="U725" s="88"/>
      <c r="V725" s="88"/>
      <c r="W725" s="88"/>
      <c r="X725" s="88"/>
      <c r="Y725" s="88"/>
      <c r="Z725" s="88"/>
      <c r="AA725" s="88"/>
      <c r="AC725" s="62" t="s">
        <v>2659</v>
      </c>
    </row>
    <row r="726">
      <c r="A726" s="88"/>
      <c r="B726" s="88"/>
      <c r="C726" s="88" t="str">
        <f>IFERROR(__xludf.DUMMYFUNCTION("""COMPUTED_VALUE"""),"retinait_krem_01_50ml")</f>
        <v>retinait_krem_01_50ml</v>
      </c>
      <c r="D726" s="88">
        <f>IFERROR(__xludf.DUMMYFUNCTION("""COMPUTED_VALUE"""),3.043803801E9)</f>
        <v>3043803801</v>
      </c>
      <c r="E726" s="88" t="str">
        <f>IFERROR(__xludf.DUMMYFUNCTION("""COMPUTED_VALUE"""),"Алтея")</f>
        <v>Алтея</v>
      </c>
      <c r="F726" s="88" t="str">
        <f>IFERROR(__xludf.DUMMYFUNCTION("""COMPUTED_VALUE"""),"Крем для лица с ретинолом и церамидами 50 мл Ретинайт")</f>
        <v>Крем для лица с ретинолом и церамидами 50 мл Ретинайт</v>
      </c>
      <c r="G726" s="88"/>
      <c r="H726" s="88" t="str">
        <f>IFERROR(__xludf.DUMMYFUNCTION("""COMPUTED_VALUE"""),"Красота")</f>
        <v>Красота</v>
      </c>
      <c r="I726" s="88" t="str">
        <f>IFERROR(__xludf.DUMMYFUNCTION("""COMPUTED_VALUE"""),"Ретинол")</f>
        <v>Ретинол</v>
      </c>
      <c r="J726" s="245">
        <f>IFERROR(__xludf.DUMMYFUNCTION("""COMPUTED_VALUE"""),0.0)</f>
        <v>0</v>
      </c>
      <c r="K726" s="240">
        <f>IFERROR(__xludf.DUMMYFUNCTION("""COMPUTED_VALUE"""),0.0)</f>
        <v>0</v>
      </c>
      <c r="L726" s="243" t="str">
        <f>IFERROR(__xludf.DUMMYFUNCTION("""COMPUTED_VALUE"""),"#DIV/0!")</f>
        <v>#DIV/0!</v>
      </c>
      <c r="M726" s="88"/>
      <c r="N726" s="88"/>
      <c r="O726" s="88"/>
      <c r="P726" s="88"/>
      <c r="Q726" s="88"/>
      <c r="R726" s="88"/>
      <c r="S726" s="88" t="str">
        <f>IFERROR(__xludf.DUMMYFUNCTION("""COMPUTED_VALUE"""),"Новинка")</f>
        <v>Новинка</v>
      </c>
      <c r="T726" s="88" t="str">
        <f>IFERROR(__xludf.DUMMYFUNCTION("""COMPUTED_VALUE"""),"Даша")</f>
        <v>Даша</v>
      </c>
      <c r="U726" s="88"/>
      <c r="V726" s="88"/>
      <c r="W726" s="88"/>
      <c r="X726" s="88"/>
      <c r="Y726" s="88"/>
      <c r="Z726" s="88"/>
      <c r="AA726" s="88"/>
      <c r="AC726" s="62" t="s">
        <v>2659</v>
      </c>
    </row>
    <row r="727">
      <c r="A727" s="88"/>
      <c r="B727" s="88">
        <f>IFERROR(__xludf.DUMMYFUNCTION("""COMPUTED_VALUE"""),142.0)</f>
        <v>142</v>
      </c>
      <c r="C727" s="88" t="str">
        <f>IFERROR(__xludf.DUMMYFUNCTION("""COMPUTED_VALUE"""),"alteya_young_skin_box")</f>
        <v>alteya_young_skin_box</v>
      </c>
      <c r="D727" s="88">
        <f>IFERROR(__xludf.DUMMYFUNCTION("""COMPUTED_VALUE"""),1.805976932E9)</f>
        <v>1805976932</v>
      </c>
      <c r="E727" s="88" t="str">
        <f>IFERROR(__xludf.DUMMYFUNCTION("""COMPUTED_VALUE"""),"Алтея")</f>
        <v>Алтея</v>
      </c>
      <c r="F727" s="88" t="str">
        <f>IFERROR(__xludf.DUMMYFUNCTION("""COMPUTED_VALUE"""),"Подарочный набор для женщин. Набор для лица уходовый косметический бьюти Young Skin Box Алтея")</f>
        <v>Подарочный набор для женщин. Набор для лица уходовый косметический бьюти Young Skin Box Алтея</v>
      </c>
      <c r="G727" s="88"/>
      <c r="H727" s="88" t="str">
        <f>IFERROR(__xludf.DUMMYFUNCTION("""COMPUTED_VALUE"""),"Красота")</f>
        <v>Красота</v>
      </c>
      <c r="I727" s="88" t="str">
        <f>IFERROR(__xludf.DUMMYFUNCTION("""COMPUTED_VALUE"""),"Наборы")</f>
        <v>Наборы</v>
      </c>
      <c r="J727" s="245">
        <f>IFERROR(__xludf.DUMMYFUNCTION("""COMPUTED_VALUE"""),0.0)</f>
        <v>0</v>
      </c>
      <c r="K727" s="240">
        <f>IFERROR(__xludf.DUMMYFUNCTION("""COMPUTED_VALUE"""),0.0)</f>
        <v>0</v>
      </c>
      <c r="L727" s="243" t="str">
        <f>IFERROR(__xludf.DUMMYFUNCTION("""COMPUTED_VALUE"""),"#DIV/0!")</f>
        <v>#DIV/0!</v>
      </c>
      <c r="M727" s="88"/>
      <c r="N727" s="88"/>
      <c r="O727" s="88"/>
      <c r="P727" s="88"/>
      <c r="Q727" s="88"/>
      <c r="R727" s="88"/>
      <c r="S727" s="88" t="str">
        <f>IFERROR(__xludf.DUMMYFUNCTION("""COMPUTED_VALUE"""),"На вывод")</f>
        <v>На вывод</v>
      </c>
      <c r="T727" s="88" t="str">
        <f>IFERROR(__xludf.DUMMYFUNCTION("""COMPUTED_VALUE"""),"Даша")</f>
        <v>Даша</v>
      </c>
      <c r="U727" s="88"/>
      <c r="V727" s="88"/>
      <c r="W727" s="88"/>
      <c r="X727" s="88"/>
      <c r="Y727" s="88"/>
      <c r="Z727" s="88"/>
      <c r="AA727" s="88"/>
      <c r="AC727" s="62" t="s">
        <v>2659</v>
      </c>
    </row>
    <row r="728">
      <c r="A728" s="88"/>
      <c r="B728" s="88">
        <f>IFERROR(__xludf.DUMMYFUNCTION("""COMPUTED_VALUE"""),103.0)</f>
        <v>103</v>
      </c>
      <c r="C728" s="88" t="str">
        <f>IFERROR(__xludf.DUMMYFUNCTION("""COMPUTED_VALUE"""),"krem-filler_15ml")</f>
        <v>krem-filler_15ml</v>
      </c>
      <c r="D728" s="88">
        <f>IFERROR(__xludf.DUMMYFUNCTION("""COMPUTED_VALUE"""),1.548065919E9)</f>
        <v>1548065919</v>
      </c>
      <c r="E728" s="88" t="str">
        <f>IFERROR(__xludf.DUMMYFUNCTION("""COMPUTED_VALUE"""),"Алтея")</f>
        <v>Алтея</v>
      </c>
      <c r="F728" s="88" t="str">
        <f>IFERROR(__xludf.DUMMYFUNCTION("""COMPUTED_VALUE"""),"Крем для лица антивозрастной, Крем филлер вокруг глаз, с коллагеном с ниацинамидом, Алтея, 15 мл")</f>
        <v>Крем для лица антивозрастной, Крем филлер вокруг глаз, с коллагеном с ниацинамидом, Алтея, 15 мл</v>
      </c>
      <c r="G728" s="88"/>
      <c r="H728" s="88" t="str">
        <f>IFERROR(__xludf.DUMMYFUNCTION("""COMPUTED_VALUE"""),"Красота")</f>
        <v>Красота</v>
      </c>
      <c r="I728" s="88" t="str">
        <f>IFERROR(__xludf.DUMMYFUNCTION("""COMPUTED_VALUE"""),"Лицо")</f>
        <v>Лицо</v>
      </c>
      <c r="J728" s="245">
        <f>IFERROR(__xludf.DUMMYFUNCTION("""COMPUTED_VALUE"""),0.0)</f>
        <v>0</v>
      </c>
      <c r="K728" s="240">
        <f>IFERROR(__xludf.DUMMYFUNCTION("""COMPUTED_VALUE"""),0.0)</f>
        <v>0</v>
      </c>
      <c r="L728" s="243" t="str">
        <f>IFERROR(__xludf.DUMMYFUNCTION("""COMPUTED_VALUE"""),"#DIV/0!")</f>
        <v>#DIV/0!</v>
      </c>
      <c r="M728" s="88"/>
      <c r="N728" s="88"/>
      <c r="O728" s="88"/>
      <c r="P728" s="88"/>
      <c r="Q728" s="88"/>
      <c r="R728" s="88"/>
      <c r="S728" s="88" t="str">
        <f>IFERROR(__xludf.DUMMYFUNCTION("""COMPUTED_VALUE"""),"Актуально")</f>
        <v>Актуально</v>
      </c>
      <c r="T728" s="88" t="str">
        <f>IFERROR(__xludf.DUMMYFUNCTION("""COMPUTED_VALUE"""),"Даша")</f>
        <v>Даша</v>
      </c>
      <c r="U728" s="88"/>
      <c r="V728" s="88"/>
      <c r="W728" s="88"/>
      <c r="X728" s="88"/>
      <c r="Y728" s="88"/>
      <c r="Z728" s="88"/>
      <c r="AA728" s="88"/>
      <c r="AC728" s="62" t="s">
        <v>2659</v>
      </c>
    </row>
    <row r="729">
      <c r="A729" s="88"/>
      <c r="B729" s="88">
        <f>IFERROR(__xludf.DUMMYFUNCTION("""COMPUTED_VALUE"""),185.0)</f>
        <v>185</v>
      </c>
      <c r="C729" s="88" t="str">
        <f>IFERROR(__xludf.DUMMYFUNCTION("""COMPUTED_VALUE"""),"vosk_stik_15ml")</f>
        <v>vosk_stik_15ml</v>
      </c>
      <c r="D729" s="88">
        <f>IFERROR(__xludf.DUMMYFUNCTION("""COMPUTED_VALUE"""),2.860142614E9)</f>
        <v>2860142614</v>
      </c>
      <c r="E729" s="88" t="str">
        <f>IFERROR(__xludf.DUMMYFUNCTION("""COMPUTED_VALUE"""),"Алтея")</f>
        <v>Алтея</v>
      </c>
      <c r="F729" s="88" t="str">
        <f>IFERROR(__xludf.DUMMYFUNCTION("""COMPUTED_VALUE"""),"Воск стик для укладки и фиксации волос")</f>
        <v>Воск стик для укладки и фиксации волос</v>
      </c>
      <c r="G729" s="88"/>
      <c r="H729" s="88" t="str">
        <f>IFERROR(__xludf.DUMMYFUNCTION("""COMPUTED_VALUE"""),"Красота")</f>
        <v>Красота</v>
      </c>
      <c r="I729" s="88" t="str">
        <f>IFERROR(__xludf.DUMMYFUNCTION("""COMPUTED_VALUE"""),"Волосы")</f>
        <v>Волосы</v>
      </c>
      <c r="J729" s="245">
        <f>IFERROR(__xludf.DUMMYFUNCTION("""COMPUTED_VALUE"""),0.0)</f>
        <v>0</v>
      </c>
      <c r="K729" s="240">
        <f>IFERROR(__xludf.DUMMYFUNCTION("""COMPUTED_VALUE"""),0.0)</f>
        <v>0</v>
      </c>
      <c r="L729" s="243" t="str">
        <f>IFERROR(__xludf.DUMMYFUNCTION("""COMPUTED_VALUE"""),"#DIV/0!")</f>
        <v>#DIV/0!</v>
      </c>
      <c r="M729" s="88"/>
      <c r="N729" s="88"/>
      <c r="O729" s="88"/>
      <c r="P729" s="88"/>
      <c r="Q729" s="88"/>
      <c r="R729" s="88"/>
      <c r="S729" s="88" t="str">
        <f>IFERROR(__xludf.DUMMYFUNCTION("""COMPUTED_VALUE"""),"Новинка")</f>
        <v>Новинка</v>
      </c>
      <c r="T729" s="88" t="str">
        <f>IFERROR(__xludf.DUMMYFUNCTION("""COMPUTED_VALUE"""),"Даша")</f>
        <v>Даша</v>
      </c>
      <c r="U729" s="88"/>
      <c r="V729" s="88"/>
      <c r="W729" s="88"/>
      <c r="X729" s="88"/>
      <c r="Y729" s="88"/>
      <c r="Z729" s="88"/>
      <c r="AA729" s="88"/>
      <c r="AC729" s="62" t="s">
        <v>2659</v>
      </c>
    </row>
    <row r="730">
      <c r="A730" s="88"/>
      <c r="B730" s="88"/>
      <c r="C730" s="88" t="str">
        <f>IFERROR(__xludf.DUMMYFUNCTION("""COMPUTED_VALUE"""),"retinait_krem_1_5_50ml")</f>
        <v>retinait_krem_1_5_50ml</v>
      </c>
      <c r="D730" s="88">
        <f>IFERROR(__xludf.DUMMYFUNCTION("""COMPUTED_VALUE"""),3.285665744E9)</f>
        <v>3285665744</v>
      </c>
      <c r="E730" s="88" t="str">
        <f>IFERROR(__xludf.DUMMYFUNCTION("""COMPUTED_VALUE"""),"Алтея")</f>
        <v>Алтея</v>
      </c>
      <c r="F730" s="88" t="str">
        <f>IFERROR(__xludf.DUMMYFUNCTION("""COMPUTED_VALUE"""),"Крем для Лица с Липосомальным Ретинолом 1.5% Ретинайт")</f>
        <v>Крем для Лица с Липосомальным Ретинолом 1.5% Ретинайт</v>
      </c>
      <c r="G730" s="88"/>
      <c r="H730" s="88" t="str">
        <f>IFERROR(__xludf.DUMMYFUNCTION("""COMPUTED_VALUE"""),"Красота")</f>
        <v>Красота</v>
      </c>
      <c r="I730" s="88" t="str">
        <f>IFERROR(__xludf.DUMMYFUNCTION("""COMPUTED_VALUE"""),"Ретинол")</f>
        <v>Ретинол</v>
      </c>
      <c r="J730" s="88"/>
      <c r="K730" s="88"/>
      <c r="L730" s="88"/>
      <c r="M730" s="88"/>
      <c r="N730" s="88"/>
      <c r="O730" s="88"/>
      <c r="P730" s="88"/>
      <c r="Q730" s="88"/>
      <c r="R730" s="88"/>
      <c r="S730" s="88" t="str">
        <f>IFERROR(__xludf.DUMMYFUNCTION("""COMPUTED_VALUE"""),"Новинка")</f>
        <v>Новинка</v>
      </c>
      <c r="T730" s="88" t="str">
        <f>IFERROR(__xludf.DUMMYFUNCTION("""COMPUTED_VALUE"""),"Даша")</f>
        <v>Даша</v>
      </c>
      <c r="U730" s="88"/>
      <c r="V730" s="88"/>
      <c r="W730" s="88"/>
      <c r="X730" s="88"/>
      <c r="Y730" s="88"/>
      <c r="Z730" s="88"/>
      <c r="AA730" s="88"/>
      <c r="AC730" s="62" t="s">
        <v>2659</v>
      </c>
    </row>
    <row r="731">
      <c r="A731" s="88"/>
      <c r="B731" s="88">
        <f>IFERROR(__xludf.DUMMYFUNCTION("""COMPUTED_VALUE"""),7.0)</f>
        <v>7</v>
      </c>
      <c r="C731" s="88" t="str">
        <f>IFERROR(__xludf.DUMMYFUNCTION("""COMPUTED_VALUE"""),"wbgetsize1gel2")</f>
        <v>wbgetsize1gel2</v>
      </c>
      <c r="D731" s="88">
        <f>IFERROR(__xludf.DUMMYFUNCTION("""COMPUTED_VALUE"""),2.90029361E8)</f>
        <v>290029361</v>
      </c>
      <c r="E731" s="88" t="str">
        <f>IFERROR(__xludf.DUMMYFUNCTION("""COMPUTED_VALUE"""),"CPA")</f>
        <v>CPA</v>
      </c>
      <c r="F731" s="88" t="str">
        <f>IFERROR(__xludf.DUMMYFUNCTION("""COMPUTED_VALUE"""),"Эрекционное кольцо для мужчин, насадка на член, кольцо для эрекции, товары для взрослых")</f>
        <v>Эрекционное кольцо для мужчин, насадка на член, кольцо для эрекции, товары для взрослых</v>
      </c>
      <c r="G731" s="88"/>
      <c r="H731" s="88"/>
      <c r="I731" s="88"/>
      <c r="J731" s="245">
        <f>IFERROR(__xludf.DUMMYFUNCTION("""COMPUTED_VALUE"""),0.0)</f>
        <v>0</v>
      </c>
      <c r="K731" s="240">
        <f>IFERROR(__xludf.DUMMYFUNCTION("""COMPUTED_VALUE"""),0.0)</f>
        <v>0</v>
      </c>
      <c r="L731" s="243" t="str">
        <f>IFERROR(__xludf.DUMMYFUNCTION("""COMPUTED_VALUE"""),"#DIV/0!")</f>
        <v>#DIV/0!</v>
      </c>
      <c r="M731" s="88"/>
      <c r="N731" s="88"/>
      <c r="O731" s="88"/>
      <c r="P731" s="88"/>
      <c r="Q731" s="88"/>
      <c r="R731" s="88"/>
      <c r="S731" s="88" t="str">
        <f>IFERROR(__xludf.DUMMYFUNCTION("""COMPUTED_VALUE"""),"На вывод")</f>
        <v>На вывод</v>
      </c>
      <c r="T731" s="88"/>
      <c r="U731" s="88"/>
      <c r="V731" s="88"/>
      <c r="W731" s="88"/>
      <c r="X731" s="88"/>
      <c r="Y731" s="88"/>
      <c r="Z731" s="88"/>
      <c r="AA731" s="88"/>
      <c r="AC731" s="62" t="s">
        <v>2659</v>
      </c>
    </row>
    <row r="732">
      <c r="A732" s="88"/>
      <c r="B732" s="88">
        <f>IFERROR(__xludf.DUMMYFUNCTION("""COMPUTED_VALUE"""),22.0)</f>
        <v>22</v>
      </c>
      <c r="C732" s="88" t="str">
        <f>IFERROR(__xludf.DUMMYFUNCTION("""COMPUTED_VALUE"""),"wbvaranga")</f>
        <v>wbvaranga</v>
      </c>
      <c r="D732" s="88">
        <f>IFERROR(__xludf.DUMMYFUNCTION("""COMPUTED_VALUE"""),3.27231451E8)</f>
        <v>327231451</v>
      </c>
      <c r="E732" s="88" t="str">
        <f>IFERROR(__xludf.DUMMYFUNCTION("""COMPUTED_VALUE"""),"CPA")</f>
        <v>CPA</v>
      </c>
      <c r="F732" s="88" t="str">
        <f>IFERROR(__xludf.DUMMYFUNCTION("""COMPUTED_VALUE"""),"Мазь от грибка ногтей Варанга, Алтея, 10 мл")</f>
        <v>Мазь от грибка ногтей Варанга, Алтея, 10 мл</v>
      </c>
      <c r="G732" s="88"/>
      <c r="H732" s="88"/>
      <c r="I732" s="88"/>
      <c r="J732" s="245">
        <f>IFERROR(__xludf.DUMMYFUNCTION("""COMPUTED_VALUE"""),0.0)</f>
        <v>0</v>
      </c>
      <c r="K732" s="240">
        <f>IFERROR(__xludf.DUMMYFUNCTION("""COMPUTED_VALUE"""),0.0)</f>
        <v>0</v>
      </c>
      <c r="L732" s="243" t="str">
        <f>IFERROR(__xludf.DUMMYFUNCTION("""COMPUTED_VALUE"""),"#DIV/0!")</f>
        <v>#DIV/0!</v>
      </c>
      <c r="M732" s="88"/>
      <c r="N732" s="88"/>
      <c r="O732" s="88"/>
      <c r="P732" s="88"/>
      <c r="Q732" s="88"/>
      <c r="R732" s="88"/>
      <c r="S732" s="88" t="str">
        <f>IFERROR(__xludf.DUMMYFUNCTION("""COMPUTED_VALUE"""),"На вывод")</f>
        <v>На вывод</v>
      </c>
      <c r="T732" s="88"/>
      <c r="U732" s="88"/>
      <c r="V732" s="88"/>
      <c r="W732" s="88"/>
      <c r="X732" s="88"/>
      <c r="Y732" s="88"/>
      <c r="Z732" s="88"/>
      <c r="AA732" s="88"/>
      <c r="AC732" s="62" t="s">
        <v>2659</v>
      </c>
    </row>
    <row r="733">
      <c r="A733" s="88"/>
      <c r="B733" s="88">
        <f>IFERROR(__xludf.DUMMYFUNCTION("""COMPUTED_VALUE"""),40.0)</f>
        <v>40</v>
      </c>
      <c r="C733" s="88" t="str">
        <f>IFERROR(__xludf.DUMMYFUNCTION("""COMPUTED_VALUE"""),"sustalit")</f>
        <v>sustalit</v>
      </c>
      <c r="D733" s="88">
        <f>IFERROR(__xludf.DUMMYFUNCTION("""COMPUTED_VALUE"""),7.43548429E8)</f>
        <v>743548429</v>
      </c>
      <c r="E733" s="88" t="str">
        <f>IFERROR(__xludf.DUMMYFUNCTION("""COMPUTED_VALUE"""),"CPA")</f>
        <v>CPA</v>
      </c>
      <c r="F733" s="88" t="str">
        <f>IFERROR(__xludf.DUMMYFUNCTION("""COMPUTED_VALUE"""),"Мазь для суставов обезболивающая, крем глюкозамин и хондроитин, Сусталит, 30 мл")</f>
        <v>Мазь для суставов обезболивающая, крем глюкозамин и хондроитин, Сусталит, 30 мл</v>
      </c>
      <c r="G733" s="88"/>
      <c r="H733" s="88"/>
      <c r="I733" s="88"/>
      <c r="J733" s="245">
        <f>IFERROR(__xludf.DUMMYFUNCTION("""COMPUTED_VALUE"""),0.0)</f>
        <v>0</v>
      </c>
      <c r="K733" s="240">
        <f>IFERROR(__xludf.DUMMYFUNCTION("""COMPUTED_VALUE"""),0.0)</f>
        <v>0</v>
      </c>
      <c r="L733" s="243" t="str">
        <f>IFERROR(__xludf.DUMMYFUNCTION("""COMPUTED_VALUE"""),"#DIV/0!")</f>
        <v>#DIV/0!</v>
      </c>
      <c r="M733" s="88"/>
      <c r="N733" s="88"/>
      <c r="O733" s="88"/>
      <c r="P733" s="88"/>
      <c r="Q733" s="88"/>
      <c r="R733" s="88"/>
      <c r="S733" s="88" t="str">
        <f>IFERROR(__xludf.DUMMYFUNCTION("""COMPUTED_VALUE"""),"На вывод")</f>
        <v>На вывод</v>
      </c>
      <c r="T733" s="88"/>
      <c r="U733" s="88"/>
      <c r="V733" s="88"/>
      <c r="W733" s="88"/>
      <c r="X733" s="88"/>
      <c r="Y733" s="88"/>
      <c r="Z733" s="88"/>
      <c r="AA733" s="88"/>
      <c r="AC733" s="62" t="s">
        <v>2659</v>
      </c>
    </row>
    <row r="734">
      <c r="A734" s="88"/>
      <c r="B734" s="88">
        <f>IFERROR(__xludf.DUMMYFUNCTION("""COMPUTED_VALUE"""),67.0)</f>
        <v>67</v>
      </c>
      <c r="C734" s="88" t="str">
        <f>IFERROR(__xludf.DUMMYFUNCTION("""COMPUTED_VALUE"""),"visitCREAMamarant")</f>
        <v>visitCREAMamarant</v>
      </c>
      <c r="D734" s="88">
        <f>IFERROR(__xludf.DUMMYFUNCTION("""COMPUTED_VALUE"""),1.235751364E9)</f>
        <v>1235751364</v>
      </c>
      <c r="E734" s="88" t="str">
        <f>IFERROR(__xludf.DUMMYFUNCTION("""COMPUTED_VALUE"""),"CPA")</f>
        <v>CPA</v>
      </c>
      <c r="F734" s="88" t="str">
        <f>IFERROR(__xludf.DUMMYFUNCTION("""COMPUTED_VALUE"""),"Крем для рук питательный Амарант, 75 мл")</f>
        <v>Крем для рук питательный Амарант, 75 мл</v>
      </c>
      <c r="G734" s="88"/>
      <c r="H734" s="88"/>
      <c r="I734" s="88"/>
      <c r="J734" s="245">
        <f>IFERROR(__xludf.DUMMYFUNCTION("""COMPUTED_VALUE"""),0.0)</f>
        <v>0</v>
      </c>
      <c r="K734" s="240">
        <f>IFERROR(__xludf.DUMMYFUNCTION("""COMPUTED_VALUE"""),0.0)</f>
        <v>0</v>
      </c>
      <c r="L734" s="243" t="str">
        <f>IFERROR(__xludf.DUMMYFUNCTION("""COMPUTED_VALUE"""),"#DIV/0!")</f>
        <v>#DIV/0!</v>
      </c>
      <c r="M734" s="88"/>
      <c r="N734" s="88"/>
      <c r="O734" s="88"/>
      <c r="P734" s="88"/>
      <c r="Q734" s="88"/>
      <c r="R734" s="88"/>
      <c r="S734" s="88" t="str">
        <f>IFERROR(__xludf.DUMMYFUNCTION("""COMPUTED_VALUE"""),"На вывод")</f>
        <v>На вывод</v>
      </c>
      <c r="T734" s="88"/>
      <c r="U734" s="88"/>
      <c r="V734" s="88"/>
      <c r="W734" s="88"/>
      <c r="X734" s="88"/>
      <c r="Y734" s="88"/>
      <c r="Z734" s="88"/>
      <c r="AA734" s="88"/>
      <c r="AC734" s="62" t="s">
        <v>2659</v>
      </c>
    </row>
    <row r="735">
      <c r="A735" s="88"/>
      <c r="B735" s="88">
        <f>IFERROR(__xludf.DUMMYFUNCTION("""COMPUTED_VALUE"""),69.0)</f>
        <v>69</v>
      </c>
      <c r="C735" s="88" t="str">
        <f>IFERROR(__xludf.DUMMYFUNCTION("""COMPUTED_VALUE"""),"sanaсin_BAD_60caps")</f>
        <v>sanaсin_BAD_60caps</v>
      </c>
      <c r="D735" s="88">
        <f>IFERROR(__xludf.DUMMYFUNCTION("""COMPUTED_VALUE"""),1.271264152E9)</f>
        <v>1271264152</v>
      </c>
      <c r="E735" s="88" t="str">
        <f>IFERROR(__xludf.DUMMYFUNCTION("""COMPUTED_VALUE"""),"CPA")</f>
        <v>CPA</v>
      </c>
      <c r="F735" s="88" t="str">
        <f>IFERROR(__xludf.DUMMYFUNCTION("""COMPUTED_VALUE"""),"Капсулы пробиотик, энзимы, д манноза, метабиотик, Санацин, Алтея, 60 капсул")</f>
        <v>Капсулы пробиотик, энзимы, д манноза, метабиотик, Санацин, Алтея, 60 капсул</v>
      </c>
      <c r="G735" s="88"/>
      <c r="H735" s="88"/>
      <c r="I735" s="88"/>
      <c r="J735" s="245">
        <f>IFERROR(__xludf.DUMMYFUNCTION("""COMPUTED_VALUE"""),0.0)</f>
        <v>0</v>
      </c>
      <c r="K735" s="240">
        <f>IFERROR(__xludf.DUMMYFUNCTION("""COMPUTED_VALUE"""),0.0)</f>
        <v>0</v>
      </c>
      <c r="L735" s="243" t="str">
        <f>IFERROR(__xludf.DUMMYFUNCTION("""COMPUTED_VALUE"""),"#DIV/0!")</f>
        <v>#DIV/0!</v>
      </c>
      <c r="M735" s="88"/>
      <c r="N735" s="88"/>
      <c r="O735" s="88"/>
      <c r="P735" s="88"/>
      <c r="Q735" s="88"/>
      <c r="R735" s="88"/>
      <c r="S735" s="88" t="str">
        <f>IFERROR(__xludf.DUMMYFUNCTION("""COMPUTED_VALUE"""),"На вывод")</f>
        <v>На вывод</v>
      </c>
      <c r="T735" s="88"/>
      <c r="U735" s="88"/>
      <c r="V735" s="88"/>
      <c r="W735" s="88"/>
      <c r="X735" s="88"/>
      <c r="Y735" s="88"/>
      <c r="Z735" s="88"/>
      <c r="AA735" s="88"/>
      <c r="AC735" s="62" t="s">
        <v>2659</v>
      </c>
    </row>
    <row r="736">
      <c r="A736" s="88"/>
      <c r="B736" s="88">
        <f>IFERROR(__xludf.DUMMYFUNCTION("""COMPUTED_VALUE"""),71.0)</f>
        <v>71</v>
      </c>
      <c r="C736" s="88" t="str">
        <f>IFERROR(__xludf.DUMMYFUNCTION("""COMPUTED_VALUE"""),"mikardin plus_BAD_60 caps")</f>
        <v>mikardin plus_BAD_60 caps</v>
      </c>
      <c r="D736" s="88">
        <f>IFERROR(__xludf.DUMMYFUNCTION("""COMPUTED_VALUE"""),1.283151299E9)</f>
        <v>1283151299</v>
      </c>
      <c r="E736" s="88" t="str">
        <f>IFERROR(__xludf.DUMMYFUNCTION("""COMPUTED_VALUE"""),"CPA")</f>
        <v>CPA</v>
      </c>
      <c r="F736" s="88" t="str">
        <f>IFERROR(__xludf.DUMMYFUNCTION("""COMPUTED_VALUE"""),"Средство для сердца и сосудов от давления, чистка сосудов, Микардин Плюс, Алтея, 60 капсул")</f>
        <v>Средство для сердца и сосудов от давления, чистка сосудов, Микардин Плюс, Алтея, 60 капсул</v>
      </c>
      <c r="G736" s="88"/>
      <c r="H736" s="88"/>
      <c r="I736" s="88"/>
      <c r="J736" s="245">
        <f>IFERROR(__xludf.DUMMYFUNCTION("""COMPUTED_VALUE"""),0.0)</f>
        <v>0</v>
      </c>
      <c r="K736" s="240">
        <f>IFERROR(__xludf.DUMMYFUNCTION("""COMPUTED_VALUE"""),0.0)</f>
        <v>0</v>
      </c>
      <c r="L736" s="243" t="str">
        <f>IFERROR(__xludf.DUMMYFUNCTION("""COMPUTED_VALUE"""),"#DIV/0!")</f>
        <v>#DIV/0!</v>
      </c>
      <c r="M736" s="88"/>
      <c r="N736" s="88"/>
      <c r="O736" s="88"/>
      <c r="P736" s="88"/>
      <c r="Q736" s="88"/>
      <c r="R736" s="88"/>
      <c r="S736" s="88" t="str">
        <f>IFERROR(__xludf.DUMMYFUNCTION("""COMPUTED_VALUE"""),"На вывод")</f>
        <v>На вывод</v>
      </c>
      <c r="T736" s="88"/>
      <c r="U736" s="88"/>
      <c r="V736" s="88"/>
      <c r="W736" s="88"/>
      <c r="X736" s="88"/>
      <c r="Y736" s="88"/>
      <c r="Z736" s="88"/>
      <c r="AA736" s="88"/>
      <c r="AC736" s="62" t="s">
        <v>2659</v>
      </c>
    </row>
    <row r="737">
      <c r="A737" s="88"/>
      <c r="B737" s="88">
        <f>IFERROR(__xludf.DUMMYFUNCTION("""COMPUTED_VALUE"""),75.0)</f>
        <v>75</v>
      </c>
      <c r="C737" s="88" t="str">
        <f>IFERROR(__xludf.DUMMYFUNCTION("""COMPUTED_VALUE"""),"monarda_30ml")</f>
        <v>monarda_30ml</v>
      </c>
      <c r="D737" s="88">
        <f>IFERROR(__xludf.DUMMYFUNCTION("""COMPUTED_VALUE"""),1.32499107E9)</f>
        <v>1324991070</v>
      </c>
      <c r="E737" s="88" t="str">
        <f>IFERROR(__xludf.DUMMYFUNCTION("""COMPUTED_VALUE"""),"Алтея")</f>
        <v>Алтея</v>
      </c>
      <c r="F737" s="88" t="str">
        <f>IFERROR(__xludf.DUMMYFUNCTION("""COMPUTED_VALUE"""),"Масло монарды и экстракт зеленого чая для ногтей, универсальное, Алтея, 30 мл")</f>
        <v>Масло монарды и экстракт зеленого чая для ногтей, универсальное, Алтея, 30 мл</v>
      </c>
      <c r="G737" s="88"/>
      <c r="H737" s="88"/>
      <c r="I737" s="88"/>
      <c r="J737" s="245">
        <f>IFERROR(__xludf.DUMMYFUNCTION("""COMPUTED_VALUE"""),0.0)</f>
        <v>0</v>
      </c>
      <c r="K737" s="240">
        <f>IFERROR(__xludf.DUMMYFUNCTION("""COMPUTED_VALUE"""),0.0)</f>
        <v>0</v>
      </c>
      <c r="L737" s="243" t="str">
        <f>IFERROR(__xludf.DUMMYFUNCTION("""COMPUTED_VALUE"""),"#DIV/0!")</f>
        <v>#DIV/0!</v>
      </c>
      <c r="M737" s="88"/>
      <c r="N737" s="88"/>
      <c r="O737" s="88"/>
      <c r="P737" s="88"/>
      <c r="Q737" s="88"/>
      <c r="R737" s="88"/>
      <c r="S737" s="88" t="str">
        <f>IFERROR(__xludf.DUMMYFUNCTION("""COMPUTED_VALUE"""),"На вывод")</f>
        <v>На вывод</v>
      </c>
      <c r="T737" s="88"/>
      <c r="U737" s="88"/>
      <c r="V737" s="88"/>
      <c r="W737" s="88"/>
      <c r="X737" s="88"/>
      <c r="Y737" s="88"/>
      <c r="Z737" s="88"/>
      <c r="AA737" s="88"/>
      <c r="AC737" s="62" t="s">
        <v>2659</v>
      </c>
    </row>
    <row r="738">
      <c r="A738" s="88"/>
      <c r="B738" s="88">
        <f>IFERROR(__xludf.DUMMYFUNCTION("""COMPUTED_VALUE"""),106.0)</f>
        <v>106</v>
      </c>
      <c r="C738" s="88" t="str">
        <f>IFERROR(__xludf.DUMMYFUNCTION("""COMPUTED_VALUE"""),"intimvita_200ml")</f>
        <v>intimvita_200ml</v>
      </c>
      <c r="D738" s="88">
        <f>IFERROR(__xludf.DUMMYFUNCTION("""COMPUTED_VALUE"""),1.581991716E9)</f>
        <v>1581991716</v>
      </c>
      <c r="E738" s="88" t="str">
        <f>IFERROR(__xludf.DUMMYFUNCTION("""COMPUTED_VALUE"""),"Алтея")</f>
        <v>Алтея</v>
      </c>
      <c r="F738" s="88" t="str">
        <f>IFERROR(__xludf.DUMMYFUNCTION("""COMPUTED_VALUE"""),"Гель для интимной гигиены с молочной кислотой, Алтея, Интимвита, 200 мл")</f>
        <v>Гель для интимной гигиены с молочной кислотой, Алтея, Интимвита, 200 мл</v>
      </c>
      <c r="G738" s="88"/>
      <c r="H738" s="88"/>
      <c r="I738" s="88"/>
      <c r="J738" s="245">
        <f>IFERROR(__xludf.DUMMYFUNCTION("""COMPUTED_VALUE"""),0.0)</f>
        <v>0</v>
      </c>
      <c r="K738" s="240">
        <f>IFERROR(__xludf.DUMMYFUNCTION("""COMPUTED_VALUE"""),0.0)</f>
        <v>0</v>
      </c>
      <c r="L738" s="243" t="str">
        <f>IFERROR(__xludf.DUMMYFUNCTION("""COMPUTED_VALUE"""),"#DIV/0!")</f>
        <v>#DIV/0!</v>
      </c>
      <c r="M738" s="88"/>
      <c r="N738" s="88"/>
      <c r="O738" s="88"/>
      <c r="P738" s="88"/>
      <c r="Q738" s="88"/>
      <c r="R738" s="88"/>
      <c r="S738" s="88" t="str">
        <f>IFERROR(__xludf.DUMMYFUNCTION("""COMPUTED_VALUE"""),"На вывод")</f>
        <v>На вывод</v>
      </c>
      <c r="T738" s="88"/>
      <c r="U738" s="88"/>
      <c r="V738" s="88"/>
      <c r="W738" s="88"/>
      <c r="X738" s="88"/>
      <c r="Y738" s="88"/>
      <c r="Z738" s="88"/>
      <c r="AA738" s="88"/>
      <c r="AC738" s="62" t="s">
        <v>2659</v>
      </c>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c r="AC739" s="62" t="s">
        <v>2659</v>
      </c>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c r="AC740" s="62" t="s">
        <v>2659</v>
      </c>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c r="AC741" s="62" t="s">
        <v>2659</v>
      </c>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c r="AC742" s="62" t="s">
        <v>2659</v>
      </c>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c r="AC743" s="62" t="s">
        <v>2659</v>
      </c>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c r="AC744" s="62" t="s">
        <v>2659</v>
      </c>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c r="AC745" s="62" t="s">
        <v>2659</v>
      </c>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c r="AC746" s="62" t="s">
        <v>2659</v>
      </c>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c r="AC747" s="62" t="s">
        <v>2659</v>
      </c>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c r="AC748" s="62" t="s">
        <v>2659</v>
      </c>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c r="AC749" s="62" t="s">
        <v>2659</v>
      </c>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c r="AC750" s="62" t="s">
        <v>2659</v>
      </c>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c r="AC751" s="62" t="s">
        <v>2659</v>
      </c>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c r="AC752" s="62" t="s">
        <v>2659</v>
      </c>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c r="AC753" s="62" t="s">
        <v>2659</v>
      </c>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c r="AC754" s="62" t="s">
        <v>2659</v>
      </c>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c r="AC755" s="62" t="s">
        <v>2659</v>
      </c>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c r="AC756" s="62" t="s">
        <v>2659</v>
      </c>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c r="AC757" s="62" t="s">
        <v>2659</v>
      </c>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c r="AC758" s="62" t="s">
        <v>2659</v>
      </c>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c r="AC759" s="62" t="s">
        <v>2659</v>
      </c>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c r="AC760" s="62" t="s">
        <v>2659</v>
      </c>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c r="AC761" s="62" t="s">
        <v>2659</v>
      </c>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c r="AC762" s="62" t="s">
        <v>2659</v>
      </c>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c r="AC763" s="62" t="s">
        <v>2659</v>
      </c>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c r="AC764" s="62" t="s">
        <v>2659</v>
      </c>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c r="AC765" s="62" t="s">
        <v>2659</v>
      </c>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c r="AC766" s="62" t="s">
        <v>2659</v>
      </c>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c r="AC767" s="62" t="s">
        <v>2659</v>
      </c>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c r="AC768" s="62" t="s">
        <v>2659</v>
      </c>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c r="AC769" s="62" t="s">
        <v>2659</v>
      </c>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c r="AC770" s="62" t="s">
        <v>2659</v>
      </c>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c r="AC771" s="62" t="s">
        <v>2659</v>
      </c>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c r="AC772" s="62" t="s">
        <v>2659</v>
      </c>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c r="AC773" s="62" t="s">
        <v>2659</v>
      </c>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c r="AC774" s="62" t="s">
        <v>2659</v>
      </c>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c r="AC775" s="62" t="s">
        <v>2659</v>
      </c>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c r="AC776" s="62" t="s">
        <v>2659</v>
      </c>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c r="AC777" s="62" t="s">
        <v>2659</v>
      </c>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c r="AC778" s="62" t="s">
        <v>2659</v>
      </c>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c r="AC779" s="62" t="s">
        <v>2659</v>
      </c>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c r="AC780" s="62" t="s">
        <v>2659</v>
      </c>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c r="AC781" s="62" t="s">
        <v>2659</v>
      </c>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c r="AC782" s="62" t="s">
        <v>2659</v>
      </c>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c r="AC783" s="62" t="s">
        <v>2659</v>
      </c>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c r="AC784" s="62" t="s">
        <v>2659</v>
      </c>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c r="AC785" s="62" t="s">
        <v>2659</v>
      </c>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c r="AC786" s="62" t="s">
        <v>2659</v>
      </c>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c r="AC787" s="62" t="s">
        <v>2659</v>
      </c>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c r="AC788" s="62" t="s">
        <v>2659</v>
      </c>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c r="AC789" s="62" t="s">
        <v>2659</v>
      </c>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c r="AC790" s="62" t="s">
        <v>2659</v>
      </c>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c r="AC791" s="62" t="s">
        <v>2659</v>
      </c>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c r="AC792" s="62" t="s">
        <v>2659</v>
      </c>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c r="AC793" s="62" t="s">
        <v>2659</v>
      </c>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c r="AC794" s="62" t="s">
        <v>2659</v>
      </c>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c r="AC795" s="62" t="s">
        <v>2659</v>
      </c>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c r="AC796" s="62" t="s">
        <v>2659</v>
      </c>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c r="AC797" s="62" t="s">
        <v>2659</v>
      </c>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c r="AC798" s="62" t="s">
        <v>2659</v>
      </c>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c r="AC799" s="62" t="s">
        <v>2659</v>
      </c>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c r="AC800" s="62" t="s">
        <v>2659</v>
      </c>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c r="AC801" s="62" t="s">
        <v>2659</v>
      </c>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c r="AC802" s="62" t="s">
        <v>2659</v>
      </c>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c r="AC803" s="62" t="s">
        <v>2659</v>
      </c>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c r="AC804" s="62" t="s">
        <v>2659</v>
      </c>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c r="AC805" s="62" t="s">
        <v>2659</v>
      </c>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c r="AC806" s="62" t="s">
        <v>2659</v>
      </c>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c r="AC807" s="62" t="s">
        <v>2659</v>
      </c>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c r="AC808" s="62" t="s">
        <v>2659</v>
      </c>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c r="AC809" s="62" t="s">
        <v>2659</v>
      </c>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c r="AC810" s="62" t="s">
        <v>2659</v>
      </c>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c r="AC811" s="62" t="s">
        <v>2659</v>
      </c>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c r="AC812" s="62" t="s">
        <v>2659</v>
      </c>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c r="AC813" s="62" t="s">
        <v>2659</v>
      </c>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c r="AC814" s="62" t="s">
        <v>2659</v>
      </c>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c r="AC815" s="62" t="s">
        <v>2659</v>
      </c>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c r="AC816" s="62" t="s">
        <v>2659</v>
      </c>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c r="AC817" s="62" t="s">
        <v>2659</v>
      </c>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c r="AC818" s="62" t="s">
        <v>2659</v>
      </c>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c r="AC819" s="62" t="s">
        <v>2659</v>
      </c>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c r="AC820" s="62" t="s">
        <v>2659</v>
      </c>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c r="AC821" s="62" t="s">
        <v>2659</v>
      </c>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c r="AC822" s="62" t="s">
        <v>2659</v>
      </c>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c r="AC823" s="62" t="s">
        <v>2659</v>
      </c>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c r="AC824" s="62" t="s">
        <v>2659</v>
      </c>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c r="AC825" s="62" t="s">
        <v>2659</v>
      </c>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c r="AC826" s="62" t="s">
        <v>2659</v>
      </c>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c r="AC827" s="62" t="s">
        <v>2659</v>
      </c>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c r="AC828" s="62" t="s">
        <v>2659</v>
      </c>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c r="AC829" s="62" t="s">
        <v>2659</v>
      </c>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c r="AC830" s="62" t="s">
        <v>2659</v>
      </c>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c r="AC831" s="62" t="s">
        <v>2659</v>
      </c>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c r="AC832" s="62" t="s">
        <v>2659</v>
      </c>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c r="AC833" s="62" t="s">
        <v>2659</v>
      </c>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c r="AC834" s="62" t="s">
        <v>2659</v>
      </c>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c r="AC835" s="62" t="s">
        <v>2659</v>
      </c>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c r="AC836" s="62" t="s">
        <v>2659</v>
      </c>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c r="AC837" s="62" t="s">
        <v>2659</v>
      </c>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c r="AC838" s="62" t="s">
        <v>2659</v>
      </c>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c r="AC839" s="62" t="s">
        <v>2659</v>
      </c>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c r="AC840" s="62" t="s">
        <v>2659</v>
      </c>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c r="AC841" s="62" t="s">
        <v>2659</v>
      </c>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c r="AC842" s="62" t="s">
        <v>2659</v>
      </c>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c r="AC843" s="62" t="s">
        <v>2659</v>
      </c>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c r="AC844" s="62" t="s">
        <v>2659</v>
      </c>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c r="AC845" s="62" t="s">
        <v>2659</v>
      </c>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c r="AC846" s="62" t="s">
        <v>2659</v>
      </c>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c r="AC847" s="62" t="s">
        <v>2659</v>
      </c>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C848" s="62" t="s">
        <v>2659</v>
      </c>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C849" s="62" t="s">
        <v>2659</v>
      </c>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c r="AC850" s="62" t="s">
        <v>2659</v>
      </c>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c r="AC851" s="62" t="s">
        <v>2659</v>
      </c>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c r="AC852" s="62" t="s">
        <v>2659</v>
      </c>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c r="AC853" s="62" t="s">
        <v>2659</v>
      </c>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c r="AC854" s="62" t="s">
        <v>2659</v>
      </c>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c r="AC855" s="62" t="s">
        <v>2659</v>
      </c>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c r="AC856" s="62" t="s">
        <v>2659</v>
      </c>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c r="AC857" s="62" t="s">
        <v>2659</v>
      </c>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c r="AC858" s="62" t="s">
        <v>2659</v>
      </c>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c r="AC859" s="62" t="s">
        <v>2659</v>
      </c>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c r="AC860" s="62" t="s">
        <v>2659</v>
      </c>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c r="AC861" s="62" t="s">
        <v>2659</v>
      </c>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c r="AC862" s="62" t="s">
        <v>2659</v>
      </c>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c r="AC863" s="62" t="s">
        <v>2659</v>
      </c>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c r="AC864" s="62" t="s">
        <v>2659</v>
      </c>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c r="AC865" s="62" t="s">
        <v>2659</v>
      </c>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c r="AC866" s="62" t="s">
        <v>2659</v>
      </c>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c r="AC867" s="62" t="s">
        <v>2659</v>
      </c>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c r="AC868" s="62" t="s">
        <v>2659</v>
      </c>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c r="AC869" s="62" t="s">
        <v>2659</v>
      </c>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c r="AC870" s="62" t="s">
        <v>2659</v>
      </c>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c r="AC871" s="62" t="s">
        <v>2659</v>
      </c>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c r="AC872" s="62" t="s">
        <v>2659</v>
      </c>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c r="AC873" s="62" t="s">
        <v>2659</v>
      </c>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c r="AC874" s="62" t="s">
        <v>2659</v>
      </c>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c r="AC875" s="62" t="s">
        <v>2659</v>
      </c>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c r="AC876" s="62" t="s">
        <v>2659</v>
      </c>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c r="AC877" s="62" t="s">
        <v>2659</v>
      </c>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c r="AC878" s="62" t="s">
        <v>2659</v>
      </c>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c r="AC879" s="62" t="s">
        <v>2659</v>
      </c>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c r="AC880" s="62" t="s">
        <v>2659</v>
      </c>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c r="AC881" s="62" t="s">
        <v>2659</v>
      </c>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c r="AC882" s="62" t="s">
        <v>2659</v>
      </c>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c r="AC883" s="62" t="s">
        <v>2659</v>
      </c>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c r="AC884" s="62" t="s">
        <v>2659</v>
      </c>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c r="AC885" s="62" t="s">
        <v>2659</v>
      </c>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c r="AC886" s="62" t="s">
        <v>2659</v>
      </c>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c r="AC887" s="62" t="s">
        <v>2659</v>
      </c>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c r="AC888" s="62" t="s">
        <v>2659</v>
      </c>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c r="AC889" s="62" t="s">
        <v>2659</v>
      </c>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c r="AC890" s="62" t="s">
        <v>2659</v>
      </c>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c r="AC891" s="62" t="s">
        <v>2659</v>
      </c>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c r="AC892" s="62" t="s">
        <v>2659</v>
      </c>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c r="AC893" s="62" t="s">
        <v>2659</v>
      </c>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c r="AC894" s="62" t="s">
        <v>2659</v>
      </c>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c r="AC895" s="62" t="s">
        <v>2659</v>
      </c>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c r="AC896" s="62" t="s">
        <v>2659</v>
      </c>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c r="AC897" s="62" t="s">
        <v>2659</v>
      </c>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c r="AC898" s="62" t="s">
        <v>2659</v>
      </c>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c r="AC899" s="62" t="s">
        <v>2659</v>
      </c>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c r="AC900" s="62" t="s">
        <v>2659</v>
      </c>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c r="AC901" s="62" t="s">
        <v>2659</v>
      </c>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c r="AC902" s="62" t="s">
        <v>2659</v>
      </c>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c r="AC903" s="62" t="s">
        <v>2659</v>
      </c>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c r="AC904" s="62" t="s">
        <v>2659</v>
      </c>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c r="AC905" s="62" t="s">
        <v>2659</v>
      </c>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c r="AC906" s="62" t="s">
        <v>2659</v>
      </c>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c r="AC907" s="62" t="s">
        <v>2659</v>
      </c>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c r="AC908" s="62" t="s">
        <v>2659</v>
      </c>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c r="AC909" s="62" t="s">
        <v>2659</v>
      </c>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c r="AC910" s="62" t="s">
        <v>2659</v>
      </c>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c r="AC911" s="62" t="s">
        <v>2659</v>
      </c>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c r="AC912" s="62" t="s">
        <v>2659</v>
      </c>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c r="AC913" s="62" t="s">
        <v>2659</v>
      </c>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c r="AC914" s="62" t="s">
        <v>2659</v>
      </c>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c r="AC915" s="62" t="s">
        <v>2659</v>
      </c>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c r="AC916" s="62" t="s">
        <v>2659</v>
      </c>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c r="AC917" s="62" t="s">
        <v>2659</v>
      </c>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c r="AC918" s="62" t="s">
        <v>2659</v>
      </c>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c r="AC919" s="62" t="s">
        <v>2659</v>
      </c>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c r="AC920" s="62" t="s">
        <v>2659</v>
      </c>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c r="AC921" s="62" t="s">
        <v>2659</v>
      </c>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c r="AC922" s="62" t="s">
        <v>2659</v>
      </c>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c r="AC923" s="62" t="s">
        <v>2659</v>
      </c>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c r="AC924" s="62" t="s">
        <v>2659</v>
      </c>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c r="AC925" s="62" t="s">
        <v>2659</v>
      </c>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c r="AC926" s="62" t="s">
        <v>2659</v>
      </c>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c r="AC927" s="62" t="s">
        <v>2659</v>
      </c>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c r="AC928" s="62" t="s">
        <v>2659</v>
      </c>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c r="AC929" s="62" t="s">
        <v>2659</v>
      </c>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c r="AC930" s="62" t="s">
        <v>2659</v>
      </c>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c r="AC931" s="62" t="s">
        <v>2659</v>
      </c>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c r="AC932" s="62" t="s">
        <v>2659</v>
      </c>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c r="AC933" s="62" t="s">
        <v>2659</v>
      </c>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c r="AC934" s="62" t="s">
        <v>2659</v>
      </c>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c r="AC935" s="62" t="s">
        <v>2659</v>
      </c>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c r="AC936" s="62" t="s">
        <v>2659</v>
      </c>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c r="AC937" s="62" t="s">
        <v>2659</v>
      </c>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c r="AC938" s="62" t="s">
        <v>2659</v>
      </c>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c r="AC939" s="62" t="s">
        <v>2659</v>
      </c>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c r="AC940" s="62" t="s">
        <v>2659</v>
      </c>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c r="AC941" s="62" t="s">
        <v>2659</v>
      </c>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c r="AC942" s="62" t="s">
        <v>2659</v>
      </c>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c r="AC943" s="62" t="s">
        <v>2659</v>
      </c>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c r="AC944" s="62" t="s">
        <v>2659</v>
      </c>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c r="AC945" s="62" t="s">
        <v>2659</v>
      </c>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c r="AC946" s="62" t="s">
        <v>2659</v>
      </c>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c r="AC947" s="62" t="s">
        <v>2659</v>
      </c>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C948" s="62" t="s">
        <v>2659</v>
      </c>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c r="AC949" s="62" t="s">
        <v>2659</v>
      </c>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c r="AC950" s="62" t="s">
        <v>2659</v>
      </c>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c r="AC951" s="62" t="s">
        <v>2659</v>
      </c>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c r="AC952" s="62" t="s">
        <v>2659</v>
      </c>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c r="AC953" s="62" t="s">
        <v>2659</v>
      </c>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c r="AC954" s="62" t="s">
        <v>2659</v>
      </c>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c r="AC955" s="62" t="s">
        <v>2659</v>
      </c>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c r="AC956" s="62" t="s">
        <v>2659</v>
      </c>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c r="AC957" s="62" t="s">
        <v>2659</v>
      </c>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c r="AC958" s="62" t="s">
        <v>2659</v>
      </c>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c r="AC959" s="62" t="s">
        <v>2659</v>
      </c>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c r="AC960" s="62" t="s">
        <v>2659</v>
      </c>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c r="AC961" s="62" t="s">
        <v>2659</v>
      </c>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c r="AC962" s="62" t="s">
        <v>2659</v>
      </c>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c r="AC963" s="62" t="s">
        <v>2659</v>
      </c>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c r="AC964" s="62" t="s">
        <v>2659</v>
      </c>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c r="AC965" s="62" t="s">
        <v>2659</v>
      </c>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c r="AC966" s="62" t="s">
        <v>2659</v>
      </c>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c r="AC967" s="62" t="s">
        <v>2659</v>
      </c>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c r="AC968" s="62" t="s">
        <v>2659</v>
      </c>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c r="AC969" s="62" t="s">
        <v>2659</v>
      </c>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c r="AC970" s="62" t="s">
        <v>2659</v>
      </c>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c r="AC971" s="62" t="s">
        <v>2659</v>
      </c>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c r="AC972" s="62" t="s">
        <v>2659</v>
      </c>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c r="AC973" s="62" t="s">
        <v>2659</v>
      </c>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c r="AC974" s="62" t="s">
        <v>2659</v>
      </c>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c r="AC975" s="62" t="s">
        <v>2659</v>
      </c>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c r="AC976" s="62" t="s">
        <v>2659</v>
      </c>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c r="AC977" s="62" t="s">
        <v>2659</v>
      </c>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c r="AC978" s="62" t="s">
        <v>2659</v>
      </c>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c r="AC979" s="62" t="s">
        <v>2659</v>
      </c>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c r="AC980" s="62" t="s">
        <v>2659</v>
      </c>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c r="AC981" s="62" t="s">
        <v>2659</v>
      </c>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c r="AC982" s="62" t="s">
        <v>2659</v>
      </c>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c r="AC983" s="62" t="s">
        <v>2659</v>
      </c>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c r="AC984" s="62" t="s">
        <v>2659</v>
      </c>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c r="AC985" s="62" t="s">
        <v>2659</v>
      </c>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c r="AC986" s="62" t="s">
        <v>2659</v>
      </c>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c r="AC987" s="62" t="s">
        <v>2659</v>
      </c>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c r="AC988" s="62" t="s">
        <v>2659</v>
      </c>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c r="AC989" s="62" t="s">
        <v>2659</v>
      </c>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c r="AC990" s="62" t="s">
        <v>2659</v>
      </c>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c r="AC991" s="62" t="s">
        <v>2659</v>
      </c>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c r="AA992" s="88"/>
      <c r="AC992" s="62" t="s">
        <v>2659</v>
      </c>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c r="AC993" s="62" t="s">
        <v>2659</v>
      </c>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c r="AA994" s="88"/>
      <c r="AC994" s="62" t="s">
        <v>2659</v>
      </c>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c r="AA995" s="88"/>
      <c r="AC995" s="62" t="s">
        <v>2659</v>
      </c>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c r="AA996" s="88"/>
      <c r="AC996" s="62" t="s">
        <v>2659</v>
      </c>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c r="AA997" s="88"/>
      <c r="AC997" s="62" t="s">
        <v>2659</v>
      </c>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c r="AA998" s="88"/>
      <c r="AC998" s="62" t="s">
        <v>2659</v>
      </c>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c r="AA999" s="88"/>
      <c r="AC999" s="62" t="s">
        <v>2659</v>
      </c>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c r="AA1000" s="88"/>
      <c r="AC1000" s="62" t="s">
        <v>2659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sheetData>
    <row r="1">
      <c r="A1" s="247" t="s">
        <v>6627</v>
      </c>
      <c r="B1" s="247" t="s">
        <v>116</v>
      </c>
      <c r="C1" s="248"/>
      <c r="D1" s="248"/>
      <c r="E1" s="248"/>
      <c r="F1" s="248"/>
      <c r="G1" s="248"/>
      <c r="H1" s="248"/>
      <c r="I1" s="247"/>
      <c r="J1" s="248"/>
      <c r="K1" s="248"/>
      <c r="L1" s="248"/>
      <c r="M1" s="248"/>
    </row>
    <row r="2">
      <c r="A2" s="88" t="str">
        <f>IFERROR(__xludf.DUMMYFUNCTION("IMPORTRANGE(""https://docs.google.com/spreadsheets/d/1NXNAfOd3_adMT6VcPRMrJIRSlmnS5ZfByKUi1Lq-Kvw/edit"", ""Реестр / Биг–Л!B:d"")"),"")</f>
        <v/>
      </c>
      <c r="B2" s="88" t="str">
        <f>IFERROR(__xludf.DUMMYFUNCTION("""COMPUTED_VALUE"""),"Тут будет период")</f>
        <v>Тут будет период</v>
      </c>
      <c r="C2" s="88"/>
      <c r="E2" s="88" t="str">
        <f>IFERROR(__xludf.DUMMYFUNCTION("IMPORTRANGE(""https://docs.google.com/spreadsheets/d/1NXNAfOd3_adMT6VcPRMrJIRSlmnS5ZfByKUi1Lq-Kvw/edit"", ""Реестр / Биг–Л!x:y"")"),"")</f>
        <v/>
      </c>
      <c r="F2" s="88"/>
      <c r="P2" s="88" t="str">
        <f>IFERROR(__xludf.DUMMYFUNCTION("IMPORTRANGE(""https://docs.google.com/spreadsheets/d/10Moe6hpmLSb-N4nMnPxSG0Y7shtFAK9IZuIffV4jE8E/edit"", ""Реестр / Биг–Л!B:d"")"),"")</f>
        <v/>
      </c>
      <c r="Q2" s="88" t="str">
        <f>IFERROR(__xludf.DUMMYFUNCTION("""COMPUTED_VALUE"""),"Тут будет период")</f>
        <v>Тут будет период</v>
      </c>
      <c r="R2" s="88"/>
      <c r="T2" s="88" t="str">
        <f>IFERROR(__xludf.DUMMYFUNCTION("IMPORTRANGE(""https://docs.google.com/spreadsheets/d/10Moe6hpmLSb-N4nMnPxSG0Y7shtFAK9IZuIffV4jE8E/edit"", ""Реестр / Биг–Л!S:T"")"),"")</f>
        <v/>
      </c>
      <c r="U2" s="88"/>
    </row>
    <row r="3">
      <c r="A3" s="88"/>
      <c r="B3" s="88"/>
      <c r="C3" s="88"/>
      <c r="E3" s="88"/>
      <c r="F3" s="88"/>
      <c r="P3" s="88"/>
      <c r="Q3" s="88"/>
      <c r="R3" s="88"/>
      <c r="T3" s="88"/>
      <c r="U3" s="88"/>
    </row>
    <row r="4">
      <c r="A4" s="88" t="str">
        <f>IFERROR(__xludf.DUMMYFUNCTION("""COMPUTED_VALUE"""),"№")</f>
        <v>№</v>
      </c>
      <c r="B4" s="88" t="str">
        <f>IFERROR(__xludf.DUMMYFUNCTION("""COMPUTED_VALUE"""),"SKU")</f>
        <v>SKU</v>
      </c>
      <c r="C4" s="88" t="str">
        <f>IFERROR(__xludf.DUMMYFUNCTION("""COMPUTED_VALUE"""),"Артикул")</f>
        <v>Артикул</v>
      </c>
      <c r="E4" s="88" t="str">
        <f>IFERROR(__xludf.DUMMYFUNCTION("""COMPUTED_VALUE"""),"Статус товара")</f>
        <v>Статус товара</v>
      </c>
      <c r="F4" s="88" t="str">
        <f>IFERROR(__xludf.DUMMYFUNCTION("""COMPUTED_VALUE"""),"Ответственный")</f>
        <v>Ответственный</v>
      </c>
      <c r="P4" s="88" t="str">
        <f>IFERROR(__xludf.DUMMYFUNCTION("""COMPUTED_VALUE"""),"№")</f>
        <v>№</v>
      </c>
      <c r="Q4" s="88" t="str">
        <f>IFERROR(__xludf.DUMMYFUNCTION("""COMPUTED_VALUE"""),"SKU")</f>
        <v>SKU</v>
      </c>
      <c r="R4" s="88" t="str">
        <f>IFERROR(__xludf.DUMMYFUNCTION("""COMPUTED_VALUE"""),"Артикул")</f>
        <v>Артикул</v>
      </c>
      <c r="T4" s="88" t="str">
        <f>IFERROR(__xludf.DUMMYFUNCTION("""COMPUTED_VALUE"""),"Статус товара")</f>
        <v>Статус товара</v>
      </c>
      <c r="U4" s="88" t="str">
        <f>IFERROR(__xludf.DUMMYFUNCTION("""COMPUTED_VALUE"""),"Ответственный")</f>
        <v>Ответственный</v>
      </c>
    </row>
    <row r="5">
      <c r="A5" s="88">
        <f>IFERROR(__xludf.DUMMYFUNCTION("""COMPUTED_VALUE"""),155.0)</f>
        <v>155</v>
      </c>
      <c r="B5" s="88" t="str">
        <f>IFERROR(__xludf.DUMMYFUNCTION("""COMPUTED_VALUE"""),"qeep_taurine_90caps")</f>
        <v>qeep_taurine_90caps</v>
      </c>
      <c r="C5" s="88">
        <f>IFERROR(__xludf.DUMMYFUNCTION("""COMPUTED_VALUE"""),9.67670448E8)</f>
        <v>967670448</v>
      </c>
      <c r="E5" s="88" t="str">
        <f>IFERROR(__xludf.DUMMYFUNCTION("""COMPUTED_VALUE"""),"На вывод")</f>
        <v>На вывод</v>
      </c>
      <c r="F5" s="88" t="str">
        <f>IFERROR(__xludf.DUMMYFUNCTION("""COMPUTED_VALUE"""),"Семен")</f>
        <v>Семен</v>
      </c>
      <c r="P5" s="88">
        <f>IFERROR(__xludf.DUMMYFUNCTION("""COMPUTED_VALUE"""),34.0)</f>
        <v>34</v>
      </c>
      <c r="Q5" s="88" t="str">
        <f>IFERROR(__xludf.DUMMYFUNCTION("""COMPUTED_VALUE"""),"harly_paste_75ml_v2")</f>
        <v>harly_paste_75ml_v2</v>
      </c>
      <c r="R5" s="88">
        <f>IFERROR(__xludf.DUMMYFUNCTION("""COMPUTED_VALUE"""),2.517120405E9)</f>
        <v>2517120405</v>
      </c>
      <c r="T5" s="88" t="str">
        <f>IFERROR(__xludf.DUMMYFUNCTION("""COMPUTED_VALUE"""),"Актуально")</f>
        <v>Актуально</v>
      </c>
      <c r="U5" s="88" t="str">
        <f>IFERROR(__xludf.DUMMYFUNCTION("""COMPUTED_VALUE"""),"Кристина")</f>
        <v>Кристина</v>
      </c>
    </row>
    <row r="6">
      <c r="A6" s="88">
        <f>IFERROR(__xludf.DUMMYFUNCTION("""COMPUTED_VALUE"""),154.0)</f>
        <v>154</v>
      </c>
      <c r="B6" s="88" t="str">
        <f>IFERROR(__xludf.DUMMYFUNCTION("""COMPUTED_VALUE"""),"qeep_Alpha_Lipoic_60caps")</f>
        <v>qeep_Alpha_Lipoic_60caps</v>
      </c>
      <c r="C6" s="88">
        <f>IFERROR(__xludf.DUMMYFUNCTION("""COMPUTED_VALUE"""),9.4693155E8)</f>
        <v>946931550</v>
      </c>
      <c r="E6" s="88" t="str">
        <f>IFERROR(__xludf.DUMMYFUNCTION("""COMPUTED_VALUE"""),"На вывод")</f>
        <v>На вывод</v>
      </c>
      <c r="F6" s="88" t="str">
        <f>IFERROR(__xludf.DUMMYFUNCTION("""COMPUTED_VALUE"""),"Семен")</f>
        <v>Семен</v>
      </c>
      <c r="P6" s="88">
        <f>IFERROR(__xludf.DUMMYFUNCTION("""COMPUTED_VALUE"""),50.0)</f>
        <v>50</v>
      </c>
      <c r="Q6" s="88" t="str">
        <f>IFERROR(__xludf.DUMMYFUNCTION("""COMPUTED_VALUE"""),"Harly_cat_support_100tabs")</f>
        <v>Harly_cat_support_100tabs</v>
      </c>
      <c r="R6" s="88">
        <f>IFERROR(__xludf.DUMMYFUNCTION("""COMPUTED_VALUE"""),1.010948247E9)</f>
        <v>1010948247</v>
      </c>
      <c r="T6" s="88" t="str">
        <f>IFERROR(__xludf.DUMMYFUNCTION("""COMPUTED_VALUE"""),"Актуально")</f>
        <v>Актуально</v>
      </c>
      <c r="U6" s="88" t="str">
        <f>IFERROR(__xludf.DUMMYFUNCTION("""COMPUTED_VALUE"""),"Кристина")</f>
        <v>Кристина</v>
      </c>
    </row>
    <row r="7">
      <c r="A7" s="88">
        <f>IFERROR(__xludf.DUMMYFUNCTION("""COMPUTED_VALUE"""),153.0)</f>
        <v>153</v>
      </c>
      <c r="B7" s="88" t="str">
        <f>IFERROR(__xludf.DUMMYFUNCTION("""COMPUTED_VALUE"""),"qeep_bcaa_L_Carnitine")</f>
        <v>qeep_bcaa_L_Carnitine</v>
      </c>
      <c r="C7" s="88">
        <f>IFERROR(__xludf.DUMMYFUNCTION("""COMPUTED_VALUE"""),1.099581672E9)</f>
        <v>1099581672</v>
      </c>
      <c r="E7" s="88" t="str">
        <f>IFERROR(__xludf.DUMMYFUNCTION("""COMPUTED_VALUE"""),"На вывод")</f>
        <v>На вывод</v>
      </c>
      <c r="F7" s="88" t="str">
        <f>IFERROR(__xludf.DUMMYFUNCTION("""COMPUTED_VALUE"""),"Семен")</f>
        <v>Семен</v>
      </c>
      <c r="P7" s="88">
        <f>IFERROR(__xludf.DUMMYFUNCTION("""COMPUTED_VALUE"""),70.0)</f>
        <v>70</v>
      </c>
      <c r="Q7" s="88" t="str">
        <f>IFERROR(__xludf.DUMMYFUNCTION("""COMPUTED_VALUE"""),"Harly_cat_teeth_bones_100tabs")</f>
        <v>Harly_cat_teeth_bones_100tabs</v>
      </c>
      <c r="R7" s="88">
        <f>IFERROR(__xludf.DUMMYFUNCTION("""COMPUTED_VALUE"""),1.018532111E9)</f>
        <v>1018532111</v>
      </c>
      <c r="T7" s="88" t="str">
        <f>IFERROR(__xludf.DUMMYFUNCTION("""COMPUTED_VALUE"""),"Актуально")</f>
        <v>Актуально</v>
      </c>
      <c r="U7" s="88" t="str">
        <f>IFERROR(__xludf.DUMMYFUNCTION("""COMPUTED_VALUE"""),"Кристина")</f>
        <v>Кристина</v>
      </c>
    </row>
    <row r="8">
      <c r="A8" s="88">
        <f>IFERROR(__xludf.DUMMYFUNCTION("""COMPUTED_VALUE"""),152.0)</f>
        <v>152</v>
      </c>
      <c r="B8" s="88" t="str">
        <f>IFERROR(__xludf.DUMMYFUNCTION("""COMPUTED_VALUE"""),"qeepbcaa")</f>
        <v>qeepbcaa</v>
      </c>
      <c r="C8" s="88">
        <f>IFERROR(__xludf.DUMMYFUNCTION("""COMPUTED_VALUE"""),8.25733116E8)</f>
        <v>825733116</v>
      </c>
      <c r="E8" s="88" t="str">
        <f>IFERROR(__xludf.DUMMYFUNCTION("""COMPUTED_VALUE"""),"На вывод")</f>
        <v>На вывод</v>
      </c>
      <c r="F8" s="88" t="str">
        <f>IFERROR(__xludf.DUMMYFUNCTION("""COMPUTED_VALUE"""),"Семен")</f>
        <v>Семен</v>
      </c>
      <c r="P8" s="88">
        <f>IFERROR(__xludf.DUMMYFUNCTION("""COMPUTED_VALUE"""),92.0)</f>
        <v>92</v>
      </c>
      <c r="Q8" s="88" t="str">
        <f>IFERROR(__xludf.DUMMYFUNCTION("""COMPUTED_VALUE"""),"harly_paste_75ml")</f>
        <v>harly_paste_75ml</v>
      </c>
      <c r="R8" s="88">
        <f>IFERROR(__xludf.DUMMYFUNCTION("""COMPUTED_VALUE"""),1.711363073E9)</f>
        <v>1711363073</v>
      </c>
      <c r="T8" s="88" t="str">
        <f>IFERROR(__xludf.DUMMYFUNCTION("""COMPUTED_VALUE"""),"На вывод")</f>
        <v>На вывод</v>
      </c>
      <c r="U8" s="88" t="str">
        <f>IFERROR(__xludf.DUMMYFUNCTION("""COMPUTED_VALUE"""),"Кристина")</f>
        <v>Кристина</v>
      </c>
    </row>
    <row r="9">
      <c r="A9" s="88">
        <f>IFERROR(__xludf.DUMMYFUNCTION("""COMPUTED_VALUE"""),151.0)</f>
        <v>151</v>
      </c>
      <c r="B9" s="88" t="str">
        <f>IFERROR(__xludf.DUMMYFUNCTION("""COMPUTED_VALUE"""),"qeep_joint_support_90caps")</f>
        <v>qeep_joint_support_90caps</v>
      </c>
      <c r="C9" s="88">
        <f>IFERROR(__xludf.DUMMYFUNCTION("""COMPUTED_VALUE"""),1.315703641E9)</f>
        <v>1315703641</v>
      </c>
      <c r="E9" s="88" t="str">
        <f>IFERROR(__xludf.DUMMYFUNCTION("""COMPUTED_VALUE"""),"На вывод")</f>
        <v>На вывод</v>
      </c>
      <c r="F9" s="88" t="str">
        <f>IFERROR(__xludf.DUMMYFUNCTION("""COMPUTED_VALUE"""),"Семен")</f>
        <v>Семен</v>
      </c>
      <c r="P9" s="88">
        <f>IFERROR(__xludf.DUMMYFUNCTION("""COMPUTED_VALUE"""),13.0)</f>
        <v>13</v>
      </c>
      <c r="Q9" s="88" t="str">
        <f>IFERROR(__xludf.DUMMYFUNCTION("""COMPUTED_VALUE"""),"Harly_Skin_Coat")</f>
        <v>Harly_Skin_Coat</v>
      </c>
      <c r="R9" s="88">
        <f>IFERROR(__xludf.DUMMYFUNCTION("""COMPUTED_VALUE"""),8.84560852E8)</f>
        <v>884560852</v>
      </c>
      <c r="T9" s="88" t="str">
        <f>IFERROR(__xludf.DUMMYFUNCTION("""COMPUTED_VALUE"""),"Актуально")</f>
        <v>Актуально</v>
      </c>
      <c r="U9" s="88" t="str">
        <f>IFERROR(__xludf.DUMMYFUNCTION("""COMPUTED_VALUE"""),"Кристина")</f>
        <v>Кристина</v>
      </c>
    </row>
    <row r="10">
      <c r="A10" s="88">
        <f>IFERROR(__xludf.DUMMYFUNCTION("""COMPUTED_VALUE"""),150.0)</f>
        <v>150</v>
      </c>
      <c r="B10" s="88" t="str">
        <f>IFERROR(__xludf.DUMMYFUNCTION("""COMPUTED_VALUE"""),"qeep_Marine_Collagen_60caps")</f>
        <v>qeep_Marine_Collagen_60caps</v>
      </c>
      <c r="C10" s="88">
        <f>IFERROR(__xludf.DUMMYFUNCTION("""COMPUTED_VALUE"""),8.89954527E8)</f>
        <v>889954527</v>
      </c>
      <c r="E10" s="88" t="str">
        <f>IFERROR(__xludf.DUMMYFUNCTION("""COMPUTED_VALUE"""),"На вывод")</f>
        <v>На вывод</v>
      </c>
      <c r="F10" s="88" t="str">
        <f>IFERROR(__xludf.DUMMYFUNCTION("""COMPUTED_VALUE"""),"Семен")</f>
        <v>Семен</v>
      </c>
      <c r="P10" s="88">
        <f>IFERROR(__xludf.DUMMYFUNCTION("""COMPUTED_VALUE"""),14.0)</f>
        <v>14</v>
      </c>
      <c r="Q10" s="88" t="str">
        <f>IFERROR(__xludf.DUMMYFUNCTION("""COMPUTED_VALUE"""),"harly_dog_antiallergy_100tabs")</f>
        <v>harly_dog_antiallergy_100tabs</v>
      </c>
      <c r="R10" s="88">
        <f>IFERROR(__xludf.DUMMYFUNCTION("""COMPUTED_VALUE"""),1.581829359E9)</f>
        <v>1581829359</v>
      </c>
      <c r="T10" s="88" t="str">
        <f>IFERROR(__xludf.DUMMYFUNCTION("""COMPUTED_VALUE"""),"Актуально")</f>
        <v>Актуально</v>
      </c>
      <c r="U10" s="88" t="str">
        <f>IFERROR(__xludf.DUMMYFUNCTION("""COMPUTED_VALUE"""),"Кристина")</f>
        <v>Кристина</v>
      </c>
    </row>
    <row r="11">
      <c r="A11" s="88">
        <f>IFERROR(__xludf.DUMMYFUNCTION("""COMPUTED_VALUE"""),149.0)</f>
        <v>149</v>
      </c>
      <c r="B11" s="88" t="str">
        <f>IFERROR(__xludf.DUMMYFUNCTION("""COMPUTED_VALUE"""),"qeepcollagen1+1")</f>
        <v>qeepcollagen1+1</v>
      </c>
      <c r="C11" s="88">
        <f>IFERROR(__xludf.DUMMYFUNCTION("""COMPUTED_VALUE"""),8.7180646E8)</f>
        <v>871806460</v>
      </c>
      <c r="E11" s="88" t="str">
        <f>IFERROR(__xludf.DUMMYFUNCTION("""COMPUTED_VALUE"""),"На вывод")</f>
        <v>На вывод</v>
      </c>
      <c r="F11" s="88" t="str">
        <f>IFERROR(__xludf.DUMMYFUNCTION("""COMPUTED_VALUE"""),"Семен")</f>
        <v>Семен</v>
      </c>
      <c r="P11" s="88">
        <f>IFERROR(__xludf.DUMMYFUNCTION("""COMPUTED_VALUE"""),16.0)</f>
        <v>16</v>
      </c>
      <c r="Q11" s="88" t="str">
        <f>IFERROR(__xludf.DUMMYFUNCTION("""COMPUTED_VALUE"""),"Harly_Joint_Care")</f>
        <v>Harly_Joint_Care</v>
      </c>
      <c r="R11" s="88">
        <f>IFERROR(__xludf.DUMMYFUNCTION("""COMPUTED_VALUE"""),8.84578393E8)</f>
        <v>884578393</v>
      </c>
      <c r="T11" s="88" t="str">
        <f>IFERROR(__xludf.DUMMYFUNCTION("""COMPUTED_VALUE"""),"Актуально")</f>
        <v>Актуально</v>
      </c>
      <c r="U11" s="88" t="str">
        <f>IFERROR(__xludf.DUMMYFUNCTION("""COMPUTED_VALUE"""),"Кристина")</f>
        <v>Кристина</v>
      </c>
    </row>
    <row r="12">
      <c r="A12" s="88">
        <f>IFERROR(__xludf.DUMMYFUNCTION("""COMPUTED_VALUE"""),148.0)</f>
        <v>148</v>
      </c>
      <c r="B12" s="88" t="str">
        <f>IFERROR(__xludf.DUMMYFUNCTION("""COMPUTED_VALUE"""),"qeepL_Carnitine")</f>
        <v>qeepL_Carnitine</v>
      </c>
      <c r="C12" s="88">
        <f>IFERROR(__xludf.DUMMYFUNCTION("""COMPUTED_VALUE"""),8.26800291E8)</f>
        <v>826800291</v>
      </c>
      <c r="E12" s="88" t="str">
        <f>IFERROR(__xludf.DUMMYFUNCTION("""COMPUTED_VALUE"""),"На вывод")</f>
        <v>На вывод</v>
      </c>
      <c r="F12" s="88" t="str">
        <f>IFERROR(__xludf.DUMMYFUNCTION("""COMPUTED_VALUE"""),"Семен")</f>
        <v>Семен</v>
      </c>
      <c r="P12" s="88">
        <f>IFERROR(__xludf.DUMMYFUNCTION("""COMPUTED_VALUE"""),26.0)</f>
        <v>26</v>
      </c>
      <c r="Q12" s="88" t="str">
        <f>IFERROR(__xludf.DUMMYFUNCTION("""COMPUTED_VALUE"""),"Harly_dog_teeth_bones_100tabs")</f>
        <v>Harly_dog_teeth_bones_100tabs</v>
      </c>
      <c r="R12" s="88">
        <f>IFERROR(__xludf.DUMMYFUNCTION("""COMPUTED_VALUE"""),1.018530861E9)</f>
        <v>1018530861</v>
      </c>
      <c r="T12" s="88" t="str">
        <f>IFERROR(__xludf.DUMMYFUNCTION("""COMPUTED_VALUE"""),"Актуально")</f>
        <v>Актуально</v>
      </c>
      <c r="U12" s="88" t="str">
        <f>IFERROR(__xludf.DUMMYFUNCTION("""COMPUTED_VALUE"""),"Кристина")</f>
        <v>Кристина</v>
      </c>
    </row>
    <row r="13">
      <c r="A13" s="88">
        <f>IFERROR(__xludf.DUMMYFUNCTION("""COMPUTED_VALUE"""),147.0)</f>
        <v>147</v>
      </c>
      <c r="B13" s="88" t="str">
        <f>IFERROR(__xludf.DUMMYFUNCTION("""COMPUTED_VALUE"""),"qeep_byefat_double_60caps")</f>
        <v>qeep_byefat_double_60caps</v>
      </c>
      <c r="C13" s="88">
        <f>IFERROR(__xludf.DUMMYFUNCTION("""COMPUTED_VALUE"""),1.15456231E9)</f>
        <v>1154562310</v>
      </c>
      <c r="E13" s="88" t="str">
        <f>IFERROR(__xludf.DUMMYFUNCTION("""COMPUTED_VALUE"""),"На вывод")</f>
        <v>На вывод</v>
      </c>
      <c r="F13" s="88" t="str">
        <f>IFERROR(__xludf.DUMMYFUNCTION("""COMPUTED_VALUE"""),"Семен")</f>
        <v>Семен</v>
      </c>
      <c r="P13" s="88">
        <f>IFERROR(__xludf.DUMMYFUNCTION("""COMPUTED_VALUE"""),85.0)</f>
        <v>85</v>
      </c>
      <c r="Q13" s="88" t="str">
        <f>IFERROR(__xludf.DUMMYFUNCTION("""COMPUTED_VALUE"""),"Harly_dogcat_probiotics_20tabs")</f>
        <v>Harly_dogcat_probiotics_20tabs</v>
      </c>
      <c r="R13" s="88">
        <f>IFERROR(__xludf.DUMMYFUNCTION("""COMPUTED_VALUE"""),1.581825452E9)</f>
        <v>1581825452</v>
      </c>
      <c r="T13" s="88" t="str">
        <f>IFERROR(__xludf.DUMMYFUNCTION("""COMPUTED_VALUE"""),"Актуально")</f>
        <v>Актуально</v>
      </c>
      <c r="U13" s="88" t="str">
        <f>IFERROR(__xludf.DUMMYFUNCTION("""COMPUTED_VALUE"""),"Семен")</f>
        <v>Семен</v>
      </c>
    </row>
    <row r="14">
      <c r="A14" s="88">
        <f>IFERROR(__xludf.DUMMYFUNCTION("""COMPUTED_VALUE"""),146.0)</f>
        <v>146</v>
      </c>
      <c r="B14" s="88" t="str">
        <f>IFERROR(__xludf.DUMMYFUNCTION("""COMPUTED_VALUE"""),"qeep_ByeBye_fat_60caps")</f>
        <v>qeep_ByeBye_fat_60caps</v>
      </c>
      <c r="C14" s="88">
        <f>IFERROR(__xludf.DUMMYFUNCTION("""COMPUTED_VALUE"""),9.65075765E8)</f>
        <v>965075765</v>
      </c>
      <c r="E14" s="88" t="str">
        <f>IFERROR(__xludf.DUMMYFUNCTION("""COMPUTED_VALUE"""),"На вывод")</f>
        <v>На вывод</v>
      </c>
      <c r="F14" s="88" t="str">
        <f>IFERROR(__xludf.DUMMYFUNCTION("""COMPUTED_VALUE"""),"Семен")</f>
        <v>Семен</v>
      </c>
      <c r="P14" s="88">
        <f>IFERROR(__xludf.DUMMYFUNCTION("""COMPUTED_VALUE"""),2.0)</f>
        <v>2</v>
      </c>
      <c r="Q14" s="88" t="str">
        <f>IFERROR(__xludf.DUMMYFUNCTION("""COMPUTED_VALUE"""),"qeep_perfect_spray_200ml")</f>
        <v>qeep_perfect_spray_200ml</v>
      </c>
      <c r="R14" s="88">
        <f>IFERROR(__xludf.DUMMYFUNCTION("""COMPUTED_VALUE"""),2.018960887E9)</f>
        <v>2018960887</v>
      </c>
      <c r="T14" s="88" t="str">
        <f>IFERROR(__xludf.DUMMYFUNCTION("""COMPUTED_VALUE"""),"Актуально")</f>
        <v>Актуально</v>
      </c>
      <c r="U14" s="88" t="str">
        <f>IFERROR(__xludf.DUMMYFUNCTION("""COMPUTED_VALUE"""),"Кристина")</f>
        <v>Кристина</v>
      </c>
    </row>
    <row r="15">
      <c r="A15" s="88">
        <f>IFERROR(__xludf.DUMMYFUNCTION("""COMPUTED_VALUE"""),145.0)</f>
        <v>145</v>
      </c>
      <c r="B15" s="88" t="str">
        <f>IFERROR(__xludf.DUMMYFUNCTION("""COMPUTED_VALUE"""),"qeepomega3_1+1")</f>
        <v>qeepomega3_1+1</v>
      </c>
      <c r="C15" s="88">
        <f>IFERROR(__xludf.DUMMYFUNCTION("""COMPUTED_VALUE"""),8.71788218E8)</f>
        <v>871788218</v>
      </c>
      <c r="E15" s="88" t="str">
        <f>IFERROR(__xludf.DUMMYFUNCTION("""COMPUTED_VALUE"""),"На вывод")</f>
        <v>На вывод</v>
      </c>
      <c r="F15" s="88" t="str">
        <f>IFERROR(__xludf.DUMMYFUNCTION("""COMPUTED_VALUE"""),"Семен")</f>
        <v>Семен</v>
      </c>
      <c r="P15" s="88">
        <f>IFERROR(__xludf.DUMMYFUNCTION("""COMPUTED_VALUE"""),10.0)</f>
        <v>10</v>
      </c>
      <c r="Q15" s="88" t="str">
        <f>IFERROR(__xludf.DUMMYFUNCTION("""COMPUTED_VALUE"""),"qeep_dlyarostavolos_100ml")</f>
        <v>qeep_dlyarostavolos_100ml</v>
      </c>
      <c r="R15" s="88">
        <f>IFERROR(__xludf.DUMMYFUNCTION("""COMPUTED_VALUE"""),2.354324278E9)</f>
        <v>2354324278</v>
      </c>
      <c r="T15" s="88" t="str">
        <f>IFERROR(__xludf.DUMMYFUNCTION("""COMPUTED_VALUE"""),"Актуально")</f>
        <v>Актуально</v>
      </c>
      <c r="U15" s="88" t="str">
        <f>IFERROR(__xludf.DUMMYFUNCTION("""COMPUTED_VALUE"""),"Кристина")</f>
        <v>Кристина</v>
      </c>
    </row>
    <row r="16">
      <c r="A16" s="88">
        <f>IFERROR(__xludf.DUMMYFUNCTION("""COMPUTED_VALUE"""),144.0)</f>
        <v>144</v>
      </c>
      <c r="B16" s="88" t="str">
        <f>IFERROR(__xludf.DUMMYFUNCTION("""COMPUTED_VALUE"""),"qeepomega3")</f>
        <v>qeepomega3</v>
      </c>
      <c r="C16" s="88">
        <f>IFERROR(__xludf.DUMMYFUNCTION("""COMPUTED_VALUE"""),6.5063206E8)</f>
        <v>650632060</v>
      </c>
      <c r="E16" s="88" t="str">
        <f>IFERROR(__xludf.DUMMYFUNCTION("""COMPUTED_VALUE"""),"На вывод")</f>
        <v>На вывод</v>
      </c>
      <c r="F16" s="88" t="str">
        <f>IFERROR(__xludf.DUMMYFUNCTION("""COMPUTED_VALUE"""),"Семен")</f>
        <v>Семен</v>
      </c>
      <c r="P16" s="88">
        <f>IFERROR(__xludf.DUMMYFUNCTION("""COMPUTED_VALUE"""),42.0)</f>
        <v>42</v>
      </c>
      <c r="Q16" s="88" t="str">
        <f>IFERROR(__xludf.DUMMYFUNCTION("""COMPUTED_VALUE"""),"qeep_hairspray_200ml")</f>
        <v>qeep_hairspray_200ml</v>
      </c>
      <c r="R16" s="88">
        <f>IFERROR(__xludf.DUMMYFUNCTION("""COMPUTED_VALUE"""),1.729383128E9)</f>
        <v>1729383128</v>
      </c>
      <c r="T16" s="88" t="str">
        <f>IFERROR(__xludf.DUMMYFUNCTION("""COMPUTED_VALUE"""),"Актуально")</f>
        <v>Актуально</v>
      </c>
      <c r="U16" s="88" t="str">
        <f>IFERROR(__xludf.DUMMYFUNCTION("""COMPUTED_VALUE"""),"Кристина")</f>
        <v>Кристина</v>
      </c>
    </row>
    <row r="17">
      <c r="A17" s="88">
        <f>IFERROR(__xludf.DUMMYFUNCTION("""COMPUTED_VALUE"""),143.0)</f>
        <v>143</v>
      </c>
      <c r="B17" s="88" t="str">
        <f>IFERROR(__xludf.DUMMYFUNCTION("""COMPUTED_VALUE"""),"qeep_chlorophyll_500ml")</f>
        <v>qeep_chlorophyll_500ml</v>
      </c>
      <c r="C17" s="88">
        <f>IFERROR(__xludf.DUMMYFUNCTION("""COMPUTED_VALUE"""),1.044887692E9)</f>
        <v>1044887692</v>
      </c>
      <c r="E17" s="88" t="str">
        <f>IFERROR(__xludf.DUMMYFUNCTION("""COMPUTED_VALUE"""),"На вывод")</f>
        <v>На вывод</v>
      </c>
      <c r="F17" s="88" t="str">
        <f>IFERROR(__xludf.DUMMYFUNCTION("""COMPUTED_VALUE"""),"Семен")</f>
        <v>Семен</v>
      </c>
      <c r="P17" s="88">
        <f>IFERROR(__xludf.DUMMYFUNCTION("""COMPUTED_VALUE"""),47.0)</f>
        <v>47</v>
      </c>
      <c r="Q17" s="88" t="str">
        <f>IFERROR(__xludf.DUMMYFUNCTION("""COMPUTED_VALUE"""),"qeep_gummy_d3_60")</f>
        <v>qeep_gummy_d3_60</v>
      </c>
      <c r="R17" s="88">
        <f>IFERROR(__xludf.DUMMYFUNCTION("""COMPUTED_VALUE"""),2.214705163E9)</f>
        <v>2214705163</v>
      </c>
      <c r="T17" s="88" t="str">
        <f>IFERROR(__xludf.DUMMYFUNCTION("""COMPUTED_VALUE"""),"Актуально")</f>
        <v>Актуально</v>
      </c>
      <c r="U17" s="88" t="str">
        <f>IFERROR(__xludf.DUMMYFUNCTION("""COMPUTED_VALUE"""),"Семен")</f>
        <v>Семен</v>
      </c>
    </row>
    <row r="18">
      <c r="A18" s="88">
        <f>IFERROR(__xludf.DUMMYFUNCTION("""COMPUTED_VALUE"""),142.0)</f>
        <v>142</v>
      </c>
      <c r="B18" s="88" t="str">
        <f>IFERROR(__xludf.DUMMYFUNCTION("""COMPUTED_VALUE"""),"qeep_spirulina+chrom")</f>
        <v>qeep_spirulina+chrom</v>
      </c>
      <c r="C18" s="88" t="str">
        <f>IFERROR(__xludf.DUMMYFUNCTION("""COMPUTED_VALUE"""),"#N/A")</f>
        <v>#N/A</v>
      </c>
      <c r="E18" s="88" t="str">
        <f>IFERROR(__xludf.DUMMYFUNCTION("""COMPUTED_VALUE"""),"На вывод")</f>
        <v>На вывод</v>
      </c>
      <c r="F18" s="88" t="str">
        <f>IFERROR(__xludf.DUMMYFUNCTION("""COMPUTED_VALUE"""),"Семен")</f>
        <v>Семен</v>
      </c>
      <c r="P18" s="88">
        <f>IFERROR(__xludf.DUMMYFUNCTION("""COMPUTED_VALUE"""),52.0)</f>
        <v>52</v>
      </c>
      <c r="Q18" s="88" t="str">
        <f>IFERROR(__xludf.DUMMYFUNCTION("""COMPUTED_VALUE"""),"qeepomega_kids")</f>
        <v>qeepomega_kids</v>
      </c>
      <c r="R18" s="88">
        <f>IFERROR(__xludf.DUMMYFUNCTION("""COMPUTED_VALUE"""),8.09466646E8)</f>
        <v>809466646</v>
      </c>
      <c r="T18" s="88" t="str">
        <f>IFERROR(__xludf.DUMMYFUNCTION("""COMPUTED_VALUE"""),"Актуально")</f>
        <v>Актуально</v>
      </c>
      <c r="U18" s="88" t="str">
        <f>IFERROR(__xludf.DUMMYFUNCTION("""COMPUTED_VALUE"""),"Семен")</f>
        <v>Семен</v>
      </c>
    </row>
    <row r="19">
      <c r="A19" s="88">
        <f>IFERROR(__xludf.DUMMYFUNCTION("""COMPUTED_VALUE"""),141.0)</f>
        <v>141</v>
      </c>
      <c r="B19" s="88" t="str">
        <f>IFERROR(__xludf.DUMMYFUNCTION("""COMPUTED_VALUE"""),"qeep_spirulinachlor_preprobio_6030")</f>
        <v>qeep_spirulinachlor_preprobio_6030</v>
      </c>
      <c r="C19" s="88">
        <f>IFERROR(__xludf.DUMMYFUNCTION("""COMPUTED_VALUE"""),1.099757439E9)</f>
        <v>1099757439</v>
      </c>
      <c r="E19" s="88" t="str">
        <f>IFERROR(__xludf.DUMMYFUNCTION("""COMPUTED_VALUE"""),"На вывод")</f>
        <v>На вывод</v>
      </c>
      <c r="F19" s="88" t="str">
        <f>IFERROR(__xludf.DUMMYFUNCTION("""COMPUTED_VALUE"""),"Семен")</f>
        <v>Семен</v>
      </c>
      <c r="P19" s="88">
        <f>IFERROR(__xludf.DUMMYFUNCTION("""COMPUTED_VALUE"""),56.0)</f>
        <v>56</v>
      </c>
      <c r="Q19" s="88" t="str">
        <f>IFERROR(__xludf.DUMMYFUNCTION("""COMPUTED_VALUE"""),"qeep_gummy_magn_60")</f>
        <v>qeep_gummy_magn_60</v>
      </c>
      <c r="R19" s="88">
        <f>IFERROR(__xludf.DUMMYFUNCTION("""COMPUTED_VALUE"""),1.773856028E9)</f>
        <v>1773856028</v>
      </c>
      <c r="T19" s="88" t="str">
        <f>IFERROR(__xludf.DUMMYFUNCTION("""COMPUTED_VALUE"""),"Актуально")</f>
        <v>Актуально</v>
      </c>
      <c r="U19" s="88" t="str">
        <f>IFERROR(__xludf.DUMMYFUNCTION("""COMPUTED_VALUE"""),"Семен")</f>
        <v>Семен</v>
      </c>
    </row>
    <row r="20">
      <c r="A20" s="88">
        <f>IFERROR(__xludf.DUMMYFUNCTION("""COMPUTED_VALUE"""),140.0)</f>
        <v>140</v>
      </c>
      <c r="B20" s="88" t="str">
        <f>IFERROR(__xludf.DUMMYFUNCTION("""COMPUTED_VALUE"""),"qeep_spirulinachlor_mctd3_6060")</f>
        <v>qeep_spirulinachlor_mctd3_6060</v>
      </c>
      <c r="C20" s="88">
        <f>IFERROR(__xludf.DUMMYFUNCTION("""COMPUTED_VALUE"""),1.099740649E9)</f>
        <v>1099740649</v>
      </c>
      <c r="E20" s="88" t="str">
        <f>IFERROR(__xludf.DUMMYFUNCTION("""COMPUTED_VALUE"""),"На вывод")</f>
        <v>На вывод</v>
      </c>
      <c r="F20" s="88" t="str">
        <f>IFERROR(__xludf.DUMMYFUNCTION("""COMPUTED_VALUE"""),"Семен")</f>
        <v>Семен</v>
      </c>
      <c r="P20" s="88">
        <f>IFERROR(__xludf.DUMMYFUNCTION("""COMPUTED_VALUE"""),59.0)</f>
        <v>59</v>
      </c>
      <c r="Q20" s="88" t="str">
        <f>IFERROR(__xludf.DUMMYFUNCTION("""COMPUTED_VALUE"""),"qeep_gummy_c_60")</f>
        <v>qeep_gummy_c_60</v>
      </c>
      <c r="R20" s="88">
        <f>IFERROR(__xludf.DUMMYFUNCTION("""COMPUTED_VALUE"""),2.214748873E9)</f>
        <v>2214748873</v>
      </c>
      <c r="T20" s="88" t="str">
        <f>IFERROR(__xludf.DUMMYFUNCTION("""COMPUTED_VALUE"""),"Актуально")</f>
        <v>Актуально</v>
      </c>
      <c r="U20" s="88" t="str">
        <f>IFERROR(__xludf.DUMMYFUNCTION("""COMPUTED_VALUE"""),"Семен")</f>
        <v>Семен</v>
      </c>
    </row>
    <row r="21">
      <c r="A21" s="88">
        <f>IFERROR(__xludf.DUMMYFUNCTION("""COMPUTED_VALUE"""),139.0)</f>
        <v>139</v>
      </c>
      <c r="B21" s="88" t="str">
        <f>IFERROR(__xludf.DUMMYFUNCTION("""COMPUTED_VALUE"""),"qeep_spirulinachlor_collagen_6060")</f>
        <v>qeep_spirulinachlor_collagen_6060</v>
      </c>
      <c r="C21" s="88">
        <f>IFERROR(__xludf.DUMMYFUNCTION("""COMPUTED_VALUE"""),1.09972736E9)</f>
        <v>1099727360</v>
      </c>
      <c r="E21" s="88" t="str">
        <f>IFERROR(__xludf.DUMMYFUNCTION("""COMPUTED_VALUE"""),"На вывод")</f>
        <v>На вывод</v>
      </c>
      <c r="F21" s="88" t="str">
        <f>IFERROR(__xludf.DUMMYFUNCTION("""COMPUTED_VALUE"""),"Семен")</f>
        <v>Семен</v>
      </c>
      <c r="P21" s="88">
        <f>IFERROR(__xludf.DUMMYFUNCTION("""COMPUTED_VALUE"""),12.0)</f>
        <v>12</v>
      </c>
      <c r="Q21" s="88" t="str">
        <f>IFERROR(__xludf.DUMMYFUNCTION("""COMPUTED_VALUE"""),"harly_pawsoap_500ml")</f>
        <v>harly_pawsoap_500ml</v>
      </c>
      <c r="R21" s="88">
        <f>IFERROR(__xludf.DUMMYFUNCTION("""COMPUTED_VALUE"""),1.828993605E9)</f>
        <v>1828993605</v>
      </c>
      <c r="T21" s="88" t="str">
        <f>IFERROR(__xludf.DUMMYFUNCTION("""COMPUTED_VALUE"""),"Актуально")</f>
        <v>Актуально</v>
      </c>
      <c r="U21" s="88" t="str">
        <f>IFERROR(__xludf.DUMMYFUNCTION("""COMPUTED_VALUE"""),"Семен")</f>
        <v>Семен</v>
      </c>
    </row>
    <row r="22">
      <c r="A22" s="88">
        <f>IFERROR(__xludf.DUMMYFUNCTION("""COMPUTED_VALUE"""),138.0)</f>
        <v>138</v>
      </c>
      <c r="B22" s="88" t="str">
        <f>IFERROR(__xludf.DUMMYFUNCTION("""COMPUTED_VALUE"""),"qeep_spirulina_3000")</f>
        <v>qeep_spirulina_3000</v>
      </c>
      <c r="C22" s="88">
        <f>IFERROR(__xludf.DUMMYFUNCTION("""COMPUTED_VALUE"""),1.032702789E9)</f>
        <v>1032702789</v>
      </c>
      <c r="E22" s="88" t="str">
        <f>IFERROR(__xludf.DUMMYFUNCTION("""COMPUTED_VALUE"""),"На вывод")</f>
        <v>На вывод</v>
      </c>
      <c r="F22" s="88" t="str">
        <f>IFERROR(__xludf.DUMMYFUNCTION("""COMPUTED_VALUE"""),"Семен")</f>
        <v>Семен</v>
      </c>
      <c r="P22" s="88">
        <f>IFERROR(__xludf.DUMMYFUNCTION("""COMPUTED_VALUE"""),24.0)</f>
        <v>24</v>
      </c>
      <c r="Q22" s="88" t="str">
        <f>IFERROR(__xludf.DUMMYFUNCTION("""COMPUTED_VALUE"""),"harly_pawprotector_30ml")</f>
        <v>harly_pawprotector_30ml</v>
      </c>
      <c r="R22" s="88">
        <f>IFERROR(__xludf.DUMMYFUNCTION("""COMPUTED_VALUE"""),1.745032627E9)</f>
        <v>1745032627</v>
      </c>
      <c r="T22" s="88" t="str">
        <f>IFERROR(__xludf.DUMMYFUNCTION("""COMPUTED_VALUE"""),"На вывод")</f>
        <v>На вывод</v>
      </c>
      <c r="U22" s="88" t="str">
        <f>IFERROR(__xludf.DUMMYFUNCTION("""COMPUTED_VALUE"""),"Семен")</f>
        <v>Семен</v>
      </c>
    </row>
    <row r="23">
      <c r="A23" s="88">
        <f>IFERROR(__xludf.DUMMYFUNCTION("""COMPUTED_VALUE"""),137.0)</f>
        <v>137</v>
      </c>
      <c r="B23" s="88" t="str">
        <f>IFERROR(__xludf.DUMMYFUNCTION("""COMPUTED_VALUE"""),"qeepspirulina1+1")</f>
        <v>qeepspirulina1+1</v>
      </c>
      <c r="C23" s="88">
        <f>IFERROR(__xludf.DUMMYFUNCTION("""COMPUTED_VALUE"""),8.71802851E8)</f>
        <v>871802851</v>
      </c>
      <c r="E23" s="88" t="str">
        <f>IFERROR(__xludf.DUMMYFUNCTION("""COMPUTED_VALUE"""),"На вывод")</f>
        <v>На вывод</v>
      </c>
      <c r="F23" s="88" t="str">
        <f>IFERROR(__xludf.DUMMYFUNCTION("""COMPUTED_VALUE"""),"Семен")</f>
        <v>Семен</v>
      </c>
      <c r="P23" s="88">
        <f>IFERROR(__xludf.DUMMYFUNCTION("""COMPUTED_VALUE"""),9.0)</f>
        <v>9</v>
      </c>
      <c r="Q23" s="88" t="str">
        <f>IFERROR(__xludf.DUMMYFUNCTION("""COMPUTED_VALUE"""),"qeep_berberine_60caps")</f>
        <v>qeep_berberine_60caps</v>
      </c>
      <c r="R23" s="88">
        <f>IFERROR(__xludf.DUMMYFUNCTION("""COMPUTED_VALUE"""),1.361997453E9)</f>
        <v>1361997453</v>
      </c>
      <c r="T23" s="88" t="str">
        <f>IFERROR(__xludf.DUMMYFUNCTION("""COMPUTED_VALUE"""),"Актуально")</f>
        <v>Актуально</v>
      </c>
      <c r="U23" s="88" t="str">
        <f>IFERROR(__xludf.DUMMYFUNCTION("""COMPUTED_VALUE"""),"Семен")</f>
        <v>Семен</v>
      </c>
    </row>
    <row r="24">
      <c r="A24" s="88">
        <f>IFERROR(__xludf.DUMMYFUNCTION("""COMPUTED_VALUE"""),136.0)</f>
        <v>136</v>
      </c>
      <c r="B24" s="88" t="str">
        <f>IFERROR(__xludf.DUMMYFUNCTION("""COMPUTED_VALUE"""),"qeepspirulina")</f>
        <v>qeepspirulina</v>
      </c>
      <c r="C24" s="88">
        <f>IFERROR(__xludf.DUMMYFUNCTION("""COMPUTED_VALUE"""),6.17343284E8)</f>
        <v>617343284</v>
      </c>
      <c r="E24" s="88" t="str">
        <f>IFERROR(__xludf.DUMMYFUNCTION("""COMPUTED_VALUE"""),"Выведено")</f>
        <v>Выведено</v>
      </c>
      <c r="F24" s="88" t="str">
        <f>IFERROR(__xludf.DUMMYFUNCTION("""COMPUTED_VALUE"""),"Выведено")</f>
        <v>Выведено</v>
      </c>
      <c r="P24" s="88">
        <f>IFERROR(__xludf.DUMMYFUNCTION("""COMPUTED_VALUE"""),22.0)</f>
        <v>22</v>
      </c>
      <c r="Q24" s="88" t="str">
        <f>IFERROR(__xludf.DUMMYFUNCTION("""COMPUTED_VALUE"""),"qeepinositol")</f>
        <v>qeepinositol</v>
      </c>
      <c r="R24" s="88">
        <f>IFERROR(__xludf.DUMMYFUNCTION("""COMPUTED_VALUE"""),8.35603195E8)</f>
        <v>835603195</v>
      </c>
      <c r="T24" s="88" t="str">
        <f>IFERROR(__xludf.DUMMYFUNCTION("""COMPUTED_VALUE"""),"Актуально")</f>
        <v>Актуально</v>
      </c>
      <c r="U24" s="88" t="str">
        <f>IFERROR(__xludf.DUMMYFUNCTION("""COMPUTED_VALUE"""),"Семен")</f>
        <v>Семен</v>
      </c>
    </row>
    <row r="25">
      <c r="A25" s="88">
        <f>IFERROR(__xludf.DUMMYFUNCTION("""COMPUTED_VALUE"""),135.0)</f>
        <v>135</v>
      </c>
      <c r="B25" s="88" t="str">
        <f>IFERROR(__xludf.DUMMYFUNCTION("""COMPUTED_VALUE"""),"qeep_maslo_chernogo_tmina_60caps")</f>
        <v>qeep_maslo_chernogo_tmina_60caps</v>
      </c>
      <c r="C25" s="88">
        <f>IFERROR(__xludf.DUMMYFUNCTION("""COMPUTED_VALUE"""),9.66794115E8)</f>
        <v>966794115</v>
      </c>
      <c r="E25" s="88" t="str">
        <f>IFERROR(__xludf.DUMMYFUNCTION("""COMPUTED_VALUE"""),"На вывод")</f>
        <v>На вывод</v>
      </c>
      <c r="F25" s="88" t="str">
        <f>IFERROR(__xludf.DUMMYFUNCTION("""COMPUTED_VALUE"""),"Семен")</f>
        <v>Семен</v>
      </c>
      <c r="P25" s="88"/>
      <c r="Q25" s="88" t="str">
        <f>IFERROR(__xludf.DUMMYFUNCTION("""COMPUTED_VALUE"""),"qeep_ByeBye_fat_Prebiotics")</f>
        <v>qeep_ByeBye_fat_Prebiotics</v>
      </c>
      <c r="R25" s="88">
        <f>IFERROR(__xludf.DUMMYFUNCTION("""COMPUTED_VALUE"""),1.099614303E9)</f>
        <v>1099614303</v>
      </c>
      <c r="T25" s="88" t="str">
        <f>IFERROR(__xludf.DUMMYFUNCTION("""COMPUTED_VALUE"""),"На вывод")</f>
        <v>На вывод</v>
      </c>
      <c r="U25" s="88"/>
    </row>
    <row r="26">
      <c r="A26" s="88">
        <f>IFERROR(__xludf.DUMMYFUNCTION("""COMPUTED_VALUE"""),134.0)</f>
        <v>134</v>
      </c>
      <c r="B26" s="88" t="str">
        <f>IFERROR(__xludf.DUMMYFUNCTION("""COMPUTED_VALUE"""),"qeep_5htp_60caps")</f>
        <v>qeep_5htp_60caps</v>
      </c>
      <c r="C26" s="88">
        <f>IFERROR(__xludf.DUMMYFUNCTION("""COMPUTED_VALUE"""),1.020776527E9)</f>
        <v>1020776527</v>
      </c>
      <c r="E26" s="88" t="str">
        <f>IFERROR(__xludf.DUMMYFUNCTION("""COMPUTED_VALUE"""),"На вывод")</f>
        <v>На вывод</v>
      </c>
      <c r="F26" s="88" t="str">
        <f>IFERROR(__xludf.DUMMYFUNCTION("""COMPUTED_VALUE"""),"Семен")</f>
        <v>Семен</v>
      </c>
      <c r="P26" s="88"/>
      <c r="Q26" s="88" t="str">
        <f>IFERROR(__xludf.DUMMYFUNCTION("""COMPUTED_VALUE"""),"qeep_melatonin2mg_90tabs")</f>
        <v>qeep_melatonin2mg_90tabs</v>
      </c>
      <c r="R26" s="88">
        <f>IFERROR(__xludf.DUMMYFUNCTION("""COMPUTED_VALUE"""),1.283138723E9)</f>
        <v>1283138723</v>
      </c>
      <c r="T26" s="88" t="str">
        <f>IFERROR(__xludf.DUMMYFUNCTION("""COMPUTED_VALUE"""),"На вывод")</f>
        <v>На вывод</v>
      </c>
      <c r="U26" s="88"/>
    </row>
    <row r="27">
      <c r="A27" s="88">
        <f>IFERROR(__xludf.DUMMYFUNCTION("""COMPUTED_VALUE"""),133.0)</f>
        <v>133</v>
      </c>
      <c r="B27" s="88" t="str">
        <f>IFERROR(__xludf.DUMMYFUNCTION("""COMPUTED_VALUE"""),"qeep_tyrosine_90caps")</f>
        <v>qeep_tyrosine_90caps</v>
      </c>
      <c r="C27" s="88">
        <f>IFERROR(__xludf.DUMMYFUNCTION("""COMPUTED_VALUE"""),9.50391195E8)</f>
        <v>950391195</v>
      </c>
      <c r="E27" s="88" t="str">
        <f>IFERROR(__xludf.DUMMYFUNCTION("""COMPUTED_VALUE"""),"На вывод")</f>
        <v>На вывод</v>
      </c>
      <c r="F27" s="88" t="str">
        <f>IFERROR(__xludf.DUMMYFUNCTION("""COMPUTED_VALUE"""),"Семен")</f>
        <v>Семен</v>
      </c>
      <c r="P27" s="88"/>
      <c r="Q27" s="88" t="str">
        <f>IFERROR(__xludf.DUMMYFUNCTION("""COMPUTED_VALUE"""),"qeep_biomelatonin_60caps")</f>
        <v>qeep_biomelatonin_60caps</v>
      </c>
      <c r="R27" s="88">
        <f>IFERROR(__xludf.DUMMYFUNCTION("""COMPUTED_VALUE"""),1.283143901E9)</f>
        <v>1283143901</v>
      </c>
      <c r="T27" s="88" t="str">
        <f>IFERROR(__xludf.DUMMYFUNCTION("""COMPUTED_VALUE"""),"На вывод")</f>
        <v>На вывод</v>
      </c>
      <c r="U27" s="88"/>
    </row>
    <row r="28">
      <c r="A28" s="88">
        <f>IFERROR(__xludf.DUMMYFUNCTION("""COMPUTED_VALUE"""),132.0)</f>
        <v>132</v>
      </c>
      <c r="B28" s="88" t="str">
        <f>IFERROR(__xludf.DUMMYFUNCTION("""COMPUTED_VALUE"""),"qeep_Lecithin_180caps")</f>
        <v>qeep_Lecithin_180caps</v>
      </c>
      <c r="C28" s="88">
        <f>IFERROR(__xludf.DUMMYFUNCTION("""COMPUTED_VALUE"""),9.48290832E8)</f>
        <v>948290832</v>
      </c>
      <c r="E28" s="88" t="str">
        <f>IFERROR(__xludf.DUMMYFUNCTION("""COMPUTED_VALUE"""),"На вывод")</f>
        <v>На вывод</v>
      </c>
      <c r="F28" s="88" t="str">
        <f>IFERROR(__xludf.DUMMYFUNCTION("""COMPUTED_VALUE"""),"Семен")</f>
        <v>Семен</v>
      </c>
      <c r="P28" s="88"/>
      <c r="Q28" s="88" t="str">
        <f>IFERROR(__xludf.DUMMYFUNCTION("""COMPUTED_VALUE"""),"qeep_enzyme_80g")</f>
        <v>qeep_enzyme_80g</v>
      </c>
      <c r="R28" s="88">
        <f>IFERROR(__xludf.DUMMYFUNCTION("""COMPUTED_VALUE"""),2.921727205E9)</f>
        <v>2921727205</v>
      </c>
      <c r="T28" s="88" t="str">
        <f>IFERROR(__xludf.DUMMYFUNCTION("""COMPUTED_VALUE"""),"Новинка")</f>
        <v>Новинка</v>
      </c>
      <c r="U28" s="88" t="str">
        <f>IFERROR(__xludf.DUMMYFUNCTION("""COMPUTED_VALUE"""),"Кристина")</f>
        <v>Кристина</v>
      </c>
    </row>
    <row r="29">
      <c r="A29" s="88">
        <f>IFERROR(__xludf.DUMMYFUNCTION("""COMPUTED_VALUE"""),131.0)</f>
        <v>131</v>
      </c>
      <c r="B29" s="88" t="str">
        <f>IFERROR(__xludf.DUMMYFUNCTION("""COMPUTED_VALUE"""),"qeep_biotin_5000_60caps")</f>
        <v>qeep_biotin_5000_60caps</v>
      </c>
      <c r="C29" s="88">
        <f>IFERROR(__xludf.DUMMYFUNCTION("""COMPUTED_VALUE"""),9.67642951E8)</f>
        <v>967642951</v>
      </c>
      <c r="E29" s="88" t="str">
        <f>IFERROR(__xludf.DUMMYFUNCTION("""COMPUTED_VALUE"""),"На вывод")</f>
        <v>На вывод</v>
      </c>
      <c r="F29" s="88" t="str">
        <f>IFERROR(__xludf.DUMMYFUNCTION("""COMPUTED_VALUE"""),"Семен")</f>
        <v>Семен</v>
      </c>
      <c r="P29" s="88"/>
      <c r="Q29" s="88" t="str">
        <f>IFERROR(__xludf.DUMMYFUNCTION("""COMPUTED_VALUE"""),"qeep_retinolcream_50ml")</f>
        <v>qeep_retinolcream_50ml</v>
      </c>
      <c r="R29" s="88">
        <f>IFERROR(__xludf.DUMMYFUNCTION("""COMPUTED_VALUE"""),2.921798266E9)</f>
        <v>2921798266</v>
      </c>
      <c r="T29" s="88" t="str">
        <f>IFERROR(__xludf.DUMMYFUNCTION("""COMPUTED_VALUE"""),"Новинка")</f>
        <v>Новинка</v>
      </c>
      <c r="U29" s="88" t="str">
        <f>IFERROR(__xludf.DUMMYFUNCTION("""COMPUTED_VALUE"""),"Кристина")</f>
        <v>Кристина</v>
      </c>
    </row>
    <row r="30">
      <c r="A30" s="88">
        <f>IFERROR(__xludf.DUMMYFUNCTION("""COMPUTED_VALUE"""),130.0)</f>
        <v>130</v>
      </c>
      <c r="B30" s="88" t="str">
        <f>IFERROR(__xludf.DUMMYFUNCTION("""COMPUTED_VALUE"""),"qeep_womenprobiotics_60caps")</f>
        <v>qeep_womenprobiotics_60caps</v>
      </c>
      <c r="C30" s="88">
        <f>IFERROR(__xludf.DUMMYFUNCTION("""COMPUTED_VALUE"""),1.286883075E9)</f>
        <v>1286883075</v>
      </c>
      <c r="E30" s="88" t="str">
        <f>IFERROR(__xludf.DUMMYFUNCTION("""COMPUTED_VALUE"""),"На вывод")</f>
        <v>На вывод</v>
      </c>
      <c r="F30" s="88" t="str">
        <f>IFERROR(__xludf.DUMMYFUNCTION("""COMPUTED_VALUE"""),"Семен")</f>
        <v>Семен</v>
      </c>
      <c r="P30" s="88"/>
      <c r="Q30" s="88" t="str">
        <f>IFERROR(__xludf.DUMMYFUNCTION("""COMPUTED_VALUE"""),"qeep_inositol1500mg_60caps")</f>
        <v>qeep_inositol1500mg_60caps</v>
      </c>
      <c r="R30" s="88">
        <f>IFERROR(__xludf.DUMMYFUNCTION("""COMPUTED_VALUE"""),2.946850815E9)</f>
        <v>2946850815</v>
      </c>
      <c r="T30" s="88" t="str">
        <f>IFERROR(__xludf.DUMMYFUNCTION("""COMPUTED_VALUE"""),"Новинка")</f>
        <v>Новинка</v>
      </c>
      <c r="U30" s="88" t="str">
        <f>IFERROR(__xludf.DUMMYFUNCTION("""COMPUTED_VALUE"""),"Семен")</f>
        <v>Семен</v>
      </c>
    </row>
    <row r="31">
      <c r="A31" s="88">
        <f>IFERROR(__xludf.DUMMYFUNCTION("""COMPUTED_VALUE"""),129.0)</f>
        <v>129</v>
      </c>
      <c r="B31" s="88" t="str">
        <f>IFERROR(__xludf.DUMMYFUNCTION("""COMPUTED_VALUE"""),"qeep_Prebiotics_Probiotic_Complex")</f>
        <v>qeep_Prebiotics_Probiotic_Complex</v>
      </c>
      <c r="C31" s="88">
        <f>IFERROR(__xludf.DUMMYFUNCTION("""COMPUTED_VALUE"""),1.099704591E9)</f>
        <v>1099704591</v>
      </c>
      <c r="E31" s="88" t="str">
        <f>IFERROR(__xludf.DUMMYFUNCTION("""COMPUTED_VALUE"""),"На вывод")</f>
        <v>На вывод</v>
      </c>
      <c r="F31" s="88" t="str">
        <f>IFERROR(__xludf.DUMMYFUNCTION("""COMPUTED_VALUE"""),"Семен")</f>
        <v>Семен</v>
      </c>
      <c r="P31" s="88"/>
      <c r="Q31" s="88" t="str">
        <f>IFERROR(__xludf.DUMMYFUNCTION("""COMPUTED_VALUE"""),"harly_pawprotector_50ml")</f>
        <v>harly_pawprotector_50ml</v>
      </c>
      <c r="R31" s="88">
        <f>IFERROR(__xludf.DUMMYFUNCTION("""COMPUTED_VALUE"""),2.947054189E9)</f>
        <v>2947054189</v>
      </c>
      <c r="T31" s="88" t="str">
        <f>IFERROR(__xludf.DUMMYFUNCTION("""COMPUTED_VALUE"""),"Актуально")</f>
        <v>Актуально</v>
      </c>
      <c r="U31" s="88" t="str">
        <f>IFERROR(__xludf.DUMMYFUNCTION("""COMPUTED_VALUE"""),"Семен")</f>
        <v>Семен</v>
      </c>
    </row>
    <row r="32">
      <c r="A32" s="88">
        <f>IFERROR(__xludf.DUMMYFUNCTION("""COMPUTED_VALUE"""),128.0)</f>
        <v>128</v>
      </c>
      <c r="B32" s="88" t="str">
        <f>IFERROR(__xludf.DUMMYFUNCTION("""COMPUTED_VALUE"""),"qeep_probiotic_kids_30caps")</f>
        <v>qeep_probiotic_kids_30caps</v>
      </c>
      <c r="C32" s="88">
        <f>IFERROR(__xludf.DUMMYFUNCTION("""COMPUTED_VALUE"""),9.65078619E8)</f>
        <v>965078619</v>
      </c>
      <c r="E32" s="88" t="str">
        <f>IFERROR(__xludf.DUMMYFUNCTION("""COMPUTED_VALUE"""),"Выведено")</f>
        <v>Выведено</v>
      </c>
      <c r="F32" s="88" t="str">
        <f>IFERROR(__xludf.DUMMYFUNCTION("""COMPUTED_VALUE"""),"Выведено")</f>
        <v>Выведено</v>
      </c>
      <c r="P32" s="88"/>
      <c r="Q32" s="88" t="str">
        <f>IFERROR(__xludf.DUMMYFUNCTION("""COMPUTED_VALUE"""),"qeep_probioticdetox_60caps")</f>
        <v>qeep_probioticdetox_60caps</v>
      </c>
      <c r="R32" s="88">
        <f>IFERROR(__xludf.DUMMYFUNCTION("""COMPUTED_VALUE"""),3.010994519E9)</f>
        <v>3010994519</v>
      </c>
      <c r="T32" s="88" t="str">
        <f>IFERROR(__xludf.DUMMYFUNCTION("""COMPUTED_VALUE"""),"Новинка")</f>
        <v>Новинка</v>
      </c>
      <c r="U32" s="88" t="str">
        <f>IFERROR(__xludf.DUMMYFUNCTION("""COMPUTED_VALUE"""),"Семен")</f>
        <v>Семен</v>
      </c>
    </row>
    <row r="33">
      <c r="A33" s="88">
        <f>IFERROR(__xludf.DUMMYFUNCTION("""COMPUTED_VALUE"""),127.0)</f>
        <v>127</v>
      </c>
      <c r="B33" s="88" t="str">
        <f>IFERROR(__xludf.DUMMYFUNCTION("""COMPUTED_VALUE"""),"qeepProbiotic_Complex")</f>
        <v>qeepProbiotic_Complex</v>
      </c>
      <c r="C33" s="88">
        <f>IFERROR(__xludf.DUMMYFUNCTION("""COMPUTED_VALUE"""),8.8122843E8)</f>
        <v>881228430</v>
      </c>
      <c r="E33" s="88" t="str">
        <f>IFERROR(__xludf.DUMMYFUNCTION("""COMPUTED_VALUE"""),"На вывод")</f>
        <v>На вывод</v>
      </c>
      <c r="F33" s="88" t="str">
        <f>IFERROR(__xludf.DUMMYFUNCTION("""COMPUTED_VALUE"""),"Семен")</f>
        <v>Семен</v>
      </c>
      <c r="P33" s="88"/>
      <c r="Q33" s="88" t="str">
        <f>IFERROR(__xludf.DUMMYFUNCTION("""COMPUTED_VALUE"""),"qeep_zma_120caps_v2")</f>
        <v>qeep_zma_120caps_v2</v>
      </c>
      <c r="R33" s="88">
        <f>IFERROR(__xludf.DUMMYFUNCTION("""COMPUTED_VALUE"""),3.044876607E9)</f>
        <v>3044876607</v>
      </c>
      <c r="T33" s="88" t="str">
        <f>IFERROR(__xludf.DUMMYFUNCTION("""COMPUTED_VALUE"""),"Новинка")</f>
        <v>Новинка</v>
      </c>
      <c r="U33" s="88" t="str">
        <f>IFERROR(__xludf.DUMMYFUNCTION("""COMPUTED_VALUE"""),"Семен")</f>
        <v>Семен</v>
      </c>
    </row>
    <row r="34">
      <c r="A34" s="88">
        <f>IFERROR(__xludf.DUMMYFUNCTION("""COMPUTED_VALUE"""),126.0)</f>
        <v>126</v>
      </c>
      <c r="B34" s="88" t="str">
        <f>IFERROR(__xludf.DUMMYFUNCTION("""COMPUTED_VALUE"""),"qeepProbiotic_Complex1+1")</f>
        <v>qeepProbiotic_Complex1+1</v>
      </c>
      <c r="C34" s="88">
        <f>IFERROR(__xludf.DUMMYFUNCTION("""COMPUTED_VALUE"""),8.81228424E8)</f>
        <v>881228424</v>
      </c>
      <c r="E34" s="88" t="str">
        <f>IFERROR(__xludf.DUMMYFUNCTION("""COMPUTED_VALUE"""),"На вывод")</f>
        <v>На вывод</v>
      </c>
      <c r="F34" s="88" t="str">
        <f>IFERROR(__xludf.DUMMYFUNCTION("""COMPUTED_VALUE"""),"Семен")</f>
        <v>Семен</v>
      </c>
      <c r="P34" s="88"/>
      <c r="Q34" s="88" t="str">
        <f>IFERROR(__xludf.DUMMYFUNCTION("""COMPUTED_VALUE"""),"harly_salmonoil_250ml")</f>
        <v>harly_salmonoil_250ml</v>
      </c>
      <c r="R34" s="88">
        <f>IFERROR(__xludf.DUMMYFUNCTION("""COMPUTED_VALUE"""),3.106984552E9)</f>
        <v>3106984552</v>
      </c>
      <c r="T34" s="88" t="str">
        <f>IFERROR(__xludf.DUMMYFUNCTION("""COMPUTED_VALUE"""),"Новинка")</f>
        <v>Новинка</v>
      </c>
      <c r="U34" s="88" t="str">
        <f>IFERROR(__xludf.DUMMYFUNCTION("""COMPUTED_VALUE"""),"Семен")</f>
        <v>Семен</v>
      </c>
    </row>
    <row r="35">
      <c r="A35" s="88">
        <f>IFERROR(__xludf.DUMMYFUNCTION("""COMPUTED_VALUE"""),125.0)</f>
        <v>125</v>
      </c>
      <c r="B35" s="88" t="str">
        <f>IFERROR(__xludf.DUMMYFUNCTION("""COMPUTED_VALUE"""),"qeepprobiotics")</f>
        <v>qeepprobiotics</v>
      </c>
      <c r="C35" s="88">
        <f>IFERROR(__xludf.DUMMYFUNCTION("""COMPUTED_VALUE"""),8.14830745E8)</f>
        <v>814830745</v>
      </c>
      <c r="E35" s="88" t="str">
        <f>IFERROR(__xludf.DUMMYFUNCTION("""COMPUTED_VALUE"""),"Актуально")</f>
        <v>Актуально</v>
      </c>
      <c r="F35" s="88" t="str">
        <f>IFERROR(__xludf.DUMMYFUNCTION("""COMPUTED_VALUE"""),"Света")</f>
        <v>Света</v>
      </c>
      <c r="P35" s="88"/>
      <c r="Q35" s="88" t="str">
        <f>IFERROR(__xludf.DUMMYFUNCTION("""COMPUTED_VALUE"""),"qeep_chlorophyll_500ml_v2")</f>
        <v>qeep_chlorophyll_500ml_v2</v>
      </c>
      <c r="R35" s="88">
        <f>IFERROR(__xludf.DUMMYFUNCTION("""COMPUTED_VALUE"""),3.108027348E9)</f>
        <v>3108027348</v>
      </c>
      <c r="T35" s="88" t="str">
        <f>IFERROR(__xludf.DUMMYFUNCTION("""COMPUTED_VALUE"""),"Новинка")</f>
        <v>Новинка</v>
      </c>
      <c r="U35" s="88" t="str">
        <f>IFERROR(__xludf.DUMMYFUNCTION("""COMPUTED_VALUE"""),"Семен")</f>
        <v>Семен</v>
      </c>
    </row>
    <row r="36">
      <c r="A36" s="88">
        <f>IFERROR(__xludf.DUMMYFUNCTION("""COMPUTED_VALUE"""),124.0)</f>
        <v>124</v>
      </c>
      <c r="B36" s="88" t="str">
        <f>IFERROR(__xludf.DUMMYFUNCTION("""COMPUTED_VALUE"""),"qeep_gummy_multivit_60")</f>
        <v>qeep_gummy_multivit_60</v>
      </c>
      <c r="C36" s="88">
        <f>IFERROR(__xludf.DUMMYFUNCTION("""COMPUTED_VALUE"""),1.773844375E9)</f>
        <v>1773844375</v>
      </c>
      <c r="E36" s="88" t="str">
        <f>IFERROR(__xludf.DUMMYFUNCTION("""COMPUTED_VALUE"""),"На вывод")</f>
        <v>На вывод</v>
      </c>
      <c r="F36" s="88" t="str">
        <f>IFERROR(__xludf.DUMMYFUNCTION("""COMPUTED_VALUE"""),"Света")</f>
        <v>Света</v>
      </c>
      <c r="P36" s="88"/>
      <c r="Q36" s="88" t="str">
        <f>IFERROR(__xludf.DUMMYFUNCTION("""COMPUTED_VALUE"""),"qeep_spf50_50ml")</f>
        <v>qeep_spf50_50ml</v>
      </c>
      <c r="R36" s="88">
        <f>IFERROR(__xludf.DUMMYFUNCTION("""COMPUTED_VALUE"""),3.1909721E9)</f>
        <v>3190972100</v>
      </c>
      <c r="T36" s="88" t="str">
        <f>IFERROR(__xludf.DUMMYFUNCTION("""COMPUTED_VALUE"""),"Новинка")</f>
        <v>Новинка</v>
      </c>
      <c r="U36" s="88" t="str">
        <f>IFERROR(__xludf.DUMMYFUNCTION("""COMPUTED_VALUE"""),"Кристина")</f>
        <v>Кристина</v>
      </c>
    </row>
    <row r="37">
      <c r="A37" s="88">
        <f>IFERROR(__xludf.DUMMYFUNCTION("""COMPUTED_VALUE"""),123.0)</f>
        <v>123</v>
      </c>
      <c r="B37" s="88" t="str">
        <f>IFERROR(__xludf.DUMMYFUNCTION("""COMPUTED_VALUE"""),"qeepchrom")</f>
        <v>qeepchrom</v>
      </c>
      <c r="C37" s="88">
        <f>IFERROR(__xludf.DUMMYFUNCTION("""COMPUTED_VALUE"""),7.51282312E8)</f>
        <v>751282312</v>
      </c>
      <c r="E37" s="88" t="str">
        <f>IFERROR(__xludf.DUMMYFUNCTION("""COMPUTED_VALUE"""),"На вывод")</f>
        <v>На вывод</v>
      </c>
      <c r="F37" s="88" t="str">
        <f>IFERROR(__xludf.DUMMYFUNCTION("""COMPUTED_VALUE"""),"Семен")</f>
        <v>Семен</v>
      </c>
      <c r="P37" s="88"/>
      <c r="Q37" s="88" t="str">
        <f>IFERROR(__xludf.DUMMYFUNCTION("""COMPUTED_VALUE"""),"qeep_retinolcream1_50ml")</f>
        <v>qeep_retinolcream1_50ml</v>
      </c>
      <c r="R37" s="88">
        <f>IFERROR(__xludf.DUMMYFUNCTION("""COMPUTED_VALUE"""),3.219081694E9)</f>
        <v>3219081694</v>
      </c>
      <c r="T37" s="88" t="str">
        <f>IFERROR(__xludf.DUMMYFUNCTION("""COMPUTED_VALUE"""),"Новинка")</f>
        <v>Новинка</v>
      </c>
      <c r="U37" s="88" t="str">
        <f>IFERROR(__xludf.DUMMYFUNCTION("""COMPUTED_VALUE"""),"Кристина")</f>
        <v>Кристина</v>
      </c>
    </row>
    <row r="38">
      <c r="A38" s="88">
        <f>IFERROR(__xludf.DUMMYFUNCTION("""COMPUTED_VALUE"""),122.0)</f>
        <v>122</v>
      </c>
      <c r="B38" s="88" t="str">
        <f>IFERROR(__xludf.DUMMYFUNCTION("""COMPUTED_VALUE"""),"qeep_magnesiumB6_120caps")</f>
        <v>qeep_magnesiumB6_120caps</v>
      </c>
      <c r="C38" s="88">
        <f>IFERROR(__xludf.DUMMYFUNCTION("""COMPUTED_VALUE"""),1.082288574E9)</f>
        <v>1082288574</v>
      </c>
      <c r="E38" s="88" t="str">
        <f>IFERROR(__xludf.DUMMYFUNCTION("""COMPUTED_VALUE"""),"На вывод")</f>
        <v>На вывод</v>
      </c>
      <c r="F38" s="88" t="str">
        <f>IFERROR(__xludf.DUMMYFUNCTION("""COMPUTED_VALUE"""),"Семен")</f>
        <v>Семен</v>
      </c>
      <c r="P38" s="88"/>
      <c r="Q38" s="88" t="str">
        <f>IFERROR(__xludf.DUMMYFUNCTION("""COMPUTED_VALUE"""),"qeep_retinolcream15_50ml")</f>
        <v>qeep_retinolcream15_50ml</v>
      </c>
      <c r="R38" s="88">
        <f>IFERROR(__xludf.DUMMYFUNCTION("""COMPUTED_VALUE"""),3.220730122E9)</f>
        <v>3220730122</v>
      </c>
      <c r="T38" s="88" t="str">
        <f>IFERROR(__xludf.DUMMYFUNCTION("""COMPUTED_VALUE"""),"Новинка")</f>
        <v>Новинка</v>
      </c>
      <c r="U38" s="88" t="str">
        <f>IFERROR(__xludf.DUMMYFUNCTION("""COMPUTED_VALUE"""),"Кристина")</f>
        <v>Кристина</v>
      </c>
    </row>
    <row r="39">
      <c r="A39" s="88">
        <f>IFERROR(__xludf.DUMMYFUNCTION("""COMPUTED_VALUE"""),121.0)</f>
        <v>121</v>
      </c>
      <c r="B39" s="88" t="str">
        <f>IFERROR(__xludf.DUMMYFUNCTION("""COMPUTED_VALUE"""),"qeep_magnesium_180g")</f>
        <v>qeep_magnesium_180g</v>
      </c>
      <c r="C39" s="88" t="str">
        <f>IFERROR(__xludf.DUMMYFUNCTION("""COMPUTED_VALUE"""),"#N/A")</f>
        <v>#N/A</v>
      </c>
      <c r="E39" s="88" t="str">
        <f>IFERROR(__xludf.DUMMYFUNCTION("""COMPUTED_VALUE"""),"На вывод")</f>
        <v>На вывод</v>
      </c>
      <c r="F39" s="88" t="str">
        <f>IFERROR(__xludf.DUMMYFUNCTION("""COMPUTED_VALUE"""),"Семен")</f>
        <v>Семен</v>
      </c>
      <c r="P39" s="88">
        <f>IFERROR(__xludf.DUMMYFUNCTION("""COMPUTED_VALUE"""),41.0)</f>
        <v>41</v>
      </c>
      <c r="Q39" s="88" t="str">
        <f>IFERROR(__xludf.DUMMYFUNCTION("""COMPUTED_VALUE"""),"qeep_biotin_10000_60caps")</f>
        <v>qeep_biotin_10000_60caps</v>
      </c>
      <c r="R39" s="88">
        <f>IFERROR(__xludf.DUMMYFUNCTION("""COMPUTED_VALUE"""),1.77339413E9)</f>
        <v>1773394130</v>
      </c>
      <c r="T39" s="88" t="str">
        <f>IFERROR(__xludf.DUMMYFUNCTION("""COMPUTED_VALUE"""),"Актуально")</f>
        <v>Актуально</v>
      </c>
      <c r="U39" s="88" t="str">
        <f>IFERROR(__xludf.DUMMYFUNCTION("""COMPUTED_VALUE"""),"Семен")</f>
        <v>Семен</v>
      </c>
    </row>
    <row r="40">
      <c r="A40" s="88">
        <f>IFERROR(__xludf.DUMMYFUNCTION("""COMPUTED_VALUE"""),120.0)</f>
        <v>120</v>
      </c>
      <c r="B40" s="88" t="str">
        <f>IFERROR(__xludf.DUMMYFUNCTION("""COMPUTED_VALUE"""),"qeep_womenmulti_60caps")</f>
        <v>qeep_womenmulti_60caps</v>
      </c>
      <c r="C40" s="88">
        <f>IFERROR(__xludf.DUMMYFUNCTION("""COMPUTED_VALUE"""),1.092025113E9)</f>
        <v>1092025113</v>
      </c>
      <c r="E40" s="88" t="str">
        <f>IFERROR(__xludf.DUMMYFUNCTION("""COMPUTED_VALUE"""),"На вывод")</f>
        <v>На вывод</v>
      </c>
      <c r="F40" s="88" t="str">
        <f>IFERROR(__xludf.DUMMYFUNCTION("""COMPUTED_VALUE"""),"Семен")</f>
        <v>Семен</v>
      </c>
      <c r="P40" s="88">
        <f>IFERROR(__xludf.DUMMYFUNCTION("""COMPUTED_VALUE"""),48.0)</f>
        <v>48</v>
      </c>
      <c r="Q40" s="88" t="str">
        <f>IFERROR(__xludf.DUMMYFUNCTION("""COMPUTED_VALUE"""),"qeep_pqq_30caps")</f>
        <v>qeep_pqq_30caps</v>
      </c>
      <c r="R40" s="88">
        <f>IFERROR(__xludf.DUMMYFUNCTION("""COMPUTED_VALUE"""),1.785810392E9)</f>
        <v>1785810392</v>
      </c>
      <c r="T40" s="88" t="str">
        <f>IFERROR(__xludf.DUMMYFUNCTION("""COMPUTED_VALUE"""),"Актуально")</f>
        <v>Актуально</v>
      </c>
      <c r="U40" s="88" t="str">
        <f>IFERROR(__xludf.DUMMYFUNCTION("""COMPUTED_VALUE"""),"Семен")</f>
        <v>Семен</v>
      </c>
    </row>
    <row r="41">
      <c r="A41" s="88">
        <f>IFERROR(__xludf.DUMMYFUNCTION("""COMPUTED_VALUE"""),119.0)</f>
        <v>119</v>
      </c>
      <c r="B41" s="88" t="str">
        <f>IFERROR(__xludf.DUMMYFUNCTION("""COMPUTED_VALUE"""),"qeepantioxy1+1")</f>
        <v>qeepantioxy1+1</v>
      </c>
      <c r="C41" s="88">
        <f>IFERROR(__xludf.DUMMYFUNCTION("""COMPUTED_VALUE"""),8.8044412E8)</f>
        <v>880444120</v>
      </c>
      <c r="E41" s="88" t="str">
        <f>IFERROR(__xludf.DUMMYFUNCTION("""COMPUTED_VALUE"""),"На вывод")</f>
        <v>На вывод</v>
      </c>
      <c r="F41" s="88" t="str">
        <f>IFERROR(__xludf.DUMMYFUNCTION("""COMPUTED_VALUE"""),"Семен")</f>
        <v>Семен</v>
      </c>
      <c r="P41" s="88">
        <f>IFERROR(__xludf.DUMMYFUNCTION("""COMPUTED_VALUE"""),53.0)</f>
        <v>53</v>
      </c>
      <c r="Q41" s="88" t="str">
        <f>IFERROR(__xludf.DUMMYFUNCTION("""COMPUTED_VALUE"""),"qeep_biopurin_60caps")</f>
        <v>qeep_biopurin_60caps</v>
      </c>
      <c r="R41" s="88">
        <f>IFERROR(__xludf.DUMMYFUNCTION("""COMPUTED_VALUE"""),1.884226546E9)</f>
        <v>1884226546</v>
      </c>
      <c r="T41" s="88" t="str">
        <f>IFERROR(__xludf.DUMMYFUNCTION("""COMPUTED_VALUE"""),"Актуально")</f>
        <v>Актуально</v>
      </c>
      <c r="U41" s="88" t="str">
        <f>IFERROR(__xludf.DUMMYFUNCTION("""COMPUTED_VALUE"""),"Семен")</f>
        <v>Семен</v>
      </c>
    </row>
    <row r="42">
      <c r="A42" s="88">
        <f>IFERROR(__xludf.DUMMYFUNCTION("""COMPUTED_VALUE"""),118.0)</f>
        <v>118</v>
      </c>
      <c r="B42" s="88" t="str">
        <f>IFERROR(__xludf.DUMMYFUNCTION("""COMPUTED_VALUE"""),"qoenzyme1+1")</f>
        <v>qoenzyme1+1</v>
      </c>
      <c r="C42" s="88">
        <f>IFERROR(__xludf.DUMMYFUNCTION("""COMPUTED_VALUE"""),8.72805901E8)</f>
        <v>872805901</v>
      </c>
      <c r="E42" s="88" t="str">
        <f>IFERROR(__xludf.DUMMYFUNCTION("""COMPUTED_VALUE"""),"На вывод")</f>
        <v>На вывод</v>
      </c>
      <c r="F42" s="88" t="str">
        <f>IFERROR(__xludf.DUMMYFUNCTION("""COMPUTED_VALUE"""),"Семен")</f>
        <v>Семен</v>
      </c>
      <c r="P42" s="88">
        <f>IFERROR(__xludf.DUMMYFUNCTION("""COMPUTED_VALUE"""),57.0)</f>
        <v>57</v>
      </c>
      <c r="Q42" s="88" t="str">
        <f>IFERROR(__xludf.DUMMYFUNCTION("""COMPUTED_VALUE"""),"qeep_bcomplex_90caps")</f>
        <v>qeep_bcomplex_90caps</v>
      </c>
      <c r="R42" s="88">
        <f>IFERROR(__xludf.DUMMYFUNCTION("""COMPUTED_VALUE"""),1.408084489E9)</f>
        <v>1408084489</v>
      </c>
      <c r="T42" s="88" t="str">
        <f>IFERROR(__xludf.DUMMYFUNCTION("""COMPUTED_VALUE"""),"Актуально")</f>
        <v>Актуально</v>
      </c>
      <c r="U42" s="88" t="str">
        <f>IFERROR(__xludf.DUMMYFUNCTION("""COMPUTED_VALUE"""),"Семен")</f>
        <v>Семен</v>
      </c>
    </row>
    <row r="43">
      <c r="A43" s="88">
        <f>IFERROR(__xludf.DUMMYFUNCTION("""COMPUTED_VALUE"""),117.0)</f>
        <v>117</v>
      </c>
      <c r="B43" s="88" t="str">
        <f>IFERROR(__xludf.DUMMYFUNCTION("""COMPUTED_VALUE"""),"qeepwomenmulti1+1")</f>
        <v>qeepwomenmulti1+1</v>
      </c>
      <c r="C43" s="88">
        <f>IFERROR(__xludf.DUMMYFUNCTION("""COMPUTED_VALUE"""),8.71809764E8)</f>
        <v>871809764</v>
      </c>
      <c r="E43" s="88" t="str">
        <f>IFERROR(__xludf.DUMMYFUNCTION("""COMPUTED_VALUE"""),"На вывод")</f>
        <v>На вывод</v>
      </c>
      <c r="F43" s="88" t="str">
        <f>IFERROR(__xludf.DUMMYFUNCTION("""COMPUTED_VALUE"""),"Семен")</f>
        <v>Семен</v>
      </c>
      <c r="P43" s="88">
        <f>IFERROR(__xludf.DUMMYFUNCTION("""COMPUTED_VALUE"""),71.0)</f>
        <v>71</v>
      </c>
      <c r="Q43" s="88" t="str">
        <f>IFERROR(__xludf.DUMMYFUNCTION("""COMPUTED_VALUE"""),"qeep_perfectwoman_60caps")</f>
        <v>qeep_perfectwoman_60caps</v>
      </c>
      <c r="R43" s="88">
        <f>IFERROR(__xludf.DUMMYFUNCTION("""COMPUTED_VALUE"""),1.500211407E9)</f>
        <v>1500211407</v>
      </c>
      <c r="T43" s="88" t="str">
        <f>IFERROR(__xludf.DUMMYFUNCTION("""COMPUTED_VALUE"""),"Актуально")</f>
        <v>Актуально</v>
      </c>
      <c r="U43" s="88" t="str">
        <f>IFERROR(__xludf.DUMMYFUNCTION("""COMPUTED_VALUE"""),"Семен")</f>
        <v>Семен</v>
      </c>
    </row>
    <row r="44">
      <c r="A44" s="88">
        <f>IFERROR(__xludf.DUMMYFUNCTION("""COMPUTED_VALUE"""),116.0)</f>
        <v>116</v>
      </c>
      <c r="B44" s="88" t="str">
        <f>IFERROR(__xludf.DUMMYFUNCTION("""COMPUTED_VALUE"""),"qeepmultivitamin")</f>
        <v>qeepmultivitamin</v>
      </c>
      <c r="C44" s="88">
        <f>IFERROR(__xludf.DUMMYFUNCTION("""COMPUTED_VALUE"""),6.18268309E8)</f>
        <v>618268309</v>
      </c>
      <c r="E44" s="88" t="str">
        <f>IFERROR(__xludf.DUMMYFUNCTION("""COMPUTED_VALUE"""),"На вывод")</f>
        <v>На вывод</v>
      </c>
      <c r="F44" s="88" t="str">
        <f>IFERROR(__xludf.DUMMYFUNCTION("""COMPUTED_VALUE"""),"Семен")</f>
        <v>Семен</v>
      </c>
      <c r="P44" s="88">
        <f>IFERROR(__xludf.DUMMYFUNCTION("""COMPUTED_VALUE"""),74.0)</f>
        <v>74</v>
      </c>
      <c r="Q44" s="88" t="str">
        <f>IFERROR(__xludf.DUMMYFUNCTION("""COMPUTED_VALUE"""),"qeepantioxy")</f>
        <v>qeepantioxy</v>
      </c>
      <c r="R44" s="88">
        <f>IFERROR(__xludf.DUMMYFUNCTION("""COMPUTED_VALUE"""),6.50452213E8)</f>
        <v>650452213</v>
      </c>
      <c r="T44" s="88" t="str">
        <f>IFERROR(__xludf.DUMMYFUNCTION("""COMPUTED_VALUE"""),"Актуально")</f>
        <v>Актуально</v>
      </c>
      <c r="U44" s="88" t="str">
        <f>IFERROR(__xludf.DUMMYFUNCTION("""COMPUTED_VALUE"""),"Семен")</f>
        <v>Семен</v>
      </c>
    </row>
    <row r="45">
      <c r="A45" s="88">
        <f>IFERROR(__xludf.DUMMYFUNCTION("""COMPUTED_VALUE"""),115.0)</f>
        <v>115</v>
      </c>
      <c r="B45" s="88" t="str">
        <f>IFERROR(__xludf.DUMMYFUNCTION("""COMPUTED_VALUE"""),"qeepwomenmulti")</f>
        <v>qeepwomenmulti</v>
      </c>
      <c r="C45" s="88">
        <f>IFERROR(__xludf.DUMMYFUNCTION("""COMPUTED_VALUE"""),6.17417253E8)</f>
        <v>617417253</v>
      </c>
      <c r="E45" s="88" t="str">
        <f>IFERROR(__xludf.DUMMYFUNCTION("""COMPUTED_VALUE"""),"На вывод")</f>
        <v>На вывод</v>
      </c>
      <c r="F45" s="88" t="str">
        <f>IFERROR(__xludf.DUMMYFUNCTION("""COMPUTED_VALUE"""),"Семен")</f>
        <v>Семен</v>
      </c>
      <c r="P45" s="88">
        <f>IFERROR(__xludf.DUMMYFUNCTION("""COMPUTED_VALUE"""),78.0)</f>
        <v>78</v>
      </c>
      <c r="Q45" s="88" t="str">
        <f>IFERROR(__xludf.DUMMYFUNCTION("""COMPUTED_VALUE"""),"qeep_si_beauty_90caps")</f>
        <v>qeep_si_beauty_90caps</v>
      </c>
      <c r="R45" s="88">
        <f>IFERROR(__xludf.DUMMYFUNCTION("""COMPUTED_VALUE"""),1.40811628E9)</f>
        <v>1408116280</v>
      </c>
      <c r="T45" s="88" t="str">
        <f>IFERROR(__xludf.DUMMYFUNCTION("""COMPUTED_VALUE"""),"Актуально")</f>
        <v>Актуально</v>
      </c>
      <c r="U45" s="88" t="str">
        <f>IFERROR(__xludf.DUMMYFUNCTION("""COMPUTED_VALUE"""),"Семен")</f>
        <v>Семен</v>
      </c>
    </row>
    <row r="46">
      <c r="A46" s="88">
        <f>IFERROR(__xludf.DUMMYFUNCTION("""COMPUTED_VALUE"""),114.0)</f>
        <v>114</v>
      </c>
      <c r="B46" s="88" t="str">
        <f>IFERROR(__xludf.DUMMYFUNCTION("""COMPUTED_VALUE"""),"qeep_dinokids_30caps")</f>
        <v>qeep_dinokids_30caps</v>
      </c>
      <c r="C46" s="88">
        <f>IFERROR(__xludf.DUMMYFUNCTION("""COMPUTED_VALUE"""),9.67716766E8)</f>
        <v>967716766</v>
      </c>
      <c r="E46" s="88" t="str">
        <f>IFERROR(__xludf.DUMMYFUNCTION("""COMPUTED_VALUE"""),"На вывод")</f>
        <v>На вывод</v>
      </c>
      <c r="F46" s="88" t="str">
        <f>IFERROR(__xludf.DUMMYFUNCTION("""COMPUTED_VALUE"""),"Семен")</f>
        <v>Семен</v>
      </c>
      <c r="P46" s="88">
        <f>IFERROR(__xludf.DUMMYFUNCTION("""COMPUTED_VALUE"""),79.0)</f>
        <v>79</v>
      </c>
      <c r="Q46" s="88" t="str">
        <f>IFERROR(__xludf.DUMMYFUNCTION("""COMPUTED_VALUE"""),"qoenzyme")</f>
        <v>qoenzyme</v>
      </c>
      <c r="R46" s="88">
        <f>IFERROR(__xludf.DUMMYFUNCTION("""COMPUTED_VALUE"""),6.16948885E8)</f>
        <v>616948885</v>
      </c>
      <c r="T46" s="88" t="str">
        <f>IFERROR(__xludf.DUMMYFUNCTION("""COMPUTED_VALUE"""),"Актуально")</f>
        <v>Актуально</v>
      </c>
      <c r="U46" s="88" t="str">
        <f>IFERROR(__xludf.DUMMYFUNCTION("""COMPUTED_VALUE"""),"Семен")</f>
        <v>Семен</v>
      </c>
    </row>
    <row r="47">
      <c r="A47" s="88">
        <f>IFERROR(__xludf.DUMMYFUNCTION("""COMPUTED_VALUE"""),113.0)</f>
        <v>113</v>
      </c>
      <c r="B47" s="88" t="str">
        <f>IFERROR(__xludf.DUMMYFUNCTION("""COMPUTED_VALUE"""),"qeepvitakids")</f>
        <v>qeepvitakids</v>
      </c>
      <c r="C47" s="88">
        <f>IFERROR(__xludf.DUMMYFUNCTION("""COMPUTED_VALUE"""),6.37790722E8)</f>
        <v>637790722</v>
      </c>
      <c r="E47" s="88" t="str">
        <f>IFERROR(__xludf.DUMMYFUNCTION("""COMPUTED_VALUE"""),"На вывод")</f>
        <v>На вывод</v>
      </c>
      <c r="F47" s="88" t="str">
        <f>IFERROR(__xludf.DUMMYFUNCTION("""COMPUTED_VALUE"""),"Семен")</f>
        <v>Семен</v>
      </c>
      <c r="P47" s="88">
        <f>IFERROR(__xludf.DUMMYFUNCTION("""COMPUTED_VALUE"""),82.0)</f>
        <v>82</v>
      </c>
      <c r="Q47" s="88" t="str">
        <f>IFERROR(__xludf.DUMMYFUNCTION("""COMPUTED_VALUE"""),"qeep_chrom250_60caps")</f>
        <v>qeep_chrom250_60caps</v>
      </c>
      <c r="R47" s="88">
        <f>IFERROR(__xludf.DUMMYFUNCTION("""COMPUTED_VALUE"""),2.168454928E9)</f>
        <v>2168454928</v>
      </c>
      <c r="T47" s="88" t="str">
        <f>IFERROR(__xludf.DUMMYFUNCTION("""COMPUTED_VALUE"""),"Актуально")</f>
        <v>Актуально</v>
      </c>
      <c r="U47" s="88" t="str">
        <f>IFERROR(__xludf.DUMMYFUNCTION("""COMPUTED_VALUE"""),"Семен")</f>
        <v>Семен</v>
      </c>
    </row>
    <row r="48">
      <c r="A48" s="88">
        <f>IFERROR(__xludf.DUMMYFUNCTION("""COMPUTED_VALUE"""),112.0)</f>
        <v>112</v>
      </c>
      <c r="B48" s="88" t="str">
        <f>IFERROR(__xludf.DUMMYFUNCTION("""COMPUTED_VALUE"""),"qeepd3k3_1+1")</f>
        <v>qeepd3k3_1+1</v>
      </c>
      <c r="C48" s="88">
        <f>IFERROR(__xludf.DUMMYFUNCTION("""COMPUTED_VALUE"""),9.01402455E8)</f>
        <v>901402455</v>
      </c>
      <c r="E48" s="88" t="str">
        <f>IFERROR(__xludf.DUMMYFUNCTION("""COMPUTED_VALUE"""),"На вывод")</f>
        <v>На вывод</v>
      </c>
      <c r="F48" s="88" t="str">
        <f>IFERROR(__xludf.DUMMYFUNCTION("""COMPUTED_VALUE"""),"Семен")</f>
        <v>Семен</v>
      </c>
      <c r="P48" s="88">
        <f>IFERROR(__xludf.DUMMYFUNCTION("""COMPUTED_VALUE"""),83.0)</f>
        <v>83</v>
      </c>
      <c r="Q48" s="88" t="str">
        <f>IFERROR(__xludf.DUMMYFUNCTION("""COMPUTED_VALUE"""),"qeep_iron40mg_60caps")</f>
        <v>qeep_iron40mg_60caps</v>
      </c>
      <c r="R48" s="88">
        <f>IFERROR(__xludf.DUMMYFUNCTION("""COMPUTED_VALUE"""),1.713242647E9)</f>
        <v>1713242647</v>
      </c>
      <c r="T48" s="88" t="str">
        <f>IFERROR(__xludf.DUMMYFUNCTION("""COMPUTED_VALUE"""),"Актуально")</f>
        <v>Актуально</v>
      </c>
      <c r="U48" s="88" t="str">
        <f>IFERROR(__xludf.DUMMYFUNCTION("""COMPUTED_VALUE"""),"Семен")</f>
        <v>Семен</v>
      </c>
    </row>
    <row r="49">
      <c r="A49" s="88">
        <f>IFERROR(__xludf.DUMMYFUNCTION("""COMPUTED_VALUE"""),111.0)</f>
        <v>111</v>
      </c>
      <c r="B49" s="88" t="str">
        <f>IFERROR(__xludf.DUMMYFUNCTION("""COMPUTED_VALUE"""),"qeepd3k2")</f>
        <v>qeepd3k2</v>
      </c>
      <c r="C49" s="88">
        <f>IFERROR(__xludf.DUMMYFUNCTION("""COMPUTED_VALUE"""),7.84856113E8)</f>
        <v>784856113</v>
      </c>
      <c r="E49" s="88" t="str">
        <f>IFERROR(__xludf.DUMMYFUNCTION("""COMPUTED_VALUE"""),"На вывод")</f>
        <v>На вывод</v>
      </c>
      <c r="F49" s="88" t="str">
        <f>IFERROR(__xludf.DUMMYFUNCTION("""COMPUTED_VALUE"""),"Семен")</f>
        <v>Семен</v>
      </c>
      <c r="P49" s="88">
        <f>IFERROR(__xludf.DUMMYFUNCTION("""COMPUTED_VALUE"""),86.0)</f>
        <v>86</v>
      </c>
      <c r="Q49" s="88" t="str">
        <f>IFERROR(__xludf.DUMMYFUNCTION("""COMPUTED_VALUE"""),"qeep_climafem_60caps")</f>
        <v>qeep_climafem_60caps</v>
      </c>
      <c r="R49" s="88">
        <f>IFERROR(__xludf.DUMMYFUNCTION("""COMPUTED_VALUE"""),1.738941767E9)</f>
        <v>1738941767</v>
      </c>
      <c r="T49" s="88" t="str">
        <f>IFERROR(__xludf.DUMMYFUNCTION("""COMPUTED_VALUE"""),"Актуально")</f>
        <v>Актуально</v>
      </c>
      <c r="U49" s="88" t="str">
        <f>IFERROR(__xludf.DUMMYFUNCTION("""COMPUTED_VALUE"""),"Семен")</f>
        <v>Семен</v>
      </c>
    </row>
    <row r="50">
      <c r="A50" s="88">
        <f>IFERROR(__xludf.DUMMYFUNCTION("""COMPUTED_VALUE"""),110.0)</f>
        <v>110</v>
      </c>
      <c r="B50" s="88" t="str">
        <f>IFERROR(__xludf.DUMMYFUNCTION("""COMPUTED_VALUE"""),"qeepmctd3")</f>
        <v>qeepmctd3</v>
      </c>
      <c r="C50" s="88">
        <f>IFERROR(__xludf.DUMMYFUNCTION("""COMPUTED_VALUE"""),7.82091641E8)</f>
        <v>782091641</v>
      </c>
      <c r="E50" s="88" t="str">
        <f>IFERROR(__xludf.DUMMYFUNCTION("""COMPUTED_VALUE"""),"На вывод")</f>
        <v>На вывод</v>
      </c>
      <c r="F50" s="88" t="str">
        <f>IFERROR(__xludf.DUMMYFUNCTION("""COMPUTED_VALUE"""),"Семен")</f>
        <v>Семен</v>
      </c>
      <c r="P50" s="88">
        <f>IFERROR(__xludf.DUMMYFUNCTION("""COMPUTED_VALUE"""),25.0)</f>
        <v>25</v>
      </c>
      <c r="Q50" s="88" t="str">
        <f>IFERROR(__xludf.DUMMYFUNCTION("""COMPUTED_VALUE"""),"qeepprobiotics")</f>
        <v>qeepprobiotics</v>
      </c>
      <c r="R50" s="88">
        <f>IFERROR(__xludf.DUMMYFUNCTION("""COMPUTED_VALUE"""),6.50348972E8)</f>
        <v>650348972</v>
      </c>
      <c r="T50" s="88" t="str">
        <f>IFERROR(__xludf.DUMMYFUNCTION("""COMPUTED_VALUE"""),"Актуально")</f>
        <v>Актуально</v>
      </c>
      <c r="U50" s="88" t="str">
        <f>IFERROR(__xludf.DUMMYFUNCTION("""COMPUTED_VALUE"""),"Семен")</f>
        <v>Семен</v>
      </c>
    </row>
    <row r="51">
      <c r="A51" s="88">
        <f>IFERROR(__xludf.DUMMYFUNCTION("""COMPUTED_VALUE"""),109.0)</f>
        <v>109</v>
      </c>
      <c r="B51" s="88" t="str">
        <f>IFERROR(__xludf.DUMMYFUNCTION("""COMPUTED_VALUE"""),"qeepchrom1+1")</f>
        <v>qeepchrom1+1</v>
      </c>
      <c r="C51" s="88">
        <f>IFERROR(__xludf.DUMMYFUNCTION("""COMPUTED_VALUE"""),9.83821094E8)</f>
        <v>983821094</v>
      </c>
      <c r="E51" s="88" t="str">
        <f>IFERROR(__xludf.DUMMYFUNCTION("""COMPUTED_VALUE"""),"На вывод")</f>
        <v>На вывод</v>
      </c>
      <c r="F51" s="88" t="str">
        <f>IFERROR(__xludf.DUMMYFUNCTION("""COMPUTED_VALUE"""),"Семен")</f>
        <v>Семен</v>
      </c>
      <c r="P51" s="88">
        <f>IFERROR(__xludf.DUMMYFUNCTION("""COMPUTED_VALUE"""),60.0)</f>
        <v>60</v>
      </c>
      <c r="Q51" s="88" t="str">
        <f>IFERROR(__xludf.DUMMYFUNCTION("""COMPUTED_VALUE"""),"qeep_Antiparasite_60caps")</f>
        <v>qeep_Antiparasite_60caps</v>
      </c>
      <c r="R51" s="88">
        <f>IFERROR(__xludf.DUMMYFUNCTION("""COMPUTED_VALUE"""),1.323353605E9)</f>
        <v>1323353605</v>
      </c>
      <c r="T51" s="88" t="str">
        <f>IFERROR(__xludf.DUMMYFUNCTION("""COMPUTED_VALUE"""),"Актуально")</f>
        <v>Актуально</v>
      </c>
      <c r="U51" s="88" t="str">
        <f>IFERROR(__xludf.DUMMYFUNCTION("""COMPUTED_VALUE"""),"Семен")</f>
        <v>Семен</v>
      </c>
    </row>
    <row r="52">
      <c r="A52" s="88">
        <f>IFERROR(__xludf.DUMMYFUNCTION("""COMPUTED_VALUE"""),108.0)</f>
        <v>108</v>
      </c>
      <c r="B52" s="88" t="str">
        <f>IFERROR(__xludf.DUMMYFUNCTION("""COMPUTED_VALUE"""),"qeep_zinc_30tabs")</f>
        <v>qeep_zinc_30tabs</v>
      </c>
      <c r="C52" s="88">
        <f>IFERROR(__xludf.DUMMYFUNCTION("""COMPUTED_VALUE"""),1.56674041E9)</f>
        <v>1566740410</v>
      </c>
      <c r="E52" s="88" t="str">
        <f>IFERROR(__xludf.DUMMYFUNCTION("""COMPUTED_VALUE"""),"На вывод")</f>
        <v>На вывод</v>
      </c>
      <c r="F52" s="88" t="str">
        <f>IFERROR(__xludf.DUMMYFUNCTION("""COMPUTED_VALUE"""),"Семен")</f>
        <v>Семен</v>
      </c>
      <c r="P52" s="88">
        <f>IFERROR(__xludf.DUMMYFUNCTION("""COMPUTED_VALUE"""),69.0)</f>
        <v>69</v>
      </c>
      <c r="Q52" s="88" t="str">
        <f>IFERROR(__xludf.DUMMYFUNCTION("""COMPUTED_VALUE"""),"qeep_betain_60caps")</f>
        <v>qeep_betain_60caps</v>
      </c>
      <c r="R52" s="88">
        <f>IFERROR(__xludf.DUMMYFUNCTION("""COMPUTED_VALUE"""),1.101330936E9)</f>
        <v>1101330936</v>
      </c>
      <c r="T52" s="88" t="str">
        <f>IFERROR(__xludf.DUMMYFUNCTION("""COMPUTED_VALUE"""),"Актуально")</f>
        <v>Актуально</v>
      </c>
      <c r="U52" s="88" t="str">
        <f>IFERROR(__xludf.DUMMYFUNCTION("""COMPUTED_VALUE"""),"Семен")</f>
        <v>Семен</v>
      </c>
    </row>
    <row r="53">
      <c r="A53" s="88">
        <f>IFERROR(__xludf.DUMMYFUNCTION("""COMPUTED_VALUE"""),107.0)</f>
        <v>107</v>
      </c>
      <c r="B53" s="88" t="str">
        <f>IFERROR(__xludf.DUMMYFUNCTION("""COMPUTED_VALUE"""),"qeep_iodine_60caps")</f>
        <v>qeep_iodine_60caps</v>
      </c>
      <c r="C53" s="88">
        <f>IFERROR(__xludf.DUMMYFUNCTION("""COMPUTED_VALUE"""),1.271349661E9)</f>
        <v>1271349661</v>
      </c>
      <c r="E53" s="88" t="str">
        <f>IFERROR(__xludf.DUMMYFUNCTION("""COMPUTED_VALUE"""),"На вывод")</f>
        <v>На вывод</v>
      </c>
      <c r="F53" s="88" t="str">
        <f>IFERROR(__xludf.DUMMYFUNCTION("""COMPUTED_VALUE"""),"Семен")</f>
        <v>Семен</v>
      </c>
      <c r="P53" s="88">
        <f>IFERROR(__xludf.DUMMYFUNCTION("""COMPUTED_VALUE"""),73.0)</f>
        <v>73</v>
      </c>
      <c r="Q53" s="88" t="str">
        <f>IFERROR(__xludf.DUMMYFUNCTION("""COMPUTED_VALUE"""),"qeep_livercomplex_60caps")</f>
        <v>qeep_livercomplex_60caps</v>
      </c>
      <c r="R53" s="88">
        <f>IFERROR(__xludf.DUMMYFUNCTION("""COMPUTED_VALUE"""),9.85677823E8)</f>
        <v>985677823</v>
      </c>
      <c r="T53" s="88" t="str">
        <f>IFERROR(__xludf.DUMMYFUNCTION("""COMPUTED_VALUE"""),"Актуально")</f>
        <v>Актуально</v>
      </c>
      <c r="U53" s="88" t="str">
        <f>IFERROR(__xludf.DUMMYFUNCTION("""COMPUTED_VALUE"""),"Семен")</f>
        <v>Семен</v>
      </c>
    </row>
    <row r="54">
      <c r="A54" s="88">
        <f>IFERROR(__xludf.DUMMYFUNCTION("""COMPUTED_VALUE"""),106.0)</f>
        <v>106</v>
      </c>
      <c r="B54" s="88" t="str">
        <f>IFERROR(__xludf.DUMMYFUNCTION("""COMPUTED_VALUE"""),"qeep_calcium_90caps")</f>
        <v>qeep_calcium_90caps</v>
      </c>
      <c r="C54" s="88">
        <f>IFERROR(__xludf.DUMMYFUNCTION("""COMPUTED_VALUE"""),1.180963859E9)</f>
        <v>1180963859</v>
      </c>
      <c r="E54" s="88" t="str">
        <f>IFERROR(__xludf.DUMMYFUNCTION("""COMPUTED_VALUE"""),"На вывод")</f>
        <v>На вывод</v>
      </c>
      <c r="F54" s="88" t="str">
        <f>IFERROR(__xludf.DUMMYFUNCTION("""COMPUTED_VALUE"""),"Семен")</f>
        <v>Семен</v>
      </c>
      <c r="P54" s="88">
        <f>IFERROR(__xludf.DUMMYFUNCTION("""COMPUTED_VALUE"""),11.0)</f>
        <v>11</v>
      </c>
      <c r="Q54" s="88" t="str">
        <f>IFERROR(__xludf.DUMMYFUNCTION("""COMPUTED_VALUE"""),"harly_toothpaste_50ml")</f>
        <v>harly_toothpaste_50ml</v>
      </c>
      <c r="R54" s="88">
        <f>IFERROR(__xludf.DUMMYFUNCTION("""COMPUTED_VALUE"""),2.686479094E9)</f>
        <v>2686479094</v>
      </c>
      <c r="T54" s="88" t="str">
        <f>IFERROR(__xludf.DUMMYFUNCTION("""COMPUTED_VALUE"""),"Актуально")</f>
        <v>Актуально</v>
      </c>
      <c r="U54" s="88" t="str">
        <f>IFERROR(__xludf.DUMMYFUNCTION("""COMPUTED_VALUE"""),"Кристина")</f>
        <v>Кристина</v>
      </c>
    </row>
    <row r="55">
      <c r="A55" s="88">
        <f>IFERROR(__xludf.DUMMYFUNCTION("""COMPUTED_VALUE"""),105.0)</f>
        <v>105</v>
      </c>
      <c r="B55" s="88" t="str">
        <f>IFERROR(__xludf.DUMMYFUNCTION("""COMPUTED_VALUE"""),"qeepselenium")</f>
        <v>qeepselenium</v>
      </c>
      <c r="C55" s="88">
        <f>IFERROR(__xludf.DUMMYFUNCTION("""COMPUTED_VALUE"""),8.09190803E8)</f>
        <v>809190803</v>
      </c>
      <c r="E55" s="88" t="str">
        <f>IFERROR(__xludf.DUMMYFUNCTION("""COMPUTED_VALUE"""),"На вывод")</f>
        <v>На вывод</v>
      </c>
      <c r="F55" s="88" t="str">
        <f>IFERROR(__xludf.DUMMYFUNCTION("""COMPUTED_VALUE"""),"Семен")</f>
        <v>Семен</v>
      </c>
      <c r="P55" s="88">
        <f>IFERROR(__xludf.DUMMYFUNCTION("""COMPUTED_VALUE"""),29.0)</f>
        <v>29</v>
      </c>
      <c r="Q55" s="88" t="str">
        <f>IFERROR(__xludf.DUMMYFUNCTION("""COMPUTED_VALUE"""),"qeep_omega_3_1620_90caps")</f>
        <v>qeep_omega_3_1620_90caps</v>
      </c>
      <c r="R55" s="88">
        <f>IFERROR(__xludf.DUMMYFUNCTION("""COMPUTED_VALUE"""),9.89542196E8)</f>
        <v>989542196</v>
      </c>
      <c r="T55" s="88" t="str">
        <f>IFERROR(__xludf.DUMMYFUNCTION("""COMPUTED_VALUE"""),"Актуально")</f>
        <v>Актуально</v>
      </c>
      <c r="U55" s="88" t="str">
        <f>IFERROR(__xludf.DUMMYFUNCTION("""COMPUTED_VALUE"""),"Семен")</f>
        <v>Семен</v>
      </c>
    </row>
    <row r="56">
      <c r="A56" s="88">
        <f>IFERROR(__xludf.DUMMYFUNCTION("""COMPUTED_VALUE"""),104.0)</f>
        <v>104</v>
      </c>
      <c r="B56" s="88" t="str">
        <f>IFERROR(__xludf.DUMMYFUNCTION("""COMPUTED_VALUE"""),"qeeptripleiron")</f>
        <v>qeeptripleiron</v>
      </c>
      <c r="C56" s="88">
        <f>IFERROR(__xludf.DUMMYFUNCTION("""COMPUTED_VALUE"""),7.86142411E8)</f>
        <v>786142411</v>
      </c>
      <c r="E56" s="88" t="str">
        <f>IFERROR(__xludf.DUMMYFUNCTION("""COMPUTED_VALUE"""),"На вывод")</f>
        <v>На вывод</v>
      </c>
      <c r="F56" s="88" t="str">
        <f>IFERROR(__xludf.DUMMYFUNCTION("""COMPUTED_VALUE"""),"Семен")</f>
        <v>Семен</v>
      </c>
      <c r="P56" s="88">
        <f>IFERROR(__xludf.DUMMYFUNCTION("""COMPUTED_VALUE"""),30.0)</f>
        <v>30</v>
      </c>
      <c r="Q56" s="88" t="str">
        <f>IFERROR(__xludf.DUMMYFUNCTION("""COMPUTED_VALUE"""),"qeep_nac_90caps")</f>
        <v>qeep_nac_90caps</v>
      </c>
      <c r="R56" s="88">
        <f>IFERROR(__xludf.DUMMYFUNCTION("""COMPUTED_VALUE"""),1.613724697E9)</f>
        <v>1613724697</v>
      </c>
      <c r="T56" s="88" t="str">
        <f>IFERROR(__xludf.DUMMYFUNCTION("""COMPUTED_VALUE"""),"Актуально")</f>
        <v>Актуально</v>
      </c>
      <c r="U56" s="88" t="str">
        <f>IFERROR(__xludf.DUMMYFUNCTION("""COMPUTED_VALUE"""),"Семен")</f>
        <v>Семен</v>
      </c>
    </row>
    <row r="57">
      <c r="A57" s="88">
        <f>IFERROR(__xludf.DUMMYFUNCTION("""COMPUTED_VALUE"""),103.0)</f>
        <v>103</v>
      </c>
      <c r="B57" s="88" t="str">
        <f>IFERROR(__xludf.DUMMYFUNCTION("""COMPUTED_VALUE"""),"qeep_winterbox")</f>
        <v>qeep_winterbox</v>
      </c>
      <c r="C57" s="88">
        <f>IFERROR(__xludf.DUMMYFUNCTION("""COMPUTED_VALUE"""),1.773357213E9)</f>
        <v>1773357213</v>
      </c>
      <c r="E57" s="88" t="str">
        <f>IFERROR(__xludf.DUMMYFUNCTION("""COMPUTED_VALUE"""),"На вывод")</f>
        <v>На вывод</v>
      </c>
      <c r="F57" s="88" t="str">
        <f>IFERROR(__xludf.DUMMYFUNCTION("""COMPUTED_VALUE"""),"Семен")</f>
        <v>Семен</v>
      </c>
      <c r="P57" s="88">
        <f>IFERROR(__xludf.DUMMYFUNCTION("""COMPUTED_VALUE"""),31.0)</f>
        <v>31</v>
      </c>
      <c r="Q57" s="88" t="str">
        <f>IFERROR(__xludf.DUMMYFUNCTION("""COMPUTED_VALUE"""),"qeep_omega3_180caps")</f>
        <v>qeep_omega3_180caps</v>
      </c>
      <c r="R57" s="88">
        <f>IFERROR(__xludf.DUMMYFUNCTION("""COMPUTED_VALUE"""),1.566735886E9)</f>
        <v>1566735886</v>
      </c>
      <c r="T57" s="88" t="str">
        <f>IFERROR(__xludf.DUMMYFUNCTION("""COMPUTED_VALUE"""),"На вывод")</f>
        <v>На вывод</v>
      </c>
      <c r="U57" s="88" t="str">
        <f>IFERROR(__xludf.DUMMYFUNCTION("""COMPUTED_VALUE"""),"Семен")</f>
        <v>Семен</v>
      </c>
    </row>
    <row r="58">
      <c r="A58" s="88">
        <f>IFERROR(__xludf.DUMMYFUNCTION("""COMPUTED_VALUE"""),102.0)</f>
        <v>102</v>
      </c>
      <c r="B58" s="88" t="str">
        <f>IFERROR(__xludf.DUMMYFUNCTION("""COMPUTED_VALUE"""),"qeep_beautybox")</f>
        <v>qeep_beautybox</v>
      </c>
      <c r="C58" s="88">
        <f>IFERROR(__xludf.DUMMYFUNCTION("""COMPUTED_VALUE"""),1.773312643E9)</f>
        <v>1773312643</v>
      </c>
      <c r="E58" s="88" t="str">
        <f>IFERROR(__xludf.DUMMYFUNCTION("""COMPUTED_VALUE"""),"На вывод")</f>
        <v>На вывод</v>
      </c>
      <c r="F58" s="88" t="str">
        <f>IFERROR(__xludf.DUMMYFUNCTION("""COMPUTED_VALUE"""),"Семен")</f>
        <v>Семен</v>
      </c>
      <c r="P58" s="88">
        <f>IFERROR(__xludf.DUMMYFUNCTION("""COMPUTED_VALUE"""),35.0)</f>
        <v>35</v>
      </c>
      <c r="Q58" s="88" t="str">
        <f>IFERROR(__xludf.DUMMYFUNCTION("""COMPUTED_VALUE"""),"qeep_sodium_ascorbate_90caps")</f>
        <v>qeep_sodium_ascorbate_90caps</v>
      </c>
      <c r="R58" s="88">
        <f>IFERROR(__xludf.DUMMYFUNCTION("""COMPUTED_VALUE"""),1.181035529E9)</f>
        <v>1181035529</v>
      </c>
      <c r="T58" s="88" t="str">
        <f>IFERROR(__xludf.DUMMYFUNCTION("""COMPUTED_VALUE"""),"Актуально")</f>
        <v>Актуально</v>
      </c>
      <c r="U58" s="88" t="str">
        <f>IFERROR(__xludf.DUMMYFUNCTION("""COMPUTED_VALUE"""),"Семен")</f>
        <v>Семен</v>
      </c>
    </row>
    <row r="59">
      <c r="A59" s="88">
        <f>IFERROR(__xludf.DUMMYFUNCTION("""COMPUTED_VALUE"""),101.0)</f>
        <v>101</v>
      </c>
      <c r="B59" s="88" t="str">
        <f>IFERROR(__xludf.DUMMYFUNCTION("""COMPUTED_VALUE"""),"qeep_ginseng_60tabs")</f>
        <v>qeep_ginseng_60tabs</v>
      </c>
      <c r="C59" s="88">
        <f>IFERROR(__xludf.DUMMYFUNCTION("""COMPUTED_VALUE"""),9.46976846E8)</f>
        <v>946976846</v>
      </c>
      <c r="E59" s="88" t="str">
        <f>IFERROR(__xludf.DUMMYFUNCTION("""COMPUTED_VALUE"""),"На вывод")</f>
        <v>На вывод</v>
      </c>
      <c r="F59" s="88" t="str">
        <f>IFERROR(__xludf.DUMMYFUNCTION("""COMPUTED_VALUE"""),"Семен")</f>
        <v>Семен</v>
      </c>
      <c r="P59" s="88">
        <f>IFERROR(__xludf.DUMMYFUNCTION("""COMPUTED_VALUE"""),36.0)</f>
        <v>36</v>
      </c>
      <c r="Q59" s="88" t="str">
        <f>IFERROR(__xludf.DUMMYFUNCTION("""COMPUTED_VALUE"""),"qeepcurcumin_500mg_60caps")</f>
        <v>qeepcurcumin_500mg_60caps</v>
      </c>
      <c r="R59" s="88">
        <f>IFERROR(__xludf.DUMMYFUNCTION("""COMPUTED_VALUE"""),8.81205774E8)</f>
        <v>881205774</v>
      </c>
      <c r="T59" s="88" t="str">
        <f>IFERROR(__xludf.DUMMYFUNCTION("""COMPUTED_VALUE"""),"Актуально")</f>
        <v>Актуально</v>
      </c>
      <c r="U59" s="88" t="str">
        <f>IFERROR(__xludf.DUMMYFUNCTION("""COMPUTED_VALUE"""),"Семен")</f>
        <v>Семен</v>
      </c>
    </row>
    <row r="60">
      <c r="A60" s="88">
        <f>IFERROR(__xludf.DUMMYFUNCTION("""COMPUTED_VALUE"""),100.0)</f>
        <v>100</v>
      </c>
      <c r="B60" s="88" t="str">
        <f>IFERROR(__xludf.DUMMYFUNCTION("""COMPUTED_VALUE"""),"qeep_bcomplex_60caps")</f>
        <v>qeep_bcomplex_60caps</v>
      </c>
      <c r="C60" s="88">
        <f>IFERROR(__xludf.DUMMYFUNCTION("""COMPUTED_VALUE"""),1.271355943E9)</f>
        <v>1271355943</v>
      </c>
      <c r="E60" s="88" t="str">
        <f>IFERROR(__xludf.DUMMYFUNCTION("""COMPUTED_VALUE"""),"На вывод")</f>
        <v>На вывод</v>
      </c>
      <c r="F60" s="88" t="str">
        <f>IFERROR(__xludf.DUMMYFUNCTION("""COMPUTED_VALUE"""),"Семен")</f>
        <v>Семен</v>
      </c>
      <c r="P60" s="88">
        <f>IFERROR(__xludf.DUMMYFUNCTION("""COMPUTED_VALUE"""),37.0)</f>
        <v>37</v>
      </c>
      <c r="Q60" s="88" t="str">
        <f>IFERROR(__xludf.DUMMYFUNCTION("""COMPUTED_VALUE"""),"qeep_D3_30ml")</f>
        <v>qeep_D3_30ml</v>
      </c>
      <c r="R60" s="88">
        <f>IFERROR(__xludf.DUMMYFUNCTION("""COMPUTED_VALUE"""),9.45003764E8)</f>
        <v>945003764</v>
      </c>
      <c r="T60" s="88" t="str">
        <f>IFERROR(__xludf.DUMMYFUNCTION("""COMPUTED_VALUE"""),"Актуально")</f>
        <v>Актуально</v>
      </c>
      <c r="U60" s="88" t="str">
        <f>IFERROR(__xludf.DUMMYFUNCTION("""COMPUTED_VALUE"""),"Семен")</f>
        <v>Семен</v>
      </c>
    </row>
    <row r="61">
      <c r="A61" s="88">
        <f>IFERROR(__xludf.DUMMYFUNCTION("""COMPUTED_VALUE"""),99.0)</f>
        <v>99</v>
      </c>
      <c r="B61" s="88" t="str">
        <f>IFERROR(__xludf.DUMMYFUNCTION("""COMPUTED_VALUE"""),"qeep_folic_omega_60caps")</f>
        <v>qeep_folic_omega_60caps</v>
      </c>
      <c r="C61" s="88">
        <f>IFERROR(__xludf.DUMMYFUNCTION("""COMPUTED_VALUE"""),1.068139791E9)</f>
        <v>1068139791</v>
      </c>
      <c r="E61" s="88" t="str">
        <f>IFERROR(__xludf.DUMMYFUNCTION("""COMPUTED_VALUE"""),"На вывод")</f>
        <v>На вывод</v>
      </c>
      <c r="F61" s="88" t="str">
        <f>IFERROR(__xludf.DUMMYFUNCTION("""COMPUTED_VALUE"""),"Семен")</f>
        <v>Семен</v>
      </c>
      <c r="P61" s="88">
        <f>IFERROR(__xludf.DUMMYFUNCTION("""COMPUTED_VALUE"""),43.0)</f>
        <v>43</v>
      </c>
      <c r="Q61" s="88" t="str">
        <f>IFERROR(__xludf.DUMMYFUNCTION("""COMPUTED_VALUE"""),"qeepzinc")</f>
        <v>qeepzinc</v>
      </c>
      <c r="R61" s="88">
        <f>IFERROR(__xludf.DUMMYFUNCTION("""COMPUTED_VALUE"""),8.1482422E8)</f>
        <v>814824220</v>
      </c>
      <c r="T61" s="88" t="str">
        <f>IFERROR(__xludf.DUMMYFUNCTION("""COMPUTED_VALUE"""),"Актуально")</f>
        <v>Актуально</v>
      </c>
      <c r="U61" s="88" t="str">
        <f>IFERROR(__xludf.DUMMYFUNCTION("""COMPUTED_VALUE"""),"Семен")</f>
        <v>Семен</v>
      </c>
    </row>
    <row r="62">
      <c r="A62" s="88">
        <f>IFERROR(__xludf.DUMMYFUNCTION("""COMPUTED_VALUE"""),98.0)</f>
        <v>98</v>
      </c>
      <c r="B62" s="88" t="str">
        <f>IFERROR(__xludf.DUMMYFUNCTION("""COMPUTED_VALUE"""),"qeepzeolite")</f>
        <v>qeepzeolite</v>
      </c>
      <c r="C62" s="88" t="str">
        <f>IFERROR(__xludf.DUMMYFUNCTION("""COMPUTED_VALUE"""),"#N/A")</f>
        <v>#N/A</v>
      </c>
      <c r="E62" s="88" t="str">
        <f>IFERROR(__xludf.DUMMYFUNCTION("""COMPUTED_VALUE"""),"На вывод")</f>
        <v>На вывод</v>
      </c>
      <c r="F62" s="88" t="str">
        <f>IFERROR(__xludf.DUMMYFUNCTION("""COMPUTED_VALUE"""),"Семен")</f>
        <v>Семен</v>
      </c>
      <c r="P62" s="88">
        <f>IFERROR(__xludf.DUMMYFUNCTION("""COMPUTED_VALUE"""),45.0)</f>
        <v>45</v>
      </c>
      <c r="Q62" s="88" t="str">
        <f>IFERROR(__xludf.DUMMYFUNCTION("""COMPUTED_VALUE"""),"qeep_omega369_90caps")</f>
        <v>qeep_omega369_90caps</v>
      </c>
      <c r="R62" s="88">
        <f>IFERROR(__xludf.DUMMYFUNCTION("""COMPUTED_VALUE"""),1.0326954E9)</f>
        <v>1032695400</v>
      </c>
      <c r="T62" s="88" t="str">
        <f>IFERROR(__xludf.DUMMYFUNCTION("""COMPUTED_VALUE"""),"На вывод")</f>
        <v>На вывод</v>
      </c>
      <c r="U62" s="88" t="str">
        <f>IFERROR(__xludf.DUMMYFUNCTION("""COMPUTED_VALUE"""),"Семен")</f>
        <v>Семен</v>
      </c>
    </row>
    <row r="63">
      <c r="A63" s="88">
        <f>IFERROR(__xludf.DUMMYFUNCTION("""COMPUTED_VALUE"""),97.0)</f>
        <v>97</v>
      </c>
      <c r="B63" s="88" t="str">
        <f>IFERROR(__xludf.DUMMYFUNCTION("""COMPUTED_VALUE"""),"qeep_resveratrol_60caps")</f>
        <v>qeep_resveratrol_60caps</v>
      </c>
      <c r="C63" s="88">
        <f>IFERROR(__xludf.DUMMYFUNCTION("""COMPUTED_VALUE"""),1.271329609E9)</f>
        <v>1271329609</v>
      </c>
      <c r="E63" s="88" t="str">
        <f>IFERROR(__xludf.DUMMYFUNCTION("""COMPUTED_VALUE"""),"На вывод")</f>
        <v>На вывод</v>
      </c>
      <c r="F63" s="88" t="str">
        <f>IFERROR(__xludf.DUMMYFUNCTION("""COMPUTED_VALUE"""),"Семен")</f>
        <v>Семен</v>
      </c>
      <c r="P63" s="88">
        <f>IFERROR(__xludf.DUMMYFUNCTION("""COMPUTED_VALUE"""),66.0)</f>
        <v>66</v>
      </c>
      <c r="Q63" s="88" t="str">
        <f>IFERROR(__xludf.DUMMYFUNCTION("""COMPUTED_VALUE"""),"qeep_d3k2_5000ME_120tabs")</f>
        <v>qeep_d3k2_5000ME_120tabs</v>
      </c>
      <c r="R63" s="88">
        <f>IFERROR(__xludf.DUMMYFUNCTION("""COMPUTED_VALUE"""),1.499949331E9)</f>
        <v>1499949331</v>
      </c>
      <c r="T63" s="88" t="str">
        <f>IFERROR(__xludf.DUMMYFUNCTION("""COMPUTED_VALUE"""),"Актуально")</f>
        <v>Актуально</v>
      </c>
      <c r="U63" s="88" t="str">
        <f>IFERROR(__xludf.DUMMYFUNCTION("""COMPUTED_VALUE"""),"Семен")</f>
        <v>Семен</v>
      </c>
    </row>
    <row r="64">
      <c r="A64" s="88">
        <f>IFERROR(__xludf.DUMMYFUNCTION("""COMPUTED_VALUE"""),96.0)</f>
        <v>96</v>
      </c>
      <c r="B64" s="88" t="str">
        <f>IFERROR(__xludf.DUMMYFUNCTION("""COMPUTED_VALUE"""),"qeep_isotonicraspblime_300g")</f>
        <v>qeep_isotonicraspblime_300g</v>
      </c>
      <c r="C64" s="88">
        <f>IFERROR(__xludf.DUMMYFUNCTION("""COMPUTED_VALUE"""),1.726985085E9)</f>
        <v>1726985085</v>
      </c>
      <c r="E64" s="88" t="str">
        <f>IFERROR(__xludf.DUMMYFUNCTION("""COMPUTED_VALUE"""),"На вывод")</f>
        <v>На вывод</v>
      </c>
      <c r="F64" s="88" t="str">
        <f>IFERROR(__xludf.DUMMYFUNCTION("""COMPUTED_VALUE"""),"Света")</f>
        <v>Света</v>
      </c>
      <c r="P64" s="88">
        <f>IFERROR(__xludf.DUMMYFUNCTION("""COMPUTED_VALUE"""),76.0)</f>
        <v>76</v>
      </c>
      <c r="Q64" s="88" t="str">
        <f>IFERROR(__xludf.DUMMYFUNCTION("""COMPUTED_VALUE"""),"qeep_D3_2000ME_120caps")</f>
        <v>qeep_D3_2000ME_120caps</v>
      </c>
      <c r="R64" s="88">
        <f>IFERROR(__xludf.DUMMYFUNCTION("""COMPUTED_VALUE"""),1.342066127E9)</f>
        <v>1342066127</v>
      </c>
      <c r="T64" s="88" t="str">
        <f>IFERROR(__xludf.DUMMYFUNCTION("""COMPUTED_VALUE"""),"Актуально")</f>
        <v>Актуально</v>
      </c>
      <c r="U64" s="88" t="str">
        <f>IFERROR(__xludf.DUMMYFUNCTION("""COMPUTED_VALUE"""),"Семен")</f>
        <v>Семен</v>
      </c>
    </row>
    <row r="65">
      <c r="A65" s="88">
        <f>IFERROR(__xludf.DUMMYFUNCTION("""COMPUTED_VALUE"""),95.0)</f>
        <v>95</v>
      </c>
      <c r="B65" s="88" t="str">
        <f>IFERROR(__xludf.DUMMYFUNCTION("""COMPUTED_VALUE"""),"qeep_cacao_400g")</f>
        <v>qeep_cacao_400g</v>
      </c>
      <c r="C65" s="88">
        <f>IFERROR(__xludf.DUMMYFUNCTION("""COMPUTED_VALUE"""),1.099704127E9)</f>
        <v>1099704127</v>
      </c>
      <c r="E65" s="88" t="str">
        <f>IFERROR(__xludf.DUMMYFUNCTION("""COMPUTED_VALUE"""),"На вывод")</f>
        <v>На вывод</v>
      </c>
      <c r="F65" s="88" t="str">
        <f>IFERROR(__xludf.DUMMYFUNCTION("""COMPUTED_VALUE"""),"Семен")</f>
        <v>Семен</v>
      </c>
      <c r="P65" s="88">
        <f>IFERROR(__xludf.DUMMYFUNCTION("""COMPUTED_VALUE"""),81.0)</f>
        <v>81</v>
      </c>
      <c r="Q65" s="88" t="str">
        <f>IFERROR(__xludf.DUMMYFUNCTION("""COMPUTED_VALUE"""),"qeepcurcumin")</f>
        <v>qeepcurcumin</v>
      </c>
      <c r="R65" s="88">
        <f>IFERROR(__xludf.DUMMYFUNCTION("""COMPUTED_VALUE"""),6.50726667E8)</f>
        <v>650726667</v>
      </c>
      <c r="T65" s="88" t="str">
        <f>IFERROR(__xludf.DUMMYFUNCTION("""COMPUTED_VALUE"""),"Актуально")</f>
        <v>Актуально</v>
      </c>
      <c r="U65" s="88" t="str">
        <f>IFERROR(__xludf.DUMMYFUNCTION("""COMPUTED_VALUE"""),"Семен")</f>
        <v>Семен</v>
      </c>
    </row>
    <row r="66">
      <c r="A66" s="88">
        <f>IFERROR(__xludf.DUMMYFUNCTION("""COMPUTED_VALUE"""),93.0)</f>
        <v>93</v>
      </c>
      <c r="B66" s="88" t="str">
        <f>IFERROR(__xludf.DUMMYFUNCTION("""COMPUTED_VALUE"""),"qeepacnecontrol")</f>
        <v>qeepacnecontrol</v>
      </c>
      <c r="C66" s="88">
        <f>IFERROR(__xludf.DUMMYFUNCTION("""COMPUTED_VALUE"""),7.67090126E8)</f>
        <v>767090126</v>
      </c>
      <c r="E66" s="88" t="str">
        <f>IFERROR(__xludf.DUMMYFUNCTION("""COMPUTED_VALUE"""),"На вывод")</f>
        <v>На вывод</v>
      </c>
      <c r="F66" s="88" t="str">
        <f>IFERROR(__xludf.DUMMYFUNCTION("""COMPUTED_VALUE"""),"Семен")</f>
        <v>Семен</v>
      </c>
      <c r="P66" s="88">
        <f>IFERROR(__xludf.DUMMYFUNCTION("""COMPUTED_VALUE"""),88.0)</f>
        <v>88</v>
      </c>
      <c r="Q66" s="88" t="str">
        <f>IFERROR(__xludf.DUMMYFUNCTION("""COMPUTED_VALUE"""),"qeep_vitaminA_90caps")</f>
        <v>qeep_vitaminA_90caps</v>
      </c>
      <c r="R66" s="88">
        <f>IFERROR(__xludf.DUMMYFUNCTION("""COMPUTED_VALUE"""),1.539152458E9)</f>
        <v>1539152458</v>
      </c>
      <c r="T66" s="88" t="str">
        <f>IFERROR(__xludf.DUMMYFUNCTION("""COMPUTED_VALUE"""),"Актуально")</f>
        <v>Актуально</v>
      </c>
      <c r="U66" s="88" t="str">
        <f>IFERROR(__xludf.DUMMYFUNCTION("""COMPUTED_VALUE"""),"Семен")</f>
        <v>Семен</v>
      </c>
    </row>
    <row r="67">
      <c r="A67" s="88">
        <f>IFERROR(__xludf.DUMMYFUNCTION("""COMPUTED_VALUE"""),92.0)</f>
        <v>92</v>
      </c>
      <c r="B67" s="88" t="str">
        <f>IFERROR(__xludf.DUMMYFUNCTION("""COMPUTED_VALUE"""),"harly_paste_75ml")</f>
        <v>harly_paste_75ml</v>
      </c>
      <c r="C67" s="88">
        <f>IFERROR(__xludf.DUMMYFUNCTION("""COMPUTED_VALUE"""),1.711363073E9)</f>
        <v>1711363073</v>
      </c>
      <c r="E67" s="88" t="str">
        <f>IFERROR(__xludf.DUMMYFUNCTION("""COMPUTED_VALUE"""),"Выведено")</f>
        <v>Выведено</v>
      </c>
      <c r="F67" s="88" t="str">
        <f>IFERROR(__xludf.DUMMYFUNCTION("""COMPUTED_VALUE"""),"Выведено")</f>
        <v>Выведено</v>
      </c>
      <c r="P67" s="88">
        <f>IFERROR(__xludf.DUMMYFUNCTION("""COMPUTED_VALUE"""),4.0)</f>
        <v>4</v>
      </c>
      <c r="Q67" s="88" t="str">
        <f>IFERROR(__xludf.DUMMYFUNCTION("""COMPUTED_VALUE"""),"harly_ear_drops")</f>
        <v>harly_ear_drops</v>
      </c>
      <c r="R67" s="88">
        <f>IFERROR(__xludf.DUMMYFUNCTION("""COMPUTED_VALUE"""),1.580754644E9)</f>
        <v>1580754644</v>
      </c>
      <c r="T67" s="88" t="str">
        <f>IFERROR(__xludf.DUMMYFUNCTION("""COMPUTED_VALUE"""),"Актуально")</f>
        <v>Актуально</v>
      </c>
      <c r="U67" s="88" t="str">
        <f>IFERROR(__xludf.DUMMYFUNCTION("""COMPUTED_VALUE"""),"Кристина")</f>
        <v>Кристина</v>
      </c>
    </row>
    <row r="68">
      <c r="A68" s="88">
        <f>IFERROR(__xludf.DUMMYFUNCTION("""COMPUTED_VALUE"""),91.0)</f>
        <v>91</v>
      </c>
      <c r="B68" s="88" t="str">
        <f>IFERROR(__xludf.DUMMYFUNCTION("""COMPUTED_VALUE"""),"harly_likvidator_500ml")</f>
        <v>harly_likvidator_500ml</v>
      </c>
      <c r="C68" s="88">
        <f>IFERROR(__xludf.DUMMYFUNCTION("""COMPUTED_VALUE"""),1.613731894E9)</f>
        <v>1613731894</v>
      </c>
      <c r="E68" s="88" t="str">
        <f>IFERROR(__xludf.DUMMYFUNCTION("""COMPUTED_VALUE"""),"Выведено")</f>
        <v>Выведено</v>
      </c>
      <c r="F68" s="88" t="str">
        <f>IFERROR(__xludf.DUMMYFUNCTION("""COMPUTED_VALUE"""),"Выведено")</f>
        <v>Выведено</v>
      </c>
      <c r="P68" s="88">
        <f>IFERROR(__xludf.DUMMYFUNCTION("""COMPUTED_VALUE"""),33.0)</f>
        <v>33</v>
      </c>
      <c r="Q68" s="88" t="str">
        <f>IFERROR(__xludf.DUMMYFUNCTION("""COMPUTED_VALUE"""),"harly_eye_lotion")</f>
        <v>harly_eye_lotion</v>
      </c>
      <c r="R68" s="88">
        <f>IFERROR(__xludf.DUMMYFUNCTION("""COMPUTED_VALUE"""),2.022703709E9)</f>
        <v>2022703709</v>
      </c>
      <c r="T68" s="88" t="str">
        <f>IFERROR(__xludf.DUMMYFUNCTION("""COMPUTED_VALUE"""),"Актуально")</f>
        <v>Актуально</v>
      </c>
      <c r="U68" s="88" t="str">
        <f>IFERROR(__xludf.DUMMYFUNCTION("""COMPUTED_VALUE"""),"Семен")</f>
        <v>Семен</v>
      </c>
    </row>
    <row r="69">
      <c r="A69" s="88">
        <f>IFERROR(__xludf.DUMMYFUNCTION("""COMPUTED_VALUE"""),90.0)</f>
        <v>90</v>
      </c>
      <c r="B69" s="88" t="str">
        <f>IFERROR(__xludf.DUMMYFUNCTION("""COMPUTED_VALUE"""),"qeepcollagen_peptides_mango")</f>
        <v>qeepcollagen_peptides_mango</v>
      </c>
      <c r="C69" s="88">
        <f>IFERROR(__xludf.DUMMYFUNCTION("""COMPUTED_VALUE"""),7.71659759E8)</f>
        <v>771659759</v>
      </c>
      <c r="E69" s="88" t="str">
        <f>IFERROR(__xludf.DUMMYFUNCTION("""COMPUTED_VALUE"""),"На вывод")</f>
        <v>На вывод</v>
      </c>
      <c r="F69" s="88" t="str">
        <f>IFERROR(__xludf.DUMMYFUNCTION("""COMPUTED_VALUE"""),"Света")</f>
        <v>Света</v>
      </c>
      <c r="P69" s="88">
        <f>IFERROR(__xludf.DUMMYFUNCTION("""COMPUTED_VALUE"""),38.0)</f>
        <v>38</v>
      </c>
      <c r="Q69" s="88" t="str">
        <f>IFERROR(__xludf.DUMMYFUNCTION("""COMPUTED_VALUE"""),"qeep_liqCollagen_apple_14shots")</f>
        <v>qeep_liqCollagen_apple_14shots</v>
      </c>
      <c r="R69" s="88">
        <f>IFERROR(__xludf.DUMMYFUNCTION("""COMPUTED_VALUE"""),1.56374202E9)</f>
        <v>1563742020</v>
      </c>
      <c r="T69" s="88" t="str">
        <f>IFERROR(__xludf.DUMMYFUNCTION("""COMPUTED_VALUE"""),"На вывод")</f>
        <v>На вывод</v>
      </c>
      <c r="U69" s="88" t="str">
        <f>IFERROR(__xludf.DUMMYFUNCTION("""COMPUTED_VALUE"""),"Семен")</f>
        <v>Семен</v>
      </c>
    </row>
    <row r="70">
      <c r="A70" s="88">
        <f>IFERROR(__xludf.DUMMYFUNCTION("""COMPUTED_VALUE"""),89.0)</f>
        <v>89</v>
      </c>
      <c r="B70" s="88" t="str">
        <f>IFERROR(__xludf.DUMMYFUNCTION("""COMPUTED_VALUE"""),"qeep_liqCollagen_rspbry_14shots")</f>
        <v>qeep_liqCollagen_rspbry_14shots</v>
      </c>
      <c r="C70" s="88">
        <f>IFERROR(__xludf.DUMMYFUNCTION("""COMPUTED_VALUE"""),1.56374215E9)</f>
        <v>1563742150</v>
      </c>
      <c r="E70" s="88" t="str">
        <f>IFERROR(__xludf.DUMMYFUNCTION("""COMPUTED_VALUE"""),"Выведено")</f>
        <v>Выведено</v>
      </c>
      <c r="F70" s="88" t="str">
        <f>IFERROR(__xludf.DUMMYFUNCTION("""COMPUTED_VALUE"""),"Выведено")</f>
        <v>Выведено</v>
      </c>
      <c r="P70" s="88">
        <f>IFERROR(__xludf.DUMMYFUNCTION("""COMPUTED_VALUE"""),39.0)</f>
        <v>39</v>
      </c>
      <c r="Q70" s="88" t="str">
        <f>IFERROR(__xludf.DUMMYFUNCTION("""COMPUTED_VALUE"""),"qeep_liqCollagen_orange_14shots")</f>
        <v>qeep_liqCollagen_orange_14shots</v>
      </c>
      <c r="R70" s="88">
        <f>IFERROR(__xludf.DUMMYFUNCTION("""COMPUTED_VALUE"""),1.563742059E9)</f>
        <v>1563742059</v>
      </c>
      <c r="T70" s="88" t="str">
        <f>IFERROR(__xludf.DUMMYFUNCTION("""COMPUTED_VALUE"""),"На вывод")</f>
        <v>На вывод</v>
      </c>
      <c r="U70" s="88" t="str">
        <f>IFERROR(__xludf.DUMMYFUNCTION("""COMPUTED_VALUE"""),"Семен")</f>
        <v>Семен</v>
      </c>
    </row>
    <row r="71">
      <c r="A71" s="88">
        <f>IFERROR(__xludf.DUMMYFUNCTION("""COMPUTED_VALUE"""),88.0)</f>
        <v>88</v>
      </c>
      <c r="B71" s="88" t="str">
        <f>IFERROR(__xludf.DUMMYFUNCTION("""COMPUTED_VALUE"""),"qeep_vitaminA_90caps")</f>
        <v>qeep_vitaminA_90caps</v>
      </c>
      <c r="C71" s="88">
        <f>IFERROR(__xludf.DUMMYFUNCTION("""COMPUTED_VALUE"""),1.539152458E9)</f>
        <v>1539152458</v>
      </c>
      <c r="E71" s="88" t="str">
        <f>IFERROR(__xludf.DUMMYFUNCTION("""COMPUTED_VALUE"""),"На вывод")</f>
        <v>На вывод</v>
      </c>
      <c r="F71" s="88" t="str">
        <f>IFERROR(__xludf.DUMMYFUNCTION("""COMPUTED_VALUE"""),"Света")</f>
        <v>Света</v>
      </c>
      <c r="P71" s="88">
        <f>IFERROR(__xludf.DUMMYFUNCTION("""COMPUTED_VALUE"""),58.0)</f>
        <v>58</v>
      </c>
      <c r="Q71" s="88" t="str">
        <f>IFERROR(__xludf.DUMMYFUNCTION("""COMPUTED_VALUE"""),"qeepcollagen")</f>
        <v>qeepcollagen</v>
      </c>
      <c r="R71" s="88">
        <f>IFERROR(__xludf.DUMMYFUNCTION("""COMPUTED_VALUE"""),6.16963626E8)</f>
        <v>616963626</v>
      </c>
      <c r="T71" s="88" t="str">
        <f>IFERROR(__xludf.DUMMYFUNCTION("""COMPUTED_VALUE"""),"Актуально")</f>
        <v>Актуально</v>
      </c>
      <c r="U71" s="88" t="str">
        <f>IFERROR(__xludf.DUMMYFUNCTION("""COMPUTED_VALUE"""),"Семен")</f>
        <v>Семен</v>
      </c>
    </row>
    <row r="72">
      <c r="A72" s="88">
        <f>IFERROR(__xludf.DUMMYFUNCTION("""COMPUTED_VALUE"""),87.0)</f>
        <v>87</v>
      </c>
      <c r="B72" s="88" t="str">
        <f>IFERROR(__xludf.DUMMYFUNCTION("""COMPUTED_VALUE"""),"qeep_ezhovik_90caps")</f>
        <v>qeep_ezhovik_90caps</v>
      </c>
      <c r="C72" s="88">
        <f>IFERROR(__xludf.DUMMYFUNCTION("""COMPUTED_VALUE"""),1.342086207E9)</f>
        <v>1342086207</v>
      </c>
      <c r="E72" s="88" t="str">
        <f>IFERROR(__xludf.DUMMYFUNCTION("""COMPUTED_VALUE"""),"Выведено")</f>
        <v>Выведено</v>
      </c>
      <c r="F72" s="88" t="str">
        <f>IFERROR(__xludf.DUMMYFUNCTION("""COMPUTED_VALUE"""),"Света")</f>
        <v>Света</v>
      </c>
      <c r="P72" s="88">
        <f>IFERROR(__xludf.DUMMYFUNCTION("""COMPUTED_VALUE"""),89.0)</f>
        <v>89</v>
      </c>
      <c r="Q72" s="88" t="str">
        <f>IFERROR(__xludf.DUMMYFUNCTION("""COMPUTED_VALUE"""),"qeep_liqCollagen_rspbry_14shots")</f>
        <v>qeep_liqCollagen_rspbry_14shots</v>
      </c>
      <c r="R72" s="88">
        <f>IFERROR(__xludf.DUMMYFUNCTION("""COMPUTED_VALUE"""),1.56374215E9)</f>
        <v>1563742150</v>
      </c>
      <c r="T72" s="88" t="str">
        <f>IFERROR(__xludf.DUMMYFUNCTION("""COMPUTED_VALUE"""),"На вывод")</f>
        <v>На вывод</v>
      </c>
      <c r="U72" s="88" t="str">
        <f>IFERROR(__xludf.DUMMYFUNCTION("""COMPUTED_VALUE"""),"Семен")</f>
        <v>Семен</v>
      </c>
    </row>
    <row r="73">
      <c r="A73" s="88">
        <f>IFERROR(__xludf.DUMMYFUNCTION("""COMPUTED_VALUE"""),86.0)</f>
        <v>86</v>
      </c>
      <c r="B73" s="88" t="str">
        <f>IFERROR(__xludf.DUMMYFUNCTION("""COMPUTED_VALUE"""),"qeep_climafem_60caps")</f>
        <v>qeep_climafem_60caps</v>
      </c>
      <c r="C73" s="88">
        <f>IFERROR(__xludf.DUMMYFUNCTION("""COMPUTED_VALUE"""),1.738941767E9)</f>
        <v>1738941767</v>
      </c>
      <c r="E73" s="88" t="str">
        <f>IFERROR(__xludf.DUMMYFUNCTION("""COMPUTED_VALUE"""),"На вывод")</f>
        <v>На вывод</v>
      </c>
      <c r="F73" s="88" t="str">
        <f>IFERROR(__xludf.DUMMYFUNCTION("""COMPUTED_VALUE"""),"Света")</f>
        <v>Света</v>
      </c>
      <c r="P73" s="88">
        <f>IFERROR(__xludf.DUMMYFUNCTION("""COMPUTED_VALUE"""),62.0)</f>
        <v>62</v>
      </c>
      <c r="Q73" s="88" t="str">
        <f>IFERROR(__xludf.DUMMYFUNCTION("""COMPUTED_VALUE"""),"qeepcollagen_peptides_Natural")</f>
        <v>qeepcollagen_peptides_Natural</v>
      </c>
      <c r="R73" s="88">
        <f>IFERROR(__xludf.DUMMYFUNCTION("""COMPUTED_VALUE"""),7.72327923E8)</f>
        <v>772327923</v>
      </c>
      <c r="T73" s="88" t="str">
        <f>IFERROR(__xludf.DUMMYFUNCTION("""COMPUTED_VALUE"""),"Актуально")</f>
        <v>Актуально</v>
      </c>
      <c r="U73" s="88" t="str">
        <f>IFERROR(__xludf.DUMMYFUNCTION("""COMPUTED_VALUE"""),"Семен")</f>
        <v>Семен</v>
      </c>
    </row>
    <row r="74">
      <c r="A74" s="88">
        <f>IFERROR(__xludf.DUMMYFUNCTION("""COMPUTED_VALUE"""),85.0)</f>
        <v>85</v>
      </c>
      <c r="B74" s="88" t="str">
        <f>IFERROR(__xludf.DUMMYFUNCTION("""COMPUTED_VALUE"""),"Harly_dogcat_probiotics_20tabs")</f>
        <v>Harly_dogcat_probiotics_20tabs</v>
      </c>
      <c r="C74" s="88">
        <f>IFERROR(__xludf.DUMMYFUNCTION("""COMPUTED_VALUE"""),1.581825452E9)</f>
        <v>1581825452</v>
      </c>
      <c r="E74" s="88" t="str">
        <f>IFERROR(__xludf.DUMMYFUNCTION("""COMPUTED_VALUE"""),"Актуально")</f>
        <v>Актуально</v>
      </c>
      <c r="F74" s="88" t="str">
        <f>IFERROR(__xludf.DUMMYFUNCTION("""COMPUTED_VALUE"""),"Алексей")</f>
        <v>Алексей</v>
      </c>
      <c r="P74" s="88">
        <f>IFERROR(__xludf.DUMMYFUNCTION("""COMPUTED_VALUE"""),65.0)</f>
        <v>65</v>
      </c>
      <c r="Q74" s="88" t="str">
        <f>IFERROR(__xludf.DUMMYFUNCTION("""COMPUTED_VALUE"""),"qeepcollagen_peptides_lemon")</f>
        <v>qeepcollagen_peptides_lemon</v>
      </c>
      <c r="R74" s="88">
        <f>IFERROR(__xludf.DUMMYFUNCTION("""COMPUTED_VALUE"""),7.7232793E8)</f>
        <v>772327930</v>
      </c>
      <c r="T74" s="88" t="str">
        <f>IFERROR(__xludf.DUMMYFUNCTION("""COMPUTED_VALUE"""),"Актуально")</f>
        <v>Актуально</v>
      </c>
      <c r="U74" s="88" t="str">
        <f>IFERROR(__xludf.DUMMYFUNCTION("""COMPUTED_VALUE"""),"Семен")</f>
        <v>Семен</v>
      </c>
    </row>
    <row r="75">
      <c r="A75" s="88">
        <f>IFERROR(__xludf.DUMMYFUNCTION("""COMPUTED_VALUE"""),84.0)</f>
        <v>84</v>
      </c>
      <c r="B75" s="88" t="str">
        <f>IFERROR(__xludf.DUMMYFUNCTION("""COMPUTED_VALUE"""),"harly_longhairdog_500ml")</f>
        <v>harly_longhairdog_500ml</v>
      </c>
      <c r="C75" s="88">
        <f>IFERROR(__xludf.DUMMYFUNCTION("""COMPUTED_VALUE"""),1.873383663E9)</f>
        <v>1873383663</v>
      </c>
      <c r="E75" s="88" t="str">
        <f>IFERROR(__xludf.DUMMYFUNCTION("""COMPUTED_VALUE"""),"Актуально")</f>
        <v>Актуально</v>
      </c>
      <c r="F75" s="88" t="str">
        <f>IFERROR(__xludf.DUMMYFUNCTION("""COMPUTED_VALUE"""),"Алексей")</f>
        <v>Алексей</v>
      </c>
      <c r="P75" s="88">
        <f>IFERROR(__xludf.DUMMYFUNCTION("""COMPUTED_VALUE"""),90.0)</f>
        <v>90</v>
      </c>
      <c r="Q75" s="88" t="str">
        <f>IFERROR(__xludf.DUMMYFUNCTION("""COMPUTED_VALUE"""),"qeepcollagen_peptides_mango")</f>
        <v>qeepcollagen_peptides_mango</v>
      </c>
      <c r="R75" s="88">
        <f>IFERROR(__xludf.DUMMYFUNCTION("""COMPUTED_VALUE"""),7.71659759E8)</f>
        <v>771659759</v>
      </c>
      <c r="T75" s="88" t="str">
        <f>IFERROR(__xludf.DUMMYFUNCTION("""COMPUTED_VALUE"""),"Актуально")</f>
        <v>Актуально</v>
      </c>
      <c r="U75" s="88" t="str">
        <f>IFERROR(__xludf.DUMMYFUNCTION("""COMPUTED_VALUE"""),"Семен")</f>
        <v>Семен</v>
      </c>
    </row>
    <row r="76">
      <c r="A76" s="88">
        <f>IFERROR(__xludf.DUMMYFUNCTION("""COMPUTED_VALUE"""),83.0)</f>
        <v>83</v>
      </c>
      <c r="B76" s="88" t="str">
        <f>IFERROR(__xludf.DUMMYFUNCTION("""COMPUTED_VALUE"""),"qeep_iron40mg_60caps")</f>
        <v>qeep_iron40mg_60caps</v>
      </c>
      <c r="C76" s="88">
        <f>IFERROR(__xludf.DUMMYFUNCTION("""COMPUTED_VALUE"""),1.713242647E9)</f>
        <v>1713242647</v>
      </c>
      <c r="E76" s="88" t="str">
        <f>IFERROR(__xludf.DUMMYFUNCTION("""COMPUTED_VALUE"""),"Актуально")</f>
        <v>Актуально</v>
      </c>
      <c r="F76" s="88" t="str">
        <f>IFERROR(__xludf.DUMMYFUNCTION("""COMPUTED_VALUE"""),"Света")</f>
        <v>Света</v>
      </c>
      <c r="P76" s="88">
        <f>IFERROR(__xludf.DUMMYFUNCTION("""COMPUTED_VALUE"""),51.0)</f>
        <v>51</v>
      </c>
      <c r="Q76" s="88" t="str">
        <f>IFERROR(__xludf.DUMMYFUNCTION("""COMPUTED_VALUE"""),"harly_cat_premiumveal_2kg")</f>
        <v>harly_cat_premiumveal_2kg</v>
      </c>
      <c r="R76" s="88">
        <f>IFERROR(__xludf.DUMMYFUNCTION("""COMPUTED_VALUE"""),1.59664608E9)</f>
        <v>1596646080</v>
      </c>
      <c r="T76" s="88" t="str">
        <f>IFERROR(__xludf.DUMMYFUNCTION("""COMPUTED_VALUE"""),"Актуально")</f>
        <v>Актуально</v>
      </c>
      <c r="U76" s="88" t="str">
        <f>IFERROR(__xludf.DUMMYFUNCTION("""COMPUTED_VALUE"""),"Семен")</f>
        <v>Семен</v>
      </c>
    </row>
    <row r="77">
      <c r="A77" s="88">
        <f>IFERROR(__xludf.DUMMYFUNCTION("""COMPUTED_VALUE"""),82.0)</f>
        <v>82</v>
      </c>
      <c r="B77" s="88" t="str">
        <f>IFERROR(__xludf.DUMMYFUNCTION("""COMPUTED_VALUE"""),"qeep_chrom250_60caps")</f>
        <v>qeep_chrom250_60caps</v>
      </c>
      <c r="C77" s="88">
        <f>IFERROR(__xludf.DUMMYFUNCTION("""COMPUTED_VALUE"""),2.168454928E9)</f>
        <v>2168454928</v>
      </c>
      <c r="E77" s="88" t="str">
        <f>IFERROR(__xludf.DUMMYFUNCTION("""COMPUTED_VALUE"""),"Актуально")</f>
        <v>Актуально</v>
      </c>
      <c r="F77" s="88" t="str">
        <f>IFERROR(__xludf.DUMMYFUNCTION("""COMPUTED_VALUE"""),"Света")</f>
        <v>Света</v>
      </c>
      <c r="P77" s="88">
        <f>IFERROR(__xludf.DUMMYFUNCTION("""COMPUTED_VALUE"""),67.0)</f>
        <v>67</v>
      </c>
      <c r="Q77" s="88" t="str">
        <f>IFERROR(__xludf.DUMMYFUNCTION("""COMPUTED_VALUE"""),"harly_cat_premiumturkey_2kg")</f>
        <v>harly_cat_premiumturkey_2kg</v>
      </c>
      <c r="R77" s="88">
        <f>IFERROR(__xludf.DUMMYFUNCTION("""COMPUTED_VALUE"""),1.591515871E9)</f>
        <v>1591515871</v>
      </c>
      <c r="T77" s="88" t="str">
        <f>IFERROR(__xludf.DUMMYFUNCTION("""COMPUTED_VALUE"""),"Актуально")</f>
        <v>Актуально</v>
      </c>
      <c r="U77" s="88" t="str">
        <f>IFERROR(__xludf.DUMMYFUNCTION("""COMPUTED_VALUE"""),"Семен")</f>
        <v>Семен</v>
      </c>
    </row>
    <row r="78">
      <c r="A78" s="88">
        <f>IFERROR(__xludf.DUMMYFUNCTION("""COMPUTED_VALUE"""),81.0)</f>
        <v>81</v>
      </c>
      <c r="B78" s="88" t="str">
        <f>IFERROR(__xludf.DUMMYFUNCTION("""COMPUTED_VALUE"""),"qeepcurcumin")</f>
        <v>qeepcurcumin</v>
      </c>
      <c r="C78" s="88">
        <f>IFERROR(__xludf.DUMMYFUNCTION("""COMPUTED_VALUE"""),6.50726667E8)</f>
        <v>650726667</v>
      </c>
      <c r="E78" s="88" t="str">
        <f>IFERROR(__xludf.DUMMYFUNCTION("""COMPUTED_VALUE"""),"Актуально")</f>
        <v>Актуально</v>
      </c>
      <c r="F78" s="88" t="str">
        <f>IFERROR(__xludf.DUMMYFUNCTION("""COMPUTED_VALUE"""),"Света")</f>
        <v>Света</v>
      </c>
      <c r="P78" s="88">
        <f>IFERROR(__xludf.DUMMYFUNCTION("""COMPUTED_VALUE"""),40.0)</f>
        <v>40</v>
      </c>
      <c r="Q78" s="88" t="str">
        <f>IFERROR(__xludf.DUMMYFUNCTION("""COMPUTED_VALUE"""),"harly_dog_lamb_2kg")</f>
        <v>harly_dog_lamb_2kg</v>
      </c>
      <c r="R78" s="88">
        <f>IFERROR(__xludf.DUMMYFUNCTION("""COMPUTED_VALUE"""),1.703901908E9)</f>
        <v>1703901908</v>
      </c>
      <c r="T78" s="88" t="str">
        <f>IFERROR(__xludf.DUMMYFUNCTION("""COMPUTED_VALUE"""),"Актуально")</f>
        <v>Актуально</v>
      </c>
      <c r="U78" s="88" t="str">
        <f>IFERROR(__xludf.DUMMYFUNCTION("""COMPUTED_VALUE"""),"Семен")</f>
        <v>Семен</v>
      </c>
    </row>
    <row r="79">
      <c r="A79" s="88">
        <f>IFERROR(__xludf.DUMMYFUNCTION("""COMPUTED_VALUE"""),80.0)</f>
        <v>80</v>
      </c>
      <c r="B79" s="88" t="str">
        <f>IFERROR(__xludf.DUMMYFUNCTION("""COMPUTED_VALUE"""),"qeep_Memory_Focus_60caps")</f>
        <v>qeep_Memory_Focus_60caps</v>
      </c>
      <c r="C79" s="88">
        <f>IFERROR(__xludf.DUMMYFUNCTION("""COMPUTED_VALUE"""),9.67623667E8)</f>
        <v>967623667</v>
      </c>
      <c r="E79" s="88" t="str">
        <f>IFERROR(__xludf.DUMMYFUNCTION("""COMPUTED_VALUE"""),"На вывод")</f>
        <v>На вывод</v>
      </c>
      <c r="F79" s="88" t="str">
        <f>IFERROR(__xludf.DUMMYFUNCTION("""COMPUTED_VALUE"""),"Света")</f>
        <v>Света</v>
      </c>
      <c r="P79" s="88">
        <f>IFERROR(__xludf.DUMMYFUNCTION("""COMPUTED_VALUE"""),44.0)</f>
        <v>44</v>
      </c>
      <c r="Q79" s="88" t="str">
        <f>IFERROR(__xludf.DUMMYFUNCTION("""COMPUTED_VALUE"""),"harly_dog_turkey_2kg")</f>
        <v>harly_dog_turkey_2kg</v>
      </c>
      <c r="R79" s="88">
        <f>IFERROR(__xludf.DUMMYFUNCTION("""COMPUTED_VALUE"""),1.710553197E9)</f>
        <v>1710553197</v>
      </c>
      <c r="T79" s="88" t="str">
        <f>IFERROR(__xludf.DUMMYFUNCTION("""COMPUTED_VALUE"""),"Актуально")</f>
        <v>Актуально</v>
      </c>
      <c r="U79" s="88" t="str">
        <f>IFERROR(__xludf.DUMMYFUNCTION("""COMPUTED_VALUE"""),"Семен")</f>
        <v>Семен</v>
      </c>
    </row>
    <row r="80">
      <c r="A80" s="88">
        <f>IFERROR(__xludf.DUMMYFUNCTION("""COMPUTED_VALUE"""),79.0)</f>
        <v>79</v>
      </c>
      <c r="B80" s="88" t="str">
        <f>IFERROR(__xludf.DUMMYFUNCTION("""COMPUTED_VALUE"""),"qoenzyme")</f>
        <v>qoenzyme</v>
      </c>
      <c r="C80" s="88">
        <f>IFERROR(__xludf.DUMMYFUNCTION("""COMPUTED_VALUE"""),6.16948885E8)</f>
        <v>616948885</v>
      </c>
      <c r="E80" s="88" t="str">
        <f>IFERROR(__xludf.DUMMYFUNCTION("""COMPUTED_VALUE"""),"Выведено")</f>
        <v>Выведено</v>
      </c>
      <c r="F80" s="88" t="str">
        <f>IFERROR(__xludf.DUMMYFUNCTION("""COMPUTED_VALUE"""),"Света")</f>
        <v>Света</v>
      </c>
      <c r="P80" s="88">
        <f>IFERROR(__xludf.DUMMYFUNCTION("""COMPUTED_VALUE"""),7.0)</f>
        <v>7</v>
      </c>
      <c r="Q80" s="88" t="str">
        <f>IFERROR(__xludf.DUMMYFUNCTION("""COMPUTED_VALUE"""),"qeep_bloodypeeling_30ml")</f>
        <v>qeep_bloodypeeling_30ml</v>
      </c>
      <c r="R80" s="88">
        <f>IFERROR(__xludf.DUMMYFUNCTION("""COMPUTED_VALUE"""),1.856657517E9)</f>
        <v>1856657517</v>
      </c>
      <c r="T80" s="88" t="str">
        <f>IFERROR(__xludf.DUMMYFUNCTION("""COMPUTED_VALUE"""),"Актуально")</f>
        <v>Актуально</v>
      </c>
      <c r="U80" s="88" t="str">
        <f>IFERROR(__xludf.DUMMYFUNCTION("""COMPUTED_VALUE"""),"Кристина")</f>
        <v>Кристина</v>
      </c>
    </row>
    <row r="81">
      <c r="A81" s="88">
        <f>IFERROR(__xludf.DUMMYFUNCTION("""COMPUTED_VALUE"""),78.0)</f>
        <v>78</v>
      </c>
      <c r="B81" s="88" t="str">
        <f>IFERROR(__xludf.DUMMYFUNCTION("""COMPUTED_VALUE"""),"qeep_si_beauty_90caps")</f>
        <v>qeep_si_beauty_90caps</v>
      </c>
      <c r="C81" s="88">
        <f>IFERROR(__xludf.DUMMYFUNCTION("""COMPUTED_VALUE"""),1.40811628E9)</f>
        <v>1408116280</v>
      </c>
      <c r="E81" s="88" t="str">
        <f>IFERROR(__xludf.DUMMYFUNCTION("""COMPUTED_VALUE"""),"Актуально")</f>
        <v>Актуально</v>
      </c>
      <c r="F81" s="88" t="str">
        <f>IFERROR(__xludf.DUMMYFUNCTION("""COMPUTED_VALUE"""),"Света")</f>
        <v>Света</v>
      </c>
      <c r="P81" s="88">
        <f>IFERROR(__xludf.DUMMYFUNCTION("""COMPUTED_VALUE"""),17.0)</f>
        <v>17</v>
      </c>
      <c r="Q81" s="88" t="str">
        <f>IFERROR(__xludf.DUMMYFUNCTION("""COMPUTED_VALUE"""),"qeep_tonic_200ml")</f>
        <v>qeep_tonic_200ml</v>
      </c>
      <c r="R81" s="88">
        <f>IFERROR(__xludf.DUMMYFUNCTION("""COMPUTED_VALUE"""),2.142858345E9)</f>
        <v>2142858345</v>
      </c>
      <c r="T81" s="88" t="str">
        <f>IFERROR(__xludf.DUMMYFUNCTION("""COMPUTED_VALUE"""),"Актуально")</f>
        <v>Актуально</v>
      </c>
      <c r="U81" s="88" t="str">
        <f>IFERROR(__xludf.DUMMYFUNCTION("""COMPUTED_VALUE"""),"Кристина")</f>
        <v>Кристина</v>
      </c>
    </row>
    <row r="82">
      <c r="A82" s="88">
        <f>IFERROR(__xludf.DUMMYFUNCTION("""COMPUTED_VALUE"""),77.0)</f>
        <v>77</v>
      </c>
      <c r="B82" s="88" t="str">
        <f>IFERROR(__xludf.DUMMYFUNCTION("""COMPUTED_VALUE"""),"harly_shampoo_500ml")</f>
        <v>harly_shampoo_500ml</v>
      </c>
      <c r="C82" s="88">
        <f>IFERROR(__xludf.DUMMYFUNCTION("""COMPUTED_VALUE"""),1.503121227E9)</f>
        <v>1503121227</v>
      </c>
      <c r="E82" s="88" t="str">
        <f>IFERROR(__xludf.DUMMYFUNCTION("""COMPUTED_VALUE"""),"Актуально")</f>
        <v>Актуально</v>
      </c>
      <c r="F82" s="88" t="str">
        <f>IFERROR(__xludf.DUMMYFUNCTION("""COMPUTED_VALUE"""),"Алексей")</f>
        <v>Алексей</v>
      </c>
      <c r="P82" s="88">
        <f>IFERROR(__xludf.DUMMYFUNCTION("""COMPUTED_VALUE"""),18.0)</f>
        <v>18</v>
      </c>
      <c r="Q82" s="88" t="str">
        <f>IFERROR(__xludf.DUMMYFUNCTION("""COMPUTED_VALUE"""),"qeep_acnegel_20ml")</f>
        <v>qeep_acnegel_20ml</v>
      </c>
      <c r="R82" s="88">
        <f>IFERROR(__xludf.DUMMYFUNCTION("""COMPUTED_VALUE"""),2.039052035E9)</f>
        <v>2039052035</v>
      </c>
      <c r="T82" s="88" t="str">
        <f>IFERROR(__xludf.DUMMYFUNCTION("""COMPUTED_VALUE"""),"Актуально")</f>
        <v>Актуально</v>
      </c>
      <c r="U82" s="88" t="str">
        <f>IFERROR(__xludf.DUMMYFUNCTION("""COMPUTED_VALUE"""),"Кристина")</f>
        <v>Кристина</v>
      </c>
    </row>
    <row r="83">
      <c r="A83" s="88">
        <f>IFERROR(__xludf.DUMMYFUNCTION("""COMPUTED_VALUE"""),76.0)</f>
        <v>76</v>
      </c>
      <c r="B83" s="88" t="str">
        <f>IFERROR(__xludf.DUMMYFUNCTION("""COMPUTED_VALUE"""),"qeep_D3_2000ME_120caps")</f>
        <v>qeep_D3_2000ME_120caps</v>
      </c>
      <c r="C83" s="88">
        <f>IFERROR(__xludf.DUMMYFUNCTION("""COMPUTED_VALUE"""),1.342066127E9)</f>
        <v>1342066127</v>
      </c>
      <c r="E83" s="88" t="str">
        <f>IFERROR(__xludf.DUMMYFUNCTION("""COMPUTED_VALUE"""),"На вывод")</f>
        <v>На вывод</v>
      </c>
      <c r="F83" s="88" t="str">
        <f>IFERROR(__xludf.DUMMYFUNCTION("""COMPUTED_VALUE"""),"Света")</f>
        <v>Света</v>
      </c>
      <c r="P83" s="88">
        <f>IFERROR(__xludf.DUMMYFUNCTION("""COMPUTED_VALUE"""),20.0)</f>
        <v>20</v>
      </c>
      <c r="Q83" s="88" t="str">
        <f>IFERROR(__xludf.DUMMYFUNCTION("""COMPUTED_VALUE"""),"qeep_penka_150ml")</f>
        <v>qeep_penka_150ml</v>
      </c>
      <c r="R83" s="88">
        <f>IFERROR(__xludf.DUMMYFUNCTION("""COMPUTED_VALUE"""),2.583231387E9)</f>
        <v>2583231387</v>
      </c>
      <c r="T83" s="88" t="str">
        <f>IFERROR(__xludf.DUMMYFUNCTION("""COMPUTED_VALUE"""),"Актуально")</f>
        <v>Актуально</v>
      </c>
      <c r="U83" s="88" t="str">
        <f>IFERROR(__xludf.DUMMYFUNCTION("""COMPUTED_VALUE"""),"Кристина")</f>
        <v>Кристина</v>
      </c>
    </row>
    <row r="84">
      <c r="A84" s="88">
        <f>IFERROR(__xludf.DUMMYFUNCTION("""COMPUTED_VALUE"""),75.0)</f>
        <v>75</v>
      </c>
      <c r="B84" s="88" t="str">
        <f>IFERROR(__xludf.DUMMYFUNCTION("""COMPUTED_VALUE"""),"qeep_glutamine_90caps")</f>
        <v>qeep_glutamine_90caps</v>
      </c>
      <c r="C84" s="88">
        <f>IFERROR(__xludf.DUMMYFUNCTION("""COMPUTED_VALUE"""),1.200359466E9)</f>
        <v>1200359466</v>
      </c>
      <c r="E84" s="88" t="str">
        <f>IFERROR(__xludf.DUMMYFUNCTION("""COMPUTED_VALUE"""),"Актуально")</f>
        <v>Актуально</v>
      </c>
      <c r="F84" s="88" t="str">
        <f>IFERROR(__xludf.DUMMYFUNCTION("""COMPUTED_VALUE"""),"Света")</f>
        <v>Света</v>
      </c>
      <c r="P84" s="88">
        <f>IFERROR(__xludf.DUMMYFUNCTION("""COMPUTED_VALUE"""),23.0)</f>
        <v>23</v>
      </c>
      <c r="Q84" s="88" t="str">
        <f>IFERROR(__xludf.DUMMYFUNCTION("""COMPUTED_VALUE"""),"qeep_acnegel_20ml_v2")</f>
        <v>qeep_acnegel_20ml_v2</v>
      </c>
      <c r="R84" s="88">
        <f>IFERROR(__xludf.DUMMYFUNCTION("""COMPUTED_VALUE"""),2.589302298E9)</f>
        <v>2589302298</v>
      </c>
      <c r="T84" s="88" t="str">
        <f>IFERROR(__xludf.DUMMYFUNCTION("""COMPUTED_VALUE"""),"Актуально")</f>
        <v>Актуально</v>
      </c>
      <c r="U84" s="88" t="str">
        <f>IFERROR(__xludf.DUMMYFUNCTION("""COMPUTED_VALUE"""),"Кристина")</f>
        <v>Кристина</v>
      </c>
    </row>
    <row r="85">
      <c r="A85" s="88">
        <f>IFERROR(__xludf.DUMMYFUNCTION("""COMPUTED_VALUE"""),74.0)</f>
        <v>74</v>
      </c>
      <c r="B85" s="88" t="str">
        <f>IFERROR(__xludf.DUMMYFUNCTION("""COMPUTED_VALUE"""),"qeepantioxy")</f>
        <v>qeepantioxy</v>
      </c>
      <c r="C85" s="88">
        <f>IFERROR(__xludf.DUMMYFUNCTION("""COMPUTED_VALUE"""),6.50452213E8)</f>
        <v>650452213</v>
      </c>
      <c r="E85" s="88" t="str">
        <f>IFERROR(__xludf.DUMMYFUNCTION("""COMPUTED_VALUE"""),"Выведено")</f>
        <v>Выведено</v>
      </c>
      <c r="F85" s="88" t="str">
        <f>IFERROR(__xludf.DUMMYFUNCTION("""COMPUTED_VALUE"""),"Выведено")</f>
        <v>Выведено</v>
      </c>
      <c r="P85" s="88">
        <f>IFERROR(__xludf.DUMMYFUNCTION("""COMPUTED_VALUE"""),1.0)</f>
        <v>1</v>
      </c>
      <c r="Q85" s="88" t="str">
        <f>IFERROR(__xludf.DUMMYFUNCTION("""COMPUTED_VALUE"""),"harly_salmon_oil")</f>
        <v>harly_salmon_oil</v>
      </c>
      <c r="R85" s="88">
        <f>IFERROR(__xludf.DUMMYFUNCTION("""COMPUTED_VALUE"""),2.019073769E9)</f>
        <v>2019073769</v>
      </c>
      <c r="T85" s="88" t="str">
        <f>IFERROR(__xludf.DUMMYFUNCTION("""COMPUTED_VALUE"""),"Актуально")</f>
        <v>Актуально</v>
      </c>
      <c r="U85" s="88" t="str">
        <f>IFERROR(__xludf.DUMMYFUNCTION("""COMPUTED_VALUE"""),"Семен")</f>
        <v>Семен</v>
      </c>
    </row>
    <row r="86">
      <c r="A86" s="88">
        <f>IFERROR(__xludf.DUMMYFUNCTION("""COMPUTED_VALUE"""),73.0)</f>
        <v>73</v>
      </c>
      <c r="B86" s="88" t="str">
        <f>IFERROR(__xludf.DUMMYFUNCTION("""COMPUTED_VALUE"""),"qeep_livercomplex_60caps")</f>
        <v>qeep_livercomplex_60caps</v>
      </c>
      <c r="C86" s="88">
        <f>IFERROR(__xludf.DUMMYFUNCTION("""COMPUTED_VALUE"""),9.85677823E8)</f>
        <v>985677823</v>
      </c>
      <c r="E86" s="88" t="str">
        <f>IFERROR(__xludf.DUMMYFUNCTION("""COMPUTED_VALUE"""),"На вывод")</f>
        <v>На вывод</v>
      </c>
      <c r="F86" s="88" t="str">
        <f>IFERROR(__xludf.DUMMYFUNCTION("""COMPUTED_VALUE"""),"Света")</f>
        <v>Света</v>
      </c>
      <c r="P86" s="88">
        <f>IFERROR(__xludf.DUMMYFUNCTION("""COMPUTED_VALUE"""),8.0)</f>
        <v>8</v>
      </c>
      <c r="Q86" s="88" t="str">
        <f>IFERROR(__xludf.DUMMYFUNCTION("""COMPUTED_VALUE"""),"harly_likvidator_v2")</f>
        <v>harly_likvidator_v2</v>
      </c>
      <c r="R86" s="88">
        <f>IFERROR(__xludf.DUMMYFUNCTION("""COMPUTED_VALUE"""),2.344269342E9)</f>
        <v>2344269342</v>
      </c>
      <c r="T86" s="88" t="str">
        <f>IFERROR(__xludf.DUMMYFUNCTION("""COMPUTED_VALUE"""),"Актуально")</f>
        <v>Актуально</v>
      </c>
      <c r="U86" s="88" t="str">
        <f>IFERROR(__xludf.DUMMYFUNCTION("""COMPUTED_VALUE"""),"Семен")</f>
        <v>Семен</v>
      </c>
    </row>
    <row r="87">
      <c r="A87" s="88">
        <f>IFERROR(__xludf.DUMMYFUNCTION("""COMPUTED_VALUE"""),72.0)</f>
        <v>72</v>
      </c>
      <c r="B87" s="88" t="str">
        <f>IFERROR(__xludf.DUMMYFUNCTION("""COMPUTED_VALUE"""),"qeep_manbox")</f>
        <v>qeep_manbox</v>
      </c>
      <c r="C87" s="88">
        <f>IFERROR(__xludf.DUMMYFUNCTION("""COMPUTED_VALUE"""),1.773345751E9)</f>
        <v>1773345751</v>
      </c>
      <c r="E87" s="88" t="str">
        <f>IFERROR(__xludf.DUMMYFUNCTION("""COMPUTED_VALUE"""),"На вывод")</f>
        <v>На вывод</v>
      </c>
      <c r="F87" s="88" t="str">
        <f>IFERROR(__xludf.DUMMYFUNCTION("""COMPUTED_VALUE"""),"Света")</f>
        <v>Света</v>
      </c>
      <c r="P87" s="88">
        <f>IFERROR(__xludf.DUMMYFUNCTION("""COMPUTED_VALUE"""),91.0)</f>
        <v>91</v>
      </c>
      <c r="Q87" s="88" t="str">
        <f>IFERROR(__xludf.DUMMYFUNCTION("""COMPUTED_VALUE"""),"harly_likvidator_500ml")</f>
        <v>harly_likvidator_500ml</v>
      </c>
      <c r="R87" s="88">
        <f>IFERROR(__xludf.DUMMYFUNCTION("""COMPUTED_VALUE"""),1.613731894E9)</f>
        <v>1613731894</v>
      </c>
      <c r="T87" s="88" t="str">
        <f>IFERROR(__xludf.DUMMYFUNCTION("""COMPUTED_VALUE"""),"На вывод")</f>
        <v>На вывод</v>
      </c>
      <c r="U87" s="88" t="str">
        <f>IFERROR(__xludf.DUMMYFUNCTION("""COMPUTED_VALUE"""),"Семен")</f>
        <v>Семен</v>
      </c>
    </row>
    <row r="88">
      <c r="A88" s="88">
        <f>IFERROR(__xludf.DUMMYFUNCTION("""COMPUTED_VALUE"""),71.0)</f>
        <v>71</v>
      </c>
      <c r="B88" s="88" t="str">
        <f>IFERROR(__xludf.DUMMYFUNCTION("""COMPUTED_VALUE"""),"qeep_perfectwoman_60caps")</f>
        <v>qeep_perfectwoman_60caps</v>
      </c>
      <c r="C88" s="88">
        <f>IFERROR(__xludf.DUMMYFUNCTION("""COMPUTED_VALUE"""),1.500211407E9)</f>
        <v>1500211407</v>
      </c>
      <c r="E88" s="88" t="str">
        <f>IFERROR(__xludf.DUMMYFUNCTION("""COMPUTED_VALUE"""),"Актуально")</f>
        <v>Актуально</v>
      </c>
      <c r="F88" s="88" t="str">
        <f>IFERROR(__xludf.DUMMYFUNCTION("""COMPUTED_VALUE"""),"Света")</f>
        <v>Света</v>
      </c>
      <c r="P88" s="88">
        <f>IFERROR(__xludf.DUMMYFUNCTION("""COMPUTED_VALUE"""),32.0)</f>
        <v>32</v>
      </c>
      <c r="Q88" s="88" t="str">
        <f>IFERROR(__xludf.DUMMYFUNCTION("""COMPUTED_VALUE"""),"qeep_magnB6_120caps")</f>
        <v>qeep_magnB6_120caps</v>
      </c>
      <c r="R88" s="88">
        <f>IFERROR(__xludf.DUMMYFUNCTION("""COMPUTED_VALUE"""),1.713149756E9)</f>
        <v>1713149756</v>
      </c>
      <c r="T88" s="88" t="str">
        <f>IFERROR(__xludf.DUMMYFUNCTION("""COMPUTED_VALUE"""),"Актуально")</f>
        <v>Актуально</v>
      </c>
      <c r="U88" s="88" t="str">
        <f>IFERROR(__xludf.DUMMYFUNCTION("""COMPUTED_VALUE"""),"Семен")</f>
        <v>Семен</v>
      </c>
    </row>
    <row r="89">
      <c r="A89" s="88">
        <f>IFERROR(__xludf.DUMMYFUNCTION("""COMPUTED_VALUE"""),70.0)</f>
        <v>70</v>
      </c>
      <c r="B89" s="88" t="str">
        <f>IFERROR(__xludf.DUMMYFUNCTION("""COMPUTED_VALUE"""),"Harly_cat_teeth_bones_100tabs")</f>
        <v>Harly_cat_teeth_bones_100tabs</v>
      </c>
      <c r="C89" s="88">
        <f>IFERROR(__xludf.DUMMYFUNCTION("""COMPUTED_VALUE"""),1.018532111E9)</f>
        <v>1018532111</v>
      </c>
      <c r="E89" s="88" t="str">
        <f>IFERROR(__xludf.DUMMYFUNCTION("""COMPUTED_VALUE"""),"Актуально")</f>
        <v>Актуально</v>
      </c>
      <c r="F89" s="88" t="str">
        <f>IFERROR(__xludf.DUMMYFUNCTION("""COMPUTED_VALUE"""),"Алексей")</f>
        <v>Алексей</v>
      </c>
      <c r="P89" s="88">
        <f>IFERROR(__xludf.DUMMYFUNCTION("""COMPUTED_VALUE"""),61.0)</f>
        <v>61</v>
      </c>
      <c r="Q89" s="88" t="str">
        <f>IFERROR(__xludf.DUMMYFUNCTION("""COMPUTED_VALUE"""),"qeep_ginkgo_biloba_90caps")</f>
        <v>qeep_ginkgo_biloba_90caps</v>
      </c>
      <c r="R89" s="88">
        <f>IFERROR(__xludf.DUMMYFUNCTION("""COMPUTED_VALUE"""),1.101364594E9)</f>
        <v>1101364594</v>
      </c>
      <c r="T89" s="88" t="str">
        <f>IFERROR(__xludf.DUMMYFUNCTION("""COMPUTED_VALUE"""),"Актуально")</f>
        <v>Актуально</v>
      </c>
      <c r="U89" s="88" t="str">
        <f>IFERROR(__xludf.DUMMYFUNCTION("""COMPUTED_VALUE"""),"Семен")</f>
        <v>Семен</v>
      </c>
    </row>
    <row r="90">
      <c r="A90" s="88">
        <f>IFERROR(__xludf.DUMMYFUNCTION("""COMPUTED_VALUE"""),69.0)</f>
        <v>69</v>
      </c>
      <c r="B90" s="88" t="str">
        <f>IFERROR(__xludf.DUMMYFUNCTION("""COMPUTED_VALUE"""),"qeep_betain_60caps")</f>
        <v>qeep_betain_60caps</v>
      </c>
      <c r="C90" s="88">
        <f>IFERROR(__xludf.DUMMYFUNCTION("""COMPUTED_VALUE"""),1.101330936E9)</f>
        <v>1101330936</v>
      </c>
      <c r="E90" s="88" t="str">
        <f>IFERROR(__xludf.DUMMYFUNCTION("""COMPUTED_VALUE"""),"Актуально")</f>
        <v>Актуально</v>
      </c>
      <c r="F90" s="88" t="str">
        <f>IFERROR(__xludf.DUMMYFUNCTION("""COMPUTED_VALUE"""),"Света")</f>
        <v>Света</v>
      </c>
      <c r="P90" s="88">
        <f>IFERROR(__xludf.DUMMYFUNCTION("""COMPUTED_VALUE"""),80.0)</f>
        <v>80</v>
      </c>
      <c r="Q90" s="88" t="str">
        <f>IFERROR(__xludf.DUMMYFUNCTION("""COMPUTED_VALUE"""),"qeep_Memory_Focus_60caps")</f>
        <v>qeep_Memory_Focus_60caps</v>
      </c>
      <c r="R90" s="88">
        <f>IFERROR(__xludf.DUMMYFUNCTION("""COMPUTED_VALUE"""),9.67623667E8)</f>
        <v>967623667</v>
      </c>
      <c r="T90" s="88" t="str">
        <f>IFERROR(__xludf.DUMMYFUNCTION("""COMPUTED_VALUE"""),"Актуально")</f>
        <v>Актуально</v>
      </c>
      <c r="U90" s="88" t="str">
        <f>IFERROR(__xludf.DUMMYFUNCTION("""COMPUTED_VALUE"""),"Семен")</f>
        <v>Семен</v>
      </c>
    </row>
    <row r="91">
      <c r="A91" s="88">
        <f>IFERROR(__xludf.DUMMYFUNCTION("""COMPUTED_VALUE"""),68.0)</f>
        <v>68</v>
      </c>
      <c r="B91" s="88" t="str">
        <f>IFERROR(__xludf.DUMMYFUNCTION("""COMPUTED_VALUE"""),"qeep_isotonicmintlime_300g")</f>
        <v>qeep_isotonicmintlime_300g</v>
      </c>
      <c r="C91" s="88">
        <f>IFERROR(__xludf.DUMMYFUNCTION("""COMPUTED_VALUE"""),1.726985022E9)</f>
        <v>1726985022</v>
      </c>
      <c r="E91" s="88" t="str">
        <f>IFERROR(__xludf.DUMMYFUNCTION("""COMPUTED_VALUE"""),"Актуально")</f>
        <v>Актуально</v>
      </c>
      <c r="F91" s="88" t="str">
        <f>IFERROR(__xludf.DUMMYFUNCTION("""COMPUTED_VALUE"""),"Света")</f>
        <v>Света</v>
      </c>
      <c r="P91" s="88">
        <f>IFERROR(__xludf.DUMMYFUNCTION("""COMPUTED_VALUE"""),3.0)</f>
        <v>3</v>
      </c>
      <c r="Q91" s="88" t="str">
        <f>IFERROR(__xludf.DUMMYFUNCTION("""COMPUTED_VALUE"""),"harly_dog_pads_30pcs")</f>
        <v>harly_dog_pads_30pcs</v>
      </c>
      <c r="R91" s="88">
        <f>IFERROR(__xludf.DUMMYFUNCTION("""COMPUTED_VALUE"""),1.581834792E9)</f>
        <v>1581834792</v>
      </c>
      <c r="T91" s="88" t="str">
        <f>IFERROR(__xludf.DUMMYFUNCTION("""COMPUTED_VALUE"""),"Актуально")</f>
        <v>Актуально</v>
      </c>
      <c r="U91" s="88" t="str">
        <f>IFERROR(__xludf.DUMMYFUNCTION("""COMPUTED_VALUE"""),"Семен")</f>
        <v>Семен</v>
      </c>
    </row>
    <row r="92">
      <c r="A92" s="88">
        <f>IFERROR(__xludf.DUMMYFUNCTION("""COMPUTED_VALUE"""),67.0)</f>
        <v>67</v>
      </c>
      <c r="B92" s="88" t="str">
        <f>IFERROR(__xludf.DUMMYFUNCTION("""COMPUTED_VALUE"""),"harly_cat_premiumturkey_2kg")</f>
        <v>harly_cat_premiumturkey_2kg</v>
      </c>
      <c r="C92" s="88">
        <f>IFERROR(__xludf.DUMMYFUNCTION("""COMPUTED_VALUE"""),1.591515871E9)</f>
        <v>1591515871</v>
      </c>
      <c r="E92" s="88" t="str">
        <f>IFERROR(__xludf.DUMMYFUNCTION("""COMPUTED_VALUE"""),"Актуально")</f>
        <v>Актуально</v>
      </c>
      <c r="F92" s="88" t="str">
        <f>IFERROR(__xludf.DUMMYFUNCTION("""COMPUTED_VALUE"""),"Алексей")</f>
        <v>Алексей</v>
      </c>
      <c r="P92" s="88">
        <f>IFERROR(__xludf.DUMMYFUNCTION("""COMPUTED_VALUE"""),19.0)</f>
        <v>19</v>
      </c>
      <c r="Q92" s="88" t="str">
        <f>IFERROR(__xludf.DUMMYFUNCTION("""COMPUTED_VALUE"""),"qeep_nabor_remuver_40ml")</f>
        <v>qeep_nabor_remuver_40ml</v>
      </c>
      <c r="R92" s="88">
        <f>IFERROR(__xludf.DUMMYFUNCTION("""COMPUTED_VALUE"""),1.666962684E9)</f>
        <v>1666962684</v>
      </c>
      <c r="T92" s="88" t="str">
        <f>IFERROR(__xludf.DUMMYFUNCTION("""COMPUTED_VALUE"""),"Актуально")</f>
        <v>Актуально</v>
      </c>
      <c r="U92" s="88" t="str">
        <f>IFERROR(__xludf.DUMMYFUNCTION("""COMPUTED_VALUE"""),"Кристина")</f>
        <v>Кристина</v>
      </c>
    </row>
    <row r="93">
      <c r="A93" s="88">
        <f>IFERROR(__xludf.DUMMYFUNCTION("""COMPUTED_VALUE"""),66.0)</f>
        <v>66</v>
      </c>
      <c r="B93" s="88" t="str">
        <f>IFERROR(__xludf.DUMMYFUNCTION("""COMPUTED_VALUE"""),"qeep_d3k2_5000ME_120tabs")</f>
        <v>qeep_d3k2_5000ME_120tabs</v>
      </c>
      <c r="C93" s="88">
        <f>IFERROR(__xludf.DUMMYFUNCTION("""COMPUTED_VALUE"""),1.499949331E9)</f>
        <v>1499949331</v>
      </c>
      <c r="E93" s="88" t="str">
        <f>IFERROR(__xludf.DUMMYFUNCTION("""COMPUTED_VALUE"""),"Актуально")</f>
        <v>Актуально</v>
      </c>
      <c r="F93" s="88" t="str">
        <f>IFERROR(__xludf.DUMMYFUNCTION("""COMPUTED_VALUE"""),"Света")</f>
        <v>Света</v>
      </c>
      <c r="P93" s="88">
        <f>IFERROR(__xludf.DUMMYFUNCTION("""COMPUTED_VALUE"""),27.0)</f>
        <v>27</v>
      </c>
      <c r="Q93" s="88" t="str">
        <f>IFERROR(__xludf.DUMMYFUNCTION("""COMPUTED_VALUE"""),"qeep_nabor_remuver_40ml_1_1")</f>
        <v>qeep_nabor_remuver_40ml_1_1</v>
      </c>
      <c r="R93" s="88">
        <f>IFERROR(__xludf.DUMMYFUNCTION("""COMPUTED_VALUE"""),2.071319159E9)</f>
        <v>2071319159</v>
      </c>
      <c r="T93" s="88" t="str">
        <f>IFERROR(__xludf.DUMMYFUNCTION("""COMPUTED_VALUE"""),"На вывод")</f>
        <v>На вывод</v>
      </c>
      <c r="U93" s="88" t="str">
        <f>IFERROR(__xludf.DUMMYFUNCTION("""COMPUTED_VALUE"""),"Кристина")</f>
        <v>Кристина</v>
      </c>
    </row>
    <row r="94">
      <c r="A94" s="88">
        <f>IFERROR(__xludf.DUMMYFUNCTION("""COMPUTED_VALUE"""),65.0)</f>
        <v>65</v>
      </c>
      <c r="B94" s="88" t="str">
        <f>IFERROR(__xludf.DUMMYFUNCTION("""COMPUTED_VALUE"""),"qeepcollagen_peptides_lemon")</f>
        <v>qeepcollagen_peptides_lemon</v>
      </c>
      <c r="C94" s="88">
        <f>IFERROR(__xludf.DUMMYFUNCTION("""COMPUTED_VALUE"""),7.7232793E8)</f>
        <v>772327930</v>
      </c>
      <c r="E94" s="88" t="str">
        <f>IFERROR(__xludf.DUMMYFUNCTION("""COMPUTED_VALUE"""),"На вывод")</f>
        <v>На вывод</v>
      </c>
      <c r="F94" s="88" t="str">
        <f>IFERROR(__xludf.DUMMYFUNCTION("""COMPUTED_VALUE"""),"Света")</f>
        <v>Света</v>
      </c>
      <c r="P94" s="88">
        <f>IFERROR(__xludf.DUMMYFUNCTION("""COMPUTED_VALUE"""),5.0)</f>
        <v>5</v>
      </c>
      <c r="Q94" s="88" t="str">
        <f>IFERROR(__xludf.DUMMYFUNCTION("""COMPUTED_VALUE"""),"qeep_Perfectman_60caps")</f>
        <v>qeep_Perfectman_60caps</v>
      </c>
      <c r="R94" s="88">
        <f>IFERROR(__xludf.DUMMYFUNCTION("""COMPUTED_VALUE"""),9.46980875E8)</f>
        <v>946980875</v>
      </c>
      <c r="T94" s="88" t="str">
        <f>IFERROR(__xludf.DUMMYFUNCTION("""COMPUTED_VALUE"""),"Актуально")</f>
        <v>Актуально</v>
      </c>
      <c r="U94" s="88" t="str">
        <f>IFERROR(__xludf.DUMMYFUNCTION("""COMPUTED_VALUE"""),"Семен")</f>
        <v>Семен</v>
      </c>
    </row>
    <row r="95">
      <c r="A95" s="88">
        <f>IFERROR(__xludf.DUMMYFUNCTION("""COMPUTED_VALUE"""),64.0)</f>
        <v>64</v>
      </c>
      <c r="B95" s="88" t="str">
        <f>IFERROR(__xludf.DUMMYFUNCTION("""COMPUTED_VALUE"""),"qeep_tobaccocherry_450ml")</f>
        <v>qeep_tobaccocherry_450ml</v>
      </c>
      <c r="C95" s="88">
        <f>IFERROR(__xludf.DUMMYFUNCTION("""COMPUTED_VALUE"""),1.785782001E9)</f>
        <v>1785782001</v>
      </c>
      <c r="E95" s="88" t="str">
        <f>IFERROR(__xludf.DUMMYFUNCTION("""COMPUTED_VALUE"""),"На вывод")</f>
        <v>На вывод</v>
      </c>
      <c r="F95" s="88" t="str">
        <f>IFERROR(__xludf.DUMMYFUNCTION("""COMPUTED_VALUE"""),"Кирилл")</f>
        <v>Кирилл</v>
      </c>
      <c r="P95" s="88">
        <f>IFERROR(__xludf.DUMMYFUNCTION("""COMPUTED_VALUE"""),6.0)</f>
        <v>6</v>
      </c>
      <c r="Q95" s="88" t="str">
        <f>IFERROR(__xludf.DUMMYFUNCTION("""COMPUTED_VALUE"""),"qeep_ecdysterone_60caps")</f>
        <v>qeep_ecdysterone_60caps</v>
      </c>
      <c r="R95" s="88">
        <f>IFERROR(__xludf.DUMMYFUNCTION("""COMPUTED_VALUE"""),1.731455142E9)</f>
        <v>1731455142</v>
      </c>
      <c r="T95" s="88" t="str">
        <f>IFERROR(__xludf.DUMMYFUNCTION("""COMPUTED_VALUE"""),"Актуально")</f>
        <v>Актуально</v>
      </c>
      <c r="U95" s="88" t="str">
        <f>IFERROR(__xludf.DUMMYFUNCTION("""COMPUTED_VALUE"""),"Семен")</f>
        <v>Семен</v>
      </c>
    </row>
    <row r="96">
      <c r="A96" s="88">
        <f>IFERROR(__xludf.DUMMYFUNCTION("""COMPUTED_VALUE"""),63.0)</f>
        <v>63</v>
      </c>
      <c r="B96" s="88" t="str">
        <f>IFERROR(__xludf.DUMMYFUNCTION("""COMPUTED_VALUE"""),"qeep_creatine_300g")</f>
        <v>qeep_creatine_300g</v>
      </c>
      <c r="C96" s="88">
        <f>IFERROR(__xludf.DUMMYFUNCTION("""COMPUTED_VALUE"""),1.566871461E9)</f>
        <v>1566871461</v>
      </c>
      <c r="E96" s="88" t="str">
        <f>IFERROR(__xludf.DUMMYFUNCTION("""COMPUTED_VALUE"""),"Актуально")</f>
        <v>Актуально</v>
      </c>
      <c r="F96" s="88" t="str">
        <f>IFERROR(__xludf.DUMMYFUNCTION("""COMPUTED_VALUE"""),"Света")</f>
        <v>Света</v>
      </c>
      <c r="P96" s="88">
        <f>IFERROR(__xludf.DUMMYFUNCTION("""COMPUTED_VALUE"""),15.0)</f>
        <v>15</v>
      </c>
      <c r="Q96" s="88" t="str">
        <f>IFERROR(__xludf.DUMMYFUNCTION("""COMPUTED_VALUE"""),"qeep_ZMA_120caps")</f>
        <v>qeep_ZMA_120caps</v>
      </c>
      <c r="R96" s="88">
        <f>IFERROR(__xludf.DUMMYFUNCTION("""COMPUTED_VALUE"""),1.032691496E9)</f>
        <v>1032691496</v>
      </c>
      <c r="T96" s="88" t="str">
        <f>IFERROR(__xludf.DUMMYFUNCTION("""COMPUTED_VALUE"""),"Актуально")</f>
        <v>Актуально</v>
      </c>
      <c r="U96" s="88" t="str">
        <f>IFERROR(__xludf.DUMMYFUNCTION("""COMPUTED_VALUE"""),"Семен")</f>
        <v>Семен</v>
      </c>
    </row>
    <row r="97">
      <c r="A97" s="88">
        <f>IFERROR(__xludf.DUMMYFUNCTION("""COMPUTED_VALUE"""),62.0)</f>
        <v>62</v>
      </c>
      <c r="B97" s="88" t="str">
        <f>IFERROR(__xludf.DUMMYFUNCTION("""COMPUTED_VALUE"""),"qeepcollagen_peptides_Natural")</f>
        <v>qeepcollagen_peptides_Natural</v>
      </c>
      <c r="C97" s="88">
        <f>IFERROR(__xludf.DUMMYFUNCTION("""COMPUTED_VALUE"""),7.72327923E8)</f>
        <v>772327923</v>
      </c>
      <c r="E97" s="88" t="str">
        <f>IFERROR(__xludf.DUMMYFUNCTION("""COMPUTED_VALUE"""),"На вывод")</f>
        <v>На вывод</v>
      </c>
      <c r="F97" s="88" t="str">
        <f>IFERROR(__xludf.DUMMYFUNCTION("""COMPUTED_VALUE"""),"Света")</f>
        <v>Света</v>
      </c>
      <c r="P97" s="88">
        <f>IFERROR(__xludf.DUMMYFUNCTION("""COMPUTED_VALUE"""),49.0)</f>
        <v>49</v>
      </c>
      <c r="Q97" s="88" t="str">
        <f>IFERROR(__xludf.DUMMYFUNCTION("""COMPUTED_VALUE"""),"qeep_arginine_90caps")</f>
        <v>qeep_arginine_90caps</v>
      </c>
      <c r="R97" s="88">
        <f>IFERROR(__xludf.DUMMYFUNCTION("""COMPUTED_VALUE"""),9.51604183E8)</f>
        <v>951604183</v>
      </c>
      <c r="T97" s="88" t="str">
        <f>IFERROR(__xludf.DUMMYFUNCTION("""COMPUTED_VALUE"""),"Актуально")</f>
        <v>Актуально</v>
      </c>
      <c r="U97" s="88" t="str">
        <f>IFERROR(__xludf.DUMMYFUNCTION("""COMPUTED_VALUE"""),"Семен")</f>
        <v>Семен</v>
      </c>
    </row>
    <row r="98">
      <c r="A98" s="88">
        <f>IFERROR(__xludf.DUMMYFUNCTION("""COMPUTED_VALUE"""),61.0)</f>
        <v>61</v>
      </c>
      <c r="B98" s="88" t="str">
        <f>IFERROR(__xludf.DUMMYFUNCTION("""COMPUTED_VALUE"""),"qeep_ginkgo_biloba_90caps")</f>
        <v>qeep_ginkgo_biloba_90caps</v>
      </c>
      <c r="C98" s="88">
        <f>IFERROR(__xludf.DUMMYFUNCTION("""COMPUTED_VALUE"""),1.101364594E9)</f>
        <v>1101364594</v>
      </c>
      <c r="E98" s="88" t="str">
        <f>IFERROR(__xludf.DUMMYFUNCTION("""COMPUTED_VALUE"""),"Актуально")</f>
        <v>Актуально</v>
      </c>
      <c r="F98" s="88" t="str">
        <f>IFERROR(__xludf.DUMMYFUNCTION("""COMPUTED_VALUE"""),"Света")</f>
        <v>Света</v>
      </c>
      <c r="P98" s="88">
        <f>IFERROR(__xludf.DUMMYFUNCTION("""COMPUTED_VALUE"""),55.0)</f>
        <v>55</v>
      </c>
      <c r="Q98" s="88" t="str">
        <f>IFERROR(__xludf.DUMMYFUNCTION("""COMPUTED_VALUE"""),"qeep_isotoniccitrus_300g")</f>
        <v>qeep_isotoniccitrus_300g</v>
      </c>
      <c r="R98" s="88">
        <f>IFERROR(__xludf.DUMMYFUNCTION("""COMPUTED_VALUE"""),1.726985284E9)</f>
        <v>1726985284</v>
      </c>
      <c r="T98" s="88" t="str">
        <f>IFERROR(__xludf.DUMMYFUNCTION("""COMPUTED_VALUE"""),"Актуально")</f>
        <v>Актуально</v>
      </c>
      <c r="U98" s="88" t="str">
        <f>IFERROR(__xludf.DUMMYFUNCTION("""COMPUTED_VALUE"""),"Семен")</f>
        <v>Семен</v>
      </c>
    </row>
    <row r="99">
      <c r="A99" s="88">
        <f>IFERROR(__xludf.DUMMYFUNCTION("""COMPUTED_VALUE"""),60.0)</f>
        <v>60</v>
      </c>
      <c r="B99" s="88" t="str">
        <f>IFERROR(__xludf.DUMMYFUNCTION("""COMPUTED_VALUE"""),"qeep_Antiparasite_60caps")</f>
        <v>qeep_Antiparasite_60caps</v>
      </c>
      <c r="C99" s="88">
        <f>IFERROR(__xludf.DUMMYFUNCTION("""COMPUTED_VALUE"""),1.323353605E9)</f>
        <v>1323353605</v>
      </c>
      <c r="E99" s="88" t="str">
        <f>IFERROR(__xludf.DUMMYFUNCTION("""COMPUTED_VALUE"""),"Актуально")</f>
        <v>Актуально</v>
      </c>
      <c r="F99" s="88" t="str">
        <f>IFERROR(__xludf.DUMMYFUNCTION("""COMPUTED_VALUE"""),"Алексей")</f>
        <v>Алексей</v>
      </c>
      <c r="P99" s="88">
        <f>IFERROR(__xludf.DUMMYFUNCTION("""COMPUTED_VALUE"""),63.0)</f>
        <v>63</v>
      </c>
      <c r="Q99" s="88" t="str">
        <f>IFERROR(__xludf.DUMMYFUNCTION("""COMPUTED_VALUE"""),"qeep_creatine_300g")</f>
        <v>qeep_creatine_300g</v>
      </c>
      <c r="R99" s="88">
        <f>IFERROR(__xludf.DUMMYFUNCTION("""COMPUTED_VALUE"""),1.566871461E9)</f>
        <v>1566871461</v>
      </c>
      <c r="T99" s="88" t="str">
        <f>IFERROR(__xludf.DUMMYFUNCTION("""COMPUTED_VALUE"""),"Актуально")</f>
        <v>Актуально</v>
      </c>
      <c r="U99" s="88" t="str">
        <f>IFERROR(__xludf.DUMMYFUNCTION("""COMPUTED_VALUE"""),"Семен")</f>
        <v>Семен</v>
      </c>
    </row>
    <row r="100">
      <c r="A100" s="88">
        <f>IFERROR(__xludf.DUMMYFUNCTION("""COMPUTED_VALUE"""),59.0)</f>
        <v>59</v>
      </c>
      <c r="B100" s="88" t="str">
        <f>IFERROR(__xludf.DUMMYFUNCTION("""COMPUTED_VALUE"""),"qeep_gummy_c_60")</f>
        <v>qeep_gummy_c_60</v>
      </c>
      <c r="C100" s="88">
        <f>IFERROR(__xludf.DUMMYFUNCTION("""COMPUTED_VALUE"""),2.214748873E9)</f>
        <v>2214748873</v>
      </c>
      <c r="E100" s="88" t="str">
        <f>IFERROR(__xludf.DUMMYFUNCTION("""COMPUTED_VALUE"""),"Актуально")</f>
        <v>Актуально</v>
      </c>
      <c r="F100" s="88" t="str">
        <f>IFERROR(__xludf.DUMMYFUNCTION("""COMPUTED_VALUE"""),"Света")</f>
        <v>Света</v>
      </c>
      <c r="P100" s="88">
        <f>IFERROR(__xludf.DUMMYFUNCTION("""COMPUTED_VALUE"""),68.0)</f>
        <v>68</v>
      </c>
      <c r="Q100" s="88" t="str">
        <f>IFERROR(__xludf.DUMMYFUNCTION("""COMPUTED_VALUE"""),"qeep_isotonicmintlime_300g")</f>
        <v>qeep_isotonicmintlime_300g</v>
      </c>
      <c r="R100" s="88">
        <f>IFERROR(__xludf.DUMMYFUNCTION("""COMPUTED_VALUE"""),1.726985022E9)</f>
        <v>1726985022</v>
      </c>
      <c r="T100" s="88" t="str">
        <f>IFERROR(__xludf.DUMMYFUNCTION("""COMPUTED_VALUE"""),"Актуально")</f>
        <v>Актуально</v>
      </c>
      <c r="U100" s="88" t="str">
        <f>IFERROR(__xludf.DUMMYFUNCTION("""COMPUTED_VALUE"""),"Семен")</f>
        <v>Семен</v>
      </c>
    </row>
    <row r="101">
      <c r="A101" s="88">
        <f>IFERROR(__xludf.DUMMYFUNCTION("""COMPUTED_VALUE"""),58.0)</f>
        <v>58</v>
      </c>
      <c r="B101" s="88" t="str">
        <f>IFERROR(__xludf.DUMMYFUNCTION("""COMPUTED_VALUE"""),"qeepcollagen")</f>
        <v>qeepcollagen</v>
      </c>
      <c r="C101" s="88">
        <f>IFERROR(__xludf.DUMMYFUNCTION("""COMPUTED_VALUE"""),6.16963626E8)</f>
        <v>616963626</v>
      </c>
      <c r="E101" s="88" t="str">
        <f>IFERROR(__xludf.DUMMYFUNCTION("""COMPUTED_VALUE"""),"Актуально")</f>
        <v>Актуально</v>
      </c>
      <c r="F101" s="88" t="str">
        <f>IFERROR(__xludf.DUMMYFUNCTION("""COMPUTED_VALUE"""),"Света")</f>
        <v>Света</v>
      </c>
      <c r="P101" s="88">
        <f>IFERROR(__xludf.DUMMYFUNCTION("""COMPUTED_VALUE"""),75.0)</f>
        <v>75</v>
      </c>
      <c r="Q101" s="88" t="str">
        <f>IFERROR(__xludf.DUMMYFUNCTION("""COMPUTED_VALUE"""),"qeep_glutamine_90caps")</f>
        <v>qeep_glutamine_90caps</v>
      </c>
      <c r="R101" s="88">
        <f>IFERROR(__xludf.DUMMYFUNCTION("""COMPUTED_VALUE"""),1.200359466E9)</f>
        <v>1200359466</v>
      </c>
      <c r="T101" s="88" t="str">
        <f>IFERROR(__xludf.DUMMYFUNCTION("""COMPUTED_VALUE"""),"Актуально")</f>
        <v>Актуально</v>
      </c>
      <c r="U101" s="88" t="str">
        <f>IFERROR(__xludf.DUMMYFUNCTION("""COMPUTED_VALUE"""),"Семен")</f>
        <v>Семен</v>
      </c>
    </row>
    <row r="102">
      <c r="A102" s="88">
        <f>IFERROR(__xludf.DUMMYFUNCTION("""COMPUTED_VALUE"""),57.0)</f>
        <v>57</v>
      </c>
      <c r="B102" s="88" t="str">
        <f>IFERROR(__xludf.DUMMYFUNCTION("""COMPUTED_VALUE"""),"qeep_bcomplex_90caps")</f>
        <v>qeep_bcomplex_90caps</v>
      </c>
      <c r="C102" s="88">
        <f>IFERROR(__xludf.DUMMYFUNCTION("""COMPUTED_VALUE"""),1.408084489E9)</f>
        <v>1408084489</v>
      </c>
      <c r="E102" s="88" t="str">
        <f>IFERROR(__xludf.DUMMYFUNCTION("""COMPUTED_VALUE"""),"На вывод")</f>
        <v>На вывод</v>
      </c>
      <c r="F102" s="88" t="str">
        <f>IFERROR(__xludf.DUMMYFUNCTION("""COMPUTED_VALUE"""),"Света")</f>
        <v>Света</v>
      </c>
      <c r="P102" s="88">
        <f>IFERROR(__xludf.DUMMYFUNCTION("""COMPUTED_VALUE"""),96.0)</f>
        <v>96</v>
      </c>
      <c r="Q102" s="88" t="str">
        <f>IFERROR(__xludf.DUMMYFUNCTION("""COMPUTED_VALUE"""),"qeep_isotonicraspblime_300g")</f>
        <v>qeep_isotonicraspblime_300g</v>
      </c>
      <c r="R102" s="88">
        <f>IFERROR(__xludf.DUMMYFUNCTION("""COMPUTED_VALUE"""),1.726985085E9)</f>
        <v>1726985085</v>
      </c>
      <c r="T102" s="88" t="str">
        <f>IFERROR(__xludf.DUMMYFUNCTION("""COMPUTED_VALUE"""),"Актуально")</f>
        <v>Актуально</v>
      </c>
      <c r="U102" s="88" t="str">
        <f>IFERROR(__xludf.DUMMYFUNCTION("""COMPUTED_VALUE"""),"Семен")</f>
        <v>Семен</v>
      </c>
    </row>
    <row r="103">
      <c r="A103" s="88">
        <f>IFERROR(__xludf.DUMMYFUNCTION("""COMPUTED_VALUE"""),56.0)</f>
        <v>56</v>
      </c>
      <c r="B103" s="88" t="str">
        <f>IFERROR(__xludf.DUMMYFUNCTION("""COMPUTED_VALUE"""),"qeep_gummy_magn_60")</f>
        <v>qeep_gummy_magn_60</v>
      </c>
      <c r="C103" s="88">
        <f>IFERROR(__xludf.DUMMYFUNCTION("""COMPUTED_VALUE"""),1.773856028E9)</f>
        <v>1773856028</v>
      </c>
      <c r="E103" s="88" t="str">
        <f>IFERROR(__xludf.DUMMYFUNCTION("""COMPUTED_VALUE"""),"На вывод")</f>
        <v>На вывод</v>
      </c>
      <c r="F103" s="88" t="str">
        <f>IFERROR(__xludf.DUMMYFUNCTION("""COMPUTED_VALUE"""),"Света")</f>
        <v>Света</v>
      </c>
      <c r="P103" s="88">
        <f>IFERROR(__xludf.DUMMYFUNCTION("""COMPUTED_VALUE"""),54.0)</f>
        <v>54</v>
      </c>
      <c r="Q103" s="88" t="str">
        <f>IFERROR(__xludf.DUMMYFUNCTION("""COMPUTED_VALUE"""),"harly_spray_250ml")</f>
        <v>harly_spray_250ml</v>
      </c>
      <c r="R103" s="88">
        <f>IFERROR(__xludf.DUMMYFUNCTION("""COMPUTED_VALUE"""),1.613729326E9)</f>
        <v>1613729326</v>
      </c>
      <c r="T103" s="88" t="str">
        <f>IFERROR(__xludf.DUMMYFUNCTION("""COMPUTED_VALUE"""),"Актуально")</f>
        <v>Актуально</v>
      </c>
      <c r="U103" s="88" t="str">
        <f>IFERROR(__xludf.DUMMYFUNCTION("""COMPUTED_VALUE"""),"Кристина")</f>
        <v>Кристина</v>
      </c>
    </row>
    <row r="104">
      <c r="A104" s="88">
        <f>IFERROR(__xludf.DUMMYFUNCTION("""COMPUTED_VALUE"""),55.0)</f>
        <v>55</v>
      </c>
      <c r="B104" s="88" t="str">
        <f>IFERROR(__xludf.DUMMYFUNCTION("""COMPUTED_VALUE"""),"qeep_isotoniccitrus_300g")</f>
        <v>qeep_isotoniccitrus_300g</v>
      </c>
      <c r="C104" s="88">
        <f>IFERROR(__xludf.DUMMYFUNCTION("""COMPUTED_VALUE"""),1.726985284E9)</f>
        <v>1726985284</v>
      </c>
      <c r="E104" s="88" t="str">
        <f>IFERROR(__xludf.DUMMYFUNCTION("""COMPUTED_VALUE"""),"Актуально")</f>
        <v>Актуально</v>
      </c>
      <c r="F104" s="88" t="str">
        <f>IFERROR(__xludf.DUMMYFUNCTION("""COMPUTED_VALUE"""),"Света")</f>
        <v>Света</v>
      </c>
      <c r="P104" s="88">
        <f>IFERROR(__xludf.DUMMYFUNCTION("""COMPUTED_VALUE"""),64.0)</f>
        <v>64</v>
      </c>
      <c r="Q104" s="88" t="str">
        <f>IFERROR(__xludf.DUMMYFUNCTION("""COMPUTED_VALUE"""),"qeep_tobaccocherry_450ml")</f>
        <v>qeep_tobaccocherry_450ml</v>
      </c>
      <c r="R104" s="88">
        <f>IFERROR(__xludf.DUMMYFUNCTION("""COMPUTED_VALUE"""),1.785782001E9)</f>
        <v>1785782001</v>
      </c>
      <c r="T104" s="88" t="str">
        <f>IFERROR(__xludf.DUMMYFUNCTION("""COMPUTED_VALUE"""),"Актуально")</f>
        <v>Актуально</v>
      </c>
      <c r="U104" s="88" t="str">
        <f>IFERROR(__xludf.DUMMYFUNCTION("""COMPUTED_VALUE"""),"Кристина")</f>
        <v>Кристина</v>
      </c>
    </row>
    <row r="105">
      <c r="A105" s="88">
        <f>IFERROR(__xludf.DUMMYFUNCTION("""COMPUTED_VALUE"""),54.0)</f>
        <v>54</v>
      </c>
      <c r="B105" s="88" t="str">
        <f>IFERROR(__xludf.DUMMYFUNCTION("""COMPUTED_VALUE"""),"harly_spray_250ml")</f>
        <v>harly_spray_250ml</v>
      </c>
      <c r="C105" s="88">
        <f>IFERROR(__xludf.DUMMYFUNCTION("""COMPUTED_VALUE"""),1.613729326E9)</f>
        <v>1613729326</v>
      </c>
      <c r="E105" s="88" t="str">
        <f>IFERROR(__xludf.DUMMYFUNCTION("""COMPUTED_VALUE"""),"Актуально")</f>
        <v>Актуально</v>
      </c>
      <c r="F105" s="88" t="str">
        <f>IFERROR(__xludf.DUMMYFUNCTION("""COMPUTED_VALUE"""),"Алексей")</f>
        <v>Алексей</v>
      </c>
      <c r="P105" s="88">
        <f>IFERROR(__xludf.DUMMYFUNCTION("""COMPUTED_VALUE"""),46.0)</f>
        <v>46</v>
      </c>
      <c r="Q105" s="88" t="str">
        <f>IFERROR(__xludf.DUMMYFUNCTION("""COMPUTED_VALUE"""),"harly_catshampoo_250ml")</f>
        <v>harly_catshampoo_250ml</v>
      </c>
      <c r="R105" s="88">
        <f>IFERROR(__xludf.DUMMYFUNCTION("""COMPUTED_VALUE"""),1.873376596E9)</f>
        <v>1873376596</v>
      </c>
      <c r="T105" s="88" t="str">
        <f>IFERROR(__xludf.DUMMYFUNCTION("""COMPUTED_VALUE"""),"Актуально")</f>
        <v>Актуально</v>
      </c>
      <c r="U105" s="88" t="str">
        <f>IFERROR(__xludf.DUMMYFUNCTION("""COMPUTED_VALUE"""),"Кристина")</f>
        <v>Кристина</v>
      </c>
    </row>
    <row r="106">
      <c r="A106" s="88">
        <f>IFERROR(__xludf.DUMMYFUNCTION("""COMPUTED_VALUE"""),53.0)</f>
        <v>53</v>
      </c>
      <c r="B106" s="88" t="str">
        <f>IFERROR(__xludf.DUMMYFUNCTION("""COMPUTED_VALUE"""),"qeep_biopurin_60caps")</f>
        <v>qeep_biopurin_60caps</v>
      </c>
      <c r="C106" s="88">
        <f>IFERROR(__xludf.DUMMYFUNCTION("""COMPUTED_VALUE"""),1.884226546E9)</f>
        <v>1884226546</v>
      </c>
      <c r="E106" s="88" t="str">
        <f>IFERROR(__xludf.DUMMYFUNCTION("""COMPUTED_VALUE"""),"Актуально")</f>
        <v>Актуально</v>
      </c>
      <c r="F106" s="88" t="str">
        <f>IFERROR(__xludf.DUMMYFUNCTION("""COMPUTED_VALUE"""),"Света")</f>
        <v>Света</v>
      </c>
      <c r="P106" s="88">
        <f>IFERROR(__xludf.DUMMYFUNCTION("""COMPUTED_VALUE"""),77.0)</f>
        <v>77</v>
      </c>
      <c r="Q106" s="88" t="str">
        <f>IFERROR(__xludf.DUMMYFUNCTION("""COMPUTED_VALUE"""),"harly_shampoo_500ml")</f>
        <v>harly_shampoo_500ml</v>
      </c>
      <c r="R106" s="88">
        <f>IFERROR(__xludf.DUMMYFUNCTION("""COMPUTED_VALUE"""),1.503121227E9)</f>
        <v>1503121227</v>
      </c>
      <c r="T106" s="88" t="str">
        <f>IFERROR(__xludf.DUMMYFUNCTION("""COMPUTED_VALUE"""),"Актуально")</f>
        <v>Актуально</v>
      </c>
      <c r="U106" s="88" t="str">
        <f>IFERROR(__xludf.DUMMYFUNCTION("""COMPUTED_VALUE"""),"Кристина")</f>
        <v>Кристина</v>
      </c>
    </row>
    <row r="107">
      <c r="A107" s="88">
        <f>IFERROR(__xludf.DUMMYFUNCTION("""COMPUTED_VALUE"""),52.0)</f>
        <v>52</v>
      </c>
      <c r="B107" s="88" t="str">
        <f>IFERROR(__xludf.DUMMYFUNCTION("""COMPUTED_VALUE"""),"qeepomega_kids")</f>
        <v>qeepomega_kids</v>
      </c>
      <c r="C107" s="88">
        <f>IFERROR(__xludf.DUMMYFUNCTION("""COMPUTED_VALUE"""),8.09466646E8)</f>
        <v>809466646</v>
      </c>
      <c r="E107" s="88" t="str">
        <f>IFERROR(__xludf.DUMMYFUNCTION("""COMPUTED_VALUE"""),"Актуально")</f>
        <v>Актуально</v>
      </c>
      <c r="F107" s="88" t="str">
        <f>IFERROR(__xludf.DUMMYFUNCTION("""COMPUTED_VALUE"""),"Света")</f>
        <v>Света</v>
      </c>
      <c r="P107" s="88">
        <f>IFERROR(__xludf.DUMMYFUNCTION("""COMPUTED_VALUE"""),84.0)</f>
        <v>84</v>
      </c>
      <c r="Q107" s="88" t="str">
        <f>IFERROR(__xludf.DUMMYFUNCTION("""COMPUTED_VALUE"""),"harly_longhairdog_500ml")</f>
        <v>harly_longhairdog_500ml</v>
      </c>
      <c r="R107" s="88">
        <f>IFERROR(__xludf.DUMMYFUNCTION("""COMPUTED_VALUE"""),1.873383663E9)</f>
        <v>1873383663</v>
      </c>
      <c r="T107" s="88" t="str">
        <f>IFERROR(__xludf.DUMMYFUNCTION("""COMPUTED_VALUE"""),"Актуально")</f>
        <v>Актуально</v>
      </c>
      <c r="U107" s="88" t="str">
        <f>IFERROR(__xludf.DUMMYFUNCTION("""COMPUTED_VALUE"""),"Кристина")</f>
        <v>Кристина</v>
      </c>
    </row>
    <row r="108">
      <c r="A108" s="88">
        <f>IFERROR(__xludf.DUMMYFUNCTION("""COMPUTED_VALUE"""),51.0)</f>
        <v>51</v>
      </c>
      <c r="B108" s="88" t="str">
        <f>IFERROR(__xludf.DUMMYFUNCTION("""COMPUTED_VALUE"""),"harly_cat_premiumveal_2kg")</f>
        <v>harly_cat_premiumveal_2kg</v>
      </c>
      <c r="C108" s="88">
        <f>IFERROR(__xludf.DUMMYFUNCTION("""COMPUTED_VALUE"""),1.59664608E9)</f>
        <v>1596646080</v>
      </c>
      <c r="E108" s="88" t="str">
        <f>IFERROR(__xludf.DUMMYFUNCTION("""COMPUTED_VALUE"""),"Актуально")</f>
        <v>Актуально</v>
      </c>
      <c r="F108" s="88" t="str">
        <f>IFERROR(__xludf.DUMMYFUNCTION("""COMPUTED_VALUE"""),"Алексей")</f>
        <v>Алексей</v>
      </c>
      <c r="P108" s="88">
        <f>IFERROR(__xludf.DUMMYFUNCTION("""COMPUTED_VALUE"""),21.0)</f>
        <v>21</v>
      </c>
      <c r="Q108" s="88" t="str">
        <f>IFERROR(__xludf.DUMMYFUNCTION("""COMPUTED_VALUE"""),"harly_shampoo_blohi_500ml")</f>
        <v>harly_shampoo_blohi_500ml</v>
      </c>
      <c r="R108" s="88">
        <f>IFERROR(__xludf.DUMMYFUNCTION("""COMPUTED_VALUE"""),1.703618254E9)</f>
        <v>1703618254</v>
      </c>
      <c r="T108" s="88" t="str">
        <f>IFERROR(__xludf.DUMMYFUNCTION("""COMPUTED_VALUE"""),"Актуально")</f>
        <v>Актуально</v>
      </c>
      <c r="U108" s="88" t="str">
        <f>IFERROR(__xludf.DUMMYFUNCTION("""COMPUTED_VALUE"""),"Кристина")</f>
        <v>Кристина</v>
      </c>
    </row>
    <row r="109">
      <c r="A109" s="88">
        <f>IFERROR(__xludf.DUMMYFUNCTION("""COMPUTED_VALUE"""),50.0)</f>
        <v>50</v>
      </c>
      <c r="B109" s="88" t="str">
        <f>IFERROR(__xludf.DUMMYFUNCTION("""COMPUTED_VALUE"""),"Harly_cat_support_100tabs")</f>
        <v>Harly_cat_support_100tabs</v>
      </c>
      <c r="C109" s="88">
        <f>IFERROR(__xludf.DUMMYFUNCTION("""COMPUTED_VALUE"""),1.010948247E9)</f>
        <v>1010948247</v>
      </c>
      <c r="E109" s="88" t="str">
        <f>IFERROR(__xludf.DUMMYFUNCTION("""COMPUTED_VALUE"""),"Актуально")</f>
        <v>Актуально</v>
      </c>
      <c r="F109" s="88" t="str">
        <f>IFERROR(__xludf.DUMMYFUNCTION("""COMPUTED_VALUE"""),"Алексей")</f>
        <v>Алексей</v>
      </c>
      <c r="P109" s="88">
        <f>IFERROR(__xludf.DUMMYFUNCTION("""COMPUTED_VALUE"""),28.0)</f>
        <v>28</v>
      </c>
      <c r="Q109" s="88" t="str">
        <f>IFERROR(__xludf.DUMMYFUNCTION("""COMPUTED_VALUE"""),"qeep_kidsvitamins_60tabs")</f>
        <v>qeep_kidsvitamins_60tabs</v>
      </c>
      <c r="R109" s="88">
        <f>IFERROR(__xludf.DUMMYFUNCTION("""COMPUTED_VALUE"""),1.581800376E9)</f>
        <v>1581800376</v>
      </c>
      <c r="T109" s="88" t="str">
        <f>IFERROR(__xludf.DUMMYFUNCTION("""COMPUTED_VALUE"""),"На вывод")</f>
        <v>На вывод</v>
      </c>
      <c r="U109" s="88" t="str">
        <f>IFERROR(__xludf.DUMMYFUNCTION("""COMPUTED_VALUE"""),"Семен")</f>
        <v>Семен</v>
      </c>
    </row>
    <row r="110">
      <c r="A110" s="88">
        <f>IFERROR(__xludf.DUMMYFUNCTION("""COMPUTED_VALUE"""),49.0)</f>
        <v>49</v>
      </c>
      <c r="B110" s="88" t="str">
        <f>IFERROR(__xludf.DUMMYFUNCTION("""COMPUTED_VALUE"""),"qeep_arginine_90caps")</f>
        <v>qeep_arginine_90caps</v>
      </c>
      <c r="C110" s="88">
        <f>IFERROR(__xludf.DUMMYFUNCTION("""COMPUTED_VALUE"""),9.51604183E8)</f>
        <v>951604183</v>
      </c>
      <c r="E110" s="88" t="str">
        <f>IFERROR(__xludf.DUMMYFUNCTION("""COMPUTED_VALUE"""),"Актуально")</f>
        <v>Актуально</v>
      </c>
      <c r="F110" s="88" t="str">
        <f>IFERROR(__xludf.DUMMYFUNCTION("""COMPUTED_VALUE"""),"Алексей")</f>
        <v>Алексей</v>
      </c>
      <c r="P110" s="88">
        <f>IFERROR(__xludf.DUMMYFUNCTION("""COMPUTED_VALUE"""),72.0)</f>
        <v>72</v>
      </c>
      <c r="Q110" s="88" t="str">
        <f>IFERROR(__xludf.DUMMYFUNCTION("""COMPUTED_VALUE"""),"qeep_manbox")</f>
        <v>qeep_manbox</v>
      </c>
      <c r="R110" s="88">
        <f>IFERROR(__xludf.DUMMYFUNCTION("""COMPUTED_VALUE"""),1.773345751E9)</f>
        <v>1773345751</v>
      </c>
      <c r="T110" s="88" t="str">
        <f>IFERROR(__xludf.DUMMYFUNCTION("""COMPUTED_VALUE"""),"На вывод")</f>
        <v>На вывод</v>
      </c>
      <c r="U110" s="88" t="str">
        <f>IFERROR(__xludf.DUMMYFUNCTION("""COMPUTED_VALUE"""),"Семен")</f>
        <v>Семен</v>
      </c>
    </row>
    <row r="111">
      <c r="A111" s="88">
        <f>IFERROR(__xludf.DUMMYFUNCTION("""COMPUTED_VALUE"""),48.0)</f>
        <v>48</v>
      </c>
      <c r="B111" s="88" t="str">
        <f>IFERROR(__xludf.DUMMYFUNCTION("""COMPUTED_VALUE"""),"qeep_pqq_30caps")</f>
        <v>qeep_pqq_30caps</v>
      </c>
      <c r="C111" s="88">
        <f>IFERROR(__xludf.DUMMYFUNCTION("""COMPUTED_VALUE"""),1.785810392E9)</f>
        <v>1785810392</v>
      </c>
      <c r="E111" s="88" t="str">
        <f>IFERROR(__xludf.DUMMYFUNCTION("""COMPUTED_VALUE"""),"Актуально")</f>
        <v>Актуально</v>
      </c>
      <c r="F111" s="88" t="str">
        <f>IFERROR(__xludf.DUMMYFUNCTION("""COMPUTED_VALUE"""),"Алексей")</f>
        <v>Алексей</v>
      </c>
      <c r="P111" s="88">
        <f>IFERROR(__xludf.DUMMYFUNCTION("""COMPUTED_VALUE"""),87.0)</f>
        <v>87</v>
      </c>
      <c r="Q111" s="88" t="str">
        <f>IFERROR(__xludf.DUMMYFUNCTION("""COMPUTED_VALUE"""),"qeep_ezhovik_90caps")</f>
        <v>qeep_ezhovik_90caps</v>
      </c>
      <c r="R111" s="88">
        <f>IFERROR(__xludf.DUMMYFUNCTION("""COMPUTED_VALUE"""),1.342086207E9)</f>
        <v>1342086207</v>
      </c>
      <c r="T111" s="88" t="str">
        <f>IFERROR(__xludf.DUMMYFUNCTION("""COMPUTED_VALUE"""),"На вывод")</f>
        <v>На вывод</v>
      </c>
      <c r="U111" s="88" t="str">
        <f>IFERROR(__xludf.DUMMYFUNCTION("""COMPUTED_VALUE"""),"Семен")</f>
        <v>Семен</v>
      </c>
    </row>
    <row r="112">
      <c r="A112" s="88">
        <f>IFERROR(__xludf.DUMMYFUNCTION("""COMPUTED_VALUE"""),47.0)</f>
        <v>47</v>
      </c>
      <c r="B112" s="88" t="str">
        <f>IFERROR(__xludf.DUMMYFUNCTION("""COMPUTED_VALUE"""),"qeep_gummy_d3_60")</f>
        <v>qeep_gummy_d3_60</v>
      </c>
      <c r="C112" s="88">
        <f>IFERROR(__xludf.DUMMYFUNCTION("""COMPUTED_VALUE"""),2.214705163E9)</f>
        <v>2214705163</v>
      </c>
      <c r="E112" s="88" t="str">
        <f>IFERROR(__xludf.DUMMYFUNCTION("""COMPUTED_VALUE"""),"Актуально")</f>
        <v>Актуально</v>
      </c>
      <c r="F112" s="88" t="str">
        <f>IFERROR(__xludf.DUMMYFUNCTION("""COMPUTED_VALUE"""),"Света")</f>
        <v>Света</v>
      </c>
      <c r="P112" s="88">
        <f>IFERROR(__xludf.DUMMYFUNCTION("""COMPUTED_VALUE"""),93.0)</f>
        <v>93</v>
      </c>
      <c r="Q112" s="88" t="str">
        <f>IFERROR(__xludf.DUMMYFUNCTION("""COMPUTED_VALUE"""),"qeepacnecontrol")</f>
        <v>qeepacnecontrol</v>
      </c>
      <c r="R112" s="88">
        <f>IFERROR(__xludf.DUMMYFUNCTION("""COMPUTED_VALUE"""),7.67090126E8)</f>
        <v>767090126</v>
      </c>
      <c r="T112" s="88" t="str">
        <f>IFERROR(__xludf.DUMMYFUNCTION("""COMPUTED_VALUE"""),"На вывод")</f>
        <v>На вывод</v>
      </c>
      <c r="U112" s="88" t="str">
        <f>IFERROR(__xludf.DUMMYFUNCTION("""COMPUTED_VALUE"""),"Семен")</f>
        <v>Семен</v>
      </c>
    </row>
    <row r="113">
      <c r="A113" s="88">
        <f>IFERROR(__xludf.DUMMYFUNCTION("""COMPUTED_VALUE"""),46.0)</f>
        <v>46</v>
      </c>
      <c r="B113" s="88" t="str">
        <f>IFERROR(__xludf.DUMMYFUNCTION("""COMPUTED_VALUE"""),"harly_catshampoo_250ml")</f>
        <v>harly_catshampoo_250ml</v>
      </c>
      <c r="C113" s="88">
        <f>IFERROR(__xludf.DUMMYFUNCTION("""COMPUTED_VALUE"""),1.873376596E9)</f>
        <v>1873376596</v>
      </c>
      <c r="E113" s="88" t="str">
        <f>IFERROR(__xludf.DUMMYFUNCTION("""COMPUTED_VALUE"""),"Актуально")</f>
        <v>Актуально</v>
      </c>
      <c r="F113" s="88" t="str">
        <f>IFERROR(__xludf.DUMMYFUNCTION("""COMPUTED_VALUE"""),"Алексей")</f>
        <v>Алексей</v>
      </c>
      <c r="P113" s="88">
        <f>IFERROR(__xludf.DUMMYFUNCTION("""COMPUTED_VALUE"""),95.0)</f>
        <v>95</v>
      </c>
      <c r="Q113" s="88" t="str">
        <f>IFERROR(__xludf.DUMMYFUNCTION("""COMPUTED_VALUE"""),"qeep_cacao_400g")</f>
        <v>qeep_cacao_400g</v>
      </c>
      <c r="R113" s="88">
        <f>IFERROR(__xludf.DUMMYFUNCTION("""COMPUTED_VALUE"""),1.099704127E9)</f>
        <v>1099704127</v>
      </c>
      <c r="T113" s="88" t="str">
        <f>IFERROR(__xludf.DUMMYFUNCTION("""COMPUTED_VALUE"""),"На вывод")</f>
        <v>На вывод</v>
      </c>
      <c r="U113" s="88" t="str">
        <f>IFERROR(__xludf.DUMMYFUNCTION("""COMPUTED_VALUE"""),"Семен")</f>
        <v>Семен</v>
      </c>
    </row>
    <row r="114">
      <c r="A114" s="88">
        <f>IFERROR(__xludf.DUMMYFUNCTION("""COMPUTED_VALUE"""),45.0)</f>
        <v>45</v>
      </c>
      <c r="B114" s="88" t="str">
        <f>IFERROR(__xludf.DUMMYFUNCTION("""COMPUTED_VALUE"""),"qeep_omega369_90caps")</f>
        <v>qeep_omega369_90caps</v>
      </c>
      <c r="C114" s="88">
        <f>IFERROR(__xludf.DUMMYFUNCTION("""COMPUTED_VALUE"""),1.0326954E9)</f>
        <v>1032695400</v>
      </c>
      <c r="E114" s="88" t="str">
        <f>IFERROR(__xludf.DUMMYFUNCTION("""COMPUTED_VALUE"""),"На вывод")</f>
        <v>На вывод</v>
      </c>
      <c r="F114" s="88" t="str">
        <f>IFERROR(__xludf.DUMMYFUNCTION("""COMPUTED_VALUE"""),"Семен")</f>
        <v>Семен</v>
      </c>
      <c r="P114" s="88">
        <f>IFERROR(__xludf.DUMMYFUNCTION("""COMPUTED_VALUE"""),97.0)</f>
        <v>97</v>
      </c>
      <c r="Q114" s="88" t="str">
        <f>IFERROR(__xludf.DUMMYFUNCTION("""COMPUTED_VALUE"""),"qeep_resveratrol_60caps")</f>
        <v>qeep_resveratrol_60caps</v>
      </c>
      <c r="R114" s="88">
        <f>IFERROR(__xludf.DUMMYFUNCTION("""COMPUTED_VALUE"""),1.271329609E9)</f>
        <v>1271329609</v>
      </c>
      <c r="T114" s="88" t="str">
        <f>IFERROR(__xludf.DUMMYFUNCTION("""COMPUTED_VALUE"""),"На вывод")</f>
        <v>На вывод</v>
      </c>
      <c r="U114" s="88" t="str">
        <f>IFERROR(__xludf.DUMMYFUNCTION("""COMPUTED_VALUE"""),"Семен")</f>
        <v>Семен</v>
      </c>
    </row>
    <row r="115">
      <c r="A115" s="88">
        <f>IFERROR(__xludf.DUMMYFUNCTION("""COMPUTED_VALUE"""),44.0)</f>
        <v>44</v>
      </c>
      <c r="B115" s="88" t="str">
        <f>IFERROR(__xludf.DUMMYFUNCTION("""COMPUTED_VALUE"""),"harly_dog_turkey_2kg")</f>
        <v>harly_dog_turkey_2kg</v>
      </c>
      <c r="C115" s="88">
        <f>IFERROR(__xludf.DUMMYFUNCTION("""COMPUTED_VALUE"""),1.710553197E9)</f>
        <v>1710553197</v>
      </c>
      <c r="E115" s="88" t="str">
        <f>IFERROR(__xludf.DUMMYFUNCTION("""COMPUTED_VALUE"""),"Актуально")</f>
        <v>Актуально</v>
      </c>
      <c r="F115" s="88" t="str">
        <f>IFERROR(__xludf.DUMMYFUNCTION("""COMPUTED_VALUE"""),"Алексей")</f>
        <v>Алексей</v>
      </c>
      <c r="P115" s="88">
        <f>IFERROR(__xludf.DUMMYFUNCTION("""COMPUTED_VALUE"""),98.0)</f>
        <v>98</v>
      </c>
      <c r="Q115" s="88" t="str">
        <f>IFERROR(__xludf.DUMMYFUNCTION("""COMPUTED_VALUE"""),"qeepzeolite")</f>
        <v>qeepzeolite</v>
      </c>
      <c r="R115" s="88" t="str">
        <f>IFERROR(__xludf.DUMMYFUNCTION("""COMPUTED_VALUE"""),"#N/A")</f>
        <v>#N/A</v>
      </c>
      <c r="T115" s="88" t="str">
        <f>IFERROR(__xludf.DUMMYFUNCTION("""COMPUTED_VALUE"""),"На вывод")</f>
        <v>На вывод</v>
      </c>
      <c r="U115" s="88" t="str">
        <f>IFERROR(__xludf.DUMMYFUNCTION("""COMPUTED_VALUE"""),"Семен")</f>
        <v>Семен</v>
      </c>
    </row>
    <row r="116">
      <c r="A116" s="88">
        <f>IFERROR(__xludf.DUMMYFUNCTION("""COMPUTED_VALUE"""),43.0)</f>
        <v>43</v>
      </c>
      <c r="B116" s="88" t="str">
        <f>IFERROR(__xludf.DUMMYFUNCTION("""COMPUTED_VALUE"""),"qeepzinc")</f>
        <v>qeepzinc</v>
      </c>
      <c r="C116" s="88">
        <f>IFERROR(__xludf.DUMMYFUNCTION("""COMPUTED_VALUE"""),8.1482422E8)</f>
        <v>814824220</v>
      </c>
      <c r="E116" s="88" t="str">
        <f>IFERROR(__xludf.DUMMYFUNCTION("""COMPUTED_VALUE"""),"Актуально")</f>
        <v>Актуально</v>
      </c>
      <c r="F116" s="88" t="str">
        <f>IFERROR(__xludf.DUMMYFUNCTION("""COMPUTED_VALUE"""),"Света")</f>
        <v>Света</v>
      </c>
      <c r="P116" s="88">
        <f>IFERROR(__xludf.DUMMYFUNCTION("""COMPUTED_VALUE"""),99.0)</f>
        <v>99</v>
      </c>
      <c r="Q116" s="88" t="str">
        <f>IFERROR(__xludf.DUMMYFUNCTION("""COMPUTED_VALUE"""),"qeep_folic_omega_60caps")</f>
        <v>qeep_folic_omega_60caps</v>
      </c>
      <c r="R116" s="88">
        <f>IFERROR(__xludf.DUMMYFUNCTION("""COMPUTED_VALUE"""),1.068139791E9)</f>
        <v>1068139791</v>
      </c>
      <c r="T116" s="88" t="str">
        <f>IFERROR(__xludf.DUMMYFUNCTION("""COMPUTED_VALUE"""),"На вывод")</f>
        <v>На вывод</v>
      </c>
      <c r="U116" s="88" t="str">
        <f>IFERROR(__xludf.DUMMYFUNCTION("""COMPUTED_VALUE"""),"Семен")</f>
        <v>Семен</v>
      </c>
    </row>
    <row r="117">
      <c r="A117" s="88">
        <f>IFERROR(__xludf.DUMMYFUNCTION("""COMPUTED_VALUE"""),42.0)</f>
        <v>42</v>
      </c>
      <c r="B117" s="88" t="str">
        <f>IFERROR(__xludf.DUMMYFUNCTION("""COMPUTED_VALUE"""),"qeep_hairspray_200ml")</f>
        <v>qeep_hairspray_200ml</v>
      </c>
      <c r="C117" s="88">
        <f>IFERROR(__xludf.DUMMYFUNCTION("""COMPUTED_VALUE"""),1.729383128E9)</f>
        <v>1729383128</v>
      </c>
      <c r="E117" s="88" t="str">
        <f>IFERROR(__xludf.DUMMYFUNCTION("""COMPUTED_VALUE"""),"Актуально")</f>
        <v>Актуально</v>
      </c>
      <c r="F117" s="88" t="str">
        <f>IFERROR(__xludf.DUMMYFUNCTION("""COMPUTED_VALUE"""),"Мария")</f>
        <v>Мария</v>
      </c>
      <c r="P117" s="88">
        <f>IFERROR(__xludf.DUMMYFUNCTION("""COMPUTED_VALUE"""),100.0)</f>
        <v>100</v>
      </c>
      <c r="Q117" s="88" t="str">
        <f>IFERROR(__xludf.DUMMYFUNCTION("""COMPUTED_VALUE"""),"qeep_bcomplex_60caps")</f>
        <v>qeep_bcomplex_60caps</v>
      </c>
      <c r="R117" s="88">
        <f>IFERROR(__xludf.DUMMYFUNCTION("""COMPUTED_VALUE"""),1.271355943E9)</f>
        <v>1271355943</v>
      </c>
      <c r="T117" s="88" t="str">
        <f>IFERROR(__xludf.DUMMYFUNCTION("""COMPUTED_VALUE"""),"На вывод")</f>
        <v>На вывод</v>
      </c>
      <c r="U117" s="88" t="str">
        <f>IFERROR(__xludf.DUMMYFUNCTION("""COMPUTED_VALUE"""),"Семен")</f>
        <v>Семен</v>
      </c>
    </row>
    <row r="118">
      <c r="A118" s="88">
        <f>IFERROR(__xludf.DUMMYFUNCTION("""COMPUTED_VALUE"""),41.0)</f>
        <v>41</v>
      </c>
      <c r="B118" s="88" t="str">
        <f>IFERROR(__xludf.DUMMYFUNCTION("""COMPUTED_VALUE"""),"qeep_biotin_10000_60caps")</f>
        <v>qeep_biotin_10000_60caps</v>
      </c>
      <c r="C118" s="88">
        <f>IFERROR(__xludf.DUMMYFUNCTION("""COMPUTED_VALUE"""),1.77339413E9)</f>
        <v>1773394130</v>
      </c>
      <c r="E118" s="88" t="str">
        <f>IFERROR(__xludf.DUMMYFUNCTION("""COMPUTED_VALUE"""),"Актуально")</f>
        <v>Актуально</v>
      </c>
      <c r="F118" s="88" t="str">
        <f>IFERROR(__xludf.DUMMYFUNCTION("""COMPUTED_VALUE"""),"Света")</f>
        <v>Света</v>
      </c>
      <c r="P118" s="88">
        <f>IFERROR(__xludf.DUMMYFUNCTION("""COMPUTED_VALUE"""),101.0)</f>
        <v>101</v>
      </c>
      <c r="Q118" s="88" t="str">
        <f>IFERROR(__xludf.DUMMYFUNCTION("""COMPUTED_VALUE"""),"qeep_ginseng_60tabs")</f>
        <v>qeep_ginseng_60tabs</v>
      </c>
      <c r="R118" s="88">
        <f>IFERROR(__xludf.DUMMYFUNCTION("""COMPUTED_VALUE"""),9.46976846E8)</f>
        <v>946976846</v>
      </c>
      <c r="T118" s="88" t="str">
        <f>IFERROR(__xludf.DUMMYFUNCTION("""COMPUTED_VALUE"""),"На вывод")</f>
        <v>На вывод</v>
      </c>
      <c r="U118" s="88" t="str">
        <f>IFERROR(__xludf.DUMMYFUNCTION("""COMPUTED_VALUE"""),"Семен")</f>
        <v>Семен</v>
      </c>
    </row>
    <row r="119">
      <c r="A119" s="88">
        <f>IFERROR(__xludf.DUMMYFUNCTION("""COMPUTED_VALUE"""),40.0)</f>
        <v>40</v>
      </c>
      <c r="B119" s="88" t="str">
        <f>IFERROR(__xludf.DUMMYFUNCTION("""COMPUTED_VALUE"""),"harly_dog_lamb_2kg")</f>
        <v>harly_dog_lamb_2kg</v>
      </c>
      <c r="C119" s="88">
        <f>IFERROR(__xludf.DUMMYFUNCTION("""COMPUTED_VALUE"""),1.703901908E9)</f>
        <v>1703901908</v>
      </c>
      <c r="E119" s="88" t="str">
        <f>IFERROR(__xludf.DUMMYFUNCTION("""COMPUTED_VALUE"""),"Актуально")</f>
        <v>Актуально</v>
      </c>
      <c r="F119" s="88" t="str">
        <f>IFERROR(__xludf.DUMMYFUNCTION("""COMPUTED_VALUE"""),"Алексей")</f>
        <v>Алексей</v>
      </c>
      <c r="P119" s="88">
        <f>IFERROR(__xludf.DUMMYFUNCTION("""COMPUTED_VALUE"""),102.0)</f>
        <v>102</v>
      </c>
      <c r="Q119" s="88" t="str">
        <f>IFERROR(__xludf.DUMMYFUNCTION("""COMPUTED_VALUE"""),"qeep_beautybox")</f>
        <v>qeep_beautybox</v>
      </c>
      <c r="R119" s="88">
        <f>IFERROR(__xludf.DUMMYFUNCTION("""COMPUTED_VALUE"""),1.773312643E9)</f>
        <v>1773312643</v>
      </c>
      <c r="T119" s="88" t="str">
        <f>IFERROR(__xludf.DUMMYFUNCTION("""COMPUTED_VALUE"""),"На вывод")</f>
        <v>На вывод</v>
      </c>
      <c r="U119" s="88" t="str">
        <f>IFERROR(__xludf.DUMMYFUNCTION("""COMPUTED_VALUE"""),"Семен")</f>
        <v>Семен</v>
      </c>
    </row>
    <row r="120">
      <c r="A120" s="88">
        <f>IFERROR(__xludf.DUMMYFUNCTION("""COMPUTED_VALUE"""),39.0)</f>
        <v>39</v>
      </c>
      <c r="B120" s="88" t="str">
        <f>IFERROR(__xludf.DUMMYFUNCTION("""COMPUTED_VALUE"""),"qeep_liqCollagen_orange_14shots")</f>
        <v>qeep_liqCollagen_orange_14shots</v>
      </c>
      <c r="C120" s="88">
        <f>IFERROR(__xludf.DUMMYFUNCTION("""COMPUTED_VALUE"""),1.563742059E9)</f>
        <v>1563742059</v>
      </c>
      <c r="E120" s="88" t="str">
        <f>IFERROR(__xludf.DUMMYFUNCTION("""COMPUTED_VALUE"""),"Выведено")</f>
        <v>Выведено</v>
      </c>
      <c r="F120" s="88" t="str">
        <f>IFERROR(__xludf.DUMMYFUNCTION("""COMPUTED_VALUE"""),"Выведено")</f>
        <v>Выведено</v>
      </c>
      <c r="P120" s="88">
        <f>IFERROR(__xludf.DUMMYFUNCTION("""COMPUTED_VALUE"""),103.0)</f>
        <v>103</v>
      </c>
      <c r="Q120" s="88" t="str">
        <f>IFERROR(__xludf.DUMMYFUNCTION("""COMPUTED_VALUE"""),"qeep_winterbox")</f>
        <v>qeep_winterbox</v>
      </c>
      <c r="R120" s="88">
        <f>IFERROR(__xludf.DUMMYFUNCTION("""COMPUTED_VALUE"""),1.773357213E9)</f>
        <v>1773357213</v>
      </c>
      <c r="T120" s="88" t="str">
        <f>IFERROR(__xludf.DUMMYFUNCTION("""COMPUTED_VALUE"""),"На вывод")</f>
        <v>На вывод</v>
      </c>
      <c r="U120" s="88" t="str">
        <f>IFERROR(__xludf.DUMMYFUNCTION("""COMPUTED_VALUE"""),"Семен")</f>
        <v>Семен</v>
      </c>
    </row>
    <row r="121">
      <c r="A121" s="88">
        <f>IFERROR(__xludf.DUMMYFUNCTION("""COMPUTED_VALUE"""),38.0)</f>
        <v>38</v>
      </c>
      <c r="B121" s="88" t="str">
        <f>IFERROR(__xludf.DUMMYFUNCTION("""COMPUTED_VALUE"""),"qeep_liqCollagen_apple_14shots")</f>
        <v>qeep_liqCollagen_apple_14shots</v>
      </c>
      <c r="C121" s="88">
        <f>IFERROR(__xludf.DUMMYFUNCTION("""COMPUTED_VALUE"""),1.56374202E9)</f>
        <v>1563742020</v>
      </c>
      <c r="E121" s="88" t="str">
        <f>IFERROR(__xludf.DUMMYFUNCTION("""COMPUTED_VALUE"""),"Выведено")</f>
        <v>Выведено</v>
      </c>
      <c r="F121" s="88" t="str">
        <f>IFERROR(__xludf.DUMMYFUNCTION("""COMPUTED_VALUE"""),"Выведено")</f>
        <v>Выведено</v>
      </c>
      <c r="P121" s="88">
        <f>IFERROR(__xludf.DUMMYFUNCTION("""COMPUTED_VALUE"""),104.0)</f>
        <v>104</v>
      </c>
      <c r="Q121" s="88" t="str">
        <f>IFERROR(__xludf.DUMMYFUNCTION("""COMPUTED_VALUE"""),"qeeptripleiron")</f>
        <v>qeeptripleiron</v>
      </c>
      <c r="R121" s="88">
        <f>IFERROR(__xludf.DUMMYFUNCTION("""COMPUTED_VALUE"""),7.86142411E8)</f>
        <v>786142411</v>
      </c>
      <c r="T121" s="88" t="str">
        <f>IFERROR(__xludf.DUMMYFUNCTION("""COMPUTED_VALUE"""),"На вывод")</f>
        <v>На вывод</v>
      </c>
      <c r="U121" s="88" t="str">
        <f>IFERROR(__xludf.DUMMYFUNCTION("""COMPUTED_VALUE"""),"Семен")</f>
        <v>Семен</v>
      </c>
    </row>
    <row r="122">
      <c r="A122" s="88">
        <f>IFERROR(__xludf.DUMMYFUNCTION("""COMPUTED_VALUE"""),37.0)</f>
        <v>37</v>
      </c>
      <c r="B122" s="88" t="str">
        <f>IFERROR(__xludf.DUMMYFUNCTION("""COMPUTED_VALUE"""),"qeep_D3_30ml")</f>
        <v>qeep_D3_30ml</v>
      </c>
      <c r="C122" s="88">
        <f>IFERROR(__xludf.DUMMYFUNCTION("""COMPUTED_VALUE"""),9.45003764E8)</f>
        <v>945003764</v>
      </c>
      <c r="E122" s="88" t="str">
        <f>IFERROR(__xludf.DUMMYFUNCTION("""COMPUTED_VALUE"""),"Актуально")</f>
        <v>Актуально</v>
      </c>
      <c r="F122" s="88" t="str">
        <f>IFERROR(__xludf.DUMMYFUNCTION("""COMPUTED_VALUE"""),"Света")</f>
        <v>Света</v>
      </c>
      <c r="P122" s="88">
        <f>IFERROR(__xludf.DUMMYFUNCTION("""COMPUTED_VALUE"""),105.0)</f>
        <v>105</v>
      </c>
      <c r="Q122" s="88" t="str">
        <f>IFERROR(__xludf.DUMMYFUNCTION("""COMPUTED_VALUE"""),"qeepselenium")</f>
        <v>qeepselenium</v>
      </c>
      <c r="R122" s="88">
        <f>IFERROR(__xludf.DUMMYFUNCTION("""COMPUTED_VALUE"""),8.09190803E8)</f>
        <v>809190803</v>
      </c>
      <c r="T122" s="88" t="str">
        <f>IFERROR(__xludf.DUMMYFUNCTION("""COMPUTED_VALUE"""),"На вывод")</f>
        <v>На вывод</v>
      </c>
      <c r="U122" s="88" t="str">
        <f>IFERROR(__xludf.DUMMYFUNCTION("""COMPUTED_VALUE"""),"Семен")</f>
        <v>Семен</v>
      </c>
    </row>
    <row r="123">
      <c r="A123" s="88">
        <f>IFERROR(__xludf.DUMMYFUNCTION("""COMPUTED_VALUE"""),36.0)</f>
        <v>36</v>
      </c>
      <c r="B123" s="88" t="str">
        <f>IFERROR(__xludf.DUMMYFUNCTION("""COMPUTED_VALUE"""),"qeepcurcumin_500mg_60caps")</f>
        <v>qeepcurcumin_500mg_60caps</v>
      </c>
      <c r="C123" s="88">
        <f>IFERROR(__xludf.DUMMYFUNCTION("""COMPUTED_VALUE"""),8.81205774E8)</f>
        <v>881205774</v>
      </c>
      <c r="E123" s="88" t="str">
        <f>IFERROR(__xludf.DUMMYFUNCTION("""COMPUTED_VALUE"""),"Актуально")</f>
        <v>Актуально</v>
      </c>
      <c r="F123" s="88" t="str">
        <f>IFERROR(__xludf.DUMMYFUNCTION("""COMPUTED_VALUE"""),"Света")</f>
        <v>Света</v>
      </c>
      <c r="P123" s="88">
        <f>IFERROR(__xludf.DUMMYFUNCTION("""COMPUTED_VALUE"""),106.0)</f>
        <v>106</v>
      </c>
      <c r="Q123" s="88" t="str">
        <f>IFERROR(__xludf.DUMMYFUNCTION("""COMPUTED_VALUE"""),"qeep_calcium_90caps")</f>
        <v>qeep_calcium_90caps</v>
      </c>
      <c r="R123" s="88">
        <f>IFERROR(__xludf.DUMMYFUNCTION("""COMPUTED_VALUE"""),1.180963859E9)</f>
        <v>1180963859</v>
      </c>
      <c r="T123" s="88" t="str">
        <f>IFERROR(__xludf.DUMMYFUNCTION("""COMPUTED_VALUE"""),"На вывод")</f>
        <v>На вывод</v>
      </c>
      <c r="U123" s="88" t="str">
        <f>IFERROR(__xludf.DUMMYFUNCTION("""COMPUTED_VALUE"""),"Семен")</f>
        <v>Семен</v>
      </c>
    </row>
    <row r="124">
      <c r="A124" s="88">
        <f>IFERROR(__xludf.DUMMYFUNCTION("""COMPUTED_VALUE"""),35.0)</f>
        <v>35</v>
      </c>
      <c r="B124" s="88" t="str">
        <f>IFERROR(__xludf.DUMMYFUNCTION("""COMPUTED_VALUE"""),"qeep_sodium_ascorbate_90caps")</f>
        <v>qeep_sodium_ascorbate_90caps</v>
      </c>
      <c r="C124" s="88">
        <f>IFERROR(__xludf.DUMMYFUNCTION("""COMPUTED_VALUE"""),1.181035529E9)</f>
        <v>1181035529</v>
      </c>
      <c r="E124" s="88" t="str">
        <f>IFERROR(__xludf.DUMMYFUNCTION("""COMPUTED_VALUE"""),"Актуально")</f>
        <v>Актуально</v>
      </c>
      <c r="F124" s="88" t="str">
        <f>IFERROR(__xludf.DUMMYFUNCTION("""COMPUTED_VALUE"""),"Света")</f>
        <v>Света</v>
      </c>
      <c r="P124" s="88">
        <f>IFERROR(__xludf.DUMMYFUNCTION("""COMPUTED_VALUE"""),107.0)</f>
        <v>107</v>
      </c>
      <c r="Q124" s="88" t="str">
        <f>IFERROR(__xludf.DUMMYFUNCTION("""COMPUTED_VALUE"""),"qeep_iodine_60caps")</f>
        <v>qeep_iodine_60caps</v>
      </c>
      <c r="R124" s="88">
        <f>IFERROR(__xludf.DUMMYFUNCTION("""COMPUTED_VALUE"""),1.271349661E9)</f>
        <v>1271349661</v>
      </c>
      <c r="T124" s="88" t="str">
        <f>IFERROR(__xludf.DUMMYFUNCTION("""COMPUTED_VALUE"""),"На вывод")</f>
        <v>На вывод</v>
      </c>
      <c r="U124" s="88" t="str">
        <f>IFERROR(__xludf.DUMMYFUNCTION("""COMPUTED_VALUE"""),"Семен")</f>
        <v>Семен</v>
      </c>
    </row>
    <row r="125">
      <c r="A125" s="88">
        <f>IFERROR(__xludf.DUMMYFUNCTION("""COMPUTED_VALUE"""),34.0)</f>
        <v>34</v>
      </c>
      <c r="B125" s="88" t="str">
        <f>IFERROR(__xludf.DUMMYFUNCTION("""COMPUTED_VALUE"""),"harly_paste_75ml_v2")</f>
        <v>harly_paste_75ml_v2</v>
      </c>
      <c r="C125" s="88">
        <f>IFERROR(__xludf.DUMMYFUNCTION("""COMPUTED_VALUE"""),2.517120405E9)</f>
        <v>2517120405</v>
      </c>
      <c r="E125" s="88" t="str">
        <f>IFERROR(__xludf.DUMMYFUNCTION("""COMPUTED_VALUE"""),"Актуально")</f>
        <v>Актуально</v>
      </c>
      <c r="F125" s="88" t="str">
        <f>IFERROR(__xludf.DUMMYFUNCTION("""COMPUTED_VALUE"""),"Алексей")</f>
        <v>Алексей</v>
      </c>
      <c r="P125" s="88">
        <f>IFERROR(__xludf.DUMMYFUNCTION("""COMPUTED_VALUE"""),108.0)</f>
        <v>108</v>
      </c>
      <c r="Q125" s="88" t="str">
        <f>IFERROR(__xludf.DUMMYFUNCTION("""COMPUTED_VALUE"""),"qeep_zinc_30tabs")</f>
        <v>qeep_zinc_30tabs</v>
      </c>
      <c r="R125" s="88">
        <f>IFERROR(__xludf.DUMMYFUNCTION("""COMPUTED_VALUE"""),1.56674041E9)</f>
        <v>1566740410</v>
      </c>
      <c r="T125" s="88" t="str">
        <f>IFERROR(__xludf.DUMMYFUNCTION("""COMPUTED_VALUE"""),"На вывод")</f>
        <v>На вывод</v>
      </c>
      <c r="U125" s="88" t="str">
        <f>IFERROR(__xludf.DUMMYFUNCTION("""COMPUTED_VALUE"""),"Семен")</f>
        <v>Семен</v>
      </c>
    </row>
    <row r="126">
      <c r="A126" s="88">
        <f>IFERROR(__xludf.DUMMYFUNCTION("""COMPUTED_VALUE"""),33.0)</f>
        <v>33</v>
      </c>
      <c r="B126" s="88" t="str">
        <f>IFERROR(__xludf.DUMMYFUNCTION("""COMPUTED_VALUE"""),"harly_eye_lotion")</f>
        <v>harly_eye_lotion</v>
      </c>
      <c r="C126" s="88">
        <f>IFERROR(__xludf.DUMMYFUNCTION("""COMPUTED_VALUE"""),2.022703709E9)</f>
        <v>2022703709</v>
      </c>
      <c r="E126" s="88" t="str">
        <f>IFERROR(__xludf.DUMMYFUNCTION("""COMPUTED_VALUE"""),"Актуально")</f>
        <v>Актуально</v>
      </c>
      <c r="F126" s="88" t="str">
        <f>IFERROR(__xludf.DUMMYFUNCTION("""COMPUTED_VALUE"""),"Алексей")</f>
        <v>Алексей</v>
      </c>
      <c r="P126" s="88">
        <f>IFERROR(__xludf.DUMMYFUNCTION("""COMPUTED_VALUE"""),109.0)</f>
        <v>109</v>
      </c>
      <c r="Q126" s="88" t="str">
        <f>IFERROR(__xludf.DUMMYFUNCTION("""COMPUTED_VALUE"""),"qeepchrom1+1")</f>
        <v>qeepchrom1+1</v>
      </c>
      <c r="R126" s="88">
        <f>IFERROR(__xludf.DUMMYFUNCTION("""COMPUTED_VALUE"""),9.83821094E8)</f>
        <v>983821094</v>
      </c>
      <c r="T126" s="88" t="str">
        <f>IFERROR(__xludf.DUMMYFUNCTION("""COMPUTED_VALUE"""),"На вывод")</f>
        <v>На вывод</v>
      </c>
      <c r="U126" s="88" t="str">
        <f>IFERROR(__xludf.DUMMYFUNCTION("""COMPUTED_VALUE"""),"Семен")</f>
        <v>Семен</v>
      </c>
    </row>
    <row r="127">
      <c r="A127" s="88">
        <f>IFERROR(__xludf.DUMMYFUNCTION("""COMPUTED_VALUE"""),32.0)</f>
        <v>32</v>
      </c>
      <c r="B127" s="88" t="str">
        <f>IFERROR(__xludf.DUMMYFUNCTION("""COMPUTED_VALUE"""),"qeep_magnB6_120caps")</f>
        <v>qeep_magnB6_120caps</v>
      </c>
      <c r="C127" s="88">
        <f>IFERROR(__xludf.DUMMYFUNCTION("""COMPUTED_VALUE"""),1.713149756E9)</f>
        <v>1713149756</v>
      </c>
      <c r="E127" s="88" t="str">
        <f>IFERROR(__xludf.DUMMYFUNCTION("""COMPUTED_VALUE"""),"Актуально")</f>
        <v>Актуально</v>
      </c>
      <c r="F127" s="88" t="str">
        <f>IFERROR(__xludf.DUMMYFUNCTION("""COMPUTED_VALUE"""),"Света")</f>
        <v>Света</v>
      </c>
      <c r="P127" s="88">
        <f>IFERROR(__xludf.DUMMYFUNCTION("""COMPUTED_VALUE"""),110.0)</f>
        <v>110</v>
      </c>
      <c r="Q127" s="88" t="str">
        <f>IFERROR(__xludf.DUMMYFUNCTION("""COMPUTED_VALUE"""),"qeepmctd3")</f>
        <v>qeepmctd3</v>
      </c>
      <c r="R127" s="88">
        <f>IFERROR(__xludf.DUMMYFUNCTION("""COMPUTED_VALUE"""),7.82091641E8)</f>
        <v>782091641</v>
      </c>
      <c r="T127" s="88" t="str">
        <f>IFERROR(__xludf.DUMMYFUNCTION("""COMPUTED_VALUE"""),"На вывод")</f>
        <v>На вывод</v>
      </c>
      <c r="U127" s="88" t="str">
        <f>IFERROR(__xludf.DUMMYFUNCTION("""COMPUTED_VALUE"""),"Семен")</f>
        <v>Семен</v>
      </c>
    </row>
    <row r="128">
      <c r="A128" s="88">
        <f>IFERROR(__xludf.DUMMYFUNCTION("""COMPUTED_VALUE"""),31.0)</f>
        <v>31</v>
      </c>
      <c r="B128" s="88" t="str">
        <f>IFERROR(__xludf.DUMMYFUNCTION("""COMPUTED_VALUE"""),"qeep_omega3_180caps")</f>
        <v>qeep_omega3_180caps</v>
      </c>
      <c r="C128" s="88">
        <f>IFERROR(__xludf.DUMMYFUNCTION("""COMPUTED_VALUE"""),1.566735886E9)</f>
        <v>1566735886</v>
      </c>
      <c r="E128" s="88" t="str">
        <f>IFERROR(__xludf.DUMMYFUNCTION("""COMPUTED_VALUE"""),"Выведено")</f>
        <v>Выведено</v>
      </c>
      <c r="F128" s="88" t="str">
        <f>IFERROR(__xludf.DUMMYFUNCTION("""COMPUTED_VALUE"""),"Выведено")</f>
        <v>Выведено</v>
      </c>
      <c r="P128" s="88">
        <f>IFERROR(__xludf.DUMMYFUNCTION("""COMPUTED_VALUE"""),111.0)</f>
        <v>111</v>
      </c>
      <c r="Q128" s="88" t="str">
        <f>IFERROR(__xludf.DUMMYFUNCTION("""COMPUTED_VALUE"""),"qeepd3k2")</f>
        <v>qeepd3k2</v>
      </c>
      <c r="R128" s="88">
        <f>IFERROR(__xludf.DUMMYFUNCTION("""COMPUTED_VALUE"""),7.84856113E8)</f>
        <v>784856113</v>
      </c>
      <c r="T128" s="88" t="str">
        <f>IFERROR(__xludf.DUMMYFUNCTION("""COMPUTED_VALUE"""),"На вывод")</f>
        <v>На вывод</v>
      </c>
      <c r="U128" s="88" t="str">
        <f>IFERROR(__xludf.DUMMYFUNCTION("""COMPUTED_VALUE"""),"Семен")</f>
        <v>Семен</v>
      </c>
    </row>
    <row r="129">
      <c r="A129" s="88">
        <f>IFERROR(__xludf.DUMMYFUNCTION("""COMPUTED_VALUE"""),30.0)</f>
        <v>30</v>
      </c>
      <c r="B129" s="88" t="str">
        <f>IFERROR(__xludf.DUMMYFUNCTION("""COMPUTED_VALUE"""),"qeep_nac_90caps")</f>
        <v>qeep_nac_90caps</v>
      </c>
      <c r="C129" s="88">
        <f>IFERROR(__xludf.DUMMYFUNCTION("""COMPUTED_VALUE"""),1.613724697E9)</f>
        <v>1613724697</v>
      </c>
      <c r="E129" s="88" t="str">
        <f>IFERROR(__xludf.DUMMYFUNCTION("""COMPUTED_VALUE"""),"Актуально")</f>
        <v>Актуально</v>
      </c>
      <c r="F129" s="88" t="str">
        <f>IFERROR(__xludf.DUMMYFUNCTION("""COMPUTED_VALUE"""),"Алексей")</f>
        <v>Алексей</v>
      </c>
      <c r="P129" s="88">
        <f>IFERROR(__xludf.DUMMYFUNCTION("""COMPUTED_VALUE"""),112.0)</f>
        <v>112</v>
      </c>
      <c r="Q129" s="88" t="str">
        <f>IFERROR(__xludf.DUMMYFUNCTION("""COMPUTED_VALUE"""),"qeepd3k3_1+1")</f>
        <v>qeepd3k3_1+1</v>
      </c>
      <c r="R129" s="88">
        <f>IFERROR(__xludf.DUMMYFUNCTION("""COMPUTED_VALUE"""),9.01402455E8)</f>
        <v>901402455</v>
      </c>
      <c r="T129" s="88" t="str">
        <f>IFERROR(__xludf.DUMMYFUNCTION("""COMPUTED_VALUE"""),"На вывод")</f>
        <v>На вывод</v>
      </c>
      <c r="U129" s="88" t="str">
        <f>IFERROR(__xludf.DUMMYFUNCTION("""COMPUTED_VALUE"""),"Семен")</f>
        <v>Семен</v>
      </c>
    </row>
    <row r="130">
      <c r="A130" s="88">
        <f>IFERROR(__xludf.DUMMYFUNCTION("""COMPUTED_VALUE"""),29.0)</f>
        <v>29</v>
      </c>
      <c r="B130" s="88" t="str">
        <f>IFERROR(__xludf.DUMMYFUNCTION("""COMPUTED_VALUE"""),"qeep_omega_3_1620_90caps")</f>
        <v>qeep_omega_3_1620_90caps</v>
      </c>
      <c r="C130" s="88">
        <f>IFERROR(__xludf.DUMMYFUNCTION("""COMPUTED_VALUE"""),9.89542196E8)</f>
        <v>989542196</v>
      </c>
      <c r="E130" s="88" t="str">
        <f>IFERROR(__xludf.DUMMYFUNCTION("""COMPUTED_VALUE"""),"Актуально")</f>
        <v>Актуально</v>
      </c>
      <c r="F130" s="88" t="str">
        <f>IFERROR(__xludf.DUMMYFUNCTION("""COMPUTED_VALUE"""),"Света")</f>
        <v>Света</v>
      </c>
      <c r="P130" s="88">
        <f>IFERROR(__xludf.DUMMYFUNCTION("""COMPUTED_VALUE"""),113.0)</f>
        <v>113</v>
      </c>
      <c r="Q130" s="88" t="str">
        <f>IFERROR(__xludf.DUMMYFUNCTION("""COMPUTED_VALUE"""),"qeepvitakids")</f>
        <v>qeepvitakids</v>
      </c>
      <c r="R130" s="88">
        <f>IFERROR(__xludf.DUMMYFUNCTION("""COMPUTED_VALUE"""),6.37790722E8)</f>
        <v>637790722</v>
      </c>
      <c r="T130" s="88" t="str">
        <f>IFERROR(__xludf.DUMMYFUNCTION("""COMPUTED_VALUE"""),"На вывод")</f>
        <v>На вывод</v>
      </c>
      <c r="U130" s="88" t="str">
        <f>IFERROR(__xludf.DUMMYFUNCTION("""COMPUTED_VALUE"""),"Семен")</f>
        <v>Семен</v>
      </c>
    </row>
    <row r="131">
      <c r="A131" s="88">
        <f>IFERROR(__xludf.DUMMYFUNCTION("""COMPUTED_VALUE"""),28.0)</f>
        <v>28</v>
      </c>
      <c r="B131" s="88" t="str">
        <f>IFERROR(__xludf.DUMMYFUNCTION("""COMPUTED_VALUE"""),"qeep_kidsvitamins_60tabs")</f>
        <v>qeep_kidsvitamins_60tabs</v>
      </c>
      <c r="C131" s="88">
        <f>IFERROR(__xludf.DUMMYFUNCTION("""COMPUTED_VALUE"""),1.581800376E9)</f>
        <v>1581800376</v>
      </c>
      <c r="E131" s="88" t="str">
        <f>IFERROR(__xludf.DUMMYFUNCTION("""COMPUTED_VALUE"""),"Выведено")</f>
        <v>Выведено</v>
      </c>
      <c r="F131" s="88" t="str">
        <f>IFERROR(__xludf.DUMMYFUNCTION("""COMPUTED_VALUE"""),"Выведено")</f>
        <v>Выведено</v>
      </c>
      <c r="P131" s="88">
        <f>IFERROR(__xludf.DUMMYFUNCTION("""COMPUTED_VALUE"""),114.0)</f>
        <v>114</v>
      </c>
      <c r="Q131" s="88" t="str">
        <f>IFERROR(__xludf.DUMMYFUNCTION("""COMPUTED_VALUE"""),"qeep_dinokids_30caps")</f>
        <v>qeep_dinokids_30caps</v>
      </c>
      <c r="R131" s="88">
        <f>IFERROR(__xludf.DUMMYFUNCTION("""COMPUTED_VALUE"""),9.67716766E8)</f>
        <v>967716766</v>
      </c>
      <c r="T131" s="88" t="str">
        <f>IFERROR(__xludf.DUMMYFUNCTION("""COMPUTED_VALUE"""),"На вывод")</f>
        <v>На вывод</v>
      </c>
      <c r="U131" s="88" t="str">
        <f>IFERROR(__xludf.DUMMYFUNCTION("""COMPUTED_VALUE"""),"Семен")</f>
        <v>Семен</v>
      </c>
    </row>
    <row r="132">
      <c r="A132" s="88">
        <f>IFERROR(__xludf.DUMMYFUNCTION("""COMPUTED_VALUE"""),27.0)</f>
        <v>27</v>
      </c>
      <c r="B132" s="88" t="str">
        <f>IFERROR(__xludf.DUMMYFUNCTION("""COMPUTED_VALUE"""),"qeep_nabor_remuver_40ml_1_1")</f>
        <v>qeep_nabor_remuver_40ml_1_1</v>
      </c>
      <c r="C132" s="88">
        <f>IFERROR(__xludf.DUMMYFUNCTION("""COMPUTED_VALUE"""),2.071319159E9)</f>
        <v>2071319159</v>
      </c>
      <c r="E132" s="88" t="str">
        <f>IFERROR(__xludf.DUMMYFUNCTION("""COMPUTED_VALUE"""),"На вывод")</f>
        <v>На вывод</v>
      </c>
      <c r="F132" s="88" t="str">
        <f>IFERROR(__xludf.DUMMYFUNCTION("""COMPUTED_VALUE"""),"Мария")</f>
        <v>Мария</v>
      </c>
      <c r="P132" s="88">
        <f>IFERROR(__xludf.DUMMYFUNCTION("""COMPUTED_VALUE"""),115.0)</f>
        <v>115</v>
      </c>
      <c r="Q132" s="88" t="str">
        <f>IFERROR(__xludf.DUMMYFUNCTION("""COMPUTED_VALUE"""),"qeepwomenmulti")</f>
        <v>qeepwomenmulti</v>
      </c>
      <c r="R132" s="88">
        <f>IFERROR(__xludf.DUMMYFUNCTION("""COMPUTED_VALUE"""),6.17417253E8)</f>
        <v>617417253</v>
      </c>
      <c r="T132" s="88" t="str">
        <f>IFERROR(__xludf.DUMMYFUNCTION("""COMPUTED_VALUE"""),"На вывод")</f>
        <v>На вывод</v>
      </c>
      <c r="U132" s="88" t="str">
        <f>IFERROR(__xludf.DUMMYFUNCTION("""COMPUTED_VALUE"""),"Семен")</f>
        <v>Семен</v>
      </c>
    </row>
    <row r="133">
      <c r="A133" s="88">
        <f>IFERROR(__xludf.DUMMYFUNCTION("""COMPUTED_VALUE"""),26.0)</f>
        <v>26</v>
      </c>
      <c r="B133" s="88" t="str">
        <f>IFERROR(__xludf.DUMMYFUNCTION("""COMPUTED_VALUE"""),"Harly_dog_teeth_bones_100tabs")</f>
        <v>Harly_dog_teeth_bones_100tabs</v>
      </c>
      <c r="C133" s="88">
        <f>IFERROR(__xludf.DUMMYFUNCTION("""COMPUTED_VALUE"""),1.018530861E9)</f>
        <v>1018530861</v>
      </c>
      <c r="E133" s="88" t="str">
        <f>IFERROR(__xludf.DUMMYFUNCTION("""COMPUTED_VALUE"""),"Актуально")</f>
        <v>Актуально</v>
      </c>
      <c r="F133" s="88" t="str">
        <f>IFERROR(__xludf.DUMMYFUNCTION("""COMPUTED_VALUE"""),"Алексей")</f>
        <v>Алексей</v>
      </c>
      <c r="P133" s="88">
        <f>IFERROR(__xludf.DUMMYFUNCTION("""COMPUTED_VALUE"""),116.0)</f>
        <v>116</v>
      </c>
      <c r="Q133" s="88" t="str">
        <f>IFERROR(__xludf.DUMMYFUNCTION("""COMPUTED_VALUE"""),"qeepmultivitamin")</f>
        <v>qeepmultivitamin</v>
      </c>
      <c r="R133" s="88">
        <f>IFERROR(__xludf.DUMMYFUNCTION("""COMPUTED_VALUE"""),6.18268309E8)</f>
        <v>618268309</v>
      </c>
      <c r="T133" s="88" t="str">
        <f>IFERROR(__xludf.DUMMYFUNCTION("""COMPUTED_VALUE"""),"На вывод")</f>
        <v>На вывод</v>
      </c>
      <c r="U133" s="88" t="str">
        <f>IFERROR(__xludf.DUMMYFUNCTION("""COMPUTED_VALUE"""),"Семен")</f>
        <v>Семен</v>
      </c>
    </row>
    <row r="134">
      <c r="A134" s="88">
        <f>IFERROR(__xludf.DUMMYFUNCTION("""COMPUTED_VALUE"""),24.0)</f>
        <v>24</v>
      </c>
      <c r="B134" s="88" t="str">
        <f>IFERROR(__xludf.DUMMYFUNCTION("""COMPUTED_VALUE"""),"harly_pawprotector_30ml")</f>
        <v>harly_pawprotector_30ml</v>
      </c>
      <c r="C134" s="88">
        <f>IFERROR(__xludf.DUMMYFUNCTION("""COMPUTED_VALUE"""),1.745032627E9)</f>
        <v>1745032627</v>
      </c>
      <c r="E134" s="88" t="str">
        <f>IFERROR(__xludf.DUMMYFUNCTION("""COMPUTED_VALUE"""),"Выведено")</f>
        <v>Выведено</v>
      </c>
      <c r="F134" s="88" t="str">
        <f>IFERROR(__xludf.DUMMYFUNCTION("""COMPUTED_VALUE"""),"Алексей")</f>
        <v>Алексей</v>
      </c>
      <c r="P134" s="88">
        <f>IFERROR(__xludf.DUMMYFUNCTION("""COMPUTED_VALUE"""),117.0)</f>
        <v>117</v>
      </c>
      <c r="Q134" s="88" t="str">
        <f>IFERROR(__xludf.DUMMYFUNCTION("""COMPUTED_VALUE"""),"qeepwomenmulti1+1")</f>
        <v>qeepwomenmulti1+1</v>
      </c>
      <c r="R134" s="88">
        <f>IFERROR(__xludf.DUMMYFUNCTION("""COMPUTED_VALUE"""),8.71809764E8)</f>
        <v>871809764</v>
      </c>
      <c r="T134" s="88" t="str">
        <f>IFERROR(__xludf.DUMMYFUNCTION("""COMPUTED_VALUE"""),"На вывод")</f>
        <v>На вывод</v>
      </c>
      <c r="U134" s="88" t="str">
        <f>IFERROR(__xludf.DUMMYFUNCTION("""COMPUTED_VALUE"""),"Семен")</f>
        <v>Семен</v>
      </c>
    </row>
    <row r="135">
      <c r="A135" s="88">
        <f>IFERROR(__xludf.DUMMYFUNCTION("""COMPUTED_VALUE"""),23.0)</f>
        <v>23</v>
      </c>
      <c r="B135" s="88" t="str">
        <f>IFERROR(__xludf.DUMMYFUNCTION("""COMPUTED_VALUE"""),"qeep_acnegel_20ml_v2")</f>
        <v>qeep_acnegel_20ml_v2</v>
      </c>
      <c r="C135" s="88">
        <f>IFERROR(__xludf.DUMMYFUNCTION("""COMPUTED_VALUE"""),2.589302298E9)</f>
        <v>2589302298</v>
      </c>
      <c r="E135" s="88" t="str">
        <f>IFERROR(__xludf.DUMMYFUNCTION("""COMPUTED_VALUE"""),"Актуально")</f>
        <v>Актуально</v>
      </c>
      <c r="F135" s="88" t="str">
        <f>IFERROR(__xludf.DUMMYFUNCTION("""COMPUTED_VALUE"""),"Мария")</f>
        <v>Мария</v>
      </c>
      <c r="P135" s="88">
        <f>IFERROR(__xludf.DUMMYFUNCTION("""COMPUTED_VALUE"""),118.0)</f>
        <v>118</v>
      </c>
      <c r="Q135" s="88" t="str">
        <f>IFERROR(__xludf.DUMMYFUNCTION("""COMPUTED_VALUE"""),"qoenzyme1+1")</f>
        <v>qoenzyme1+1</v>
      </c>
      <c r="R135" s="88">
        <f>IFERROR(__xludf.DUMMYFUNCTION("""COMPUTED_VALUE"""),8.72805901E8)</f>
        <v>872805901</v>
      </c>
      <c r="T135" s="88" t="str">
        <f>IFERROR(__xludf.DUMMYFUNCTION("""COMPUTED_VALUE"""),"На вывод")</f>
        <v>На вывод</v>
      </c>
      <c r="U135" s="88" t="str">
        <f>IFERROR(__xludf.DUMMYFUNCTION("""COMPUTED_VALUE"""),"Семен")</f>
        <v>Семен</v>
      </c>
    </row>
    <row r="136">
      <c r="A136" s="88">
        <f>IFERROR(__xludf.DUMMYFUNCTION("""COMPUTED_VALUE"""),22.0)</f>
        <v>22</v>
      </c>
      <c r="B136" s="88" t="str">
        <f>IFERROR(__xludf.DUMMYFUNCTION("""COMPUTED_VALUE"""),"qeepinositol")</f>
        <v>qeepinositol</v>
      </c>
      <c r="C136" s="88">
        <f>IFERROR(__xludf.DUMMYFUNCTION("""COMPUTED_VALUE"""),8.35603195E8)</f>
        <v>835603195</v>
      </c>
      <c r="E136" s="88" t="str">
        <f>IFERROR(__xludf.DUMMYFUNCTION("""COMPUTED_VALUE"""),"Актуально")</f>
        <v>Актуально</v>
      </c>
      <c r="F136" s="88" t="str">
        <f>IFERROR(__xludf.DUMMYFUNCTION("""COMPUTED_VALUE"""),"Алексей")</f>
        <v>Алексей</v>
      </c>
      <c r="P136" s="88">
        <f>IFERROR(__xludf.DUMMYFUNCTION("""COMPUTED_VALUE"""),119.0)</f>
        <v>119</v>
      </c>
      <c r="Q136" s="88" t="str">
        <f>IFERROR(__xludf.DUMMYFUNCTION("""COMPUTED_VALUE"""),"qeepantioxy1+1")</f>
        <v>qeepantioxy1+1</v>
      </c>
      <c r="R136" s="88">
        <f>IFERROR(__xludf.DUMMYFUNCTION("""COMPUTED_VALUE"""),8.8044412E8)</f>
        <v>880444120</v>
      </c>
      <c r="T136" s="88" t="str">
        <f>IFERROR(__xludf.DUMMYFUNCTION("""COMPUTED_VALUE"""),"На вывод")</f>
        <v>На вывод</v>
      </c>
      <c r="U136" s="88" t="str">
        <f>IFERROR(__xludf.DUMMYFUNCTION("""COMPUTED_VALUE"""),"Семен")</f>
        <v>Семен</v>
      </c>
    </row>
    <row r="137">
      <c r="A137" s="88">
        <f>IFERROR(__xludf.DUMMYFUNCTION("""COMPUTED_VALUE"""),21.0)</f>
        <v>21</v>
      </c>
      <c r="B137" s="88" t="str">
        <f>IFERROR(__xludf.DUMMYFUNCTION("""COMPUTED_VALUE"""),"harly_shampoo_blohi_500ml")</f>
        <v>harly_shampoo_blohi_500ml</v>
      </c>
      <c r="C137" s="88">
        <f>IFERROR(__xludf.DUMMYFUNCTION("""COMPUTED_VALUE"""),1.703618254E9)</f>
        <v>1703618254</v>
      </c>
      <c r="E137" s="88" t="str">
        <f>IFERROR(__xludf.DUMMYFUNCTION("""COMPUTED_VALUE"""),"Актуально")</f>
        <v>Актуально</v>
      </c>
      <c r="F137" s="88" t="str">
        <f>IFERROR(__xludf.DUMMYFUNCTION("""COMPUTED_VALUE"""),"Алексей")</f>
        <v>Алексей</v>
      </c>
      <c r="P137" s="88">
        <f>IFERROR(__xludf.DUMMYFUNCTION("""COMPUTED_VALUE"""),120.0)</f>
        <v>120</v>
      </c>
      <c r="Q137" s="88" t="str">
        <f>IFERROR(__xludf.DUMMYFUNCTION("""COMPUTED_VALUE"""),"qeep_womenmulti_60caps")</f>
        <v>qeep_womenmulti_60caps</v>
      </c>
      <c r="R137" s="88">
        <f>IFERROR(__xludf.DUMMYFUNCTION("""COMPUTED_VALUE"""),1.092025113E9)</f>
        <v>1092025113</v>
      </c>
      <c r="T137" s="88" t="str">
        <f>IFERROR(__xludf.DUMMYFUNCTION("""COMPUTED_VALUE"""),"На вывод")</f>
        <v>На вывод</v>
      </c>
      <c r="U137" s="88" t="str">
        <f>IFERROR(__xludf.DUMMYFUNCTION("""COMPUTED_VALUE"""),"Семен")</f>
        <v>Семен</v>
      </c>
    </row>
    <row r="138">
      <c r="A138" s="88">
        <f>IFERROR(__xludf.DUMMYFUNCTION("""COMPUTED_VALUE"""),20.0)</f>
        <v>20</v>
      </c>
      <c r="B138" s="88" t="str">
        <f>IFERROR(__xludf.DUMMYFUNCTION("""COMPUTED_VALUE"""),"qeep_penka_150ml")</f>
        <v>qeep_penka_150ml</v>
      </c>
      <c r="C138" s="88">
        <f>IFERROR(__xludf.DUMMYFUNCTION("""COMPUTED_VALUE"""),2.583231387E9)</f>
        <v>2583231387</v>
      </c>
      <c r="E138" s="88" t="str">
        <f>IFERROR(__xludf.DUMMYFUNCTION("""COMPUTED_VALUE"""),"Актуально")</f>
        <v>Актуально</v>
      </c>
      <c r="F138" s="88" t="str">
        <f>IFERROR(__xludf.DUMMYFUNCTION("""COMPUTED_VALUE"""),"Мария")</f>
        <v>Мария</v>
      </c>
      <c r="P138" s="88">
        <f>IFERROR(__xludf.DUMMYFUNCTION("""COMPUTED_VALUE"""),121.0)</f>
        <v>121</v>
      </c>
      <c r="Q138" s="88" t="str">
        <f>IFERROR(__xludf.DUMMYFUNCTION("""COMPUTED_VALUE"""),"qeep_magnesium_180g")</f>
        <v>qeep_magnesium_180g</v>
      </c>
      <c r="R138" s="88" t="str">
        <f>IFERROR(__xludf.DUMMYFUNCTION("""COMPUTED_VALUE"""),"#N/A")</f>
        <v>#N/A</v>
      </c>
      <c r="T138" s="88" t="str">
        <f>IFERROR(__xludf.DUMMYFUNCTION("""COMPUTED_VALUE"""),"На вывод")</f>
        <v>На вывод</v>
      </c>
      <c r="U138" s="88" t="str">
        <f>IFERROR(__xludf.DUMMYFUNCTION("""COMPUTED_VALUE"""),"Семен")</f>
        <v>Семен</v>
      </c>
    </row>
    <row r="139">
      <c r="A139" s="88">
        <f>IFERROR(__xludf.DUMMYFUNCTION("""COMPUTED_VALUE"""),19.0)</f>
        <v>19</v>
      </c>
      <c r="B139" s="88" t="str">
        <f>IFERROR(__xludf.DUMMYFUNCTION("""COMPUTED_VALUE"""),"qeep_nabor_remuver_40ml")</f>
        <v>qeep_nabor_remuver_40ml</v>
      </c>
      <c r="C139" s="88">
        <f>IFERROR(__xludf.DUMMYFUNCTION("""COMPUTED_VALUE"""),1.666962684E9)</f>
        <v>1666962684</v>
      </c>
      <c r="E139" s="88" t="str">
        <f>IFERROR(__xludf.DUMMYFUNCTION("""COMPUTED_VALUE"""),"Актуально")</f>
        <v>Актуально</v>
      </c>
      <c r="F139" s="88" t="str">
        <f>IFERROR(__xludf.DUMMYFUNCTION("""COMPUTED_VALUE"""),"Мария")</f>
        <v>Мария</v>
      </c>
      <c r="P139" s="88">
        <f>IFERROR(__xludf.DUMMYFUNCTION("""COMPUTED_VALUE"""),122.0)</f>
        <v>122</v>
      </c>
      <c r="Q139" s="88" t="str">
        <f>IFERROR(__xludf.DUMMYFUNCTION("""COMPUTED_VALUE"""),"qeep_magnesiumB6_120caps")</f>
        <v>qeep_magnesiumB6_120caps</v>
      </c>
      <c r="R139" s="88">
        <f>IFERROR(__xludf.DUMMYFUNCTION("""COMPUTED_VALUE"""),1.082288574E9)</f>
        <v>1082288574</v>
      </c>
      <c r="T139" s="88" t="str">
        <f>IFERROR(__xludf.DUMMYFUNCTION("""COMPUTED_VALUE"""),"На вывод")</f>
        <v>На вывод</v>
      </c>
      <c r="U139" s="88" t="str">
        <f>IFERROR(__xludf.DUMMYFUNCTION("""COMPUTED_VALUE"""),"Семен")</f>
        <v>Семен</v>
      </c>
    </row>
    <row r="140">
      <c r="A140" s="88">
        <f>IFERROR(__xludf.DUMMYFUNCTION("""COMPUTED_VALUE"""),18.0)</f>
        <v>18</v>
      </c>
      <c r="B140" s="88" t="str">
        <f>IFERROR(__xludf.DUMMYFUNCTION("""COMPUTED_VALUE"""),"qeep_acnegel_20ml")</f>
        <v>qeep_acnegel_20ml</v>
      </c>
      <c r="C140" s="88">
        <f>IFERROR(__xludf.DUMMYFUNCTION("""COMPUTED_VALUE"""),2.039052035E9)</f>
        <v>2039052035</v>
      </c>
      <c r="E140" s="88" t="str">
        <f>IFERROR(__xludf.DUMMYFUNCTION("""COMPUTED_VALUE"""),"Актуально")</f>
        <v>Актуально</v>
      </c>
      <c r="F140" s="88" t="str">
        <f>IFERROR(__xludf.DUMMYFUNCTION("""COMPUTED_VALUE"""),"Кирилл")</f>
        <v>Кирилл</v>
      </c>
      <c r="P140" s="88">
        <f>IFERROR(__xludf.DUMMYFUNCTION("""COMPUTED_VALUE"""),123.0)</f>
        <v>123</v>
      </c>
      <c r="Q140" s="88" t="str">
        <f>IFERROR(__xludf.DUMMYFUNCTION("""COMPUTED_VALUE"""),"qeepchrom")</f>
        <v>qeepchrom</v>
      </c>
      <c r="R140" s="88">
        <f>IFERROR(__xludf.DUMMYFUNCTION("""COMPUTED_VALUE"""),7.51282312E8)</f>
        <v>751282312</v>
      </c>
      <c r="T140" s="88" t="str">
        <f>IFERROR(__xludf.DUMMYFUNCTION("""COMPUTED_VALUE"""),"На вывод")</f>
        <v>На вывод</v>
      </c>
      <c r="U140" s="88" t="str">
        <f>IFERROR(__xludf.DUMMYFUNCTION("""COMPUTED_VALUE"""),"Семен")</f>
        <v>Семен</v>
      </c>
    </row>
    <row r="141">
      <c r="A141" s="88">
        <f>IFERROR(__xludf.DUMMYFUNCTION("""COMPUTED_VALUE"""),17.0)</f>
        <v>17</v>
      </c>
      <c r="B141" s="88" t="str">
        <f>IFERROR(__xludf.DUMMYFUNCTION("""COMPUTED_VALUE"""),"qeep_tonic_200ml")</f>
        <v>qeep_tonic_200ml</v>
      </c>
      <c r="C141" s="88">
        <f>IFERROR(__xludf.DUMMYFUNCTION("""COMPUTED_VALUE"""),2.142858345E9)</f>
        <v>2142858345</v>
      </c>
      <c r="E141" s="88" t="str">
        <f>IFERROR(__xludf.DUMMYFUNCTION("""COMPUTED_VALUE"""),"Актуально")</f>
        <v>Актуально</v>
      </c>
      <c r="F141" s="88" t="str">
        <f>IFERROR(__xludf.DUMMYFUNCTION("""COMPUTED_VALUE"""),"Кирилл")</f>
        <v>Кирилл</v>
      </c>
      <c r="P141" s="88">
        <f>IFERROR(__xludf.DUMMYFUNCTION("""COMPUTED_VALUE"""),124.0)</f>
        <v>124</v>
      </c>
      <c r="Q141" s="88" t="str">
        <f>IFERROR(__xludf.DUMMYFUNCTION("""COMPUTED_VALUE"""),"qeep_gummy_multivit_60")</f>
        <v>qeep_gummy_multivit_60</v>
      </c>
      <c r="R141" s="88">
        <f>IFERROR(__xludf.DUMMYFUNCTION("""COMPUTED_VALUE"""),1.773844375E9)</f>
        <v>1773844375</v>
      </c>
      <c r="T141" s="88" t="str">
        <f>IFERROR(__xludf.DUMMYFUNCTION("""COMPUTED_VALUE"""),"На вывод")</f>
        <v>На вывод</v>
      </c>
      <c r="U141" s="88" t="str">
        <f>IFERROR(__xludf.DUMMYFUNCTION("""COMPUTED_VALUE"""),"Семен")</f>
        <v>Семен</v>
      </c>
    </row>
    <row r="142">
      <c r="A142" s="88">
        <f>IFERROR(__xludf.DUMMYFUNCTION("""COMPUTED_VALUE"""),16.0)</f>
        <v>16</v>
      </c>
      <c r="B142" s="88" t="str">
        <f>IFERROR(__xludf.DUMMYFUNCTION("""COMPUTED_VALUE"""),"Harly_Joint_Care")</f>
        <v>Harly_Joint_Care</v>
      </c>
      <c r="C142" s="88">
        <f>IFERROR(__xludf.DUMMYFUNCTION("""COMPUTED_VALUE"""),8.84578393E8)</f>
        <v>884578393</v>
      </c>
      <c r="E142" s="88" t="str">
        <f>IFERROR(__xludf.DUMMYFUNCTION("""COMPUTED_VALUE"""),"Актуально")</f>
        <v>Актуально</v>
      </c>
      <c r="F142" s="88" t="str">
        <f>IFERROR(__xludf.DUMMYFUNCTION("""COMPUTED_VALUE"""),"Алексей")</f>
        <v>Алексей</v>
      </c>
      <c r="P142" s="88">
        <f>IFERROR(__xludf.DUMMYFUNCTION("""COMPUTED_VALUE"""),125.0)</f>
        <v>125</v>
      </c>
      <c r="Q142" s="88" t="str">
        <f>IFERROR(__xludf.DUMMYFUNCTION("""COMPUTED_VALUE"""),"qeepprobiotics1+1")</f>
        <v>qeepprobiotics1+1</v>
      </c>
      <c r="R142" s="88">
        <f>IFERROR(__xludf.DUMMYFUNCTION("""COMPUTED_VALUE"""),8.14830745E8)</f>
        <v>814830745</v>
      </c>
      <c r="T142" s="88" t="str">
        <f>IFERROR(__xludf.DUMMYFUNCTION("""COMPUTED_VALUE"""),"На вывод")</f>
        <v>На вывод</v>
      </c>
      <c r="U142" s="88" t="str">
        <f>IFERROR(__xludf.DUMMYFUNCTION("""COMPUTED_VALUE"""),"Семен")</f>
        <v>Семен</v>
      </c>
    </row>
    <row r="143">
      <c r="A143" s="88">
        <f>IFERROR(__xludf.DUMMYFUNCTION("""COMPUTED_VALUE"""),15.0)</f>
        <v>15</v>
      </c>
      <c r="B143" s="88" t="str">
        <f>IFERROR(__xludf.DUMMYFUNCTION("""COMPUTED_VALUE"""),"qeep_ZMA_120caps")</f>
        <v>qeep_ZMA_120caps</v>
      </c>
      <c r="C143" s="88">
        <f>IFERROR(__xludf.DUMMYFUNCTION("""COMPUTED_VALUE"""),1.032691496E9)</f>
        <v>1032691496</v>
      </c>
      <c r="E143" s="88" t="str">
        <f>IFERROR(__xludf.DUMMYFUNCTION("""COMPUTED_VALUE"""),"Актуально")</f>
        <v>Актуально</v>
      </c>
      <c r="F143" s="88" t="str">
        <f>IFERROR(__xludf.DUMMYFUNCTION("""COMPUTED_VALUE"""),"Алексей")</f>
        <v>Алексей</v>
      </c>
      <c r="P143" s="88">
        <f>IFERROR(__xludf.DUMMYFUNCTION("""COMPUTED_VALUE"""),126.0)</f>
        <v>126</v>
      </c>
      <c r="Q143" s="88" t="str">
        <f>IFERROR(__xludf.DUMMYFUNCTION("""COMPUTED_VALUE"""),"qeepProbiotic_Complex1+1")</f>
        <v>qeepProbiotic_Complex1+1</v>
      </c>
      <c r="R143" s="88">
        <f>IFERROR(__xludf.DUMMYFUNCTION("""COMPUTED_VALUE"""),8.81228424E8)</f>
        <v>881228424</v>
      </c>
      <c r="T143" s="88" t="str">
        <f>IFERROR(__xludf.DUMMYFUNCTION("""COMPUTED_VALUE"""),"На вывод")</f>
        <v>На вывод</v>
      </c>
      <c r="U143" s="88" t="str">
        <f>IFERROR(__xludf.DUMMYFUNCTION("""COMPUTED_VALUE"""),"Семен")</f>
        <v>Семен</v>
      </c>
    </row>
    <row r="144">
      <c r="A144" s="88">
        <f>IFERROR(__xludf.DUMMYFUNCTION("""COMPUTED_VALUE"""),14.0)</f>
        <v>14</v>
      </c>
      <c r="B144" s="88" t="str">
        <f>IFERROR(__xludf.DUMMYFUNCTION("""COMPUTED_VALUE"""),"harly_dog_antiallergy_100tabs")</f>
        <v>harly_dog_antiallergy_100tabs</v>
      </c>
      <c r="C144" s="88">
        <f>IFERROR(__xludf.DUMMYFUNCTION("""COMPUTED_VALUE"""),1.581829359E9)</f>
        <v>1581829359</v>
      </c>
      <c r="E144" s="88" t="str">
        <f>IFERROR(__xludf.DUMMYFUNCTION("""COMPUTED_VALUE"""),"Актуально")</f>
        <v>Актуально</v>
      </c>
      <c r="F144" s="88" t="str">
        <f>IFERROR(__xludf.DUMMYFUNCTION("""COMPUTED_VALUE"""),"Алексей")</f>
        <v>Алексей</v>
      </c>
      <c r="P144" s="88">
        <f>IFERROR(__xludf.DUMMYFUNCTION("""COMPUTED_VALUE"""),127.0)</f>
        <v>127</v>
      </c>
      <c r="Q144" s="88" t="str">
        <f>IFERROR(__xludf.DUMMYFUNCTION("""COMPUTED_VALUE"""),"qeepProbiotic_Complex")</f>
        <v>qeepProbiotic_Complex</v>
      </c>
      <c r="R144" s="88">
        <f>IFERROR(__xludf.DUMMYFUNCTION("""COMPUTED_VALUE"""),8.8122843E8)</f>
        <v>881228430</v>
      </c>
      <c r="T144" s="88" t="str">
        <f>IFERROR(__xludf.DUMMYFUNCTION("""COMPUTED_VALUE"""),"На вывод")</f>
        <v>На вывод</v>
      </c>
      <c r="U144" s="88" t="str">
        <f>IFERROR(__xludf.DUMMYFUNCTION("""COMPUTED_VALUE"""),"Семен")</f>
        <v>Семен</v>
      </c>
    </row>
    <row r="145">
      <c r="A145" s="88">
        <f>IFERROR(__xludf.DUMMYFUNCTION("""COMPUTED_VALUE"""),13.0)</f>
        <v>13</v>
      </c>
      <c r="B145" s="88" t="str">
        <f>IFERROR(__xludf.DUMMYFUNCTION("""COMPUTED_VALUE"""),"Harly_Skin_Coat")</f>
        <v>Harly_Skin_Coat</v>
      </c>
      <c r="C145" s="88">
        <f>IFERROR(__xludf.DUMMYFUNCTION("""COMPUTED_VALUE"""),8.84560852E8)</f>
        <v>884560852</v>
      </c>
      <c r="E145" s="88" t="str">
        <f>IFERROR(__xludf.DUMMYFUNCTION("""COMPUTED_VALUE"""),"Актуально")</f>
        <v>Актуально</v>
      </c>
      <c r="F145" s="88" t="str">
        <f>IFERROR(__xludf.DUMMYFUNCTION("""COMPUTED_VALUE"""),"Алексей")</f>
        <v>Алексей</v>
      </c>
      <c r="P145" s="88">
        <f>IFERROR(__xludf.DUMMYFUNCTION("""COMPUTED_VALUE"""),128.0)</f>
        <v>128</v>
      </c>
      <c r="Q145" s="88" t="str">
        <f>IFERROR(__xludf.DUMMYFUNCTION("""COMPUTED_VALUE"""),"qeep_probiotic_kids_30caps")</f>
        <v>qeep_probiotic_kids_30caps</v>
      </c>
      <c r="R145" s="88">
        <f>IFERROR(__xludf.DUMMYFUNCTION("""COMPUTED_VALUE"""),9.65078619E8)</f>
        <v>965078619</v>
      </c>
      <c r="T145" s="88" t="str">
        <f>IFERROR(__xludf.DUMMYFUNCTION("""COMPUTED_VALUE"""),"На вывод")</f>
        <v>На вывод</v>
      </c>
      <c r="U145" s="88" t="str">
        <f>IFERROR(__xludf.DUMMYFUNCTION("""COMPUTED_VALUE"""),"Семен")</f>
        <v>Семен</v>
      </c>
    </row>
    <row r="146">
      <c r="A146" s="88">
        <f>IFERROR(__xludf.DUMMYFUNCTION("""COMPUTED_VALUE"""),12.0)</f>
        <v>12</v>
      </c>
      <c r="B146" s="88" t="str">
        <f>IFERROR(__xludf.DUMMYFUNCTION("""COMPUTED_VALUE"""),"harly_pawsoap_500ml")</f>
        <v>harly_pawsoap_500ml</v>
      </c>
      <c r="C146" s="88">
        <f>IFERROR(__xludf.DUMMYFUNCTION("""COMPUTED_VALUE"""),1.828993605E9)</f>
        <v>1828993605</v>
      </c>
      <c r="E146" s="88" t="str">
        <f>IFERROR(__xludf.DUMMYFUNCTION("""COMPUTED_VALUE"""),"Актуально")</f>
        <v>Актуально</v>
      </c>
      <c r="F146" s="88" t="str">
        <f>IFERROR(__xludf.DUMMYFUNCTION("""COMPUTED_VALUE"""),"Алексей")</f>
        <v>Алексей</v>
      </c>
      <c r="P146" s="88">
        <f>IFERROR(__xludf.DUMMYFUNCTION("""COMPUTED_VALUE"""),129.0)</f>
        <v>129</v>
      </c>
      <c r="Q146" s="88" t="str">
        <f>IFERROR(__xludf.DUMMYFUNCTION("""COMPUTED_VALUE"""),"qeep_Prebiotics_Probiotic_Complex")</f>
        <v>qeep_Prebiotics_Probiotic_Complex</v>
      </c>
      <c r="R146" s="88">
        <f>IFERROR(__xludf.DUMMYFUNCTION("""COMPUTED_VALUE"""),1.099704591E9)</f>
        <v>1099704591</v>
      </c>
      <c r="T146" s="88" t="str">
        <f>IFERROR(__xludf.DUMMYFUNCTION("""COMPUTED_VALUE"""),"На вывод")</f>
        <v>На вывод</v>
      </c>
      <c r="U146" s="88" t="str">
        <f>IFERROR(__xludf.DUMMYFUNCTION("""COMPUTED_VALUE"""),"Семен")</f>
        <v>Семен</v>
      </c>
    </row>
    <row r="147">
      <c r="A147" s="88">
        <f>IFERROR(__xludf.DUMMYFUNCTION("""COMPUTED_VALUE"""),11.0)</f>
        <v>11</v>
      </c>
      <c r="B147" s="88" t="str">
        <f>IFERROR(__xludf.DUMMYFUNCTION("""COMPUTED_VALUE"""),"harly_toothpaste_50ml")</f>
        <v>harly_toothpaste_50ml</v>
      </c>
      <c r="C147" s="88">
        <f>IFERROR(__xludf.DUMMYFUNCTION("""COMPUTED_VALUE"""),2.686479094E9)</f>
        <v>2686479094</v>
      </c>
      <c r="E147" s="88" t="str">
        <f>IFERROR(__xludf.DUMMYFUNCTION("""COMPUTED_VALUE"""),"Актуально")</f>
        <v>Актуально</v>
      </c>
      <c r="F147" s="88" t="str">
        <f>IFERROR(__xludf.DUMMYFUNCTION("""COMPUTED_VALUE"""),"Алексей")</f>
        <v>Алексей</v>
      </c>
      <c r="P147" s="88">
        <f>IFERROR(__xludf.DUMMYFUNCTION("""COMPUTED_VALUE"""),130.0)</f>
        <v>130</v>
      </c>
      <c r="Q147" s="88" t="str">
        <f>IFERROR(__xludf.DUMMYFUNCTION("""COMPUTED_VALUE"""),"qeep_womenprobiotics_60caps")</f>
        <v>qeep_womenprobiotics_60caps</v>
      </c>
      <c r="R147" s="88">
        <f>IFERROR(__xludf.DUMMYFUNCTION("""COMPUTED_VALUE"""),1.286883075E9)</f>
        <v>1286883075</v>
      </c>
      <c r="T147" s="88" t="str">
        <f>IFERROR(__xludf.DUMMYFUNCTION("""COMPUTED_VALUE"""),"На вывод")</f>
        <v>На вывод</v>
      </c>
      <c r="U147" s="88" t="str">
        <f>IFERROR(__xludf.DUMMYFUNCTION("""COMPUTED_VALUE"""),"Семен")</f>
        <v>Семен</v>
      </c>
    </row>
    <row r="148">
      <c r="A148" s="88">
        <f>IFERROR(__xludf.DUMMYFUNCTION("""COMPUTED_VALUE"""),10.0)</f>
        <v>10</v>
      </c>
      <c r="B148" s="88" t="str">
        <f>IFERROR(__xludf.DUMMYFUNCTION("""COMPUTED_VALUE"""),"qeep_dlyarostavolos_100ml")</f>
        <v>qeep_dlyarostavolos_100ml</v>
      </c>
      <c r="C148" s="88">
        <f>IFERROR(__xludf.DUMMYFUNCTION("""COMPUTED_VALUE"""),2.354324278E9)</f>
        <v>2354324278</v>
      </c>
      <c r="E148" s="88" t="str">
        <f>IFERROR(__xludf.DUMMYFUNCTION("""COMPUTED_VALUE"""),"Актуально")</f>
        <v>Актуально</v>
      </c>
      <c r="F148" s="88" t="str">
        <f>IFERROR(__xludf.DUMMYFUNCTION("""COMPUTED_VALUE"""),"Мария")</f>
        <v>Мария</v>
      </c>
      <c r="P148" s="88">
        <f>IFERROR(__xludf.DUMMYFUNCTION("""COMPUTED_VALUE"""),131.0)</f>
        <v>131</v>
      </c>
      <c r="Q148" s="88" t="str">
        <f>IFERROR(__xludf.DUMMYFUNCTION("""COMPUTED_VALUE"""),"qeep_biotin_5000_60caps")</f>
        <v>qeep_biotin_5000_60caps</v>
      </c>
      <c r="R148" s="88">
        <f>IFERROR(__xludf.DUMMYFUNCTION("""COMPUTED_VALUE"""),9.67642951E8)</f>
        <v>967642951</v>
      </c>
      <c r="T148" s="88" t="str">
        <f>IFERROR(__xludf.DUMMYFUNCTION("""COMPUTED_VALUE"""),"На вывод")</f>
        <v>На вывод</v>
      </c>
      <c r="U148" s="88" t="str">
        <f>IFERROR(__xludf.DUMMYFUNCTION("""COMPUTED_VALUE"""),"Семен")</f>
        <v>Семен</v>
      </c>
    </row>
    <row r="149">
      <c r="A149" s="88">
        <f>IFERROR(__xludf.DUMMYFUNCTION("""COMPUTED_VALUE"""),9.0)</f>
        <v>9</v>
      </c>
      <c r="B149" s="88" t="str">
        <f>IFERROR(__xludf.DUMMYFUNCTION("""COMPUTED_VALUE"""),"qeep_berberine_60caps")</f>
        <v>qeep_berberine_60caps</v>
      </c>
      <c r="C149" s="88">
        <f>IFERROR(__xludf.DUMMYFUNCTION("""COMPUTED_VALUE"""),1.361997453E9)</f>
        <v>1361997453</v>
      </c>
      <c r="E149" s="88" t="str">
        <f>IFERROR(__xludf.DUMMYFUNCTION("""COMPUTED_VALUE"""),"На вывод")</f>
        <v>На вывод</v>
      </c>
      <c r="F149" s="88" t="str">
        <f>IFERROR(__xludf.DUMMYFUNCTION("""COMPUTED_VALUE"""),"Света")</f>
        <v>Света</v>
      </c>
      <c r="P149" s="88">
        <f>IFERROR(__xludf.DUMMYFUNCTION("""COMPUTED_VALUE"""),132.0)</f>
        <v>132</v>
      </c>
      <c r="Q149" s="88" t="str">
        <f>IFERROR(__xludf.DUMMYFUNCTION("""COMPUTED_VALUE"""),"qeep_Lecithin_180caps")</f>
        <v>qeep_Lecithin_180caps</v>
      </c>
      <c r="R149" s="88">
        <f>IFERROR(__xludf.DUMMYFUNCTION("""COMPUTED_VALUE"""),9.48290832E8)</f>
        <v>948290832</v>
      </c>
      <c r="T149" s="88" t="str">
        <f>IFERROR(__xludf.DUMMYFUNCTION("""COMPUTED_VALUE"""),"На вывод")</f>
        <v>На вывод</v>
      </c>
      <c r="U149" s="88" t="str">
        <f>IFERROR(__xludf.DUMMYFUNCTION("""COMPUTED_VALUE"""),"Семен")</f>
        <v>Семен</v>
      </c>
    </row>
    <row r="150">
      <c r="A150" s="88">
        <f>IFERROR(__xludf.DUMMYFUNCTION("""COMPUTED_VALUE"""),8.0)</f>
        <v>8</v>
      </c>
      <c r="B150" s="88" t="str">
        <f>IFERROR(__xludf.DUMMYFUNCTION("""COMPUTED_VALUE"""),"harly_likvidator_v2")</f>
        <v>harly_likvidator_v2</v>
      </c>
      <c r="C150" s="88">
        <f>IFERROR(__xludf.DUMMYFUNCTION("""COMPUTED_VALUE"""),2.344269342E9)</f>
        <v>2344269342</v>
      </c>
      <c r="E150" s="88" t="str">
        <f>IFERROR(__xludf.DUMMYFUNCTION("""COMPUTED_VALUE"""),"Актуально")</f>
        <v>Актуально</v>
      </c>
      <c r="F150" s="88" t="str">
        <f>IFERROR(__xludf.DUMMYFUNCTION("""COMPUTED_VALUE"""),"Алексей")</f>
        <v>Алексей</v>
      </c>
      <c r="P150" s="88">
        <f>IFERROR(__xludf.DUMMYFUNCTION("""COMPUTED_VALUE"""),133.0)</f>
        <v>133</v>
      </c>
      <c r="Q150" s="88" t="str">
        <f>IFERROR(__xludf.DUMMYFUNCTION("""COMPUTED_VALUE"""),"qeep_tyrosine_90caps")</f>
        <v>qeep_tyrosine_90caps</v>
      </c>
      <c r="R150" s="88">
        <f>IFERROR(__xludf.DUMMYFUNCTION("""COMPUTED_VALUE"""),9.50391195E8)</f>
        <v>950391195</v>
      </c>
      <c r="T150" s="88" t="str">
        <f>IFERROR(__xludf.DUMMYFUNCTION("""COMPUTED_VALUE"""),"На вывод")</f>
        <v>На вывод</v>
      </c>
      <c r="U150" s="88" t="str">
        <f>IFERROR(__xludf.DUMMYFUNCTION("""COMPUTED_VALUE"""),"Семен")</f>
        <v>Семен</v>
      </c>
    </row>
    <row r="151">
      <c r="A151" s="88">
        <f>IFERROR(__xludf.DUMMYFUNCTION("""COMPUTED_VALUE"""),7.0)</f>
        <v>7</v>
      </c>
      <c r="B151" s="88" t="str">
        <f>IFERROR(__xludf.DUMMYFUNCTION("""COMPUTED_VALUE"""),"qeep_bloodypeeling_30ml")</f>
        <v>qeep_bloodypeeling_30ml</v>
      </c>
      <c r="C151" s="88">
        <f>IFERROR(__xludf.DUMMYFUNCTION("""COMPUTED_VALUE"""),1.856657517E9)</f>
        <v>1856657517</v>
      </c>
      <c r="E151" s="88" t="str">
        <f>IFERROR(__xludf.DUMMYFUNCTION("""COMPUTED_VALUE"""),"Актуально")</f>
        <v>Актуально</v>
      </c>
      <c r="F151" s="88" t="str">
        <f>IFERROR(__xludf.DUMMYFUNCTION("""COMPUTED_VALUE"""),"Мария")</f>
        <v>Мария</v>
      </c>
      <c r="P151" s="88">
        <f>IFERROR(__xludf.DUMMYFUNCTION("""COMPUTED_VALUE"""),134.0)</f>
        <v>134</v>
      </c>
      <c r="Q151" s="88" t="str">
        <f>IFERROR(__xludf.DUMMYFUNCTION("""COMPUTED_VALUE"""),"qeep_5htp_60caps")</f>
        <v>qeep_5htp_60caps</v>
      </c>
      <c r="R151" s="88">
        <f>IFERROR(__xludf.DUMMYFUNCTION("""COMPUTED_VALUE"""),1.020776527E9)</f>
        <v>1020776527</v>
      </c>
      <c r="T151" s="88" t="str">
        <f>IFERROR(__xludf.DUMMYFUNCTION("""COMPUTED_VALUE"""),"На вывод")</f>
        <v>На вывод</v>
      </c>
      <c r="U151" s="88" t="str">
        <f>IFERROR(__xludf.DUMMYFUNCTION("""COMPUTED_VALUE"""),"Семен")</f>
        <v>Семен</v>
      </c>
    </row>
    <row r="152">
      <c r="A152" s="88">
        <f>IFERROR(__xludf.DUMMYFUNCTION("""COMPUTED_VALUE"""),6.0)</f>
        <v>6</v>
      </c>
      <c r="B152" s="88" t="str">
        <f>IFERROR(__xludf.DUMMYFUNCTION("""COMPUTED_VALUE"""),"qeep_ecdysterone_60caps")</f>
        <v>qeep_ecdysterone_60caps</v>
      </c>
      <c r="C152" s="88">
        <f>IFERROR(__xludf.DUMMYFUNCTION("""COMPUTED_VALUE"""),1.731455142E9)</f>
        <v>1731455142</v>
      </c>
      <c r="E152" s="88" t="str">
        <f>IFERROR(__xludf.DUMMYFUNCTION("""COMPUTED_VALUE"""),"Актуально")</f>
        <v>Актуально</v>
      </c>
      <c r="F152" s="88" t="str">
        <f>IFERROR(__xludf.DUMMYFUNCTION("""COMPUTED_VALUE"""),"Алексей")</f>
        <v>Алексей</v>
      </c>
      <c r="P152" s="88">
        <f>IFERROR(__xludf.DUMMYFUNCTION("""COMPUTED_VALUE"""),135.0)</f>
        <v>135</v>
      </c>
      <c r="Q152" s="88" t="str">
        <f>IFERROR(__xludf.DUMMYFUNCTION("""COMPUTED_VALUE"""),"qeep_maslo_chernogo_tmina_60caps")</f>
        <v>qeep_maslo_chernogo_tmina_60caps</v>
      </c>
      <c r="R152" s="88">
        <f>IFERROR(__xludf.DUMMYFUNCTION("""COMPUTED_VALUE"""),9.66794115E8)</f>
        <v>966794115</v>
      </c>
      <c r="T152" s="88" t="str">
        <f>IFERROR(__xludf.DUMMYFUNCTION("""COMPUTED_VALUE"""),"На вывод")</f>
        <v>На вывод</v>
      </c>
      <c r="U152" s="88" t="str">
        <f>IFERROR(__xludf.DUMMYFUNCTION("""COMPUTED_VALUE"""),"Семен")</f>
        <v>Семен</v>
      </c>
    </row>
    <row r="153">
      <c r="A153" s="88">
        <f>IFERROR(__xludf.DUMMYFUNCTION("""COMPUTED_VALUE"""),5.0)</f>
        <v>5</v>
      </c>
      <c r="B153" s="88" t="str">
        <f>IFERROR(__xludf.DUMMYFUNCTION("""COMPUTED_VALUE"""),"qeep_Perfectman_60caps")</f>
        <v>qeep_Perfectman_60caps</v>
      </c>
      <c r="C153" s="88">
        <f>IFERROR(__xludf.DUMMYFUNCTION("""COMPUTED_VALUE"""),9.46980875E8)</f>
        <v>946980875</v>
      </c>
      <c r="E153" s="88" t="str">
        <f>IFERROR(__xludf.DUMMYFUNCTION("""COMPUTED_VALUE"""),"Актуально")</f>
        <v>Актуально</v>
      </c>
      <c r="F153" s="88" t="str">
        <f>IFERROR(__xludf.DUMMYFUNCTION("""COMPUTED_VALUE"""),"Алексей")</f>
        <v>Алексей</v>
      </c>
      <c r="P153" s="88">
        <f>IFERROR(__xludf.DUMMYFUNCTION("""COMPUTED_VALUE"""),136.0)</f>
        <v>136</v>
      </c>
      <c r="Q153" s="88" t="str">
        <f>IFERROR(__xludf.DUMMYFUNCTION("""COMPUTED_VALUE"""),"qeepspirulina")</f>
        <v>qeepspirulina</v>
      </c>
      <c r="R153" s="88">
        <f>IFERROR(__xludf.DUMMYFUNCTION("""COMPUTED_VALUE"""),6.17343284E8)</f>
        <v>617343284</v>
      </c>
      <c r="T153" s="88" t="str">
        <f>IFERROR(__xludf.DUMMYFUNCTION("""COMPUTED_VALUE"""),"На вывод")</f>
        <v>На вывод</v>
      </c>
      <c r="U153" s="88" t="str">
        <f>IFERROR(__xludf.DUMMYFUNCTION("""COMPUTED_VALUE"""),"Семен")</f>
        <v>Семен</v>
      </c>
    </row>
    <row r="154">
      <c r="A154" s="88">
        <f>IFERROR(__xludf.DUMMYFUNCTION("""COMPUTED_VALUE"""),4.0)</f>
        <v>4</v>
      </c>
      <c r="B154" s="88" t="str">
        <f>IFERROR(__xludf.DUMMYFUNCTION("""COMPUTED_VALUE"""),"harly_ear_drops")</f>
        <v>harly_ear_drops</v>
      </c>
      <c r="C154" s="88">
        <f>IFERROR(__xludf.DUMMYFUNCTION("""COMPUTED_VALUE"""),1.580754644E9)</f>
        <v>1580754644</v>
      </c>
      <c r="E154" s="88" t="str">
        <f>IFERROR(__xludf.DUMMYFUNCTION("""COMPUTED_VALUE"""),"Актуально")</f>
        <v>Актуально</v>
      </c>
      <c r="F154" s="88" t="str">
        <f>IFERROR(__xludf.DUMMYFUNCTION("""COMPUTED_VALUE"""),"Алексей")</f>
        <v>Алексей</v>
      </c>
      <c r="P154" s="88">
        <f>IFERROR(__xludf.DUMMYFUNCTION("""COMPUTED_VALUE"""),137.0)</f>
        <v>137</v>
      </c>
      <c r="Q154" s="88" t="str">
        <f>IFERROR(__xludf.DUMMYFUNCTION("""COMPUTED_VALUE"""),"qeepspirulina1+1")</f>
        <v>qeepspirulina1+1</v>
      </c>
      <c r="R154" s="88">
        <f>IFERROR(__xludf.DUMMYFUNCTION("""COMPUTED_VALUE"""),8.71802851E8)</f>
        <v>871802851</v>
      </c>
      <c r="T154" s="88" t="str">
        <f>IFERROR(__xludf.DUMMYFUNCTION("""COMPUTED_VALUE"""),"На вывод")</f>
        <v>На вывод</v>
      </c>
      <c r="U154" s="88" t="str">
        <f>IFERROR(__xludf.DUMMYFUNCTION("""COMPUTED_VALUE"""),"Семен")</f>
        <v>Семен</v>
      </c>
    </row>
    <row r="155">
      <c r="A155" s="88">
        <f>IFERROR(__xludf.DUMMYFUNCTION("""COMPUTED_VALUE"""),3.0)</f>
        <v>3</v>
      </c>
      <c r="B155" s="88" t="str">
        <f>IFERROR(__xludf.DUMMYFUNCTION("""COMPUTED_VALUE"""),"harly_dog_pads_30pcs")</f>
        <v>harly_dog_pads_30pcs</v>
      </c>
      <c r="C155" s="88">
        <f>IFERROR(__xludf.DUMMYFUNCTION("""COMPUTED_VALUE"""),1.581834792E9)</f>
        <v>1581834792</v>
      </c>
      <c r="E155" s="88" t="str">
        <f>IFERROR(__xludf.DUMMYFUNCTION("""COMPUTED_VALUE"""),"Актуально")</f>
        <v>Актуально</v>
      </c>
      <c r="F155" s="88" t="str">
        <f>IFERROR(__xludf.DUMMYFUNCTION("""COMPUTED_VALUE"""),"Алексей")</f>
        <v>Алексей</v>
      </c>
      <c r="P155" s="88">
        <f>IFERROR(__xludf.DUMMYFUNCTION("""COMPUTED_VALUE"""),138.0)</f>
        <v>138</v>
      </c>
      <c r="Q155" s="88" t="str">
        <f>IFERROR(__xludf.DUMMYFUNCTION("""COMPUTED_VALUE"""),"qeep_spirulina_3000")</f>
        <v>qeep_spirulina_3000</v>
      </c>
      <c r="R155" s="88">
        <f>IFERROR(__xludf.DUMMYFUNCTION("""COMPUTED_VALUE"""),1.032702789E9)</f>
        <v>1032702789</v>
      </c>
      <c r="T155" s="88" t="str">
        <f>IFERROR(__xludf.DUMMYFUNCTION("""COMPUTED_VALUE"""),"На вывод")</f>
        <v>На вывод</v>
      </c>
      <c r="U155" s="88" t="str">
        <f>IFERROR(__xludf.DUMMYFUNCTION("""COMPUTED_VALUE"""),"Семен")</f>
        <v>Семен</v>
      </c>
    </row>
    <row r="156">
      <c r="A156" s="88">
        <f>IFERROR(__xludf.DUMMYFUNCTION("""COMPUTED_VALUE"""),2.0)</f>
        <v>2</v>
      </c>
      <c r="B156" s="88" t="str">
        <f>IFERROR(__xludf.DUMMYFUNCTION("""COMPUTED_VALUE"""),"qeep_perfect_spray_200ml")</f>
        <v>qeep_perfect_spray_200ml</v>
      </c>
      <c r="C156" s="88">
        <f>IFERROR(__xludf.DUMMYFUNCTION("""COMPUTED_VALUE"""),2.018960887E9)</f>
        <v>2018960887</v>
      </c>
      <c r="E156" s="88" t="str">
        <f>IFERROR(__xludf.DUMMYFUNCTION("""COMPUTED_VALUE"""),"Актуально")</f>
        <v>Актуально</v>
      </c>
      <c r="F156" s="88" t="str">
        <f>IFERROR(__xludf.DUMMYFUNCTION("""COMPUTED_VALUE"""),"Мария")</f>
        <v>Мария</v>
      </c>
      <c r="P156" s="88">
        <f>IFERROR(__xludf.DUMMYFUNCTION("""COMPUTED_VALUE"""),139.0)</f>
        <v>139</v>
      </c>
      <c r="Q156" s="88" t="str">
        <f>IFERROR(__xludf.DUMMYFUNCTION("""COMPUTED_VALUE"""),"qeep_spirulinachlor_collagen_6060")</f>
        <v>qeep_spirulinachlor_collagen_6060</v>
      </c>
      <c r="R156" s="88">
        <f>IFERROR(__xludf.DUMMYFUNCTION("""COMPUTED_VALUE"""),1.09972736E9)</f>
        <v>1099727360</v>
      </c>
      <c r="T156" s="88" t="str">
        <f>IFERROR(__xludf.DUMMYFUNCTION("""COMPUTED_VALUE"""),"На вывод")</f>
        <v>На вывод</v>
      </c>
      <c r="U156" s="88" t="str">
        <f>IFERROR(__xludf.DUMMYFUNCTION("""COMPUTED_VALUE"""),"Семен")</f>
        <v>Семен</v>
      </c>
    </row>
    <row r="157">
      <c r="A157" s="88">
        <f>IFERROR(__xludf.DUMMYFUNCTION("""COMPUTED_VALUE"""),1.0)</f>
        <v>1</v>
      </c>
      <c r="B157" s="88" t="str">
        <f>IFERROR(__xludf.DUMMYFUNCTION("""COMPUTED_VALUE"""),"harly_salmon_oil")</f>
        <v>harly_salmon_oil</v>
      </c>
      <c r="C157" s="88">
        <f>IFERROR(__xludf.DUMMYFUNCTION("""COMPUTED_VALUE"""),2.019073769E9)</f>
        <v>2019073769</v>
      </c>
      <c r="E157" s="88" t="str">
        <f>IFERROR(__xludf.DUMMYFUNCTION("""COMPUTED_VALUE"""),"Актуально")</f>
        <v>Актуально</v>
      </c>
      <c r="F157" s="88" t="str">
        <f>IFERROR(__xludf.DUMMYFUNCTION("""COMPUTED_VALUE"""),"Алексей")</f>
        <v>Алексей</v>
      </c>
      <c r="P157" s="88">
        <f>IFERROR(__xludf.DUMMYFUNCTION("""COMPUTED_VALUE"""),140.0)</f>
        <v>140</v>
      </c>
      <c r="Q157" s="88" t="str">
        <f>IFERROR(__xludf.DUMMYFUNCTION("""COMPUTED_VALUE"""),"qeep_spirulinachlor_mctd3_6060")</f>
        <v>qeep_spirulinachlor_mctd3_6060</v>
      </c>
      <c r="R157" s="88">
        <f>IFERROR(__xludf.DUMMYFUNCTION("""COMPUTED_VALUE"""),1.099740649E9)</f>
        <v>1099740649</v>
      </c>
      <c r="T157" s="88" t="str">
        <f>IFERROR(__xludf.DUMMYFUNCTION("""COMPUTED_VALUE"""),"На вывод")</f>
        <v>На вывод</v>
      </c>
      <c r="U157" s="88" t="str">
        <f>IFERROR(__xludf.DUMMYFUNCTION("""COMPUTED_VALUE"""),"Семен")</f>
        <v>Семен</v>
      </c>
    </row>
    <row r="158">
      <c r="A158" s="88"/>
      <c r="B158" s="88" t="str">
        <f>IFERROR(__xludf.DUMMYFUNCTION("""COMPUTED_VALUE"""),"qeep_inositol1500mg_60caps")</f>
        <v>qeep_inositol1500mg_60caps</v>
      </c>
      <c r="C158" s="88"/>
      <c r="E158" s="88" t="str">
        <f>IFERROR(__xludf.DUMMYFUNCTION("""COMPUTED_VALUE"""),"Актуально")</f>
        <v>Актуально</v>
      </c>
      <c r="F158" s="88" t="str">
        <f>IFERROR(__xludf.DUMMYFUNCTION("""COMPUTED_VALUE"""),"Алексей")</f>
        <v>Алексей</v>
      </c>
      <c r="P158" s="88">
        <f>IFERROR(__xludf.DUMMYFUNCTION("""COMPUTED_VALUE"""),141.0)</f>
        <v>141</v>
      </c>
      <c r="Q158" s="88" t="str">
        <f>IFERROR(__xludf.DUMMYFUNCTION("""COMPUTED_VALUE"""),"qeep_spirulinachlor_preprobio_6030")</f>
        <v>qeep_spirulinachlor_preprobio_6030</v>
      </c>
      <c r="R158" s="88">
        <f>IFERROR(__xludf.DUMMYFUNCTION("""COMPUTED_VALUE"""),1.099757439E9)</f>
        <v>1099757439</v>
      </c>
      <c r="T158" s="88" t="str">
        <f>IFERROR(__xludf.DUMMYFUNCTION("""COMPUTED_VALUE"""),"На вывод")</f>
        <v>На вывод</v>
      </c>
      <c r="U158" s="88" t="str">
        <f>IFERROR(__xludf.DUMMYFUNCTION("""COMPUTED_VALUE"""),"Семен")</f>
        <v>Семен</v>
      </c>
    </row>
    <row r="159">
      <c r="A159" s="88"/>
      <c r="B159" s="88" t="str">
        <f>IFERROR(__xludf.DUMMYFUNCTION("""COMPUTED_VALUE"""),"harly_salmonoil_250ml")</f>
        <v>harly_salmonoil_250ml</v>
      </c>
      <c r="C159" s="88"/>
      <c r="E159" s="88" t="str">
        <f>IFERROR(__xludf.DUMMYFUNCTION("""COMPUTED_VALUE"""),"Актуально")</f>
        <v>Актуально</v>
      </c>
      <c r="F159" s="88" t="str">
        <f>IFERROR(__xludf.DUMMYFUNCTION("""COMPUTED_VALUE"""),"Алексей")</f>
        <v>Алексей</v>
      </c>
      <c r="P159" s="88">
        <f>IFERROR(__xludf.DUMMYFUNCTION("""COMPUTED_VALUE"""),142.0)</f>
        <v>142</v>
      </c>
      <c r="Q159" s="88" t="str">
        <f>IFERROR(__xludf.DUMMYFUNCTION("""COMPUTED_VALUE"""),"qeep_spirulina+chrom")</f>
        <v>qeep_spirulina+chrom</v>
      </c>
      <c r="R159" s="88" t="str">
        <f>IFERROR(__xludf.DUMMYFUNCTION("""COMPUTED_VALUE"""),"#N/A")</f>
        <v>#N/A</v>
      </c>
      <c r="T159" s="88" t="str">
        <f>IFERROR(__xludf.DUMMYFUNCTION("""COMPUTED_VALUE"""),"На вывод")</f>
        <v>На вывод</v>
      </c>
      <c r="U159" s="88" t="str">
        <f>IFERROR(__xludf.DUMMYFUNCTION("""COMPUTED_VALUE"""),"Семен")</f>
        <v>Семен</v>
      </c>
    </row>
    <row r="160">
      <c r="A160" s="88"/>
      <c r="B160" s="88" t="str">
        <f>IFERROR(__xludf.DUMMYFUNCTION("""COMPUTED_VALUE"""),"qeep_zma_120caps_v2")</f>
        <v>qeep_zma_120caps_v2</v>
      </c>
      <c r="C160" s="88"/>
      <c r="E160" s="88" t="str">
        <f>IFERROR(__xludf.DUMMYFUNCTION("""COMPUTED_VALUE"""),"Актуально")</f>
        <v>Актуально</v>
      </c>
      <c r="F160" s="88" t="str">
        <f>IFERROR(__xludf.DUMMYFUNCTION("""COMPUTED_VALUE"""),"Алексей")</f>
        <v>Алексей</v>
      </c>
      <c r="P160" s="88">
        <f>IFERROR(__xludf.DUMMYFUNCTION("""COMPUTED_VALUE"""),143.0)</f>
        <v>143</v>
      </c>
      <c r="Q160" s="88" t="str">
        <f>IFERROR(__xludf.DUMMYFUNCTION("""COMPUTED_VALUE"""),"qeep_chlorophyll_500ml")</f>
        <v>qeep_chlorophyll_500ml</v>
      </c>
      <c r="R160" s="88">
        <f>IFERROR(__xludf.DUMMYFUNCTION("""COMPUTED_VALUE"""),1.044887692E9)</f>
        <v>1044887692</v>
      </c>
      <c r="T160" s="88" t="str">
        <f>IFERROR(__xludf.DUMMYFUNCTION("""COMPUTED_VALUE"""),"На вывод")</f>
        <v>На вывод</v>
      </c>
      <c r="U160" s="88" t="str">
        <f>IFERROR(__xludf.DUMMYFUNCTION("""COMPUTED_VALUE"""),"Семен")</f>
        <v>Семен</v>
      </c>
    </row>
    <row r="161">
      <c r="A161" s="88"/>
      <c r="B161" s="88" t="str">
        <f>IFERROR(__xludf.DUMMYFUNCTION("""COMPUTED_VALUE"""),"harly_salmonoil_250ml")</f>
        <v>harly_salmonoil_250ml</v>
      </c>
      <c r="C161" s="88"/>
      <c r="E161" s="88" t="str">
        <f>IFERROR(__xludf.DUMMYFUNCTION("""COMPUTED_VALUE"""),"Новинка")</f>
        <v>Новинка</v>
      </c>
      <c r="F161" s="88" t="str">
        <f>IFERROR(__xludf.DUMMYFUNCTION("""COMPUTED_VALUE"""),"Алексей")</f>
        <v>Алексей</v>
      </c>
      <c r="P161" s="88">
        <f>IFERROR(__xludf.DUMMYFUNCTION("""COMPUTED_VALUE"""),144.0)</f>
        <v>144</v>
      </c>
      <c r="Q161" s="88" t="str">
        <f>IFERROR(__xludf.DUMMYFUNCTION("""COMPUTED_VALUE"""),"qeepomega3")</f>
        <v>qeepomega3</v>
      </c>
      <c r="R161" s="88">
        <f>IFERROR(__xludf.DUMMYFUNCTION("""COMPUTED_VALUE"""),6.5063206E8)</f>
        <v>650632060</v>
      </c>
      <c r="T161" s="88" t="str">
        <f>IFERROR(__xludf.DUMMYFUNCTION("""COMPUTED_VALUE"""),"На вывод")</f>
        <v>На вывод</v>
      </c>
      <c r="U161" s="88" t="str">
        <f>IFERROR(__xludf.DUMMYFUNCTION("""COMPUTED_VALUE"""),"Семен")</f>
        <v>Семен</v>
      </c>
    </row>
    <row r="162">
      <c r="A162" s="88"/>
      <c r="B162" s="88" t="str">
        <f>IFERROR(__xludf.DUMMYFUNCTION("""COMPUTED_VALUE"""),"harly_pawprotector_50ml")</f>
        <v>harly_pawprotector_50ml</v>
      </c>
      <c r="C162" s="88"/>
      <c r="E162" s="88" t="str">
        <f>IFERROR(__xludf.DUMMYFUNCTION("""COMPUTED_VALUE"""),"Актуально")</f>
        <v>Актуально</v>
      </c>
      <c r="F162" s="88" t="str">
        <f>IFERROR(__xludf.DUMMYFUNCTION("""COMPUTED_VALUE"""),"Алексей")</f>
        <v>Алексей</v>
      </c>
      <c r="P162" s="88">
        <f>IFERROR(__xludf.DUMMYFUNCTION("""COMPUTED_VALUE"""),145.0)</f>
        <v>145</v>
      </c>
      <c r="Q162" s="88" t="str">
        <f>IFERROR(__xludf.DUMMYFUNCTION("""COMPUTED_VALUE"""),"qeepomega3_1+1")</f>
        <v>qeepomega3_1+1</v>
      </c>
      <c r="R162" s="88">
        <f>IFERROR(__xludf.DUMMYFUNCTION("""COMPUTED_VALUE"""),8.71788218E8)</f>
        <v>871788218</v>
      </c>
      <c r="T162" s="88" t="str">
        <f>IFERROR(__xludf.DUMMYFUNCTION("""COMPUTED_VALUE"""),"На вывод")</f>
        <v>На вывод</v>
      </c>
      <c r="U162" s="88" t="str">
        <f>IFERROR(__xludf.DUMMYFUNCTION("""COMPUTED_VALUE"""),"Семен")</f>
        <v>Семен</v>
      </c>
    </row>
    <row r="163">
      <c r="A163" s="88"/>
      <c r="B163" s="88" t="str">
        <f>IFERROR(__xludf.DUMMYFUNCTION("""COMPUTED_VALUE"""),"qeep_retinolcream_50ml")</f>
        <v>qeep_retinolcream_50ml</v>
      </c>
      <c r="C163" s="88">
        <f>IFERROR(__xludf.DUMMYFUNCTION("""COMPUTED_VALUE"""),5.49611709E8)</f>
        <v>549611709</v>
      </c>
      <c r="E163" s="88" t="str">
        <f>IFERROR(__xludf.DUMMYFUNCTION("""COMPUTED_VALUE"""),"Новинка")</f>
        <v>Новинка</v>
      </c>
      <c r="F163" s="88" t="str">
        <f>IFERROR(__xludf.DUMMYFUNCTION("""COMPUTED_VALUE"""),"Мария")</f>
        <v>Мария</v>
      </c>
      <c r="P163" s="88">
        <f>IFERROR(__xludf.DUMMYFUNCTION("""COMPUTED_VALUE"""),146.0)</f>
        <v>146</v>
      </c>
      <c r="Q163" s="88" t="str">
        <f>IFERROR(__xludf.DUMMYFUNCTION("""COMPUTED_VALUE"""),"qeep_ByeBye_fat_60caps")</f>
        <v>qeep_ByeBye_fat_60caps</v>
      </c>
      <c r="R163" s="88">
        <f>IFERROR(__xludf.DUMMYFUNCTION("""COMPUTED_VALUE"""),9.65075765E8)</f>
        <v>965075765</v>
      </c>
      <c r="T163" s="88" t="str">
        <f>IFERROR(__xludf.DUMMYFUNCTION("""COMPUTED_VALUE"""),"На вывод")</f>
        <v>На вывод</v>
      </c>
      <c r="U163" s="88" t="str">
        <f>IFERROR(__xludf.DUMMYFUNCTION("""COMPUTED_VALUE"""),"Семен")</f>
        <v>Семен</v>
      </c>
    </row>
    <row r="164">
      <c r="A164" s="88"/>
      <c r="B164" s="88" t="str">
        <f>IFERROR(__xludf.DUMMYFUNCTION("""COMPUTED_VALUE"""),"qeep_retinolcream1_50ml")</f>
        <v>qeep_retinolcream1_50ml</v>
      </c>
      <c r="C164" s="88">
        <f>IFERROR(__xludf.DUMMYFUNCTION("""COMPUTED_VALUE"""),6.87712933E8)</f>
        <v>687712933</v>
      </c>
      <c r="E164" s="88" t="str">
        <f>IFERROR(__xludf.DUMMYFUNCTION("""COMPUTED_VALUE"""),"Новинка")</f>
        <v>Новинка</v>
      </c>
      <c r="F164" s="88" t="str">
        <f>IFERROR(__xludf.DUMMYFUNCTION("""COMPUTED_VALUE"""),"Мария")</f>
        <v>Мария</v>
      </c>
      <c r="P164" s="88">
        <f>IFERROR(__xludf.DUMMYFUNCTION("""COMPUTED_VALUE"""),147.0)</f>
        <v>147</v>
      </c>
      <c r="Q164" s="88" t="str">
        <f>IFERROR(__xludf.DUMMYFUNCTION("""COMPUTED_VALUE"""),"qeep_byefat_double_60caps")</f>
        <v>qeep_byefat_double_60caps</v>
      </c>
      <c r="R164" s="88">
        <f>IFERROR(__xludf.DUMMYFUNCTION("""COMPUTED_VALUE"""),1.15456231E9)</f>
        <v>1154562310</v>
      </c>
      <c r="T164" s="88" t="str">
        <f>IFERROR(__xludf.DUMMYFUNCTION("""COMPUTED_VALUE"""),"На вывод")</f>
        <v>На вывод</v>
      </c>
      <c r="U164" s="88" t="str">
        <f>IFERROR(__xludf.DUMMYFUNCTION("""COMPUTED_VALUE"""),"Семен")</f>
        <v>Семен</v>
      </c>
    </row>
    <row r="165">
      <c r="A165" s="88"/>
      <c r="B165" s="88" t="str">
        <f>IFERROR(__xludf.DUMMYFUNCTION("""COMPUTED_VALUE"""),"qeep_retinolcream15_50ml")</f>
        <v>qeep_retinolcream15_50ml</v>
      </c>
      <c r="C165" s="88">
        <f>IFERROR(__xludf.DUMMYFUNCTION("""COMPUTED_VALUE"""),6.92599189E8)</f>
        <v>692599189</v>
      </c>
      <c r="E165" s="88" t="str">
        <f>IFERROR(__xludf.DUMMYFUNCTION("""COMPUTED_VALUE"""),"Новинка")</f>
        <v>Новинка</v>
      </c>
      <c r="F165" s="88" t="str">
        <f>IFERROR(__xludf.DUMMYFUNCTION("""COMPUTED_VALUE"""),"Мария")</f>
        <v>Мария</v>
      </c>
      <c r="P165" s="88">
        <f>IFERROR(__xludf.DUMMYFUNCTION("""COMPUTED_VALUE"""),148.0)</f>
        <v>148</v>
      </c>
      <c r="Q165" s="88" t="str">
        <f>IFERROR(__xludf.DUMMYFUNCTION("""COMPUTED_VALUE"""),"qeepL_Carnitine")</f>
        <v>qeepL_Carnitine</v>
      </c>
      <c r="R165" s="88">
        <f>IFERROR(__xludf.DUMMYFUNCTION("""COMPUTED_VALUE"""),8.26800291E8)</f>
        <v>826800291</v>
      </c>
      <c r="T165" s="88" t="str">
        <f>IFERROR(__xludf.DUMMYFUNCTION("""COMPUTED_VALUE"""),"На вывод")</f>
        <v>На вывод</v>
      </c>
      <c r="U165" s="88" t="str">
        <f>IFERROR(__xludf.DUMMYFUNCTION("""COMPUTED_VALUE"""),"Семен")</f>
        <v>Семен</v>
      </c>
    </row>
    <row r="166">
      <c r="A166" s="88"/>
      <c r="B166" s="88" t="str">
        <f>IFERROR(__xludf.DUMMYFUNCTION("""COMPUTED_VALUE"""),"qeep_spf50_50ml")</f>
        <v>qeep_spf50_50ml</v>
      </c>
      <c r="C166" s="88">
        <f>IFERROR(__xludf.DUMMYFUNCTION("""COMPUTED_VALUE"""),6.81199239E8)</f>
        <v>681199239</v>
      </c>
      <c r="E166" s="88" t="str">
        <f>IFERROR(__xludf.DUMMYFUNCTION("""COMPUTED_VALUE"""),"Новинка")</f>
        <v>Новинка</v>
      </c>
      <c r="F166" s="88" t="str">
        <f>IFERROR(__xludf.DUMMYFUNCTION("""COMPUTED_VALUE"""),"Мария")</f>
        <v>Мария</v>
      </c>
      <c r="P166" s="88">
        <f>IFERROR(__xludf.DUMMYFUNCTION("""COMPUTED_VALUE"""),149.0)</f>
        <v>149</v>
      </c>
      <c r="Q166" s="88" t="str">
        <f>IFERROR(__xludf.DUMMYFUNCTION("""COMPUTED_VALUE"""),"qeepcollagen1+1")</f>
        <v>qeepcollagen1+1</v>
      </c>
      <c r="R166" s="88">
        <f>IFERROR(__xludf.DUMMYFUNCTION("""COMPUTED_VALUE"""),8.7180646E8)</f>
        <v>871806460</v>
      </c>
      <c r="T166" s="88" t="str">
        <f>IFERROR(__xludf.DUMMYFUNCTION("""COMPUTED_VALUE"""),"На вывод")</f>
        <v>На вывод</v>
      </c>
      <c r="U166" s="88" t="str">
        <f>IFERROR(__xludf.DUMMYFUNCTION("""COMPUTED_VALUE"""),"Семен")</f>
        <v>Семен</v>
      </c>
    </row>
    <row r="167">
      <c r="A167" s="88"/>
      <c r="B167" s="88" t="str">
        <f>IFERROR(__xludf.DUMMYFUNCTION("""COMPUTED_VALUE"""),"qeep_chlorophyll_500ml_v2")</f>
        <v>qeep_chlorophyll_500ml_v2</v>
      </c>
      <c r="C167" s="88">
        <f>IFERROR(__xludf.DUMMYFUNCTION("""COMPUTED_VALUE"""),1.65592674E8)</f>
        <v>165592674</v>
      </c>
      <c r="E167" s="88" t="str">
        <f>IFERROR(__xludf.DUMMYFUNCTION("""COMPUTED_VALUE"""),"Актуально")</f>
        <v>Актуально</v>
      </c>
      <c r="F167" s="88" t="str">
        <f>IFERROR(__xludf.DUMMYFUNCTION("""COMPUTED_VALUE"""),"Света")</f>
        <v>Света</v>
      </c>
      <c r="P167" s="88">
        <f>IFERROR(__xludf.DUMMYFUNCTION("""COMPUTED_VALUE"""),150.0)</f>
        <v>150</v>
      </c>
      <c r="Q167" s="88" t="str">
        <f>IFERROR(__xludf.DUMMYFUNCTION("""COMPUTED_VALUE"""),"qeep_Marine_Collagen_60caps")</f>
        <v>qeep_Marine_Collagen_60caps</v>
      </c>
      <c r="R167" s="88">
        <f>IFERROR(__xludf.DUMMYFUNCTION("""COMPUTED_VALUE"""),8.89954527E8)</f>
        <v>889954527</v>
      </c>
      <c r="T167" s="88" t="str">
        <f>IFERROR(__xludf.DUMMYFUNCTION("""COMPUTED_VALUE"""),"На вывод")</f>
        <v>На вывод</v>
      </c>
      <c r="U167" s="88" t="str">
        <f>IFERROR(__xludf.DUMMYFUNCTION("""COMPUTED_VALUE"""),"Семен")</f>
        <v>Семен</v>
      </c>
    </row>
    <row r="168">
      <c r="A168" s="88"/>
      <c r="B168" s="88" t="str">
        <f>IFERROR(__xludf.DUMMYFUNCTION("""COMPUTED_VALUE"""),"qeep_probioticdetox_60caps")</f>
        <v>qeep_probioticdetox_60caps</v>
      </c>
      <c r="C168" s="88">
        <f>IFERROR(__xludf.DUMMYFUNCTION("""COMPUTED_VALUE"""),5.6866731E8)</f>
        <v>568667310</v>
      </c>
      <c r="E168" s="88" t="str">
        <f>IFERROR(__xludf.DUMMYFUNCTION("""COMPUTED_VALUE"""),"Актуально")</f>
        <v>Актуально</v>
      </c>
      <c r="F168" s="88" t="str">
        <f>IFERROR(__xludf.DUMMYFUNCTION("""COMPUTED_VALUE"""),"Света")</f>
        <v>Света</v>
      </c>
      <c r="P168" s="88">
        <f>IFERROR(__xludf.DUMMYFUNCTION("""COMPUTED_VALUE"""),151.0)</f>
        <v>151</v>
      </c>
      <c r="Q168" s="88" t="str">
        <f>IFERROR(__xludf.DUMMYFUNCTION("""COMPUTED_VALUE"""),"qeep_joint_support_90caps")</f>
        <v>qeep_joint_support_90caps</v>
      </c>
      <c r="R168" s="88">
        <f>IFERROR(__xludf.DUMMYFUNCTION("""COMPUTED_VALUE"""),1.315703641E9)</f>
        <v>1315703641</v>
      </c>
      <c r="T168" s="88" t="str">
        <f>IFERROR(__xludf.DUMMYFUNCTION("""COMPUTED_VALUE"""),"На вывод")</f>
        <v>На вывод</v>
      </c>
      <c r="U168" s="88" t="str">
        <f>IFERROR(__xludf.DUMMYFUNCTION("""COMPUTED_VALUE"""),"Семен")</f>
        <v>Семен</v>
      </c>
    </row>
    <row r="169">
      <c r="A169" s="88"/>
      <c r="B169" s="88" t="str">
        <f>IFERROR(__xludf.DUMMYFUNCTION("""COMPUTED_VALUE"""),"qeep_maman_200ml")</f>
        <v>qeep_maman_200ml</v>
      </c>
      <c r="C169" s="88">
        <f>IFERROR(__xludf.DUMMYFUNCTION("""COMPUTED_VALUE"""),7.16103412E8)</f>
        <v>716103412</v>
      </c>
      <c r="E169" s="88" t="str">
        <f>IFERROR(__xludf.DUMMYFUNCTION("""COMPUTED_VALUE"""),"Новинка")</f>
        <v>Новинка</v>
      </c>
      <c r="F169" s="88" t="str">
        <f>IFERROR(__xludf.DUMMYFUNCTION("""COMPUTED_VALUE"""),"Мария")</f>
        <v>Мария</v>
      </c>
      <c r="P169" s="88">
        <f>IFERROR(__xludf.DUMMYFUNCTION("""COMPUTED_VALUE"""),152.0)</f>
        <v>152</v>
      </c>
      <c r="Q169" s="88" t="str">
        <f>IFERROR(__xludf.DUMMYFUNCTION("""COMPUTED_VALUE"""),"qeepbcaa")</f>
        <v>qeepbcaa</v>
      </c>
      <c r="R169" s="88">
        <f>IFERROR(__xludf.DUMMYFUNCTION("""COMPUTED_VALUE"""),8.25733116E8)</f>
        <v>825733116</v>
      </c>
      <c r="T169" s="88" t="str">
        <f>IFERROR(__xludf.DUMMYFUNCTION("""COMPUTED_VALUE"""),"На вывод")</f>
        <v>На вывод</v>
      </c>
      <c r="U169" s="88" t="str">
        <f>IFERROR(__xludf.DUMMYFUNCTION("""COMPUTED_VALUE"""),"Семен")</f>
        <v>Семен</v>
      </c>
    </row>
    <row r="170">
      <c r="A170" s="88"/>
      <c r="B170" s="88"/>
      <c r="C170" s="88"/>
      <c r="E170" s="88"/>
      <c r="F170" s="88"/>
      <c r="P170" s="88">
        <f>IFERROR(__xludf.DUMMYFUNCTION("""COMPUTED_VALUE"""),153.0)</f>
        <v>153</v>
      </c>
      <c r="Q170" s="88" t="str">
        <f>IFERROR(__xludf.DUMMYFUNCTION("""COMPUTED_VALUE"""),"qeep_bcaa_L_Carnitine")</f>
        <v>qeep_bcaa_L_Carnitine</v>
      </c>
      <c r="R170" s="88">
        <f>IFERROR(__xludf.DUMMYFUNCTION("""COMPUTED_VALUE"""),1.099581672E9)</f>
        <v>1099581672</v>
      </c>
      <c r="T170" s="88" t="str">
        <f>IFERROR(__xludf.DUMMYFUNCTION("""COMPUTED_VALUE"""),"На вывод")</f>
        <v>На вывод</v>
      </c>
      <c r="U170" s="88" t="str">
        <f>IFERROR(__xludf.DUMMYFUNCTION("""COMPUTED_VALUE"""),"Семен")</f>
        <v>Семен</v>
      </c>
    </row>
    <row r="171">
      <c r="P171" s="88">
        <f>IFERROR(__xludf.DUMMYFUNCTION("""COMPUTED_VALUE"""),154.0)</f>
        <v>154</v>
      </c>
      <c r="Q171" s="88" t="str">
        <f>IFERROR(__xludf.DUMMYFUNCTION("""COMPUTED_VALUE"""),"qeep_Alpha_Lipoic_60caps")</f>
        <v>qeep_Alpha_Lipoic_60caps</v>
      </c>
      <c r="R171" s="88">
        <f>IFERROR(__xludf.DUMMYFUNCTION("""COMPUTED_VALUE"""),9.4693155E8)</f>
        <v>946931550</v>
      </c>
      <c r="T171" s="88" t="str">
        <f>IFERROR(__xludf.DUMMYFUNCTION("""COMPUTED_VALUE"""),"На вывод")</f>
        <v>На вывод</v>
      </c>
      <c r="U171" s="88" t="str">
        <f>IFERROR(__xludf.DUMMYFUNCTION("""COMPUTED_VALUE"""),"Семен")</f>
        <v>Семен</v>
      </c>
    </row>
    <row r="172">
      <c r="P172" s="88">
        <f>IFERROR(__xludf.DUMMYFUNCTION("""COMPUTED_VALUE"""),155.0)</f>
        <v>155</v>
      </c>
      <c r="Q172" s="88" t="str">
        <f>IFERROR(__xludf.DUMMYFUNCTION("""COMPUTED_VALUE"""),"qeep_taurine_90caps")</f>
        <v>qeep_taurine_90caps</v>
      </c>
      <c r="R172" s="88">
        <f>IFERROR(__xludf.DUMMYFUNCTION("""COMPUTED_VALUE"""),9.67670448E8)</f>
        <v>967670448</v>
      </c>
      <c r="T172" s="88" t="str">
        <f>IFERROR(__xludf.DUMMYFUNCTION("""COMPUTED_VALUE"""),"На вывод")</f>
        <v>На вывод</v>
      </c>
      <c r="U172" s="88" t="str">
        <f>IFERROR(__xludf.DUMMYFUNCTION("""COMPUTED_VALUE"""),"Семен")</f>
        <v>Семен</v>
      </c>
    </row>
    <row r="173">
      <c r="P173" s="88">
        <f>IFERROR(__xludf.DUMMYFUNCTION("""COMPUTED_VALUE"""),156.0)</f>
        <v>156</v>
      </c>
      <c r="Q173" s="88" t="str">
        <f>IFERROR(__xludf.DUMMYFUNCTION("""COMPUTED_VALUE"""),"qeep_maman_200ml")</f>
        <v>qeep_maman_200ml</v>
      </c>
      <c r="R173" s="88">
        <f>IFERROR(__xludf.DUMMYFUNCTION("""COMPUTED_VALUE"""),3.276605917E9)</f>
        <v>3276605917</v>
      </c>
      <c r="T173" s="88" t="str">
        <f>IFERROR(__xludf.DUMMYFUNCTION("""COMPUTED_VALUE"""),"Актуально")</f>
        <v>Актуально</v>
      </c>
      <c r="U173" s="88" t="str">
        <f>IFERROR(__xludf.DUMMYFUNCTION("""COMPUTED_VALUE"""),"Кристина")</f>
        <v>Кристина</v>
      </c>
    </row>
    <row r="350">
      <c r="P350" s="88" t="str">
        <f>IFERROR(__xludf.DUMMYFUNCTION("IMPORTRANGE(""https://docs.google.com/spreadsheets/d/10Moe6hpmLSb-N4nMnPxSG0Y7shtFAK9IZuIffV4jE8E/edit"", ""Реестр / Смарт-Сэйл!B1:d400"")"),"")</f>
        <v/>
      </c>
      <c r="Q350" s="88"/>
      <c r="R350" s="88"/>
      <c r="T350" s="88" t="str">
        <f>IFERROR(__xludf.DUMMYFUNCTION("IMPORTRANGE(""https://docs.google.com/spreadsheets/d/10Moe6hpmLSb-N4nMnPxSG0Y7shtFAK9IZuIffV4jE8E/edit"", ""Реестр / Смарт-Сэйл!s:t"")"),"")</f>
        <v/>
      </c>
      <c r="U350" s="88"/>
    </row>
    <row r="351">
      <c r="P351" s="88"/>
      <c r="Q351" s="88"/>
      <c r="R351" s="88"/>
      <c r="T351" s="88"/>
      <c r="U351" s="88"/>
    </row>
    <row r="352">
      <c r="A352" s="88" t="str">
        <f>IFERROR(__xludf.DUMMYFUNCTION("IMPORTRANGE(""https://docs.google.com/spreadsheets/d/1NXNAfOd3_adMT6VcPRMrJIRSlmnS5ZfByKUi1Lq-Kvw/edit"", ""Реестр / Смарт-Сэйл!B:d"")"),"")</f>
        <v/>
      </c>
      <c r="B352" s="88"/>
      <c r="C352" s="88"/>
      <c r="E352" s="88" t="str">
        <f>IFERROR(__xludf.DUMMYFUNCTION("IMPORTRANGE(""https://docs.google.com/spreadsheets/d/1NXNAfOd3_adMT6VcPRMrJIRSlmnS5ZfByKUi1Lq-Kvw/edit"", ""Реестр / Смарт-Сэйл!y:z"")"),"")</f>
        <v/>
      </c>
      <c r="F352" s="88"/>
      <c r="P352" s="88" t="str">
        <f>IFERROR(__xludf.DUMMYFUNCTION("""COMPUTED_VALUE"""),"№")</f>
        <v>№</v>
      </c>
      <c r="Q352" s="88" t="str">
        <f>IFERROR(__xludf.DUMMYFUNCTION("""COMPUTED_VALUE"""),"SKU")</f>
        <v>SKU</v>
      </c>
      <c r="R352" s="88" t="str">
        <f>IFERROR(__xludf.DUMMYFUNCTION("""COMPUTED_VALUE"""),"Артикул")</f>
        <v>Артикул</v>
      </c>
      <c r="T352" s="88" t="str">
        <f>IFERROR(__xludf.DUMMYFUNCTION("""COMPUTED_VALUE"""),"Статус товара")</f>
        <v>Статус товара</v>
      </c>
      <c r="U352" s="88" t="str">
        <f>IFERROR(__xludf.DUMMYFUNCTION("""COMPUTED_VALUE"""),"Ответственный")</f>
        <v>Ответственный</v>
      </c>
    </row>
    <row r="353">
      <c r="A353" s="88"/>
      <c r="B353" s="88"/>
      <c r="C353" s="88"/>
      <c r="E353" s="88"/>
      <c r="F353" s="88"/>
      <c r="P353" s="88">
        <f>IFERROR(__xludf.DUMMYFUNCTION("""COMPUTED_VALUE"""),89.0)</f>
        <v>89</v>
      </c>
      <c r="Q353" s="88" t="str">
        <f>IFERROR(__xludf.DUMMYFUNCTION("""COMPUTED_VALUE"""),"kavmaz")</f>
        <v>kavmaz</v>
      </c>
      <c r="R353" s="88">
        <f>IFERROR(__xludf.DUMMYFUNCTION("""COMPUTED_VALUE"""),1.527086051E9)</f>
        <v>1527086051</v>
      </c>
      <c r="T353" s="88" t="str">
        <f>IFERROR(__xludf.DUMMYFUNCTION("""COMPUTED_VALUE"""),"Актуально")</f>
        <v>Актуально</v>
      </c>
      <c r="U353" s="88" t="str">
        <f>IFERROR(__xludf.DUMMYFUNCTION("""COMPUTED_VALUE"""),"Влад")</f>
        <v>Влад</v>
      </c>
    </row>
    <row r="354">
      <c r="A354" s="88" t="str">
        <f>IFERROR(__xludf.DUMMYFUNCTION("""COMPUTED_VALUE"""),"№")</f>
        <v>№</v>
      </c>
      <c r="B354" s="88" t="str">
        <f>IFERROR(__xludf.DUMMYFUNCTION("""COMPUTED_VALUE"""),"SKU")</f>
        <v>SKU</v>
      </c>
      <c r="C354" s="88" t="str">
        <f>IFERROR(__xludf.DUMMYFUNCTION("""COMPUTED_VALUE"""),"Артикул")</f>
        <v>Артикул</v>
      </c>
      <c r="E354" s="88" t="str">
        <f>IFERROR(__xludf.DUMMYFUNCTION("""COMPUTED_VALUE"""),"Статус товара")</f>
        <v>Статус товара</v>
      </c>
      <c r="F354" s="88" t="str">
        <f>IFERROR(__xludf.DUMMYFUNCTION("""COMPUTED_VALUE"""),"Ответственный")</f>
        <v>Ответственный</v>
      </c>
      <c r="P354" s="88">
        <f>IFERROR(__xludf.DUMMYFUNCTION("""COMPUTED_VALUE"""),108.0)</f>
        <v>108</v>
      </c>
      <c r="Q354" s="88" t="str">
        <f>IFERROR(__xludf.DUMMYFUNCTION("""COMPUTED_VALUE"""),"uromax")</f>
        <v>uromax</v>
      </c>
      <c r="R354" s="88">
        <f>IFERROR(__xludf.DUMMYFUNCTION("""COMPUTED_VALUE"""),1.589191436E9)</f>
        <v>1589191436</v>
      </c>
      <c r="T354" s="88" t="str">
        <f>IFERROR(__xludf.DUMMYFUNCTION("""COMPUTED_VALUE"""),"Актуально")</f>
        <v>Актуально</v>
      </c>
      <c r="U354" s="88" t="str">
        <f>IFERROR(__xludf.DUMMYFUNCTION("""COMPUTED_VALUE"""),"Влад")</f>
        <v>Влад</v>
      </c>
    </row>
    <row r="355">
      <c r="A355" s="88">
        <f>IFERROR(__xludf.DUMMYFUNCTION("""COMPUTED_VALUE"""),3.0)</f>
        <v>3</v>
      </c>
      <c r="B355" s="88" t="str">
        <f>IFERROR(__xludf.DUMMYFUNCTION("""COMPUTED_VALUE"""),"pantogor")</f>
        <v>pantogor</v>
      </c>
      <c r="C355" s="88">
        <f>IFERROR(__xludf.DUMMYFUNCTION("""COMPUTED_VALUE"""),2.88894202E8)</f>
        <v>288894202</v>
      </c>
      <c r="E355" s="88" t="str">
        <f>IFERROR(__xludf.DUMMYFUNCTION("""COMPUTED_VALUE"""),"Под вопросом")</f>
        <v>Под вопросом</v>
      </c>
      <c r="F355" s="88" t="str">
        <f>IFERROR(__xludf.DUMMYFUNCTION("""COMPUTED_VALUE"""),"Виталий")</f>
        <v>Виталий</v>
      </c>
      <c r="P355" s="88">
        <f>IFERROR(__xludf.DUMMYFUNCTION("""COMPUTED_VALUE"""),94.0)</f>
        <v>94</v>
      </c>
      <c r="Q355" s="88" t="str">
        <f>IFERROR(__xludf.DUMMYFUNCTION("""COMPUTED_VALUE"""),"arterol")</f>
        <v>arterol</v>
      </c>
      <c r="R355" s="88">
        <f>IFERROR(__xludf.DUMMYFUNCTION("""COMPUTED_VALUE"""),1.528107368E9)</f>
        <v>1528107368</v>
      </c>
      <c r="T355" s="88" t="str">
        <f>IFERROR(__xludf.DUMMYFUNCTION("""COMPUTED_VALUE"""),"Актуально")</f>
        <v>Актуально</v>
      </c>
      <c r="U355" s="88" t="str">
        <f>IFERROR(__xludf.DUMMYFUNCTION("""COMPUTED_VALUE"""),"Влад")</f>
        <v>Влад</v>
      </c>
    </row>
    <row r="356">
      <c r="A356" s="88">
        <f>IFERROR(__xludf.DUMMYFUNCTION("""COMPUTED_VALUE"""),21.0)</f>
        <v>21</v>
      </c>
      <c r="B356" s="88" t="str">
        <f>IFERROR(__xludf.DUMMYFUNCTION("""COMPUTED_VALUE"""),"micardinforte")</f>
        <v>micardinforte</v>
      </c>
      <c r="C356" s="88">
        <f>IFERROR(__xludf.DUMMYFUNCTION("""COMPUTED_VALUE"""),3.13362644E8)</f>
        <v>313362644</v>
      </c>
      <c r="E356" s="88" t="str">
        <f>IFERROR(__xludf.DUMMYFUNCTION("""COMPUTED_VALUE"""),"Под вопросом")</f>
        <v>Под вопросом</v>
      </c>
      <c r="F356" s="88" t="str">
        <f>IFERROR(__xludf.DUMMYFUNCTION("""COMPUTED_VALUE"""),"Виталий")</f>
        <v>Виталий</v>
      </c>
      <c r="P356" s="88">
        <f>IFERROR(__xludf.DUMMYFUNCTION("""COMPUTED_VALUE"""),92.0)</f>
        <v>92</v>
      </c>
      <c r="Q356" s="88" t="str">
        <f>IFERROR(__xludf.DUMMYFUNCTION("""COMPUTED_VALUE"""),"kinzhal")</f>
        <v>kinzhal</v>
      </c>
      <c r="R356" s="88">
        <f>IFERROR(__xludf.DUMMYFUNCTION("""COMPUTED_VALUE"""),1.528074808E9)</f>
        <v>1528074808</v>
      </c>
      <c r="T356" s="88" t="str">
        <f>IFERROR(__xludf.DUMMYFUNCTION("""COMPUTED_VALUE"""),"Актуально")</f>
        <v>Актуально</v>
      </c>
      <c r="U356" s="88" t="str">
        <f>IFERROR(__xludf.DUMMYFUNCTION("""COMPUTED_VALUE"""),"Влад")</f>
        <v>Влад</v>
      </c>
    </row>
    <row r="357">
      <c r="A357" s="88">
        <f>IFERROR(__xludf.DUMMYFUNCTION("""COMPUTED_VALUE"""),24.0)</f>
        <v>24</v>
      </c>
      <c r="B357" s="88" t="str">
        <f>IFERROR(__xludf.DUMMYFUNCTION("""COMPUTED_VALUE"""),"papiderm")</f>
        <v>papiderm</v>
      </c>
      <c r="C357" s="88">
        <f>IFERROR(__xludf.DUMMYFUNCTION("""COMPUTED_VALUE"""),3.27232798E8)</f>
        <v>327232798</v>
      </c>
      <c r="E357" s="88" t="str">
        <f>IFERROR(__xludf.DUMMYFUNCTION("""COMPUTED_VALUE"""),"Под вопросом")</f>
        <v>Под вопросом</v>
      </c>
      <c r="F357" s="88" t="str">
        <f>IFERROR(__xludf.DUMMYFUNCTION("""COMPUTED_VALUE"""),"Виталий")</f>
        <v>Виталий</v>
      </c>
      <c r="P357" s="88">
        <f>IFERROR(__xludf.DUMMYFUNCTION("""COMPUTED_VALUE"""),177.0)</f>
        <v>177</v>
      </c>
      <c r="Q357" s="88" t="str">
        <f>IFERROR(__xludf.DUMMYFUNCTION("""COMPUTED_VALUE"""),"arterol_1_1_1")</f>
        <v>arterol_1_1_1</v>
      </c>
      <c r="R357" s="88">
        <f>IFERROR(__xludf.DUMMYFUNCTION("""COMPUTED_VALUE"""),2.82507871E9)</f>
        <v>2825078710</v>
      </c>
      <c r="T357" s="88" t="str">
        <f>IFERROR(__xludf.DUMMYFUNCTION("""COMPUTED_VALUE"""),"Актуально")</f>
        <v>Актуально</v>
      </c>
      <c r="U357" s="88" t="str">
        <f>IFERROR(__xludf.DUMMYFUNCTION("""COMPUTED_VALUE"""),"Влад")</f>
        <v>Влад</v>
      </c>
    </row>
    <row r="358">
      <c r="A358" s="88"/>
      <c r="B358" s="88"/>
      <c r="C358" s="88">
        <f>IFERROR(__xludf.DUMMYFUNCTION("""COMPUTED_VALUE"""),2.031287674E9)</f>
        <v>2031287674</v>
      </c>
      <c r="E358" s="88"/>
      <c r="F358" s="88"/>
      <c r="P358" s="88">
        <f>IFERROR(__xludf.DUMMYFUNCTION("""COMPUTED_VALUE"""),104.0)</f>
        <v>104</v>
      </c>
      <c r="Q358" s="88" t="str">
        <f>IFERROR(__xludf.DUMMYFUNCTION("""COMPUTED_VALUE"""),"retiderm_50ml")</f>
        <v>retiderm_50ml</v>
      </c>
      <c r="R358" s="88">
        <f>IFERROR(__xludf.DUMMYFUNCTION("""COMPUTED_VALUE"""),1.548072003E9)</f>
        <v>1548072003</v>
      </c>
      <c r="T358" s="88" t="str">
        <f>IFERROR(__xludf.DUMMYFUNCTION("""COMPUTED_VALUE"""),"Актуально")</f>
        <v>Актуально</v>
      </c>
      <c r="U358" s="88" t="str">
        <f>IFERROR(__xludf.DUMMYFUNCTION("""COMPUTED_VALUE"""),"Даша")</f>
        <v>Даша</v>
      </c>
    </row>
    <row r="359">
      <c r="A359" s="88">
        <f>IFERROR(__xludf.DUMMYFUNCTION("""COMPUTED_VALUE"""),142.0)</f>
        <v>142</v>
      </c>
      <c r="B359" s="88" t="str">
        <f>IFERROR(__xludf.DUMMYFUNCTION("""COMPUTED_VALUE"""),"alteya_young_skin_box")</f>
        <v>alteya_young_skin_box</v>
      </c>
      <c r="C359" s="88">
        <f>IFERROR(__xludf.DUMMYFUNCTION("""COMPUTED_VALUE"""),1.805976932E9)</f>
        <v>1805976932</v>
      </c>
      <c r="E359" s="88" t="str">
        <f>IFERROR(__xludf.DUMMYFUNCTION("""COMPUTED_VALUE"""),"На вывод")</f>
        <v>На вывод</v>
      </c>
      <c r="F359" s="88" t="str">
        <f>IFERROR(__xludf.DUMMYFUNCTION("""COMPUTED_VALUE"""),"Олеся")</f>
        <v>Олеся</v>
      </c>
      <c r="P359" s="88">
        <f>IFERROR(__xludf.DUMMYFUNCTION("""COMPUTED_VALUE"""),183.0)</f>
        <v>183</v>
      </c>
      <c r="Q359" s="88" t="str">
        <f>IFERROR(__xludf.DUMMYFUNCTION("""COMPUTED_VALUE"""),"retinait_krem_1_50ml")</f>
        <v>retinait_krem_1_50ml</v>
      </c>
      <c r="R359" s="88">
        <f>IFERROR(__xludf.DUMMYFUNCTION("""COMPUTED_VALUE"""),2.829866449E9)</f>
        <v>2829866449</v>
      </c>
      <c r="T359" s="88" t="str">
        <f>IFERROR(__xludf.DUMMYFUNCTION("""COMPUTED_VALUE"""),"Актуально")</f>
        <v>Актуально</v>
      </c>
      <c r="U359" s="88" t="str">
        <f>IFERROR(__xludf.DUMMYFUNCTION("""COMPUTED_VALUE"""),"Даша")</f>
        <v>Даша</v>
      </c>
    </row>
    <row r="360">
      <c r="A360" s="88">
        <f>IFERROR(__xludf.DUMMYFUNCTION("""COMPUTED_VALUE"""),172.0)</f>
        <v>172</v>
      </c>
      <c r="B360" s="88" t="str">
        <f>IFERROR(__xludf.DUMMYFUNCTION("""COMPUTED_VALUE"""),"gel_dlya_britya_300ml")</f>
        <v>gel_dlya_britya_300ml</v>
      </c>
      <c r="C360" s="88">
        <f>IFERROR(__xludf.DUMMYFUNCTION("""COMPUTED_VALUE"""),2.58310045E9)</f>
        <v>2583100450</v>
      </c>
      <c r="E360" s="88" t="str">
        <f>IFERROR(__xludf.DUMMYFUNCTION("""COMPUTED_VALUE"""),"Актуально")</f>
        <v>Актуально</v>
      </c>
      <c r="F360" s="88" t="str">
        <f>IFERROR(__xludf.DUMMYFUNCTION("""COMPUTED_VALUE"""),"Кирилл")</f>
        <v>Кирилл</v>
      </c>
      <c r="P360" s="88">
        <f>IFERROR(__xludf.DUMMYFUNCTION("""COMPUTED_VALUE"""),41.0)</f>
        <v>41</v>
      </c>
      <c r="Q360" s="88" t="str">
        <f>IFERROR(__xludf.DUMMYFUNCTION("""COMPUTED_VALUE"""),"insulight")</f>
        <v>insulight</v>
      </c>
      <c r="R360" s="88">
        <f>IFERROR(__xludf.DUMMYFUNCTION("""COMPUTED_VALUE"""),7.51246155E8)</f>
        <v>751246155</v>
      </c>
      <c r="T360" s="88" t="str">
        <f>IFERROR(__xludf.DUMMYFUNCTION("""COMPUTED_VALUE"""),"Актуально")</f>
        <v>Актуально</v>
      </c>
      <c r="U360" s="88" t="str">
        <f>IFERROR(__xludf.DUMMYFUNCTION("""COMPUTED_VALUE"""),"Даша")</f>
        <v>Даша</v>
      </c>
    </row>
    <row r="361">
      <c r="A361" s="88">
        <f>IFERROR(__xludf.DUMMYFUNCTION("""COMPUTED_VALUE"""),185.0)</f>
        <v>185</v>
      </c>
      <c r="B361" s="88" t="str">
        <f>IFERROR(__xludf.DUMMYFUNCTION("""COMPUTED_VALUE"""),"vosk_stik_15ml")</f>
        <v>vosk_stik_15ml</v>
      </c>
      <c r="C361" s="88">
        <f>IFERROR(__xludf.DUMMYFUNCTION("""COMPUTED_VALUE"""),2.860142614E9)</f>
        <v>2860142614</v>
      </c>
      <c r="E361" s="88" t="str">
        <f>IFERROR(__xludf.DUMMYFUNCTION("""COMPUTED_VALUE"""),"Новинка")</f>
        <v>Новинка</v>
      </c>
      <c r="F361" s="88" t="str">
        <f>IFERROR(__xludf.DUMMYFUNCTION("""COMPUTED_VALUE"""),"Кирилл")</f>
        <v>Кирилл</v>
      </c>
      <c r="P361" s="88">
        <f>IFERROR(__xludf.DUMMYFUNCTION("""COMPUTED_VALUE"""),121.0)</f>
        <v>121</v>
      </c>
      <c r="Q361" s="88" t="str">
        <f>IFERROR(__xludf.DUMMYFUNCTION("""COMPUTED_VALUE"""),"nabor_remuver_kremovii")</f>
        <v>nabor_remuver_kremovii</v>
      </c>
      <c r="R361" s="88">
        <f>IFERROR(__xludf.DUMMYFUNCTION("""COMPUTED_VALUE"""),1.657229241E9)</f>
        <v>1657229241</v>
      </c>
      <c r="T361" s="88" t="str">
        <f>IFERROR(__xludf.DUMMYFUNCTION("""COMPUTED_VALUE"""),"Актуально")</f>
        <v>Актуально</v>
      </c>
      <c r="U361" s="88" t="str">
        <f>IFERROR(__xludf.DUMMYFUNCTION("""COMPUTED_VALUE"""),"Даша")</f>
        <v>Даша</v>
      </c>
    </row>
    <row r="362">
      <c r="A362" s="88"/>
      <c r="B362" s="88" t="str">
        <f>IFERROR(__xludf.DUMMYFUNCTION("""COMPUTED_VALUE"""),"retinait_krem_01_50ml")</f>
        <v>retinait_krem_01_50ml</v>
      </c>
      <c r="C362" s="88">
        <f>IFERROR(__xludf.DUMMYFUNCTION("""COMPUTED_VALUE"""),3.043803801E9)</f>
        <v>3043803801</v>
      </c>
      <c r="E362" s="88" t="str">
        <f>IFERROR(__xludf.DUMMYFUNCTION("""COMPUTED_VALUE"""),"Новинка")</f>
        <v>Новинка</v>
      </c>
      <c r="F362" s="88" t="str">
        <f>IFERROR(__xludf.DUMMYFUNCTION("""COMPUTED_VALUE"""),"Олеся")</f>
        <v>Олеся</v>
      </c>
      <c r="P362" s="88">
        <f>IFERROR(__xludf.DUMMYFUNCTION("""COMPUTED_VALUE"""),86.0)</f>
        <v>86</v>
      </c>
      <c r="Q362" s="88" t="str">
        <f>IFERROR(__xludf.DUMMYFUNCTION("""COMPUTED_VALUE"""),"shampun_dlya_rosta_250ml")</f>
        <v>shampun_dlya_rosta_250ml</v>
      </c>
      <c r="R362" s="88">
        <f>IFERROR(__xludf.DUMMYFUNCTION("""COMPUTED_VALUE"""),1.500240551E9)</f>
        <v>1500240551</v>
      </c>
      <c r="T362" s="88" t="str">
        <f>IFERROR(__xludf.DUMMYFUNCTION("""COMPUTED_VALUE"""),"Актуально")</f>
        <v>Актуально</v>
      </c>
      <c r="U362" s="88" t="str">
        <f>IFERROR(__xludf.DUMMYFUNCTION("""COMPUTED_VALUE"""),"Даша")</f>
        <v>Даша</v>
      </c>
    </row>
    <row r="363">
      <c r="A363" s="88">
        <f>IFERROR(__xludf.DUMMYFUNCTION("""COMPUTED_VALUE"""),7.0)</f>
        <v>7</v>
      </c>
      <c r="B363" s="88" t="str">
        <f>IFERROR(__xludf.DUMMYFUNCTION("""COMPUTED_VALUE"""),"wbgetsize1gel2")</f>
        <v>wbgetsize1gel2</v>
      </c>
      <c r="C363" s="88">
        <f>IFERROR(__xludf.DUMMYFUNCTION("""COMPUTED_VALUE"""),2.90029361E8)</f>
        <v>290029361</v>
      </c>
      <c r="E363" s="88" t="str">
        <f>IFERROR(__xludf.DUMMYFUNCTION("""COMPUTED_VALUE"""),"На вывод")</f>
        <v>На вывод</v>
      </c>
      <c r="F363" s="88"/>
      <c r="P363" s="88">
        <f>IFERROR(__xludf.DUMMYFUNCTION("""COMPUTED_VALUE"""),116.0)</f>
        <v>116</v>
      </c>
      <c r="Q363" s="88" t="str">
        <f>IFERROR(__xludf.DUMMYFUNCTION("""COMPUTED_VALUE"""),"syvorotka_dlya_lica_30ml")</f>
        <v>syvorotka_dlya_lica_30ml</v>
      </c>
      <c r="R363" s="88">
        <f>IFERROR(__xludf.DUMMYFUNCTION("""COMPUTED_VALUE"""),1.613771317E9)</f>
        <v>1613771317</v>
      </c>
      <c r="T363" s="88" t="str">
        <f>IFERROR(__xludf.DUMMYFUNCTION("""COMPUTED_VALUE"""),"Актуально")</f>
        <v>Актуально</v>
      </c>
      <c r="U363" s="88" t="str">
        <f>IFERROR(__xludf.DUMMYFUNCTION("""COMPUTED_VALUE"""),"Даша")</f>
        <v>Даша</v>
      </c>
    </row>
    <row r="364">
      <c r="A364" s="88">
        <f>IFERROR(__xludf.DUMMYFUNCTION("""COMPUTED_VALUE"""),22.0)</f>
        <v>22</v>
      </c>
      <c r="B364" s="88" t="str">
        <f>IFERROR(__xludf.DUMMYFUNCTION("""COMPUTED_VALUE"""),"wbvaranga")</f>
        <v>wbvaranga</v>
      </c>
      <c r="C364" s="88">
        <f>IFERROR(__xludf.DUMMYFUNCTION("""COMPUTED_VALUE"""),3.27231451E8)</f>
        <v>327231451</v>
      </c>
      <c r="E364" s="88" t="str">
        <f>IFERROR(__xludf.DUMMYFUNCTION("""COMPUTED_VALUE"""),"На вывод")</f>
        <v>На вывод</v>
      </c>
      <c r="F364" s="88"/>
      <c r="P364" s="88">
        <f>IFERROR(__xludf.DUMMYFUNCTION("""COMPUTED_VALUE"""),123.0)</f>
        <v>123</v>
      </c>
      <c r="Q364" s="88" t="str">
        <f>IFERROR(__xludf.DUMMYFUNCTION("""COMPUTED_VALUE"""),"mycoplax")</f>
        <v>mycoplax</v>
      </c>
      <c r="R364" s="88">
        <f>IFERROR(__xludf.DUMMYFUNCTION("""COMPUTED_VALUE"""),1.691245886E9)</f>
        <v>1691245886</v>
      </c>
      <c r="T364" s="88" t="str">
        <f>IFERROR(__xludf.DUMMYFUNCTION("""COMPUTED_VALUE"""),"Актуально")</f>
        <v>Актуально</v>
      </c>
      <c r="U364" s="88" t="str">
        <f>IFERROR(__xludf.DUMMYFUNCTION("""COMPUTED_VALUE"""),"Даша")</f>
        <v>Даша</v>
      </c>
    </row>
    <row r="365">
      <c r="A365" s="88">
        <f>IFERROR(__xludf.DUMMYFUNCTION("""COMPUTED_VALUE"""),67.0)</f>
        <v>67</v>
      </c>
      <c r="B365" s="88" t="str">
        <f>IFERROR(__xludf.DUMMYFUNCTION("""COMPUTED_VALUE"""),"visitCREAMamarant")</f>
        <v>visitCREAMamarant</v>
      </c>
      <c r="C365" s="88">
        <f>IFERROR(__xludf.DUMMYFUNCTION("""COMPUTED_VALUE"""),1.235751364E9)</f>
        <v>1235751364</v>
      </c>
      <c r="E365" s="88" t="str">
        <f>IFERROR(__xludf.DUMMYFUNCTION("""COMPUTED_VALUE"""),"На вывод")</f>
        <v>На вывод</v>
      </c>
      <c r="F365" s="88"/>
      <c r="P365" s="88">
        <f>IFERROR(__xludf.DUMMYFUNCTION("""COMPUTED_VALUE"""),129.0)</f>
        <v>129</v>
      </c>
      <c r="Q365" s="88" t="str">
        <f>IFERROR(__xludf.DUMMYFUNCTION("""COMPUTED_VALUE"""),"yagodniy_spas")</f>
        <v>yagodniy_spas</v>
      </c>
      <c r="R365" s="88">
        <f>IFERROR(__xludf.DUMMYFUNCTION("""COMPUTED_VALUE"""),1.703614178E9)</f>
        <v>1703614178</v>
      </c>
      <c r="T365" s="88" t="str">
        <f>IFERROR(__xludf.DUMMYFUNCTION("""COMPUTED_VALUE"""),"Актуально")</f>
        <v>Актуально</v>
      </c>
      <c r="U365" s="88" t="str">
        <f>IFERROR(__xludf.DUMMYFUNCTION("""COMPUTED_VALUE"""),"Даша")</f>
        <v>Даша</v>
      </c>
    </row>
    <row r="366">
      <c r="A366" s="88">
        <f>IFERROR(__xludf.DUMMYFUNCTION("""COMPUTED_VALUE"""),183.0)</f>
        <v>183</v>
      </c>
      <c r="B366" s="88" t="str">
        <f>IFERROR(__xludf.DUMMYFUNCTION("""COMPUTED_VALUE"""),"retinait_krem_1_50ml")</f>
        <v>retinait_krem_1_50ml</v>
      </c>
      <c r="C366" s="88">
        <f>IFERROR(__xludf.DUMMYFUNCTION("""COMPUTED_VALUE"""),2.829866449E9)</f>
        <v>2829866449</v>
      </c>
      <c r="E366" s="88" t="str">
        <f>IFERROR(__xludf.DUMMYFUNCTION("""COMPUTED_VALUE"""),"Актуально")</f>
        <v>Актуально</v>
      </c>
      <c r="F366" s="88" t="str">
        <f>IFERROR(__xludf.DUMMYFUNCTION("""COMPUTED_VALUE"""),"Олеся")</f>
        <v>Олеся</v>
      </c>
      <c r="P366" s="88">
        <f>IFERROR(__xludf.DUMMYFUNCTION("""COMPUTED_VALUE"""),112.0)</f>
        <v>112</v>
      </c>
      <c r="Q366" s="88" t="str">
        <f>IFERROR(__xludf.DUMMYFUNCTION("""COMPUTED_VALUE"""),"uhovit")</f>
        <v>uhovit</v>
      </c>
      <c r="R366" s="88">
        <f>IFERROR(__xludf.DUMMYFUNCTION("""COMPUTED_VALUE"""),1.590087137E9)</f>
        <v>1590087137</v>
      </c>
      <c r="T366" s="88" t="str">
        <f>IFERROR(__xludf.DUMMYFUNCTION("""COMPUTED_VALUE"""),"Актуально")</f>
        <v>Актуально</v>
      </c>
      <c r="U366" s="88" t="str">
        <f>IFERROR(__xludf.DUMMYFUNCTION("""COMPUTED_VALUE"""),"Влад")</f>
        <v>Влад</v>
      </c>
    </row>
    <row r="367">
      <c r="A367" s="88">
        <f>IFERROR(__xludf.DUMMYFUNCTION("""COMPUTED_VALUE"""),102.0)</f>
        <v>102</v>
      </c>
      <c r="B367" s="88" t="str">
        <f>IFERROR(__xludf.DUMMYFUNCTION("""COMPUTED_VALUE"""),"kavmaz_60ml")</f>
        <v>kavmaz_60ml</v>
      </c>
      <c r="C367" s="88">
        <f>IFERROR(__xludf.DUMMYFUNCTION("""COMPUTED_VALUE"""),1.548037857E9)</f>
        <v>1548037857</v>
      </c>
      <c r="E367" s="88" t="str">
        <f>IFERROR(__xludf.DUMMYFUNCTION("""COMPUTED_VALUE"""),"Актуально")</f>
        <v>Актуально</v>
      </c>
      <c r="F367" s="88" t="str">
        <f>IFERROR(__xludf.DUMMYFUNCTION("""COMPUTED_VALUE"""),"Олеся")</f>
        <v>Олеся</v>
      </c>
      <c r="P367" s="88">
        <f>IFERROR(__xludf.DUMMYFUNCTION("""COMPUTED_VALUE"""),12.0)</f>
        <v>12</v>
      </c>
      <c r="Q367" s="88" t="str">
        <f>IFERROR(__xludf.DUMMYFUNCTION("""COMPUTED_VALUE"""),"wbmicelix")</f>
        <v>wbmicelix</v>
      </c>
      <c r="R367" s="88">
        <f>IFERROR(__xludf.DUMMYFUNCTION("""COMPUTED_VALUE"""),2.91845947E8)</f>
        <v>291845947</v>
      </c>
      <c r="T367" s="88" t="str">
        <f>IFERROR(__xludf.DUMMYFUNCTION("""COMPUTED_VALUE"""),"Актуально")</f>
        <v>Актуально</v>
      </c>
      <c r="U367" s="88" t="str">
        <f>IFERROR(__xludf.DUMMYFUNCTION("""COMPUTED_VALUE"""),"Даша")</f>
        <v>Даша</v>
      </c>
    </row>
    <row r="368">
      <c r="A368" s="88">
        <f>IFERROR(__xludf.DUMMYFUNCTION("""COMPUTED_VALUE"""),41.0)</f>
        <v>41</v>
      </c>
      <c r="B368" s="88" t="str">
        <f>IFERROR(__xludf.DUMMYFUNCTION("""COMPUTED_VALUE"""),"insulight")</f>
        <v>insulight</v>
      </c>
      <c r="C368" s="88">
        <f>IFERROR(__xludf.DUMMYFUNCTION("""COMPUTED_VALUE"""),7.51246155E8)</f>
        <v>751246155</v>
      </c>
      <c r="E368" s="88" t="str">
        <f>IFERROR(__xludf.DUMMYFUNCTION("""COMPUTED_VALUE"""),"Актуально")</f>
        <v>Актуально</v>
      </c>
      <c r="F368" s="88" t="str">
        <f>IFERROR(__xludf.DUMMYFUNCTION("""COMPUTED_VALUE"""),"Кирилл")</f>
        <v>Кирилл</v>
      </c>
      <c r="P368" s="88">
        <f>IFERROR(__xludf.DUMMYFUNCTION("""COMPUTED_VALUE"""),164.0)</f>
        <v>164</v>
      </c>
      <c r="Q368" s="88" t="str">
        <f>IFERROR(__xludf.DUMMYFUNCTION("""COMPUTED_VALUE"""),"sprei_buster_100ml")</f>
        <v>sprei_buster_100ml</v>
      </c>
      <c r="R368" s="88">
        <f>IFERROR(__xludf.DUMMYFUNCTION("""COMPUTED_VALUE"""),2.138241943E9)</f>
        <v>2138241943</v>
      </c>
      <c r="T368" s="88" t="str">
        <f>IFERROR(__xludf.DUMMYFUNCTION("""COMPUTED_VALUE"""),"Актуально")</f>
        <v>Актуально</v>
      </c>
      <c r="U368" s="88" t="str">
        <f>IFERROR(__xludf.DUMMYFUNCTION("""COMPUTED_VALUE"""),"Даша")</f>
        <v>Даша</v>
      </c>
    </row>
    <row r="369">
      <c r="A369" s="88">
        <f>IFERROR(__xludf.DUMMYFUNCTION("""COMPUTED_VALUE"""),184.0)</f>
        <v>184</v>
      </c>
      <c r="B369" s="88" t="str">
        <f>IFERROR(__xludf.DUMMYFUNCTION("""COMPUTED_VALUE"""),"retinait_krem_025_50ml")</f>
        <v>retinait_krem_025_50ml</v>
      </c>
      <c r="C369" s="88">
        <f>IFERROR(__xludf.DUMMYFUNCTION("""COMPUTED_VALUE"""),2.830096367E9)</f>
        <v>2830096367</v>
      </c>
      <c r="E369" s="88" t="str">
        <f>IFERROR(__xludf.DUMMYFUNCTION("""COMPUTED_VALUE"""),"Актуально")</f>
        <v>Актуально</v>
      </c>
      <c r="F369" s="88" t="str">
        <f>IFERROR(__xludf.DUMMYFUNCTION("""COMPUTED_VALUE"""),"Олеся")</f>
        <v>Олеся</v>
      </c>
      <c r="P369" s="88">
        <f>IFERROR(__xludf.DUMMYFUNCTION("""COMPUTED_VALUE"""),140.0)</f>
        <v>140</v>
      </c>
      <c r="Q369" s="88" t="str">
        <f>IFERROR(__xludf.DUMMYFUNCTION("""COMPUTED_VALUE"""),"kavmaz_40ml_1_1")</f>
        <v>kavmaz_40ml_1_1</v>
      </c>
      <c r="R369" s="88">
        <f>IFERROR(__xludf.DUMMYFUNCTION("""COMPUTED_VALUE"""),1.792793774E9)</f>
        <v>1792793774</v>
      </c>
      <c r="T369" s="88" t="str">
        <f>IFERROR(__xludf.DUMMYFUNCTION("""COMPUTED_VALUE"""),"Актуально")</f>
        <v>Актуально</v>
      </c>
      <c r="U369" s="88" t="str">
        <f>IFERROR(__xludf.DUMMYFUNCTION("""COMPUTED_VALUE"""),"Влад")</f>
        <v>Влад</v>
      </c>
    </row>
    <row r="370">
      <c r="A370" s="88">
        <f>IFERROR(__xludf.DUMMYFUNCTION("""COMPUTED_VALUE"""),144.0)</f>
        <v>144</v>
      </c>
      <c r="B370" s="88" t="str">
        <f>IFERROR(__xludf.DUMMYFUNCTION("""COMPUTED_VALUE"""),"krovavii_piling_30ml")</f>
        <v>krovavii_piling_30ml</v>
      </c>
      <c r="C370" s="88">
        <f>IFERROR(__xludf.DUMMYFUNCTION("""COMPUTED_VALUE"""),1.80607945E9)</f>
        <v>1806079450</v>
      </c>
      <c r="E370" s="88" t="str">
        <f>IFERROR(__xludf.DUMMYFUNCTION("""COMPUTED_VALUE"""),"Актуально")</f>
        <v>Актуально</v>
      </c>
      <c r="F370" s="88" t="str">
        <f>IFERROR(__xludf.DUMMYFUNCTION("""COMPUTED_VALUE"""),"Олеся")</f>
        <v>Олеся</v>
      </c>
      <c r="P370" s="88">
        <f>IFERROR(__xludf.DUMMYFUNCTION("""COMPUTED_VALUE"""),184.0)</f>
        <v>184</v>
      </c>
      <c r="Q370" s="88" t="str">
        <f>IFERROR(__xludf.DUMMYFUNCTION("""COMPUTED_VALUE"""),"retinait_krem_025_50ml")</f>
        <v>retinait_krem_025_50ml</v>
      </c>
      <c r="R370" s="88">
        <f>IFERROR(__xludf.DUMMYFUNCTION("""COMPUTED_VALUE"""),2.830096367E9)</f>
        <v>2830096367</v>
      </c>
      <c r="T370" s="88" t="str">
        <f>IFERROR(__xludf.DUMMYFUNCTION("""COMPUTED_VALUE"""),"Актуально")</f>
        <v>Актуально</v>
      </c>
      <c r="U370" s="88" t="str">
        <f>IFERROR(__xludf.DUMMYFUNCTION("""COMPUTED_VALUE"""),"Даша")</f>
        <v>Даша</v>
      </c>
    </row>
    <row r="371">
      <c r="A371" s="88">
        <f>IFERROR(__xludf.DUMMYFUNCTION("""COMPUTED_VALUE"""),89.0)</f>
        <v>89</v>
      </c>
      <c r="B371" s="88" t="str">
        <f>IFERROR(__xludf.DUMMYFUNCTION("""COMPUTED_VALUE"""),"kavmaz")</f>
        <v>kavmaz</v>
      </c>
      <c r="C371" s="88">
        <f>IFERROR(__xludf.DUMMYFUNCTION("""COMPUTED_VALUE"""),1.527086051E9)</f>
        <v>1527086051</v>
      </c>
      <c r="E371" s="88" t="str">
        <f>IFERROR(__xludf.DUMMYFUNCTION("""COMPUTED_VALUE"""),"Актуально")</f>
        <v>Актуально</v>
      </c>
      <c r="F371" s="88" t="str">
        <f>IFERROR(__xludf.DUMMYFUNCTION("""COMPUTED_VALUE"""),"Олеся")</f>
        <v>Олеся</v>
      </c>
      <c r="P371" s="88">
        <f>IFERROR(__xludf.DUMMYFUNCTION("""COMPUTED_VALUE"""),187.0)</f>
        <v>187</v>
      </c>
      <c r="Q371" s="88" t="str">
        <f>IFERROR(__xludf.DUMMYFUNCTION("""COMPUTED_VALUE"""),"retinait_krem_05_50ml")</f>
        <v>retinait_krem_05_50ml</v>
      </c>
      <c r="R371" s="88">
        <f>IFERROR(__xludf.DUMMYFUNCTION("""COMPUTED_VALUE"""),2.937061626E9)</f>
        <v>2937061626</v>
      </c>
      <c r="T371" s="88" t="str">
        <f>IFERROR(__xludf.DUMMYFUNCTION("""COMPUTED_VALUE"""),"Актуально")</f>
        <v>Актуально</v>
      </c>
      <c r="U371" s="88" t="str">
        <f>IFERROR(__xludf.DUMMYFUNCTION("""COMPUTED_VALUE"""),"Даша")</f>
        <v>Даша</v>
      </c>
    </row>
    <row r="372">
      <c r="A372" s="88">
        <f>IFERROR(__xludf.DUMMYFUNCTION("""COMPUTED_VALUE"""),90.0)</f>
        <v>90</v>
      </c>
      <c r="B372" s="88" t="str">
        <f>IFERROR(__xludf.DUMMYFUNCTION("""COMPUTED_VALUE"""),"kavmaz")</f>
        <v>kavmaz</v>
      </c>
      <c r="C372" s="88">
        <f>IFERROR(__xludf.DUMMYFUNCTION("""COMPUTED_VALUE"""),2.031274296E9)</f>
        <v>2031274296</v>
      </c>
      <c r="E372" s="88" t="str">
        <f>IFERROR(__xludf.DUMMYFUNCTION("""COMPUTED_VALUE"""),"Под вопросом")</f>
        <v>Под вопросом</v>
      </c>
      <c r="F372" s="88" t="str">
        <f>IFERROR(__xludf.DUMMYFUNCTION("""COMPUTED_VALUE"""),"Олеся")</f>
        <v>Олеся</v>
      </c>
      <c r="P372" s="88">
        <f>IFERROR(__xludf.DUMMYFUNCTION("""COMPUTED_VALUE"""),169.0)</f>
        <v>169</v>
      </c>
      <c r="Q372" s="88" t="str">
        <f>IFERROR(__xludf.DUMMYFUNCTION("""COMPUTED_VALUE"""),"telomeras_60caps")</f>
        <v>telomeras_60caps</v>
      </c>
      <c r="R372" s="88">
        <f>IFERROR(__xludf.DUMMYFUNCTION("""COMPUTED_VALUE"""),2.498032276E9)</f>
        <v>2498032276</v>
      </c>
      <c r="T372" s="88" t="str">
        <f>IFERROR(__xludf.DUMMYFUNCTION("""COMPUTED_VALUE"""),"Актуально")</f>
        <v>Актуально</v>
      </c>
      <c r="U372" s="88" t="str">
        <f>IFERROR(__xludf.DUMMYFUNCTION("""COMPUTED_VALUE"""),"Даша")</f>
        <v>Даша</v>
      </c>
    </row>
    <row r="373">
      <c r="A373" s="88">
        <f>IFERROR(__xludf.DUMMYFUNCTION("""COMPUTED_VALUE"""),129.0)</f>
        <v>129</v>
      </c>
      <c r="B373" s="88" t="str">
        <f>IFERROR(__xludf.DUMMYFUNCTION("""COMPUTED_VALUE"""),"yagodniy_spas")</f>
        <v>yagodniy_spas</v>
      </c>
      <c r="C373" s="88">
        <f>IFERROR(__xludf.DUMMYFUNCTION("""COMPUTED_VALUE"""),1.703614178E9)</f>
        <v>1703614178</v>
      </c>
      <c r="E373" s="88" t="str">
        <f>IFERROR(__xludf.DUMMYFUNCTION("""COMPUTED_VALUE"""),"Актуально")</f>
        <v>Актуально</v>
      </c>
      <c r="F373" s="88" t="str">
        <f>IFERROR(__xludf.DUMMYFUNCTION("""COMPUTED_VALUE"""),"Кирилл")</f>
        <v>Кирилл</v>
      </c>
      <c r="P373" s="88">
        <f>IFERROR(__xludf.DUMMYFUNCTION("""COMPUTED_VALUE"""),155.0)</f>
        <v>155</v>
      </c>
      <c r="Q373" s="88" t="str">
        <f>IFERROR(__xludf.DUMMYFUNCTION("""COMPUTED_VALUE"""),"maska_dlya_lica_100ml")</f>
        <v>maska_dlya_lica_100ml</v>
      </c>
      <c r="R373" s="88">
        <f>IFERROR(__xludf.DUMMYFUNCTION("""COMPUTED_VALUE"""),2.015306117E9)</f>
        <v>2015306117</v>
      </c>
      <c r="T373" s="88" t="str">
        <f>IFERROR(__xludf.DUMMYFUNCTION("""COMPUTED_VALUE"""),"Актуально")</f>
        <v>Актуально</v>
      </c>
      <c r="U373" s="88" t="str">
        <f>IFERROR(__xludf.DUMMYFUNCTION("""COMPUTED_VALUE"""),"Даша")</f>
        <v>Даша</v>
      </c>
    </row>
    <row r="374">
      <c r="A374" s="88">
        <f>IFERROR(__xludf.DUMMYFUNCTION("""COMPUTED_VALUE"""),177.0)</f>
        <v>177</v>
      </c>
      <c r="B374" s="88" t="str">
        <f>IFERROR(__xludf.DUMMYFUNCTION("""COMPUTED_VALUE"""),"arterol_1_1_1")</f>
        <v>arterol_1_1_1</v>
      </c>
      <c r="C374" s="88">
        <f>IFERROR(__xludf.DUMMYFUNCTION("""COMPUTED_VALUE"""),2.82507871E9)</f>
        <v>2825078710</v>
      </c>
      <c r="E374" s="88" t="str">
        <f>IFERROR(__xludf.DUMMYFUNCTION("""COMPUTED_VALUE"""),"Актуально")</f>
        <v>Актуально</v>
      </c>
      <c r="F374" s="88" t="str">
        <f>IFERROR(__xludf.DUMMYFUNCTION("""COMPUTED_VALUE"""),"Кирилл")</f>
        <v>Кирилл</v>
      </c>
      <c r="P374" s="88">
        <f>IFERROR(__xludf.DUMMYFUNCTION("""COMPUTED_VALUE"""),174.0)</f>
        <v>174</v>
      </c>
      <c r="Q374" s="88" t="str">
        <f>IFERROR(__xludf.DUMMYFUNCTION("""COMPUTED_VALUE"""),"retinait_syvorotka_1_30ml")</f>
        <v>retinait_syvorotka_1_30ml</v>
      </c>
      <c r="R374" s="88">
        <f>IFERROR(__xludf.DUMMYFUNCTION("""COMPUTED_VALUE"""),2.583177512E9)</f>
        <v>2583177512</v>
      </c>
      <c r="T374" s="88" t="str">
        <f>IFERROR(__xludf.DUMMYFUNCTION("""COMPUTED_VALUE"""),"Актуально")</f>
        <v>Актуально</v>
      </c>
      <c r="U374" s="88" t="str">
        <f>IFERROR(__xludf.DUMMYFUNCTION("""COMPUTED_VALUE"""),"Даша")</f>
        <v>Даша</v>
      </c>
    </row>
    <row r="375">
      <c r="A375" s="88">
        <f>IFERROR(__xludf.DUMMYFUNCTION("""COMPUTED_VALUE"""),94.0)</f>
        <v>94</v>
      </c>
      <c r="B375" s="88" t="str">
        <f>IFERROR(__xludf.DUMMYFUNCTION("""COMPUTED_VALUE"""),"arterol")</f>
        <v>arterol</v>
      </c>
      <c r="C375" s="88">
        <f>IFERROR(__xludf.DUMMYFUNCTION("""COMPUTED_VALUE"""),1.528107368E9)</f>
        <v>1528107368</v>
      </c>
      <c r="E375" s="88" t="str">
        <f>IFERROR(__xludf.DUMMYFUNCTION("""COMPUTED_VALUE"""),"Актуально")</f>
        <v>Актуально</v>
      </c>
      <c r="F375" s="88" t="str">
        <f>IFERROR(__xludf.DUMMYFUNCTION("""COMPUTED_VALUE"""),"Кирилл")</f>
        <v>Кирилл</v>
      </c>
      <c r="P375" s="88">
        <f>IFERROR(__xludf.DUMMYFUNCTION("""COMPUTED_VALUE"""),165.0)</f>
        <v>165</v>
      </c>
      <c r="Q375" s="88" t="str">
        <f>IFERROR(__xludf.DUMMYFUNCTION("""COMPUTED_VALUE"""),"krem_buster_250ml")</f>
        <v>krem_buster_250ml</v>
      </c>
      <c r="R375" s="88">
        <f>IFERROR(__xludf.DUMMYFUNCTION("""COMPUTED_VALUE"""),2.138376665E9)</f>
        <v>2138376665</v>
      </c>
      <c r="T375" s="88" t="str">
        <f>IFERROR(__xludf.DUMMYFUNCTION("""COMPUTED_VALUE"""),"Актуально")</f>
        <v>Актуально</v>
      </c>
      <c r="U375" s="88" t="str">
        <f>IFERROR(__xludf.DUMMYFUNCTION("""COMPUTED_VALUE"""),"Даша")</f>
        <v>Даша</v>
      </c>
    </row>
    <row r="376">
      <c r="A376" s="88">
        <f>IFERROR(__xludf.DUMMYFUNCTION("""COMPUTED_VALUE"""),95.0)</f>
        <v>95</v>
      </c>
      <c r="B376" s="88" t="str">
        <f>IFERROR(__xludf.DUMMYFUNCTION("""COMPUTED_VALUE"""),"arterol")</f>
        <v>arterol</v>
      </c>
      <c r="C376" s="88">
        <f>IFERROR(__xludf.DUMMYFUNCTION("""COMPUTED_VALUE"""),2.03124831E9)</f>
        <v>2031248310</v>
      </c>
      <c r="E376" s="88" t="str">
        <f>IFERROR(__xludf.DUMMYFUNCTION("""COMPUTED_VALUE"""),"Актуально")</f>
        <v>Актуально</v>
      </c>
      <c r="F376" s="88" t="str">
        <f>IFERROR(__xludf.DUMMYFUNCTION("""COMPUTED_VALUE"""),"Кирилл")</f>
        <v>Кирилл</v>
      </c>
      <c r="P376" s="88">
        <f>IFERROR(__xludf.DUMMYFUNCTION("""COMPUTED_VALUE"""),175.0)</f>
        <v>175</v>
      </c>
      <c r="Q376" s="88" t="str">
        <f>IFERROR(__xludf.DUMMYFUNCTION("""COMPUTED_VALUE"""),"gel_antiakne_20ml_v2")</f>
        <v>gel_antiakne_20ml_v2</v>
      </c>
      <c r="R376" s="88">
        <f>IFERROR(__xludf.DUMMYFUNCTION("""COMPUTED_VALUE"""),2.616859755E9)</f>
        <v>2616859755</v>
      </c>
      <c r="T376" s="88" t="str">
        <f>IFERROR(__xludf.DUMMYFUNCTION("""COMPUTED_VALUE"""),"Актуально")</f>
        <v>Актуально</v>
      </c>
      <c r="U376" s="88" t="str">
        <f>IFERROR(__xludf.DUMMYFUNCTION("""COMPUTED_VALUE"""),"Даша")</f>
        <v>Даша</v>
      </c>
    </row>
    <row r="377">
      <c r="A377" s="88">
        <f>IFERROR(__xludf.DUMMYFUNCTION("""COMPUTED_VALUE"""),56.0)</f>
        <v>56</v>
      </c>
      <c r="B377" s="88" t="str">
        <f>IFERROR(__xludf.DUMMYFUNCTION("""COMPUTED_VALUE"""),"kardicin_1_1_1")</f>
        <v>kardicin_1_1_1</v>
      </c>
      <c r="C377" s="88">
        <f>IFERROR(__xludf.DUMMYFUNCTION("""COMPUTED_VALUE"""),1.12930106E9)</f>
        <v>1129301060</v>
      </c>
      <c r="E377" s="88" t="str">
        <f>IFERROR(__xludf.DUMMYFUNCTION("""COMPUTED_VALUE"""),"Актуально")</f>
        <v>Актуально</v>
      </c>
      <c r="F377" s="88" t="str">
        <f>IFERROR(__xludf.DUMMYFUNCTION("""COMPUTED_VALUE"""),"Кирилл")</f>
        <v>Кирилл</v>
      </c>
      <c r="P377" s="88">
        <f>IFERROR(__xludf.DUMMYFUNCTION("""COMPUTED_VALUE"""),80.0)</f>
        <v>80</v>
      </c>
      <c r="Q377" s="88" t="str">
        <f>IFERROR(__xludf.DUMMYFUNCTION("""COMPUTED_VALUE"""),"sustalit_75ml")</f>
        <v>sustalit_75ml</v>
      </c>
      <c r="R377" s="88">
        <f>IFERROR(__xludf.DUMMYFUNCTION("""COMPUTED_VALUE"""),1.354226463E9)</f>
        <v>1354226463</v>
      </c>
      <c r="T377" s="88" t="str">
        <f>IFERROR(__xludf.DUMMYFUNCTION("""COMPUTED_VALUE"""),"Актуально")</f>
        <v>Актуально</v>
      </c>
      <c r="U377" s="88" t="str">
        <f>IFERROR(__xludf.DUMMYFUNCTION("""COMPUTED_VALUE"""),"Влад")</f>
        <v>Влад</v>
      </c>
    </row>
    <row r="378">
      <c r="A378" s="88">
        <f>IFERROR(__xludf.DUMMYFUNCTION("""COMPUTED_VALUE"""),159.0)</f>
        <v>159</v>
      </c>
      <c r="B378" s="88" t="str">
        <f>IFERROR(__xludf.DUMMYFUNCTION("""COMPUTED_VALUE"""),"curly_method_300ml")</f>
        <v>curly_method_300ml</v>
      </c>
      <c r="C378" s="88">
        <f>IFERROR(__xludf.DUMMYFUNCTION("""COMPUTED_VALUE"""),2.067943215E9)</f>
        <v>2067943215</v>
      </c>
      <c r="E378" s="88" t="str">
        <f>IFERROR(__xludf.DUMMYFUNCTION("""COMPUTED_VALUE"""),"Актуально")</f>
        <v>Актуально</v>
      </c>
      <c r="F378" s="88" t="str">
        <f>IFERROR(__xludf.DUMMYFUNCTION("""COMPUTED_VALUE"""),"Олеся")</f>
        <v>Олеся</v>
      </c>
      <c r="P378" s="88">
        <f>IFERROR(__xludf.DUMMYFUNCTION("""COMPUTED_VALUE"""),56.0)</f>
        <v>56</v>
      </c>
      <c r="Q378" s="88" t="str">
        <f>IFERROR(__xludf.DUMMYFUNCTION("""COMPUTED_VALUE"""),"kardicin_1_1_1")</f>
        <v>kardicin_1_1_1</v>
      </c>
      <c r="R378" s="88">
        <f>IFERROR(__xludf.DUMMYFUNCTION("""COMPUTED_VALUE"""),1.12930106E9)</f>
        <v>1129301060</v>
      </c>
      <c r="T378" s="88" t="str">
        <f>IFERROR(__xludf.DUMMYFUNCTION("""COMPUTED_VALUE"""),"Актуально")</f>
        <v>Актуально</v>
      </c>
      <c r="U378" s="88" t="str">
        <f>IFERROR(__xludf.DUMMYFUNCTION("""COMPUTED_VALUE"""),"Влад")</f>
        <v>Влад</v>
      </c>
    </row>
    <row r="379">
      <c r="A379" s="88">
        <f>IFERROR(__xludf.DUMMYFUNCTION("""COMPUTED_VALUE"""),174.0)</f>
        <v>174</v>
      </c>
      <c r="B379" s="88" t="str">
        <f>IFERROR(__xludf.DUMMYFUNCTION("""COMPUTED_VALUE"""),"retinait_syvorotka_1_30ml")</f>
        <v>retinait_syvorotka_1_30ml</v>
      </c>
      <c r="C379" s="88">
        <f>IFERROR(__xludf.DUMMYFUNCTION("""COMPUTED_VALUE"""),2.583177512E9)</f>
        <v>2583177512</v>
      </c>
      <c r="E379" s="88" t="str">
        <f>IFERROR(__xludf.DUMMYFUNCTION("""COMPUTED_VALUE"""),"Актуально")</f>
        <v>Актуально</v>
      </c>
      <c r="F379" s="88" t="str">
        <f>IFERROR(__xludf.DUMMYFUNCTION("""COMPUTED_VALUE"""),"Олеся")</f>
        <v>Олеся</v>
      </c>
      <c r="P379" s="88">
        <f>IFERROR(__xludf.DUMMYFUNCTION("""COMPUTED_VALUE"""),102.0)</f>
        <v>102</v>
      </c>
      <c r="Q379" s="88" t="str">
        <f>IFERROR(__xludf.DUMMYFUNCTION("""COMPUTED_VALUE"""),"kavmaz_60ml")</f>
        <v>kavmaz_60ml</v>
      </c>
      <c r="R379" s="88">
        <f>IFERROR(__xludf.DUMMYFUNCTION("""COMPUTED_VALUE"""),1.548037857E9)</f>
        <v>1548037857</v>
      </c>
      <c r="T379" s="88" t="str">
        <f>IFERROR(__xludf.DUMMYFUNCTION("""COMPUTED_VALUE"""),"Актуально")</f>
        <v>Актуально</v>
      </c>
      <c r="U379" s="88" t="str">
        <f>IFERROR(__xludf.DUMMYFUNCTION("""COMPUTED_VALUE"""),"Влад")</f>
        <v>Влад</v>
      </c>
    </row>
    <row r="380">
      <c r="A380" s="88">
        <f>IFERROR(__xludf.DUMMYFUNCTION("""COMPUTED_VALUE"""),86.0)</f>
        <v>86</v>
      </c>
      <c r="B380" s="88" t="str">
        <f>IFERROR(__xludf.DUMMYFUNCTION("""COMPUTED_VALUE"""),"shampun_dlya_rosta_250ml")</f>
        <v>shampun_dlya_rosta_250ml</v>
      </c>
      <c r="C380" s="88">
        <f>IFERROR(__xludf.DUMMYFUNCTION("""COMPUTED_VALUE"""),1.500240551E9)</f>
        <v>1500240551</v>
      </c>
      <c r="E380" s="88" t="str">
        <f>IFERROR(__xludf.DUMMYFUNCTION("""COMPUTED_VALUE"""),"Актуально")</f>
        <v>Актуально</v>
      </c>
      <c r="F380" s="88" t="str">
        <f>IFERROR(__xludf.DUMMYFUNCTION("""COMPUTED_VALUE"""),"Олеся")</f>
        <v>Олеся</v>
      </c>
      <c r="P380" s="88">
        <f>IFERROR(__xludf.DUMMYFUNCTION("""COMPUTED_VALUE"""),62.0)</f>
        <v>62</v>
      </c>
      <c r="Q380" s="88" t="str">
        <f>IFERROR(__xludf.DUMMYFUNCTION("""COMPUTED_VALUE"""),"cardicin_BAD_60caps")</f>
        <v>cardicin_BAD_60caps</v>
      </c>
      <c r="R380" s="88">
        <f>IFERROR(__xludf.DUMMYFUNCTION("""COMPUTED_VALUE"""),1.171930661E9)</f>
        <v>1171930661</v>
      </c>
      <c r="T380" s="88" t="str">
        <f>IFERROR(__xludf.DUMMYFUNCTION("""COMPUTED_VALUE"""),"Актуально")</f>
        <v>Актуально</v>
      </c>
      <c r="U380" s="88" t="str">
        <f>IFERROR(__xludf.DUMMYFUNCTION("""COMPUTED_VALUE"""),"Влад")</f>
        <v>Влад</v>
      </c>
    </row>
    <row r="381">
      <c r="A381" s="88">
        <f>IFERROR(__xludf.DUMMYFUNCTION("""COMPUTED_VALUE"""),152.0)</f>
        <v>152</v>
      </c>
      <c r="B381" s="88" t="str">
        <f>IFERROR(__xludf.DUMMYFUNCTION("""COMPUTED_VALUE"""),"yagodniy_spas_1_1")</f>
        <v>yagodniy_spas_1_1</v>
      </c>
      <c r="C381" s="88">
        <f>IFERROR(__xludf.DUMMYFUNCTION("""COMPUTED_VALUE"""),1.884227964E9)</f>
        <v>1884227964</v>
      </c>
      <c r="E381" s="88" t="str">
        <f>IFERROR(__xludf.DUMMYFUNCTION("""COMPUTED_VALUE"""),"Актуально")</f>
        <v>Актуально</v>
      </c>
      <c r="F381" s="88" t="str">
        <f>IFERROR(__xludf.DUMMYFUNCTION("""COMPUTED_VALUE"""),"Кирилл")</f>
        <v>Кирилл</v>
      </c>
      <c r="P381" s="88">
        <f>IFERROR(__xludf.DUMMYFUNCTION("""COMPUTED_VALUE"""),115.0)</f>
        <v>115</v>
      </c>
      <c r="Q381" s="88" t="str">
        <f>IFERROR(__xludf.DUMMYFUNCTION("""COMPUTED_VALUE"""),"maslo_dlya_borodi_50ml")</f>
        <v>maslo_dlya_borodi_50ml</v>
      </c>
      <c r="R381" s="88">
        <f>IFERROR(__xludf.DUMMYFUNCTION("""COMPUTED_VALUE"""),1.613737006E9)</f>
        <v>1613737006</v>
      </c>
      <c r="T381" s="88" t="str">
        <f>IFERROR(__xludf.DUMMYFUNCTION("""COMPUTED_VALUE"""),"Актуально")</f>
        <v>Актуально</v>
      </c>
      <c r="U381" s="88" t="str">
        <f>IFERROR(__xludf.DUMMYFUNCTION("""COMPUTED_VALUE"""),"Влад")</f>
        <v>Влад</v>
      </c>
    </row>
    <row r="382">
      <c r="A382" s="88">
        <f>IFERROR(__xludf.DUMMYFUNCTION("""COMPUTED_VALUE"""),112.0)</f>
        <v>112</v>
      </c>
      <c r="B382" s="88" t="str">
        <f>IFERROR(__xludf.DUMMYFUNCTION("""COMPUTED_VALUE"""),"uhovit")</f>
        <v>uhovit</v>
      </c>
      <c r="C382" s="88">
        <f>IFERROR(__xludf.DUMMYFUNCTION("""COMPUTED_VALUE"""),1.590087137E9)</f>
        <v>1590087137</v>
      </c>
      <c r="E382" s="88" t="str">
        <f>IFERROR(__xludf.DUMMYFUNCTION("""COMPUTED_VALUE"""),"Актуально")</f>
        <v>Актуально</v>
      </c>
      <c r="F382" s="88" t="str">
        <f>IFERROR(__xludf.DUMMYFUNCTION("""COMPUTED_VALUE"""),"Кирилл")</f>
        <v>Кирилл</v>
      </c>
      <c r="P382" s="88">
        <f>IFERROR(__xludf.DUMMYFUNCTION("""COMPUTED_VALUE"""),149.0)</f>
        <v>149</v>
      </c>
      <c r="Q382" s="88" t="str">
        <f>IFERROR(__xludf.DUMMYFUNCTION("""COMPUTED_VALUE"""),"kinzhal_1_1")</f>
        <v>kinzhal_1_1</v>
      </c>
      <c r="R382" s="88">
        <f>IFERROR(__xludf.DUMMYFUNCTION("""COMPUTED_VALUE"""),1.851900175E9)</f>
        <v>1851900175</v>
      </c>
      <c r="T382" s="88" t="str">
        <f>IFERROR(__xludf.DUMMYFUNCTION("""COMPUTED_VALUE"""),"Актуально")</f>
        <v>Актуально</v>
      </c>
      <c r="U382" s="88" t="str">
        <f>IFERROR(__xludf.DUMMYFUNCTION("""COMPUTED_VALUE"""),"Влад")</f>
        <v>Влад</v>
      </c>
    </row>
    <row r="383">
      <c r="A383" s="88">
        <f>IFERROR(__xludf.DUMMYFUNCTION("""COMPUTED_VALUE"""),123.0)</f>
        <v>123</v>
      </c>
      <c r="B383" s="88" t="str">
        <f>IFERROR(__xludf.DUMMYFUNCTION("""COMPUTED_VALUE"""),"mycoplax")</f>
        <v>mycoplax</v>
      </c>
      <c r="C383" s="88">
        <f>IFERROR(__xludf.DUMMYFUNCTION("""COMPUTED_VALUE"""),1.691245886E9)</f>
        <v>1691245886</v>
      </c>
      <c r="E383" s="88" t="str">
        <f>IFERROR(__xludf.DUMMYFUNCTION("""COMPUTED_VALUE"""),"Актуально")</f>
        <v>Актуально</v>
      </c>
      <c r="F383" s="88" t="str">
        <f>IFERROR(__xludf.DUMMYFUNCTION("""COMPUTED_VALUE"""),"Олеся")</f>
        <v>Олеся</v>
      </c>
      <c r="P383" s="88">
        <f>IFERROR(__xludf.DUMMYFUNCTION("""COMPUTED_VALUE"""),54.0)</f>
        <v>54</v>
      </c>
      <c r="Q383" s="88" t="str">
        <f>IFERROR(__xludf.DUMMYFUNCTION("""COMPUTED_VALUE"""),"micardin_1_1_1")</f>
        <v>micardin_1_1_1</v>
      </c>
      <c r="R383" s="88">
        <f>IFERROR(__xludf.DUMMYFUNCTION("""COMPUTED_VALUE"""),1.129297876E9)</f>
        <v>1129297876</v>
      </c>
      <c r="T383" s="88" t="str">
        <f>IFERROR(__xludf.DUMMYFUNCTION("""COMPUTED_VALUE"""),"Актуально")</f>
        <v>Актуально</v>
      </c>
      <c r="U383" s="88" t="str">
        <f>IFERROR(__xludf.DUMMYFUNCTION("""COMPUTED_VALUE"""),"Влад")</f>
        <v>Влад</v>
      </c>
    </row>
    <row r="384">
      <c r="A384" s="88">
        <f>IFERROR(__xludf.DUMMYFUNCTION("""COMPUTED_VALUE"""),124.0)</f>
        <v>124</v>
      </c>
      <c r="B384" s="88" t="str">
        <f>IFERROR(__xludf.DUMMYFUNCTION("""COMPUTED_VALUE"""),"mycoplax")</f>
        <v>mycoplax</v>
      </c>
      <c r="C384" s="88">
        <f>IFERROR(__xludf.DUMMYFUNCTION("""COMPUTED_VALUE"""),2.202472605E9)</f>
        <v>2202472605</v>
      </c>
      <c r="E384" s="88" t="str">
        <f>IFERROR(__xludf.DUMMYFUNCTION("""COMPUTED_VALUE"""),"Под вопросом")</f>
        <v>Под вопросом</v>
      </c>
      <c r="F384" s="88" t="str">
        <f>IFERROR(__xludf.DUMMYFUNCTION("""COMPUTED_VALUE"""),"Олеся")</f>
        <v>Олеся</v>
      </c>
      <c r="P384" s="88">
        <f>IFERROR(__xludf.DUMMYFUNCTION("""COMPUTED_VALUE"""),167.0)</f>
        <v>167</v>
      </c>
      <c r="Q384" s="88" t="str">
        <f>IFERROR(__xludf.DUMMYFUNCTION("""COMPUTED_VALUE"""),"syvorotka_dlya_rosta_6ml_v2")</f>
        <v>syvorotka_dlya_rosta_6ml_v2</v>
      </c>
      <c r="R384" s="88">
        <f>IFERROR(__xludf.DUMMYFUNCTION("""COMPUTED_VALUE"""),2.3969724E9)</f>
        <v>2396972400</v>
      </c>
      <c r="T384" s="88" t="str">
        <f>IFERROR(__xludf.DUMMYFUNCTION("""COMPUTED_VALUE"""),"Актуально")</f>
        <v>Актуально</v>
      </c>
      <c r="U384" s="88" t="str">
        <f>IFERROR(__xludf.DUMMYFUNCTION("""COMPUTED_VALUE"""),"Даша")</f>
        <v>Даша</v>
      </c>
    </row>
    <row r="385">
      <c r="A385" s="88">
        <f>IFERROR(__xludf.DUMMYFUNCTION("""COMPUTED_VALUE"""),110.0)</f>
        <v>110</v>
      </c>
      <c r="B385" s="88" t="str">
        <f>IFERROR(__xludf.DUMMYFUNCTION("""COMPUTED_VALUE"""),"ekzifol")</f>
        <v>ekzifol</v>
      </c>
      <c r="C385" s="88">
        <f>IFERROR(__xludf.DUMMYFUNCTION("""COMPUTED_VALUE"""),1.590039392E9)</f>
        <v>1590039392</v>
      </c>
      <c r="E385" s="88" t="str">
        <f>IFERROR(__xludf.DUMMYFUNCTION("""COMPUTED_VALUE"""),"Актуально")</f>
        <v>Актуально</v>
      </c>
      <c r="F385" s="88" t="str">
        <f>IFERROR(__xludf.DUMMYFUNCTION("""COMPUTED_VALUE"""),"Олеся")</f>
        <v>Олеся</v>
      </c>
      <c r="P385" s="88">
        <f>IFERROR(__xludf.DUMMYFUNCTION("""COMPUTED_VALUE"""),159.0)</f>
        <v>159</v>
      </c>
      <c r="Q385" s="88" t="str">
        <f>IFERROR(__xludf.DUMMYFUNCTION("""COMPUTED_VALUE"""),"curly_method_300ml")</f>
        <v>curly_method_300ml</v>
      </c>
      <c r="R385" s="88">
        <f>IFERROR(__xludf.DUMMYFUNCTION("""COMPUTED_VALUE"""),2.067943215E9)</f>
        <v>2067943215</v>
      </c>
      <c r="T385" s="88" t="str">
        <f>IFERROR(__xludf.DUMMYFUNCTION("""COMPUTED_VALUE"""),"Актуально")</f>
        <v>Актуально</v>
      </c>
      <c r="U385" s="88" t="str">
        <f>IFERROR(__xludf.DUMMYFUNCTION("""COMPUTED_VALUE"""),"Даша")</f>
        <v>Даша</v>
      </c>
    </row>
    <row r="386">
      <c r="A386" s="88">
        <f>IFERROR(__xludf.DUMMYFUNCTION("""COMPUTED_VALUE"""),151.0)</f>
        <v>151</v>
      </c>
      <c r="B386" s="88" t="str">
        <f>IFERROR(__xludf.DUMMYFUNCTION("""COMPUTED_VALUE"""),"solevoy_sprei_200ml")</f>
        <v>solevoy_sprei_200ml</v>
      </c>
      <c r="C386" s="88">
        <f>IFERROR(__xludf.DUMMYFUNCTION("""COMPUTED_VALUE"""),1.860164273E9)</f>
        <v>1860164273</v>
      </c>
      <c r="E386" s="88" t="str">
        <f>IFERROR(__xludf.DUMMYFUNCTION("""COMPUTED_VALUE"""),"Актуально")</f>
        <v>Актуально</v>
      </c>
      <c r="F386" s="88" t="str">
        <f>IFERROR(__xludf.DUMMYFUNCTION("""COMPUTED_VALUE"""),"Мария")</f>
        <v>Мария</v>
      </c>
      <c r="P386" s="88">
        <f>IFERROR(__xludf.DUMMYFUNCTION("""COMPUTED_VALUE"""),160.0)</f>
        <v>160</v>
      </c>
      <c r="Q386" s="88" t="str">
        <f>IFERROR(__xludf.DUMMYFUNCTION("""COMPUTED_VALUE"""),"penka_kudryavii_metod_150ml")</f>
        <v>penka_kudryavii_metod_150ml</v>
      </c>
      <c r="R386" s="88">
        <f>IFERROR(__xludf.DUMMYFUNCTION("""COMPUTED_VALUE"""),2.0679528E9)</f>
        <v>2067952800</v>
      </c>
      <c r="T386" s="88" t="str">
        <f>IFERROR(__xludf.DUMMYFUNCTION("""COMPUTED_VALUE"""),"Актуально")</f>
        <v>Актуально</v>
      </c>
      <c r="U386" s="88" t="str">
        <f>IFERROR(__xludf.DUMMYFUNCTION("""COMPUTED_VALUE"""),"Даша")</f>
        <v>Даша</v>
      </c>
    </row>
    <row r="387">
      <c r="A387" s="88">
        <f>IFERROR(__xludf.DUMMYFUNCTION("""COMPUTED_VALUE"""),126.0)</f>
        <v>126</v>
      </c>
      <c r="B387" s="88" t="str">
        <f>IFERROR(__xludf.DUMMYFUNCTION("""COMPUTED_VALUE"""),"maska-batter_250ml")</f>
        <v>maska-batter_250ml</v>
      </c>
      <c r="C387" s="88">
        <f>IFERROR(__xludf.DUMMYFUNCTION("""COMPUTED_VALUE"""),1.691464882E9)</f>
        <v>1691464882</v>
      </c>
      <c r="E387" s="88" t="str">
        <f>IFERROR(__xludf.DUMMYFUNCTION("""COMPUTED_VALUE"""),"Актуально")</f>
        <v>Актуально</v>
      </c>
      <c r="F387" s="88" t="str">
        <f>IFERROR(__xludf.DUMMYFUNCTION("""COMPUTED_VALUE"""),"Олеся")</f>
        <v>Олеся</v>
      </c>
      <c r="P387" s="88">
        <f>IFERROR(__xludf.DUMMYFUNCTION("""COMPUTED_VALUE"""),105.0)</f>
        <v>105</v>
      </c>
      <c r="Q387" s="88" t="str">
        <f>IFERROR(__xludf.DUMMYFUNCTION("""COMPUTED_VALUE"""),"insulight_BAD_60caps")</f>
        <v>insulight_BAD_60caps</v>
      </c>
      <c r="R387" s="88">
        <f>IFERROR(__xludf.DUMMYFUNCTION("""COMPUTED_VALUE"""),1.566867106E9)</f>
        <v>1566867106</v>
      </c>
      <c r="T387" s="88" t="str">
        <f>IFERROR(__xludf.DUMMYFUNCTION("""COMPUTED_VALUE"""),"Актуально")</f>
        <v>Актуально</v>
      </c>
      <c r="U387" s="88" t="str">
        <f>IFERROR(__xludf.DUMMYFUNCTION("""COMPUTED_VALUE"""),"Даша")</f>
        <v>Даша</v>
      </c>
    </row>
    <row r="388">
      <c r="A388" s="88">
        <f>IFERROR(__xludf.DUMMYFUNCTION("""COMPUTED_VALUE"""),35.0)</f>
        <v>35</v>
      </c>
      <c r="B388" s="88" t="str">
        <f>IFERROR(__xludf.DUMMYFUNCTION("""COMPUTED_VALUE"""),"kardicin")</f>
        <v>kardicin</v>
      </c>
      <c r="C388" s="88">
        <f>IFERROR(__xludf.DUMMYFUNCTION("""COMPUTED_VALUE"""),7.27886779E8)</f>
        <v>727886779</v>
      </c>
      <c r="E388" s="88" t="str">
        <f>IFERROR(__xludf.DUMMYFUNCTION("""COMPUTED_VALUE"""),"Актуально")</f>
        <v>Актуально</v>
      </c>
      <c r="F388" s="88" t="str">
        <f>IFERROR(__xludf.DUMMYFUNCTION("""COMPUTED_VALUE"""),"Кирилл")</f>
        <v>Кирилл</v>
      </c>
      <c r="P388" s="88">
        <f>IFERROR(__xludf.DUMMYFUNCTION("""COMPUTED_VALUE"""),144.0)</f>
        <v>144</v>
      </c>
      <c r="Q388" s="88" t="str">
        <f>IFERROR(__xludf.DUMMYFUNCTION("""COMPUTED_VALUE"""),"krovavii_piling_30ml")</f>
        <v>krovavii_piling_30ml</v>
      </c>
      <c r="R388" s="88">
        <f>IFERROR(__xludf.DUMMYFUNCTION("""COMPUTED_VALUE"""),1.80607945E9)</f>
        <v>1806079450</v>
      </c>
      <c r="T388" s="88" t="str">
        <f>IFERROR(__xludf.DUMMYFUNCTION("""COMPUTED_VALUE"""),"Актуально")</f>
        <v>Актуально</v>
      </c>
      <c r="U388" s="88" t="str">
        <f>IFERROR(__xludf.DUMMYFUNCTION("""COMPUTED_VALUE"""),"Даша")</f>
        <v>Даша</v>
      </c>
    </row>
    <row r="389">
      <c r="A389" s="88">
        <f>IFERROR(__xludf.DUMMYFUNCTION("""COMPUTED_VALUE"""),36.0)</f>
        <v>36</v>
      </c>
      <c r="B389" s="88" t="str">
        <f>IFERROR(__xludf.DUMMYFUNCTION("""COMPUTED_VALUE"""),"kardicin")</f>
        <v>kardicin</v>
      </c>
      <c r="C389" s="88">
        <f>IFERROR(__xludf.DUMMYFUNCTION("""COMPUTED_VALUE"""),2.031233774E9)</f>
        <v>2031233774</v>
      </c>
      <c r="E389" s="88" t="str">
        <f>IFERROR(__xludf.DUMMYFUNCTION("""COMPUTED_VALUE"""),"Под вопросом")</f>
        <v>Под вопросом</v>
      </c>
      <c r="F389" s="88" t="str">
        <f>IFERROR(__xludf.DUMMYFUNCTION("""COMPUTED_VALUE"""),"Кирилл")</f>
        <v>Кирилл</v>
      </c>
      <c r="P389" s="88">
        <f>IFERROR(__xludf.DUMMYFUNCTION("""COMPUTED_VALUE"""),168.0)</f>
        <v>168</v>
      </c>
      <c r="Q389" s="88" t="str">
        <f>IFERROR(__xludf.DUMMYFUNCTION("""COMPUTED_VALUE"""),"skrab_babl_gam_200ml")</f>
        <v>skrab_babl_gam_200ml</v>
      </c>
      <c r="R389" s="88">
        <f>IFERROR(__xludf.DUMMYFUNCTION("""COMPUTED_VALUE"""),2.445342489E9)</f>
        <v>2445342489</v>
      </c>
      <c r="T389" s="88" t="str">
        <f>IFERROR(__xludf.DUMMYFUNCTION("""COMPUTED_VALUE"""),"Актуально")</f>
        <v>Актуально</v>
      </c>
      <c r="U389" s="88" t="str">
        <f>IFERROR(__xludf.DUMMYFUNCTION("""COMPUTED_VALUE"""),"Даша")</f>
        <v>Даша</v>
      </c>
    </row>
    <row r="390">
      <c r="A390" s="88">
        <f>IFERROR(__xludf.DUMMYFUNCTION("""COMPUTED_VALUE"""),55.0)</f>
        <v>55</v>
      </c>
      <c r="B390" s="88" t="str">
        <f>IFERROR(__xludf.DUMMYFUNCTION("""COMPUTED_VALUE"""),"kardicin_1_1")</f>
        <v>kardicin_1_1</v>
      </c>
      <c r="C390" s="88">
        <f>IFERROR(__xludf.DUMMYFUNCTION("""COMPUTED_VALUE"""),1.129300642E9)</f>
        <v>1129300642</v>
      </c>
      <c r="E390" s="88" t="str">
        <f>IFERROR(__xludf.DUMMYFUNCTION("""COMPUTED_VALUE"""),"Актуально")</f>
        <v>Актуально</v>
      </c>
      <c r="F390" s="88" t="str">
        <f>IFERROR(__xludf.DUMMYFUNCTION("""COMPUTED_VALUE"""),"Кирилл")</f>
        <v>Кирилл</v>
      </c>
      <c r="P390" s="88">
        <f>IFERROR(__xludf.DUMMYFUNCTION("""COMPUTED_VALUE"""),35.0)</f>
        <v>35</v>
      </c>
      <c r="Q390" s="88" t="str">
        <f>IFERROR(__xludf.DUMMYFUNCTION("""COMPUTED_VALUE"""),"kardicin")</f>
        <v>kardicin</v>
      </c>
      <c r="R390" s="88">
        <f>IFERROR(__xludf.DUMMYFUNCTION("""COMPUTED_VALUE"""),7.27886779E8)</f>
        <v>727886779</v>
      </c>
      <c r="T390" s="88" t="str">
        <f>IFERROR(__xludf.DUMMYFUNCTION("""COMPUTED_VALUE"""),"Актуально")</f>
        <v>Актуально</v>
      </c>
      <c r="U390" s="88" t="str">
        <f>IFERROR(__xludf.DUMMYFUNCTION("""COMPUTED_VALUE"""),"Влад")</f>
        <v>Влад</v>
      </c>
    </row>
    <row r="391">
      <c r="A391" s="88">
        <f>IFERROR(__xludf.DUMMYFUNCTION("""COMPUTED_VALUE"""),127.0)</f>
        <v>127</v>
      </c>
      <c r="B391" s="88" t="str">
        <f>IFERROR(__xludf.DUMMYFUNCTION("""COMPUTED_VALUE"""),"krem_ot_rastyazhek")</f>
        <v>krem_ot_rastyazhek</v>
      </c>
      <c r="C391" s="88">
        <f>IFERROR(__xludf.DUMMYFUNCTION("""COMPUTED_VALUE"""),1.691475362E9)</f>
        <v>1691475362</v>
      </c>
      <c r="E391" s="88" t="str">
        <f>IFERROR(__xludf.DUMMYFUNCTION("""COMPUTED_VALUE"""),"Актуально")</f>
        <v>Актуально</v>
      </c>
      <c r="F391" s="88" t="str">
        <f>IFERROR(__xludf.DUMMYFUNCTION("""COMPUTED_VALUE"""),"Олеся")</f>
        <v>Олеся</v>
      </c>
      <c r="P391" s="88">
        <f>IFERROR(__xludf.DUMMYFUNCTION("""COMPUTED_VALUE"""),110.0)</f>
        <v>110</v>
      </c>
      <c r="Q391" s="88" t="str">
        <f>IFERROR(__xludf.DUMMYFUNCTION("""COMPUTED_VALUE"""),"ekzifol")</f>
        <v>ekzifol</v>
      </c>
      <c r="R391" s="88">
        <f>IFERROR(__xludf.DUMMYFUNCTION("""COMPUTED_VALUE"""),1.590039392E9)</f>
        <v>1590039392</v>
      </c>
      <c r="T391" s="88" t="str">
        <f>IFERROR(__xludf.DUMMYFUNCTION("""COMPUTED_VALUE"""),"Актуально")</f>
        <v>Актуально</v>
      </c>
      <c r="U391" s="88" t="str">
        <f>IFERROR(__xludf.DUMMYFUNCTION("""COMPUTED_VALUE"""),"Даша")</f>
        <v>Даша</v>
      </c>
    </row>
    <row r="392">
      <c r="A392" s="88">
        <f>IFERROR(__xludf.DUMMYFUNCTION("""COMPUTED_VALUE"""),25.0)</f>
        <v>25</v>
      </c>
      <c r="B392" s="88" t="str">
        <f>IFERROR(__xludf.DUMMYFUNCTION("""COMPUTED_VALUE"""),"artoks")</f>
        <v>artoks</v>
      </c>
      <c r="C392" s="88">
        <f>IFERROR(__xludf.DUMMYFUNCTION("""COMPUTED_VALUE"""),3.27290561E8)</f>
        <v>327290561</v>
      </c>
      <c r="E392" s="88" t="str">
        <f>IFERROR(__xludf.DUMMYFUNCTION("""COMPUTED_VALUE"""),"Актуально")</f>
        <v>Актуально</v>
      </c>
      <c r="F392" s="88" t="str">
        <f>IFERROR(__xludf.DUMMYFUNCTION("""COMPUTED_VALUE"""),"Мария")</f>
        <v>Мария</v>
      </c>
      <c r="P392" s="88">
        <f>IFERROR(__xludf.DUMMYFUNCTION("""COMPUTED_VALUE"""),127.0)</f>
        <v>127</v>
      </c>
      <c r="Q392" s="88" t="str">
        <f>IFERROR(__xludf.DUMMYFUNCTION("""COMPUTED_VALUE"""),"krem_ot_rastyazhek")</f>
        <v>krem_ot_rastyazhek</v>
      </c>
      <c r="R392" s="88">
        <f>IFERROR(__xludf.DUMMYFUNCTION("""COMPUTED_VALUE"""),1.691475362E9)</f>
        <v>1691475362</v>
      </c>
      <c r="T392" s="88" t="str">
        <f>IFERROR(__xludf.DUMMYFUNCTION("""COMPUTED_VALUE"""),"Актуально")</f>
        <v>Актуально</v>
      </c>
      <c r="U392" s="88" t="str">
        <f>IFERROR(__xludf.DUMMYFUNCTION("""COMPUTED_VALUE"""),"Даша")</f>
        <v>Даша</v>
      </c>
    </row>
    <row r="393">
      <c r="A393" s="88">
        <f>IFERROR(__xludf.DUMMYFUNCTION("""COMPUTED_VALUE"""),175.0)</f>
        <v>175</v>
      </c>
      <c r="B393" s="88" t="str">
        <f>IFERROR(__xludf.DUMMYFUNCTION("""COMPUTED_VALUE"""),"gel_antiakne_20ml_v2")</f>
        <v>gel_antiakne_20ml_v2</v>
      </c>
      <c r="C393" s="88">
        <f>IFERROR(__xludf.DUMMYFUNCTION("""COMPUTED_VALUE"""),2.616859755E9)</f>
        <v>2616859755</v>
      </c>
      <c r="E393" s="88" t="str">
        <f>IFERROR(__xludf.DUMMYFUNCTION("""COMPUTED_VALUE"""),"Актуально")</f>
        <v>Актуально</v>
      </c>
      <c r="F393" s="88" t="str">
        <f>IFERROR(__xludf.DUMMYFUNCTION("""COMPUTED_VALUE"""),"Кирилл")</f>
        <v>Кирилл</v>
      </c>
      <c r="P393" s="88">
        <f>IFERROR(__xludf.DUMMYFUNCTION("""COMPUTED_VALUE"""),153.0)</f>
        <v>153</v>
      </c>
      <c r="Q393" s="88" t="str">
        <f>IFERROR(__xludf.DUMMYFUNCTION("""COMPUTED_VALUE"""),"maska-batter_dlya_rosta_500ml")</f>
        <v>maska-batter_dlya_rosta_500ml</v>
      </c>
      <c r="R393" s="88">
        <f>IFERROR(__xludf.DUMMYFUNCTION("""COMPUTED_VALUE"""),1.917245431E9)</f>
        <v>1917245431</v>
      </c>
      <c r="T393" s="88" t="str">
        <f>IFERROR(__xludf.DUMMYFUNCTION("""COMPUTED_VALUE"""),"Актуально")</f>
        <v>Актуально</v>
      </c>
      <c r="U393" s="88" t="str">
        <f>IFERROR(__xludf.DUMMYFUNCTION("""COMPUTED_VALUE"""),"Даша")</f>
        <v>Даша</v>
      </c>
    </row>
    <row r="394">
      <c r="A394" s="88">
        <f>IFERROR(__xludf.DUMMYFUNCTION("""COMPUTED_VALUE"""),170.0)</f>
        <v>170</v>
      </c>
      <c r="B394" s="88" t="str">
        <f>IFERROR(__xludf.DUMMYFUNCTION("""COMPUTED_VALUE"""),"krem_dlya_vek_30ml")</f>
        <v>krem_dlya_vek_30ml</v>
      </c>
      <c r="C394" s="88">
        <f>IFERROR(__xludf.DUMMYFUNCTION("""COMPUTED_VALUE"""),2.498445505E9)</f>
        <v>2498445505</v>
      </c>
      <c r="E394" s="88" t="str">
        <f>IFERROR(__xludf.DUMMYFUNCTION("""COMPUTED_VALUE"""),"Актуально")</f>
        <v>Актуально</v>
      </c>
      <c r="F394" s="88" t="str">
        <f>IFERROR(__xludf.DUMMYFUNCTION("""COMPUTED_VALUE"""),"Олеся")</f>
        <v>Олеся</v>
      </c>
      <c r="P394" s="88">
        <f>IFERROR(__xludf.DUMMYFUNCTION("""COMPUTED_VALUE"""),152.0)</f>
        <v>152</v>
      </c>
      <c r="Q394" s="88" t="str">
        <f>IFERROR(__xludf.DUMMYFUNCTION("""COMPUTED_VALUE"""),"yagodniy_spas_1_1")</f>
        <v>yagodniy_spas_1_1</v>
      </c>
      <c r="R394" s="88">
        <f>IFERROR(__xludf.DUMMYFUNCTION("""COMPUTED_VALUE"""),1.884227964E9)</f>
        <v>1884227964</v>
      </c>
      <c r="T394" s="88" t="str">
        <f>IFERROR(__xludf.DUMMYFUNCTION("""COMPUTED_VALUE"""),"Актуально")</f>
        <v>Актуально</v>
      </c>
      <c r="U394" s="88" t="str">
        <f>IFERROR(__xludf.DUMMYFUNCTION("""COMPUTED_VALUE"""),"Даша")</f>
        <v>Даша</v>
      </c>
    </row>
    <row r="395">
      <c r="A395" s="88">
        <f>IFERROR(__xludf.DUMMYFUNCTION("""COMPUTED_VALUE"""),54.0)</f>
        <v>54</v>
      </c>
      <c r="B395" s="88" t="str">
        <f>IFERROR(__xludf.DUMMYFUNCTION("""COMPUTED_VALUE"""),"micardin_1_1_1")</f>
        <v>micardin_1_1_1</v>
      </c>
      <c r="C395" s="88">
        <f>IFERROR(__xludf.DUMMYFUNCTION("""COMPUTED_VALUE"""),1.129297876E9)</f>
        <v>1129297876</v>
      </c>
      <c r="E395" s="88" t="str">
        <f>IFERROR(__xludf.DUMMYFUNCTION("""COMPUTED_VALUE"""),"Актуально")</f>
        <v>Актуально</v>
      </c>
      <c r="F395" s="88" t="str">
        <f>IFERROR(__xludf.DUMMYFUNCTION("""COMPUTED_VALUE"""),"Светлана")</f>
        <v>Светлана</v>
      </c>
      <c r="P395" s="88">
        <f>IFERROR(__xludf.DUMMYFUNCTION("""COMPUTED_VALUE"""),156.0)</f>
        <v>156</v>
      </c>
      <c r="Q395" s="88" t="str">
        <f>IFERROR(__xludf.DUMMYFUNCTION("""COMPUTED_VALUE"""),"tonik_dlya_lica_200ml")</f>
        <v>tonik_dlya_lica_200ml</v>
      </c>
      <c r="R395" s="88">
        <f>IFERROR(__xludf.DUMMYFUNCTION("""COMPUTED_VALUE"""),2.015547267E9)</f>
        <v>2015547267</v>
      </c>
      <c r="T395" s="88" t="str">
        <f>IFERROR(__xludf.DUMMYFUNCTION("""COMPUTED_VALUE"""),"Актуально")</f>
        <v>Актуально</v>
      </c>
      <c r="U395" s="88" t="str">
        <f>IFERROR(__xludf.DUMMYFUNCTION("""COMPUTED_VALUE"""),"Даша")</f>
        <v>Даша</v>
      </c>
    </row>
    <row r="396">
      <c r="A396" s="88">
        <f>IFERROR(__xludf.DUMMYFUNCTION("""COMPUTED_VALUE"""),105.0)</f>
        <v>105</v>
      </c>
      <c r="B396" s="88" t="str">
        <f>IFERROR(__xludf.DUMMYFUNCTION("""COMPUTED_VALUE"""),"insulight_BAD_60caps")</f>
        <v>insulight_BAD_60caps</v>
      </c>
      <c r="C396" s="88">
        <f>IFERROR(__xludf.DUMMYFUNCTION("""COMPUTED_VALUE"""),1.566867106E9)</f>
        <v>1566867106</v>
      </c>
      <c r="E396" s="88" t="str">
        <f>IFERROR(__xludf.DUMMYFUNCTION("""COMPUTED_VALUE"""),"Актуально")</f>
        <v>Актуально</v>
      </c>
      <c r="F396" s="88" t="str">
        <f>IFERROR(__xludf.DUMMYFUNCTION("""COMPUTED_VALUE"""),"Кирилл")</f>
        <v>Кирилл</v>
      </c>
      <c r="P396" s="88">
        <f>IFERROR(__xludf.DUMMYFUNCTION("""COMPUTED_VALUE"""),126.0)</f>
        <v>126</v>
      </c>
      <c r="Q396" s="88" t="str">
        <f>IFERROR(__xludf.DUMMYFUNCTION("""COMPUTED_VALUE"""),"maska-batter_250ml")</f>
        <v>maska-batter_250ml</v>
      </c>
      <c r="R396" s="88">
        <f>IFERROR(__xludf.DUMMYFUNCTION("""COMPUTED_VALUE"""),1.691464882E9)</f>
        <v>1691464882</v>
      </c>
      <c r="T396" s="88" t="str">
        <f>IFERROR(__xludf.DUMMYFUNCTION("""COMPUTED_VALUE"""),"Актуально")</f>
        <v>Актуально</v>
      </c>
      <c r="U396" s="88" t="str">
        <f>IFERROR(__xludf.DUMMYFUNCTION("""COMPUTED_VALUE"""),"Даша")</f>
        <v>Даша</v>
      </c>
    </row>
    <row r="397">
      <c r="A397" s="88">
        <f>IFERROR(__xludf.DUMMYFUNCTION("""COMPUTED_VALUE"""),187.0)</f>
        <v>187</v>
      </c>
      <c r="B397" s="88" t="str">
        <f>IFERROR(__xludf.DUMMYFUNCTION("""COMPUTED_VALUE"""),"retinait_krem_05_50ml")</f>
        <v>retinait_krem_05_50ml</v>
      </c>
      <c r="C397" s="88">
        <f>IFERROR(__xludf.DUMMYFUNCTION("""COMPUTED_VALUE"""),2.937061626E9)</f>
        <v>2937061626</v>
      </c>
      <c r="E397" s="88" t="str">
        <f>IFERROR(__xludf.DUMMYFUNCTION("""COMPUTED_VALUE"""),"Актуально")</f>
        <v>Актуально</v>
      </c>
      <c r="F397" s="88" t="str">
        <f>IFERROR(__xludf.DUMMYFUNCTION("""COMPUTED_VALUE"""),"Олеся")</f>
        <v>Олеся</v>
      </c>
      <c r="P397" s="88">
        <f>IFERROR(__xludf.DUMMYFUNCTION("""COMPUTED_VALUE"""),109.0)</f>
        <v>109</v>
      </c>
      <c r="Q397" s="88" t="str">
        <f>IFERROR(__xludf.DUMMYFUNCTION("""COMPUTED_VALUE"""),"varifit")</f>
        <v>varifit</v>
      </c>
      <c r="R397" s="88">
        <f>IFERROR(__xludf.DUMMYFUNCTION("""COMPUTED_VALUE"""),1.590032182E9)</f>
        <v>1590032182</v>
      </c>
      <c r="T397" s="88" t="str">
        <f>IFERROR(__xludf.DUMMYFUNCTION("""COMPUTED_VALUE"""),"Актуально")</f>
        <v>Актуально</v>
      </c>
      <c r="U397" s="88" t="str">
        <f>IFERROR(__xludf.DUMMYFUNCTION("""COMPUTED_VALUE"""),"Даша")</f>
        <v>Даша</v>
      </c>
    </row>
    <row r="398">
      <c r="A398" s="88">
        <f>IFERROR(__xludf.DUMMYFUNCTION("""COMPUTED_VALUE"""),92.0)</f>
        <v>92</v>
      </c>
      <c r="B398" s="88" t="str">
        <f>IFERROR(__xludf.DUMMYFUNCTION("""COMPUTED_VALUE"""),"kinzhal")</f>
        <v>kinzhal</v>
      </c>
      <c r="C398" s="88">
        <f>IFERROR(__xludf.DUMMYFUNCTION("""COMPUTED_VALUE"""),1.528074808E9)</f>
        <v>1528074808</v>
      </c>
      <c r="E398" s="88" t="str">
        <f>IFERROR(__xludf.DUMMYFUNCTION("""COMPUTED_VALUE"""),"Актуально")</f>
        <v>Актуально</v>
      </c>
      <c r="F398" s="88" t="str">
        <f>IFERROR(__xludf.DUMMYFUNCTION("""COMPUTED_VALUE"""),"Кирилл")</f>
        <v>Кирилл</v>
      </c>
      <c r="P398" s="88">
        <f>IFERROR(__xludf.DUMMYFUNCTION("""COMPUTED_VALUE"""),39.0)</f>
        <v>39</v>
      </c>
      <c r="Q398" s="88" t="str">
        <f>IFERROR(__xludf.DUMMYFUNCTION("""COMPUTED_VALUE"""),"khvoinitsa")</f>
        <v>khvoinitsa</v>
      </c>
      <c r="R398" s="88">
        <f>IFERROR(__xludf.DUMMYFUNCTION("""COMPUTED_VALUE"""),7.36435678E8)</f>
        <v>736435678</v>
      </c>
      <c r="T398" s="88" t="str">
        <f>IFERROR(__xludf.DUMMYFUNCTION("""COMPUTED_VALUE"""),"Актуально")</f>
        <v>Актуально</v>
      </c>
      <c r="U398" s="88" t="str">
        <f>IFERROR(__xludf.DUMMYFUNCTION("""COMPUTED_VALUE"""),"Даша")</f>
        <v>Даша</v>
      </c>
    </row>
    <row r="399">
      <c r="A399" s="88">
        <f>IFERROR(__xludf.DUMMYFUNCTION("""COMPUTED_VALUE"""),153.0)</f>
        <v>153</v>
      </c>
      <c r="B399" s="88" t="str">
        <f>IFERROR(__xludf.DUMMYFUNCTION("""COMPUTED_VALUE"""),"maska-batter_dlya_rosta_500ml")</f>
        <v>maska-batter_dlya_rosta_500ml</v>
      </c>
      <c r="C399" s="88">
        <f>IFERROR(__xludf.DUMMYFUNCTION("""COMPUTED_VALUE"""),1.917245431E9)</f>
        <v>1917245431</v>
      </c>
      <c r="E399" s="88" t="str">
        <f>IFERROR(__xludf.DUMMYFUNCTION("""COMPUTED_VALUE"""),"Актуально")</f>
        <v>Актуально</v>
      </c>
      <c r="F399" s="88" t="str">
        <f>IFERROR(__xludf.DUMMYFUNCTION("""COMPUTED_VALUE"""),"Олеся")</f>
        <v>Олеся</v>
      </c>
      <c r="P399" s="88">
        <f>IFERROR(__xludf.DUMMYFUNCTION("""COMPUTED_VALUE"""),163.0)</f>
        <v>163</v>
      </c>
      <c r="Q399" s="88" t="str">
        <f>IFERROR(__xludf.DUMMYFUNCTION("""COMPUTED_VALUE"""),"matte_wax_50ml")</f>
        <v>matte_wax_50ml</v>
      </c>
      <c r="R399" s="88">
        <f>IFERROR(__xludf.DUMMYFUNCTION("""COMPUTED_VALUE"""),2.138175361E9)</f>
        <v>2138175361</v>
      </c>
      <c r="T399" s="88" t="str">
        <f>IFERROR(__xludf.DUMMYFUNCTION("""COMPUTED_VALUE"""),"Актуально")</f>
        <v>Актуально</v>
      </c>
      <c r="U399" s="88" t="str">
        <f>IFERROR(__xludf.DUMMYFUNCTION("""COMPUTED_VALUE"""),"Даша")</f>
        <v>Даша</v>
      </c>
    </row>
    <row r="400">
      <c r="A400" s="88">
        <f>IFERROR(__xludf.DUMMYFUNCTION("""COMPUTED_VALUE"""),161.0)</f>
        <v>161</v>
      </c>
      <c r="B400" s="88" t="str">
        <f>IFERROR(__xludf.DUMMYFUNCTION("""COMPUTED_VALUE"""),"silk_hair_300ml")</f>
        <v>silk_hair_300ml</v>
      </c>
      <c r="C400" s="88">
        <f>IFERROR(__xludf.DUMMYFUNCTION("""COMPUTED_VALUE"""),2.067962201E9)</f>
        <v>2067962201</v>
      </c>
      <c r="E400" s="88" t="str">
        <f>IFERROR(__xludf.DUMMYFUNCTION("""COMPUTED_VALUE"""),"Актуально")</f>
        <v>Актуально</v>
      </c>
      <c r="F400" s="88" t="str">
        <f>IFERROR(__xludf.DUMMYFUNCTION("""COMPUTED_VALUE"""),"Олеся")</f>
        <v>Олеся</v>
      </c>
      <c r="P400" s="88">
        <f>IFERROR(__xludf.DUMMYFUNCTION("""COMPUTED_VALUE"""),49.0)</f>
        <v>49</v>
      </c>
      <c r="Q400" s="88" t="str">
        <f>IFERROR(__xludf.DUMMYFUNCTION("""COMPUTED_VALUE"""),"allicil_gribok15ml")</f>
        <v>allicil_gribok15ml</v>
      </c>
      <c r="R400" s="88">
        <f>IFERROR(__xludf.DUMMYFUNCTION("""COMPUTED_VALUE"""),9.16705489E8)</f>
        <v>916705489</v>
      </c>
      <c r="T400" s="88" t="str">
        <f>IFERROR(__xludf.DUMMYFUNCTION("""COMPUTED_VALUE"""),"Актуально")</f>
        <v>Актуально</v>
      </c>
      <c r="U400" s="88" t="str">
        <f>IFERROR(__xludf.DUMMYFUNCTION("""COMPUTED_VALUE"""),"Даша")</f>
        <v>Даша</v>
      </c>
    </row>
    <row r="401">
      <c r="A401" s="88">
        <f>IFERROR(__xludf.DUMMYFUNCTION("""COMPUTED_VALUE"""),140.0)</f>
        <v>140</v>
      </c>
      <c r="B401" s="88" t="str">
        <f>IFERROR(__xludf.DUMMYFUNCTION("""COMPUTED_VALUE"""),"kavmaz_40ml_1_1")</f>
        <v>kavmaz_40ml_1_1</v>
      </c>
      <c r="C401" s="88">
        <f>IFERROR(__xludf.DUMMYFUNCTION("""COMPUTED_VALUE"""),1.792793774E9)</f>
        <v>1792793774</v>
      </c>
      <c r="E401" s="88" t="str">
        <f>IFERROR(__xludf.DUMMYFUNCTION("""COMPUTED_VALUE"""),"Актуально")</f>
        <v>Актуально</v>
      </c>
      <c r="F401" s="88" t="str">
        <f>IFERROR(__xludf.DUMMYFUNCTION("""COMPUTED_VALUE"""),"Олеся")</f>
        <v>Олеся</v>
      </c>
      <c r="P401" s="88">
        <f>IFERROR(__xludf.DUMMYFUNCTION("""COMPUTED_VALUE"""),171.0)</f>
        <v>171</v>
      </c>
      <c r="Q401" s="88" t="str">
        <f>IFERROR(__xludf.DUMMYFUNCTION("""COMPUTED_VALUE"""),"intimvita_300ml")</f>
        <v>intimvita_300ml</v>
      </c>
      <c r="R401" s="88">
        <f>IFERROR(__xludf.DUMMYFUNCTION("""COMPUTED_VALUE"""),2.545691905E9)</f>
        <v>2545691905</v>
      </c>
      <c r="T401" s="88" t="str">
        <f>IFERROR(__xludf.DUMMYFUNCTION("""COMPUTED_VALUE"""),"Актуально")</f>
        <v>Актуально</v>
      </c>
      <c r="U401" s="88" t="str">
        <f>IFERROR(__xludf.DUMMYFUNCTION("""COMPUTED_VALUE"""),"Даша")</f>
        <v>Даша</v>
      </c>
    </row>
    <row r="402">
      <c r="A402" s="88">
        <f>IFERROR(__xludf.DUMMYFUNCTION("""COMPUTED_VALUE"""),62.0)</f>
        <v>62</v>
      </c>
      <c r="B402" s="88" t="str">
        <f>IFERROR(__xludf.DUMMYFUNCTION("""COMPUTED_VALUE"""),"cardicin_BAD_60caps")</f>
        <v>cardicin_BAD_60caps</v>
      </c>
      <c r="C402" s="88">
        <f>IFERROR(__xludf.DUMMYFUNCTION("""COMPUTED_VALUE"""),1.171930661E9)</f>
        <v>1171930661</v>
      </c>
      <c r="E402" s="88" t="str">
        <f>IFERROR(__xludf.DUMMYFUNCTION("""COMPUTED_VALUE"""),"Актуально")</f>
        <v>Актуально</v>
      </c>
      <c r="F402" s="88" t="str">
        <f>IFERROR(__xludf.DUMMYFUNCTION("""COMPUTED_VALUE"""),"Кирилл")</f>
        <v>Кирилл</v>
      </c>
      <c r="P402" s="88">
        <f>IFERROR(__xludf.DUMMYFUNCTION("""COMPUTED_VALUE"""),170.0)</f>
        <v>170</v>
      </c>
      <c r="Q402" s="88" t="str">
        <f>IFERROR(__xludf.DUMMYFUNCTION("""COMPUTED_VALUE"""),"krem_dlya_vek_30ml")</f>
        <v>krem_dlya_vek_30ml</v>
      </c>
      <c r="R402" s="88">
        <f>IFERROR(__xludf.DUMMYFUNCTION("""COMPUTED_VALUE"""),2.498445505E9)</f>
        <v>2498445505</v>
      </c>
      <c r="T402" s="88" t="str">
        <f>IFERROR(__xludf.DUMMYFUNCTION("""COMPUTED_VALUE"""),"Актуально")</f>
        <v>Актуально</v>
      </c>
      <c r="U402" s="88" t="str">
        <f>IFERROR(__xludf.DUMMYFUNCTION("""COMPUTED_VALUE"""),"Даша")</f>
        <v>Даша</v>
      </c>
    </row>
    <row r="403">
      <c r="A403" s="88">
        <f>IFERROR(__xludf.DUMMYFUNCTION("""COMPUTED_VALUE"""),93.0)</f>
        <v>93</v>
      </c>
      <c r="B403" s="88" t="str">
        <f>IFERROR(__xludf.DUMMYFUNCTION("""COMPUTED_VALUE"""),"urofol")</f>
        <v>urofol</v>
      </c>
      <c r="C403" s="88">
        <f>IFERROR(__xludf.DUMMYFUNCTION("""COMPUTED_VALUE"""),1.52808575E9)</f>
        <v>1528085750</v>
      </c>
      <c r="E403" s="88" t="str">
        <f>IFERROR(__xludf.DUMMYFUNCTION("""COMPUTED_VALUE"""),"Актуально")</f>
        <v>Актуально</v>
      </c>
      <c r="F403" s="88" t="str">
        <f>IFERROR(__xludf.DUMMYFUNCTION("""COMPUTED_VALUE"""),"Кирилл")</f>
        <v>Кирилл</v>
      </c>
      <c r="P403" s="88">
        <f>IFERROR(__xludf.DUMMYFUNCTION("""COMPUTED_VALUE"""),178.0)</f>
        <v>178</v>
      </c>
      <c r="Q403" s="88" t="str">
        <f>IFERROR(__xludf.DUMMYFUNCTION("""COMPUTED_VALUE"""),"insulight_1_1")</f>
        <v>insulight_1_1</v>
      </c>
      <c r="R403" s="88">
        <f>IFERROR(__xludf.DUMMYFUNCTION("""COMPUTED_VALUE"""),2.825101652E9)</f>
        <v>2825101652</v>
      </c>
      <c r="T403" s="88" t="str">
        <f>IFERROR(__xludf.DUMMYFUNCTION("""COMPUTED_VALUE"""),"Актуально")</f>
        <v>Актуально</v>
      </c>
      <c r="U403" s="88" t="str">
        <f>IFERROR(__xludf.DUMMYFUNCTION("""COMPUTED_VALUE"""),"Даша")</f>
        <v>Даша</v>
      </c>
    </row>
    <row r="404">
      <c r="A404" s="88">
        <f>IFERROR(__xludf.DUMMYFUNCTION("""COMPUTED_VALUE"""),164.0)</f>
        <v>164</v>
      </c>
      <c r="B404" s="88" t="str">
        <f>IFERROR(__xludf.DUMMYFUNCTION("""COMPUTED_VALUE"""),"sprei_buster_100ml")</f>
        <v>sprei_buster_100ml</v>
      </c>
      <c r="C404" s="88">
        <f>IFERROR(__xludf.DUMMYFUNCTION("""COMPUTED_VALUE"""),2.138241943E9)</f>
        <v>2138241943</v>
      </c>
      <c r="E404" s="88" t="str">
        <f>IFERROR(__xludf.DUMMYFUNCTION("""COMPUTED_VALUE"""),"Актуально")</f>
        <v>Актуально</v>
      </c>
      <c r="F404" s="88" t="str">
        <f>IFERROR(__xludf.DUMMYFUNCTION("""COMPUTED_VALUE"""),"Мария")</f>
        <v>Мария</v>
      </c>
      <c r="P404" s="88">
        <f>IFERROR(__xludf.DUMMYFUNCTION("""COMPUTED_VALUE"""),93.0)</f>
        <v>93</v>
      </c>
      <c r="Q404" s="88" t="str">
        <f>IFERROR(__xludf.DUMMYFUNCTION("""COMPUTED_VALUE"""),"urofol")</f>
        <v>urofol</v>
      </c>
      <c r="R404" s="88">
        <f>IFERROR(__xludf.DUMMYFUNCTION("""COMPUTED_VALUE"""),1.52808575E9)</f>
        <v>1528085750</v>
      </c>
      <c r="T404" s="88" t="str">
        <f>IFERROR(__xludf.DUMMYFUNCTION("""COMPUTED_VALUE"""),"Актуально")</f>
        <v>Актуально</v>
      </c>
      <c r="U404" s="88" t="str">
        <f>IFERROR(__xludf.DUMMYFUNCTION("""COMPUTED_VALUE"""),"Даша")</f>
        <v>Даша</v>
      </c>
    </row>
    <row r="405">
      <c r="A405" s="88">
        <f>IFERROR(__xludf.DUMMYFUNCTION("""COMPUTED_VALUE"""),115.0)</f>
        <v>115</v>
      </c>
      <c r="B405" s="88" t="str">
        <f>IFERROR(__xludf.DUMMYFUNCTION("""COMPUTED_VALUE"""),"maslo_dlya_borodi_50ml")</f>
        <v>maslo_dlya_borodi_50ml</v>
      </c>
      <c r="C405" s="88">
        <f>IFERROR(__xludf.DUMMYFUNCTION("""COMPUTED_VALUE"""),1.613737006E9)</f>
        <v>1613737006</v>
      </c>
      <c r="E405" s="88" t="str">
        <f>IFERROR(__xludf.DUMMYFUNCTION("""COMPUTED_VALUE"""),"Актуально")</f>
        <v>Актуально</v>
      </c>
      <c r="F405" s="88" t="str">
        <f>IFERROR(__xludf.DUMMYFUNCTION("""COMPUTED_VALUE"""),"Мария")</f>
        <v>Мария</v>
      </c>
      <c r="P405" s="88">
        <f>IFERROR(__xludf.DUMMYFUNCTION("""COMPUTED_VALUE"""),161.0)</f>
        <v>161</v>
      </c>
      <c r="Q405" s="88" t="str">
        <f>IFERROR(__xludf.DUMMYFUNCTION("""COMPUTED_VALUE"""),"silk_hair_300ml")</f>
        <v>silk_hair_300ml</v>
      </c>
      <c r="R405" s="88">
        <f>IFERROR(__xludf.DUMMYFUNCTION("""COMPUTED_VALUE"""),2.067962201E9)</f>
        <v>2067962201</v>
      </c>
      <c r="T405" s="88" t="str">
        <f>IFERROR(__xludf.DUMMYFUNCTION("""COMPUTED_VALUE"""),"Актуально")</f>
        <v>Актуально</v>
      </c>
      <c r="U405" s="88" t="str">
        <f>IFERROR(__xludf.DUMMYFUNCTION("""COMPUTED_VALUE"""),"Даша")</f>
        <v>Даша</v>
      </c>
    </row>
    <row r="406">
      <c r="A406" s="88">
        <f>IFERROR(__xludf.DUMMYFUNCTION("""COMPUTED_VALUE"""),178.0)</f>
        <v>178</v>
      </c>
      <c r="B406" s="88" t="str">
        <f>IFERROR(__xludf.DUMMYFUNCTION("""COMPUTED_VALUE"""),"insulight_1_1")</f>
        <v>insulight_1_1</v>
      </c>
      <c r="C406" s="88">
        <f>IFERROR(__xludf.DUMMYFUNCTION("""COMPUTED_VALUE"""),2.825101652E9)</f>
        <v>2825101652</v>
      </c>
      <c r="E406" s="88" t="str">
        <f>IFERROR(__xludf.DUMMYFUNCTION("""COMPUTED_VALUE"""),"Актуально")</f>
        <v>Актуально</v>
      </c>
      <c r="F406" s="88" t="str">
        <f>IFERROR(__xludf.DUMMYFUNCTION("""COMPUTED_VALUE"""),"Кирилл")</f>
        <v>Кирилл</v>
      </c>
      <c r="P406" s="88">
        <f>IFERROR(__xludf.DUMMYFUNCTION("""COMPUTED_VALUE"""),25.0)</f>
        <v>25</v>
      </c>
      <c r="Q406" s="88" t="str">
        <f>IFERROR(__xludf.DUMMYFUNCTION("""COMPUTED_VALUE"""),"artoks")</f>
        <v>artoks</v>
      </c>
      <c r="R406" s="88">
        <f>IFERROR(__xludf.DUMMYFUNCTION("""COMPUTED_VALUE"""),3.27290561E8)</f>
        <v>327290561</v>
      </c>
      <c r="T406" s="88" t="str">
        <f>IFERROR(__xludf.DUMMYFUNCTION("""COMPUTED_VALUE"""),"Актуально")</f>
        <v>Актуально</v>
      </c>
      <c r="U406" s="88" t="str">
        <f>IFERROR(__xludf.DUMMYFUNCTION("""COMPUTED_VALUE"""),"Влад")</f>
        <v>Влад</v>
      </c>
    </row>
    <row r="407">
      <c r="A407" s="88">
        <f>IFERROR(__xludf.DUMMYFUNCTION("""COMPUTED_VALUE"""),160.0)</f>
        <v>160</v>
      </c>
      <c r="B407" s="88" t="str">
        <f>IFERROR(__xludf.DUMMYFUNCTION("""COMPUTED_VALUE"""),"penka_kudryavii_metod_150ml")</f>
        <v>penka_kudryavii_metod_150ml</v>
      </c>
      <c r="C407" s="88">
        <f>IFERROR(__xludf.DUMMYFUNCTION("""COMPUTED_VALUE"""),2.0679528E9)</f>
        <v>2067952800</v>
      </c>
      <c r="E407" s="88" t="str">
        <f>IFERROR(__xludf.DUMMYFUNCTION("""COMPUTED_VALUE"""),"Актуально")</f>
        <v>Актуально</v>
      </c>
      <c r="F407" s="88" t="str">
        <f>IFERROR(__xludf.DUMMYFUNCTION("""COMPUTED_VALUE"""),"Олеся")</f>
        <v>Олеся</v>
      </c>
      <c r="P407" s="88">
        <f>IFERROR(__xludf.DUMMYFUNCTION("""COMPUTED_VALUE"""),113.0)</f>
        <v>113</v>
      </c>
      <c r="Q407" s="88" t="str">
        <f>IFERROR(__xludf.DUMMYFUNCTION("""COMPUTED_VALUE"""),"gemorekt")</f>
        <v>gemorekt</v>
      </c>
      <c r="R407" s="88">
        <f>IFERROR(__xludf.DUMMYFUNCTION("""COMPUTED_VALUE"""),1.590267064E9)</f>
        <v>1590267064</v>
      </c>
      <c r="T407" s="88" t="str">
        <f>IFERROR(__xludf.DUMMYFUNCTION("""COMPUTED_VALUE"""),"Актуально")</f>
        <v>Актуально</v>
      </c>
      <c r="U407" s="88" t="str">
        <f>IFERROR(__xludf.DUMMYFUNCTION("""COMPUTED_VALUE"""),"Даша")</f>
        <v>Даша</v>
      </c>
    </row>
    <row r="408">
      <c r="A408" s="88">
        <f>IFERROR(__xludf.DUMMYFUNCTION("""COMPUTED_VALUE"""),149.0)</f>
        <v>149</v>
      </c>
      <c r="B408" s="88" t="str">
        <f>IFERROR(__xludf.DUMMYFUNCTION("""COMPUTED_VALUE"""),"kinzhal_1_1")</f>
        <v>kinzhal_1_1</v>
      </c>
      <c r="C408" s="88">
        <f>IFERROR(__xludf.DUMMYFUNCTION("""COMPUTED_VALUE"""),1.851900175E9)</f>
        <v>1851900175</v>
      </c>
      <c r="E408" s="88" t="str">
        <f>IFERROR(__xludf.DUMMYFUNCTION("""COMPUTED_VALUE"""),"Актуально")</f>
        <v>Актуально</v>
      </c>
      <c r="F408" s="88" t="str">
        <f>IFERROR(__xludf.DUMMYFUNCTION("""COMPUTED_VALUE"""),"Кирилл")</f>
        <v>Кирилл</v>
      </c>
      <c r="P408" s="88">
        <f>IFERROR(__xludf.DUMMYFUNCTION("""COMPUTED_VALUE"""),133.0)</f>
        <v>133</v>
      </c>
      <c r="Q408" s="88" t="str">
        <f>IFERROR(__xludf.DUMMYFUNCTION("""COMPUTED_VALUE"""),"enzim_pudra_80gr")</f>
        <v>enzim_pudra_80gr</v>
      </c>
      <c r="R408" s="88">
        <f>IFERROR(__xludf.DUMMYFUNCTION("""COMPUTED_VALUE"""),1.745153183E9)</f>
        <v>1745153183</v>
      </c>
      <c r="T408" s="88" t="str">
        <f>IFERROR(__xludf.DUMMYFUNCTION("""COMPUTED_VALUE"""),"Актуально")</f>
        <v>Актуально</v>
      </c>
      <c r="U408" s="88" t="str">
        <f>IFERROR(__xludf.DUMMYFUNCTION("""COMPUTED_VALUE"""),"Даша")</f>
        <v>Даша</v>
      </c>
    </row>
    <row r="409">
      <c r="A409" s="88">
        <f>IFERROR(__xludf.DUMMYFUNCTION("""COMPUTED_VALUE"""),109.0)</f>
        <v>109</v>
      </c>
      <c r="B409" s="88" t="str">
        <f>IFERROR(__xludf.DUMMYFUNCTION("""COMPUTED_VALUE"""),"varifit")</f>
        <v>varifit</v>
      </c>
      <c r="C409" s="88">
        <f>IFERROR(__xludf.DUMMYFUNCTION("""COMPUTED_VALUE"""),1.590032182E9)</f>
        <v>1590032182</v>
      </c>
      <c r="E409" s="88" t="str">
        <f>IFERROR(__xludf.DUMMYFUNCTION("""COMPUTED_VALUE"""),"Актуально")</f>
        <v>Актуально</v>
      </c>
      <c r="F409" s="88" t="str">
        <f>IFERROR(__xludf.DUMMYFUNCTION("""COMPUTED_VALUE"""),"Мария")</f>
        <v>Мария</v>
      </c>
      <c r="P409" s="88">
        <f>IFERROR(__xludf.DUMMYFUNCTION("""COMPUTED_VALUE"""),137.0)</f>
        <v>137</v>
      </c>
      <c r="Q409" s="88" t="str">
        <f>IFERROR(__xludf.DUMMYFUNCTION("""COMPUTED_VALUE"""),"berberin_laif_BAD_60caps")</f>
        <v>berberin_laif_BAD_60caps</v>
      </c>
      <c r="R409" s="88">
        <f>IFERROR(__xludf.DUMMYFUNCTION("""COMPUTED_VALUE"""),1.753227855E9)</f>
        <v>1753227855</v>
      </c>
      <c r="T409" s="88" t="str">
        <f>IFERROR(__xludf.DUMMYFUNCTION("""COMPUTED_VALUE"""),"Актуально")</f>
        <v>Актуально</v>
      </c>
      <c r="U409" s="88" t="str">
        <f>IFERROR(__xludf.DUMMYFUNCTION("""COMPUTED_VALUE"""),"Даша")</f>
        <v>Даша</v>
      </c>
    </row>
    <row r="410">
      <c r="A410" s="88">
        <f>IFERROR(__xludf.DUMMYFUNCTION("""COMPUTED_VALUE"""),163.0)</f>
        <v>163</v>
      </c>
      <c r="B410" s="88" t="str">
        <f>IFERROR(__xludf.DUMMYFUNCTION("""COMPUTED_VALUE"""),"matte_wax_50ml")</f>
        <v>matte_wax_50ml</v>
      </c>
      <c r="C410" s="88">
        <f>IFERROR(__xludf.DUMMYFUNCTION("""COMPUTED_VALUE"""),2.138175361E9)</f>
        <v>2138175361</v>
      </c>
      <c r="E410" s="88" t="str">
        <f>IFERROR(__xludf.DUMMYFUNCTION("""COMPUTED_VALUE"""),"Актуально")</f>
        <v>Актуально</v>
      </c>
      <c r="F410" s="88" t="str">
        <f>IFERROR(__xludf.DUMMYFUNCTION("""COMPUTED_VALUE"""),"Кирилл")</f>
        <v>Кирилл</v>
      </c>
      <c r="P410" s="88">
        <f>IFERROR(__xludf.DUMMYFUNCTION("""COMPUTED_VALUE"""),135.0)</f>
        <v>135</v>
      </c>
      <c r="Q410" s="88" t="str">
        <f>IFERROR(__xludf.DUMMYFUNCTION("""COMPUTED_VALUE"""),"indolakt_BAD_60caps")</f>
        <v>indolakt_BAD_60caps</v>
      </c>
      <c r="R410" s="88">
        <f>IFERROR(__xludf.DUMMYFUNCTION("""COMPUTED_VALUE"""),1.752021365E9)</f>
        <v>1752021365</v>
      </c>
      <c r="T410" s="88" t="str">
        <f>IFERROR(__xludf.DUMMYFUNCTION("""COMPUTED_VALUE"""),"Актуально")</f>
        <v>Актуально</v>
      </c>
      <c r="U410" s="88" t="str">
        <f>IFERROR(__xludf.DUMMYFUNCTION("""COMPUTED_VALUE"""),"Даша")</f>
        <v>Даша</v>
      </c>
    </row>
    <row r="411">
      <c r="A411" s="88">
        <f>IFERROR(__xludf.DUMMYFUNCTION("""COMPUTED_VALUE"""),165.0)</f>
        <v>165</v>
      </c>
      <c r="B411" s="88" t="str">
        <f>IFERROR(__xludf.DUMMYFUNCTION("""COMPUTED_VALUE"""),"krem_buster_250ml")</f>
        <v>krem_buster_250ml</v>
      </c>
      <c r="C411" s="88">
        <f>IFERROR(__xludf.DUMMYFUNCTION("""COMPUTED_VALUE"""),2.138376665E9)</f>
        <v>2138376665</v>
      </c>
      <c r="E411" s="88" t="str">
        <f>IFERROR(__xludf.DUMMYFUNCTION("""COMPUTED_VALUE"""),"Актуально")</f>
        <v>Актуально</v>
      </c>
      <c r="F411" s="88" t="str">
        <f>IFERROR(__xludf.DUMMYFUNCTION("""COMPUTED_VALUE"""),"Олеся")</f>
        <v>Олеся</v>
      </c>
      <c r="P411" s="88">
        <f>IFERROR(__xludf.DUMMYFUNCTION("""COMPUTED_VALUE"""),85.0)</f>
        <v>85</v>
      </c>
      <c r="Q411" s="88" t="str">
        <f>IFERROR(__xludf.DUMMYFUNCTION("""COMPUTED_VALUE"""),"shampun_protiv_perhoti_250ml")</f>
        <v>shampun_protiv_perhoti_250ml</v>
      </c>
      <c r="R411" s="88">
        <f>IFERROR(__xludf.DUMMYFUNCTION("""COMPUTED_VALUE"""),1.440687097E9)</f>
        <v>1440687097</v>
      </c>
      <c r="T411" s="88" t="str">
        <f>IFERROR(__xludf.DUMMYFUNCTION("""COMPUTED_VALUE"""),"Актуально")</f>
        <v>Актуально</v>
      </c>
      <c r="U411" s="88" t="str">
        <f>IFERROR(__xludf.DUMMYFUNCTION("""COMPUTED_VALUE"""),"Даша")</f>
        <v>Даша</v>
      </c>
    </row>
    <row r="412">
      <c r="A412" s="88">
        <f>IFERROR(__xludf.DUMMYFUNCTION("""COMPUTED_VALUE"""),52.0)</f>
        <v>52</v>
      </c>
      <c r="B412" s="88" t="str">
        <f>IFERROR(__xludf.DUMMYFUNCTION("""COMPUTED_VALUE"""),"artoks_1_1")</f>
        <v>artoks_1_1</v>
      </c>
      <c r="C412" s="88">
        <f>IFERROR(__xludf.DUMMYFUNCTION("""COMPUTED_VALUE"""),1.12926195E9)</f>
        <v>1129261950</v>
      </c>
      <c r="E412" s="88" t="str">
        <f>IFERROR(__xludf.DUMMYFUNCTION("""COMPUTED_VALUE"""),"Актуально")</f>
        <v>Актуально</v>
      </c>
      <c r="F412" s="88" t="str">
        <f>IFERROR(__xludf.DUMMYFUNCTION("""COMPUTED_VALUE"""),"Мария")</f>
        <v>Мария</v>
      </c>
      <c r="P412" s="88">
        <f>IFERROR(__xludf.DUMMYFUNCTION("""COMPUTED_VALUE"""),45.0)</f>
        <v>45</v>
      </c>
      <c r="Q412" s="88" t="str">
        <f>IFERROR(__xludf.DUMMYFUNCTION("""COMPUTED_VALUE"""),"okospas")</f>
        <v>okospas</v>
      </c>
      <c r="R412" s="88">
        <f>IFERROR(__xludf.DUMMYFUNCTION("""COMPUTED_VALUE"""),8.36659639E8)</f>
        <v>836659639</v>
      </c>
      <c r="T412" s="88" t="str">
        <f>IFERROR(__xludf.DUMMYFUNCTION("""COMPUTED_VALUE"""),"Актуально")</f>
        <v>Актуально</v>
      </c>
      <c r="U412" s="88" t="str">
        <f>IFERROR(__xludf.DUMMYFUNCTION("""COMPUTED_VALUE"""),"Влад")</f>
        <v>Влад</v>
      </c>
    </row>
    <row r="413">
      <c r="A413" s="88">
        <f>IFERROR(__xludf.DUMMYFUNCTION("""COMPUTED_VALUE"""),108.0)</f>
        <v>108</v>
      </c>
      <c r="B413" s="88" t="str">
        <f>IFERROR(__xludf.DUMMYFUNCTION("""COMPUTED_VALUE"""),"uromax")</f>
        <v>uromax</v>
      </c>
      <c r="C413" s="88">
        <f>IFERROR(__xludf.DUMMYFUNCTION("""COMPUTED_VALUE"""),1.589191436E9)</f>
        <v>1589191436</v>
      </c>
      <c r="E413" s="88" t="str">
        <f>IFERROR(__xludf.DUMMYFUNCTION("""COMPUTED_VALUE"""),"Актуально")</f>
        <v>Актуально</v>
      </c>
      <c r="F413" s="88" t="str">
        <f>IFERROR(__xludf.DUMMYFUNCTION("""COMPUTED_VALUE"""),"Кирилл")</f>
        <v>Кирилл</v>
      </c>
      <c r="P413" s="88">
        <f>IFERROR(__xludf.DUMMYFUNCTION("""COMPUTED_VALUE"""),99.0)</f>
        <v>99</v>
      </c>
      <c r="Q413" s="88" t="str">
        <f>IFERROR(__xludf.DUMMYFUNCTION("""COMPUTED_VALUE"""),"oftalmol")</f>
        <v>oftalmol</v>
      </c>
      <c r="R413" s="88">
        <f>IFERROR(__xludf.DUMMYFUNCTION("""COMPUTED_VALUE"""),1.542468939E9)</f>
        <v>1542468939</v>
      </c>
      <c r="T413" s="88" t="str">
        <f>IFERROR(__xludf.DUMMYFUNCTION("""COMPUTED_VALUE"""),"Актуально")</f>
        <v>Актуально</v>
      </c>
      <c r="U413" s="88" t="str">
        <f>IFERROR(__xludf.DUMMYFUNCTION("""COMPUTED_VALUE"""),"Влад")</f>
        <v>Влад</v>
      </c>
    </row>
    <row r="414">
      <c r="A414" s="88">
        <f>IFERROR(__xludf.DUMMYFUNCTION("""COMPUTED_VALUE"""),45.0)</f>
        <v>45</v>
      </c>
      <c r="B414" s="88" t="str">
        <f>IFERROR(__xludf.DUMMYFUNCTION("""COMPUTED_VALUE"""),"okospas")</f>
        <v>okospas</v>
      </c>
      <c r="C414" s="88">
        <f>IFERROR(__xludf.DUMMYFUNCTION("""COMPUTED_VALUE"""),8.36659639E8)</f>
        <v>836659639</v>
      </c>
      <c r="E414" s="88" t="str">
        <f>IFERROR(__xludf.DUMMYFUNCTION("""COMPUTED_VALUE"""),"Актуально")</f>
        <v>Актуально</v>
      </c>
      <c r="F414" s="88" t="str">
        <f>IFERROR(__xludf.DUMMYFUNCTION("""COMPUTED_VALUE"""),"Кирилл")</f>
        <v>Кирилл</v>
      </c>
      <c r="P414" s="88">
        <f>IFERROR(__xludf.DUMMYFUNCTION("""COMPUTED_VALUE"""),139.0)</f>
        <v>139</v>
      </c>
      <c r="Q414" s="88" t="str">
        <f>IFERROR(__xludf.DUMMYFUNCTION("""COMPUTED_VALUE"""),"revmastop_BAD_60caps")</f>
        <v>revmastop_BAD_60caps</v>
      </c>
      <c r="R414" s="88">
        <f>IFERROR(__xludf.DUMMYFUNCTION("""COMPUTED_VALUE"""),1.761037555E9)</f>
        <v>1761037555</v>
      </c>
      <c r="T414" s="88" t="str">
        <f>IFERROR(__xludf.DUMMYFUNCTION("""COMPUTED_VALUE"""),"На вывод")</f>
        <v>На вывод</v>
      </c>
      <c r="U414" s="88" t="str">
        <f>IFERROR(__xludf.DUMMYFUNCTION("""COMPUTED_VALUE"""),"Влад")</f>
        <v>Влад</v>
      </c>
    </row>
    <row r="415">
      <c r="A415" s="88">
        <f>IFERROR(__xludf.DUMMYFUNCTION("""COMPUTED_VALUE"""),46.0)</f>
        <v>46</v>
      </c>
      <c r="B415" s="88" t="str">
        <f>IFERROR(__xludf.DUMMYFUNCTION("""COMPUTED_VALUE"""),"okospas")</f>
        <v>okospas</v>
      </c>
      <c r="C415" s="88">
        <f>IFERROR(__xludf.DUMMYFUNCTION("""COMPUTED_VALUE"""),2.031240714E9)</f>
        <v>2031240714</v>
      </c>
      <c r="E415" s="88" t="str">
        <f>IFERROR(__xludf.DUMMYFUNCTION("""COMPUTED_VALUE"""),"Под вопросом")</f>
        <v>Под вопросом</v>
      </c>
      <c r="F415" s="88" t="str">
        <f>IFERROR(__xludf.DUMMYFUNCTION("""COMPUTED_VALUE"""),"Кирилл")</f>
        <v>Кирилл</v>
      </c>
      <c r="P415" s="88">
        <f>IFERROR(__xludf.DUMMYFUNCTION("""COMPUTED_VALUE"""),166.0)</f>
        <v>166</v>
      </c>
      <c r="Q415" s="88" t="str">
        <f>IFERROR(__xludf.DUMMYFUNCTION("""COMPUTED_VALUE"""),"maslo_dlya_volos_parf_110ml_")</f>
        <v>maslo_dlya_volos_parf_110ml_</v>
      </c>
      <c r="R415" s="88">
        <f>IFERROR(__xludf.DUMMYFUNCTION("""COMPUTED_VALUE"""),2.168297398E9)</f>
        <v>2168297398</v>
      </c>
      <c r="T415" s="88" t="str">
        <f>IFERROR(__xludf.DUMMYFUNCTION("""COMPUTED_VALUE"""),"Актуально")</f>
        <v>Актуально</v>
      </c>
      <c r="U415" s="88" t="str">
        <f>IFERROR(__xludf.DUMMYFUNCTION("""COMPUTED_VALUE"""),"Даша")</f>
        <v>Даша</v>
      </c>
    </row>
    <row r="416">
      <c r="A416" s="88">
        <f>IFERROR(__xludf.DUMMYFUNCTION("""COMPUTED_VALUE"""),169.0)</f>
        <v>169</v>
      </c>
      <c r="B416" s="88" t="str">
        <f>IFERROR(__xludf.DUMMYFUNCTION("""COMPUTED_VALUE"""),"telomeras_60caps")</f>
        <v>telomeras_60caps</v>
      </c>
      <c r="C416" s="88">
        <f>IFERROR(__xludf.DUMMYFUNCTION("""COMPUTED_VALUE"""),2.498032276E9)</f>
        <v>2498032276</v>
      </c>
      <c r="E416" s="88" t="str">
        <f>IFERROR(__xludf.DUMMYFUNCTION("""COMPUTED_VALUE"""),"Актуально")</f>
        <v>Актуально</v>
      </c>
      <c r="F416" s="88" t="str">
        <f>IFERROR(__xludf.DUMMYFUNCTION("""COMPUTED_VALUE"""),"Светлана")</f>
        <v>Светлана</v>
      </c>
      <c r="P416" s="88">
        <f>IFERROR(__xludf.DUMMYFUNCTION("""COMPUTED_VALUE"""),38.0)</f>
        <v>38</v>
      </c>
      <c r="Q416" s="88" t="str">
        <f>IFERROR(__xludf.DUMMYFUNCTION("""COMPUTED_VALUE"""),"activeprost")</f>
        <v>activeprost</v>
      </c>
      <c r="R416" s="88">
        <f>IFERROR(__xludf.DUMMYFUNCTION("""COMPUTED_VALUE"""),7.32602771E8)</f>
        <v>732602771</v>
      </c>
      <c r="T416" s="88" t="str">
        <f>IFERROR(__xludf.DUMMYFUNCTION("""COMPUTED_VALUE"""),"Актуально")</f>
        <v>Актуально</v>
      </c>
      <c r="U416" s="88" t="str">
        <f>IFERROR(__xludf.DUMMYFUNCTION("""COMPUTED_VALUE"""),"Влад")</f>
        <v>Влад</v>
      </c>
    </row>
    <row r="417">
      <c r="A417" s="88">
        <f>IFERROR(__xludf.DUMMYFUNCTION("""COMPUTED_VALUE"""),97.0)</f>
        <v>97</v>
      </c>
      <c r="B417" s="88" t="str">
        <f>IFERROR(__xludf.DUMMYFUNCTION("""COMPUTED_VALUE"""),"trezvin")</f>
        <v>trezvin</v>
      </c>
      <c r="C417" s="88">
        <f>IFERROR(__xludf.DUMMYFUNCTION("""COMPUTED_VALUE"""),1.541858934E9)</f>
        <v>1541858934</v>
      </c>
      <c r="E417" s="88" t="str">
        <f>IFERROR(__xludf.DUMMYFUNCTION("""COMPUTED_VALUE"""),"Актуально")</f>
        <v>Актуально</v>
      </c>
      <c r="F417" s="88" t="str">
        <f>IFERROR(__xludf.DUMMYFUNCTION("""COMPUTED_VALUE"""),"Кирилл")</f>
        <v>Кирилл</v>
      </c>
      <c r="P417" s="88">
        <f>IFERROR(__xludf.DUMMYFUNCTION("""COMPUTED_VALUE"""),98.0)</f>
        <v>98</v>
      </c>
      <c r="Q417" s="88" t="str">
        <f>IFERROR(__xludf.DUMMYFUNCTION("""COMPUTED_VALUE"""),"enteroshol")</f>
        <v>enteroshol</v>
      </c>
      <c r="R417" s="88">
        <f>IFERROR(__xludf.DUMMYFUNCTION("""COMPUTED_VALUE"""),1.542004482E9)</f>
        <v>1542004482</v>
      </c>
      <c r="T417" s="88" t="str">
        <f>IFERROR(__xludf.DUMMYFUNCTION("""COMPUTED_VALUE"""),"Актуально")</f>
        <v>Актуально</v>
      </c>
      <c r="U417" s="88" t="str">
        <f>IFERROR(__xludf.DUMMYFUNCTION("""COMPUTED_VALUE"""),"Даша")</f>
        <v>Даша</v>
      </c>
    </row>
    <row r="418">
      <c r="A418" s="88">
        <f>IFERROR(__xludf.DUMMYFUNCTION("""COMPUTED_VALUE"""),173.0)</f>
        <v>173</v>
      </c>
      <c r="B418" s="88" t="str">
        <f>IFERROR(__xludf.DUMMYFUNCTION("""COMPUTED_VALUE"""),"pink_pepper_50ml")</f>
        <v>pink_pepper_50ml</v>
      </c>
      <c r="C418" s="88">
        <f>IFERROR(__xludf.DUMMYFUNCTION("""COMPUTED_VALUE"""),2.58313961E9)</f>
        <v>2583139610</v>
      </c>
      <c r="E418" s="88" t="str">
        <f>IFERROR(__xludf.DUMMYFUNCTION("""COMPUTED_VALUE"""),"Актуально")</f>
        <v>Актуально</v>
      </c>
      <c r="F418" s="88" t="str">
        <f>IFERROR(__xludf.DUMMYFUNCTION("""COMPUTED_VALUE"""),"Олеся")</f>
        <v>Олеся</v>
      </c>
      <c r="P418" s="88">
        <f>IFERROR(__xludf.DUMMYFUNCTION("""COMPUTED_VALUE"""),52.0)</f>
        <v>52</v>
      </c>
      <c r="Q418" s="88" t="str">
        <f>IFERROR(__xludf.DUMMYFUNCTION("""COMPUTED_VALUE"""),"artoks_1_1")</f>
        <v>artoks_1_1</v>
      </c>
      <c r="R418" s="88">
        <f>IFERROR(__xludf.DUMMYFUNCTION("""COMPUTED_VALUE"""),1.12926195E9)</f>
        <v>1129261950</v>
      </c>
      <c r="T418" s="88" t="str">
        <f>IFERROR(__xludf.DUMMYFUNCTION("""COMPUTED_VALUE"""),"Актуально")</f>
        <v>Актуально</v>
      </c>
      <c r="U418" s="88" t="str">
        <f>IFERROR(__xludf.DUMMYFUNCTION("""COMPUTED_VALUE"""),"Влад")</f>
        <v>Влад</v>
      </c>
    </row>
    <row r="419">
      <c r="A419" s="88">
        <f>IFERROR(__xludf.DUMMYFUNCTION("""COMPUTED_VALUE"""),121.0)</f>
        <v>121</v>
      </c>
      <c r="B419" s="88" t="str">
        <f>IFERROR(__xludf.DUMMYFUNCTION("""COMPUTED_VALUE"""),"nabor_remuver_kremovii")</f>
        <v>nabor_remuver_kremovii</v>
      </c>
      <c r="C419" s="88">
        <f>IFERROR(__xludf.DUMMYFUNCTION("""COMPUTED_VALUE"""),1.657229241E9)</f>
        <v>1657229241</v>
      </c>
      <c r="E419" s="88" t="str">
        <f>IFERROR(__xludf.DUMMYFUNCTION("""COMPUTED_VALUE"""),"Актуально")</f>
        <v>Актуально</v>
      </c>
      <c r="F419" s="88" t="str">
        <f>IFERROR(__xludf.DUMMYFUNCTION("""COMPUTED_VALUE"""),"Мария")</f>
        <v>Мария</v>
      </c>
      <c r="P419" s="88">
        <f>IFERROR(__xludf.DUMMYFUNCTION("""COMPUTED_VALUE"""),64.0)</f>
        <v>64</v>
      </c>
      <c r="Q419" s="88" t="str">
        <f>IFERROR(__xludf.DUMMYFUNCTION("""COMPUTED_VALUE"""),"khvoinitsa_1_1")</f>
        <v>khvoinitsa_1_1</v>
      </c>
      <c r="R419" s="88">
        <f>IFERROR(__xludf.DUMMYFUNCTION("""COMPUTED_VALUE"""),1.191194423E9)</f>
        <v>1191194423</v>
      </c>
      <c r="T419" s="88" t="str">
        <f>IFERROR(__xludf.DUMMYFUNCTION("""COMPUTED_VALUE"""),"Актуально")</f>
        <v>Актуально</v>
      </c>
      <c r="U419" s="88" t="str">
        <f>IFERROR(__xludf.DUMMYFUNCTION("""COMPUTED_VALUE"""),"Даша")</f>
        <v>Даша</v>
      </c>
    </row>
    <row r="420">
      <c r="A420" s="88">
        <f>IFERROR(__xludf.DUMMYFUNCTION("""COMPUTED_VALUE"""),91.0)</f>
        <v>91</v>
      </c>
      <c r="B420" s="88" t="str">
        <f>IFERROR(__xludf.DUMMYFUNCTION("""COMPUTED_VALUE"""),"chudogrib")</f>
        <v>chudogrib</v>
      </c>
      <c r="C420" s="88">
        <f>IFERROR(__xludf.DUMMYFUNCTION("""COMPUTED_VALUE"""),1.528840163E9)</f>
        <v>1528840163</v>
      </c>
      <c r="E420" s="88" t="str">
        <f>IFERROR(__xludf.DUMMYFUNCTION("""COMPUTED_VALUE"""),"Актуально")</f>
        <v>Актуально</v>
      </c>
      <c r="F420" s="88" t="str">
        <f>IFERROR(__xludf.DUMMYFUNCTION("""COMPUTED_VALUE"""),"Кирилл")</f>
        <v>Кирилл</v>
      </c>
      <c r="P420" s="88">
        <f>IFERROR(__xludf.DUMMYFUNCTION("""COMPUTED_VALUE"""),78.0)</f>
        <v>78</v>
      </c>
      <c r="Q420" s="88" t="str">
        <f>IFERROR(__xludf.DUMMYFUNCTION("""COMPUTED_VALUE"""),"daoshen_75ml")</f>
        <v>daoshen_75ml</v>
      </c>
      <c r="R420" s="88">
        <f>IFERROR(__xludf.DUMMYFUNCTION("""COMPUTED_VALUE"""),1.350973604E9)</f>
        <v>1350973604</v>
      </c>
      <c r="T420" s="88" t="str">
        <f>IFERROR(__xludf.DUMMYFUNCTION("""COMPUTED_VALUE"""),"Актуально")</f>
        <v>Актуально</v>
      </c>
      <c r="U420" s="88" t="str">
        <f>IFERROR(__xludf.DUMMYFUNCTION("""COMPUTED_VALUE"""),"Даша")</f>
        <v>Даша</v>
      </c>
    </row>
    <row r="421">
      <c r="A421" s="88">
        <f>IFERROR(__xludf.DUMMYFUNCTION("""COMPUTED_VALUE"""),98.0)</f>
        <v>98</v>
      </c>
      <c r="B421" s="88" t="str">
        <f>IFERROR(__xludf.DUMMYFUNCTION("""COMPUTED_VALUE"""),"enteroshol")</f>
        <v>enteroshol</v>
      </c>
      <c r="C421" s="88">
        <f>IFERROR(__xludf.DUMMYFUNCTION("""COMPUTED_VALUE"""),1.542004482E9)</f>
        <v>1542004482</v>
      </c>
      <c r="E421" s="88" t="str">
        <f>IFERROR(__xludf.DUMMYFUNCTION("""COMPUTED_VALUE"""),"Актуально")</f>
        <v>Актуально</v>
      </c>
      <c r="F421" s="88" t="str">
        <f>IFERROR(__xludf.DUMMYFUNCTION("""COMPUTED_VALUE"""),"Кирилл")</f>
        <v>Кирилл</v>
      </c>
      <c r="P421" s="88">
        <f>IFERROR(__xludf.DUMMYFUNCTION("""COMPUTED_VALUE"""),122.0)</f>
        <v>122</v>
      </c>
      <c r="Q421" s="88" t="str">
        <f>IFERROR(__xludf.DUMMYFUNCTION("""COMPUTED_VALUE"""),"gel_dlya_brovei_6ml")</f>
        <v>gel_dlya_brovei_6ml</v>
      </c>
      <c r="R421" s="88">
        <f>IFERROR(__xludf.DUMMYFUNCTION("""COMPUTED_VALUE"""),1.671085702E9)</f>
        <v>1671085702</v>
      </c>
      <c r="T421" s="88" t="str">
        <f>IFERROR(__xludf.DUMMYFUNCTION("""COMPUTED_VALUE"""),"Актуально")</f>
        <v>Актуально</v>
      </c>
      <c r="U421" s="88" t="str">
        <f>IFERROR(__xludf.DUMMYFUNCTION("""COMPUTED_VALUE"""),"Даша")</f>
        <v>Даша</v>
      </c>
    </row>
    <row r="422">
      <c r="A422" s="88">
        <f>IFERROR(__xludf.DUMMYFUNCTION("""COMPUTED_VALUE"""),12.0)</f>
        <v>12</v>
      </c>
      <c r="B422" s="88" t="str">
        <f>IFERROR(__xludf.DUMMYFUNCTION("""COMPUTED_VALUE"""),"wbmicelix")</f>
        <v>wbmicelix</v>
      </c>
      <c r="C422" s="88">
        <f>IFERROR(__xludf.DUMMYFUNCTION("""COMPUTED_VALUE"""),2.91845947E8)</f>
        <v>291845947</v>
      </c>
      <c r="E422" s="88" t="str">
        <f>IFERROR(__xludf.DUMMYFUNCTION("""COMPUTED_VALUE"""),"Актуально")</f>
        <v>Актуально</v>
      </c>
      <c r="F422" s="88" t="str">
        <f>IFERROR(__xludf.DUMMYFUNCTION("""COMPUTED_VALUE"""),"Кирилл")</f>
        <v>Кирилл</v>
      </c>
      <c r="P422" s="88">
        <f>IFERROR(__xludf.DUMMYFUNCTION("""COMPUTED_VALUE"""),138.0)</f>
        <v>138</v>
      </c>
      <c r="Q422" s="88" t="str">
        <f>IFERROR(__xludf.DUMMYFUNCTION("""COMPUTED_VALUE"""),"b_kompleks_BAD_60tabl")</f>
        <v>b_kompleks_BAD_60tabl</v>
      </c>
      <c r="R422" s="88">
        <f>IFERROR(__xludf.DUMMYFUNCTION("""COMPUTED_VALUE"""),1.758604241E9)</f>
        <v>1758604241</v>
      </c>
      <c r="T422" s="88" t="str">
        <f>IFERROR(__xludf.DUMMYFUNCTION("""COMPUTED_VALUE"""),"Актуально")</f>
        <v>Актуально</v>
      </c>
      <c r="U422" s="88" t="str">
        <f>IFERROR(__xludf.DUMMYFUNCTION("""COMPUTED_VALUE"""),"Даша")</f>
        <v>Даша</v>
      </c>
    </row>
    <row r="423">
      <c r="A423" s="88">
        <f>IFERROR(__xludf.DUMMYFUNCTION("""COMPUTED_VALUE"""),80.0)</f>
        <v>80</v>
      </c>
      <c r="B423" s="88" t="str">
        <f>IFERROR(__xludf.DUMMYFUNCTION("""COMPUTED_VALUE"""),"sustalit_75ml")</f>
        <v>sustalit_75ml</v>
      </c>
      <c r="C423" s="88">
        <f>IFERROR(__xludf.DUMMYFUNCTION("""COMPUTED_VALUE"""),1.354226463E9)</f>
        <v>1354226463</v>
      </c>
      <c r="E423" s="88" t="str">
        <f>IFERROR(__xludf.DUMMYFUNCTION("""COMPUTED_VALUE"""),"Актуально")</f>
        <v>Актуально</v>
      </c>
      <c r="F423" s="88" t="str">
        <f>IFERROR(__xludf.DUMMYFUNCTION("""COMPUTED_VALUE"""),"Олеся")</f>
        <v>Олеся</v>
      </c>
      <c r="P423" s="88">
        <f>IFERROR(__xludf.DUMMYFUNCTION("""COMPUTED_VALUE"""),117.0)</f>
        <v>117</v>
      </c>
      <c r="Q423" s="88" t="str">
        <f>IFERROR(__xludf.DUMMYFUNCTION("""COMPUTED_VALUE"""),"menoflavon_BAD_60caps")</f>
        <v>menoflavon_BAD_60caps</v>
      </c>
      <c r="R423" s="88">
        <f>IFERROR(__xludf.DUMMYFUNCTION("""COMPUTED_VALUE"""),1.614639084E9)</f>
        <v>1614639084</v>
      </c>
      <c r="T423" s="88" t="str">
        <f>IFERROR(__xludf.DUMMYFUNCTION("""COMPUTED_VALUE"""),"Актуально")</f>
        <v>Актуально</v>
      </c>
      <c r="U423" s="88" t="str">
        <f>IFERROR(__xludf.DUMMYFUNCTION("""COMPUTED_VALUE"""),"Даша")</f>
        <v>Даша</v>
      </c>
    </row>
    <row r="424">
      <c r="A424" s="88">
        <f>IFERROR(__xludf.DUMMYFUNCTION("""COMPUTED_VALUE"""),83.0)</f>
        <v>83</v>
      </c>
      <c r="B424" s="88" t="str">
        <f>IFERROR(__xludf.DUMMYFUNCTION("""COMPUTED_VALUE"""),"kremshelk_100ml")</f>
        <v>kremshelk_100ml</v>
      </c>
      <c r="C424" s="88">
        <f>IFERROR(__xludf.DUMMYFUNCTION("""COMPUTED_VALUE"""),1.413566896E9)</f>
        <v>1413566896</v>
      </c>
      <c r="E424" s="88" t="str">
        <f>IFERROR(__xludf.DUMMYFUNCTION("""COMPUTED_VALUE"""),"Актуально")</f>
        <v>Актуально</v>
      </c>
      <c r="F424" s="88" t="str">
        <f>IFERROR(__xludf.DUMMYFUNCTION("""COMPUTED_VALUE"""),"Олеся")</f>
        <v>Олеся</v>
      </c>
      <c r="P424" s="88">
        <f>IFERROR(__xludf.DUMMYFUNCTION("""COMPUTED_VALUE"""),73.0)</f>
        <v>73</v>
      </c>
      <c r="Q424" s="88" t="str">
        <f>IFERROR(__xludf.DUMMYFUNCTION("""COMPUTED_VALUE"""),"synergel_60ml")</f>
        <v>synergel_60ml</v>
      </c>
      <c r="R424" s="88">
        <f>IFERROR(__xludf.DUMMYFUNCTION("""COMPUTED_VALUE"""),1.324992259E9)</f>
        <v>1324992259</v>
      </c>
      <c r="T424" s="88" t="str">
        <f>IFERROR(__xludf.DUMMYFUNCTION("""COMPUTED_VALUE"""),"Актуально")</f>
        <v>Актуально</v>
      </c>
      <c r="U424" s="88" t="str">
        <f>IFERROR(__xludf.DUMMYFUNCTION("""COMPUTED_VALUE"""),"Влад")</f>
        <v>Влад</v>
      </c>
    </row>
    <row r="425">
      <c r="A425" s="88">
        <f>IFERROR(__xludf.DUMMYFUNCTION("""COMPUTED_VALUE"""),19.0)</f>
        <v>19</v>
      </c>
      <c r="B425" s="88" t="str">
        <f>IFERROR(__xludf.DUMMYFUNCTION("""COMPUTED_VALUE"""),"micardin")</f>
        <v>micardin</v>
      </c>
      <c r="C425" s="88">
        <f>IFERROR(__xludf.DUMMYFUNCTION("""COMPUTED_VALUE"""),2.96818697E8)</f>
        <v>296818697</v>
      </c>
      <c r="E425" s="88" t="str">
        <f>IFERROR(__xludf.DUMMYFUNCTION("""COMPUTED_VALUE"""),"Актуально")</f>
        <v>Актуально</v>
      </c>
      <c r="F425" s="88" t="str">
        <f>IFERROR(__xludf.DUMMYFUNCTION("""COMPUTED_VALUE"""),"Светлана")</f>
        <v>Светлана</v>
      </c>
      <c r="P425" s="88">
        <f>IFERROR(__xludf.DUMMYFUNCTION("""COMPUTED_VALUE"""),37.0)</f>
        <v>37</v>
      </c>
      <c r="Q425" s="88" t="str">
        <f>IFERROR(__xludf.DUMMYFUNCTION("""COMPUTED_VALUE"""),"trezax")</f>
        <v>trezax</v>
      </c>
      <c r="R425" s="88">
        <f>IFERROR(__xludf.DUMMYFUNCTION("""COMPUTED_VALUE"""),7.33369927E8)</f>
        <v>733369927</v>
      </c>
      <c r="T425" s="88" t="str">
        <f>IFERROR(__xludf.DUMMYFUNCTION("""COMPUTED_VALUE"""),"Актуально")</f>
        <v>Актуально</v>
      </c>
      <c r="U425" s="88" t="str">
        <f>IFERROR(__xludf.DUMMYFUNCTION("""COMPUTED_VALUE"""),"Влад")</f>
        <v>Влад</v>
      </c>
    </row>
    <row r="426">
      <c r="A426" s="88">
        <f>IFERROR(__xludf.DUMMYFUNCTION("""COMPUTED_VALUE"""),73.0)</f>
        <v>73</v>
      </c>
      <c r="B426" s="88" t="str">
        <f>IFERROR(__xludf.DUMMYFUNCTION("""COMPUTED_VALUE"""),"synergel_60ml")</f>
        <v>synergel_60ml</v>
      </c>
      <c r="C426" s="88">
        <f>IFERROR(__xludf.DUMMYFUNCTION("""COMPUTED_VALUE"""),1.324992259E9)</f>
        <v>1324992259</v>
      </c>
      <c r="E426" s="88" t="str">
        <f>IFERROR(__xludf.DUMMYFUNCTION("""COMPUTED_VALUE"""),"Актуально")</f>
        <v>Актуально</v>
      </c>
      <c r="F426" s="88" t="str">
        <f>IFERROR(__xludf.DUMMYFUNCTION("""COMPUTED_VALUE"""),"Олеся")</f>
        <v>Олеся</v>
      </c>
      <c r="P426" s="88">
        <f>IFERROR(__xludf.DUMMYFUNCTION("""COMPUTED_VALUE"""),55.0)</f>
        <v>55</v>
      </c>
      <c r="Q426" s="88" t="str">
        <f>IFERROR(__xludf.DUMMYFUNCTION("""COMPUTED_VALUE"""),"kardicin_1_1")</f>
        <v>kardicin_1_1</v>
      </c>
      <c r="R426" s="88">
        <f>IFERROR(__xludf.DUMMYFUNCTION("""COMPUTED_VALUE"""),1.129300642E9)</f>
        <v>1129300642</v>
      </c>
      <c r="T426" s="88" t="str">
        <f>IFERROR(__xludf.DUMMYFUNCTION("""COMPUTED_VALUE"""),"Актуально")</f>
        <v>Актуально</v>
      </c>
      <c r="U426" s="88" t="str">
        <f>IFERROR(__xludf.DUMMYFUNCTION("""COMPUTED_VALUE"""),"Влад")</f>
        <v>Влад</v>
      </c>
    </row>
    <row r="427">
      <c r="A427" s="88">
        <f>IFERROR(__xludf.DUMMYFUNCTION("""COMPUTED_VALUE"""),131.0)</f>
        <v>131</v>
      </c>
      <c r="B427" s="88" t="str">
        <f>IFERROR(__xludf.DUMMYFUNCTION("""COMPUTED_VALUE"""),"termo_sprei_200ml")</f>
        <v>termo_sprei_200ml</v>
      </c>
      <c r="C427" s="88">
        <f>IFERROR(__xludf.DUMMYFUNCTION("""COMPUTED_VALUE"""),1.720926371E9)</f>
        <v>1720926371</v>
      </c>
      <c r="E427" s="88" t="str">
        <f>IFERROR(__xludf.DUMMYFUNCTION("""COMPUTED_VALUE"""),"Актуально")</f>
        <v>Актуально</v>
      </c>
      <c r="F427" s="88" t="str">
        <f>IFERROR(__xludf.DUMMYFUNCTION("""COMPUTED_VALUE"""),"Мария")</f>
        <v>Мария</v>
      </c>
      <c r="P427" s="88">
        <f>IFERROR(__xludf.DUMMYFUNCTION("""COMPUTED_VALUE"""),181.0)</f>
        <v>181</v>
      </c>
      <c r="Q427" s="88" t="str">
        <f>IFERROR(__xludf.DUMMYFUNCTION("""COMPUTED_VALUE"""),"uromax_1_1")</f>
        <v>uromax_1_1</v>
      </c>
      <c r="R427" s="88">
        <f>IFERROR(__xludf.DUMMYFUNCTION("""COMPUTED_VALUE"""),2.825142977E9)</f>
        <v>2825142977</v>
      </c>
      <c r="T427" s="88" t="str">
        <f>IFERROR(__xludf.DUMMYFUNCTION("""COMPUTED_VALUE"""),"Актуально")</f>
        <v>Актуально</v>
      </c>
      <c r="U427" s="88" t="str">
        <f>IFERROR(__xludf.DUMMYFUNCTION("""COMPUTED_VALUE"""),"Влад")</f>
        <v>Влад</v>
      </c>
    </row>
    <row r="428">
      <c r="A428" s="88">
        <f>IFERROR(__xludf.DUMMYFUNCTION("""COMPUTED_VALUE"""),87.0)</f>
        <v>87</v>
      </c>
      <c r="B428" s="88" t="str">
        <f>IFERROR(__xludf.DUMMYFUNCTION("""COMPUTED_VALUE"""),"piling_100ml")</f>
        <v>piling_100ml</v>
      </c>
      <c r="C428" s="88">
        <f>IFERROR(__xludf.DUMMYFUNCTION("""COMPUTED_VALUE"""),1.500346998E9)</f>
        <v>1500346998</v>
      </c>
      <c r="E428" s="88" t="str">
        <f>IFERROR(__xludf.DUMMYFUNCTION("""COMPUTED_VALUE"""),"На вывод")</f>
        <v>На вывод</v>
      </c>
      <c r="F428" s="88" t="str">
        <f>IFERROR(__xludf.DUMMYFUNCTION("""COMPUTED_VALUE"""),"Олеся")</f>
        <v>Олеся</v>
      </c>
      <c r="P428" s="88">
        <f>IFERROR(__xludf.DUMMYFUNCTION("""COMPUTED_VALUE"""),136.0)</f>
        <v>136</v>
      </c>
      <c r="Q428" s="88" t="str">
        <f>IFERROR(__xludf.DUMMYFUNCTION("""COMPUTED_VALUE"""),"i_am_alpha_BAD_60caps")</f>
        <v>i_am_alpha_BAD_60caps</v>
      </c>
      <c r="R428" s="88">
        <f>IFERROR(__xludf.DUMMYFUNCTION("""COMPUTED_VALUE"""),1.752060204E9)</f>
        <v>1752060204</v>
      </c>
      <c r="T428" s="88" t="str">
        <f>IFERROR(__xludf.DUMMYFUNCTION("""COMPUTED_VALUE"""),"Актуально")</f>
        <v>Актуально</v>
      </c>
      <c r="U428" s="88" t="str">
        <f>IFERROR(__xludf.DUMMYFUNCTION("""COMPUTED_VALUE"""),"Влад")</f>
        <v>Влад</v>
      </c>
    </row>
    <row r="429">
      <c r="A429" s="88">
        <f>IFERROR(__xludf.DUMMYFUNCTION("""COMPUTED_VALUE"""),120.0)</f>
        <v>120</v>
      </c>
      <c r="B429" s="88" t="str">
        <f>IFERROR(__xludf.DUMMYFUNCTION("""COMPUTED_VALUE"""),"wbbiotrin_1_1_1")</f>
        <v>wbbiotrin_1_1_1</v>
      </c>
      <c r="C429" s="88">
        <f>IFERROR(__xludf.DUMMYFUNCTION("""COMPUTED_VALUE"""),1.646797818E9)</f>
        <v>1646797818</v>
      </c>
      <c r="E429" s="88" t="str">
        <f>IFERROR(__xludf.DUMMYFUNCTION("""COMPUTED_VALUE"""),"Актуально")</f>
        <v>Актуально</v>
      </c>
      <c r="F429" s="88" t="str">
        <f>IFERROR(__xludf.DUMMYFUNCTION("""COMPUTED_VALUE"""),"Олеся")</f>
        <v>Олеся</v>
      </c>
      <c r="P429" s="88">
        <f>IFERROR(__xludf.DUMMYFUNCTION("""COMPUTED_VALUE"""),21.0)</f>
        <v>21</v>
      </c>
      <c r="Q429" s="88" t="str">
        <f>IFERROR(__xludf.DUMMYFUNCTION("""COMPUTED_VALUE"""),"micardinforte")</f>
        <v>micardinforte</v>
      </c>
      <c r="R429" s="88">
        <f>IFERROR(__xludf.DUMMYFUNCTION("""COMPUTED_VALUE"""),3.13362644E8)</f>
        <v>313362644</v>
      </c>
      <c r="T429" s="88" t="str">
        <f>IFERROR(__xludf.DUMMYFUNCTION("""COMPUTED_VALUE"""),"Актуально")</f>
        <v>Актуально</v>
      </c>
      <c r="U429" s="88" t="str">
        <f>IFERROR(__xludf.DUMMYFUNCTION("""COMPUTED_VALUE"""),"Влад")</f>
        <v>Влад</v>
      </c>
    </row>
    <row r="430">
      <c r="A430" s="88">
        <f>IFERROR(__xludf.DUMMYFUNCTION("""COMPUTED_VALUE"""),104.0)</f>
        <v>104</v>
      </c>
      <c r="B430" s="88" t="str">
        <f>IFERROR(__xludf.DUMMYFUNCTION("""COMPUTED_VALUE"""),"retiderm_50ml")</f>
        <v>retiderm_50ml</v>
      </c>
      <c r="C430" s="88">
        <f>IFERROR(__xludf.DUMMYFUNCTION("""COMPUTED_VALUE"""),1.548072003E9)</f>
        <v>1548072003</v>
      </c>
      <c r="E430" s="88" t="str">
        <f>IFERROR(__xludf.DUMMYFUNCTION("""COMPUTED_VALUE"""),"Актуально")</f>
        <v>Актуально</v>
      </c>
      <c r="F430" s="88" t="str">
        <f>IFERROR(__xludf.DUMMYFUNCTION("""COMPUTED_VALUE"""),"Олеся")</f>
        <v>Олеся</v>
      </c>
      <c r="P430" s="88">
        <f>IFERROR(__xludf.DUMMYFUNCTION("""COMPUTED_VALUE"""),120.0)</f>
        <v>120</v>
      </c>
      <c r="Q430" s="88" t="str">
        <f>IFERROR(__xludf.DUMMYFUNCTION("""COMPUTED_VALUE"""),"wbbiotrin_1_1_1")</f>
        <v>wbbiotrin_1_1_1</v>
      </c>
      <c r="R430" s="88">
        <f>IFERROR(__xludf.DUMMYFUNCTION("""COMPUTED_VALUE"""),1.646797818E9)</f>
        <v>1646797818</v>
      </c>
      <c r="T430" s="88" t="str">
        <f>IFERROR(__xludf.DUMMYFUNCTION("""COMPUTED_VALUE"""),"Актуально")</f>
        <v>Актуально</v>
      </c>
      <c r="U430" s="88" t="str">
        <f>IFERROR(__xludf.DUMMYFUNCTION("""COMPUTED_VALUE"""),"Влад")</f>
        <v>Влад</v>
      </c>
    </row>
    <row r="431">
      <c r="A431" s="88">
        <f>IFERROR(__xludf.DUMMYFUNCTION("""COMPUTED_VALUE"""),76.0)</f>
        <v>76</v>
      </c>
      <c r="B431" s="88" t="str">
        <f>IFERROR(__xludf.DUMMYFUNCTION("""COMPUTED_VALUE"""),"nabor_remuver_40ml")</f>
        <v>nabor_remuver_40ml</v>
      </c>
      <c r="C431" s="88">
        <f>IFERROR(__xludf.DUMMYFUNCTION("""COMPUTED_VALUE"""),1.350956924E9)</f>
        <v>1350956924</v>
      </c>
      <c r="E431" s="88" t="str">
        <f>IFERROR(__xludf.DUMMYFUNCTION("""COMPUTED_VALUE"""),"Актуально")</f>
        <v>Актуально</v>
      </c>
      <c r="F431" s="88" t="str">
        <f>IFERROR(__xludf.DUMMYFUNCTION("""COMPUTED_VALUE"""),"Мария")</f>
        <v>Мария</v>
      </c>
      <c r="P431" s="88">
        <f>IFERROR(__xludf.DUMMYFUNCTION("""COMPUTED_VALUE"""),19.0)</f>
        <v>19</v>
      </c>
      <c r="Q431" s="88" t="str">
        <f>IFERROR(__xludf.DUMMYFUNCTION("""COMPUTED_VALUE"""),"micardin")</f>
        <v>micardin</v>
      </c>
      <c r="R431" s="88">
        <f>IFERROR(__xludf.DUMMYFUNCTION("""COMPUTED_VALUE"""),2.96818697E8)</f>
        <v>296818697</v>
      </c>
      <c r="T431" s="88" t="str">
        <f>IFERROR(__xludf.DUMMYFUNCTION("""COMPUTED_VALUE"""),"Актуально")</f>
        <v>Актуально</v>
      </c>
      <c r="U431" s="88" t="str">
        <f>IFERROR(__xludf.DUMMYFUNCTION("""COMPUTED_VALUE"""),"Влад")</f>
        <v>Влад</v>
      </c>
    </row>
    <row r="432">
      <c r="A432" s="88">
        <f>IFERROR(__xludf.DUMMYFUNCTION("""COMPUTED_VALUE"""),53.0)</f>
        <v>53</v>
      </c>
      <c r="B432" s="88" t="str">
        <f>IFERROR(__xludf.DUMMYFUNCTION("""COMPUTED_VALUE"""),"micardin_1_1")</f>
        <v>micardin_1_1</v>
      </c>
      <c r="C432" s="88">
        <f>IFERROR(__xludf.DUMMYFUNCTION("""COMPUTED_VALUE"""),1.129297463E9)</f>
        <v>1129297463</v>
      </c>
      <c r="E432" s="88" t="str">
        <f>IFERROR(__xludf.DUMMYFUNCTION("""COMPUTED_VALUE"""),"Актуально")</f>
        <v>Актуально</v>
      </c>
      <c r="F432" s="88" t="str">
        <f>IFERROR(__xludf.DUMMYFUNCTION("""COMPUTED_VALUE"""),"Светлана")</f>
        <v>Светлана</v>
      </c>
      <c r="P432" s="88">
        <f>IFERROR(__xludf.DUMMYFUNCTION("""COMPUTED_VALUE"""),72.0)</f>
        <v>72</v>
      </c>
      <c r="Q432" s="88" t="str">
        <f>IFERROR(__xludf.DUMMYFUNCTION("""COMPUTED_VALUE"""),"artoks_75ml")</f>
        <v>artoks_75ml</v>
      </c>
      <c r="R432" s="88">
        <f>IFERROR(__xludf.DUMMYFUNCTION("""COMPUTED_VALUE"""),1.323284376E9)</f>
        <v>1323284376</v>
      </c>
      <c r="T432" s="88" t="str">
        <f>IFERROR(__xludf.DUMMYFUNCTION("""COMPUTED_VALUE"""),"Актуально")</f>
        <v>Актуально</v>
      </c>
      <c r="U432" s="88" t="str">
        <f>IFERROR(__xludf.DUMMYFUNCTION("""COMPUTED_VALUE"""),"Влад")</f>
        <v>Влад</v>
      </c>
    </row>
    <row r="433">
      <c r="A433" s="88">
        <f>IFERROR(__xludf.DUMMYFUNCTION("""COMPUTED_VALUE"""),116.0)</f>
        <v>116</v>
      </c>
      <c r="B433" s="88" t="str">
        <f>IFERROR(__xludf.DUMMYFUNCTION("""COMPUTED_VALUE"""),"syvorotka_dlya_lica_30ml")</f>
        <v>syvorotka_dlya_lica_30ml</v>
      </c>
      <c r="C433" s="88">
        <f>IFERROR(__xludf.DUMMYFUNCTION("""COMPUTED_VALUE"""),1.613771317E9)</f>
        <v>1613771317</v>
      </c>
      <c r="E433" s="88" t="str">
        <f>IFERROR(__xludf.DUMMYFUNCTION("""COMPUTED_VALUE"""),"Актуально")</f>
        <v>Актуально</v>
      </c>
      <c r="F433" s="88" t="str">
        <f>IFERROR(__xludf.DUMMYFUNCTION("""COMPUTED_VALUE"""),"Олеся")</f>
        <v>Олеся</v>
      </c>
      <c r="P433" s="88">
        <f>IFERROR(__xludf.DUMMYFUNCTION("""COMPUTED_VALUE"""),82.0)</f>
        <v>82</v>
      </c>
      <c r="Q433" s="88" t="str">
        <f>IFERROR(__xludf.DUMMYFUNCTION("""COMPUTED_VALUE"""),"krem_dlya_ruk_75ml")</f>
        <v>krem_dlya_ruk_75ml</v>
      </c>
      <c r="R433" s="88">
        <f>IFERROR(__xludf.DUMMYFUNCTION("""COMPUTED_VALUE"""),1.413555098E9)</f>
        <v>1413555098</v>
      </c>
      <c r="T433" s="88" t="str">
        <f>IFERROR(__xludf.DUMMYFUNCTION("""COMPUTED_VALUE"""),"Актуально")</f>
        <v>Актуально</v>
      </c>
      <c r="U433" s="88" t="str">
        <f>IFERROR(__xludf.DUMMYFUNCTION("""COMPUTED_VALUE"""),"Влад")</f>
        <v>Влад</v>
      </c>
    </row>
    <row r="434">
      <c r="A434" s="88">
        <f>IFERROR(__xludf.DUMMYFUNCTION("""COMPUTED_VALUE"""),63.0)</f>
        <v>63</v>
      </c>
      <c r="B434" s="88" t="str">
        <f>IFERROR(__xludf.DUMMYFUNCTION("""COMPUTED_VALUE"""),"sanatsin_1_1")</f>
        <v>sanatsin_1_1</v>
      </c>
      <c r="C434" s="88">
        <f>IFERROR(__xludf.DUMMYFUNCTION("""COMPUTED_VALUE"""),1.188041492E9)</f>
        <v>1188041492</v>
      </c>
      <c r="E434" s="88" t="str">
        <f>IFERROR(__xludf.DUMMYFUNCTION("""COMPUTED_VALUE"""),"Актуально")</f>
        <v>Актуально</v>
      </c>
      <c r="F434" s="88" t="str">
        <f>IFERROR(__xludf.DUMMYFUNCTION("""COMPUTED_VALUE"""),"Кирилл")</f>
        <v>Кирилл</v>
      </c>
      <c r="P434" s="88">
        <f>IFERROR(__xludf.DUMMYFUNCTION("""COMPUTED_VALUE"""),5.0)</f>
        <v>5</v>
      </c>
      <c r="Q434" s="88" t="str">
        <f>IFERROR(__xludf.DUMMYFUNCTION("""COMPUTED_VALUE"""),"wbsinergel")</f>
        <v>wbsinergel</v>
      </c>
      <c r="R434" s="88">
        <f>IFERROR(__xludf.DUMMYFUNCTION("""COMPUTED_VALUE"""),2.89049035E8)</f>
        <v>289049035</v>
      </c>
      <c r="T434" s="88" t="str">
        <f>IFERROR(__xludf.DUMMYFUNCTION("""COMPUTED_VALUE"""),"Актуально")</f>
        <v>Актуально</v>
      </c>
      <c r="U434" s="88" t="str">
        <f>IFERROR(__xludf.DUMMYFUNCTION("""COMPUTED_VALUE"""),"Влад")</f>
        <v>Влад</v>
      </c>
    </row>
    <row r="435">
      <c r="A435" s="88">
        <f>IFERROR(__xludf.DUMMYFUNCTION("""COMPUTED_VALUE"""),64.0)</f>
        <v>64</v>
      </c>
      <c r="B435" s="88" t="str">
        <f>IFERROR(__xludf.DUMMYFUNCTION("""COMPUTED_VALUE"""),"khvoinitsa_1_1")</f>
        <v>khvoinitsa_1_1</v>
      </c>
      <c r="C435" s="88">
        <f>IFERROR(__xludf.DUMMYFUNCTION("""COMPUTED_VALUE"""),1.191194423E9)</f>
        <v>1191194423</v>
      </c>
      <c r="E435" s="88" t="str">
        <f>IFERROR(__xludf.DUMMYFUNCTION("""COMPUTED_VALUE"""),"Актуально")</f>
        <v>Актуально</v>
      </c>
      <c r="F435" s="88" t="str">
        <f>IFERROR(__xludf.DUMMYFUNCTION("""COMPUTED_VALUE"""),"Светлана")</f>
        <v>Светлана</v>
      </c>
      <c r="P435" s="88">
        <f>IFERROR(__xludf.DUMMYFUNCTION("""COMPUTED_VALUE"""),42.0)</f>
        <v>42</v>
      </c>
      <c r="Q435" s="88" t="str">
        <f>IFERROR(__xludf.DUMMYFUNCTION("""COMPUTED_VALUE"""),"otivin")</f>
        <v>otivin</v>
      </c>
      <c r="R435" s="88">
        <f>IFERROR(__xludf.DUMMYFUNCTION("""COMPUTED_VALUE"""),7.92260062E8)</f>
        <v>792260062</v>
      </c>
      <c r="T435" s="88" t="str">
        <f>IFERROR(__xludf.DUMMYFUNCTION("""COMPUTED_VALUE"""),"Актуально")</f>
        <v>Актуально</v>
      </c>
      <c r="U435" s="88" t="str">
        <f>IFERROR(__xludf.DUMMYFUNCTION("""COMPUTED_VALUE"""),"Влад")</f>
        <v>Влад</v>
      </c>
    </row>
    <row r="436">
      <c r="A436" s="88">
        <f>IFERROR(__xludf.DUMMYFUNCTION("""COMPUTED_VALUE"""),34.0)</f>
        <v>34</v>
      </c>
      <c r="B436" s="88" t="str">
        <f>IFERROR(__xludf.DUMMYFUNCTION("""COMPUTED_VALUE"""),"pirantox")</f>
        <v>pirantox</v>
      </c>
      <c r="C436" s="88">
        <f>IFERROR(__xludf.DUMMYFUNCTION("""COMPUTED_VALUE"""),6.69985038E8)</f>
        <v>669985038</v>
      </c>
      <c r="E436" s="88" t="str">
        <f>IFERROR(__xludf.DUMMYFUNCTION("""COMPUTED_VALUE"""),"Актуально")</f>
        <v>Актуально</v>
      </c>
      <c r="F436" s="88" t="str">
        <f>IFERROR(__xludf.DUMMYFUNCTION("""COMPUTED_VALUE"""),"Кирилл")</f>
        <v>Кирилл</v>
      </c>
      <c r="P436" s="88">
        <f>IFERROR(__xludf.DUMMYFUNCTION("""COMPUTED_VALUE"""),97.0)</f>
        <v>97</v>
      </c>
      <c r="Q436" s="88" t="str">
        <f>IFERROR(__xludf.DUMMYFUNCTION("""COMPUTED_VALUE"""),"trezvin")</f>
        <v>trezvin</v>
      </c>
      <c r="R436" s="88">
        <f>IFERROR(__xludf.DUMMYFUNCTION("""COMPUTED_VALUE"""),1.541858934E9)</f>
        <v>1541858934</v>
      </c>
      <c r="T436" s="88" t="str">
        <f>IFERROR(__xludf.DUMMYFUNCTION("""COMPUTED_VALUE"""),"Актуально")</f>
        <v>Актуально</v>
      </c>
      <c r="U436" s="88" t="str">
        <f>IFERROR(__xludf.DUMMYFUNCTION("""COMPUTED_VALUE"""),"Влад")</f>
        <v>Влад</v>
      </c>
    </row>
    <row r="437">
      <c r="A437" s="88">
        <f>IFERROR(__xludf.DUMMYFUNCTION("""COMPUTED_VALUE"""),167.0)</f>
        <v>167</v>
      </c>
      <c r="B437" s="88" t="str">
        <f>IFERROR(__xludf.DUMMYFUNCTION("""COMPUTED_VALUE"""),"syvorotka_dlya_rosta_6ml_v2")</f>
        <v>syvorotka_dlya_rosta_6ml_v2</v>
      </c>
      <c r="C437" s="88">
        <f>IFERROR(__xludf.DUMMYFUNCTION("""COMPUTED_VALUE"""),2.3969724E9)</f>
        <v>2396972400</v>
      </c>
      <c r="E437" s="88" t="str">
        <f>IFERROR(__xludf.DUMMYFUNCTION("""COMPUTED_VALUE"""),"Актуально")</f>
        <v>Актуально</v>
      </c>
      <c r="F437" s="88" t="str">
        <f>IFERROR(__xludf.DUMMYFUNCTION("""COMPUTED_VALUE"""),"Кирилл")</f>
        <v>Кирилл</v>
      </c>
      <c r="P437" s="88">
        <f>IFERROR(__xludf.DUMMYFUNCTION("""COMPUTED_VALUE"""),53.0)</f>
        <v>53</v>
      </c>
      <c r="Q437" s="88" t="str">
        <f>IFERROR(__xludf.DUMMYFUNCTION("""COMPUTED_VALUE"""),"micardin_1_1")</f>
        <v>micardin_1_1</v>
      </c>
      <c r="R437" s="88">
        <f>IFERROR(__xludf.DUMMYFUNCTION("""COMPUTED_VALUE"""),1.129297463E9)</f>
        <v>1129297463</v>
      </c>
      <c r="T437" s="88" t="str">
        <f>IFERROR(__xludf.DUMMYFUNCTION("""COMPUTED_VALUE"""),"Актуально")</f>
        <v>Актуально</v>
      </c>
      <c r="U437" s="88" t="str">
        <f>IFERROR(__xludf.DUMMYFUNCTION("""COMPUTED_VALUE"""),"Влад")</f>
        <v>Влад</v>
      </c>
    </row>
    <row r="438">
      <c r="A438" s="88">
        <f>IFERROR(__xludf.DUMMYFUNCTION("""COMPUTED_VALUE"""),74.0)</f>
        <v>74</v>
      </c>
      <c r="B438" s="88" t="str">
        <f>IFERROR(__xludf.DUMMYFUNCTION("""COMPUTED_VALUE"""),"pantogor_100ml")</f>
        <v>pantogor_100ml</v>
      </c>
      <c r="C438" s="88">
        <f>IFERROR(__xludf.DUMMYFUNCTION("""COMPUTED_VALUE"""),1.324991816E9)</f>
        <v>1324991816</v>
      </c>
      <c r="E438" s="88" t="str">
        <f>IFERROR(__xludf.DUMMYFUNCTION("""COMPUTED_VALUE"""),"Актуально")</f>
        <v>Актуально</v>
      </c>
      <c r="F438" s="88" t="str">
        <f>IFERROR(__xludf.DUMMYFUNCTION("""COMPUTED_VALUE"""),"Мария")</f>
        <v>Мария</v>
      </c>
      <c r="P438" s="88">
        <f>IFERROR(__xludf.DUMMYFUNCTION("""COMPUTED_VALUE"""),91.0)</f>
        <v>91</v>
      </c>
      <c r="Q438" s="88" t="str">
        <f>IFERROR(__xludf.DUMMYFUNCTION("""COMPUTED_VALUE"""),"chudogrib")</f>
        <v>chudogrib</v>
      </c>
      <c r="R438" s="88">
        <f>IFERROR(__xludf.DUMMYFUNCTION("""COMPUTED_VALUE"""),1.528840163E9)</f>
        <v>1528840163</v>
      </c>
      <c r="T438" s="88" t="str">
        <f>IFERROR(__xludf.DUMMYFUNCTION("""COMPUTED_VALUE"""),"Актуально")</f>
        <v>Актуально</v>
      </c>
      <c r="U438" s="88" t="str">
        <f>IFERROR(__xludf.DUMMYFUNCTION("""COMPUTED_VALUE"""),"Влад")</f>
        <v>Влад</v>
      </c>
    </row>
    <row r="439">
      <c r="A439" s="88">
        <f>IFERROR(__xludf.DUMMYFUNCTION("""COMPUTED_VALUE"""),99.0)</f>
        <v>99</v>
      </c>
      <c r="B439" s="88" t="str">
        <f>IFERROR(__xludf.DUMMYFUNCTION("""COMPUTED_VALUE"""),"oftalmol")</f>
        <v>oftalmol</v>
      </c>
      <c r="C439" s="88">
        <f>IFERROR(__xludf.DUMMYFUNCTION("""COMPUTED_VALUE"""),1.542468939E9)</f>
        <v>1542468939</v>
      </c>
      <c r="E439" s="88" t="str">
        <f>IFERROR(__xludf.DUMMYFUNCTION("""COMPUTED_VALUE"""),"Актуально")</f>
        <v>Актуально</v>
      </c>
      <c r="F439" s="88" t="str">
        <f>IFERROR(__xludf.DUMMYFUNCTION("""COMPUTED_VALUE"""),"Кирилл")</f>
        <v>Кирилл</v>
      </c>
      <c r="P439" s="88">
        <f>IFERROR(__xludf.DUMMYFUNCTION("""COMPUTED_VALUE"""),43.0)</f>
        <v>43</v>
      </c>
      <c r="Q439" s="88" t="str">
        <f>IFERROR(__xludf.DUMMYFUNCTION("""COMPUTED_VALUE"""),"psoral")</f>
        <v>psoral</v>
      </c>
      <c r="R439" s="88">
        <f>IFERROR(__xludf.DUMMYFUNCTION("""COMPUTED_VALUE"""),7.93309964E8)</f>
        <v>793309964</v>
      </c>
      <c r="T439" s="88" t="str">
        <f>IFERROR(__xludf.DUMMYFUNCTION("""COMPUTED_VALUE"""),"Актуально")</f>
        <v>Актуально</v>
      </c>
      <c r="U439" s="88" t="str">
        <f>IFERROR(__xludf.DUMMYFUNCTION("""COMPUTED_VALUE"""),"Влад")</f>
        <v>Влад</v>
      </c>
    </row>
    <row r="440">
      <c r="A440" s="88">
        <f>IFERROR(__xludf.DUMMYFUNCTION("""COMPUTED_VALUE"""),139.0)</f>
        <v>139</v>
      </c>
      <c r="B440" s="88" t="str">
        <f>IFERROR(__xludf.DUMMYFUNCTION("""COMPUTED_VALUE"""),"revmastop_BAD_60caps")</f>
        <v>revmastop_BAD_60caps</v>
      </c>
      <c r="C440" s="88">
        <f>IFERROR(__xludf.DUMMYFUNCTION("""COMPUTED_VALUE"""),1.761037555E9)</f>
        <v>1761037555</v>
      </c>
      <c r="E440" s="88" t="str">
        <f>IFERROR(__xludf.DUMMYFUNCTION("""COMPUTED_VALUE"""),"На вывод")</f>
        <v>На вывод</v>
      </c>
      <c r="F440" s="88" t="str">
        <f>IFERROR(__xludf.DUMMYFUNCTION("""COMPUTED_VALUE"""),"Светлана")</f>
        <v>Светлана</v>
      </c>
      <c r="P440" s="88">
        <f>IFERROR(__xludf.DUMMYFUNCTION("""COMPUTED_VALUE"""),151.0)</f>
        <v>151</v>
      </c>
      <c r="Q440" s="88" t="str">
        <f>IFERROR(__xludf.DUMMYFUNCTION("""COMPUTED_VALUE"""),"solevoy_sprei_200ml")</f>
        <v>solevoy_sprei_200ml</v>
      </c>
      <c r="R440" s="88">
        <f>IFERROR(__xludf.DUMMYFUNCTION("""COMPUTED_VALUE"""),1.860164273E9)</f>
        <v>1860164273</v>
      </c>
      <c r="T440" s="88" t="str">
        <f>IFERROR(__xludf.DUMMYFUNCTION("""COMPUTED_VALUE"""),"Актуально")</f>
        <v>Актуально</v>
      </c>
      <c r="U440" s="88" t="str">
        <f>IFERROR(__xludf.DUMMYFUNCTION("""COMPUTED_VALUE"""),"Даша")</f>
        <v>Даша</v>
      </c>
    </row>
    <row r="441">
      <c r="A441" s="88">
        <f>IFERROR(__xludf.DUMMYFUNCTION("""COMPUTED_VALUE"""),49.0)</f>
        <v>49</v>
      </c>
      <c r="B441" s="88" t="str">
        <f>IFERROR(__xludf.DUMMYFUNCTION("""COMPUTED_VALUE"""),"allicil_gribok15ml")</f>
        <v>allicil_gribok15ml</v>
      </c>
      <c r="C441" s="88">
        <f>IFERROR(__xludf.DUMMYFUNCTION("""COMPUTED_VALUE"""),9.16705489E8)</f>
        <v>916705489</v>
      </c>
      <c r="E441" s="88" t="str">
        <f>IFERROR(__xludf.DUMMYFUNCTION("""COMPUTED_VALUE"""),"Актуально")</f>
        <v>Актуально</v>
      </c>
      <c r="F441" s="88" t="str">
        <f>IFERROR(__xludf.DUMMYFUNCTION("""COMPUTED_VALUE"""),"Олеся")</f>
        <v>Олеся</v>
      </c>
      <c r="P441" s="88">
        <f>IFERROR(__xludf.DUMMYFUNCTION("""COMPUTED_VALUE"""),173.0)</f>
        <v>173</v>
      </c>
      <c r="Q441" s="88" t="str">
        <f>IFERROR(__xludf.DUMMYFUNCTION("""COMPUTED_VALUE"""),"pink_pepper_50ml")</f>
        <v>pink_pepper_50ml</v>
      </c>
      <c r="R441" s="88">
        <f>IFERROR(__xludf.DUMMYFUNCTION("""COMPUTED_VALUE"""),2.58313961E9)</f>
        <v>2583139610</v>
      </c>
      <c r="T441" s="88" t="str">
        <f>IFERROR(__xludf.DUMMYFUNCTION("""COMPUTED_VALUE"""),"Актуально")</f>
        <v>Актуально</v>
      </c>
      <c r="U441" s="88" t="str">
        <f>IFERROR(__xludf.DUMMYFUNCTION("""COMPUTED_VALUE"""),"Даша")</f>
        <v>Даша</v>
      </c>
    </row>
    <row r="442">
      <c r="A442" s="88">
        <f>IFERROR(__xludf.DUMMYFUNCTION("""COMPUTED_VALUE"""),50.0)</f>
        <v>50</v>
      </c>
      <c r="B442" s="88" t="str">
        <f>IFERROR(__xludf.DUMMYFUNCTION("""COMPUTED_VALUE"""),"allicil_gribok15ml")</f>
        <v>allicil_gribok15ml</v>
      </c>
      <c r="C442" s="88">
        <f>IFERROR(__xludf.DUMMYFUNCTION("""COMPUTED_VALUE"""),2.031221045E9)</f>
        <v>2031221045</v>
      </c>
      <c r="E442" s="88" t="str">
        <f>IFERROR(__xludf.DUMMYFUNCTION("""COMPUTED_VALUE"""),"Актуально")</f>
        <v>Актуально</v>
      </c>
      <c r="F442" s="88" t="str">
        <f>IFERROR(__xludf.DUMMYFUNCTION("""COMPUTED_VALUE"""),"Олеся")</f>
        <v>Олеся</v>
      </c>
      <c r="P442" s="88">
        <f>IFERROR(__xludf.DUMMYFUNCTION("""COMPUTED_VALUE"""),87.0)</f>
        <v>87</v>
      </c>
      <c r="Q442" s="88" t="str">
        <f>IFERROR(__xludf.DUMMYFUNCTION("""COMPUTED_VALUE"""),"piling_100ml")</f>
        <v>piling_100ml</v>
      </c>
      <c r="R442" s="88">
        <f>IFERROR(__xludf.DUMMYFUNCTION("""COMPUTED_VALUE"""),1.500346998E9)</f>
        <v>1500346998</v>
      </c>
      <c r="T442" s="88" t="str">
        <f>IFERROR(__xludf.DUMMYFUNCTION("""COMPUTED_VALUE"""),"На вывод")</f>
        <v>На вывод</v>
      </c>
      <c r="U442" s="88" t="str">
        <f>IFERROR(__xludf.DUMMYFUNCTION("""COMPUTED_VALUE"""),"Даша")</f>
        <v>Даша</v>
      </c>
    </row>
    <row r="443">
      <c r="A443" s="88">
        <f>IFERROR(__xludf.DUMMYFUNCTION("""COMPUTED_VALUE"""),157.0)</f>
        <v>157</v>
      </c>
      <c r="B443" s="88" t="str">
        <f>IFERROR(__xludf.DUMMYFUNCTION("""COMPUTED_VALUE"""),"gel_antiakne_20ml")</f>
        <v>gel_antiakne_20ml</v>
      </c>
      <c r="C443" s="88">
        <f>IFERROR(__xludf.DUMMYFUNCTION("""COMPUTED_VALUE"""),2.015557258E9)</f>
        <v>2015557258</v>
      </c>
      <c r="E443" s="88" t="str">
        <f>IFERROR(__xludf.DUMMYFUNCTION("""COMPUTED_VALUE"""),"На вывод")</f>
        <v>На вывод</v>
      </c>
      <c r="F443" s="88" t="str">
        <f>IFERROR(__xludf.DUMMYFUNCTION("""COMPUTED_VALUE"""),"Кирилл")</f>
        <v>Кирилл</v>
      </c>
      <c r="P443" s="88">
        <f>IFERROR(__xludf.DUMMYFUNCTION("""COMPUTED_VALUE"""),154.0)</f>
        <v>154</v>
      </c>
      <c r="Q443" s="88" t="str">
        <f>IFERROR(__xludf.DUMMYFUNCTION("""COMPUTED_VALUE"""),"gel_brows_5ml")</f>
        <v>gel_brows_5ml</v>
      </c>
      <c r="R443" s="88">
        <f>IFERROR(__xludf.DUMMYFUNCTION("""COMPUTED_VALUE"""),1.917265136E9)</f>
        <v>1917265136</v>
      </c>
      <c r="T443" s="88" t="str">
        <f>IFERROR(__xludf.DUMMYFUNCTION("""COMPUTED_VALUE"""),"Актуально")</f>
        <v>Актуально</v>
      </c>
      <c r="U443" s="88" t="str">
        <f>IFERROR(__xludf.DUMMYFUNCTION("""COMPUTED_VALUE"""),"Даша")</f>
        <v>Даша</v>
      </c>
    </row>
    <row r="444">
      <c r="A444" s="88">
        <f>IFERROR(__xludf.DUMMYFUNCTION("""COMPUTED_VALUE"""),147.0)</f>
        <v>147</v>
      </c>
      <c r="B444" s="88" t="str">
        <f>IFERROR(__xludf.DUMMYFUNCTION("""COMPUTED_VALUE"""),"gel_for_men_3_in_1_1000ml")</f>
        <v>gel_for_men_3_in_1_1000ml</v>
      </c>
      <c r="C444" s="88">
        <f>IFERROR(__xludf.DUMMYFUNCTION("""COMPUTED_VALUE"""),1.847971373E9)</f>
        <v>1847971373</v>
      </c>
      <c r="E444" s="88" t="str">
        <f>IFERROR(__xludf.DUMMYFUNCTION("""COMPUTED_VALUE"""),"Актуально")</f>
        <v>Актуально</v>
      </c>
      <c r="F444" s="88" t="str">
        <f>IFERROR(__xludf.DUMMYFUNCTION("""COMPUTED_VALUE"""),"Кирилл")</f>
        <v>Кирилл</v>
      </c>
      <c r="P444" s="88">
        <f>IFERROR(__xludf.DUMMYFUNCTION("""COMPUTED_VALUE"""),30.0)</f>
        <v>30</v>
      </c>
      <c r="Q444" s="88" t="str">
        <f>IFERROR(__xludf.DUMMYFUNCTION("""COMPUTED_VALUE"""),"daoshen")</f>
        <v>daoshen</v>
      </c>
      <c r="R444" s="88">
        <f>IFERROR(__xludf.DUMMYFUNCTION("""COMPUTED_VALUE"""),5.63811764E8)</f>
        <v>563811764</v>
      </c>
      <c r="T444" s="88" t="str">
        <f>IFERROR(__xludf.DUMMYFUNCTION("""COMPUTED_VALUE"""),"Актуально")</f>
        <v>Актуально</v>
      </c>
      <c r="U444" s="88" t="str">
        <f>IFERROR(__xludf.DUMMYFUNCTION("""COMPUTED_VALUE"""),"Даша")</f>
        <v>Даша</v>
      </c>
    </row>
    <row r="445">
      <c r="A445" s="88">
        <f>IFERROR(__xludf.DUMMYFUNCTION("""COMPUTED_VALUE"""),113.0)</f>
        <v>113</v>
      </c>
      <c r="B445" s="88" t="str">
        <f>IFERROR(__xludf.DUMMYFUNCTION("""COMPUTED_VALUE"""),"gemorekt")</f>
        <v>gemorekt</v>
      </c>
      <c r="C445" s="88">
        <f>IFERROR(__xludf.DUMMYFUNCTION("""COMPUTED_VALUE"""),1.590267064E9)</f>
        <v>1590267064</v>
      </c>
      <c r="E445" s="88" t="str">
        <f>IFERROR(__xludf.DUMMYFUNCTION("""COMPUTED_VALUE"""),"Актуально")</f>
        <v>Актуально</v>
      </c>
      <c r="F445" s="88" t="str">
        <f>IFERROR(__xludf.DUMMYFUNCTION("""COMPUTED_VALUE"""),"Олеся")</f>
        <v>Олеся</v>
      </c>
      <c r="P445" s="88">
        <f>IFERROR(__xludf.DUMMYFUNCTION("""COMPUTED_VALUE"""),63.0)</f>
        <v>63</v>
      </c>
      <c r="Q445" s="88" t="str">
        <f>IFERROR(__xludf.DUMMYFUNCTION("""COMPUTED_VALUE"""),"sanatsin_1_1")</f>
        <v>sanatsin_1_1</v>
      </c>
      <c r="R445" s="88">
        <f>IFERROR(__xludf.DUMMYFUNCTION("""COMPUTED_VALUE"""),1.188041492E9)</f>
        <v>1188041492</v>
      </c>
      <c r="T445" s="88" t="str">
        <f>IFERROR(__xludf.DUMMYFUNCTION("""COMPUTED_VALUE"""),"Актуально")</f>
        <v>Актуально</v>
      </c>
      <c r="U445" s="88" t="str">
        <f>IFERROR(__xludf.DUMMYFUNCTION("""COMPUTED_VALUE"""),"Даша")</f>
        <v>Даша</v>
      </c>
    </row>
    <row r="446">
      <c r="A446" s="88">
        <f>IFERROR(__xludf.DUMMYFUNCTION("""COMPUTED_VALUE"""),179.0)</f>
        <v>179</v>
      </c>
      <c r="B446" s="88" t="str">
        <f>IFERROR(__xludf.DUMMYFUNCTION("""COMPUTED_VALUE"""),"mycoplax_1_1")</f>
        <v>mycoplax_1_1</v>
      </c>
      <c r="C446" s="88">
        <f>IFERROR(__xludf.DUMMYFUNCTION("""COMPUTED_VALUE"""),2.825114763E9)</f>
        <v>2825114763</v>
      </c>
      <c r="E446" s="88" t="str">
        <f>IFERROR(__xludf.DUMMYFUNCTION("""COMPUTED_VALUE"""),"Актуально")</f>
        <v>Актуально</v>
      </c>
      <c r="F446" s="88" t="str">
        <f>IFERROR(__xludf.DUMMYFUNCTION("""COMPUTED_VALUE"""),"Олеся")</f>
        <v>Олеся</v>
      </c>
      <c r="P446" s="88">
        <f>IFERROR(__xludf.DUMMYFUNCTION("""COMPUTED_VALUE"""),107.0)</f>
        <v>107</v>
      </c>
      <c r="Q446" s="88" t="str">
        <f>IFERROR(__xludf.DUMMYFUNCTION("""COMPUTED_VALUE"""),"maslo_dlya_volos_parf_110ml")</f>
        <v>maslo_dlya_volos_parf_110ml</v>
      </c>
      <c r="R446" s="88">
        <f>IFERROR(__xludf.DUMMYFUNCTION("""COMPUTED_VALUE"""),1.583009752E9)</f>
        <v>1583009752</v>
      </c>
      <c r="T446" s="88" t="str">
        <f>IFERROR(__xludf.DUMMYFUNCTION("""COMPUTED_VALUE"""),"На вывод")</f>
        <v>На вывод</v>
      </c>
      <c r="U446" s="88" t="str">
        <f>IFERROR(__xludf.DUMMYFUNCTION("""COMPUTED_VALUE"""),"Даша")</f>
        <v>Даша</v>
      </c>
    </row>
    <row r="447">
      <c r="A447" s="88">
        <f>IFERROR(__xludf.DUMMYFUNCTION("""COMPUTED_VALUE"""),176.0)</f>
        <v>176</v>
      </c>
      <c r="B447" s="88" t="str">
        <f>IFERROR(__xludf.DUMMYFUNCTION("""COMPUTED_VALUE"""),"arterol_1_1")</f>
        <v>arterol_1_1</v>
      </c>
      <c r="C447" s="88">
        <f>IFERROR(__xludf.DUMMYFUNCTION("""COMPUTED_VALUE"""),2.825063594E9)</f>
        <v>2825063594</v>
      </c>
      <c r="E447" s="88" t="str">
        <f>IFERROR(__xludf.DUMMYFUNCTION("""COMPUTED_VALUE"""),"Актуально")</f>
        <v>Актуально</v>
      </c>
      <c r="F447" s="88" t="str">
        <f>IFERROR(__xludf.DUMMYFUNCTION("""COMPUTED_VALUE"""),"Кирилл")</f>
        <v>Кирилл</v>
      </c>
      <c r="P447" s="88">
        <f>IFERROR(__xludf.DUMMYFUNCTION("""COMPUTED_VALUE"""),147.0)</f>
        <v>147</v>
      </c>
      <c r="Q447" s="88" t="str">
        <f>IFERROR(__xludf.DUMMYFUNCTION("""COMPUTED_VALUE"""),"gel_for_men_3_in_1_1000ml")</f>
        <v>gel_for_men_3_in_1_1000ml</v>
      </c>
      <c r="R447" s="88">
        <f>IFERROR(__xludf.DUMMYFUNCTION("""COMPUTED_VALUE"""),1.847971373E9)</f>
        <v>1847971373</v>
      </c>
      <c r="T447" s="88" t="str">
        <f>IFERROR(__xludf.DUMMYFUNCTION("""COMPUTED_VALUE"""),"Актуально")</f>
        <v>Актуально</v>
      </c>
      <c r="U447" s="88" t="str">
        <f>IFERROR(__xludf.DUMMYFUNCTION("""COMPUTED_VALUE"""),"Влад")</f>
        <v>Влад</v>
      </c>
    </row>
    <row r="448">
      <c r="A448" s="88">
        <f>IFERROR(__xludf.DUMMYFUNCTION("""COMPUTED_VALUE"""),37.0)</f>
        <v>37</v>
      </c>
      <c r="B448" s="88" t="str">
        <f>IFERROR(__xludf.DUMMYFUNCTION("""COMPUTED_VALUE"""),"trezax")</f>
        <v>trezax</v>
      </c>
      <c r="C448" s="88">
        <f>IFERROR(__xludf.DUMMYFUNCTION("""COMPUTED_VALUE"""),7.33369927E8)</f>
        <v>733369927</v>
      </c>
      <c r="E448" s="88" t="str">
        <f>IFERROR(__xludf.DUMMYFUNCTION("""COMPUTED_VALUE"""),"Актуально")</f>
        <v>Актуально</v>
      </c>
      <c r="F448" s="88" t="str">
        <f>IFERROR(__xludf.DUMMYFUNCTION("""COMPUTED_VALUE"""),"Кирилл")</f>
        <v>Кирилл</v>
      </c>
      <c r="P448" s="88">
        <f>IFERROR(__xludf.DUMMYFUNCTION("""COMPUTED_VALUE"""),134.0)</f>
        <v>134</v>
      </c>
      <c r="Q448" s="88" t="str">
        <f>IFERROR(__xludf.DUMMYFUNCTION("""COMPUTED_VALUE"""),"syvorotka_guk_30ml")</f>
        <v>syvorotka_guk_30ml</v>
      </c>
      <c r="R448" s="88">
        <f>IFERROR(__xludf.DUMMYFUNCTION("""COMPUTED_VALUE"""),1.745303363E9)</f>
        <v>1745303363</v>
      </c>
      <c r="T448" s="88" t="str">
        <f>IFERROR(__xludf.DUMMYFUNCTION("""COMPUTED_VALUE"""),"Актуально")</f>
        <v>Актуально</v>
      </c>
      <c r="U448" s="88" t="str">
        <f>IFERROR(__xludf.DUMMYFUNCTION("""COMPUTED_VALUE"""),"Даша")</f>
        <v>Даша</v>
      </c>
    </row>
    <row r="449">
      <c r="A449" s="88">
        <f>IFERROR(__xludf.DUMMYFUNCTION("""COMPUTED_VALUE"""),117.0)</f>
        <v>117</v>
      </c>
      <c r="B449" s="88" t="str">
        <f>IFERROR(__xludf.DUMMYFUNCTION("""COMPUTED_VALUE"""),"menoflavon_BAD_60caps")</f>
        <v>menoflavon_BAD_60caps</v>
      </c>
      <c r="C449" s="88">
        <f>IFERROR(__xludf.DUMMYFUNCTION("""COMPUTED_VALUE"""),1.614639084E9)</f>
        <v>1614639084</v>
      </c>
      <c r="E449" s="88" t="str">
        <f>IFERROR(__xludf.DUMMYFUNCTION("""COMPUTED_VALUE"""),"На вывод")</f>
        <v>На вывод</v>
      </c>
      <c r="F449" s="88" t="str">
        <f>IFERROR(__xludf.DUMMYFUNCTION("""COMPUTED_VALUE"""),"Светлана")</f>
        <v>Светлана</v>
      </c>
      <c r="P449" s="88">
        <f>IFERROR(__xludf.DUMMYFUNCTION("""COMPUTED_VALUE"""),157.0)</f>
        <v>157</v>
      </c>
      <c r="Q449" s="88" t="str">
        <f>IFERROR(__xludf.DUMMYFUNCTION("""COMPUTED_VALUE"""),"gel_antiakne_20ml")</f>
        <v>gel_antiakne_20ml</v>
      </c>
      <c r="R449" s="88">
        <f>IFERROR(__xludf.DUMMYFUNCTION("""COMPUTED_VALUE"""),2.015557258E9)</f>
        <v>2015557258</v>
      </c>
      <c r="T449" s="88" t="str">
        <f>IFERROR(__xludf.DUMMYFUNCTION("""COMPUTED_VALUE"""),"Актуально")</f>
        <v>Актуально</v>
      </c>
      <c r="U449" s="88" t="str">
        <f>IFERROR(__xludf.DUMMYFUNCTION("""COMPUTED_VALUE"""),"Даша")</f>
        <v>Даша</v>
      </c>
    </row>
    <row r="450">
      <c r="A450" s="88">
        <f>IFERROR(__xludf.DUMMYFUNCTION("""COMPUTED_VALUE"""),133.0)</f>
        <v>133</v>
      </c>
      <c r="B450" s="88" t="str">
        <f>IFERROR(__xludf.DUMMYFUNCTION("""COMPUTED_VALUE"""),"enzim_pudra_80gr")</f>
        <v>enzim_pudra_80gr</v>
      </c>
      <c r="C450" s="88">
        <f>IFERROR(__xludf.DUMMYFUNCTION("""COMPUTED_VALUE"""),1.745153183E9)</f>
        <v>1745153183</v>
      </c>
      <c r="E450" s="88" t="str">
        <f>IFERROR(__xludf.DUMMYFUNCTION("""COMPUTED_VALUE"""),"На вывод")</f>
        <v>На вывод</v>
      </c>
      <c r="F450" s="88" t="str">
        <f>IFERROR(__xludf.DUMMYFUNCTION("""COMPUTED_VALUE"""),"Мария")</f>
        <v>Мария</v>
      </c>
      <c r="P450" s="88">
        <f>IFERROR(__xludf.DUMMYFUNCTION("""COMPUTED_VALUE"""),179.0)</f>
        <v>179</v>
      </c>
      <c r="Q450" s="88" t="str">
        <f>IFERROR(__xludf.DUMMYFUNCTION("""COMPUTED_VALUE"""),"mycoplax_1_1")</f>
        <v>mycoplax_1_1</v>
      </c>
      <c r="R450" s="88">
        <f>IFERROR(__xludf.DUMMYFUNCTION("""COMPUTED_VALUE"""),2.825114763E9)</f>
        <v>2825114763</v>
      </c>
      <c r="T450" s="88" t="str">
        <f>IFERROR(__xludf.DUMMYFUNCTION("""COMPUTED_VALUE"""),"Актуально")</f>
        <v>Актуально</v>
      </c>
      <c r="U450" s="88" t="str">
        <f>IFERROR(__xludf.DUMMYFUNCTION("""COMPUTED_VALUE"""),"Даша")</f>
        <v>Даша</v>
      </c>
    </row>
    <row r="451">
      <c r="A451" s="88">
        <f>IFERROR(__xludf.DUMMYFUNCTION("""COMPUTED_VALUE"""),85.0)</f>
        <v>85</v>
      </c>
      <c r="B451" s="88" t="str">
        <f>IFERROR(__xludf.DUMMYFUNCTION("""COMPUTED_VALUE"""),"shampun_protiv_perhoti_250ml")</f>
        <v>shampun_protiv_perhoti_250ml</v>
      </c>
      <c r="C451" s="88">
        <f>IFERROR(__xludf.DUMMYFUNCTION("""COMPUTED_VALUE"""),1.440687097E9)</f>
        <v>1440687097</v>
      </c>
      <c r="E451" s="88" t="str">
        <f>IFERROR(__xludf.DUMMYFUNCTION("""COMPUTED_VALUE"""),"Актуально")</f>
        <v>Актуально</v>
      </c>
      <c r="F451" s="88" t="str">
        <f>IFERROR(__xludf.DUMMYFUNCTION("""COMPUTED_VALUE"""),"Олеся")</f>
        <v>Олеся</v>
      </c>
      <c r="P451" s="88">
        <f>IFERROR(__xludf.DUMMYFUNCTION("""COMPUTED_VALUE"""),148.0)</f>
        <v>148</v>
      </c>
      <c r="Q451" s="88" t="str">
        <f>IFERROR(__xludf.DUMMYFUNCTION("""COMPUTED_VALUE"""),"nabor_penka_dlya_resnic")</f>
        <v>nabor_penka_dlya_resnic</v>
      </c>
      <c r="R451" s="88">
        <f>IFERROR(__xludf.DUMMYFUNCTION("""COMPUTED_VALUE"""),1.847974827E9)</f>
        <v>1847974827</v>
      </c>
      <c r="T451" s="88" t="str">
        <f>IFERROR(__xludf.DUMMYFUNCTION("""COMPUTED_VALUE"""),"Актуально")</f>
        <v>Актуально</v>
      </c>
      <c r="U451" s="88" t="str">
        <f>IFERROR(__xludf.DUMMYFUNCTION("""COMPUTED_VALUE"""),"Даша")</f>
        <v>Даша</v>
      </c>
    </row>
    <row r="452">
      <c r="A452" s="88">
        <f>IFERROR(__xludf.DUMMYFUNCTION("""COMPUTED_VALUE"""),72.0)</f>
        <v>72</v>
      </c>
      <c r="B452" s="88" t="str">
        <f>IFERROR(__xludf.DUMMYFUNCTION("""COMPUTED_VALUE"""),"artoks_75ml")</f>
        <v>artoks_75ml</v>
      </c>
      <c r="C452" s="88">
        <f>IFERROR(__xludf.DUMMYFUNCTION("""COMPUTED_VALUE"""),1.323284376E9)</f>
        <v>1323284376</v>
      </c>
      <c r="E452" s="88" t="str">
        <f>IFERROR(__xludf.DUMMYFUNCTION("""COMPUTED_VALUE"""),"Актуально")</f>
        <v>Актуально</v>
      </c>
      <c r="F452" s="88" t="str">
        <f>IFERROR(__xludf.DUMMYFUNCTION("""COMPUTED_VALUE"""),"Мария")</f>
        <v>Мария</v>
      </c>
      <c r="P452" s="88"/>
      <c r="Q452" s="88" t="str">
        <f>IFERROR(__xludf.DUMMYFUNCTION("""COMPUTED_VALUE"""),"Retinol_Start_Kit")</f>
        <v>Retinol_Start_Kit</v>
      </c>
      <c r="R452" s="88">
        <f>IFERROR(__xludf.DUMMYFUNCTION("""COMPUTED_VALUE"""),3.307454109E9)</f>
        <v>3307454109</v>
      </c>
      <c r="T452" s="88" t="str">
        <f>IFERROR(__xludf.DUMMYFUNCTION("""COMPUTED_VALUE"""),"Новинка")</f>
        <v>Новинка</v>
      </c>
      <c r="U452" s="88"/>
    </row>
    <row r="453">
      <c r="A453" s="88">
        <f>IFERROR(__xludf.DUMMYFUNCTION("""COMPUTED_VALUE"""),5.0)</f>
        <v>5</v>
      </c>
      <c r="B453" s="88" t="str">
        <f>IFERROR(__xludf.DUMMYFUNCTION("""COMPUTED_VALUE"""),"wbsinergel")</f>
        <v>wbsinergel</v>
      </c>
      <c r="C453" s="88">
        <f>IFERROR(__xludf.DUMMYFUNCTION("""COMPUTED_VALUE"""),2.89049035E8)</f>
        <v>289049035</v>
      </c>
      <c r="E453" s="88" t="str">
        <f>IFERROR(__xludf.DUMMYFUNCTION("""COMPUTED_VALUE"""),"Актуально")</f>
        <v>Актуально</v>
      </c>
      <c r="F453" s="88" t="str">
        <f>IFERROR(__xludf.DUMMYFUNCTION("""COMPUTED_VALUE"""),"Олеся")</f>
        <v>Олеся</v>
      </c>
      <c r="P453" s="88"/>
      <c r="Q453" s="88" t="str">
        <f>IFERROR(__xludf.DUMMYFUNCTION("""COMPUTED_VALUE"""),"maska-batter_500ml")</f>
        <v>maska-batter_500ml</v>
      </c>
      <c r="R453" s="88">
        <f>IFERROR(__xludf.DUMMYFUNCTION("""COMPUTED_VALUE"""),3.31380513E9)</f>
        <v>3313805130</v>
      </c>
      <c r="T453" s="88" t="str">
        <f>IFERROR(__xludf.DUMMYFUNCTION("""COMPUTED_VALUE"""),"Новинка")</f>
        <v>Новинка</v>
      </c>
      <c r="U453" s="88"/>
    </row>
    <row r="454">
      <c r="A454" s="88">
        <f>IFERROR(__xludf.DUMMYFUNCTION("""COMPUTED_VALUE"""),155.0)</f>
        <v>155</v>
      </c>
      <c r="B454" s="88" t="str">
        <f>IFERROR(__xludf.DUMMYFUNCTION("""COMPUTED_VALUE"""),"maska_dlya_lica_100ml")</f>
        <v>maska_dlya_lica_100ml</v>
      </c>
      <c r="C454" s="88">
        <f>IFERROR(__xludf.DUMMYFUNCTION("""COMPUTED_VALUE"""),2.015306117E9)</f>
        <v>2015306117</v>
      </c>
      <c r="E454" s="88" t="str">
        <f>IFERROR(__xludf.DUMMYFUNCTION("""COMPUTED_VALUE"""),"Актуально")</f>
        <v>Актуально</v>
      </c>
      <c r="F454" s="88" t="str">
        <f>IFERROR(__xludf.DUMMYFUNCTION("""COMPUTED_VALUE"""),"Олеся")</f>
        <v>Олеся</v>
      </c>
      <c r="P454" s="88">
        <f>IFERROR(__xludf.DUMMYFUNCTION("""COMPUTED_VALUE"""),118.0)</f>
        <v>118</v>
      </c>
      <c r="Q454" s="88" t="str">
        <f>IFERROR(__xludf.DUMMYFUNCTION("""COMPUTED_VALUE"""),"penka_160ml")</f>
        <v>penka_160ml</v>
      </c>
      <c r="R454" s="88">
        <f>IFERROR(__xludf.DUMMYFUNCTION("""COMPUTED_VALUE"""),1.629533131E9)</f>
        <v>1629533131</v>
      </c>
      <c r="T454" s="88" t="str">
        <f>IFERROR(__xludf.DUMMYFUNCTION("""COMPUTED_VALUE"""),"Актуально")</f>
        <v>Актуально</v>
      </c>
      <c r="U454" s="88" t="str">
        <f>IFERROR(__xludf.DUMMYFUNCTION("""COMPUTED_VALUE"""),"Даша")</f>
        <v>Даша</v>
      </c>
    </row>
    <row r="455">
      <c r="A455" s="88">
        <f>IFERROR(__xludf.DUMMYFUNCTION("""COMPUTED_VALUE"""),118.0)</f>
        <v>118</v>
      </c>
      <c r="B455" s="88" t="str">
        <f>IFERROR(__xludf.DUMMYFUNCTION("""COMPUTED_VALUE"""),"penka_160ml")</f>
        <v>penka_160ml</v>
      </c>
      <c r="C455" s="88">
        <f>IFERROR(__xludf.DUMMYFUNCTION("""COMPUTED_VALUE"""),1.629533131E9)</f>
        <v>1629533131</v>
      </c>
      <c r="E455" s="88" t="str">
        <f>IFERROR(__xludf.DUMMYFUNCTION("""COMPUTED_VALUE"""),"Актуально")</f>
        <v>Актуально</v>
      </c>
      <c r="F455" s="88" t="str">
        <f>IFERROR(__xludf.DUMMYFUNCTION("""COMPUTED_VALUE"""),"Кирилл")</f>
        <v>Кирилл</v>
      </c>
      <c r="P455" s="88">
        <f>IFERROR(__xludf.DUMMYFUNCTION("""COMPUTED_VALUE"""),3.0)</f>
        <v>3</v>
      </c>
      <c r="Q455" s="88" t="str">
        <f>IFERROR(__xludf.DUMMYFUNCTION("""COMPUTED_VALUE"""),"pantogor")</f>
        <v>pantogor</v>
      </c>
      <c r="R455" s="88">
        <f>IFERROR(__xludf.DUMMYFUNCTION("""COMPUTED_VALUE"""),2.88894202E8)</f>
        <v>288894202</v>
      </c>
      <c r="T455" s="88" t="str">
        <f>IFERROR(__xludf.DUMMYFUNCTION("""COMPUTED_VALUE"""),"Актуально")</f>
        <v>Актуально</v>
      </c>
      <c r="U455" s="88" t="str">
        <f>IFERROR(__xludf.DUMMYFUNCTION("""COMPUTED_VALUE"""),"Влад")</f>
        <v>Влад</v>
      </c>
    </row>
    <row r="456">
      <c r="A456" s="88">
        <f>IFERROR(__xludf.DUMMYFUNCTION("""COMPUTED_VALUE"""),134.0)</f>
        <v>134</v>
      </c>
      <c r="B456" s="88" t="str">
        <f>IFERROR(__xludf.DUMMYFUNCTION("""COMPUTED_VALUE"""),"syvorotka_guk_30ml")</f>
        <v>syvorotka_guk_30ml</v>
      </c>
      <c r="C456" s="88">
        <f>IFERROR(__xludf.DUMMYFUNCTION("""COMPUTED_VALUE"""),1.745303363E9)</f>
        <v>1745303363</v>
      </c>
      <c r="E456" s="88" t="str">
        <f>IFERROR(__xludf.DUMMYFUNCTION("""COMPUTED_VALUE"""),"Актуально")</f>
        <v>Актуально</v>
      </c>
      <c r="F456" s="88" t="str">
        <f>IFERROR(__xludf.DUMMYFUNCTION("""COMPUTED_VALUE"""),"Олеся")</f>
        <v>Олеся</v>
      </c>
      <c r="P456" s="88">
        <f>IFERROR(__xludf.DUMMYFUNCTION("""COMPUTED_VALUE"""),66.0)</f>
        <v>66</v>
      </c>
      <c r="Q456" s="88" t="str">
        <f>IFERROR(__xludf.DUMMYFUNCTION("""COMPUTED_VALUE"""),"dardrakona_1_1")</f>
        <v>dardrakona_1_1</v>
      </c>
      <c r="R456" s="88">
        <f>IFERROR(__xludf.DUMMYFUNCTION("""COMPUTED_VALUE"""),1.188111089E9)</f>
        <v>1188111089</v>
      </c>
      <c r="T456" s="88" t="str">
        <f>IFERROR(__xludf.DUMMYFUNCTION("""COMPUTED_VALUE"""),"Актуально")</f>
        <v>Актуально</v>
      </c>
      <c r="U456" s="88" t="str">
        <f>IFERROR(__xludf.DUMMYFUNCTION("""COMPUTED_VALUE"""),"Даша")</f>
        <v>Даша</v>
      </c>
    </row>
    <row r="457">
      <c r="A457" s="88">
        <f>IFERROR(__xludf.DUMMYFUNCTION("""COMPUTED_VALUE"""),30.0)</f>
        <v>30</v>
      </c>
      <c r="B457" s="88" t="str">
        <f>IFERROR(__xludf.DUMMYFUNCTION("""COMPUTED_VALUE"""),"daoshen")</f>
        <v>daoshen</v>
      </c>
      <c r="C457" s="88">
        <f>IFERROR(__xludf.DUMMYFUNCTION("""COMPUTED_VALUE"""),5.63811764E8)</f>
        <v>563811764</v>
      </c>
      <c r="E457" s="88" t="str">
        <f>IFERROR(__xludf.DUMMYFUNCTION("""COMPUTED_VALUE"""),"Актуально")</f>
        <v>Актуально</v>
      </c>
      <c r="F457" s="88" t="str">
        <f>IFERROR(__xludf.DUMMYFUNCTION("""COMPUTED_VALUE"""),"Олеся")</f>
        <v>Олеся</v>
      </c>
      <c r="P457" s="88">
        <f>IFERROR(__xludf.DUMMYFUNCTION("""COMPUTED_VALUE"""),114.0)</f>
        <v>114</v>
      </c>
      <c r="Q457" s="88" t="str">
        <f>IFERROR(__xludf.DUMMYFUNCTION("""COMPUTED_VALUE"""),"wowglam")</f>
        <v>wowglam</v>
      </c>
      <c r="R457" s="88">
        <f>IFERROR(__xludf.DUMMYFUNCTION("""COMPUTED_VALUE"""),1.597150074E9)</f>
        <v>1597150074</v>
      </c>
      <c r="T457" s="88" t="str">
        <f>IFERROR(__xludf.DUMMYFUNCTION("""COMPUTED_VALUE"""),"Актуально")</f>
        <v>Актуально</v>
      </c>
      <c r="U457" s="88" t="str">
        <f>IFERROR(__xludf.DUMMYFUNCTION("""COMPUTED_VALUE"""),"Даша")</f>
        <v>Даша</v>
      </c>
    </row>
    <row r="458">
      <c r="A458" s="88">
        <f>IFERROR(__xludf.DUMMYFUNCTION("""COMPUTED_VALUE"""),31.0)</f>
        <v>31</v>
      </c>
      <c r="B458" s="88" t="str">
        <f>IFERROR(__xludf.DUMMYFUNCTION("""COMPUTED_VALUE"""),"daoshen")</f>
        <v>daoshen</v>
      </c>
      <c r="C458" s="88">
        <f>IFERROR(__xludf.DUMMYFUNCTION("""COMPUTED_VALUE"""),2.176057035E9)</f>
        <v>2176057035</v>
      </c>
      <c r="E458" s="88" t="str">
        <f>IFERROR(__xludf.DUMMYFUNCTION("""COMPUTED_VALUE"""),"Актуально")</f>
        <v>Актуально</v>
      </c>
      <c r="F458" s="88" t="str">
        <f>IFERROR(__xludf.DUMMYFUNCTION("""COMPUTED_VALUE"""),"Олеся")</f>
        <v>Олеся</v>
      </c>
      <c r="P458" s="88">
        <f>IFERROR(__xludf.DUMMYFUNCTION("""COMPUTED_VALUE"""),186.0)</f>
        <v>186</v>
      </c>
      <c r="Q458" s="88" t="str">
        <f>IFERROR(__xludf.DUMMYFUNCTION("""COMPUTED_VALUE"""),"enzim_pudra_80gr_v2")</f>
        <v>enzim_pudra_80gr_v2</v>
      </c>
      <c r="R458" s="88">
        <f>IFERROR(__xludf.DUMMYFUNCTION("""COMPUTED_VALUE"""),2.915421784E9)</f>
        <v>2915421784</v>
      </c>
      <c r="T458" s="88" t="str">
        <f>IFERROR(__xludf.DUMMYFUNCTION("""COMPUTED_VALUE"""),"Актуально")</f>
        <v>Актуально</v>
      </c>
      <c r="U458" s="88" t="str">
        <f>IFERROR(__xludf.DUMMYFUNCTION("""COMPUTED_VALUE"""),"Даша")</f>
        <v>Даша</v>
      </c>
    </row>
    <row r="459">
      <c r="A459" s="88">
        <f>IFERROR(__xludf.DUMMYFUNCTION("""COMPUTED_VALUE"""),59.0)</f>
        <v>59</v>
      </c>
      <c r="B459" s="88" t="str">
        <f>IFERROR(__xludf.DUMMYFUNCTION("""COMPUTED_VALUE"""),"wbpantogor_1_1")</f>
        <v>wbpantogor_1_1</v>
      </c>
      <c r="C459" s="88">
        <f>IFERROR(__xludf.DUMMYFUNCTION("""COMPUTED_VALUE"""),1.15457288E9)</f>
        <v>1154572880</v>
      </c>
      <c r="E459" s="88" t="str">
        <f>IFERROR(__xludf.DUMMYFUNCTION("""COMPUTED_VALUE"""),"Актуально")</f>
        <v>Актуально</v>
      </c>
      <c r="F459" s="88" t="str">
        <f>IFERROR(__xludf.DUMMYFUNCTION("""COMPUTED_VALUE"""),"Мария")</f>
        <v>Мария</v>
      </c>
      <c r="P459" s="88">
        <f>IFERROR(__xludf.DUMMYFUNCTION("""COMPUTED_VALUE"""),81.0)</f>
        <v>81</v>
      </c>
      <c r="Q459" s="88" t="str">
        <f>IFERROR(__xludf.DUMMYFUNCTION("""COMPUTED_VALUE"""),"vetonus_100ml")</f>
        <v>vetonus_100ml</v>
      </c>
      <c r="R459" s="88">
        <f>IFERROR(__xludf.DUMMYFUNCTION("""COMPUTED_VALUE"""),1.403753693E9)</f>
        <v>1403753693</v>
      </c>
      <c r="T459" s="88" t="str">
        <f>IFERROR(__xludf.DUMMYFUNCTION("""COMPUTED_VALUE"""),"Актуально")</f>
        <v>Актуально</v>
      </c>
      <c r="U459" s="88" t="str">
        <f>IFERROR(__xludf.DUMMYFUNCTION("""COMPUTED_VALUE"""),"Даша")</f>
        <v>Даша</v>
      </c>
    </row>
    <row r="460">
      <c r="A460" s="88">
        <f>IFERROR(__xludf.DUMMYFUNCTION("""COMPUTED_VALUE"""),150.0)</f>
        <v>150</v>
      </c>
      <c r="B460" s="88" t="str">
        <f>IFERROR(__xludf.DUMMYFUNCTION("""COMPUTED_VALUE"""),"sinergel_30ml_1_1")</f>
        <v>sinergel_30ml_1_1</v>
      </c>
      <c r="C460" s="88">
        <f>IFERROR(__xludf.DUMMYFUNCTION("""COMPUTED_VALUE"""),1.851902167E9)</f>
        <v>1851902167</v>
      </c>
      <c r="E460" s="88" t="str">
        <f>IFERROR(__xludf.DUMMYFUNCTION("""COMPUTED_VALUE"""),"Актуально")</f>
        <v>Актуально</v>
      </c>
      <c r="F460" s="88" t="str">
        <f>IFERROR(__xludf.DUMMYFUNCTION("""COMPUTED_VALUE"""),"Олеся")</f>
        <v>Олеся</v>
      </c>
      <c r="P460" s="88">
        <f>IFERROR(__xludf.DUMMYFUNCTION("""COMPUTED_VALUE"""),83.0)</f>
        <v>83</v>
      </c>
      <c r="Q460" s="88" t="str">
        <f>IFERROR(__xludf.DUMMYFUNCTION("""COMPUTED_VALUE"""),"kremshelk_100ml")</f>
        <v>kremshelk_100ml</v>
      </c>
      <c r="R460" s="88">
        <f>IFERROR(__xludf.DUMMYFUNCTION("""COMPUTED_VALUE"""),1.413566896E9)</f>
        <v>1413566896</v>
      </c>
      <c r="T460" s="88" t="str">
        <f>IFERROR(__xludf.DUMMYFUNCTION("""COMPUTED_VALUE"""),"Актуально")</f>
        <v>Актуально</v>
      </c>
      <c r="U460" s="88" t="str">
        <f>IFERROR(__xludf.DUMMYFUNCTION("""COMPUTED_VALUE"""),"Даша")</f>
        <v>Даша</v>
      </c>
    </row>
    <row r="461">
      <c r="A461" s="88">
        <f>IFERROR(__xludf.DUMMYFUNCTION("""COMPUTED_VALUE"""),136.0)</f>
        <v>136</v>
      </c>
      <c r="B461" s="88" t="str">
        <f>IFERROR(__xludf.DUMMYFUNCTION("""COMPUTED_VALUE"""),"i_am_alpha_BAD_60caps")</f>
        <v>i_am_alpha_BAD_60caps</v>
      </c>
      <c r="C461" s="88">
        <f>IFERROR(__xludf.DUMMYFUNCTION("""COMPUTED_VALUE"""),1.752060204E9)</f>
        <v>1752060204</v>
      </c>
      <c r="E461" s="88" t="str">
        <f>IFERROR(__xludf.DUMMYFUNCTION("""COMPUTED_VALUE"""),"Актуально")</f>
        <v>Актуально</v>
      </c>
      <c r="F461" s="88" t="str">
        <f>IFERROR(__xludf.DUMMYFUNCTION("""COMPUTED_VALUE"""),"Светлана")</f>
        <v>Светлана</v>
      </c>
      <c r="P461" s="88">
        <f>IFERROR(__xludf.DUMMYFUNCTION("""COMPUTED_VALUE"""),143.0)</f>
        <v>143</v>
      </c>
      <c r="Q461" s="88" t="str">
        <f>IFERROR(__xludf.DUMMYFUNCTION("""COMPUTED_VALUE"""),"alteya_beauty_brows_box")</f>
        <v>alteya_beauty_brows_box</v>
      </c>
      <c r="R461" s="88">
        <f>IFERROR(__xludf.DUMMYFUNCTION("""COMPUTED_VALUE"""),1.805983376E9)</f>
        <v>1805983376</v>
      </c>
      <c r="T461" s="88" t="str">
        <f>IFERROR(__xludf.DUMMYFUNCTION("""COMPUTED_VALUE"""),"Актуально")</f>
        <v>Актуально</v>
      </c>
      <c r="U461" s="88" t="str">
        <f>IFERROR(__xludf.DUMMYFUNCTION("""COMPUTED_VALUE"""),"Даша")</f>
        <v>Даша</v>
      </c>
    </row>
    <row r="462">
      <c r="A462" s="88">
        <f>IFERROR(__xludf.DUMMYFUNCTION("""COMPUTED_VALUE"""),137.0)</f>
        <v>137</v>
      </c>
      <c r="B462" s="88" t="str">
        <f>IFERROR(__xludf.DUMMYFUNCTION("""COMPUTED_VALUE"""),"berberin_laif_BAD_60caps")</f>
        <v>berberin_laif_BAD_60caps</v>
      </c>
      <c r="C462" s="88">
        <f>IFERROR(__xludf.DUMMYFUNCTION("""COMPUTED_VALUE"""),1.753227855E9)</f>
        <v>1753227855</v>
      </c>
      <c r="E462" s="88" t="str">
        <f>IFERROR(__xludf.DUMMYFUNCTION("""COMPUTED_VALUE"""),"Актуально")</f>
        <v>Актуально</v>
      </c>
      <c r="F462" s="88" t="str">
        <f>IFERROR(__xludf.DUMMYFUNCTION("""COMPUTED_VALUE"""),"Кирилл")</f>
        <v>Кирилл</v>
      </c>
      <c r="P462" s="88">
        <f>IFERROR(__xludf.DUMMYFUNCTION("""COMPUTED_VALUE"""),59.0)</f>
        <v>59</v>
      </c>
      <c r="Q462" s="88" t="str">
        <f>IFERROR(__xludf.DUMMYFUNCTION("""COMPUTED_VALUE"""),"wbpantogor_1_1")</f>
        <v>wbpantogor_1_1</v>
      </c>
      <c r="R462" s="88">
        <f>IFERROR(__xludf.DUMMYFUNCTION("""COMPUTED_VALUE"""),1.15457288E9)</f>
        <v>1154572880</v>
      </c>
      <c r="T462" s="88" t="str">
        <f>IFERROR(__xludf.DUMMYFUNCTION("""COMPUTED_VALUE"""),"Актуально")</f>
        <v>Актуально</v>
      </c>
      <c r="U462" s="88" t="str">
        <f>IFERROR(__xludf.DUMMYFUNCTION("""COMPUTED_VALUE"""),"Влад")</f>
        <v>Влад</v>
      </c>
    </row>
    <row r="463">
      <c r="A463" s="88">
        <f>IFERROR(__xludf.DUMMYFUNCTION("""COMPUTED_VALUE"""),70.0)</f>
        <v>70</v>
      </c>
      <c r="B463" s="88" t="str">
        <f>IFERROR(__xludf.DUMMYFUNCTION("""COMPUTED_VALUE"""),"psoral_50ml")</f>
        <v>psoral_50ml</v>
      </c>
      <c r="C463" s="88">
        <f>IFERROR(__xludf.DUMMYFUNCTION("""COMPUTED_VALUE"""),1.271351989E9)</f>
        <v>1271351989</v>
      </c>
      <c r="E463" s="88" t="str">
        <f>IFERROR(__xludf.DUMMYFUNCTION("""COMPUTED_VALUE"""),"Актуально")</f>
        <v>Актуально</v>
      </c>
      <c r="F463" s="88" t="str">
        <f>IFERROR(__xludf.DUMMYFUNCTION("""COMPUTED_VALUE"""),"Олеся")</f>
        <v>Олеся</v>
      </c>
      <c r="P463" s="88">
        <f>IFERROR(__xludf.DUMMYFUNCTION("""COMPUTED_VALUE"""),125.0)</f>
        <v>125</v>
      </c>
      <c r="Q463" s="88" t="str">
        <f>IFERROR(__xludf.DUMMYFUNCTION("""COMPUTED_VALUE"""),"osteofast")</f>
        <v>osteofast</v>
      </c>
      <c r="R463" s="88">
        <f>IFERROR(__xludf.DUMMYFUNCTION("""COMPUTED_VALUE"""),1.691265016E9)</f>
        <v>1691265016</v>
      </c>
      <c r="T463" s="88" t="str">
        <f>IFERROR(__xludf.DUMMYFUNCTION("""COMPUTED_VALUE"""),"Актуально")</f>
        <v>Актуально</v>
      </c>
      <c r="U463" s="88" t="str">
        <f>IFERROR(__xludf.DUMMYFUNCTION("""COMPUTED_VALUE"""),"Влад")</f>
        <v>Влад</v>
      </c>
    </row>
    <row r="464">
      <c r="A464" s="88">
        <f>IFERROR(__xludf.DUMMYFUNCTION("""COMPUTED_VALUE"""),156.0)</f>
        <v>156</v>
      </c>
      <c r="B464" s="88" t="str">
        <f>IFERROR(__xludf.DUMMYFUNCTION("""COMPUTED_VALUE"""),"tonik_dlya_lica_200ml")</f>
        <v>tonik_dlya_lica_200ml</v>
      </c>
      <c r="C464" s="88">
        <f>IFERROR(__xludf.DUMMYFUNCTION("""COMPUTED_VALUE"""),2.015547267E9)</f>
        <v>2015547267</v>
      </c>
      <c r="E464" s="88" t="str">
        <f>IFERROR(__xludf.DUMMYFUNCTION("""COMPUTED_VALUE"""),"Актуально")</f>
        <v>Актуально</v>
      </c>
      <c r="F464" s="88" t="str">
        <f>IFERROR(__xludf.DUMMYFUNCTION("""COMPUTED_VALUE"""),"Кирилл")</f>
        <v>Кирилл</v>
      </c>
      <c r="P464" s="88">
        <f>IFERROR(__xludf.DUMMYFUNCTION("""COMPUTED_VALUE"""),61.0)</f>
        <v>61</v>
      </c>
      <c r="Q464" s="88" t="str">
        <f>IFERROR(__xludf.DUMMYFUNCTION("""COMPUTED_VALUE"""),"pirantoks_BAD_60caps")</f>
        <v>pirantoks_BAD_60caps</v>
      </c>
      <c r="R464" s="88">
        <f>IFERROR(__xludf.DUMMYFUNCTION("""COMPUTED_VALUE"""),1.171820923E9)</f>
        <v>1171820923</v>
      </c>
      <c r="T464" s="88" t="str">
        <f>IFERROR(__xludf.DUMMYFUNCTION("""COMPUTED_VALUE"""),"Актуально")</f>
        <v>Актуально</v>
      </c>
      <c r="U464" s="88" t="str">
        <f>IFERROR(__xludf.DUMMYFUNCTION("""COMPUTED_VALUE"""),"Даша")</f>
        <v>Даша</v>
      </c>
    </row>
    <row r="465">
      <c r="A465" s="88">
        <f>IFERROR(__xludf.DUMMYFUNCTION("""COMPUTED_VALUE"""),181.0)</f>
        <v>181</v>
      </c>
      <c r="B465" s="88" t="str">
        <f>IFERROR(__xludf.DUMMYFUNCTION("""COMPUTED_VALUE"""),"uromax_1_1")</f>
        <v>uromax_1_1</v>
      </c>
      <c r="C465" s="88">
        <f>IFERROR(__xludf.DUMMYFUNCTION("""COMPUTED_VALUE"""),2.825142977E9)</f>
        <v>2825142977</v>
      </c>
      <c r="E465" s="88" t="str">
        <f>IFERROR(__xludf.DUMMYFUNCTION("""COMPUTED_VALUE"""),"Актуально")</f>
        <v>Актуально</v>
      </c>
      <c r="F465" s="88" t="str">
        <f>IFERROR(__xludf.DUMMYFUNCTION("""COMPUTED_VALUE"""),"Кирилл")</f>
        <v>Кирилл</v>
      </c>
      <c r="P465" s="88">
        <f>IFERROR(__xludf.DUMMYFUNCTION("""COMPUTED_VALUE"""),28.0)</f>
        <v>28</v>
      </c>
      <c r="Q465" s="88" t="str">
        <f>IFERROR(__xludf.DUMMYFUNCTION("""COMPUTED_VALUE"""),"adenofringreen")</f>
        <v>adenofringreen</v>
      </c>
      <c r="R465" s="88">
        <f>IFERROR(__xludf.DUMMYFUNCTION("""COMPUTED_VALUE"""),3.96723649E8)</f>
        <v>396723649</v>
      </c>
      <c r="T465" s="88" t="str">
        <f>IFERROR(__xludf.DUMMYFUNCTION("""COMPUTED_VALUE"""),"На вывод")</f>
        <v>На вывод</v>
      </c>
      <c r="U465" s="88" t="str">
        <f>IFERROR(__xludf.DUMMYFUNCTION("""COMPUTED_VALUE"""),"Влад")</f>
        <v>Влад</v>
      </c>
    </row>
    <row r="466">
      <c r="A466" s="88">
        <f>IFERROR(__xludf.DUMMYFUNCTION("""COMPUTED_VALUE"""),125.0)</f>
        <v>125</v>
      </c>
      <c r="B466" s="88" t="str">
        <f>IFERROR(__xludf.DUMMYFUNCTION("""COMPUTED_VALUE"""),"osteofast")</f>
        <v>osteofast</v>
      </c>
      <c r="C466" s="88">
        <f>IFERROR(__xludf.DUMMYFUNCTION("""COMPUTED_VALUE"""),1.691265016E9)</f>
        <v>1691265016</v>
      </c>
      <c r="E466" s="88" t="str">
        <f>IFERROR(__xludf.DUMMYFUNCTION("""COMPUTED_VALUE"""),"Актуально")</f>
        <v>Актуально</v>
      </c>
      <c r="F466" s="88" t="str">
        <f>IFERROR(__xludf.DUMMYFUNCTION("""COMPUTED_VALUE"""),"Олеся")</f>
        <v>Олеся</v>
      </c>
      <c r="P466" s="88">
        <f>IFERROR(__xludf.DUMMYFUNCTION("""COMPUTED_VALUE"""),146.0)</f>
        <v>146</v>
      </c>
      <c r="Q466" s="88" t="str">
        <f>IFERROR(__xludf.DUMMYFUNCTION("""COMPUTED_VALUE"""),"erobrut")</f>
        <v>erobrut</v>
      </c>
      <c r="R466" s="88">
        <f>IFERROR(__xludf.DUMMYFUNCTION("""COMPUTED_VALUE"""),1.829804935E9)</f>
        <v>1829804935</v>
      </c>
      <c r="T466" s="88" t="str">
        <f>IFERROR(__xludf.DUMMYFUNCTION("""COMPUTED_VALUE"""),"Актуально")</f>
        <v>Актуально</v>
      </c>
      <c r="U466" s="88" t="str">
        <f>IFERROR(__xludf.DUMMYFUNCTION("""COMPUTED_VALUE"""),"Влад")</f>
        <v>Влад</v>
      </c>
    </row>
    <row r="467">
      <c r="A467" s="88">
        <f>IFERROR(__xludf.DUMMYFUNCTION("""COMPUTED_VALUE"""),78.0)</f>
        <v>78</v>
      </c>
      <c r="B467" s="88" t="str">
        <f>IFERROR(__xludf.DUMMYFUNCTION("""COMPUTED_VALUE"""),"daoshen_75ml")</f>
        <v>daoshen_75ml</v>
      </c>
      <c r="C467" s="88">
        <f>IFERROR(__xludf.DUMMYFUNCTION("""COMPUTED_VALUE"""),1.350973604E9)</f>
        <v>1350973604</v>
      </c>
      <c r="E467" s="88" t="str">
        <f>IFERROR(__xludf.DUMMYFUNCTION("""COMPUTED_VALUE"""),"Актуально")</f>
        <v>Актуально</v>
      </c>
      <c r="F467" s="88" t="str">
        <f>IFERROR(__xludf.DUMMYFUNCTION("""COMPUTED_VALUE"""),"Олеся")</f>
        <v>Олеся</v>
      </c>
      <c r="P467" s="88">
        <f>IFERROR(__xludf.DUMMYFUNCTION("""COMPUTED_VALUE"""),145.0)</f>
        <v>145</v>
      </c>
      <c r="Q467" s="88" t="str">
        <f>IFERROR(__xludf.DUMMYFUNCTION("""COMPUTED_VALUE"""),"urinofix")</f>
        <v>urinofix</v>
      </c>
      <c r="R467" s="88">
        <f>IFERROR(__xludf.DUMMYFUNCTION("""COMPUTED_VALUE"""),1.829803107E9)</f>
        <v>1829803107</v>
      </c>
      <c r="T467" s="88" t="str">
        <f>IFERROR(__xludf.DUMMYFUNCTION("""COMPUTED_VALUE"""),"Актуально")</f>
        <v>Актуально</v>
      </c>
      <c r="U467" s="88" t="str">
        <f>IFERROR(__xludf.DUMMYFUNCTION("""COMPUTED_VALUE"""),"Даша")</f>
        <v>Даша</v>
      </c>
    </row>
    <row r="468">
      <c r="A468" s="88">
        <f>IFERROR(__xludf.DUMMYFUNCTION("""COMPUTED_VALUE"""),43.0)</f>
        <v>43</v>
      </c>
      <c r="B468" s="88" t="str">
        <f>IFERROR(__xludf.DUMMYFUNCTION("""COMPUTED_VALUE"""),"psoral")</f>
        <v>psoral</v>
      </c>
      <c r="C468" s="88">
        <f>IFERROR(__xludf.DUMMYFUNCTION("""COMPUTED_VALUE"""),7.93309964E8)</f>
        <v>793309964</v>
      </c>
      <c r="E468" s="88" t="str">
        <f>IFERROR(__xludf.DUMMYFUNCTION("""COMPUTED_VALUE"""),"Актуально")</f>
        <v>Актуально</v>
      </c>
      <c r="F468" s="88" t="str">
        <f>IFERROR(__xludf.DUMMYFUNCTION("""COMPUTED_VALUE"""),"Олеся")</f>
        <v>Олеся</v>
      </c>
      <c r="P468" s="88">
        <f>IFERROR(__xludf.DUMMYFUNCTION("""COMPUTED_VALUE"""),130.0)</f>
        <v>130</v>
      </c>
      <c r="Q468" s="88" t="str">
        <f>IFERROR(__xludf.DUMMYFUNCTION("""COMPUTED_VALUE"""),"syvorotka_dlya_rosta_6ml")</f>
        <v>syvorotka_dlya_rosta_6ml</v>
      </c>
      <c r="R468" s="88">
        <f>IFERROR(__xludf.DUMMYFUNCTION("""COMPUTED_VALUE"""),1.713211121E9)</f>
        <v>1713211121</v>
      </c>
      <c r="T468" s="88" t="str">
        <f>IFERROR(__xludf.DUMMYFUNCTION("""COMPUTED_VALUE"""),"Актуально")</f>
        <v>Актуально</v>
      </c>
      <c r="U468" s="88" t="str">
        <f>IFERROR(__xludf.DUMMYFUNCTION("""COMPUTED_VALUE"""),"Даша")</f>
        <v>Даша</v>
      </c>
    </row>
    <row r="469">
      <c r="A469" s="88">
        <f>IFERROR(__xludf.DUMMYFUNCTION("""COMPUTED_VALUE"""),44.0)</f>
        <v>44</v>
      </c>
      <c r="B469" s="88" t="str">
        <f>IFERROR(__xludf.DUMMYFUNCTION("""COMPUTED_VALUE"""),"psoral")</f>
        <v>psoral</v>
      </c>
      <c r="C469" s="88">
        <f>IFERROR(__xludf.DUMMYFUNCTION("""COMPUTED_VALUE"""),2.17606024E9)</f>
        <v>2176060240</v>
      </c>
      <c r="E469" s="88" t="str">
        <f>IFERROR(__xludf.DUMMYFUNCTION("""COMPUTED_VALUE"""),"Под вопросом")</f>
        <v>Под вопросом</v>
      </c>
      <c r="F469" s="88" t="str">
        <f>IFERROR(__xludf.DUMMYFUNCTION("""COMPUTED_VALUE"""),"Олеся")</f>
        <v>Олеся</v>
      </c>
      <c r="P469" s="88">
        <f>IFERROR(__xludf.DUMMYFUNCTION("""COMPUTED_VALUE"""),182.0)</f>
        <v>182</v>
      </c>
      <c r="Q469" s="88" t="str">
        <f>IFERROR(__xludf.DUMMYFUNCTION("""COMPUTED_VALUE"""),"varifit_1_1")</f>
        <v>varifit_1_1</v>
      </c>
      <c r="R469" s="88">
        <f>IFERROR(__xludf.DUMMYFUNCTION("""COMPUTED_VALUE"""),2.825161431E9)</f>
        <v>2825161431</v>
      </c>
      <c r="T469" s="88" t="str">
        <f>IFERROR(__xludf.DUMMYFUNCTION("""COMPUTED_VALUE"""),"Актуально")</f>
        <v>Актуально</v>
      </c>
      <c r="U469" s="88" t="str">
        <f>IFERROR(__xludf.DUMMYFUNCTION("""COMPUTED_VALUE"""),"Даша")</f>
        <v>Даша</v>
      </c>
    </row>
    <row r="470">
      <c r="A470" s="88">
        <f>IFERROR(__xludf.DUMMYFUNCTION("""COMPUTED_VALUE"""),40.0)</f>
        <v>40</v>
      </c>
      <c r="B470" s="88" t="str">
        <f>IFERROR(__xludf.DUMMYFUNCTION("""COMPUTED_VALUE"""),"sustalit")</f>
        <v>sustalit</v>
      </c>
      <c r="C470" s="88">
        <f>IFERROR(__xludf.DUMMYFUNCTION("""COMPUTED_VALUE"""),7.43548429E8)</f>
        <v>743548429</v>
      </c>
      <c r="E470" s="88" t="str">
        <f>IFERROR(__xludf.DUMMYFUNCTION("""COMPUTED_VALUE"""),"Актуально")</f>
        <v>Актуально</v>
      </c>
      <c r="F470" s="88" t="str">
        <f>IFERROR(__xludf.DUMMYFUNCTION("""COMPUTED_VALUE"""),"Олеся")</f>
        <v>Олеся</v>
      </c>
      <c r="P470" s="88">
        <f>IFERROR(__xludf.DUMMYFUNCTION("""COMPUTED_VALUE"""),131.0)</f>
        <v>131</v>
      </c>
      <c r="Q470" s="88" t="str">
        <f>IFERROR(__xludf.DUMMYFUNCTION("""COMPUTED_VALUE"""),"termo_sprei_200ml")</f>
        <v>termo_sprei_200ml</v>
      </c>
      <c r="R470" s="88">
        <f>IFERROR(__xludf.DUMMYFUNCTION("""COMPUTED_VALUE"""),1.720926371E9)</f>
        <v>1720926371</v>
      </c>
      <c r="T470" s="88" t="str">
        <f>IFERROR(__xludf.DUMMYFUNCTION("""COMPUTED_VALUE"""),"Актуально")</f>
        <v>Актуально</v>
      </c>
      <c r="U470" s="88" t="str">
        <f>IFERROR(__xludf.DUMMYFUNCTION("""COMPUTED_VALUE"""),"Даша")</f>
        <v>Даша</v>
      </c>
    </row>
    <row r="471">
      <c r="A471" s="88">
        <f>IFERROR(__xludf.DUMMYFUNCTION("""COMPUTED_VALUE"""),84.0)</f>
        <v>84</v>
      </c>
      <c r="B471" s="88" t="str">
        <f>IFERROR(__xludf.DUMMYFUNCTION("""COMPUTED_VALUE"""),"glikiron_BAD_60caps")</f>
        <v>glikiron_BAD_60caps</v>
      </c>
      <c r="C471" s="88">
        <f>IFERROR(__xludf.DUMMYFUNCTION("""COMPUTED_VALUE"""),1.422277198E9)</f>
        <v>1422277198</v>
      </c>
      <c r="E471" s="88" t="str">
        <f>IFERROR(__xludf.DUMMYFUNCTION("""COMPUTED_VALUE"""),"Актуально")</f>
        <v>Актуально</v>
      </c>
      <c r="F471" s="88" t="str">
        <f>IFERROR(__xludf.DUMMYFUNCTION("""COMPUTED_VALUE"""),"Светлана")</f>
        <v>Светлана</v>
      </c>
      <c r="P471" s="88">
        <f>IFERROR(__xludf.DUMMYFUNCTION("""COMPUTED_VALUE"""),162.0)</f>
        <v>162</v>
      </c>
      <c r="Q471" s="88" t="str">
        <f>IFERROR(__xludf.DUMMYFUNCTION("""COMPUTED_VALUE"""),"ekdisteron_ultra_man_60caps")</f>
        <v>ekdisteron_ultra_man_60caps</v>
      </c>
      <c r="R471" s="88">
        <f>IFERROR(__xludf.DUMMYFUNCTION("""COMPUTED_VALUE"""),2.099218978E9)</f>
        <v>2099218978</v>
      </c>
      <c r="T471" s="88" t="str">
        <f>IFERROR(__xludf.DUMMYFUNCTION("""COMPUTED_VALUE"""),"Актуально")</f>
        <v>Актуально</v>
      </c>
      <c r="U471" s="88" t="str">
        <f>IFERROR(__xludf.DUMMYFUNCTION("""COMPUTED_VALUE"""),"Влад")</f>
        <v>Влад</v>
      </c>
    </row>
    <row r="472">
      <c r="A472" s="88">
        <f>IFERROR(__xludf.DUMMYFUNCTION("""COMPUTED_VALUE"""),16.0)</f>
        <v>16</v>
      </c>
      <c r="B472" s="88" t="str">
        <f>IFERROR(__xludf.DUMMYFUNCTION("""COMPUTED_VALUE"""),"sanatsin")</f>
        <v>sanatsin</v>
      </c>
      <c r="C472" s="88">
        <f>IFERROR(__xludf.DUMMYFUNCTION("""COMPUTED_VALUE"""),2.96756085E8)</f>
        <v>296756085</v>
      </c>
      <c r="E472" s="88" t="str">
        <f>IFERROR(__xludf.DUMMYFUNCTION("""COMPUTED_VALUE"""),"Актуально")</f>
        <v>Актуально</v>
      </c>
      <c r="F472" s="88" t="str">
        <f>IFERROR(__xludf.DUMMYFUNCTION("""COMPUTED_VALUE"""),"Олеся")</f>
        <v>Олеся</v>
      </c>
      <c r="P472" s="88">
        <f>IFERROR(__xludf.DUMMYFUNCTION("""COMPUTED_VALUE"""),70.0)</f>
        <v>70</v>
      </c>
      <c r="Q472" s="88" t="str">
        <f>IFERROR(__xludf.DUMMYFUNCTION("""COMPUTED_VALUE"""),"psoral_50ml")</f>
        <v>psoral_50ml</v>
      </c>
      <c r="R472" s="88">
        <f>IFERROR(__xludf.DUMMYFUNCTION("""COMPUTED_VALUE"""),1.271351989E9)</f>
        <v>1271351989</v>
      </c>
      <c r="T472" s="88" t="str">
        <f>IFERROR(__xludf.DUMMYFUNCTION("""COMPUTED_VALUE"""),"Актуально")</f>
        <v>Актуально</v>
      </c>
      <c r="U472" s="88" t="str">
        <f>IFERROR(__xludf.DUMMYFUNCTION("""COMPUTED_VALUE"""),"Влад")</f>
        <v>Влад</v>
      </c>
    </row>
    <row r="473">
      <c r="A473" s="88">
        <f>IFERROR(__xludf.DUMMYFUNCTION("""COMPUTED_VALUE"""),132.0)</f>
        <v>132</v>
      </c>
      <c r="B473" s="88" t="str">
        <f>IFERROR(__xludf.DUMMYFUNCTION("""COMPUTED_VALUE"""),"limfaks_BAD_30caps")</f>
        <v>limfaks_BAD_30caps</v>
      </c>
      <c r="C473" s="88">
        <f>IFERROR(__xludf.DUMMYFUNCTION("""COMPUTED_VALUE"""),1.745055145E9)</f>
        <v>1745055145</v>
      </c>
      <c r="E473" s="88" t="str">
        <f>IFERROR(__xludf.DUMMYFUNCTION("""COMPUTED_VALUE"""),"Под вопросом")</f>
        <v>Под вопросом</v>
      </c>
      <c r="F473" s="88" t="str">
        <f>IFERROR(__xludf.DUMMYFUNCTION("""COMPUTED_VALUE"""),"Светлана")</f>
        <v>Светлана</v>
      </c>
      <c r="P473" s="88">
        <f>IFERROR(__xludf.DUMMYFUNCTION("""COMPUTED_VALUE"""),4.0)</f>
        <v>4</v>
      </c>
      <c r="Q473" s="88" t="str">
        <f>IFERROR(__xludf.DUMMYFUNCTION("""COMPUTED_VALUE"""),"wbvaritox")</f>
        <v>wbvaritox</v>
      </c>
      <c r="R473" s="88">
        <f>IFERROR(__xludf.DUMMYFUNCTION("""COMPUTED_VALUE"""),2.89030651E8)</f>
        <v>289030651</v>
      </c>
      <c r="T473" s="88" t="str">
        <f>IFERROR(__xludf.DUMMYFUNCTION("""COMPUTED_VALUE"""),"Актуально")</f>
        <v>Актуально</v>
      </c>
      <c r="U473" s="88" t="str">
        <f>IFERROR(__xludf.DUMMYFUNCTION("""COMPUTED_VALUE"""),"Даша")</f>
        <v>Даша</v>
      </c>
    </row>
    <row r="474">
      <c r="A474" s="88">
        <f>IFERROR(__xludf.DUMMYFUNCTION("""COMPUTED_VALUE"""),186.0)</f>
        <v>186</v>
      </c>
      <c r="B474" s="88" t="str">
        <f>IFERROR(__xludf.DUMMYFUNCTION("""COMPUTED_VALUE"""),"enzim_pudra_80gr_v2")</f>
        <v>enzim_pudra_80gr_v2</v>
      </c>
      <c r="C474" s="88">
        <f>IFERROR(__xludf.DUMMYFUNCTION("""COMPUTED_VALUE"""),2.915421784E9)</f>
        <v>2915421784</v>
      </c>
      <c r="E474" s="88" t="str">
        <f>IFERROR(__xludf.DUMMYFUNCTION("""COMPUTED_VALUE"""),"Актуально")</f>
        <v>Актуально</v>
      </c>
      <c r="F474" s="88" t="str">
        <f>IFERROR(__xludf.DUMMYFUNCTION("""COMPUTED_VALUE"""),"Мария")</f>
        <v>Мария</v>
      </c>
      <c r="P474" s="88">
        <f>IFERROR(__xludf.DUMMYFUNCTION("""COMPUTED_VALUE"""),33.0)</f>
        <v>33</v>
      </c>
      <c r="Q474" s="88" t="str">
        <f>IFERROR(__xludf.DUMMYFUNCTION("""COMPUTED_VALUE"""),"smokinglock")</f>
        <v>smokinglock</v>
      </c>
      <c r="R474" s="88">
        <f>IFERROR(__xludf.DUMMYFUNCTION("""COMPUTED_VALUE"""),6.69955177E8)</f>
        <v>669955177</v>
      </c>
      <c r="T474" s="88" t="str">
        <f>IFERROR(__xludf.DUMMYFUNCTION("""COMPUTED_VALUE"""),"Актуально")</f>
        <v>Актуально</v>
      </c>
      <c r="U474" s="88" t="str">
        <f>IFERROR(__xludf.DUMMYFUNCTION("""COMPUTED_VALUE"""),"Влад")</f>
        <v>Влад</v>
      </c>
    </row>
    <row r="475">
      <c r="A475" s="88">
        <f>IFERROR(__xludf.DUMMYFUNCTION("""COMPUTED_VALUE"""),130.0)</f>
        <v>130</v>
      </c>
      <c r="B475" s="88" t="str">
        <f>IFERROR(__xludf.DUMMYFUNCTION("""COMPUTED_VALUE"""),"syvorotka_dlya_rosta_6ml")</f>
        <v>syvorotka_dlya_rosta_6ml</v>
      </c>
      <c r="C475" s="88">
        <f>IFERROR(__xludf.DUMMYFUNCTION("""COMPUTED_VALUE"""),1.713211121E9)</f>
        <v>1713211121</v>
      </c>
      <c r="E475" s="88" t="str">
        <f>IFERROR(__xludf.DUMMYFUNCTION("""COMPUTED_VALUE"""),"Актуально")</f>
        <v>Актуально</v>
      </c>
      <c r="F475" s="88" t="str">
        <f>IFERROR(__xludf.DUMMYFUNCTION("""COMPUTED_VALUE"""),"Кирилл")</f>
        <v>Кирилл</v>
      </c>
      <c r="P475" s="88">
        <f>IFERROR(__xludf.DUMMYFUNCTION("""COMPUTED_VALUE"""),180.0)</f>
        <v>180</v>
      </c>
      <c r="Q475" s="88" t="str">
        <f>IFERROR(__xludf.DUMMYFUNCTION("""COMPUTED_VALUE"""),"wbmicelix_1_1")</f>
        <v>wbmicelix_1_1</v>
      </c>
      <c r="R475" s="88">
        <f>IFERROR(__xludf.DUMMYFUNCTION("""COMPUTED_VALUE"""),2.825129893E9)</f>
        <v>2825129893</v>
      </c>
      <c r="T475" s="88" t="str">
        <f>IFERROR(__xludf.DUMMYFUNCTION("""COMPUTED_VALUE"""),"Актуально")</f>
        <v>Актуально</v>
      </c>
      <c r="U475" s="88" t="str">
        <f>IFERROR(__xludf.DUMMYFUNCTION("""COMPUTED_VALUE"""),"Даша")</f>
        <v>Даша</v>
      </c>
    </row>
    <row r="476">
      <c r="A476" s="88">
        <f>IFERROR(__xludf.DUMMYFUNCTION("""COMPUTED_VALUE"""),39.0)</f>
        <v>39</v>
      </c>
      <c r="B476" s="88" t="str">
        <f>IFERROR(__xludf.DUMMYFUNCTION("""COMPUTED_VALUE"""),"khvoinitsa")</f>
        <v>khvoinitsa</v>
      </c>
      <c r="C476" s="88">
        <f>IFERROR(__xludf.DUMMYFUNCTION("""COMPUTED_VALUE"""),7.36435678E8)</f>
        <v>736435678</v>
      </c>
      <c r="E476" s="88" t="str">
        <f>IFERROR(__xludf.DUMMYFUNCTION("""COMPUTED_VALUE"""),"Актуально")</f>
        <v>Актуально</v>
      </c>
      <c r="F476" s="88" t="str">
        <f>IFERROR(__xludf.DUMMYFUNCTION("""COMPUTED_VALUE"""),"Светлана")</f>
        <v>Светлана</v>
      </c>
      <c r="P476" s="88">
        <f>IFERROR(__xludf.DUMMYFUNCTION("""COMPUTED_VALUE"""),74.0)</f>
        <v>74</v>
      </c>
      <c r="Q476" s="88" t="str">
        <f>IFERROR(__xludf.DUMMYFUNCTION("""COMPUTED_VALUE"""),"pantogor_100ml")</f>
        <v>pantogor_100ml</v>
      </c>
      <c r="R476" s="88">
        <f>IFERROR(__xludf.DUMMYFUNCTION("""COMPUTED_VALUE"""),1.324991816E9)</f>
        <v>1324991816</v>
      </c>
      <c r="T476" s="88" t="str">
        <f>IFERROR(__xludf.DUMMYFUNCTION("""COMPUTED_VALUE"""),"Актуально")</f>
        <v>Актуально</v>
      </c>
      <c r="U476" s="88" t="str">
        <f>IFERROR(__xludf.DUMMYFUNCTION("""COMPUTED_VALUE"""),"Влад")</f>
        <v>Влад</v>
      </c>
    </row>
    <row r="477">
      <c r="A477" s="88">
        <f>IFERROR(__xludf.DUMMYFUNCTION("""COMPUTED_VALUE"""),42.0)</f>
        <v>42</v>
      </c>
      <c r="B477" s="88" t="str">
        <f>IFERROR(__xludf.DUMMYFUNCTION("""COMPUTED_VALUE"""),"otivin")</f>
        <v>otivin</v>
      </c>
      <c r="C477" s="88">
        <f>IFERROR(__xludf.DUMMYFUNCTION("""COMPUTED_VALUE"""),7.92260062E8)</f>
        <v>792260062</v>
      </c>
      <c r="E477" s="88" t="str">
        <f>IFERROR(__xludf.DUMMYFUNCTION("""COMPUTED_VALUE"""),"Актуально")</f>
        <v>Актуально</v>
      </c>
      <c r="F477" s="88" t="str">
        <f>IFERROR(__xludf.DUMMYFUNCTION("""COMPUTED_VALUE"""),"Олеся")</f>
        <v>Олеся</v>
      </c>
      <c r="P477" s="88">
        <f>IFERROR(__xludf.DUMMYFUNCTION("""COMPUTED_VALUE"""),176.0)</f>
        <v>176</v>
      </c>
      <c r="Q477" s="88" t="str">
        <f>IFERROR(__xludf.DUMMYFUNCTION("""COMPUTED_VALUE"""),"arterol_1_1")</f>
        <v>arterol_1_1</v>
      </c>
      <c r="R477" s="88">
        <f>IFERROR(__xludf.DUMMYFUNCTION("""COMPUTED_VALUE"""),2.825063594E9)</f>
        <v>2825063594</v>
      </c>
      <c r="T477" s="88" t="str">
        <f>IFERROR(__xludf.DUMMYFUNCTION("""COMPUTED_VALUE"""),"Актуально")</f>
        <v>Актуально</v>
      </c>
      <c r="U477" s="88" t="str">
        <f>IFERROR(__xludf.DUMMYFUNCTION("""COMPUTED_VALUE"""),"Влад")</f>
        <v>Влад</v>
      </c>
    </row>
    <row r="478">
      <c r="A478" s="88">
        <f>IFERROR(__xludf.DUMMYFUNCTION("""COMPUTED_VALUE"""),148.0)</f>
        <v>148</v>
      </c>
      <c r="B478" s="88" t="str">
        <f>IFERROR(__xludf.DUMMYFUNCTION("""COMPUTED_VALUE"""),"nabor_penka_dlya_resnic")</f>
        <v>nabor_penka_dlya_resnic</v>
      </c>
      <c r="C478" s="88">
        <f>IFERROR(__xludf.DUMMYFUNCTION("""COMPUTED_VALUE"""),1.847974827E9)</f>
        <v>1847974827</v>
      </c>
      <c r="E478" s="88" t="str">
        <f>IFERROR(__xludf.DUMMYFUNCTION("""COMPUTED_VALUE"""),"На вывод")</f>
        <v>На вывод</v>
      </c>
      <c r="F478" s="88" t="str">
        <f>IFERROR(__xludf.DUMMYFUNCTION("""COMPUTED_VALUE"""),"Кирилл")</f>
        <v>Кирилл</v>
      </c>
      <c r="P478" s="88">
        <f>IFERROR(__xludf.DUMMYFUNCTION("""COMPUTED_VALUE"""),76.0)</f>
        <v>76</v>
      </c>
      <c r="Q478" s="88" t="str">
        <f>IFERROR(__xludf.DUMMYFUNCTION("""COMPUTED_VALUE"""),"nabor_remuver_40ml")</f>
        <v>nabor_remuver_40ml</v>
      </c>
      <c r="R478" s="88">
        <f>IFERROR(__xludf.DUMMYFUNCTION("""COMPUTED_VALUE"""),1.350956924E9)</f>
        <v>1350956924</v>
      </c>
      <c r="T478" s="88" t="str">
        <f>IFERROR(__xludf.DUMMYFUNCTION("""COMPUTED_VALUE"""),"Актуально")</f>
        <v>Актуально</v>
      </c>
      <c r="U478" s="88" t="str">
        <f>IFERROR(__xludf.DUMMYFUNCTION("""COMPUTED_VALUE"""),"Влад")</f>
        <v>Влад</v>
      </c>
    </row>
    <row r="479">
      <c r="A479" s="88">
        <f>IFERROR(__xludf.DUMMYFUNCTION("""COMPUTED_VALUE"""),168.0)</f>
        <v>168</v>
      </c>
      <c r="B479" s="88" t="str">
        <f>IFERROR(__xludf.DUMMYFUNCTION("""COMPUTED_VALUE"""),"skrab_babl_gam_200ml")</f>
        <v>skrab_babl_gam_200ml</v>
      </c>
      <c r="C479" s="88">
        <f>IFERROR(__xludf.DUMMYFUNCTION("""COMPUTED_VALUE"""),2.445342489E9)</f>
        <v>2445342489</v>
      </c>
      <c r="E479" s="88" t="str">
        <f>IFERROR(__xludf.DUMMYFUNCTION("""COMPUTED_VALUE"""),"Актуально")</f>
        <v>Актуально</v>
      </c>
      <c r="F479" s="88" t="str">
        <f>IFERROR(__xludf.DUMMYFUNCTION("""COMPUTED_VALUE"""),"Кирилл")</f>
        <v>Кирилл</v>
      </c>
      <c r="P479" s="88">
        <f>IFERROR(__xludf.DUMMYFUNCTION("""COMPUTED_VALUE"""),58.0)</f>
        <v>58</v>
      </c>
      <c r="Q479" s="88" t="str">
        <f>IFERROR(__xludf.DUMMYFUNCTION("""COMPUTED_VALUE"""),"chudofrukt_1_1")</f>
        <v>chudofrukt_1_1</v>
      </c>
      <c r="R479" s="88">
        <f>IFERROR(__xludf.DUMMYFUNCTION("""COMPUTED_VALUE"""),1.154571921E9)</f>
        <v>1154571921</v>
      </c>
      <c r="T479" s="88" t="str">
        <f>IFERROR(__xludf.DUMMYFUNCTION("""COMPUTED_VALUE"""),"Актуально")</f>
        <v>Актуально</v>
      </c>
      <c r="U479" s="88" t="str">
        <f>IFERROR(__xludf.DUMMYFUNCTION("""COMPUTED_VALUE"""),"Влад")</f>
        <v>Влад</v>
      </c>
    </row>
    <row r="480">
      <c r="A480" s="88">
        <f>IFERROR(__xludf.DUMMYFUNCTION("""COMPUTED_VALUE"""),114.0)</f>
        <v>114</v>
      </c>
      <c r="B480" s="88" t="str">
        <f>IFERROR(__xludf.DUMMYFUNCTION("""COMPUTED_VALUE"""),"wowglam")</f>
        <v>wowglam</v>
      </c>
      <c r="C480" s="88">
        <f>IFERROR(__xludf.DUMMYFUNCTION("""COMPUTED_VALUE"""),1.597150074E9)</f>
        <v>1597150074</v>
      </c>
      <c r="E480" s="88" t="str">
        <f>IFERROR(__xludf.DUMMYFUNCTION("""COMPUTED_VALUE"""),"Актуально")</f>
        <v>Актуально</v>
      </c>
      <c r="F480" s="88" t="str">
        <f>IFERROR(__xludf.DUMMYFUNCTION("""COMPUTED_VALUE"""),"Олеся")</f>
        <v>Олеся</v>
      </c>
      <c r="P480" s="88">
        <f>IFERROR(__xludf.DUMMYFUNCTION("""COMPUTED_VALUE"""),60.0)</f>
        <v>60</v>
      </c>
      <c r="Q480" s="88" t="str">
        <f>IFERROR(__xludf.DUMMYFUNCTION("""COMPUTED_VALUE"""),"Т-34_BAD_60caps")</f>
        <v>Т-34_BAD_60caps</v>
      </c>
      <c r="R480" s="88">
        <f>IFERROR(__xludf.DUMMYFUNCTION("""COMPUTED_VALUE"""),1.171921502E9)</f>
        <v>1171921502</v>
      </c>
      <c r="T480" s="88" t="str">
        <f>IFERROR(__xludf.DUMMYFUNCTION("""COMPUTED_VALUE"""),"Актуально")</f>
        <v>Актуально</v>
      </c>
      <c r="U480" s="88" t="str">
        <f>IFERROR(__xludf.DUMMYFUNCTION("""COMPUTED_VALUE"""),"Влад")</f>
        <v>Влад</v>
      </c>
    </row>
    <row r="481">
      <c r="A481" s="88">
        <f>IFERROR(__xludf.DUMMYFUNCTION("""COMPUTED_VALUE"""),82.0)</f>
        <v>82</v>
      </c>
      <c r="B481" s="88" t="str">
        <f>IFERROR(__xludf.DUMMYFUNCTION("""COMPUTED_VALUE"""),"krem_dlya_ruk_75ml")</f>
        <v>krem_dlya_ruk_75ml</v>
      </c>
      <c r="C481" s="88">
        <f>IFERROR(__xludf.DUMMYFUNCTION("""COMPUTED_VALUE"""),1.413555098E9)</f>
        <v>1413555098</v>
      </c>
      <c r="E481" s="88" t="str">
        <f>IFERROR(__xludf.DUMMYFUNCTION("""COMPUTED_VALUE"""),"Актуально")</f>
        <v>Актуально</v>
      </c>
      <c r="F481" s="88" t="str">
        <f>IFERROR(__xludf.DUMMYFUNCTION("""COMPUTED_VALUE"""),"Олеся")</f>
        <v>Олеся</v>
      </c>
      <c r="P481" s="88">
        <f>IFERROR(__xludf.DUMMYFUNCTION("""COMPUTED_VALUE"""),2.0)</f>
        <v>2</v>
      </c>
      <c r="Q481" s="88" t="str">
        <f>IFERROR(__xludf.DUMMYFUNCTION("""COMPUTED_VALUE"""),"wbgetsize")</f>
        <v>wbgetsize</v>
      </c>
      <c r="R481" s="88">
        <f>IFERROR(__xludf.DUMMYFUNCTION("""COMPUTED_VALUE"""),2.86744793E8)</f>
        <v>286744793</v>
      </c>
      <c r="T481" s="88" t="str">
        <f>IFERROR(__xludf.DUMMYFUNCTION("""COMPUTED_VALUE"""),"Актуально")</f>
        <v>Актуально</v>
      </c>
      <c r="U481" s="88" t="str">
        <f>IFERROR(__xludf.DUMMYFUNCTION("""COMPUTED_VALUE"""),"Влад")</f>
        <v>Влад</v>
      </c>
    </row>
    <row r="482">
      <c r="A482" s="88">
        <f>IFERROR(__xludf.DUMMYFUNCTION("""COMPUTED_VALUE"""),66.0)</f>
        <v>66</v>
      </c>
      <c r="B482" s="88" t="str">
        <f>IFERROR(__xludf.DUMMYFUNCTION("""COMPUTED_VALUE"""),"dardrakona_1_1")</f>
        <v>dardrakona_1_1</v>
      </c>
      <c r="C482" s="88">
        <f>IFERROR(__xludf.DUMMYFUNCTION("""COMPUTED_VALUE"""),1.188111089E9)</f>
        <v>1188111089</v>
      </c>
      <c r="E482" s="88" t="str">
        <f>IFERROR(__xludf.DUMMYFUNCTION("""COMPUTED_VALUE"""),"Актуально")</f>
        <v>Актуально</v>
      </c>
      <c r="F482" s="88" t="str">
        <f>IFERROR(__xludf.DUMMYFUNCTION("""COMPUTED_VALUE"""),"Мария")</f>
        <v>Мария</v>
      </c>
      <c r="P482" s="88">
        <f>IFERROR(__xludf.DUMMYFUNCTION("""COMPUTED_VALUE"""),100.0)</f>
        <v>100</v>
      </c>
      <c r="Q482" s="88" t="str">
        <f>IFERROR(__xludf.DUMMYFUNCTION("""COMPUTED_VALUE"""),"frutaksa_BAD_200gr")</f>
        <v>frutaksa_BAD_200gr</v>
      </c>
      <c r="R482" s="88">
        <f>IFERROR(__xludf.DUMMYFUNCTION("""COMPUTED_VALUE"""),1.542480921E9)</f>
        <v>1542480921</v>
      </c>
      <c r="T482" s="88" t="str">
        <f>IFERROR(__xludf.DUMMYFUNCTION("""COMPUTED_VALUE"""),"Актуально")</f>
        <v>Актуально</v>
      </c>
      <c r="U482" s="88" t="str">
        <f>IFERROR(__xludf.DUMMYFUNCTION("""COMPUTED_VALUE"""),"Влад")</f>
        <v>Влад</v>
      </c>
    </row>
    <row r="483">
      <c r="A483" s="88">
        <f>IFERROR(__xludf.DUMMYFUNCTION("""COMPUTED_VALUE"""),100.0)</f>
        <v>100</v>
      </c>
      <c r="B483" s="88" t="str">
        <f>IFERROR(__xludf.DUMMYFUNCTION("""COMPUTED_VALUE"""),"frutaksa_BAD_200gr")</f>
        <v>frutaksa_BAD_200gr</v>
      </c>
      <c r="C483" s="88">
        <f>IFERROR(__xludf.DUMMYFUNCTION("""COMPUTED_VALUE"""),1.542480921E9)</f>
        <v>1542480921</v>
      </c>
      <c r="E483" s="88" t="str">
        <f>IFERROR(__xludf.DUMMYFUNCTION("""COMPUTED_VALUE"""),"Актуально")</f>
        <v>Актуально</v>
      </c>
      <c r="F483" s="88" t="str">
        <f>IFERROR(__xludf.DUMMYFUNCTION("""COMPUTED_VALUE"""),"Светлана")</f>
        <v>Светлана</v>
      </c>
      <c r="P483" s="88">
        <f>IFERROR(__xludf.DUMMYFUNCTION("""COMPUTED_VALUE"""),158.0)</f>
        <v>158</v>
      </c>
      <c r="Q483" s="88" t="str">
        <f>IFERROR(__xludf.DUMMYFUNCTION("""COMPUTED_VALUE"""),"nabor_remuver_40ml_1_1")</f>
        <v>nabor_remuver_40ml_1_1</v>
      </c>
      <c r="R483" s="88">
        <f>IFERROR(__xludf.DUMMYFUNCTION("""COMPUTED_VALUE"""),2.067921716E9)</f>
        <v>2067921716</v>
      </c>
      <c r="T483" s="88" t="str">
        <f>IFERROR(__xludf.DUMMYFUNCTION("""COMPUTED_VALUE"""),"Актуально")</f>
        <v>Актуально</v>
      </c>
      <c r="U483" s="88" t="str">
        <f>IFERROR(__xludf.DUMMYFUNCTION("""COMPUTED_VALUE"""),"Влад")</f>
        <v>Влад</v>
      </c>
    </row>
    <row r="484">
      <c r="A484" s="88">
        <f>IFERROR(__xludf.DUMMYFUNCTION("""COMPUTED_VALUE"""),33.0)</f>
        <v>33</v>
      </c>
      <c r="B484" s="88" t="str">
        <f>IFERROR(__xludf.DUMMYFUNCTION("""COMPUTED_VALUE"""),"smokinglock")</f>
        <v>smokinglock</v>
      </c>
      <c r="C484" s="88">
        <f>IFERROR(__xludf.DUMMYFUNCTION("""COMPUTED_VALUE"""),6.69955177E8)</f>
        <v>669955177</v>
      </c>
      <c r="E484" s="88" t="str">
        <f>IFERROR(__xludf.DUMMYFUNCTION("""COMPUTED_VALUE"""),"Актуально")</f>
        <v>Актуально</v>
      </c>
      <c r="F484" s="88" t="str">
        <f>IFERROR(__xludf.DUMMYFUNCTION("""COMPUTED_VALUE"""),"Кирилл")</f>
        <v>Кирилл</v>
      </c>
      <c r="P484" s="88">
        <f>IFERROR(__xludf.DUMMYFUNCTION("""COMPUTED_VALUE"""),84.0)</f>
        <v>84</v>
      </c>
      <c r="Q484" s="88" t="str">
        <f>IFERROR(__xludf.DUMMYFUNCTION("""COMPUTED_VALUE"""),"glikiron_BAD_60caps")</f>
        <v>glikiron_BAD_60caps</v>
      </c>
      <c r="R484" s="88">
        <f>IFERROR(__xludf.DUMMYFUNCTION("""COMPUTED_VALUE"""),1.422277198E9)</f>
        <v>1422277198</v>
      </c>
      <c r="T484" s="88" t="str">
        <f>IFERROR(__xludf.DUMMYFUNCTION("""COMPUTED_VALUE"""),"Актуально")</f>
        <v>Актуально</v>
      </c>
      <c r="U484" s="88" t="str">
        <f>IFERROR(__xludf.DUMMYFUNCTION("""COMPUTED_VALUE"""),"Даша")</f>
        <v>Даша</v>
      </c>
    </row>
    <row r="485">
      <c r="A485" s="88">
        <f>IFERROR(__xludf.DUMMYFUNCTION("""COMPUTED_VALUE"""),106.0)</f>
        <v>106</v>
      </c>
      <c r="B485" s="88" t="str">
        <f>IFERROR(__xludf.DUMMYFUNCTION("""COMPUTED_VALUE"""),"intimvita_200ml")</f>
        <v>intimvita_200ml</v>
      </c>
      <c r="C485" s="88">
        <f>IFERROR(__xludf.DUMMYFUNCTION("""COMPUTED_VALUE"""),1.581991716E9)</f>
        <v>1581991716</v>
      </c>
      <c r="E485" s="88" t="str">
        <f>IFERROR(__xludf.DUMMYFUNCTION("""COMPUTED_VALUE"""),"На вывод")</f>
        <v>На вывод</v>
      </c>
      <c r="F485" s="88" t="str">
        <f>IFERROR(__xludf.DUMMYFUNCTION("""COMPUTED_VALUE"""),"Кирилл")</f>
        <v>Кирилл</v>
      </c>
      <c r="P485" s="88"/>
      <c r="Q485" s="88" t="str">
        <f>IFERROR(__xludf.DUMMYFUNCTION("""COMPUTED_VALUE"""),"antigiperton")</f>
        <v>antigiperton</v>
      </c>
      <c r="R485" s="88"/>
      <c r="T485" s="88" t="str">
        <f>IFERROR(__xludf.DUMMYFUNCTION("""COMPUTED_VALUE"""),"Новинка")</f>
        <v>Новинка</v>
      </c>
      <c r="U485" s="88" t="str">
        <f>IFERROR(__xludf.DUMMYFUNCTION("""COMPUTED_VALUE"""),"Влад")</f>
        <v>Влад</v>
      </c>
    </row>
    <row r="486">
      <c r="A486" s="88">
        <f>IFERROR(__xludf.DUMMYFUNCTION("""COMPUTED_VALUE"""),6.0)</f>
        <v>6</v>
      </c>
      <c r="B486" s="88" t="str">
        <f>IFERROR(__xludf.DUMMYFUNCTION("""COMPUTED_VALUE"""),"wbbiotrin")</f>
        <v>wbbiotrin</v>
      </c>
      <c r="C486" s="88">
        <f>IFERROR(__xludf.DUMMYFUNCTION("""COMPUTED_VALUE"""),2.89386465E8)</f>
        <v>289386465</v>
      </c>
      <c r="E486" s="88" t="str">
        <f>IFERROR(__xludf.DUMMYFUNCTION("""COMPUTED_VALUE"""),"Актуально")</f>
        <v>Актуально</v>
      </c>
      <c r="F486" s="88" t="str">
        <f>IFERROR(__xludf.DUMMYFUNCTION("""COMPUTED_VALUE"""),"Олеся")</f>
        <v>Олеся</v>
      </c>
      <c r="P486" s="88"/>
      <c r="Q486" s="88" t="str">
        <f>IFERROR(__xludf.DUMMYFUNCTION("""COMPUTED_VALUE"""),"psoral11")</f>
        <v>psoral11</v>
      </c>
      <c r="R486" s="88"/>
      <c r="T486" s="88" t="str">
        <f>IFERROR(__xludf.DUMMYFUNCTION("""COMPUTED_VALUE"""),"Новинка")</f>
        <v>Новинка</v>
      </c>
      <c r="U486" s="88" t="str">
        <f>IFERROR(__xludf.DUMMYFUNCTION("""COMPUTED_VALUE"""),"Влад")</f>
        <v>Влад</v>
      </c>
    </row>
    <row r="487">
      <c r="A487" s="88">
        <f>IFERROR(__xludf.DUMMYFUNCTION("""COMPUTED_VALUE"""),14.0)</f>
        <v>14</v>
      </c>
      <c r="B487" s="88" t="str">
        <f>IFERROR(__xludf.DUMMYFUNCTION("""COMPUTED_VALUE"""),"wbalkotoxic")</f>
        <v>wbalkotoxic</v>
      </c>
      <c r="C487" s="88">
        <f>IFERROR(__xludf.DUMMYFUNCTION("""COMPUTED_VALUE"""),2.99140637E8)</f>
        <v>299140637</v>
      </c>
      <c r="E487" s="88" t="str">
        <f>IFERROR(__xludf.DUMMYFUNCTION("""COMPUTED_VALUE"""),"Актуально")</f>
        <v>Актуально</v>
      </c>
      <c r="F487" s="88" t="str">
        <f>IFERROR(__xludf.DUMMYFUNCTION("""COMPUTED_VALUE"""),"Кирилл")</f>
        <v>Кирилл</v>
      </c>
      <c r="P487" s="88"/>
      <c r="Q487" s="88" t="str">
        <f>IFERROR(__xludf.DUMMYFUNCTION("""COMPUTED_VALUE"""),"syvorotka_dlya_lica_30ml_v2")</f>
        <v>syvorotka_dlya_lica_30ml_v2</v>
      </c>
      <c r="R487" s="88">
        <f>IFERROR(__xludf.DUMMYFUNCTION("""COMPUTED_VALUE"""),3.159927877E9)</f>
        <v>3159927877</v>
      </c>
      <c r="T487" s="88" t="str">
        <f>IFERROR(__xludf.DUMMYFUNCTION("""COMPUTED_VALUE"""),"Новинка")</f>
        <v>Новинка</v>
      </c>
      <c r="U487" s="88" t="str">
        <f>IFERROR(__xludf.DUMMYFUNCTION("""COMPUTED_VALUE"""),"Даша")</f>
        <v>Даша</v>
      </c>
    </row>
    <row r="488">
      <c r="A488" s="88">
        <f>IFERROR(__xludf.DUMMYFUNCTION("""COMPUTED_VALUE"""),17.0)</f>
        <v>17</v>
      </c>
      <c r="B488" s="88" t="str">
        <f>IFERROR(__xludf.DUMMYFUNCTION("""COMPUTED_VALUE"""),"glikiron")</f>
        <v>glikiron</v>
      </c>
      <c r="C488" s="88">
        <f>IFERROR(__xludf.DUMMYFUNCTION("""COMPUTED_VALUE"""),2.96790094E8)</f>
        <v>296790094</v>
      </c>
      <c r="E488" s="88" t="str">
        <f>IFERROR(__xludf.DUMMYFUNCTION("""COMPUTED_VALUE"""),"Актуально")</f>
        <v>Актуально</v>
      </c>
      <c r="F488" s="88" t="str">
        <f>IFERROR(__xludf.DUMMYFUNCTION("""COMPUTED_VALUE"""),"Кирилл")</f>
        <v>Кирилл</v>
      </c>
      <c r="P488" s="88"/>
      <c r="Q488" s="88" t="str">
        <f>IFERROR(__xludf.DUMMYFUNCTION("""COMPUTED_VALUE"""),"krem_spf50_50ml")</f>
        <v>krem_spf50_50ml</v>
      </c>
      <c r="R488" s="88">
        <f>IFERROR(__xludf.DUMMYFUNCTION("""COMPUTED_VALUE"""),3.164675898E9)</f>
        <v>3164675898</v>
      </c>
      <c r="T488" s="88" t="str">
        <f>IFERROR(__xludf.DUMMYFUNCTION("""COMPUTED_VALUE"""),"Новинка")</f>
        <v>Новинка</v>
      </c>
      <c r="U488" s="88" t="str">
        <f>IFERROR(__xludf.DUMMYFUNCTION("""COMPUTED_VALUE"""),"Даша")</f>
        <v>Даша</v>
      </c>
    </row>
    <row r="489">
      <c r="A489" s="88">
        <f>IFERROR(__xludf.DUMMYFUNCTION("""COMPUTED_VALUE"""),57.0)</f>
        <v>57</v>
      </c>
      <c r="B489" s="88" t="str">
        <f>IFERROR(__xludf.DUMMYFUNCTION("""COMPUTED_VALUE"""),"wbbiotrin_1_1")</f>
        <v>wbbiotrin_1_1</v>
      </c>
      <c r="C489" s="88">
        <f>IFERROR(__xludf.DUMMYFUNCTION("""COMPUTED_VALUE"""),1.15456532E9)</f>
        <v>1154565320</v>
      </c>
      <c r="E489" s="88" t="str">
        <f>IFERROR(__xludf.DUMMYFUNCTION("""COMPUTED_VALUE"""),"Актуально")</f>
        <v>Актуально</v>
      </c>
      <c r="F489" s="88" t="str">
        <f>IFERROR(__xludf.DUMMYFUNCTION("""COMPUTED_VALUE"""),"Олеся")</f>
        <v>Олеся</v>
      </c>
      <c r="P489" s="88">
        <f>IFERROR(__xludf.DUMMYFUNCTION("""COMPUTED_VALUE"""),16.0)</f>
        <v>16</v>
      </c>
      <c r="Q489" s="88" t="str">
        <f>IFERROR(__xludf.DUMMYFUNCTION("""COMPUTED_VALUE"""),"sanatsin")</f>
        <v>sanatsin</v>
      </c>
      <c r="R489" s="88">
        <f>IFERROR(__xludf.DUMMYFUNCTION("""COMPUTED_VALUE"""),2.96756085E8)</f>
        <v>296756085</v>
      </c>
      <c r="T489" s="88" t="str">
        <f>IFERROR(__xludf.DUMMYFUNCTION("""COMPUTED_VALUE"""),"Актуально")</f>
        <v>Актуально</v>
      </c>
      <c r="U489" s="88" t="str">
        <f>IFERROR(__xludf.DUMMYFUNCTION("""COMPUTED_VALUE"""),"Даша")</f>
        <v>Даша</v>
      </c>
    </row>
    <row r="490">
      <c r="A490" s="88">
        <f>IFERROR(__xludf.DUMMYFUNCTION("""COMPUTED_VALUE"""),29.0)</f>
        <v>29</v>
      </c>
      <c r="B490" s="88" t="str">
        <f>IFERROR(__xludf.DUMMYFUNCTION("""COMPUTED_VALUE"""),"okucin")</f>
        <v>okucin</v>
      </c>
      <c r="C490" s="88">
        <f>IFERROR(__xludf.DUMMYFUNCTION("""COMPUTED_VALUE"""),3.99457649E8)</f>
        <v>399457649</v>
      </c>
      <c r="E490" s="88" t="str">
        <f>IFERROR(__xludf.DUMMYFUNCTION("""COMPUTED_VALUE"""),"Актуально")</f>
        <v>Актуально</v>
      </c>
      <c r="F490" s="88" t="str">
        <f>IFERROR(__xludf.DUMMYFUNCTION("""COMPUTED_VALUE"""),"Кирилл")</f>
        <v>Кирилл</v>
      </c>
      <c r="P490" s="88">
        <f>IFERROR(__xludf.DUMMYFUNCTION("""COMPUTED_VALUE"""),128.0)</f>
        <v>128</v>
      </c>
      <c r="Q490" s="88" t="str">
        <f>IFERROR(__xludf.DUMMYFUNCTION("""COMPUTED_VALUE"""),"stik_ot_mozoley")</f>
        <v>stik_ot_mozoley</v>
      </c>
      <c r="R490" s="88">
        <f>IFERROR(__xludf.DUMMYFUNCTION("""COMPUTED_VALUE"""),1.70231937E9)</f>
        <v>1702319370</v>
      </c>
      <c r="T490" s="88" t="str">
        <f>IFERROR(__xludf.DUMMYFUNCTION("""COMPUTED_VALUE"""),"Актуально")</f>
        <v>Актуально</v>
      </c>
      <c r="U490" s="88" t="str">
        <f>IFERROR(__xludf.DUMMYFUNCTION("""COMPUTED_VALUE"""),"Даша")</f>
        <v>Даша</v>
      </c>
    </row>
    <row r="491">
      <c r="A491" s="88">
        <f>IFERROR(__xludf.DUMMYFUNCTION("""COMPUTED_VALUE"""),182.0)</f>
        <v>182</v>
      </c>
      <c r="B491" s="88" t="str">
        <f>IFERROR(__xludf.DUMMYFUNCTION("""COMPUTED_VALUE"""),"varifit_1_1")</f>
        <v>varifit_1_1</v>
      </c>
      <c r="C491" s="88">
        <f>IFERROR(__xludf.DUMMYFUNCTION("""COMPUTED_VALUE"""),2.825161431E9)</f>
        <v>2825161431</v>
      </c>
      <c r="E491" s="88" t="str">
        <f>IFERROR(__xludf.DUMMYFUNCTION("""COMPUTED_VALUE"""),"Актуально")</f>
        <v>Актуально</v>
      </c>
      <c r="F491" s="88" t="str">
        <f>IFERROR(__xludf.DUMMYFUNCTION("""COMPUTED_VALUE"""),"Мария")</f>
        <v>Мария</v>
      </c>
      <c r="P491" s="88">
        <f>IFERROR(__xludf.DUMMYFUNCTION("""COMPUTED_VALUE"""),17.0)</f>
        <v>17</v>
      </c>
      <c r="Q491" s="88" t="str">
        <f>IFERROR(__xludf.DUMMYFUNCTION("""COMPUTED_VALUE"""),"glikiron")</f>
        <v>glikiron</v>
      </c>
      <c r="R491" s="88">
        <f>IFERROR(__xludf.DUMMYFUNCTION("""COMPUTED_VALUE"""),2.96790094E8)</f>
        <v>296790094</v>
      </c>
      <c r="T491" s="88" t="str">
        <f>IFERROR(__xludf.DUMMYFUNCTION("""COMPUTED_VALUE"""),"Актуально")</f>
        <v>Актуально</v>
      </c>
      <c r="U491" s="88" t="str">
        <f>IFERROR(__xludf.DUMMYFUNCTION("""COMPUTED_VALUE"""),"Даша")</f>
        <v>Даша</v>
      </c>
    </row>
    <row r="492">
      <c r="A492" s="88">
        <f>IFERROR(__xludf.DUMMYFUNCTION("""COMPUTED_VALUE"""),146.0)</f>
        <v>146</v>
      </c>
      <c r="B492" s="88" t="str">
        <f>IFERROR(__xludf.DUMMYFUNCTION("""COMPUTED_VALUE"""),"erobrut")</f>
        <v>erobrut</v>
      </c>
      <c r="C492" s="88">
        <f>IFERROR(__xludf.DUMMYFUNCTION("""COMPUTED_VALUE"""),1.829804935E9)</f>
        <v>1829804935</v>
      </c>
      <c r="E492" s="88" t="str">
        <f>IFERROR(__xludf.DUMMYFUNCTION("""COMPUTED_VALUE"""),"Актуально")</f>
        <v>Актуально</v>
      </c>
      <c r="F492" s="88" t="str">
        <f>IFERROR(__xludf.DUMMYFUNCTION("""COMPUTED_VALUE"""),"Кирилл")</f>
        <v>Кирилл</v>
      </c>
      <c r="P492" s="88">
        <f>IFERROR(__xludf.DUMMYFUNCTION("""COMPUTED_VALUE"""),65.0)</f>
        <v>65</v>
      </c>
      <c r="Q492" s="88" t="str">
        <f>IFERROR(__xludf.DUMMYFUNCTION("""COMPUTED_VALUE"""),"vetonus_1_1")</f>
        <v>vetonus_1_1</v>
      </c>
      <c r="R492" s="88">
        <f>IFERROR(__xludf.DUMMYFUNCTION("""COMPUTED_VALUE"""),1.188108975E9)</f>
        <v>1188108975</v>
      </c>
      <c r="T492" s="88" t="str">
        <f>IFERROR(__xludf.DUMMYFUNCTION("""COMPUTED_VALUE"""),"Актуально")</f>
        <v>Актуально</v>
      </c>
      <c r="U492" s="88" t="str">
        <f>IFERROR(__xludf.DUMMYFUNCTION("""COMPUTED_VALUE"""),"Даша")</f>
        <v>Даша</v>
      </c>
    </row>
    <row r="493">
      <c r="A493" s="88">
        <f>IFERROR(__xludf.DUMMYFUNCTION("""COMPUTED_VALUE"""),180.0)</f>
        <v>180</v>
      </c>
      <c r="B493" s="88" t="str">
        <f>IFERROR(__xludf.DUMMYFUNCTION("""COMPUTED_VALUE"""),"wbmicelix_1_1")</f>
        <v>wbmicelix_1_1</v>
      </c>
      <c r="C493" s="88">
        <f>IFERROR(__xludf.DUMMYFUNCTION("""COMPUTED_VALUE"""),2.825129893E9)</f>
        <v>2825129893</v>
      </c>
      <c r="E493" s="88" t="str">
        <f>IFERROR(__xludf.DUMMYFUNCTION("""COMPUTED_VALUE"""),"Актуально")</f>
        <v>Актуально</v>
      </c>
      <c r="F493" s="88" t="str">
        <f>IFERROR(__xludf.DUMMYFUNCTION("""COMPUTED_VALUE"""),"Кирилл")</f>
        <v>Кирилл</v>
      </c>
      <c r="P493" s="88">
        <f>IFERROR(__xludf.DUMMYFUNCTION("""COMPUTED_VALUE"""),111.0)</f>
        <v>111</v>
      </c>
      <c r="Q493" s="88" t="str">
        <f>IFERROR(__xludf.DUMMYFUNCTION("""COMPUTED_VALUE"""),"glukofol")</f>
        <v>glukofol</v>
      </c>
      <c r="R493" s="88">
        <f>IFERROR(__xludf.DUMMYFUNCTION("""COMPUTED_VALUE"""),1.590064366E9)</f>
        <v>1590064366</v>
      </c>
      <c r="T493" s="88" t="str">
        <f>IFERROR(__xludf.DUMMYFUNCTION("""COMPUTED_VALUE"""),"Актуально")</f>
        <v>Актуально</v>
      </c>
      <c r="U493" s="88" t="str">
        <f>IFERROR(__xludf.DUMMYFUNCTION("""COMPUTED_VALUE"""),"Даша")</f>
        <v>Даша</v>
      </c>
    </row>
    <row r="494">
      <c r="A494" s="88">
        <f>IFERROR(__xludf.DUMMYFUNCTION("""COMPUTED_VALUE"""),38.0)</f>
        <v>38</v>
      </c>
      <c r="B494" s="88" t="str">
        <f>IFERROR(__xludf.DUMMYFUNCTION("""COMPUTED_VALUE"""),"activeprost")</f>
        <v>activeprost</v>
      </c>
      <c r="C494" s="88">
        <f>IFERROR(__xludf.DUMMYFUNCTION("""COMPUTED_VALUE"""),7.32602771E8)</f>
        <v>732602771</v>
      </c>
      <c r="E494" s="88" t="str">
        <f>IFERROR(__xludf.DUMMYFUNCTION("""COMPUTED_VALUE"""),"Актуально")</f>
        <v>Актуально</v>
      </c>
      <c r="F494" s="88" t="str">
        <f>IFERROR(__xludf.DUMMYFUNCTION("""COMPUTED_VALUE"""),"Кирилл")</f>
        <v>Кирилл</v>
      </c>
      <c r="P494" s="88">
        <f>IFERROR(__xludf.DUMMYFUNCTION("""COMPUTED_VALUE"""),20.0)</f>
        <v>20</v>
      </c>
      <c r="Q494" s="88" t="str">
        <f>IFERROR(__xludf.DUMMYFUNCTION("""COMPUTED_VALUE"""),"micolan")</f>
        <v>micolan</v>
      </c>
      <c r="R494" s="88">
        <f>IFERROR(__xludf.DUMMYFUNCTION("""COMPUTED_VALUE"""),3.07654206E8)</f>
        <v>307654206</v>
      </c>
      <c r="T494" s="88" t="str">
        <f>IFERROR(__xludf.DUMMYFUNCTION("""COMPUTED_VALUE"""),"Актуально")</f>
        <v>Актуально</v>
      </c>
      <c r="U494" s="88" t="str">
        <f>IFERROR(__xludf.DUMMYFUNCTION("""COMPUTED_VALUE"""),"Даша")</f>
        <v>Даша</v>
      </c>
    </row>
    <row r="495">
      <c r="A495" s="88">
        <f>IFERROR(__xludf.DUMMYFUNCTION("""COMPUTED_VALUE"""),138.0)</f>
        <v>138</v>
      </c>
      <c r="B495" s="88" t="str">
        <f>IFERROR(__xludf.DUMMYFUNCTION("""COMPUTED_VALUE"""),"b_kompleks_BAD_60tabl")</f>
        <v>b_kompleks_BAD_60tabl</v>
      </c>
      <c r="C495" s="88">
        <f>IFERROR(__xludf.DUMMYFUNCTION("""COMPUTED_VALUE"""),1.758604241E9)</f>
        <v>1758604241</v>
      </c>
      <c r="E495" s="88" t="str">
        <f>IFERROR(__xludf.DUMMYFUNCTION("""COMPUTED_VALUE"""),"На вывод")</f>
        <v>На вывод</v>
      </c>
      <c r="F495" s="88" t="str">
        <f>IFERROR(__xludf.DUMMYFUNCTION("""COMPUTED_VALUE"""),"Светлана")</f>
        <v>Светлана</v>
      </c>
      <c r="P495" s="88">
        <f>IFERROR(__xludf.DUMMYFUNCTION("""COMPUTED_VALUE"""),47.0)</f>
        <v>47</v>
      </c>
      <c r="Q495" s="88" t="str">
        <f>IFERROR(__xludf.DUMMYFUNCTION("""COMPUTED_VALUE"""),"vetonus")</f>
        <v>vetonus</v>
      </c>
      <c r="R495" s="88">
        <f>IFERROR(__xludf.DUMMYFUNCTION("""COMPUTED_VALUE"""),8.47511103E8)</f>
        <v>847511103</v>
      </c>
      <c r="T495" s="88" t="str">
        <f>IFERROR(__xludf.DUMMYFUNCTION("""COMPUTED_VALUE"""),"Актуально")</f>
        <v>Актуально</v>
      </c>
      <c r="U495" s="88" t="str">
        <f>IFERROR(__xludf.DUMMYFUNCTION("""COMPUTED_VALUE"""),"Даша")</f>
        <v>Даша</v>
      </c>
    </row>
    <row r="496">
      <c r="A496" s="88">
        <f>IFERROR(__xludf.DUMMYFUNCTION("""COMPUTED_VALUE"""),162.0)</f>
        <v>162</v>
      </c>
      <c r="B496" s="88" t="str">
        <f>IFERROR(__xludf.DUMMYFUNCTION("""COMPUTED_VALUE"""),"ekdisteron_ultra_man_60caps")</f>
        <v>ekdisteron_ultra_man_60caps</v>
      </c>
      <c r="C496" s="88">
        <f>IFERROR(__xludf.DUMMYFUNCTION("""COMPUTED_VALUE"""),2.099218978E9)</f>
        <v>2099218978</v>
      </c>
      <c r="E496" s="88" t="str">
        <f>IFERROR(__xludf.DUMMYFUNCTION("""COMPUTED_VALUE"""),"Актуально")</f>
        <v>Актуально</v>
      </c>
      <c r="F496" s="88" t="str">
        <f>IFERROR(__xludf.DUMMYFUNCTION("""COMPUTED_VALUE"""),"Кирилл")</f>
        <v>Кирилл</v>
      </c>
      <c r="P496" s="88">
        <f>IFERROR(__xludf.DUMMYFUNCTION("""COMPUTED_VALUE"""),26.0)</f>
        <v>26</v>
      </c>
      <c r="Q496" s="88" t="str">
        <f>IFERROR(__xludf.DUMMYFUNCTION("""COMPUTED_VALUE"""),"brutalax")</f>
        <v>brutalax</v>
      </c>
      <c r="R496" s="88">
        <f>IFERROR(__xludf.DUMMYFUNCTION("""COMPUTED_VALUE"""),3.56313449E8)</f>
        <v>356313449</v>
      </c>
      <c r="T496" s="88" t="str">
        <f>IFERROR(__xludf.DUMMYFUNCTION("""COMPUTED_VALUE"""),"Актуально")</f>
        <v>Актуально</v>
      </c>
      <c r="U496" s="88" t="str">
        <f>IFERROR(__xludf.DUMMYFUNCTION("""COMPUTED_VALUE"""),"Влад")</f>
        <v>Влад</v>
      </c>
    </row>
    <row r="497">
      <c r="A497" s="88">
        <f>IFERROR(__xludf.DUMMYFUNCTION("""COMPUTED_VALUE"""),9.0)</f>
        <v>9</v>
      </c>
      <c r="B497" s="88" t="str">
        <f>IFERROR(__xludf.DUMMYFUNCTION("""COMPUTED_VALUE"""),"trezor")</f>
        <v>trezor</v>
      </c>
      <c r="C497" s="88">
        <f>IFERROR(__xludf.DUMMYFUNCTION("""COMPUTED_VALUE"""),2.90202723E8)</f>
        <v>290202723</v>
      </c>
      <c r="E497" s="88" t="str">
        <f>IFERROR(__xludf.DUMMYFUNCTION("""COMPUTED_VALUE"""),"Актуально")</f>
        <v>Актуально</v>
      </c>
      <c r="F497" s="88" t="str">
        <f>IFERROR(__xludf.DUMMYFUNCTION("""COMPUTED_VALUE"""),"Кирилл")</f>
        <v>Кирилл</v>
      </c>
      <c r="P497" s="88">
        <f>IFERROR(__xludf.DUMMYFUNCTION("""COMPUTED_VALUE"""),119.0)</f>
        <v>119</v>
      </c>
      <c r="Q497" s="88" t="str">
        <f>IFERROR(__xludf.DUMMYFUNCTION("""COMPUTED_VALUE"""),"relaksinol_BAD_60caps")</f>
        <v>relaksinol_BAD_60caps</v>
      </c>
      <c r="R497" s="88">
        <f>IFERROR(__xludf.DUMMYFUNCTION("""COMPUTED_VALUE"""),1.629559728E9)</f>
        <v>1629559728</v>
      </c>
      <c r="T497" s="88" t="str">
        <f>IFERROR(__xludf.DUMMYFUNCTION("""COMPUTED_VALUE"""),"Актуально")</f>
        <v>Актуально</v>
      </c>
      <c r="U497" s="88" t="str">
        <f>IFERROR(__xludf.DUMMYFUNCTION("""COMPUTED_VALUE"""),"Даша")</f>
        <v>Даша</v>
      </c>
    </row>
    <row r="498">
      <c r="A498" s="88">
        <f>IFERROR(__xludf.DUMMYFUNCTION("""COMPUTED_VALUE"""),111.0)</f>
        <v>111</v>
      </c>
      <c r="B498" s="88" t="str">
        <f>IFERROR(__xludf.DUMMYFUNCTION("""COMPUTED_VALUE"""),"glukofol")</f>
        <v>glukofol</v>
      </c>
      <c r="C498" s="88">
        <f>IFERROR(__xludf.DUMMYFUNCTION("""COMPUTED_VALUE"""),1.590064366E9)</f>
        <v>1590064366</v>
      </c>
      <c r="E498" s="88" t="str">
        <f>IFERROR(__xludf.DUMMYFUNCTION("""COMPUTED_VALUE"""),"Актуально")</f>
        <v>Актуально</v>
      </c>
      <c r="F498" s="88" t="str">
        <f>IFERROR(__xludf.DUMMYFUNCTION("""COMPUTED_VALUE"""),"Кирилл")</f>
        <v>Кирилл</v>
      </c>
      <c r="P498" s="88">
        <f>IFERROR(__xludf.DUMMYFUNCTION("""COMPUTED_VALUE"""),88.0)</f>
        <v>88</v>
      </c>
      <c r="Q498" s="88" t="str">
        <f>IFERROR(__xludf.DUMMYFUNCTION("""COMPUTED_VALUE"""),"gidrofilnoe_maslo_150ml")</f>
        <v>gidrofilnoe_maslo_150ml</v>
      </c>
      <c r="R498" s="88">
        <f>IFERROR(__xludf.DUMMYFUNCTION("""COMPUTED_VALUE"""),1.526983919E9)</f>
        <v>1526983919</v>
      </c>
      <c r="T498" s="88" t="str">
        <f>IFERROR(__xludf.DUMMYFUNCTION("""COMPUTED_VALUE"""),"Актуально")</f>
        <v>Актуально</v>
      </c>
      <c r="U498" s="88" t="str">
        <f>IFERROR(__xludf.DUMMYFUNCTION("""COMPUTED_VALUE"""),"Даша")</f>
        <v>Даша</v>
      </c>
    </row>
    <row r="499">
      <c r="A499" s="88">
        <f>IFERROR(__xludf.DUMMYFUNCTION("""COMPUTED_VALUE"""),20.0)</f>
        <v>20</v>
      </c>
      <c r="B499" s="88" t="str">
        <f>IFERROR(__xludf.DUMMYFUNCTION("""COMPUTED_VALUE"""),"micolan")</f>
        <v>micolan</v>
      </c>
      <c r="C499" s="88">
        <f>IFERROR(__xludf.DUMMYFUNCTION("""COMPUTED_VALUE"""),3.07654206E8)</f>
        <v>307654206</v>
      </c>
      <c r="E499" s="88" t="str">
        <f>IFERROR(__xludf.DUMMYFUNCTION("""COMPUTED_VALUE"""),"Актуально")</f>
        <v>Актуально</v>
      </c>
      <c r="F499" s="88" t="str">
        <f>IFERROR(__xludf.DUMMYFUNCTION("""COMPUTED_VALUE"""),"Олеся")</f>
        <v>Олеся</v>
      </c>
      <c r="P499" s="88">
        <f>IFERROR(__xludf.DUMMYFUNCTION("""COMPUTED_VALUE"""),9.0)</f>
        <v>9</v>
      </c>
      <c r="Q499" s="88" t="str">
        <f>IFERROR(__xludf.DUMMYFUNCTION("""COMPUTED_VALUE"""),"trezor")</f>
        <v>trezor</v>
      </c>
      <c r="R499" s="88">
        <f>IFERROR(__xludf.DUMMYFUNCTION("""COMPUTED_VALUE"""),2.90202723E8)</f>
        <v>290202723</v>
      </c>
      <c r="T499" s="88" t="str">
        <f>IFERROR(__xludf.DUMMYFUNCTION("""COMPUTED_VALUE"""),"Актуально")</f>
        <v>Актуально</v>
      </c>
      <c r="U499" s="88" t="str">
        <f>IFERROR(__xludf.DUMMYFUNCTION("""COMPUTED_VALUE"""),"Влад")</f>
        <v>Влад</v>
      </c>
    </row>
    <row r="500">
      <c r="A500" s="88">
        <f>IFERROR(__xludf.DUMMYFUNCTION("""COMPUTED_VALUE"""),81.0)</f>
        <v>81</v>
      </c>
      <c r="B500" s="88" t="str">
        <f>IFERROR(__xludf.DUMMYFUNCTION("""COMPUTED_VALUE"""),"vetonus_100ml")</f>
        <v>vetonus_100ml</v>
      </c>
      <c r="C500" s="88">
        <f>IFERROR(__xludf.DUMMYFUNCTION("""COMPUTED_VALUE"""),1.403753693E9)</f>
        <v>1403753693</v>
      </c>
      <c r="E500" s="88" t="str">
        <f>IFERROR(__xludf.DUMMYFUNCTION("""COMPUTED_VALUE"""),"Актуально")</f>
        <v>Актуально</v>
      </c>
      <c r="F500" s="88" t="str">
        <f>IFERROR(__xludf.DUMMYFUNCTION("""COMPUTED_VALUE"""),"Мария")</f>
        <v>Мария</v>
      </c>
      <c r="P500" s="88">
        <f>IFERROR(__xludf.DUMMYFUNCTION("""COMPUTED_VALUE"""),34.0)</f>
        <v>34</v>
      </c>
      <c r="Q500" s="88" t="str">
        <f>IFERROR(__xludf.DUMMYFUNCTION("""COMPUTED_VALUE"""),"pirantox")</f>
        <v>pirantox</v>
      </c>
      <c r="R500" s="88">
        <f>IFERROR(__xludf.DUMMYFUNCTION("""COMPUTED_VALUE"""),6.69985038E8)</f>
        <v>669985038</v>
      </c>
      <c r="T500" s="88" t="str">
        <f>IFERROR(__xludf.DUMMYFUNCTION("""COMPUTED_VALUE"""),"Актуально")</f>
        <v>Актуально</v>
      </c>
      <c r="U500" s="88" t="str">
        <f>IFERROR(__xludf.DUMMYFUNCTION("""COMPUTED_VALUE"""),"Влад")</f>
        <v>Влад</v>
      </c>
    </row>
    <row r="501">
      <c r="A501" s="88">
        <f>IFERROR(__xludf.DUMMYFUNCTION("""COMPUTED_VALUE"""),145.0)</f>
        <v>145</v>
      </c>
      <c r="B501" s="88" t="str">
        <f>IFERROR(__xludf.DUMMYFUNCTION("""COMPUTED_VALUE"""),"urinofix")</f>
        <v>urinofix</v>
      </c>
      <c r="C501" s="88">
        <f>IFERROR(__xludf.DUMMYFUNCTION("""COMPUTED_VALUE"""),1.829803107E9)</f>
        <v>1829803107</v>
      </c>
      <c r="E501" s="88" t="str">
        <f>IFERROR(__xludf.DUMMYFUNCTION("""COMPUTED_VALUE"""),"Актуально")</f>
        <v>Актуально</v>
      </c>
      <c r="F501" s="88" t="str">
        <f>IFERROR(__xludf.DUMMYFUNCTION("""COMPUTED_VALUE"""),"Кирилл")</f>
        <v>Кирилл</v>
      </c>
      <c r="P501" s="88">
        <f>IFERROR(__xludf.DUMMYFUNCTION("""COMPUTED_VALUE"""),6.0)</f>
        <v>6</v>
      </c>
      <c r="Q501" s="88" t="str">
        <f>IFERROR(__xludf.DUMMYFUNCTION("""COMPUTED_VALUE"""),"wbbiotrin")</f>
        <v>wbbiotrin</v>
      </c>
      <c r="R501" s="88">
        <f>IFERROR(__xludf.DUMMYFUNCTION("""COMPUTED_VALUE"""),2.89386465E8)</f>
        <v>289386465</v>
      </c>
      <c r="T501" s="88" t="str">
        <f>IFERROR(__xludf.DUMMYFUNCTION("""COMPUTED_VALUE"""),"Актуально")</f>
        <v>Актуально</v>
      </c>
      <c r="U501" s="88" t="str">
        <f>IFERROR(__xludf.DUMMYFUNCTION("""COMPUTED_VALUE"""),"Влад")</f>
        <v>Влад</v>
      </c>
    </row>
    <row r="502">
      <c r="A502" s="88">
        <f>IFERROR(__xludf.DUMMYFUNCTION("""COMPUTED_VALUE"""),58.0)</f>
        <v>58</v>
      </c>
      <c r="B502" s="88" t="str">
        <f>IFERROR(__xludf.DUMMYFUNCTION("""COMPUTED_VALUE"""),"chudofrukt_1_1")</f>
        <v>chudofrukt_1_1</v>
      </c>
      <c r="C502" s="88">
        <f>IFERROR(__xludf.DUMMYFUNCTION("""COMPUTED_VALUE"""),1.154571921E9)</f>
        <v>1154571921</v>
      </c>
      <c r="E502" s="88" t="str">
        <f>IFERROR(__xludf.DUMMYFUNCTION("""COMPUTED_VALUE"""),"Актуально")</f>
        <v>Актуально</v>
      </c>
      <c r="F502" s="88" t="str">
        <f>IFERROR(__xludf.DUMMYFUNCTION("""COMPUTED_VALUE"""),"Светлана")</f>
        <v>Светлана</v>
      </c>
      <c r="P502" s="88">
        <f>IFERROR(__xludf.DUMMYFUNCTION("""COMPUTED_VALUE"""),172.0)</f>
        <v>172</v>
      </c>
      <c r="Q502" s="88" t="str">
        <f>IFERROR(__xludf.DUMMYFUNCTION("""COMPUTED_VALUE"""),"gel_dlya_britya_300ml")</f>
        <v>gel_dlya_britya_300ml</v>
      </c>
      <c r="R502" s="88">
        <f>IFERROR(__xludf.DUMMYFUNCTION("""COMPUTED_VALUE"""),2.58310045E9)</f>
        <v>2583100450</v>
      </c>
      <c r="T502" s="88" t="str">
        <f>IFERROR(__xludf.DUMMYFUNCTION("""COMPUTED_VALUE"""),"Актуально")</f>
        <v>Актуально</v>
      </c>
      <c r="U502" s="88" t="str">
        <f>IFERROR(__xludf.DUMMYFUNCTION("""COMPUTED_VALUE"""),"Влад")</f>
        <v>Влад</v>
      </c>
    </row>
    <row r="503">
      <c r="A503" s="88">
        <f>IFERROR(__xludf.DUMMYFUNCTION("""COMPUTED_VALUE"""),166.0)</f>
        <v>166</v>
      </c>
      <c r="B503" s="88" t="str">
        <f>IFERROR(__xludf.DUMMYFUNCTION("""COMPUTED_VALUE"""),"maslo_dlya_volos_parf_110ml_")</f>
        <v>maslo_dlya_volos_parf_110ml_</v>
      </c>
      <c r="C503" s="88">
        <f>IFERROR(__xludf.DUMMYFUNCTION("""COMPUTED_VALUE"""),2.168297398E9)</f>
        <v>2168297398</v>
      </c>
      <c r="E503" s="88" t="str">
        <f>IFERROR(__xludf.DUMMYFUNCTION("""COMPUTED_VALUE"""),"Актуально")</f>
        <v>Актуально</v>
      </c>
      <c r="F503" s="88" t="str">
        <f>IFERROR(__xludf.DUMMYFUNCTION("""COMPUTED_VALUE"""),"Мария")</f>
        <v>Мария</v>
      </c>
      <c r="P503" s="88">
        <f>IFERROR(__xludf.DUMMYFUNCTION("""COMPUTED_VALUE"""),132.0)</f>
        <v>132</v>
      </c>
      <c r="Q503" s="88" t="str">
        <f>IFERROR(__xludf.DUMMYFUNCTION("""COMPUTED_VALUE"""),"limfaks_BAD_30caps")</f>
        <v>limfaks_BAD_30caps</v>
      </c>
      <c r="R503" s="88">
        <f>IFERROR(__xludf.DUMMYFUNCTION("""COMPUTED_VALUE"""),1.745055145E9)</f>
        <v>1745055145</v>
      </c>
      <c r="T503" s="88" t="str">
        <f>IFERROR(__xludf.DUMMYFUNCTION("""COMPUTED_VALUE"""),"На вывод")</f>
        <v>На вывод</v>
      </c>
      <c r="U503" s="88" t="str">
        <f>IFERROR(__xludf.DUMMYFUNCTION("""COMPUTED_VALUE"""),"Влад")</f>
        <v>Влад</v>
      </c>
    </row>
    <row r="504">
      <c r="A504" s="88">
        <f>IFERROR(__xludf.DUMMYFUNCTION("""COMPUTED_VALUE"""),119.0)</f>
        <v>119</v>
      </c>
      <c r="B504" s="88" t="str">
        <f>IFERROR(__xludf.DUMMYFUNCTION("""COMPUTED_VALUE"""),"relaksinol_BAD_60caps")</f>
        <v>relaksinol_BAD_60caps</v>
      </c>
      <c r="C504" s="88">
        <f>IFERROR(__xludf.DUMMYFUNCTION("""COMPUTED_VALUE"""),1.629559728E9)</f>
        <v>1629559728</v>
      </c>
      <c r="E504" s="88" t="str">
        <f>IFERROR(__xludf.DUMMYFUNCTION("""COMPUTED_VALUE"""),"На вывод")</f>
        <v>На вывод</v>
      </c>
      <c r="F504" s="88" t="str">
        <f>IFERROR(__xludf.DUMMYFUNCTION("""COMPUTED_VALUE"""),"Кирилл")</f>
        <v>Кирилл</v>
      </c>
      <c r="P504" s="88">
        <f>IFERROR(__xludf.DUMMYFUNCTION("""COMPUTED_VALUE"""),13.0)</f>
        <v>13</v>
      </c>
      <c r="Q504" s="88" t="str">
        <f>IFERROR(__xludf.DUMMYFUNCTION("""COMPUTED_VALUE"""),"wboptitrin")</f>
        <v>wboptitrin</v>
      </c>
      <c r="R504" s="88">
        <f>IFERROR(__xludf.DUMMYFUNCTION("""COMPUTED_VALUE"""),2.91860206E8)</f>
        <v>291860206</v>
      </c>
      <c r="T504" s="88" t="str">
        <f>IFERROR(__xludf.DUMMYFUNCTION("""COMPUTED_VALUE"""),"Актуально")</f>
        <v>Актуально</v>
      </c>
      <c r="U504" s="88" t="str">
        <f>IFERROR(__xludf.DUMMYFUNCTION("""COMPUTED_VALUE"""),"Влад")</f>
        <v>Влад</v>
      </c>
    </row>
    <row r="505">
      <c r="A505" s="88">
        <f>IFERROR(__xludf.DUMMYFUNCTION("""COMPUTED_VALUE"""),32.0)</f>
        <v>32</v>
      </c>
      <c r="B505" s="88" t="str">
        <f>IFERROR(__xludf.DUMMYFUNCTION("""COMPUTED_VALUE"""),"chudofrukt")</f>
        <v>chudofrukt</v>
      </c>
      <c r="C505" s="88">
        <f>IFERROR(__xludf.DUMMYFUNCTION("""COMPUTED_VALUE"""),6.36852972E8)</f>
        <v>636852972</v>
      </c>
      <c r="E505" s="88" t="str">
        <f>IFERROR(__xludf.DUMMYFUNCTION("""COMPUTED_VALUE"""),"Актуально")</f>
        <v>Актуально</v>
      </c>
      <c r="F505" s="88" t="str">
        <f>IFERROR(__xludf.DUMMYFUNCTION("""COMPUTED_VALUE"""),"Светлана")</f>
        <v>Светлана</v>
      </c>
      <c r="P505" s="88">
        <f>IFERROR(__xludf.DUMMYFUNCTION("""COMPUTED_VALUE"""),48.0)</f>
        <v>48</v>
      </c>
      <c r="Q505" s="88" t="str">
        <f>IFERROR(__xludf.DUMMYFUNCTION("""COMPUTED_VALUE"""),"t34poten10caps")</f>
        <v>t34poten10caps</v>
      </c>
      <c r="R505" s="88">
        <f>IFERROR(__xludf.DUMMYFUNCTION("""COMPUTED_VALUE"""),8.89458318E8)</f>
        <v>889458318</v>
      </c>
      <c r="T505" s="88" t="str">
        <f>IFERROR(__xludf.DUMMYFUNCTION("""COMPUTED_VALUE"""),"На вывод")</f>
        <v>На вывод</v>
      </c>
      <c r="U505" s="88" t="str">
        <f>IFERROR(__xludf.DUMMYFUNCTION("""COMPUTED_VALUE"""),"Влад")</f>
        <v>Влад</v>
      </c>
    </row>
    <row r="506">
      <c r="A506" s="88">
        <f>IFERROR(__xludf.DUMMYFUNCTION("""COMPUTED_VALUE"""),135.0)</f>
        <v>135</v>
      </c>
      <c r="B506" s="88" t="str">
        <f>IFERROR(__xludf.DUMMYFUNCTION("""COMPUTED_VALUE"""),"indolakt_BAD_60caps")</f>
        <v>indolakt_BAD_60caps</v>
      </c>
      <c r="C506" s="88">
        <f>IFERROR(__xludf.DUMMYFUNCTION("""COMPUTED_VALUE"""),1.752021365E9)</f>
        <v>1752021365</v>
      </c>
      <c r="E506" s="88" t="str">
        <f>IFERROR(__xludf.DUMMYFUNCTION("""COMPUTED_VALUE"""),"Под вопросом")</f>
        <v>Под вопросом</v>
      </c>
      <c r="F506" s="88" t="str">
        <f>IFERROR(__xludf.DUMMYFUNCTION("""COMPUTED_VALUE"""),"Светлана")</f>
        <v>Светлана</v>
      </c>
      <c r="P506" s="88">
        <f>IFERROR(__xludf.DUMMYFUNCTION("""COMPUTED_VALUE"""),29.0)</f>
        <v>29</v>
      </c>
      <c r="Q506" s="88" t="str">
        <f>IFERROR(__xludf.DUMMYFUNCTION("""COMPUTED_VALUE"""),"okucin")</f>
        <v>okucin</v>
      </c>
      <c r="R506" s="88">
        <f>IFERROR(__xludf.DUMMYFUNCTION("""COMPUTED_VALUE"""),3.99457649E8)</f>
        <v>399457649</v>
      </c>
      <c r="T506" s="88" t="str">
        <f>IFERROR(__xludf.DUMMYFUNCTION("""COMPUTED_VALUE"""),"Актуально")</f>
        <v>Актуально</v>
      </c>
      <c r="U506" s="88" t="str">
        <f>IFERROR(__xludf.DUMMYFUNCTION("""COMPUTED_VALUE"""),"Влад")</f>
        <v>Влад</v>
      </c>
    </row>
    <row r="507">
      <c r="A507" s="88">
        <f>IFERROR(__xludf.DUMMYFUNCTION("""COMPUTED_VALUE"""),8.0)</f>
        <v>8</v>
      </c>
      <c r="B507" s="88" t="str">
        <f>IFERROR(__xludf.DUMMYFUNCTION("""COMPUTED_VALUE"""),"dolgar")</f>
        <v>dolgar</v>
      </c>
      <c r="C507" s="88">
        <f>IFERROR(__xludf.DUMMYFUNCTION("""COMPUTED_VALUE"""),2.90413438E8)</f>
        <v>290413438</v>
      </c>
      <c r="E507" s="88" t="str">
        <f>IFERROR(__xludf.DUMMYFUNCTION("""COMPUTED_VALUE"""),"Актуально")</f>
        <v>Актуально</v>
      </c>
      <c r="F507" s="88" t="str">
        <f>IFERROR(__xludf.DUMMYFUNCTION("""COMPUTED_VALUE"""),"Олеся")</f>
        <v>Олеся</v>
      </c>
      <c r="P507" s="88">
        <f>IFERROR(__xludf.DUMMYFUNCTION("""COMPUTED_VALUE"""),68.0)</f>
        <v>68</v>
      </c>
      <c r="Q507" s="88" t="str">
        <f>IFERROR(__xludf.DUMMYFUNCTION("""COMPUTED_VALUE"""),"biotrin_60ml")</f>
        <v>biotrin_60ml</v>
      </c>
      <c r="R507" s="88">
        <f>IFERROR(__xludf.DUMMYFUNCTION("""COMPUTED_VALUE"""),1.271273685E9)</f>
        <v>1271273685</v>
      </c>
      <c r="T507" s="88" t="str">
        <f>IFERROR(__xludf.DUMMYFUNCTION("""COMPUTED_VALUE"""),"На вывод")</f>
        <v>На вывод</v>
      </c>
      <c r="U507" s="88" t="str">
        <f>IFERROR(__xludf.DUMMYFUNCTION("""COMPUTED_VALUE"""),"Влад")</f>
        <v>Влад</v>
      </c>
    </row>
    <row r="508">
      <c r="A508" s="88">
        <f>IFERROR(__xludf.DUMMYFUNCTION("""COMPUTED_VALUE"""),171.0)</f>
        <v>171</v>
      </c>
      <c r="B508" s="88" t="str">
        <f>IFERROR(__xludf.DUMMYFUNCTION("""COMPUTED_VALUE"""),"intimvita_300ml")</f>
        <v>intimvita_300ml</v>
      </c>
      <c r="C508" s="88">
        <f>IFERROR(__xludf.DUMMYFUNCTION("""COMPUTED_VALUE"""),2.545691905E9)</f>
        <v>2545691905</v>
      </c>
      <c r="E508" s="88" t="str">
        <f>IFERROR(__xludf.DUMMYFUNCTION("""COMPUTED_VALUE"""),"Актуально")</f>
        <v>Актуально</v>
      </c>
      <c r="F508" s="88" t="str">
        <f>IFERROR(__xludf.DUMMYFUNCTION("""COMPUTED_VALUE"""),"Кирилл")</f>
        <v>Кирилл</v>
      </c>
      <c r="P508" s="88">
        <f>IFERROR(__xludf.DUMMYFUNCTION("""COMPUTED_VALUE"""),18.0)</f>
        <v>18</v>
      </c>
      <c r="Q508" s="88" t="str">
        <f>IFERROR(__xludf.DUMMYFUNCTION("""COMPUTED_VALUE"""),"adenofrin")</f>
        <v>adenofrin</v>
      </c>
      <c r="R508" s="88">
        <f>IFERROR(__xludf.DUMMYFUNCTION("""COMPUTED_VALUE"""),2.96818197E8)</f>
        <v>296818197</v>
      </c>
      <c r="T508" s="88" t="str">
        <f>IFERROR(__xludf.DUMMYFUNCTION("""COMPUTED_VALUE"""),"На вывод")</f>
        <v>На вывод</v>
      </c>
      <c r="U508" s="88" t="str">
        <f>IFERROR(__xludf.DUMMYFUNCTION("""COMPUTED_VALUE"""),"Влад")</f>
        <v>Влад</v>
      </c>
    </row>
    <row r="509">
      <c r="A509" s="88">
        <f>IFERROR(__xludf.DUMMYFUNCTION("""COMPUTED_VALUE"""),141.0)</f>
        <v>141</v>
      </c>
      <c r="B509" s="88" t="str">
        <f>IFERROR(__xludf.DUMMYFUNCTION("""COMPUTED_VALUE"""),"gel_parfum_tabacco_vanille_450ml")</f>
        <v>gel_parfum_tabacco_vanille_450ml</v>
      </c>
      <c r="C509" s="88">
        <f>IFERROR(__xludf.DUMMYFUNCTION("""COMPUTED_VALUE"""),1.793172927E9)</f>
        <v>1793172927</v>
      </c>
      <c r="E509" s="88" t="str">
        <f>IFERROR(__xludf.DUMMYFUNCTION("""COMPUTED_VALUE"""),"Актуально")</f>
        <v>Актуально</v>
      </c>
      <c r="F509" s="88" t="str">
        <f>IFERROR(__xludf.DUMMYFUNCTION("""COMPUTED_VALUE"""),"Кирилл")</f>
        <v>Кирилл</v>
      </c>
      <c r="P509" s="88">
        <f>IFERROR(__xludf.DUMMYFUNCTION("""COMPUTED_VALUE"""),79.0)</f>
        <v>79</v>
      </c>
      <c r="Q509" s="88" t="str">
        <f>IFERROR(__xludf.DUMMYFUNCTION("""COMPUTED_VALUE"""),"dardrakona_75ml")</f>
        <v>dardrakona_75ml</v>
      </c>
      <c r="R509" s="88">
        <f>IFERROR(__xludf.DUMMYFUNCTION("""COMPUTED_VALUE"""),1.350973968E9)</f>
        <v>1350973968</v>
      </c>
      <c r="T509" s="88" t="str">
        <f>IFERROR(__xludf.DUMMYFUNCTION("""COMPUTED_VALUE"""),"Актуально")</f>
        <v>Актуально</v>
      </c>
      <c r="U509" s="88" t="str">
        <f>IFERROR(__xludf.DUMMYFUNCTION("""COMPUTED_VALUE"""),"Даша")</f>
        <v>Даша</v>
      </c>
    </row>
    <row r="510">
      <c r="A510" s="88">
        <f>IFERROR(__xludf.DUMMYFUNCTION("""COMPUTED_VALUE"""),68.0)</f>
        <v>68</v>
      </c>
      <c r="B510" s="88" t="str">
        <f>IFERROR(__xludf.DUMMYFUNCTION("""COMPUTED_VALUE"""),"biotrin_60ml")</f>
        <v>biotrin_60ml</v>
      </c>
      <c r="C510" s="88">
        <f>IFERROR(__xludf.DUMMYFUNCTION("""COMPUTED_VALUE"""),1.271273685E9)</f>
        <v>1271273685</v>
      </c>
      <c r="E510" s="88" t="str">
        <f>IFERROR(__xludf.DUMMYFUNCTION("""COMPUTED_VALUE"""),"На вывод")</f>
        <v>На вывод</v>
      </c>
      <c r="F510" s="88" t="str">
        <f>IFERROR(__xludf.DUMMYFUNCTION("""COMPUTED_VALUE"""),"Олеся")</f>
        <v>Олеся</v>
      </c>
      <c r="P510" s="88">
        <f>IFERROR(__xludf.DUMMYFUNCTION("""COMPUTED_VALUE"""),150.0)</f>
        <v>150</v>
      </c>
      <c r="Q510" s="88" t="str">
        <f>IFERROR(__xludf.DUMMYFUNCTION("""COMPUTED_VALUE"""),"sinergel_30ml_1_1")</f>
        <v>sinergel_30ml_1_1</v>
      </c>
      <c r="R510" s="88">
        <f>IFERROR(__xludf.DUMMYFUNCTION("""COMPUTED_VALUE"""),1.851902167E9)</f>
        <v>1851902167</v>
      </c>
      <c r="T510" s="88" t="str">
        <f>IFERROR(__xludf.DUMMYFUNCTION("""COMPUTED_VALUE"""),"Актуально")</f>
        <v>Актуально</v>
      </c>
      <c r="U510" s="88" t="str">
        <f>IFERROR(__xludf.DUMMYFUNCTION("""COMPUTED_VALUE"""),"Влад")</f>
        <v>Влад</v>
      </c>
    </row>
    <row r="511">
      <c r="A511" s="88">
        <f>IFERROR(__xludf.DUMMYFUNCTION("""COMPUTED_VALUE"""),27.0)</f>
        <v>27</v>
      </c>
      <c r="B511" s="88" t="str">
        <f>IFERROR(__xludf.DUMMYFUNCTION("""COMPUTED_VALUE"""),"dardrakona")</f>
        <v>dardrakona</v>
      </c>
      <c r="C511" s="88">
        <f>IFERROR(__xludf.DUMMYFUNCTION("""COMPUTED_VALUE"""),3.59068917E8)</f>
        <v>359068917</v>
      </c>
      <c r="E511" s="88" t="str">
        <f>IFERROR(__xludf.DUMMYFUNCTION("""COMPUTED_VALUE"""),"Актуально")</f>
        <v>Актуально</v>
      </c>
      <c r="F511" s="88" t="str">
        <f>IFERROR(__xludf.DUMMYFUNCTION("""COMPUTED_VALUE"""),"Мария")</f>
        <v>Мария</v>
      </c>
      <c r="P511" s="88">
        <f>IFERROR(__xludf.DUMMYFUNCTION("""COMPUTED_VALUE"""),57.0)</f>
        <v>57</v>
      </c>
      <c r="Q511" s="88" t="str">
        <f>IFERROR(__xludf.DUMMYFUNCTION("""COMPUTED_VALUE"""),"wbbiotrin_1_1")</f>
        <v>wbbiotrin_1_1</v>
      </c>
      <c r="R511" s="88">
        <f>IFERROR(__xludf.DUMMYFUNCTION("""COMPUTED_VALUE"""),1.15456532E9)</f>
        <v>1154565320</v>
      </c>
      <c r="T511" s="88" t="str">
        <f>IFERROR(__xludf.DUMMYFUNCTION("""COMPUTED_VALUE"""),"Актуально")</f>
        <v>Актуально</v>
      </c>
      <c r="U511" s="88" t="str">
        <f>IFERROR(__xludf.DUMMYFUNCTION("""COMPUTED_VALUE"""),"Влад")</f>
        <v>Влад</v>
      </c>
    </row>
    <row r="512">
      <c r="A512" s="88">
        <f>IFERROR(__xludf.DUMMYFUNCTION("""COMPUTED_VALUE"""),4.0)</f>
        <v>4</v>
      </c>
      <c r="B512" s="88" t="str">
        <f>IFERROR(__xludf.DUMMYFUNCTION("""COMPUTED_VALUE"""),"wbvaritox")</f>
        <v>wbvaritox</v>
      </c>
      <c r="C512" s="88">
        <f>IFERROR(__xludf.DUMMYFUNCTION("""COMPUTED_VALUE"""),2.89030651E8)</f>
        <v>289030651</v>
      </c>
      <c r="E512" s="88" t="str">
        <f>IFERROR(__xludf.DUMMYFUNCTION("""COMPUTED_VALUE"""),"Актуально")</f>
        <v>Актуально</v>
      </c>
      <c r="F512" s="88" t="str">
        <f>IFERROR(__xludf.DUMMYFUNCTION("""COMPUTED_VALUE"""),"Мария")</f>
        <v>Мария</v>
      </c>
      <c r="P512" s="88">
        <f>IFERROR(__xludf.DUMMYFUNCTION("""COMPUTED_VALUE"""),1.0)</f>
        <v>1</v>
      </c>
      <c r="Q512" s="88" t="str">
        <f>IFERROR(__xludf.DUMMYFUNCTION("""COMPUTED_VALUE"""),"wbgetsizegel")</f>
        <v>wbgetsizegel</v>
      </c>
      <c r="R512" s="88">
        <f>IFERROR(__xludf.DUMMYFUNCTION("""COMPUTED_VALUE"""),2.88346567E8)</f>
        <v>288346567</v>
      </c>
      <c r="T512" s="88" t="str">
        <f>IFERROR(__xludf.DUMMYFUNCTION("""COMPUTED_VALUE"""),"Актуально")</f>
        <v>Актуально</v>
      </c>
      <c r="U512" s="88" t="str">
        <f>IFERROR(__xludf.DUMMYFUNCTION("""COMPUTED_VALUE"""),"Влад")</f>
        <v>Влад</v>
      </c>
    </row>
    <row r="513">
      <c r="A513" s="88">
        <f>IFERROR(__xludf.DUMMYFUNCTION("""COMPUTED_VALUE"""),128.0)</f>
        <v>128</v>
      </c>
      <c r="B513" s="88" t="str">
        <f>IFERROR(__xludf.DUMMYFUNCTION("""COMPUTED_VALUE"""),"stik_ot_mozoley")</f>
        <v>stik_ot_mozoley</v>
      </c>
      <c r="C513" s="88">
        <f>IFERROR(__xludf.DUMMYFUNCTION("""COMPUTED_VALUE"""),1.70231937E9)</f>
        <v>1702319370</v>
      </c>
      <c r="E513" s="88" t="str">
        <f>IFERROR(__xludf.DUMMYFUNCTION("""COMPUTED_VALUE"""),"Актуально")</f>
        <v>Актуально</v>
      </c>
      <c r="F513" s="88" t="str">
        <f>IFERROR(__xludf.DUMMYFUNCTION("""COMPUTED_VALUE"""),"Олеся")</f>
        <v>Олеся</v>
      </c>
      <c r="P513" s="88">
        <f>IFERROR(__xludf.DUMMYFUNCTION("""COMPUTED_VALUE"""),23.0)</f>
        <v>23</v>
      </c>
      <c r="Q513" s="88" t="str">
        <f>IFERROR(__xludf.DUMMYFUNCTION("""COMPUTED_VALUE"""),"wbvizox")</f>
        <v>wbvizox</v>
      </c>
      <c r="R513" s="88">
        <f>IFERROR(__xludf.DUMMYFUNCTION("""COMPUTED_VALUE"""),3.27231771E8)</f>
        <v>327231771</v>
      </c>
      <c r="T513" s="88" t="str">
        <f>IFERROR(__xludf.DUMMYFUNCTION("""COMPUTED_VALUE"""),"Актуально")</f>
        <v>Актуально</v>
      </c>
      <c r="U513" s="88" t="str">
        <f>IFERROR(__xludf.DUMMYFUNCTION("""COMPUTED_VALUE"""),"Влад")</f>
        <v>Влад</v>
      </c>
    </row>
    <row r="514">
      <c r="A514" s="88">
        <f>IFERROR(__xludf.DUMMYFUNCTION("""COMPUTED_VALUE"""),88.0)</f>
        <v>88</v>
      </c>
      <c r="B514" s="88" t="str">
        <f>IFERROR(__xludf.DUMMYFUNCTION("""COMPUTED_VALUE"""),"gidrofilnoe_maslo_150ml")</f>
        <v>gidrofilnoe_maslo_150ml</v>
      </c>
      <c r="C514" s="88">
        <f>IFERROR(__xludf.DUMMYFUNCTION("""COMPUTED_VALUE"""),1.526983919E9)</f>
        <v>1526983919</v>
      </c>
      <c r="E514" s="88" t="str">
        <f>IFERROR(__xludf.DUMMYFUNCTION("""COMPUTED_VALUE"""),"На вывод")</f>
        <v>На вывод</v>
      </c>
      <c r="F514" s="88" t="str">
        <f>IFERROR(__xludf.DUMMYFUNCTION("""COMPUTED_VALUE"""),"Мария")</f>
        <v>Мария</v>
      </c>
      <c r="P514" s="88">
        <f>IFERROR(__xludf.DUMMYFUNCTION("""COMPUTED_VALUE"""),14.0)</f>
        <v>14</v>
      </c>
      <c r="Q514" s="88" t="str">
        <f>IFERROR(__xludf.DUMMYFUNCTION("""COMPUTED_VALUE"""),"wbalkotoxic")</f>
        <v>wbalkotoxic</v>
      </c>
      <c r="R514" s="88">
        <f>IFERROR(__xludf.DUMMYFUNCTION("""COMPUTED_VALUE"""),2.99140637E8)</f>
        <v>299140637</v>
      </c>
      <c r="T514" s="88" t="str">
        <f>IFERROR(__xludf.DUMMYFUNCTION("""COMPUTED_VALUE"""),"Актуально")</f>
        <v>Актуально</v>
      </c>
      <c r="U514" s="88" t="str">
        <f>IFERROR(__xludf.DUMMYFUNCTION("""COMPUTED_VALUE"""),"Влад")</f>
        <v>Влад</v>
      </c>
    </row>
    <row r="515">
      <c r="A515" s="88">
        <f>IFERROR(__xludf.DUMMYFUNCTION("""COMPUTED_VALUE"""),23.0)</f>
        <v>23</v>
      </c>
      <c r="B515" s="88" t="str">
        <f>IFERROR(__xludf.DUMMYFUNCTION("""COMPUTED_VALUE"""),"wbvizox")</f>
        <v>wbvizox</v>
      </c>
      <c r="C515" s="88">
        <f>IFERROR(__xludf.DUMMYFUNCTION("""COMPUTED_VALUE"""),3.27231771E8)</f>
        <v>327231771</v>
      </c>
      <c r="E515" s="88" t="str">
        <f>IFERROR(__xludf.DUMMYFUNCTION("""COMPUTED_VALUE"""),"Актуально")</f>
        <v>Актуально</v>
      </c>
      <c r="F515" s="88" t="str">
        <f>IFERROR(__xludf.DUMMYFUNCTION("""COMPUTED_VALUE"""),"Кирилл")</f>
        <v>Кирилл</v>
      </c>
      <c r="P515" s="88">
        <f>IFERROR(__xludf.DUMMYFUNCTION("""COMPUTED_VALUE"""),32.0)</f>
        <v>32</v>
      </c>
      <c r="Q515" s="88" t="str">
        <f>IFERROR(__xludf.DUMMYFUNCTION("""COMPUTED_VALUE"""),"chudofrukt")</f>
        <v>chudofrukt</v>
      </c>
      <c r="R515" s="88">
        <f>IFERROR(__xludf.DUMMYFUNCTION("""COMPUTED_VALUE"""),6.36852972E8)</f>
        <v>636852972</v>
      </c>
      <c r="T515" s="88" t="str">
        <f>IFERROR(__xludf.DUMMYFUNCTION("""COMPUTED_VALUE"""),"Актуально")</f>
        <v>Актуально</v>
      </c>
      <c r="U515" s="88" t="str">
        <f>IFERROR(__xludf.DUMMYFUNCTION("""COMPUTED_VALUE"""),"Влад")</f>
        <v>Влад</v>
      </c>
    </row>
    <row r="516">
      <c r="A516" s="88">
        <f>IFERROR(__xludf.DUMMYFUNCTION("""COMPUTED_VALUE"""),122.0)</f>
        <v>122</v>
      </c>
      <c r="B516" s="88" t="str">
        <f>IFERROR(__xludf.DUMMYFUNCTION("""COMPUTED_VALUE"""),"gel_dlya_brovei_6ml")</f>
        <v>gel_dlya_brovei_6ml</v>
      </c>
      <c r="C516" s="88">
        <f>IFERROR(__xludf.DUMMYFUNCTION("""COMPUTED_VALUE"""),1.671085702E9)</f>
        <v>1671085702</v>
      </c>
      <c r="E516" s="88" t="str">
        <f>IFERROR(__xludf.DUMMYFUNCTION("""COMPUTED_VALUE"""),"Под вопросом")</f>
        <v>Под вопросом</v>
      </c>
      <c r="F516" s="88" t="str">
        <f>IFERROR(__xludf.DUMMYFUNCTION("""COMPUTED_VALUE"""),"Кирилл")</f>
        <v>Кирилл</v>
      </c>
      <c r="P516" s="88">
        <f>IFERROR(__xludf.DUMMYFUNCTION("""COMPUTED_VALUE"""),15.0)</f>
        <v>15</v>
      </c>
      <c r="Q516" s="88" t="str">
        <f>IFERROR(__xludf.DUMMYFUNCTION("""COMPUTED_VALUE"""),"fruitalica")</f>
        <v>fruitalica</v>
      </c>
      <c r="R516" s="88">
        <f>IFERROR(__xludf.DUMMYFUNCTION("""COMPUTED_VALUE"""),3.01630774E8)</f>
        <v>301630774</v>
      </c>
      <c r="T516" s="88" t="str">
        <f>IFERROR(__xludf.DUMMYFUNCTION("""COMPUTED_VALUE"""),"Актуально")</f>
        <v>Актуально</v>
      </c>
      <c r="U516" s="88" t="str">
        <f>IFERROR(__xludf.DUMMYFUNCTION("""COMPUTED_VALUE"""),"Влад")</f>
        <v>Влад</v>
      </c>
    </row>
    <row r="517">
      <c r="A517" s="88">
        <f>IFERROR(__xludf.DUMMYFUNCTION("""COMPUTED_VALUE"""),158.0)</f>
        <v>158</v>
      </c>
      <c r="B517" s="88" t="str">
        <f>IFERROR(__xludf.DUMMYFUNCTION("""COMPUTED_VALUE"""),"nabor_remuver_40ml_1_1")</f>
        <v>nabor_remuver_40ml_1_1</v>
      </c>
      <c r="C517" s="88">
        <f>IFERROR(__xludf.DUMMYFUNCTION("""COMPUTED_VALUE"""),2.067921716E9)</f>
        <v>2067921716</v>
      </c>
      <c r="E517" s="88" t="str">
        <f>IFERROR(__xludf.DUMMYFUNCTION("""COMPUTED_VALUE"""),"Актуально")</f>
        <v>Актуально</v>
      </c>
      <c r="F517" s="88" t="str">
        <f>IFERROR(__xludf.DUMMYFUNCTION("""COMPUTED_VALUE"""),"Мария")</f>
        <v>Мария</v>
      </c>
      <c r="P517" s="88">
        <f>IFERROR(__xludf.DUMMYFUNCTION("""COMPUTED_VALUE"""),24.0)</f>
        <v>24</v>
      </c>
      <c r="Q517" s="88" t="str">
        <f>IFERROR(__xludf.DUMMYFUNCTION("""COMPUTED_VALUE"""),"papiderm")</f>
        <v>papiderm</v>
      </c>
      <c r="R517" s="88">
        <f>IFERROR(__xludf.DUMMYFUNCTION("""COMPUTED_VALUE"""),3.27232798E8)</f>
        <v>327232798</v>
      </c>
      <c r="T517" s="88" t="str">
        <f>IFERROR(__xludf.DUMMYFUNCTION("""COMPUTED_VALUE"""),"Под вопросом")</f>
        <v>Под вопросом</v>
      </c>
      <c r="U517" s="88" t="str">
        <f>IFERROR(__xludf.DUMMYFUNCTION("""COMPUTED_VALUE"""),"Влад")</f>
        <v>Влад</v>
      </c>
    </row>
    <row r="518">
      <c r="A518" s="88">
        <f>IFERROR(__xludf.DUMMYFUNCTION("""COMPUTED_VALUE"""),101.0)</f>
        <v>101</v>
      </c>
      <c r="B518" s="88" t="str">
        <f>IFERROR(__xludf.DUMMYFUNCTION("""COMPUTED_VALUE"""),"frutalika_BAD_60caps")</f>
        <v>frutalika_BAD_60caps</v>
      </c>
      <c r="C518" s="88">
        <f>IFERROR(__xludf.DUMMYFUNCTION("""COMPUTED_VALUE"""),1.548063119E9)</f>
        <v>1548063119</v>
      </c>
      <c r="E518" s="88" t="str">
        <f>IFERROR(__xludf.DUMMYFUNCTION("""COMPUTED_VALUE"""),"Актуально")</f>
        <v>Актуально</v>
      </c>
      <c r="F518" s="88" t="str">
        <f>IFERROR(__xludf.DUMMYFUNCTION("""COMPUTED_VALUE"""),"Светлана")</f>
        <v>Светлана</v>
      </c>
      <c r="P518" s="88">
        <f>IFERROR(__xludf.DUMMYFUNCTION("""COMPUTED_VALUE"""),10.0)</f>
        <v>10</v>
      </c>
      <c r="Q518" s="88" t="str">
        <f>IFERROR(__xludf.DUMMYFUNCTION("""COMPUTED_VALUE"""),"wbneomaxblue")</f>
        <v>wbneomaxblue</v>
      </c>
      <c r="R518" s="88">
        <f>IFERROR(__xludf.DUMMYFUNCTION("""COMPUTED_VALUE"""),2.95356614E8)</f>
        <v>295356614</v>
      </c>
      <c r="T518" s="88" t="str">
        <f>IFERROR(__xludf.DUMMYFUNCTION("""COMPUTED_VALUE"""),"Актуально")</f>
        <v>Актуально</v>
      </c>
      <c r="U518" s="88" t="str">
        <f>IFERROR(__xludf.DUMMYFUNCTION("""COMPUTED_VALUE"""),"Влад")</f>
        <v>Влад</v>
      </c>
    </row>
    <row r="519">
      <c r="A519" s="88">
        <f>IFERROR(__xludf.DUMMYFUNCTION("""COMPUTED_VALUE"""),51.0)</f>
        <v>51</v>
      </c>
      <c r="B519" s="88" t="str">
        <f>IFERROR(__xludf.DUMMYFUNCTION("""COMPUTED_VALUE"""),"chudofrukt_BAD_60caps")</f>
        <v>chudofrukt_BAD_60caps</v>
      </c>
      <c r="C519" s="88">
        <f>IFERROR(__xludf.DUMMYFUNCTION("""COMPUTED_VALUE"""),1.08225213E9)</f>
        <v>1082252130</v>
      </c>
      <c r="E519" s="88" t="str">
        <f>IFERROR(__xludf.DUMMYFUNCTION("""COMPUTED_VALUE"""),"На вывод")</f>
        <v>На вывод</v>
      </c>
      <c r="F519" s="88" t="str">
        <f>IFERROR(__xludf.DUMMYFUNCTION("""COMPUTED_VALUE"""),"Светлана")</f>
        <v>Светлана</v>
      </c>
      <c r="P519" s="88">
        <f>IFERROR(__xludf.DUMMYFUNCTION("""COMPUTED_VALUE"""),96.0)</f>
        <v>96</v>
      </c>
      <c r="Q519" s="88" t="str">
        <f>IFERROR(__xludf.DUMMYFUNCTION("""COMPUTED_VALUE"""),"urolgan")</f>
        <v>urolgan</v>
      </c>
      <c r="R519" s="88">
        <f>IFERROR(__xludf.DUMMYFUNCTION("""COMPUTED_VALUE"""),1.541839778E9)</f>
        <v>1541839778</v>
      </c>
      <c r="T519" s="88" t="str">
        <f>IFERROR(__xludf.DUMMYFUNCTION("""COMPUTED_VALUE"""),"Актуально")</f>
        <v>Актуально</v>
      </c>
      <c r="U519" s="88" t="str">
        <f>IFERROR(__xludf.DUMMYFUNCTION("""COMPUTED_VALUE"""),"Влад")</f>
        <v>Влад</v>
      </c>
    </row>
    <row r="520">
      <c r="A520" s="88">
        <f>IFERROR(__xludf.DUMMYFUNCTION("""COMPUTED_VALUE"""),47.0)</f>
        <v>47</v>
      </c>
      <c r="B520" s="88" t="str">
        <f>IFERROR(__xludf.DUMMYFUNCTION("""COMPUTED_VALUE"""),"vetonus")</f>
        <v>vetonus</v>
      </c>
      <c r="C520" s="88">
        <f>IFERROR(__xludf.DUMMYFUNCTION("""COMPUTED_VALUE"""),8.47511103E8)</f>
        <v>847511103</v>
      </c>
      <c r="E520" s="88" t="str">
        <f>IFERROR(__xludf.DUMMYFUNCTION("""COMPUTED_VALUE"""),"Актуально")</f>
        <v>Актуально</v>
      </c>
      <c r="F520" s="88" t="str">
        <f>IFERROR(__xludf.DUMMYFUNCTION("""COMPUTED_VALUE"""),"Мария")</f>
        <v>Мария</v>
      </c>
      <c r="P520" s="88">
        <f>IFERROR(__xludf.DUMMYFUNCTION("""COMPUTED_VALUE"""),11.0)</f>
        <v>11</v>
      </c>
      <c r="Q520" s="88" t="str">
        <f>IFERROR(__xludf.DUMMYFUNCTION("""COMPUTED_VALUE"""),"wbneomax")</f>
        <v>wbneomax</v>
      </c>
      <c r="R520" s="88">
        <f>IFERROR(__xludf.DUMMYFUNCTION("""COMPUTED_VALUE"""),2.91910198E8)</f>
        <v>291910198</v>
      </c>
      <c r="T520" s="88" t="str">
        <f>IFERROR(__xludf.DUMMYFUNCTION("""COMPUTED_VALUE"""),"Актуально")</f>
        <v>Актуально</v>
      </c>
      <c r="U520" s="88" t="str">
        <f>IFERROR(__xludf.DUMMYFUNCTION("""COMPUTED_VALUE"""),"Влад")</f>
        <v>Влад</v>
      </c>
    </row>
    <row r="521">
      <c r="A521" s="88">
        <f>IFERROR(__xludf.DUMMYFUNCTION("""COMPUTED_VALUE"""),15.0)</f>
        <v>15</v>
      </c>
      <c r="B521" s="88" t="str">
        <f>IFERROR(__xludf.DUMMYFUNCTION("""COMPUTED_VALUE"""),"fruitalica")</f>
        <v>fruitalica</v>
      </c>
      <c r="C521" s="88">
        <f>IFERROR(__xludf.DUMMYFUNCTION("""COMPUTED_VALUE"""),3.01630774E8)</f>
        <v>301630774</v>
      </c>
      <c r="E521" s="88" t="str">
        <f>IFERROR(__xludf.DUMMYFUNCTION("""COMPUTED_VALUE"""),"Актуально")</f>
        <v>Актуально</v>
      </c>
      <c r="F521" s="88" t="str">
        <f>IFERROR(__xludf.DUMMYFUNCTION("""COMPUTED_VALUE"""),"Светлана")</f>
        <v>Светлана</v>
      </c>
      <c r="P521" s="88">
        <f>IFERROR(__xludf.DUMMYFUNCTION("""COMPUTED_VALUE"""),101.0)</f>
        <v>101</v>
      </c>
      <c r="Q521" s="88" t="str">
        <f>IFERROR(__xludf.DUMMYFUNCTION("""COMPUTED_VALUE"""),"frutalika_BAD_60caps")</f>
        <v>frutalika_BAD_60caps</v>
      </c>
      <c r="R521" s="88">
        <f>IFERROR(__xludf.DUMMYFUNCTION("""COMPUTED_VALUE"""),1.548063119E9)</f>
        <v>1548063119</v>
      </c>
      <c r="T521" s="88" t="str">
        <f>IFERROR(__xludf.DUMMYFUNCTION("""COMPUTED_VALUE"""),"Актуально")</f>
        <v>Актуально</v>
      </c>
      <c r="U521" s="88" t="str">
        <f>IFERROR(__xludf.DUMMYFUNCTION("""COMPUTED_VALUE"""),"Влад")</f>
        <v>Влад</v>
      </c>
    </row>
    <row r="522">
      <c r="A522" s="88">
        <f>IFERROR(__xludf.DUMMYFUNCTION("""COMPUTED_VALUE"""),28.0)</f>
        <v>28</v>
      </c>
      <c r="B522" s="88" t="str">
        <f>IFERROR(__xludf.DUMMYFUNCTION("""COMPUTED_VALUE"""),"adenofringreen")</f>
        <v>adenofringreen</v>
      </c>
      <c r="C522" s="88">
        <f>IFERROR(__xludf.DUMMYFUNCTION("""COMPUTED_VALUE"""),3.96723649E8)</f>
        <v>396723649</v>
      </c>
      <c r="E522" s="88" t="str">
        <f>IFERROR(__xludf.DUMMYFUNCTION("""COMPUTED_VALUE"""),"На вывод")</f>
        <v>На вывод</v>
      </c>
      <c r="F522" s="88" t="str">
        <f>IFERROR(__xludf.DUMMYFUNCTION("""COMPUTED_VALUE"""),"Кирилл")</f>
        <v>Кирилл</v>
      </c>
      <c r="P522" s="88">
        <f>IFERROR(__xludf.DUMMYFUNCTION("""COMPUTED_VALUE"""),51.0)</f>
        <v>51</v>
      </c>
      <c r="Q522" s="88" t="str">
        <f>IFERROR(__xludf.DUMMYFUNCTION("""COMPUTED_VALUE"""),"chudofrukt_BAD_60caps")</f>
        <v>chudofrukt_BAD_60caps</v>
      </c>
      <c r="R522" s="88">
        <f>IFERROR(__xludf.DUMMYFUNCTION("""COMPUTED_VALUE"""),1.08225213E9)</f>
        <v>1082252130</v>
      </c>
      <c r="T522" s="88" t="str">
        <f>IFERROR(__xludf.DUMMYFUNCTION("""COMPUTED_VALUE"""),"Актуально")</f>
        <v>Актуально</v>
      </c>
      <c r="U522" s="88" t="str">
        <f>IFERROR(__xludf.DUMMYFUNCTION("""COMPUTED_VALUE"""),"Влад")</f>
        <v>Влад</v>
      </c>
    </row>
    <row r="523">
      <c r="A523" s="88">
        <f>IFERROR(__xludf.DUMMYFUNCTION("""COMPUTED_VALUE"""),60.0)</f>
        <v>60</v>
      </c>
      <c r="B523" s="88" t="str">
        <f>IFERROR(__xludf.DUMMYFUNCTION("""COMPUTED_VALUE"""),"Т-34_BAD_60caps")</f>
        <v>Т-34_BAD_60caps</v>
      </c>
      <c r="C523" s="88">
        <f>IFERROR(__xludf.DUMMYFUNCTION("""COMPUTED_VALUE"""),1.171921502E9)</f>
        <v>1171921502</v>
      </c>
      <c r="E523" s="88" t="str">
        <f>IFERROR(__xludf.DUMMYFUNCTION("""COMPUTED_VALUE"""),"Актуально")</f>
        <v>Актуально</v>
      </c>
      <c r="F523" s="88" t="str">
        <f>IFERROR(__xludf.DUMMYFUNCTION("""COMPUTED_VALUE"""),"Светлана")</f>
        <v>Светлана</v>
      </c>
      <c r="P523" s="88">
        <f>IFERROR(__xludf.DUMMYFUNCTION("""COMPUTED_VALUE"""),8.0)</f>
        <v>8</v>
      </c>
      <c r="Q523" s="88" t="str">
        <f>IFERROR(__xludf.DUMMYFUNCTION("""COMPUTED_VALUE"""),"dolgar")</f>
        <v>dolgar</v>
      </c>
      <c r="R523" s="88">
        <f>IFERROR(__xludf.DUMMYFUNCTION("""COMPUTED_VALUE"""),2.90413438E8)</f>
        <v>290413438</v>
      </c>
      <c r="T523" s="88" t="str">
        <f>IFERROR(__xludf.DUMMYFUNCTION("""COMPUTED_VALUE"""),"Актуально")</f>
        <v>Актуально</v>
      </c>
      <c r="U523" s="88" t="str">
        <f>IFERROR(__xludf.DUMMYFUNCTION("""COMPUTED_VALUE"""),"Даша")</f>
        <v>Даша</v>
      </c>
    </row>
    <row r="524">
      <c r="A524" s="88">
        <f>IFERROR(__xludf.DUMMYFUNCTION("""COMPUTED_VALUE"""),96.0)</f>
        <v>96</v>
      </c>
      <c r="B524" s="88" t="str">
        <f>IFERROR(__xludf.DUMMYFUNCTION("""COMPUTED_VALUE"""),"urolgan")</f>
        <v>urolgan</v>
      </c>
      <c r="C524" s="88">
        <f>IFERROR(__xludf.DUMMYFUNCTION("""COMPUTED_VALUE"""),1.541839778E9)</f>
        <v>1541839778</v>
      </c>
      <c r="E524" s="88" t="str">
        <f>IFERROR(__xludf.DUMMYFUNCTION("""COMPUTED_VALUE"""),"Актуально")</f>
        <v>Актуально</v>
      </c>
      <c r="F524" s="88" t="str">
        <f>IFERROR(__xludf.DUMMYFUNCTION("""COMPUTED_VALUE"""),"Кирилл")</f>
        <v>Кирилл</v>
      </c>
      <c r="P524" s="88">
        <f>IFERROR(__xludf.DUMMYFUNCTION("""COMPUTED_VALUE"""),141.0)</f>
        <v>141</v>
      </c>
      <c r="Q524" s="88" t="str">
        <f>IFERROR(__xludf.DUMMYFUNCTION("""COMPUTED_VALUE"""),"gel_parfum_tabacco_vanille_450ml")</f>
        <v>gel_parfum_tabacco_vanille_450ml</v>
      </c>
      <c r="R524" s="88">
        <f>IFERROR(__xludf.DUMMYFUNCTION("""COMPUTED_VALUE"""),1.793172927E9)</f>
        <v>1793172927</v>
      </c>
      <c r="T524" s="88" t="str">
        <f>IFERROR(__xludf.DUMMYFUNCTION("""COMPUTED_VALUE"""),"Актуально")</f>
        <v>Актуально</v>
      </c>
      <c r="U524" s="88" t="str">
        <f>IFERROR(__xludf.DUMMYFUNCTION("""COMPUTED_VALUE"""),"Даша")</f>
        <v>Даша</v>
      </c>
    </row>
    <row r="525">
      <c r="A525" s="88">
        <f>IFERROR(__xludf.DUMMYFUNCTION("""COMPUTED_VALUE"""),79.0)</f>
        <v>79</v>
      </c>
      <c r="B525" s="88" t="str">
        <f>IFERROR(__xludf.DUMMYFUNCTION("""COMPUTED_VALUE"""),"dardrakona_75ml")</f>
        <v>dardrakona_75ml</v>
      </c>
      <c r="C525" s="88">
        <f>IFERROR(__xludf.DUMMYFUNCTION("""COMPUTED_VALUE"""),1.350973968E9)</f>
        <v>1350973968</v>
      </c>
      <c r="E525" s="88" t="str">
        <f>IFERROR(__xludf.DUMMYFUNCTION("""COMPUTED_VALUE"""),"Актуально")</f>
        <v>Актуально</v>
      </c>
      <c r="F525" s="88" t="str">
        <f>IFERROR(__xludf.DUMMYFUNCTION("""COMPUTED_VALUE"""),"Мария")</f>
        <v>Мария</v>
      </c>
      <c r="P525" s="88">
        <f>IFERROR(__xludf.DUMMYFUNCTION("""COMPUTED_VALUE"""),27.0)</f>
        <v>27</v>
      </c>
      <c r="Q525" s="88" t="str">
        <f>IFERROR(__xludf.DUMMYFUNCTION("""COMPUTED_VALUE"""),"dardrakona")</f>
        <v>dardrakona</v>
      </c>
      <c r="R525" s="88">
        <f>IFERROR(__xludf.DUMMYFUNCTION("""COMPUTED_VALUE"""),3.59068917E8)</f>
        <v>359068917</v>
      </c>
      <c r="T525" s="88" t="str">
        <f>IFERROR(__xludf.DUMMYFUNCTION("""COMPUTED_VALUE"""),"Актуально")</f>
        <v>Актуально</v>
      </c>
      <c r="U525" s="88" t="str">
        <f>IFERROR(__xludf.DUMMYFUNCTION("""COMPUTED_VALUE"""),"Даша")</f>
        <v>Даша</v>
      </c>
    </row>
    <row r="526">
      <c r="A526" s="88">
        <f>IFERROR(__xludf.DUMMYFUNCTION("""COMPUTED_VALUE"""),13.0)</f>
        <v>13</v>
      </c>
      <c r="B526" s="88" t="str">
        <f>IFERROR(__xludf.DUMMYFUNCTION("""COMPUTED_VALUE"""),"wboptitrin")</f>
        <v>wboptitrin</v>
      </c>
      <c r="C526" s="88">
        <f>IFERROR(__xludf.DUMMYFUNCTION("""COMPUTED_VALUE"""),2.91860206E8)</f>
        <v>291860206</v>
      </c>
      <c r="E526" s="88" t="str">
        <f>IFERROR(__xludf.DUMMYFUNCTION("""COMPUTED_VALUE"""),"Актуально")</f>
        <v>Актуально</v>
      </c>
      <c r="F526" s="88" t="str">
        <f>IFERROR(__xludf.DUMMYFUNCTION("""COMPUTED_VALUE"""),"Кирилл")</f>
        <v>Кирилл</v>
      </c>
      <c r="P526" s="88"/>
      <c r="Q526" s="88" t="str">
        <f>IFERROR(__xludf.DUMMYFUNCTION("""COMPUTED_VALUE"""),"retinait_krem_01_50ml")</f>
        <v>retinait_krem_01_50ml</v>
      </c>
      <c r="R526" s="88">
        <f>IFERROR(__xludf.DUMMYFUNCTION("""COMPUTED_VALUE"""),3.043803801E9)</f>
        <v>3043803801</v>
      </c>
      <c r="T526" s="88" t="str">
        <f>IFERROR(__xludf.DUMMYFUNCTION("""COMPUTED_VALUE"""),"Новинка")</f>
        <v>Новинка</v>
      </c>
      <c r="U526" s="88" t="str">
        <f>IFERROR(__xludf.DUMMYFUNCTION("""COMPUTED_VALUE"""),"Даша")</f>
        <v>Даша</v>
      </c>
    </row>
    <row r="527">
      <c r="A527" s="88">
        <f>IFERROR(__xludf.DUMMYFUNCTION("""COMPUTED_VALUE"""),2.0)</f>
        <v>2</v>
      </c>
      <c r="B527" s="88" t="str">
        <f>IFERROR(__xludf.DUMMYFUNCTION("""COMPUTED_VALUE"""),"wbgetsize")</f>
        <v>wbgetsize</v>
      </c>
      <c r="C527" s="88">
        <f>IFERROR(__xludf.DUMMYFUNCTION("""COMPUTED_VALUE"""),2.86744793E8)</f>
        <v>286744793</v>
      </c>
      <c r="E527" s="88" t="str">
        <f>IFERROR(__xludf.DUMMYFUNCTION("""COMPUTED_VALUE"""),"Актуально")</f>
        <v>Актуально</v>
      </c>
      <c r="F527" s="88" t="str">
        <f>IFERROR(__xludf.DUMMYFUNCTION("""COMPUTED_VALUE"""),"Мария")</f>
        <v>Мария</v>
      </c>
      <c r="P527" s="88">
        <f>IFERROR(__xludf.DUMMYFUNCTION("""COMPUTED_VALUE"""),142.0)</f>
        <v>142</v>
      </c>
      <c r="Q527" s="88" t="str">
        <f>IFERROR(__xludf.DUMMYFUNCTION("""COMPUTED_VALUE"""),"alteya_young_skin_box")</f>
        <v>alteya_young_skin_box</v>
      </c>
      <c r="R527" s="88">
        <f>IFERROR(__xludf.DUMMYFUNCTION("""COMPUTED_VALUE"""),1.805976932E9)</f>
        <v>1805976932</v>
      </c>
      <c r="T527" s="88" t="str">
        <f>IFERROR(__xludf.DUMMYFUNCTION("""COMPUTED_VALUE"""),"На вывод")</f>
        <v>На вывод</v>
      </c>
      <c r="U527" s="88" t="str">
        <f>IFERROR(__xludf.DUMMYFUNCTION("""COMPUTED_VALUE"""),"Даша")</f>
        <v>Даша</v>
      </c>
    </row>
    <row r="528">
      <c r="A528" s="88">
        <f>IFERROR(__xludf.DUMMYFUNCTION("""COMPUTED_VALUE"""),154.0)</f>
        <v>154</v>
      </c>
      <c r="B528" s="88" t="str">
        <f>IFERROR(__xludf.DUMMYFUNCTION("""COMPUTED_VALUE"""),"gel_brows_5ml")</f>
        <v>gel_brows_5ml</v>
      </c>
      <c r="C528" s="88">
        <f>IFERROR(__xludf.DUMMYFUNCTION("""COMPUTED_VALUE"""),1.917265136E9)</f>
        <v>1917265136</v>
      </c>
      <c r="E528" s="88" t="str">
        <f>IFERROR(__xludf.DUMMYFUNCTION("""COMPUTED_VALUE"""),"Актуально")</f>
        <v>Актуально</v>
      </c>
      <c r="F528" s="88" t="str">
        <f>IFERROR(__xludf.DUMMYFUNCTION("""COMPUTED_VALUE"""),"Кирилл")</f>
        <v>Кирилл</v>
      </c>
      <c r="P528" s="88">
        <f>IFERROR(__xludf.DUMMYFUNCTION("""COMPUTED_VALUE"""),103.0)</f>
        <v>103</v>
      </c>
      <c r="Q528" s="88" t="str">
        <f>IFERROR(__xludf.DUMMYFUNCTION("""COMPUTED_VALUE"""),"krem-filler_15ml")</f>
        <v>krem-filler_15ml</v>
      </c>
      <c r="R528" s="88">
        <f>IFERROR(__xludf.DUMMYFUNCTION("""COMPUTED_VALUE"""),1.548065919E9)</f>
        <v>1548065919</v>
      </c>
      <c r="T528" s="88" t="str">
        <f>IFERROR(__xludf.DUMMYFUNCTION("""COMPUTED_VALUE"""),"Актуально")</f>
        <v>Актуально</v>
      </c>
      <c r="U528" s="88" t="str">
        <f>IFERROR(__xludf.DUMMYFUNCTION("""COMPUTED_VALUE"""),"Даша")</f>
        <v>Даша</v>
      </c>
    </row>
    <row r="529">
      <c r="A529" s="88">
        <f>IFERROR(__xludf.DUMMYFUNCTION("""COMPUTED_VALUE"""),1.0)</f>
        <v>1</v>
      </c>
      <c r="B529" s="88" t="str">
        <f>IFERROR(__xludf.DUMMYFUNCTION("""COMPUTED_VALUE"""),"wbgetsizegel")</f>
        <v>wbgetsizegel</v>
      </c>
      <c r="C529" s="88">
        <f>IFERROR(__xludf.DUMMYFUNCTION("""COMPUTED_VALUE"""),2.88346567E8)</f>
        <v>288346567</v>
      </c>
      <c r="E529" s="88" t="str">
        <f>IFERROR(__xludf.DUMMYFUNCTION("""COMPUTED_VALUE"""),"Актуально")</f>
        <v>Актуально</v>
      </c>
      <c r="F529" s="88" t="str">
        <f>IFERROR(__xludf.DUMMYFUNCTION("""COMPUTED_VALUE"""),"Мария")</f>
        <v>Мария</v>
      </c>
      <c r="P529" s="88">
        <f>IFERROR(__xludf.DUMMYFUNCTION("""COMPUTED_VALUE"""),185.0)</f>
        <v>185</v>
      </c>
      <c r="Q529" s="88" t="str">
        <f>IFERROR(__xludf.DUMMYFUNCTION("""COMPUTED_VALUE"""),"vosk_stik_15ml")</f>
        <v>vosk_stik_15ml</v>
      </c>
      <c r="R529" s="88">
        <f>IFERROR(__xludf.DUMMYFUNCTION("""COMPUTED_VALUE"""),2.860142614E9)</f>
        <v>2860142614</v>
      </c>
      <c r="T529" s="88" t="str">
        <f>IFERROR(__xludf.DUMMYFUNCTION("""COMPUTED_VALUE"""),"Новинка")</f>
        <v>Новинка</v>
      </c>
      <c r="U529" s="88" t="str">
        <f>IFERROR(__xludf.DUMMYFUNCTION("""COMPUTED_VALUE"""),"Даша")</f>
        <v>Даша</v>
      </c>
    </row>
    <row r="530">
      <c r="A530" s="88">
        <f>IFERROR(__xludf.DUMMYFUNCTION("""COMPUTED_VALUE"""),65.0)</f>
        <v>65</v>
      </c>
      <c r="B530" s="88" t="str">
        <f>IFERROR(__xludf.DUMMYFUNCTION("""COMPUTED_VALUE"""),"vetonus_1_1")</f>
        <v>vetonus_1_1</v>
      </c>
      <c r="C530" s="88">
        <f>IFERROR(__xludf.DUMMYFUNCTION("""COMPUTED_VALUE"""),1.188108975E9)</f>
        <v>1188108975</v>
      </c>
      <c r="E530" s="88" t="str">
        <f>IFERROR(__xludf.DUMMYFUNCTION("""COMPUTED_VALUE"""),"Актуально")</f>
        <v>Актуально</v>
      </c>
      <c r="F530" s="88" t="str">
        <f>IFERROR(__xludf.DUMMYFUNCTION("""COMPUTED_VALUE"""),"Мария")</f>
        <v>Мария</v>
      </c>
      <c r="P530" s="88"/>
      <c r="Q530" s="88" t="str">
        <f>IFERROR(__xludf.DUMMYFUNCTION("""COMPUTED_VALUE"""),"retinait_krem_1_5_50ml")</f>
        <v>retinait_krem_1_5_50ml</v>
      </c>
      <c r="R530" s="88">
        <f>IFERROR(__xludf.DUMMYFUNCTION("""COMPUTED_VALUE"""),3.285665744E9)</f>
        <v>3285665744</v>
      </c>
      <c r="T530" s="88" t="str">
        <f>IFERROR(__xludf.DUMMYFUNCTION("""COMPUTED_VALUE"""),"Новинка")</f>
        <v>Новинка</v>
      </c>
      <c r="U530" s="88" t="str">
        <f>IFERROR(__xludf.DUMMYFUNCTION("""COMPUTED_VALUE"""),"Даша")</f>
        <v>Даша</v>
      </c>
    </row>
    <row r="531">
      <c r="A531" s="88">
        <f>IFERROR(__xludf.DUMMYFUNCTION("""COMPUTED_VALUE"""),18.0)</f>
        <v>18</v>
      </c>
      <c r="B531" s="88" t="str">
        <f>IFERROR(__xludf.DUMMYFUNCTION("""COMPUTED_VALUE"""),"adenofrin")</f>
        <v>adenofrin</v>
      </c>
      <c r="C531" s="88">
        <f>IFERROR(__xludf.DUMMYFUNCTION("""COMPUTED_VALUE"""),2.96818197E8)</f>
        <v>296818197</v>
      </c>
      <c r="E531" s="88" t="str">
        <f>IFERROR(__xludf.DUMMYFUNCTION("""COMPUTED_VALUE"""),"Актуально")</f>
        <v>Актуально</v>
      </c>
      <c r="F531" s="88" t="str">
        <f>IFERROR(__xludf.DUMMYFUNCTION("""COMPUTED_VALUE"""),"Мария")</f>
        <v>Мария</v>
      </c>
      <c r="P531" s="88">
        <f>IFERROR(__xludf.DUMMYFUNCTION("""COMPUTED_VALUE"""),7.0)</f>
        <v>7</v>
      </c>
      <c r="Q531" s="88" t="str">
        <f>IFERROR(__xludf.DUMMYFUNCTION("""COMPUTED_VALUE"""),"wbgetsize1gel2")</f>
        <v>wbgetsize1gel2</v>
      </c>
      <c r="R531" s="88">
        <f>IFERROR(__xludf.DUMMYFUNCTION("""COMPUTED_VALUE"""),2.90029361E8)</f>
        <v>290029361</v>
      </c>
      <c r="T531" s="88" t="str">
        <f>IFERROR(__xludf.DUMMYFUNCTION("""COMPUTED_VALUE"""),"На вывод")</f>
        <v>На вывод</v>
      </c>
      <c r="U531" s="88"/>
    </row>
    <row r="532">
      <c r="A532" s="88">
        <f>IFERROR(__xludf.DUMMYFUNCTION("""COMPUTED_VALUE"""),48.0)</f>
        <v>48</v>
      </c>
      <c r="B532" s="88" t="str">
        <f>IFERROR(__xludf.DUMMYFUNCTION("""COMPUTED_VALUE"""),"t34poten10caps")</f>
        <v>t34poten10caps</v>
      </c>
      <c r="C532" s="88">
        <f>IFERROR(__xludf.DUMMYFUNCTION("""COMPUTED_VALUE"""),8.89458318E8)</f>
        <v>889458318</v>
      </c>
      <c r="E532" s="88" t="str">
        <f>IFERROR(__xludf.DUMMYFUNCTION("""COMPUTED_VALUE"""),"Актуально")</f>
        <v>Актуально</v>
      </c>
      <c r="F532" s="88" t="str">
        <f>IFERROR(__xludf.DUMMYFUNCTION("""COMPUTED_VALUE"""),"Светлана")</f>
        <v>Светлана</v>
      </c>
      <c r="P532" s="88">
        <f>IFERROR(__xludf.DUMMYFUNCTION("""COMPUTED_VALUE"""),22.0)</f>
        <v>22</v>
      </c>
      <c r="Q532" s="88" t="str">
        <f>IFERROR(__xludf.DUMMYFUNCTION("""COMPUTED_VALUE"""),"wbvaranga")</f>
        <v>wbvaranga</v>
      </c>
      <c r="R532" s="88">
        <f>IFERROR(__xludf.DUMMYFUNCTION("""COMPUTED_VALUE"""),3.27231451E8)</f>
        <v>327231451</v>
      </c>
      <c r="T532" s="88" t="str">
        <f>IFERROR(__xludf.DUMMYFUNCTION("""COMPUTED_VALUE"""),"На вывод")</f>
        <v>На вывод</v>
      </c>
      <c r="U532" s="88"/>
    </row>
    <row r="533">
      <c r="A533" s="88">
        <f>IFERROR(__xludf.DUMMYFUNCTION("""COMPUTED_VALUE"""),26.0)</f>
        <v>26</v>
      </c>
      <c r="B533" s="88" t="str">
        <f>IFERROR(__xludf.DUMMYFUNCTION("""COMPUTED_VALUE"""),"brutalax")</f>
        <v>brutalax</v>
      </c>
      <c r="C533" s="88">
        <f>IFERROR(__xludf.DUMMYFUNCTION("""COMPUTED_VALUE"""),3.56313449E8)</f>
        <v>356313449</v>
      </c>
      <c r="E533" s="88" t="str">
        <f>IFERROR(__xludf.DUMMYFUNCTION("""COMPUTED_VALUE"""),"Актуально")</f>
        <v>Актуально</v>
      </c>
      <c r="F533" s="88" t="str">
        <f>IFERROR(__xludf.DUMMYFUNCTION("""COMPUTED_VALUE"""),"Мария")</f>
        <v>Мария</v>
      </c>
      <c r="P533" s="88">
        <f>IFERROR(__xludf.DUMMYFUNCTION("""COMPUTED_VALUE"""),40.0)</f>
        <v>40</v>
      </c>
      <c r="Q533" s="88" t="str">
        <f>IFERROR(__xludf.DUMMYFUNCTION("""COMPUTED_VALUE"""),"sustalit")</f>
        <v>sustalit</v>
      </c>
      <c r="R533" s="88">
        <f>IFERROR(__xludf.DUMMYFUNCTION("""COMPUTED_VALUE"""),7.43548429E8)</f>
        <v>743548429</v>
      </c>
      <c r="T533" s="88" t="str">
        <f>IFERROR(__xludf.DUMMYFUNCTION("""COMPUTED_VALUE"""),"На вывод")</f>
        <v>На вывод</v>
      </c>
      <c r="U533" s="88"/>
    </row>
    <row r="534">
      <c r="A534" s="88">
        <f>IFERROR(__xludf.DUMMYFUNCTION("""COMPUTED_VALUE"""),143.0)</f>
        <v>143</v>
      </c>
      <c r="B534" s="88" t="str">
        <f>IFERROR(__xludf.DUMMYFUNCTION("""COMPUTED_VALUE"""),"alteya_beauty_brows_box")</f>
        <v>alteya_beauty_brows_box</v>
      </c>
      <c r="C534" s="88">
        <f>IFERROR(__xludf.DUMMYFUNCTION("""COMPUTED_VALUE"""),1.805983376E9)</f>
        <v>1805983376</v>
      </c>
      <c r="E534" s="88" t="str">
        <f>IFERROR(__xludf.DUMMYFUNCTION("""COMPUTED_VALUE"""),"На вывод")</f>
        <v>На вывод</v>
      </c>
      <c r="F534" s="88" t="str">
        <f>IFERROR(__xludf.DUMMYFUNCTION("""COMPUTED_VALUE"""),"Кирилл")</f>
        <v>Кирилл</v>
      </c>
      <c r="P534" s="88">
        <f>IFERROR(__xludf.DUMMYFUNCTION("""COMPUTED_VALUE"""),67.0)</f>
        <v>67</v>
      </c>
      <c r="Q534" s="88" t="str">
        <f>IFERROR(__xludf.DUMMYFUNCTION("""COMPUTED_VALUE"""),"visitCREAMamarant")</f>
        <v>visitCREAMamarant</v>
      </c>
      <c r="R534" s="88">
        <f>IFERROR(__xludf.DUMMYFUNCTION("""COMPUTED_VALUE"""),1.235751364E9)</f>
        <v>1235751364</v>
      </c>
      <c r="T534" s="88" t="str">
        <f>IFERROR(__xludf.DUMMYFUNCTION("""COMPUTED_VALUE"""),"На вывод")</f>
        <v>На вывод</v>
      </c>
      <c r="U534" s="88"/>
    </row>
    <row r="535">
      <c r="A535" s="88">
        <f>IFERROR(__xludf.DUMMYFUNCTION("""COMPUTED_VALUE"""),11.0)</f>
        <v>11</v>
      </c>
      <c r="B535" s="88" t="str">
        <f>IFERROR(__xludf.DUMMYFUNCTION("""COMPUTED_VALUE"""),"wbneomax")</f>
        <v>wbneomax</v>
      </c>
      <c r="C535" s="88">
        <f>IFERROR(__xludf.DUMMYFUNCTION("""COMPUTED_VALUE"""),2.91910198E8)</f>
        <v>291910198</v>
      </c>
      <c r="E535" s="88" t="str">
        <f>IFERROR(__xludf.DUMMYFUNCTION("""COMPUTED_VALUE"""),"Актуально")</f>
        <v>Актуально</v>
      </c>
      <c r="F535" s="88" t="str">
        <f>IFERROR(__xludf.DUMMYFUNCTION("""COMPUTED_VALUE"""),"Мария")</f>
        <v>Мария</v>
      </c>
      <c r="P535" s="88">
        <f>IFERROR(__xludf.DUMMYFUNCTION("""COMPUTED_VALUE"""),69.0)</f>
        <v>69</v>
      </c>
      <c r="Q535" s="88" t="str">
        <f>IFERROR(__xludf.DUMMYFUNCTION("""COMPUTED_VALUE"""),"sanaсin_BAD_60caps")</f>
        <v>sanaсin_BAD_60caps</v>
      </c>
      <c r="R535" s="88">
        <f>IFERROR(__xludf.DUMMYFUNCTION("""COMPUTED_VALUE"""),1.271264152E9)</f>
        <v>1271264152</v>
      </c>
      <c r="T535" s="88" t="str">
        <f>IFERROR(__xludf.DUMMYFUNCTION("""COMPUTED_VALUE"""),"На вывод")</f>
        <v>На вывод</v>
      </c>
      <c r="U535" s="88"/>
    </row>
    <row r="536">
      <c r="A536" s="88">
        <f>IFERROR(__xludf.DUMMYFUNCTION("""COMPUTED_VALUE"""),107.0)</f>
        <v>107</v>
      </c>
      <c r="B536" s="88" t="str">
        <f>IFERROR(__xludf.DUMMYFUNCTION("""COMPUTED_VALUE"""),"maslo_dlya_volos_parf_110ml")</f>
        <v>maslo_dlya_volos_parf_110ml</v>
      </c>
      <c r="C536" s="88">
        <f>IFERROR(__xludf.DUMMYFUNCTION("""COMPUTED_VALUE"""),1.583009752E9)</f>
        <v>1583009752</v>
      </c>
      <c r="E536" s="88" t="str">
        <f>IFERROR(__xludf.DUMMYFUNCTION("""COMPUTED_VALUE"""),"На вывод")</f>
        <v>На вывод</v>
      </c>
      <c r="F536" s="88" t="str">
        <f>IFERROR(__xludf.DUMMYFUNCTION("""COMPUTED_VALUE"""),"Мария")</f>
        <v>Мария</v>
      </c>
      <c r="P536" s="88">
        <f>IFERROR(__xludf.DUMMYFUNCTION("""COMPUTED_VALUE"""),71.0)</f>
        <v>71</v>
      </c>
      <c r="Q536" s="88" t="str">
        <f>IFERROR(__xludf.DUMMYFUNCTION("""COMPUTED_VALUE"""),"mikardin plus_BAD_60 caps")</f>
        <v>mikardin plus_BAD_60 caps</v>
      </c>
      <c r="R536" s="88">
        <f>IFERROR(__xludf.DUMMYFUNCTION("""COMPUTED_VALUE"""),1.283151299E9)</f>
        <v>1283151299</v>
      </c>
      <c r="T536" s="88" t="str">
        <f>IFERROR(__xludf.DUMMYFUNCTION("""COMPUTED_VALUE"""),"На вывод")</f>
        <v>На вывод</v>
      </c>
      <c r="U536" s="88"/>
    </row>
    <row r="537">
      <c r="A537" s="88">
        <f>IFERROR(__xludf.DUMMYFUNCTION("""COMPUTED_VALUE"""),10.0)</f>
        <v>10</v>
      </c>
      <c r="B537" s="88" t="str">
        <f>IFERROR(__xludf.DUMMYFUNCTION("""COMPUTED_VALUE"""),"wbneomaxblue")</f>
        <v>wbneomaxblue</v>
      </c>
      <c r="C537" s="88">
        <f>IFERROR(__xludf.DUMMYFUNCTION("""COMPUTED_VALUE"""),2.95356614E8)</f>
        <v>295356614</v>
      </c>
      <c r="E537" s="88" t="str">
        <f>IFERROR(__xludf.DUMMYFUNCTION("""COMPUTED_VALUE"""),"На вывод")</f>
        <v>На вывод</v>
      </c>
      <c r="F537" s="88" t="str">
        <f>IFERROR(__xludf.DUMMYFUNCTION("""COMPUTED_VALUE"""),"Мария")</f>
        <v>Мария</v>
      </c>
      <c r="P537" s="88">
        <f>IFERROR(__xludf.DUMMYFUNCTION("""COMPUTED_VALUE"""),75.0)</f>
        <v>75</v>
      </c>
      <c r="Q537" s="88" t="str">
        <f>IFERROR(__xludf.DUMMYFUNCTION("""COMPUTED_VALUE"""),"monarda_30ml")</f>
        <v>monarda_30ml</v>
      </c>
      <c r="R537" s="88">
        <f>IFERROR(__xludf.DUMMYFUNCTION("""COMPUTED_VALUE"""),1.32499107E9)</f>
        <v>1324991070</v>
      </c>
      <c r="T537" s="88" t="str">
        <f>IFERROR(__xludf.DUMMYFUNCTION("""COMPUTED_VALUE"""),"На вывод")</f>
        <v>На вывод</v>
      </c>
      <c r="U537" s="88"/>
    </row>
    <row r="538">
      <c r="A538" s="88">
        <f>IFERROR(__xludf.DUMMYFUNCTION("""COMPUTED_VALUE"""),61.0)</f>
        <v>61</v>
      </c>
      <c r="B538" s="88" t="str">
        <f>IFERROR(__xludf.DUMMYFUNCTION("""COMPUTED_VALUE"""),"pirantoks_BAD_60caps")</f>
        <v>pirantoks_BAD_60caps</v>
      </c>
      <c r="C538" s="88">
        <f>IFERROR(__xludf.DUMMYFUNCTION("""COMPUTED_VALUE"""),1.171820923E9)</f>
        <v>1171820923</v>
      </c>
      <c r="E538" s="88" t="str">
        <f>IFERROR(__xludf.DUMMYFUNCTION("""COMPUTED_VALUE"""),"Актуально")</f>
        <v>Актуально</v>
      </c>
      <c r="F538" s="88" t="str">
        <f>IFERROR(__xludf.DUMMYFUNCTION("""COMPUTED_VALUE"""),"Светлана")</f>
        <v>Светлана</v>
      </c>
      <c r="P538" s="88">
        <f>IFERROR(__xludf.DUMMYFUNCTION("""COMPUTED_VALUE"""),106.0)</f>
        <v>106</v>
      </c>
      <c r="Q538" s="88" t="str">
        <f>IFERROR(__xludf.DUMMYFUNCTION("""COMPUTED_VALUE"""),"intimvita_200ml")</f>
        <v>intimvita_200ml</v>
      </c>
      <c r="R538" s="88">
        <f>IFERROR(__xludf.DUMMYFUNCTION("""COMPUTED_VALUE"""),1.581991716E9)</f>
        <v>1581991716</v>
      </c>
      <c r="T538" s="88" t="str">
        <f>IFERROR(__xludf.DUMMYFUNCTION("""COMPUTED_VALUE"""),"На вывод")</f>
        <v>На вывод</v>
      </c>
      <c r="U538" s="88"/>
    </row>
    <row r="539">
      <c r="A539" s="88">
        <f>IFERROR(__xludf.DUMMYFUNCTION("""COMPUTED_VALUE"""),103.0)</f>
        <v>103</v>
      </c>
      <c r="B539" s="88" t="str">
        <f>IFERROR(__xludf.DUMMYFUNCTION("""COMPUTED_VALUE"""),"krem-filler_15ml")</f>
        <v>krem-filler_15ml</v>
      </c>
      <c r="C539" s="88">
        <f>IFERROR(__xludf.DUMMYFUNCTION("""COMPUTED_VALUE"""),1.548065919E9)</f>
        <v>1548065919</v>
      </c>
      <c r="E539" s="88" t="str">
        <f>IFERROR(__xludf.DUMMYFUNCTION("""COMPUTED_VALUE"""),"Под вопросом")</f>
        <v>Под вопросом</v>
      </c>
      <c r="F539" s="88" t="str">
        <f>IFERROR(__xludf.DUMMYFUNCTION("""COMPUTED_VALUE"""),"Олеся")</f>
        <v>Олеся</v>
      </c>
      <c r="P539" s="88"/>
      <c r="Q539" s="88"/>
      <c r="R539" s="88"/>
      <c r="T539" s="88"/>
      <c r="U539" s="88"/>
    </row>
    <row r="540">
      <c r="A540" s="88">
        <f>IFERROR(__xludf.DUMMYFUNCTION("""COMPUTED_VALUE"""),69.0)</f>
        <v>69</v>
      </c>
      <c r="B540" s="88" t="str">
        <f>IFERROR(__xludf.DUMMYFUNCTION("""COMPUTED_VALUE"""),"sanaсin_BAD_60caps")</f>
        <v>sanaсin_BAD_60caps</v>
      </c>
      <c r="C540" s="88">
        <f>IFERROR(__xludf.DUMMYFUNCTION("""COMPUTED_VALUE"""),1.271264152E9)</f>
        <v>1271264152</v>
      </c>
      <c r="E540" s="88" t="str">
        <f>IFERROR(__xludf.DUMMYFUNCTION("""COMPUTED_VALUE"""),"На вывод")</f>
        <v>На вывод</v>
      </c>
      <c r="F540" s="88"/>
      <c r="P540" s="88"/>
      <c r="Q540" s="88"/>
      <c r="R540" s="88"/>
      <c r="T540" s="88"/>
      <c r="U540" s="88"/>
    </row>
    <row r="541">
      <c r="A541" s="88">
        <f>IFERROR(__xludf.DUMMYFUNCTION("""COMPUTED_VALUE"""),71.0)</f>
        <v>71</v>
      </c>
      <c r="B541" s="88" t="str">
        <f>IFERROR(__xludf.DUMMYFUNCTION("""COMPUTED_VALUE"""),"mikardin plus_BAD_60 caps")</f>
        <v>mikardin plus_BAD_60 caps</v>
      </c>
      <c r="C541" s="88">
        <f>IFERROR(__xludf.DUMMYFUNCTION("""COMPUTED_VALUE"""),1.283151299E9)</f>
        <v>1283151299</v>
      </c>
      <c r="E541" s="88" t="str">
        <f>IFERROR(__xludf.DUMMYFUNCTION("""COMPUTED_VALUE"""),"На вывод")</f>
        <v>На вывод</v>
      </c>
      <c r="F541" s="88"/>
      <c r="P541" s="88"/>
      <c r="Q541" s="88"/>
      <c r="R541" s="88"/>
      <c r="T541" s="88"/>
      <c r="U541" s="88"/>
    </row>
    <row r="542">
      <c r="A542" s="88">
        <f>IFERROR(__xludf.DUMMYFUNCTION("""COMPUTED_VALUE"""),75.0)</f>
        <v>75</v>
      </c>
      <c r="B542" s="88" t="str">
        <f>IFERROR(__xludf.DUMMYFUNCTION("""COMPUTED_VALUE"""),"monarda_30ml")</f>
        <v>monarda_30ml</v>
      </c>
      <c r="C542" s="88">
        <f>IFERROR(__xludf.DUMMYFUNCTION("""COMPUTED_VALUE"""),1.32499107E9)</f>
        <v>1324991070</v>
      </c>
      <c r="E542" s="88" t="str">
        <f>IFERROR(__xludf.DUMMYFUNCTION("""COMPUTED_VALUE"""),"На вывод")</f>
        <v>На вывод</v>
      </c>
      <c r="F542" s="88" t="str">
        <f>IFERROR(__xludf.DUMMYFUNCTION("""COMPUTED_VALUE"""),"Мария")</f>
        <v>Мария</v>
      </c>
      <c r="P542" s="88"/>
      <c r="Q542" s="88"/>
      <c r="R542" s="88"/>
      <c r="T542" s="88"/>
      <c r="U542" s="88"/>
    </row>
    <row r="543">
      <c r="A543" s="88"/>
      <c r="B543" s="88" t="str">
        <f>IFERROR(__xludf.DUMMYFUNCTION("""COMPUTED_VALUE"""),"Retinol_Start_Kit")</f>
        <v>Retinol_Start_Kit</v>
      </c>
      <c r="C543" s="88">
        <f>IFERROR(__xludf.DUMMYFUNCTION("""COMPUTED_VALUE"""),7.34357718E8)</f>
        <v>734357718</v>
      </c>
      <c r="E543" s="88" t="str">
        <f>IFERROR(__xludf.DUMMYFUNCTION("""COMPUTED_VALUE"""),"Новинка")</f>
        <v>Новинка</v>
      </c>
      <c r="F543" s="88" t="str">
        <f>IFERROR(__xludf.DUMMYFUNCTION("""COMPUTED_VALUE"""),"Олеся")</f>
        <v>Олеся</v>
      </c>
      <c r="P543" s="88"/>
      <c r="Q543" s="88"/>
      <c r="R543" s="88"/>
      <c r="T543" s="88"/>
      <c r="U543" s="88"/>
    </row>
    <row r="544">
      <c r="A544" s="88"/>
      <c r="B544" s="88" t="str">
        <f>IFERROR(__xludf.DUMMYFUNCTION("""COMPUTED_VALUE"""),"micardinforte")</f>
        <v>micardinforte</v>
      </c>
      <c r="C544" s="88">
        <f>IFERROR(__xludf.DUMMYFUNCTION("""COMPUTED_VALUE"""),3.9234691E7)</f>
        <v>39234691</v>
      </c>
      <c r="E544" s="88" t="str">
        <f>IFERROR(__xludf.DUMMYFUNCTION("""COMPUTED_VALUE"""),"Актуально")</f>
        <v>Актуально</v>
      </c>
      <c r="F544" s="88" t="str">
        <f>IFERROR(__xludf.DUMMYFUNCTION("""COMPUTED_VALUE"""),"Светлана")</f>
        <v>Светлана</v>
      </c>
      <c r="P544" s="88"/>
      <c r="Q544" s="88"/>
      <c r="R544" s="88"/>
      <c r="T544" s="88"/>
      <c r="U544" s="88"/>
    </row>
    <row r="545">
      <c r="A545" s="88"/>
      <c r="B545" s="88" t="str">
        <f>IFERROR(__xludf.DUMMYFUNCTION("""COMPUTED_VALUE"""),"syvorotka_dlya_lica_30ml_v2")</f>
        <v>syvorotka_dlya_lica_30ml_v2</v>
      </c>
      <c r="C545" s="88"/>
      <c r="E545" s="88" t="str">
        <f>IFERROR(__xludf.DUMMYFUNCTION("""COMPUTED_VALUE"""),"Новинка")</f>
        <v>Новинка</v>
      </c>
      <c r="F545" s="88" t="str">
        <f>IFERROR(__xludf.DUMMYFUNCTION("""COMPUTED_VALUE"""),"Олеся")</f>
        <v>Олеся</v>
      </c>
      <c r="P545" s="88"/>
      <c r="Q545" s="88"/>
      <c r="R545" s="88"/>
      <c r="T545" s="88"/>
      <c r="U545" s="88"/>
    </row>
    <row r="546">
      <c r="A546" s="88"/>
      <c r="B546" s="88" t="str">
        <f>IFERROR(__xludf.DUMMYFUNCTION("""COMPUTED_VALUE"""),"retinait_krem_1_5_50ml")</f>
        <v>retinait_krem_1_5_50ml</v>
      </c>
      <c r="C546" s="88">
        <f>IFERROR(__xludf.DUMMYFUNCTION("""COMPUTED_VALUE"""),7.27028589E8)</f>
        <v>727028589</v>
      </c>
      <c r="E546" s="88" t="str">
        <f>IFERROR(__xludf.DUMMYFUNCTION("""COMPUTED_VALUE"""),"Новинка")</f>
        <v>Новинка</v>
      </c>
      <c r="F546" s="88" t="str">
        <f>IFERROR(__xludf.DUMMYFUNCTION("""COMPUTED_VALUE"""),"Олеся")</f>
        <v>Олеся</v>
      </c>
      <c r="P546" s="88"/>
      <c r="Q546" s="88"/>
      <c r="R546" s="88"/>
      <c r="T546" s="88"/>
      <c r="U546" s="88"/>
    </row>
    <row r="547">
      <c r="A547" s="88"/>
      <c r="B547" s="88" t="str">
        <f>IFERROR(__xludf.DUMMYFUNCTION("""COMPUTED_VALUE"""),"krem_spf50_50m")</f>
        <v>krem_spf50_50m</v>
      </c>
      <c r="C547" s="88">
        <f>IFERROR(__xludf.DUMMYFUNCTION("""COMPUTED_VALUE"""),6.68799528E8)</f>
        <v>668799528</v>
      </c>
      <c r="E547" s="88" t="str">
        <f>IFERROR(__xludf.DUMMYFUNCTION("""COMPUTED_VALUE"""),"Новинка")</f>
        <v>Новинка</v>
      </c>
      <c r="F547" s="88" t="str">
        <f>IFERROR(__xludf.DUMMYFUNCTION("""COMPUTED_VALUE"""),"Олеся")</f>
        <v>Олеся</v>
      </c>
      <c r="P547" s="88"/>
      <c r="Q547" s="88"/>
      <c r="R547" s="88"/>
      <c r="T547" s="88"/>
      <c r="U547" s="88"/>
    </row>
    <row r="548">
      <c r="A548" s="88"/>
      <c r="B548" s="88" t="str">
        <f>IFERROR(__xludf.DUMMYFUNCTION("""COMPUTED_VALUE"""),"antigiperton")</f>
        <v>antigiperton</v>
      </c>
      <c r="C548" s="88">
        <f>IFERROR(__xludf.DUMMYFUNCTION("""COMPUTED_VALUE"""),6.16101955E8)</f>
        <v>616101955</v>
      </c>
      <c r="E548" s="88" t="str">
        <f>IFERROR(__xludf.DUMMYFUNCTION("""COMPUTED_VALUE"""),"Новинка")</f>
        <v>Новинка</v>
      </c>
      <c r="F548" s="88" t="str">
        <f>IFERROR(__xludf.DUMMYFUNCTION("""COMPUTED_VALUE"""),"Кирилл")</f>
        <v>Кирилл</v>
      </c>
      <c r="P548" s="88"/>
      <c r="Q548" s="88"/>
      <c r="R548" s="88"/>
      <c r="T548" s="88"/>
      <c r="U548" s="88"/>
    </row>
    <row r="549">
      <c r="P549" s="88"/>
      <c r="Q549" s="88"/>
      <c r="R549" s="88"/>
      <c r="T549" s="88"/>
      <c r="U549" s="88"/>
    </row>
    <row r="550">
      <c r="P550" s="88"/>
      <c r="Q550" s="88"/>
      <c r="R550" s="88"/>
      <c r="T550" s="88"/>
      <c r="U550" s="88"/>
    </row>
    <row r="551">
      <c r="P551" s="88"/>
      <c r="Q551" s="88"/>
      <c r="R551" s="88"/>
      <c r="T551" s="88"/>
      <c r="U551" s="88"/>
    </row>
    <row r="552">
      <c r="P552" s="88"/>
      <c r="Q552" s="88"/>
      <c r="R552" s="88"/>
      <c r="T552" s="88"/>
      <c r="U552" s="88"/>
    </row>
    <row r="553">
      <c r="P553" s="88"/>
      <c r="Q553" s="88"/>
      <c r="R553" s="88"/>
      <c r="T553" s="88"/>
      <c r="U553" s="88"/>
    </row>
    <row r="554">
      <c r="P554" s="88"/>
      <c r="Q554" s="88"/>
      <c r="R554" s="88"/>
      <c r="T554" s="88"/>
      <c r="U554" s="88"/>
    </row>
    <row r="555">
      <c r="P555" s="88"/>
      <c r="Q555" s="88"/>
      <c r="R555" s="88"/>
      <c r="T555" s="88"/>
      <c r="U555" s="88"/>
    </row>
    <row r="556">
      <c r="P556" s="88"/>
      <c r="Q556" s="88"/>
      <c r="R556" s="88"/>
      <c r="T556" s="88"/>
      <c r="U556" s="88"/>
    </row>
    <row r="557">
      <c r="P557" s="88"/>
      <c r="Q557" s="88"/>
      <c r="R557" s="88"/>
      <c r="T557" s="88"/>
      <c r="U557" s="88"/>
    </row>
    <row r="558">
      <c r="P558" s="88"/>
      <c r="Q558" s="88"/>
      <c r="R558" s="88"/>
      <c r="T558" s="88"/>
      <c r="U558" s="88"/>
    </row>
    <row r="559">
      <c r="P559" s="88"/>
      <c r="Q559" s="88"/>
      <c r="R559" s="88"/>
      <c r="T559" s="88"/>
      <c r="U559" s="88"/>
    </row>
    <row r="560">
      <c r="P560" s="88"/>
      <c r="Q560" s="88"/>
      <c r="R560" s="88"/>
      <c r="T560" s="88"/>
      <c r="U560" s="88"/>
    </row>
    <row r="561">
      <c r="P561" s="88"/>
      <c r="Q561" s="88"/>
      <c r="R561" s="88"/>
      <c r="T561" s="88"/>
      <c r="U561" s="88"/>
    </row>
    <row r="562">
      <c r="P562" s="88"/>
      <c r="Q562" s="88"/>
      <c r="R562" s="88"/>
      <c r="T562" s="88"/>
      <c r="U562" s="88"/>
    </row>
    <row r="563">
      <c r="P563" s="88"/>
      <c r="Q563" s="88"/>
      <c r="R563" s="88"/>
      <c r="T563" s="88"/>
      <c r="U563" s="88"/>
    </row>
    <row r="564">
      <c r="P564" s="88"/>
      <c r="Q564" s="88"/>
      <c r="R564" s="88"/>
      <c r="T564" s="88"/>
      <c r="U564" s="88"/>
    </row>
    <row r="565">
      <c r="P565" s="88"/>
      <c r="Q565" s="88"/>
      <c r="R565" s="88"/>
      <c r="T565" s="88"/>
      <c r="U565" s="88"/>
    </row>
    <row r="566">
      <c r="P566" s="88"/>
      <c r="Q566" s="88"/>
      <c r="R566" s="88"/>
      <c r="T566" s="88"/>
      <c r="U566" s="88"/>
    </row>
    <row r="567">
      <c r="P567" s="88"/>
      <c r="Q567" s="88"/>
      <c r="R567" s="88"/>
      <c r="T567" s="88"/>
      <c r="U567" s="88"/>
    </row>
    <row r="568">
      <c r="P568" s="88"/>
      <c r="Q568" s="88"/>
      <c r="R568" s="88"/>
      <c r="T568" s="88"/>
      <c r="U568" s="88"/>
    </row>
    <row r="569">
      <c r="P569" s="88"/>
      <c r="Q569" s="88"/>
      <c r="R569" s="88"/>
      <c r="T569" s="88"/>
      <c r="U569" s="88"/>
    </row>
    <row r="570">
      <c r="P570" s="88"/>
      <c r="Q570" s="88"/>
      <c r="R570" s="88"/>
      <c r="T570" s="88"/>
      <c r="U570" s="88"/>
    </row>
    <row r="571">
      <c r="P571" s="88"/>
      <c r="Q571" s="88"/>
      <c r="R571" s="88"/>
      <c r="T571" s="88"/>
      <c r="U571" s="88"/>
    </row>
    <row r="572">
      <c r="P572" s="88"/>
      <c r="Q572" s="88"/>
      <c r="R572" s="88"/>
      <c r="T572" s="88"/>
      <c r="U572" s="88"/>
    </row>
    <row r="573">
      <c r="P573" s="88"/>
      <c r="Q573" s="88"/>
      <c r="R573" s="88"/>
      <c r="T573" s="88"/>
      <c r="U573" s="88"/>
    </row>
    <row r="574">
      <c r="P574" s="88"/>
      <c r="Q574" s="88"/>
      <c r="R574" s="88"/>
      <c r="T574" s="88"/>
      <c r="U574" s="88"/>
    </row>
    <row r="575">
      <c r="P575" s="88"/>
      <c r="Q575" s="88"/>
      <c r="R575" s="88"/>
      <c r="T575" s="88"/>
      <c r="U575" s="88"/>
    </row>
    <row r="576">
      <c r="P576" s="88"/>
      <c r="Q576" s="88"/>
      <c r="R576" s="88"/>
      <c r="T576" s="88"/>
      <c r="U576" s="88"/>
    </row>
    <row r="577">
      <c r="P577" s="88"/>
      <c r="Q577" s="88"/>
      <c r="R577" s="88"/>
      <c r="T577" s="88"/>
      <c r="U577" s="88"/>
    </row>
    <row r="578">
      <c r="P578" s="88"/>
      <c r="Q578" s="88"/>
      <c r="R578" s="88"/>
      <c r="T578" s="88"/>
      <c r="U578" s="88"/>
    </row>
    <row r="579">
      <c r="P579" s="88"/>
      <c r="Q579" s="88"/>
      <c r="R579" s="88"/>
      <c r="T579" s="88"/>
      <c r="U579" s="88"/>
    </row>
    <row r="580">
      <c r="P580" s="88"/>
      <c r="Q580" s="88"/>
      <c r="R580" s="88"/>
      <c r="T580" s="88"/>
      <c r="U580" s="88"/>
    </row>
    <row r="581">
      <c r="P581" s="88"/>
      <c r="Q581" s="88"/>
      <c r="R581" s="88"/>
      <c r="T581" s="88"/>
      <c r="U581" s="88"/>
    </row>
    <row r="582">
      <c r="P582" s="88"/>
      <c r="Q582" s="88"/>
      <c r="R582" s="88"/>
      <c r="T582" s="88"/>
      <c r="U582" s="88"/>
    </row>
    <row r="583">
      <c r="P583" s="88"/>
      <c r="Q583" s="88"/>
      <c r="R583" s="88"/>
      <c r="T583" s="88"/>
      <c r="U583" s="88"/>
    </row>
    <row r="584">
      <c r="P584" s="88"/>
      <c r="Q584" s="88"/>
      <c r="R584" s="88"/>
      <c r="T584" s="88"/>
      <c r="U584" s="88"/>
    </row>
    <row r="585">
      <c r="P585" s="88"/>
      <c r="Q585" s="88"/>
      <c r="R585" s="88"/>
      <c r="T585" s="88"/>
      <c r="U585" s="88"/>
    </row>
    <row r="586">
      <c r="P586" s="88"/>
      <c r="Q586" s="88"/>
      <c r="R586" s="88"/>
      <c r="T586" s="88"/>
      <c r="U586" s="88"/>
    </row>
    <row r="587">
      <c r="P587" s="88"/>
      <c r="Q587" s="88"/>
      <c r="R587" s="88"/>
      <c r="T587" s="88"/>
      <c r="U587" s="88"/>
    </row>
    <row r="588">
      <c r="P588" s="88"/>
      <c r="Q588" s="88"/>
      <c r="R588" s="88"/>
      <c r="T588" s="88"/>
      <c r="U588" s="88"/>
    </row>
    <row r="589">
      <c r="P589" s="88"/>
      <c r="Q589" s="88"/>
      <c r="R589" s="88"/>
      <c r="T589" s="88"/>
      <c r="U589" s="88"/>
    </row>
    <row r="590">
      <c r="P590" s="88"/>
      <c r="Q590" s="88"/>
      <c r="R590" s="88"/>
      <c r="T590" s="88"/>
      <c r="U590" s="88"/>
    </row>
    <row r="591">
      <c r="P591" s="88"/>
      <c r="Q591" s="88"/>
      <c r="R591" s="88"/>
      <c r="T591" s="88"/>
      <c r="U591" s="88"/>
    </row>
    <row r="592">
      <c r="P592" s="88"/>
      <c r="Q592" s="88"/>
      <c r="R592" s="88"/>
      <c r="T592" s="88"/>
      <c r="U592" s="88"/>
    </row>
    <row r="593">
      <c r="P593" s="88"/>
      <c r="Q593" s="88"/>
      <c r="R593" s="88"/>
      <c r="T593" s="88"/>
      <c r="U593" s="88"/>
    </row>
    <row r="594">
      <c r="P594" s="88"/>
      <c r="Q594" s="88"/>
      <c r="R594" s="88"/>
      <c r="T594" s="88"/>
      <c r="U594" s="88"/>
    </row>
    <row r="595">
      <c r="P595" s="88"/>
      <c r="Q595" s="88"/>
      <c r="R595" s="88"/>
      <c r="T595" s="88"/>
      <c r="U595" s="88"/>
    </row>
    <row r="596">
      <c r="P596" s="88"/>
      <c r="Q596" s="88"/>
      <c r="R596" s="88"/>
      <c r="T596" s="88"/>
      <c r="U596" s="88"/>
    </row>
    <row r="597">
      <c r="P597" s="88"/>
      <c r="Q597" s="88"/>
      <c r="R597" s="88"/>
      <c r="T597" s="88"/>
      <c r="U597" s="88"/>
    </row>
    <row r="598">
      <c r="P598" s="88"/>
      <c r="Q598" s="88"/>
      <c r="R598" s="88"/>
      <c r="T598" s="88"/>
      <c r="U598" s="88"/>
    </row>
    <row r="599">
      <c r="P599" s="88"/>
      <c r="Q599" s="88"/>
      <c r="R599" s="88"/>
      <c r="T599" s="88"/>
      <c r="U599" s="88"/>
    </row>
    <row r="600">
      <c r="P600" s="88"/>
      <c r="Q600" s="88"/>
      <c r="R600" s="88"/>
      <c r="T600" s="88"/>
      <c r="U600" s="88"/>
    </row>
    <row r="601">
      <c r="P601" s="88"/>
      <c r="Q601" s="88"/>
      <c r="R601" s="88"/>
      <c r="T601" s="88"/>
      <c r="U601" s="88"/>
    </row>
    <row r="602">
      <c r="P602" s="88"/>
      <c r="Q602" s="88"/>
      <c r="R602" s="88"/>
      <c r="T602" s="88"/>
      <c r="U602" s="88"/>
    </row>
    <row r="603">
      <c r="P603" s="88"/>
      <c r="Q603" s="88"/>
      <c r="R603" s="88"/>
      <c r="T603" s="88"/>
      <c r="U603" s="88"/>
    </row>
    <row r="604">
      <c r="P604" s="88"/>
      <c r="Q604" s="88"/>
      <c r="R604" s="88"/>
      <c r="T604" s="88"/>
      <c r="U604" s="88"/>
    </row>
    <row r="605">
      <c r="P605" s="88"/>
      <c r="Q605" s="88"/>
      <c r="R605" s="88"/>
      <c r="T605" s="88"/>
      <c r="U605" s="88"/>
    </row>
    <row r="606">
      <c r="P606" s="88"/>
      <c r="Q606" s="88"/>
      <c r="R606" s="88"/>
      <c r="T606" s="88"/>
      <c r="U606" s="88"/>
    </row>
    <row r="607">
      <c r="P607" s="88"/>
      <c r="Q607" s="88"/>
      <c r="R607" s="88"/>
      <c r="T607" s="88"/>
      <c r="U607" s="88"/>
    </row>
    <row r="608">
      <c r="P608" s="88"/>
      <c r="Q608" s="88"/>
      <c r="R608" s="88"/>
      <c r="T608" s="88"/>
      <c r="U608" s="88"/>
    </row>
    <row r="609">
      <c r="P609" s="88"/>
      <c r="Q609" s="88"/>
      <c r="R609" s="88"/>
      <c r="T609" s="88"/>
      <c r="U609" s="88"/>
    </row>
    <row r="610">
      <c r="P610" s="88"/>
      <c r="Q610" s="88"/>
      <c r="R610" s="88"/>
      <c r="T610" s="88"/>
      <c r="U610" s="88"/>
    </row>
    <row r="611">
      <c r="P611" s="88"/>
      <c r="Q611" s="88"/>
      <c r="R611" s="88"/>
      <c r="T611" s="88"/>
      <c r="U611" s="88"/>
    </row>
    <row r="612">
      <c r="P612" s="88"/>
      <c r="Q612" s="88"/>
      <c r="R612" s="88"/>
      <c r="T612" s="88"/>
      <c r="U612" s="88"/>
    </row>
    <row r="613">
      <c r="P613" s="88"/>
      <c r="Q613" s="88"/>
      <c r="R613" s="88"/>
      <c r="T613" s="88"/>
      <c r="U613" s="88"/>
    </row>
    <row r="614">
      <c r="P614" s="88"/>
      <c r="Q614" s="88"/>
      <c r="R614" s="88"/>
      <c r="T614" s="88"/>
      <c r="U614" s="88"/>
    </row>
    <row r="615">
      <c r="P615" s="88"/>
      <c r="Q615" s="88"/>
      <c r="R615" s="88"/>
      <c r="T615" s="88"/>
      <c r="U615" s="88"/>
    </row>
    <row r="616">
      <c r="P616" s="88"/>
      <c r="Q616" s="88"/>
      <c r="R616" s="88"/>
      <c r="T616" s="88"/>
      <c r="U616" s="88"/>
    </row>
    <row r="617">
      <c r="P617" s="88"/>
      <c r="Q617" s="88"/>
      <c r="R617" s="88"/>
      <c r="T617" s="88"/>
      <c r="U617" s="88"/>
    </row>
    <row r="618">
      <c r="P618" s="88"/>
      <c r="Q618" s="88"/>
      <c r="R618" s="88"/>
      <c r="T618" s="88"/>
      <c r="U618" s="88"/>
    </row>
    <row r="619">
      <c r="P619" s="88"/>
      <c r="Q619" s="88"/>
      <c r="R619" s="88"/>
      <c r="T619" s="88"/>
      <c r="U619" s="88"/>
    </row>
    <row r="620">
      <c r="P620" s="88"/>
      <c r="Q620" s="88"/>
      <c r="R620" s="88"/>
      <c r="T620" s="88"/>
      <c r="U620" s="88"/>
    </row>
    <row r="621">
      <c r="P621" s="88"/>
      <c r="Q621" s="88"/>
      <c r="R621" s="88"/>
      <c r="T621" s="88"/>
      <c r="U621" s="88"/>
    </row>
    <row r="622">
      <c r="P622" s="88"/>
      <c r="Q622" s="88"/>
      <c r="R622" s="88"/>
      <c r="T622" s="88"/>
      <c r="U622" s="88"/>
    </row>
    <row r="623">
      <c r="P623" s="88"/>
      <c r="Q623" s="88"/>
      <c r="R623" s="88"/>
      <c r="T623" s="88"/>
      <c r="U623" s="88"/>
    </row>
    <row r="624">
      <c r="P624" s="88"/>
      <c r="Q624" s="88"/>
      <c r="R624" s="88"/>
      <c r="T624" s="88"/>
      <c r="U624" s="88"/>
    </row>
    <row r="625">
      <c r="P625" s="88"/>
      <c r="Q625" s="88"/>
      <c r="R625" s="88"/>
      <c r="T625" s="88"/>
      <c r="U625" s="88"/>
    </row>
    <row r="626">
      <c r="P626" s="88"/>
      <c r="Q626" s="88"/>
      <c r="R626" s="88"/>
      <c r="T626" s="88"/>
      <c r="U626" s="88"/>
    </row>
    <row r="627">
      <c r="P627" s="88"/>
      <c r="Q627" s="88"/>
      <c r="R627" s="88"/>
      <c r="T627" s="88"/>
      <c r="U627" s="88"/>
    </row>
    <row r="628">
      <c r="P628" s="88"/>
      <c r="Q628" s="88"/>
      <c r="R628" s="88"/>
      <c r="T628" s="88"/>
      <c r="U628" s="88"/>
    </row>
    <row r="629">
      <c r="P629" s="88"/>
      <c r="Q629" s="88"/>
      <c r="R629" s="88"/>
      <c r="T629" s="88"/>
      <c r="U629" s="88"/>
    </row>
    <row r="630">
      <c r="P630" s="88"/>
      <c r="Q630" s="88"/>
      <c r="R630" s="88"/>
      <c r="T630" s="88"/>
      <c r="U630" s="88"/>
    </row>
    <row r="631">
      <c r="P631" s="88"/>
      <c r="Q631" s="88"/>
      <c r="R631" s="88"/>
      <c r="T631" s="88"/>
      <c r="U631" s="88"/>
    </row>
    <row r="632">
      <c r="P632" s="88"/>
      <c r="Q632" s="88"/>
      <c r="R632" s="88"/>
      <c r="T632" s="88"/>
      <c r="U632" s="88"/>
    </row>
    <row r="633">
      <c r="P633" s="88"/>
      <c r="Q633" s="88"/>
      <c r="R633" s="88"/>
      <c r="T633" s="88"/>
      <c r="U633" s="88"/>
    </row>
    <row r="634">
      <c r="P634" s="88"/>
      <c r="Q634" s="88"/>
      <c r="R634" s="88"/>
      <c r="T634" s="88"/>
      <c r="U634" s="88"/>
    </row>
    <row r="635">
      <c r="P635" s="88"/>
      <c r="Q635" s="88"/>
      <c r="R635" s="88"/>
      <c r="T635" s="88"/>
      <c r="U635" s="88"/>
    </row>
    <row r="636">
      <c r="P636" s="88"/>
      <c r="Q636" s="88"/>
      <c r="R636" s="88"/>
      <c r="T636" s="88"/>
      <c r="U636" s="88"/>
    </row>
    <row r="637">
      <c r="P637" s="88"/>
      <c r="Q637" s="88"/>
      <c r="R637" s="88"/>
      <c r="T637" s="88"/>
      <c r="U637" s="88"/>
    </row>
    <row r="638">
      <c r="P638" s="88"/>
      <c r="Q638" s="88"/>
      <c r="R638" s="88"/>
      <c r="T638" s="88"/>
      <c r="U638" s="88"/>
    </row>
    <row r="639">
      <c r="P639" s="88"/>
      <c r="Q639" s="88"/>
      <c r="R639" s="88"/>
      <c r="T639" s="88"/>
      <c r="U639" s="88"/>
    </row>
    <row r="640">
      <c r="P640" s="88"/>
      <c r="Q640" s="88"/>
      <c r="R640" s="88"/>
      <c r="T640" s="88"/>
      <c r="U640" s="88"/>
    </row>
    <row r="641">
      <c r="P641" s="88"/>
      <c r="Q641" s="88"/>
      <c r="R641" s="88"/>
      <c r="T641" s="88"/>
      <c r="U641" s="88"/>
    </row>
    <row r="642">
      <c r="P642" s="88"/>
      <c r="Q642" s="88"/>
      <c r="R642" s="88"/>
      <c r="T642" s="88"/>
      <c r="U642" s="88"/>
    </row>
    <row r="643">
      <c r="P643" s="88"/>
      <c r="Q643" s="88"/>
      <c r="R643" s="88"/>
      <c r="T643" s="88"/>
      <c r="U643" s="88"/>
    </row>
    <row r="644">
      <c r="P644" s="88"/>
      <c r="Q644" s="88"/>
      <c r="R644" s="88"/>
      <c r="T644" s="88"/>
      <c r="U644" s="88"/>
    </row>
    <row r="645">
      <c r="P645" s="88"/>
      <c r="Q645" s="88"/>
      <c r="R645" s="88"/>
      <c r="T645" s="88"/>
      <c r="U645" s="88"/>
    </row>
    <row r="646">
      <c r="P646" s="88"/>
      <c r="Q646" s="88"/>
      <c r="R646" s="88"/>
      <c r="T646" s="88"/>
      <c r="U646" s="88"/>
    </row>
    <row r="647">
      <c r="P647" s="88"/>
      <c r="Q647" s="88"/>
      <c r="R647" s="88"/>
      <c r="T647" s="88"/>
      <c r="U647" s="88"/>
    </row>
    <row r="648">
      <c r="P648" s="88"/>
      <c r="Q648" s="88"/>
      <c r="R648" s="88"/>
      <c r="T648" s="88"/>
      <c r="U648" s="88"/>
    </row>
    <row r="649">
      <c r="P649" s="88"/>
      <c r="Q649" s="88"/>
      <c r="R649" s="88"/>
      <c r="T649" s="88"/>
      <c r="U649" s="88"/>
    </row>
    <row r="650">
      <c r="P650" s="88"/>
      <c r="Q650" s="88"/>
      <c r="R650" s="88"/>
      <c r="T650" s="88"/>
      <c r="U650" s="88"/>
    </row>
    <row r="651">
      <c r="P651" s="88"/>
      <c r="Q651" s="88"/>
      <c r="R651" s="88"/>
      <c r="T651" s="88"/>
      <c r="U651" s="88"/>
    </row>
    <row r="652">
      <c r="P652" s="88"/>
      <c r="Q652" s="88"/>
      <c r="R652" s="88"/>
      <c r="T652" s="88"/>
      <c r="U652" s="88"/>
    </row>
    <row r="653">
      <c r="P653" s="88"/>
      <c r="Q653" s="88"/>
      <c r="R653" s="88"/>
      <c r="T653" s="88"/>
      <c r="U653" s="88"/>
    </row>
    <row r="654">
      <c r="P654" s="88"/>
      <c r="Q654" s="88"/>
      <c r="R654" s="88"/>
      <c r="T654" s="88"/>
      <c r="U654" s="88"/>
    </row>
    <row r="655">
      <c r="P655" s="88"/>
      <c r="Q655" s="88"/>
      <c r="R655" s="88"/>
      <c r="T655" s="88"/>
      <c r="U655" s="88"/>
    </row>
    <row r="656">
      <c r="P656" s="88"/>
      <c r="Q656" s="88"/>
      <c r="R656" s="88"/>
      <c r="T656" s="88"/>
      <c r="U656" s="88"/>
    </row>
    <row r="657">
      <c r="P657" s="88"/>
      <c r="Q657" s="88"/>
      <c r="R657" s="88"/>
      <c r="T657" s="88"/>
      <c r="U657" s="88"/>
    </row>
    <row r="658">
      <c r="P658" s="88"/>
      <c r="Q658" s="88"/>
      <c r="R658" s="88"/>
      <c r="T658" s="88"/>
      <c r="U658" s="88"/>
    </row>
    <row r="659">
      <c r="P659" s="88"/>
      <c r="Q659" s="88"/>
      <c r="R659" s="88"/>
      <c r="T659" s="88"/>
      <c r="U659" s="88"/>
    </row>
    <row r="660">
      <c r="P660" s="88"/>
      <c r="Q660" s="88"/>
      <c r="R660" s="88"/>
      <c r="T660" s="88"/>
      <c r="U660" s="88"/>
    </row>
    <row r="661">
      <c r="P661" s="88"/>
      <c r="Q661" s="88"/>
      <c r="R661" s="88"/>
      <c r="T661" s="88"/>
      <c r="U661" s="88"/>
    </row>
    <row r="662">
      <c r="P662" s="88"/>
      <c r="Q662" s="88"/>
      <c r="R662" s="88"/>
      <c r="T662" s="88"/>
      <c r="U662" s="88"/>
    </row>
    <row r="663">
      <c r="P663" s="88"/>
      <c r="Q663" s="88"/>
      <c r="R663" s="88"/>
      <c r="T663" s="88"/>
      <c r="U663" s="88"/>
    </row>
    <row r="664">
      <c r="P664" s="88"/>
      <c r="Q664" s="88"/>
      <c r="R664" s="88"/>
      <c r="T664" s="88"/>
      <c r="U664" s="88"/>
    </row>
    <row r="665">
      <c r="P665" s="88"/>
      <c r="Q665" s="88"/>
      <c r="R665" s="88"/>
      <c r="T665" s="88"/>
      <c r="U665" s="88"/>
    </row>
    <row r="666">
      <c r="P666" s="88"/>
      <c r="Q666" s="88"/>
      <c r="R666" s="88"/>
      <c r="T666" s="88"/>
      <c r="U666" s="88"/>
    </row>
    <row r="667">
      <c r="P667" s="88"/>
      <c r="Q667" s="88"/>
      <c r="R667" s="88"/>
      <c r="T667" s="88"/>
      <c r="U667" s="88"/>
    </row>
    <row r="668">
      <c r="P668" s="88"/>
      <c r="Q668" s="88"/>
      <c r="R668" s="88"/>
      <c r="T668" s="88"/>
      <c r="U668" s="88"/>
    </row>
    <row r="669">
      <c r="P669" s="88"/>
      <c r="Q669" s="88"/>
      <c r="R669" s="88"/>
      <c r="T669" s="88"/>
      <c r="U669" s="88"/>
    </row>
    <row r="670">
      <c r="P670" s="88"/>
      <c r="Q670" s="88"/>
      <c r="R670" s="88"/>
      <c r="T670" s="88"/>
      <c r="U670" s="88"/>
    </row>
    <row r="671">
      <c r="P671" s="88"/>
      <c r="Q671" s="88"/>
      <c r="R671" s="88"/>
      <c r="T671" s="88"/>
      <c r="U671" s="88"/>
    </row>
    <row r="672">
      <c r="P672" s="88"/>
      <c r="Q672" s="88"/>
      <c r="R672" s="88"/>
      <c r="T672" s="88"/>
      <c r="U672" s="88"/>
    </row>
    <row r="673">
      <c r="P673" s="88"/>
      <c r="Q673" s="88"/>
      <c r="R673" s="88"/>
      <c r="T673" s="88"/>
      <c r="U673" s="88"/>
    </row>
    <row r="674">
      <c r="P674" s="88"/>
      <c r="Q674" s="88"/>
      <c r="R674" s="88"/>
      <c r="T674" s="88"/>
      <c r="U674" s="88"/>
    </row>
    <row r="675">
      <c r="P675" s="88"/>
      <c r="Q675" s="88"/>
      <c r="R675" s="88"/>
      <c r="T675" s="88"/>
      <c r="U675" s="88"/>
    </row>
    <row r="676">
      <c r="P676" s="88"/>
      <c r="Q676" s="88"/>
      <c r="R676" s="88"/>
      <c r="T676" s="88"/>
      <c r="U676" s="88"/>
    </row>
    <row r="677">
      <c r="P677" s="88"/>
      <c r="Q677" s="88"/>
      <c r="R677" s="88"/>
      <c r="T677" s="88"/>
      <c r="U677" s="88"/>
    </row>
    <row r="678">
      <c r="P678" s="88"/>
      <c r="Q678" s="88"/>
      <c r="R678" s="88"/>
      <c r="T678" s="88"/>
      <c r="U678" s="88"/>
    </row>
    <row r="679">
      <c r="P679" s="88"/>
      <c r="Q679" s="88"/>
      <c r="R679" s="88"/>
      <c r="T679" s="88"/>
      <c r="U679" s="88"/>
    </row>
    <row r="680">
      <c r="P680" s="88"/>
      <c r="Q680" s="88"/>
      <c r="R680" s="88"/>
      <c r="T680" s="88"/>
      <c r="U680" s="88"/>
    </row>
    <row r="681">
      <c r="P681" s="88"/>
      <c r="Q681" s="88"/>
      <c r="R681" s="88"/>
      <c r="T681" s="88"/>
      <c r="U681" s="88"/>
    </row>
    <row r="682">
      <c r="P682" s="88"/>
      <c r="Q682" s="88"/>
      <c r="R682" s="88"/>
      <c r="T682" s="88"/>
      <c r="U682" s="88"/>
    </row>
    <row r="683">
      <c r="P683" s="88"/>
      <c r="Q683" s="88"/>
      <c r="R683" s="88"/>
      <c r="T683" s="88"/>
      <c r="U683" s="88"/>
    </row>
    <row r="684">
      <c r="P684" s="88"/>
      <c r="Q684" s="88"/>
      <c r="R684" s="88"/>
      <c r="T684" s="88"/>
      <c r="U684" s="88"/>
    </row>
    <row r="685">
      <c r="P685" s="88"/>
      <c r="Q685" s="88"/>
      <c r="R685" s="88"/>
      <c r="T685" s="88"/>
      <c r="U685" s="88"/>
    </row>
    <row r="686">
      <c r="P686" s="88"/>
      <c r="Q686" s="88"/>
      <c r="R686" s="88"/>
      <c r="T686" s="88"/>
      <c r="U686" s="88"/>
    </row>
    <row r="687">
      <c r="P687" s="88"/>
      <c r="Q687" s="88"/>
      <c r="R687" s="88"/>
      <c r="T687" s="88"/>
      <c r="U687" s="88"/>
    </row>
    <row r="688">
      <c r="P688" s="88"/>
      <c r="Q688" s="88"/>
      <c r="R688" s="88"/>
      <c r="T688" s="88"/>
      <c r="U688" s="88"/>
    </row>
    <row r="689">
      <c r="P689" s="88"/>
      <c r="Q689" s="88"/>
      <c r="R689" s="88"/>
      <c r="T689" s="88"/>
      <c r="U689" s="88"/>
    </row>
    <row r="690">
      <c r="P690" s="88"/>
      <c r="Q690" s="88"/>
      <c r="R690" s="88"/>
      <c r="T690" s="88"/>
      <c r="U690" s="88"/>
    </row>
    <row r="691">
      <c r="P691" s="88"/>
      <c r="Q691" s="88"/>
      <c r="R691" s="88"/>
      <c r="T691" s="88"/>
      <c r="U691" s="88"/>
    </row>
    <row r="692">
      <c r="P692" s="88"/>
      <c r="Q692" s="88"/>
      <c r="R692" s="88"/>
      <c r="T692" s="88"/>
      <c r="U692" s="88"/>
    </row>
    <row r="693">
      <c r="P693" s="88"/>
      <c r="Q693" s="88"/>
      <c r="R693" s="88"/>
      <c r="T693" s="88"/>
      <c r="U693" s="88"/>
    </row>
    <row r="694">
      <c r="P694" s="88"/>
      <c r="Q694" s="88"/>
      <c r="R694" s="88"/>
      <c r="T694" s="88"/>
      <c r="U694" s="88"/>
    </row>
    <row r="695">
      <c r="P695" s="88"/>
      <c r="Q695" s="88"/>
      <c r="R695" s="88"/>
      <c r="T695" s="88"/>
      <c r="U695" s="88"/>
    </row>
    <row r="696">
      <c r="P696" s="88"/>
      <c r="Q696" s="88"/>
      <c r="R696" s="88"/>
      <c r="T696" s="88"/>
      <c r="U696" s="88"/>
    </row>
    <row r="697">
      <c r="P697" s="88"/>
      <c r="Q697" s="88"/>
      <c r="R697" s="88"/>
      <c r="T697" s="88"/>
      <c r="U697" s="88"/>
    </row>
    <row r="698">
      <c r="P698" s="88"/>
      <c r="Q698" s="88"/>
      <c r="R698" s="88"/>
      <c r="T698" s="88"/>
      <c r="U698" s="88"/>
    </row>
    <row r="699">
      <c r="P699" s="88"/>
      <c r="Q699" s="88"/>
      <c r="R699" s="88"/>
      <c r="T699" s="88"/>
      <c r="U699" s="88"/>
    </row>
    <row r="700">
      <c r="P700" s="88"/>
      <c r="Q700" s="88"/>
      <c r="R700" s="88"/>
      <c r="T700" s="88"/>
      <c r="U700" s="88"/>
    </row>
    <row r="701">
      <c r="P701" s="88"/>
      <c r="Q701" s="88"/>
      <c r="R701" s="88"/>
      <c r="T701" s="88"/>
      <c r="U701" s="88"/>
    </row>
    <row r="702">
      <c r="P702" s="88"/>
      <c r="Q702" s="88"/>
      <c r="R702" s="88"/>
      <c r="T702" s="88"/>
      <c r="U702" s="88"/>
    </row>
    <row r="703">
      <c r="P703" s="88"/>
      <c r="Q703" s="88"/>
      <c r="R703" s="88"/>
      <c r="T703" s="88"/>
      <c r="U703" s="88"/>
    </row>
    <row r="704">
      <c r="P704" s="88"/>
      <c r="Q704" s="88"/>
      <c r="R704" s="88"/>
      <c r="T704" s="88"/>
      <c r="U704" s="88"/>
    </row>
    <row r="705">
      <c r="P705" s="88"/>
      <c r="Q705" s="88"/>
      <c r="R705" s="88"/>
      <c r="T705" s="88"/>
      <c r="U705" s="88"/>
    </row>
    <row r="706">
      <c r="P706" s="88"/>
      <c r="Q706" s="88"/>
      <c r="R706" s="88"/>
      <c r="T706" s="88"/>
      <c r="U706" s="88"/>
    </row>
    <row r="707">
      <c r="P707" s="88"/>
      <c r="Q707" s="88"/>
      <c r="R707" s="88"/>
      <c r="T707" s="88"/>
      <c r="U707" s="88"/>
    </row>
    <row r="708">
      <c r="P708" s="88"/>
      <c r="Q708" s="88"/>
      <c r="R708" s="88"/>
      <c r="T708" s="88"/>
      <c r="U708" s="88"/>
    </row>
    <row r="709">
      <c r="P709" s="88"/>
      <c r="Q709" s="88"/>
      <c r="R709" s="88"/>
      <c r="T709" s="88"/>
      <c r="U709" s="88"/>
    </row>
    <row r="710">
      <c r="P710" s="88"/>
      <c r="Q710" s="88"/>
      <c r="R710" s="88"/>
      <c r="T710" s="88"/>
      <c r="U710" s="88"/>
    </row>
    <row r="711">
      <c r="P711" s="88"/>
      <c r="Q711" s="88"/>
      <c r="R711" s="88"/>
      <c r="T711" s="88"/>
      <c r="U711" s="88"/>
    </row>
    <row r="712">
      <c r="P712" s="88"/>
      <c r="Q712" s="88"/>
      <c r="R712" s="88"/>
      <c r="T712" s="88"/>
      <c r="U712" s="88"/>
    </row>
    <row r="713">
      <c r="P713" s="88"/>
      <c r="Q713" s="88"/>
      <c r="R713" s="88"/>
      <c r="T713" s="88"/>
      <c r="U713" s="88"/>
    </row>
    <row r="714">
      <c r="P714" s="88"/>
      <c r="Q714" s="88"/>
      <c r="R714" s="88"/>
      <c r="T714" s="88"/>
      <c r="U714" s="88"/>
    </row>
    <row r="715">
      <c r="P715" s="88"/>
      <c r="Q715" s="88"/>
      <c r="R715" s="88"/>
      <c r="T715" s="88"/>
      <c r="U715" s="88"/>
    </row>
    <row r="716">
      <c r="P716" s="88"/>
      <c r="Q716" s="88"/>
      <c r="R716" s="88"/>
      <c r="T716" s="88"/>
      <c r="U716" s="88"/>
    </row>
    <row r="717">
      <c r="P717" s="88"/>
      <c r="Q717" s="88"/>
      <c r="R717" s="88"/>
      <c r="T717" s="88"/>
      <c r="U717" s="88"/>
    </row>
    <row r="718">
      <c r="P718" s="88"/>
      <c r="Q718" s="88"/>
      <c r="R718" s="88"/>
      <c r="T718" s="88"/>
      <c r="U718" s="88"/>
    </row>
    <row r="719">
      <c r="P719" s="88"/>
      <c r="Q719" s="88"/>
      <c r="R719" s="88"/>
      <c r="T719" s="88"/>
      <c r="U719" s="88"/>
    </row>
    <row r="720">
      <c r="P720" s="88"/>
      <c r="Q720" s="88"/>
      <c r="R720" s="88"/>
      <c r="T720" s="88"/>
      <c r="U720" s="88"/>
    </row>
    <row r="721">
      <c r="P721" s="88"/>
      <c r="Q721" s="88"/>
      <c r="R721" s="88"/>
      <c r="T721" s="88"/>
      <c r="U721" s="88"/>
    </row>
    <row r="722">
      <c r="P722" s="88"/>
      <c r="Q722" s="88"/>
      <c r="R722" s="88"/>
      <c r="T722" s="88"/>
      <c r="U722" s="88"/>
    </row>
    <row r="723">
      <c r="P723" s="88"/>
      <c r="Q723" s="88"/>
      <c r="R723" s="88"/>
      <c r="T723" s="88"/>
      <c r="U723" s="88"/>
    </row>
    <row r="724">
      <c r="P724" s="88"/>
      <c r="Q724" s="88"/>
      <c r="R724" s="88"/>
      <c r="T724" s="88"/>
      <c r="U724" s="88"/>
    </row>
    <row r="725">
      <c r="P725" s="88"/>
      <c r="Q725" s="88"/>
      <c r="R725" s="88"/>
      <c r="T725" s="88"/>
      <c r="U725" s="88"/>
    </row>
    <row r="726">
      <c r="P726" s="88"/>
      <c r="Q726" s="88"/>
      <c r="R726" s="88"/>
      <c r="T726" s="88"/>
      <c r="U726" s="88"/>
    </row>
    <row r="727">
      <c r="P727" s="88"/>
      <c r="Q727" s="88"/>
      <c r="R727" s="88"/>
      <c r="T727" s="88"/>
      <c r="U727" s="88"/>
    </row>
    <row r="728">
      <c r="P728" s="88"/>
      <c r="Q728" s="88"/>
      <c r="R728" s="88"/>
      <c r="T728" s="88"/>
      <c r="U728" s="88"/>
    </row>
    <row r="729">
      <c r="P729" s="88"/>
      <c r="Q729" s="88"/>
      <c r="R729" s="88"/>
      <c r="T729" s="88"/>
      <c r="U729" s="88"/>
    </row>
    <row r="730">
      <c r="P730" s="88"/>
      <c r="Q730" s="88"/>
      <c r="R730" s="88"/>
      <c r="T730" s="88"/>
      <c r="U730" s="88"/>
    </row>
    <row r="731">
      <c r="P731" s="88"/>
      <c r="Q731" s="88"/>
      <c r="R731" s="88"/>
      <c r="T731" s="88"/>
      <c r="U731" s="88"/>
    </row>
    <row r="732">
      <c r="P732" s="88"/>
      <c r="Q732" s="88"/>
      <c r="R732" s="88"/>
      <c r="T732" s="88"/>
      <c r="U732" s="88"/>
    </row>
    <row r="733">
      <c r="P733" s="88"/>
      <c r="Q733" s="88"/>
      <c r="R733" s="88"/>
      <c r="T733" s="88"/>
      <c r="U733" s="88"/>
    </row>
    <row r="734">
      <c r="P734" s="88"/>
      <c r="Q734" s="88"/>
      <c r="R734" s="88"/>
      <c r="T734" s="88"/>
      <c r="U734" s="88"/>
    </row>
    <row r="735">
      <c r="P735" s="88"/>
      <c r="Q735" s="88"/>
      <c r="R735" s="88"/>
      <c r="T735" s="88"/>
      <c r="U735" s="88"/>
    </row>
    <row r="736">
      <c r="P736" s="88"/>
      <c r="Q736" s="88"/>
      <c r="R736" s="88"/>
      <c r="T736" s="88"/>
      <c r="U736" s="88"/>
    </row>
    <row r="737">
      <c r="P737" s="88"/>
      <c r="Q737" s="88"/>
      <c r="R737" s="88"/>
      <c r="T737" s="88"/>
      <c r="U737" s="88"/>
    </row>
    <row r="738">
      <c r="P738" s="88"/>
      <c r="Q738" s="88"/>
      <c r="R738" s="88"/>
      <c r="T738" s="88"/>
      <c r="U738" s="88"/>
    </row>
    <row r="739">
      <c r="P739" s="88"/>
      <c r="Q739" s="88"/>
      <c r="R739" s="88"/>
      <c r="T739" s="88"/>
      <c r="U739" s="88"/>
    </row>
    <row r="740">
      <c r="P740" s="88"/>
      <c r="Q740" s="88"/>
      <c r="R740" s="88"/>
      <c r="T740" s="88"/>
      <c r="U740" s="88"/>
    </row>
    <row r="741">
      <c r="P741" s="88"/>
      <c r="Q741" s="88"/>
      <c r="R741" s="88"/>
      <c r="T741" s="88"/>
      <c r="U741" s="88"/>
    </row>
    <row r="742">
      <c r="P742" s="88"/>
      <c r="Q742" s="88"/>
      <c r="R742" s="88"/>
      <c r="T742" s="88"/>
      <c r="U742" s="88"/>
    </row>
    <row r="743">
      <c r="P743" s="88"/>
      <c r="Q743" s="88"/>
      <c r="R743" s="88"/>
      <c r="T743" s="88"/>
      <c r="U743" s="88"/>
    </row>
    <row r="744">
      <c r="P744" s="88"/>
      <c r="Q744" s="88"/>
      <c r="R744" s="88"/>
      <c r="T744" s="88"/>
      <c r="U744" s="88"/>
    </row>
    <row r="745">
      <c r="P745" s="88"/>
      <c r="Q745" s="88"/>
      <c r="R745" s="88"/>
      <c r="T745" s="88"/>
      <c r="U745" s="88"/>
    </row>
    <row r="746">
      <c r="P746" s="88"/>
      <c r="Q746" s="88"/>
      <c r="R746" s="88"/>
      <c r="T746" s="88"/>
      <c r="U746" s="88"/>
    </row>
    <row r="747">
      <c r="P747" s="88"/>
      <c r="Q747" s="88"/>
      <c r="R747" s="88"/>
      <c r="T747" s="88"/>
      <c r="U747" s="88"/>
    </row>
    <row r="748">
      <c r="P748" s="88"/>
      <c r="Q748" s="88"/>
      <c r="R748" s="88"/>
      <c r="T748" s="88"/>
      <c r="U748" s="88"/>
    </row>
    <row r="749">
      <c r="P749" s="88"/>
      <c r="Q749" s="88"/>
      <c r="R749" s="88"/>
      <c r="T749" s="88"/>
      <c r="U749" s="88"/>
    </row>
    <row r="750">
      <c r="T750" s="88"/>
      <c r="U750" s="88"/>
    </row>
    <row r="751">
      <c r="T751" s="88"/>
      <c r="U751" s="88"/>
    </row>
    <row r="752">
      <c r="T752" s="88"/>
      <c r="U752" s="88"/>
    </row>
    <row r="753">
      <c r="T753" s="88"/>
      <c r="U753" s="88"/>
    </row>
    <row r="754">
      <c r="T754" s="88"/>
      <c r="U754" s="88"/>
    </row>
    <row r="755">
      <c r="T755" s="88"/>
      <c r="U755" s="88"/>
    </row>
    <row r="756">
      <c r="T756" s="88"/>
      <c r="U756" s="88"/>
    </row>
    <row r="757">
      <c r="T757" s="88"/>
      <c r="U757" s="88"/>
    </row>
    <row r="758">
      <c r="T758" s="88"/>
      <c r="U758" s="88"/>
    </row>
    <row r="759">
      <c r="T759" s="88"/>
      <c r="U759" s="88"/>
    </row>
    <row r="760">
      <c r="T760" s="88"/>
      <c r="U760" s="88"/>
    </row>
    <row r="761">
      <c r="T761" s="88"/>
      <c r="U761" s="88"/>
    </row>
    <row r="762">
      <c r="T762" s="88"/>
      <c r="U762" s="88"/>
    </row>
    <row r="763">
      <c r="T763" s="88"/>
      <c r="U763" s="88"/>
    </row>
    <row r="764">
      <c r="T764" s="88"/>
      <c r="U764" s="88"/>
    </row>
    <row r="765">
      <c r="T765" s="88"/>
      <c r="U765" s="88"/>
    </row>
    <row r="766">
      <c r="T766" s="88"/>
      <c r="U766" s="88"/>
    </row>
    <row r="767">
      <c r="T767" s="88"/>
      <c r="U767" s="88"/>
    </row>
    <row r="768">
      <c r="T768" s="88"/>
      <c r="U768" s="88"/>
    </row>
    <row r="769">
      <c r="T769" s="88"/>
      <c r="U769" s="88"/>
    </row>
    <row r="770">
      <c r="T770" s="88"/>
      <c r="U770" s="88"/>
    </row>
    <row r="771">
      <c r="T771" s="88"/>
      <c r="U771" s="88"/>
    </row>
    <row r="772">
      <c r="T772" s="88"/>
      <c r="U772" s="88"/>
    </row>
    <row r="773">
      <c r="T773" s="88"/>
      <c r="U773" s="88"/>
    </row>
    <row r="774">
      <c r="T774" s="88"/>
      <c r="U774" s="88"/>
    </row>
    <row r="775">
      <c r="T775" s="88"/>
      <c r="U775" s="88"/>
    </row>
    <row r="776">
      <c r="T776" s="88"/>
      <c r="U776" s="88"/>
    </row>
    <row r="777">
      <c r="T777" s="88"/>
      <c r="U777" s="88"/>
    </row>
    <row r="778">
      <c r="T778" s="88"/>
      <c r="U778" s="88"/>
    </row>
    <row r="779">
      <c r="T779" s="88"/>
      <c r="U779" s="88"/>
    </row>
    <row r="780">
      <c r="T780" s="88"/>
      <c r="U780" s="88"/>
    </row>
    <row r="781">
      <c r="T781" s="88"/>
      <c r="U781" s="88"/>
    </row>
    <row r="782">
      <c r="T782" s="88"/>
      <c r="U782" s="88"/>
    </row>
    <row r="783">
      <c r="T783" s="88"/>
      <c r="U783" s="88"/>
    </row>
    <row r="784">
      <c r="T784" s="88"/>
      <c r="U784" s="88"/>
    </row>
    <row r="785">
      <c r="T785" s="88"/>
      <c r="U785" s="88"/>
    </row>
    <row r="786">
      <c r="T786" s="88"/>
      <c r="U786" s="88"/>
    </row>
    <row r="787">
      <c r="T787" s="88"/>
      <c r="U787" s="88"/>
    </row>
    <row r="788">
      <c r="T788" s="88"/>
      <c r="U788" s="88"/>
    </row>
    <row r="789">
      <c r="T789" s="88"/>
      <c r="U789" s="88"/>
    </row>
    <row r="790">
      <c r="T790" s="88"/>
      <c r="U790" s="88"/>
    </row>
    <row r="791">
      <c r="T791" s="88"/>
      <c r="U791" s="88"/>
    </row>
    <row r="792">
      <c r="T792" s="88"/>
      <c r="U792" s="88"/>
    </row>
    <row r="793">
      <c r="T793" s="88"/>
      <c r="U793" s="88"/>
    </row>
    <row r="794">
      <c r="T794" s="88"/>
      <c r="U794" s="88"/>
    </row>
    <row r="795">
      <c r="T795" s="88"/>
      <c r="U795" s="88"/>
    </row>
    <row r="796">
      <c r="T796" s="88"/>
      <c r="U796" s="88"/>
    </row>
    <row r="797">
      <c r="T797" s="88"/>
      <c r="U797" s="88"/>
    </row>
    <row r="798">
      <c r="T798" s="88"/>
      <c r="U798" s="88"/>
    </row>
    <row r="799">
      <c r="T799" s="88"/>
      <c r="U799" s="88"/>
    </row>
    <row r="800">
      <c r="T800" s="88"/>
      <c r="U800" s="88"/>
    </row>
    <row r="801">
      <c r="T801" s="88"/>
      <c r="U801" s="88"/>
    </row>
    <row r="802">
      <c r="T802" s="88"/>
      <c r="U802" s="88"/>
    </row>
    <row r="803">
      <c r="T803" s="88"/>
      <c r="U803" s="88"/>
    </row>
    <row r="804">
      <c r="T804" s="88"/>
      <c r="U804" s="88"/>
    </row>
    <row r="805">
      <c r="T805" s="88"/>
      <c r="U805" s="88"/>
    </row>
    <row r="806">
      <c r="T806" s="88"/>
      <c r="U806" s="88"/>
    </row>
    <row r="807">
      <c r="T807" s="88"/>
      <c r="U807" s="88"/>
    </row>
    <row r="808">
      <c r="T808" s="88"/>
      <c r="U808" s="88"/>
    </row>
    <row r="809">
      <c r="T809" s="88"/>
      <c r="U809" s="88"/>
    </row>
    <row r="810">
      <c r="T810" s="88"/>
      <c r="U810" s="88"/>
    </row>
    <row r="811">
      <c r="T811" s="88"/>
      <c r="U811" s="88"/>
    </row>
    <row r="812">
      <c r="T812" s="88"/>
      <c r="U812" s="88"/>
    </row>
    <row r="813">
      <c r="T813" s="88"/>
      <c r="U813" s="88"/>
    </row>
    <row r="814">
      <c r="T814" s="88"/>
      <c r="U814" s="88"/>
    </row>
    <row r="815">
      <c r="T815" s="88"/>
      <c r="U815" s="88"/>
    </row>
    <row r="816">
      <c r="T816" s="88"/>
      <c r="U816" s="88"/>
    </row>
    <row r="817">
      <c r="T817" s="88"/>
      <c r="U817" s="88"/>
    </row>
    <row r="818">
      <c r="T818" s="88"/>
      <c r="U818" s="88"/>
    </row>
    <row r="819">
      <c r="T819" s="88"/>
      <c r="U819" s="88"/>
    </row>
    <row r="820">
      <c r="T820" s="88"/>
      <c r="U820" s="88"/>
    </row>
    <row r="821">
      <c r="T821" s="88"/>
      <c r="U821" s="88"/>
    </row>
    <row r="822">
      <c r="T822" s="88"/>
      <c r="U822" s="88"/>
    </row>
    <row r="823">
      <c r="T823" s="88"/>
      <c r="U823" s="88"/>
    </row>
    <row r="824">
      <c r="T824" s="88"/>
      <c r="U824" s="88"/>
    </row>
    <row r="825">
      <c r="T825" s="88"/>
      <c r="U825" s="88"/>
    </row>
    <row r="826">
      <c r="T826" s="88"/>
      <c r="U826" s="88"/>
    </row>
    <row r="827">
      <c r="T827" s="88"/>
      <c r="U827" s="88"/>
    </row>
    <row r="828">
      <c r="T828" s="88"/>
      <c r="U828" s="88"/>
    </row>
    <row r="829">
      <c r="T829" s="88"/>
      <c r="U829" s="88"/>
    </row>
    <row r="830">
      <c r="T830" s="88"/>
      <c r="U830" s="88"/>
    </row>
    <row r="831">
      <c r="T831" s="88"/>
      <c r="U831" s="88"/>
    </row>
    <row r="832">
      <c r="T832" s="88"/>
      <c r="U832" s="88"/>
    </row>
    <row r="833">
      <c r="T833" s="88"/>
      <c r="U833" s="88"/>
    </row>
    <row r="834">
      <c r="T834" s="88"/>
      <c r="U834" s="88"/>
    </row>
    <row r="835">
      <c r="T835" s="88"/>
      <c r="U835" s="88"/>
    </row>
    <row r="836">
      <c r="T836" s="88"/>
      <c r="U836" s="88"/>
    </row>
    <row r="837">
      <c r="T837" s="88"/>
      <c r="U837" s="88"/>
    </row>
    <row r="838">
      <c r="T838" s="88"/>
      <c r="U838" s="88"/>
    </row>
    <row r="839">
      <c r="T839" s="88"/>
      <c r="U839" s="88"/>
    </row>
    <row r="840">
      <c r="T840" s="88"/>
      <c r="U840" s="88"/>
    </row>
    <row r="841">
      <c r="T841" s="88"/>
      <c r="U841" s="88"/>
    </row>
    <row r="842">
      <c r="T842" s="88"/>
      <c r="U842" s="88"/>
    </row>
    <row r="843">
      <c r="T843" s="88"/>
      <c r="U843" s="88"/>
    </row>
    <row r="844">
      <c r="T844" s="88"/>
      <c r="U844" s="88"/>
    </row>
    <row r="845">
      <c r="T845" s="88"/>
      <c r="U845" s="88"/>
    </row>
    <row r="846">
      <c r="T846" s="88"/>
      <c r="U846" s="88"/>
    </row>
    <row r="847">
      <c r="T847" s="88"/>
      <c r="U847" s="88"/>
    </row>
    <row r="848">
      <c r="T848" s="88"/>
      <c r="U848" s="88"/>
    </row>
    <row r="849">
      <c r="T849" s="88"/>
      <c r="U849" s="88"/>
    </row>
    <row r="850">
      <c r="T850" s="88"/>
      <c r="U850" s="88"/>
    </row>
    <row r="851">
      <c r="T851" s="88"/>
      <c r="U851" s="88"/>
    </row>
    <row r="852">
      <c r="T852" s="88"/>
      <c r="U852" s="88"/>
    </row>
    <row r="853">
      <c r="T853" s="88"/>
      <c r="U853" s="88"/>
    </row>
    <row r="854">
      <c r="T854" s="88"/>
      <c r="U854" s="88"/>
    </row>
    <row r="855">
      <c r="T855" s="88"/>
      <c r="U855" s="88"/>
    </row>
    <row r="856">
      <c r="T856" s="88"/>
      <c r="U856" s="88"/>
    </row>
    <row r="857">
      <c r="T857" s="88"/>
      <c r="U857" s="88"/>
    </row>
    <row r="858">
      <c r="T858" s="88"/>
      <c r="U858" s="88"/>
    </row>
    <row r="859">
      <c r="T859" s="88"/>
      <c r="U859" s="88"/>
    </row>
    <row r="860">
      <c r="T860" s="88"/>
      <c r="U860" s="88"/>
    </row>
    <row r="861">
      <c r="T861" s="88"/>
      <c r="U861" s="88"/>
    </row>
    <row r="862">
      <c r="T862" s="88"/>
      <c r="U862" s="88"/>
    </row>
    <row r="863">
      <c r="T863" s="88"/>
      <c r="U863" s="88"/>
    </row>
    <row r="864">
      <c r="T864" s="88"/>
      <c r="U864" s="88"/>
    </row>
    <row r="865">
      <c r="T865" s="88"/>
      <c r="U865" s="88"/>
    </row>
    <row r="866">
      <c r="T866" s="88"/>
      <c r="U866" s="88"/>
    </row>
    <row r="867">
      <c r="T867" s="88"/>
      <c r="U867" s="88"/>
    </row>
    <row r="868">
      <c r="T868" s="88"/>
      <c r="U868" s="88"/>
    </row>
    <row r="869">
      <c r="T869" s="88"/>
      <c r="U869" s="88"/>
    </row>
    <row r="870">
      <c r="T870" s="88"/>
      <c r="U870" s="88"/>
    </row>
    <row r="871">
      <c r="T871" s="88"/>
      <c r="U871" s="88"/>
    </row>
    <row r="872">
      <c r="T872" s="88"/>
      <c r="U872" s="88"/>
    </row>
    <row r="873">
      <c r="T873" s="88"/>
      <c r="U873" s="88"/>
    </row>
    <row r="874">
      <c r="T874" s="88"/>
      <c r="U874" s="88"/>
    </row>
    <row r="875">
      <c r="T875" s="88"/>
      <c r="U875" s="88"/>
    </row>
    <row r="876">
      <c r="T876" s="88"/>
      <c r="U876" s="88"/>
    </row>
    <row r="877">
      <c r="T877" s="88"/>
      <c r="U877" s="88"/>
    </row>
    <row r="878">
      <c r="T878" s="88"/>
      <c r="U878" s="88"/>
    </row>
    <row r="879">
      <c r="T879" s="88"/>
      <c r="U879" s="88"/>
    </row>
    <row r="880">
      <c r="T880" s="88"/>
      <c r="U880" s="88"/>
    </row>
    <row r="881">
      <c r="T881" s="88"/>
      <c r="U881" s="88"/>
    </row>
    <row r="882">
      <c r="T882" s="88"/>
      <c r="U882" s="88"/>
    </row>
    <row r="883">
      <c r="T883" s="88"/>
      <c r="U883" s="88"/>
    </row>
    <row r="884">
      <c r="T884" s="88"/>
      <c r="U884" s="88"/>
    </row>
    <row r="885">
      <c r="T885" s="88"/>
      <c r="U885" s="88"/>
    </row>
    <row r="886">
      <c r="T886" s="88"/>
      <c r="U886" s="88"/>
    </row>
    <row r="887">
      <c r="T887" s="88"/>
      <c r="U887" s="88"/>
    </row>
    <row r="888">
      <c r="T888" s="88"/>
      <c r="U888" s="88"/>
    </row>
    <row r="889">
      <c r="T889" s="88"/>
      <c r="U889" s="88"/>
    </row>
    <row r="890">
      <c r="T890" s="88"/>
      <c r="U890" s="88"/>
    </row>
    <row r="891">
      <c r="T891" s="88"/>
      <c r="U891" s="88"/>
    </row>
    <row r="892">
      <c r="T892" s="88"/>
      <c r="U892" s="88"/>
    </row>
    <row r="893">
      <c r="T893" s="88"/>
      <c r="U893" s="88"/>
    </row>
    <row r="894">
      <c r="T894" s="88"/>
      <c r="U894" s="88"/>
    </row>
    <row r="895">
      <c r="T895" s="88"/>
      <c r="U895" s="88"/>
    </row>
    <row r="896">
      <c r="T896" s="88"/>
      <c r="U896" s="88"/>
    </row>
    <row r="897">
      <c r="T897" s="88"/>
      <c r="U897" s="88"/>
    </row>
    <row r="898">
      <c r="T898" s="88"/>
      <c r="U898" s="88"/>
    </row>
    <row r="899">
      <c r="T899" s="88"/>
      <c r="U899" s="88"/>
    </row>
    <row r="900">
      <c r="T900" s="88"/>
      <c r="U900" s="88"/>
    </row>
    <row r="901">
      <c r="T901" s="88"/>
      <c r="U901" s="88"/>
    </row>
    <row r="902">
      <c r="T902" s="88"/>
      <c r="U902" s="88"/>
    </row>
    <row r="903">
      <c r="T903" s="88"/>
      <c r="U903" s="88"/>
    </row>
    <row r="904">
      <c r="T904" s="88"/>
      <c r="U904" s="88"/>
    </row>
    <row r="905">
      <c r="T905" s="88"/>
      <c r="U905" s="88"/>
    </row>
    <row r="906">
      <c r="T906" s="88"/>
      <c r="U906" s="88"/>
    </row>
    <row r="907">
      <c r="T907" s="88"/>
      <c r="U907" s="88"/>
    </row>
    <row r="908">
      <c r="T908" s="88"/>
      <c r="U908" s="88"/>
    </row>
    <row r="909">
      <c r="T909" s="88"/>
      <c r="U909" s="88"/>
    </row>
    <row r="910">
      <c r="T910" s="88"/>
      <c r="U910" s="88"/>
    </row>
    <row r="911">
      <c r="T911" s="88"/>
      <c r="U911" s="88"/>
    </row>
    <row r="912">
      <c r="T912" s="88"/>
      <c r="U912" s="88"/>
    </row>
    <row r="913">
      <c r="T913" s="88"/>
      <c r="U913" s="88"/>
    </row>
    <row r="914">
      <c r="T914" s="88"/>
      <c r="U914" s="88"/>
    </row>
    <row r="915">
      <c r="T915" s="88"/>
      <c r="U915" s="88"/>
    </row>
    <row r="916">
      <c r="T916" s="88"/>
      <c r="U916" s="88"/>
    </row>
    <row r="917">
      <c r="T917" s="88"/>
      <c r="U917" s="88"/>
    </row>
    <row r="918">
      <c r="T918" s="88"/>
      <c r="U918" s="88"/>
    </row>
    <row r="919">
      <c r="T919" s="88"/>
      <c r="U919" s="88"/>
    </row>
    <row r="920">
      <c r="T920" s="88"/>
      <c r="U920" s="88"/>
    </row>
    <row r="921">
      <c r="T921" s="88"/>
      <c r="U921" s="88"/>
    </row>
    <row r="922">
      <c r="T922" s="88"/>
      <c r="U922" s="88"/>
    </row>
    <row r="923">
      <c r="T923" s="88"/>
      <c r="U923" s="88"/>
    </row>
    <row r="924">
      <c r="T924" s="88"/>
      <c r="U924" s="88"/>
    </row>
    <row r="925">
      <c r="T925" s="88"/>
      <c r="U925" s="88"/>
    </row>
    <row r="926">
      <c r="T926" s="88"/>
      <c r="U926" s="88"/>
    </row>
    <row r="927">
      <c r="T927" s="88"/>
      <c r="U927" s="88"/>
    </row>
    <row r="928">
      <c r="T928" s="88"/>
      <c r="U928" s="88"/>
    </row>
    <row r="929">
      <c r="T929" s="88"/>
      <c r="U929" s="88"/>
    </row>
    <row r="930">
      <c r="T930" s="88"/>
      <c r="U930" s="88"/>
    </row>
    <row r="931">
      <c r="T931" s="88"/>
      <c r="U931" s="88"/>
    </row>
    <row r="932">
      <c r="T932" s="88"/>
      <c r="U932" s="88"/>
    </row>
    <row r="933">
      <c r="T933" s="88"/>
      <c r="U933" s="88"/>
    </row>
    <row r="934">
      <c r="T934" s="88"/>
      <c r="U934" s="88"/>
    </row>
    <row r="935">
      <c r="T935" s="88"/>
      <c r="U935" s="88"/>
    </row>
    <row r="936">
      <c r="T936" s="88"/>
      <c r="U936" s="88"/>
    </row>
    <row r="937">
      <c r="T937" s="88"/>
      <c r="U937" s="88"/>
    </row>
    <row r="938">
      <c r="T938" s="88"/>
      <c r="U938" s="88"/>
    </row>
    <row r="939">
      <c r="T939" s="88"/>
      <c r="U939" s="88"/>
    </row>
    <row r="940">
      <c r="T940" s="88"/>
      <c r="U940" s="88"/>
    </row>
    <row r="941">
      <c r="T941" s="88"/>
      <c r="U941" s="88"/>
    </row>
    <row r="942">
      <c r="T942" s="88"/>
      <c r="U942" s="88"/>
    </row>
    <row r="943">
      <c r="T943" s="88"/>
      <c r="U943" s="88"/>
    </row>
    <row r="944">
      <c r="T944" s="88"/>
      <c r="U944" s="88"/>
    </row>
    <row r="945">
      <c r="T945" s="88"/>
      <c r="U945" s="88"/>
    </row>
    <row r="946">
      <c r="T946" s="88"/>
      <c r="U946" s="88"/>
    </row>
    <row r="947">
      <c r="T947" s="88"/>
      <c r="U947" s="88"/>
    </row>
    <row r="948">
      <c r="T948" s="88"/>
      <c r="U948" s="88"/>
    </row>
    <row r="949">
      <c r="T949" s="88"/>
      <c r="U949" s="88"/>
    </row>
    <row r="950">
      <c r="T950" s="88"/>
      <c r="U950" s="88"/>
    </row>
    <row r="951">
      <c r="T951" s="88"/>
      <c r="U951" s="88"/>
    </row>
    <row r="952">
      <c r="T952" s="88"/>
      <c r="U952" s="88"/>
    </row>
    <row r="953">
      <c r="T953" s="88"/>
      <c r="U953" s="88"/>
    </row>
    <row r="954">
      <c r="T954" s="88"/>
      <c r="U954" s="88"/>
    </row>
    <row r="955">
      <c r="T955" s="88"/>
      <c r="U955" s="88"/>
    </row>
    <row r="956">
      <c r="T956" s="88"/>
      <c r="U956" s="88"/>
    </row>
    <row r="957">
      <c r="T957" s="88"/>
      <c r="U957" s="88"/>
    </row>
    <row r="958">
      <c r="T958" s="88"/>
      <c r="U958" s="88"/>
    </row>
    <row r="959">
      <c r="T959" s="88"/>
      <c r="U959" s="88"/>
    </row>
    <row r="960">
      <c r="T960" s="88"/>
      <c r="U960" s="88"/>
    </row>
    <row r="961">
      <c r="T961" s="88"/>
      <c r="U961" s="88"/>
    </row>
    <row r="962">
      <c r="T962" s="88"/>
      <c r="U962" s="88"/>
    </row>
    <row r="963">
      <c r="T963" s="88"/>
      <c r="U963" s="88"/>
    </row>
    <row r="964">
      <c r="T964" s="88"/>
      <c r="U964" s="88"/>
    </row>
    <row r="965">
      <c r="T965" s="88"/>
      <c r="U965" s="88"/>
    </row>
    <row r="966">
      <c r="T966" s="88"/>
      <c r="U966" s="88"/>
    </row>
    <row r="967">
      <c r="T967" s="88"/>
      <c r="U967" s="88"/>
    </row>
    <row r="968">
      <c r="T968" s="88"/>
      <c r="U968" s="88"/>
    </row>
    <row r="969">
      <c r="T969" s="88"/>
      <c r="U969" s="88"/>
    </row>
    <row r="970">
      <c r="T970" s="88"/>
      <c r="U970" s="88"/>
    </row>
    <row r="971">
      <c r="T971" s="88"/>
      <c r="U971" s="88"/>
    </row>
    <row r="972">
      <c r="T972" s="88"/>
      <c r="U972" s="88"/>
    </row>
    <row r="973">
      <c r="T973" s="88"/>
      <c r="U973" s="88"/>
    </row>
    <row r="974">
      <c r="T974" s="88"/>
      <c r="U974" s="88"/>
    </row>
    <row r="975">
      <c r="T975" s="88"/>
      <c r="U975" s="88"/>
    </row>
    <row r="976">
      <c r="T976" s="88"/>
      <c r="U976" s="88"/>
    </row>
    <row r="977">
      <c r="T977" s="88"/>
      <c r="U977" s="88"/>
    </row>
    <row r="978">
      <c r="T978" s="88"/>
      <c r="U978" s="88"/>
    </row>
    <row r="979">
      <c r="T979" s="88"/>
      <c r="U979" s="88"/>
    </row>
    <row r="980">
      <c r="T980" s="88"/>
      <c r="U980" s="88"/>
    </row>
    <row r="981">
      <c r="T981" s="88"/>
      <c r="U981" s="88"/>
    </row>
    <row r="982">
      <c r="T982" s="88"/>
      <c r="U982" s="88"/>
    </row>
    <row r="983">
      <c r="T983" s="88"/>
      <c r="U983" s="88"/>
    </row>
    <row r="984">
      <c r="T984" s="88"/>
      <c r="U984" s="88"/>
    </row>
    <row r="985">
      <c r="T985" s="88"/>
      <c r="U985" s="88"/>
    </row>
    <row r="986">
      <c r="T986" s="88"/>
      <c r="U986" s="88"/>
    </row>
    <row r="987">
      <c r="T987" s="88"/>
      <c r="U987" s="88"/>
    </row>
    <row r="988">
      <c r="T988" s="88"/>
      <c r="U988" s="88"/>
    </row>
    <row r="989">
      <c r="T989" s="88"/>
      <c r="U989" s="88"/>
    </row>
    <row r="990">
      <c r="T990" s="88"/>
      <c r="U990" s="88"/>
    </row>
    <row r="991">
      <c r="T991" s="88"/>
      <c r="U991" s="88"/>
    </row>
    <row r="992">
      <c r="T992" s="88"/>
      <c r="U992" s="88"/>
    </row>
    <row r="993">
      <c r="T993" s="88"/>
      <c r="U993" s="88"/>
    </row>
    <row r="994">
      <c r="T994" s="88"/>
      <c r="U994" s="88"/>
    </row>
    <row r="995">
      <c r="T995" s="88"/>
      <c r="U995" s="88"/>
    </row>
    <row r="996">
      <c r="T996" s="88"/>
      <c r="U996" s="88"/>
    </row>
    <row r="997">
      <c r="T997" s="88"/>
      <c r="U997" s="88"/>
    </row>
    <row r="998">
      <c r="T998" s="88"/>
      <c r="U998" s="88"/>
    </row>
    <row r="999">
      <c r="T999" s="88"/>
      <c r="U999" s="88"/>
    </row>
    <row r="1000">
      <c r="T1000" s="88"/>
      <c r="U1000" s="8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88"/>
    <col customWidth="1" min="36" max="36" width="29.25"/>
  </cols>
  <sheetData>
    <row r="1">
      <c r="A1" s="249">
        <v>1.0</v>
      </c>
      <c r="B1" s="250">
        <f>A1+1</f>
        <v>2</v>
      </c>
      <c r="C1" s="250" t="s">
        <v>5695</v>
      </c>
      <c r="D1" s="250">
        <f t="shared" ref="D1:AI1" si="1">C1+1</f>
        <v>2</v>
      </c>
      <c r="E1" s="250">
        <f t="shared" si="1"/>
        <v>3</v>
      </c>
      <c r="F1" s="250">
        <f t="shared" si="1"/>
        <v>4</v>
      </c>
      <c r="G1" s="250">
        <f t="shared" si="1"/>
        <v>5</v>
      </c>
      <c r="H1" s="251">
        <f t="shared" si="1"/>
        <v>6</v>
      </c>
      <c r="I1" s="250">
        <f t="shared" si="1"/>
        <v>7</v>
      </c>
      <c r="J1" s="250">
        <f t="shared" si="1"/>
        <v>8</v>
      </c>
      <c r="K1" s="250">
        <f t="shared" si="1"/>
        <v>9</v>
      </c>
      <c r="L1" s="250">
        <f t="shared" si="1"/>
        <v>10</v>
      </c>
      <c r="M1" s="250">
        <f t="shared" si="1"/>
        <v>11</v>
      </c>
      <c r="N1" s="250">
        <f t="shared" si="1"/>
        <v>12</v>
      </c>
      <c r="O1" s="250">
        <f t="shared" si="1"/>
        <v>13</v>
      </c>
      <c r="P1" s="250">
        <f t="shared" si="1"/>
        <v>14</v>
      </c>
      <c r="Q1" s="250">
        <f t="shared" si="1"/>
        <v>15</v>
      </c>
      <c r="R1" s="250">
        <f t="shared" si="1"/>
        <v>16</v>
      </c>
      <c r="S1" s="250">
        <f t="shared" si="1"/>
        <v>17</v>
      </c>
      <c r="T1" s="250">
        <f t="shared" si="1"/>
        <v>18</v>
      </c>
      <c r="U1" s="250">
        <f t="shared" si="1"/>
        <v>19</v>
      </c>
      <c r="V1" s="250">
        <f t="shared" si="1"/>
        <v>20</v>
      </c>
      <c r="W1" s="250">
        <f t="shared" si="1"/>
        <v>21</v>
      </c>
      <c r="X1" s="250">
        <f t="shared" si="1"/>
        <v>22</v>
      </c>
      <c r="Y1" s="250">
        <f t="shared" si="1"/>
        <v>23</v>
      </c>
      <c r="Z1" s="250">
        <f t="shared" si="1"/>
        <v>24</v>
      </c>
      <c r="AA1" s="250">
        <f t="shared" si="1"/>
        <v>25</v>
      </c>
      <c r="AB1" s="250">
        <f t="shared" si="1"/>
        <v>26</v>
      </c>
      <c r="AC1" s="250">
        <f t="shared" si="1"/>
        <v>27</v>
      </c>
      <c r="AD1" s="250">
        <f t="shared" si="1"/>
        <v>28</v>
      </c>
      <c r="AE1" s="250">
        <f t="shared" si="1"/>
        <v>29</v>
      </c>
      <c r="AF1" s="250">
        <f t="shared" si="1"/>
        <v>30</v>
      </c>
      <c r="AG1" s="250">
        <f t="shared" si="1"/>
        <v>31</v>
      </c>
      <c r="AH1" s="250">
        <f t="shared" si="1"/>
        <v>32</v>
      </c>
      <c r="AI1" s="250">
        <f t="shared" si="1"/>
        <v>33</v>
      </c>
      <c r="AJ1" s="252" t="s">
        <v>4</v>
      </c>
      <c r="AK1" s="252" t="s">
        <v>9</v>
      </c>
      <c r="AL1" s="252"/>
    </row>
    <row r="2">
      <c r="A2" s="253" t="str">
        <f>IFERROR(__xludf.DUMMYFUNCTION("IMPORTRANGE(""https://docs.google.com/spreadsheets/d/1LR__5ROKBkaIcEHxXYak771Ja7zPr-wSzyfHGTyh2vo/edit"", ""Товары qeep!A:AI"")"),"#REF!")</f>
        <v>#REF!</v>
      </c>
      <c r="B2" s="90"/>
      <c r="C2" s="90"/>
      <c r="D2" s="90"/>
      <c r="E2" s="90"/>
      <c r="F2" s="90"/>
      <c r="G2" s="90"/>
      <c r="H2" s="254"/>
      <c r="I2" s="90"/>
      <c r="J2" s="255"/>
      <c r="K2" s="255"/>
      <c r="L2" s="255"/>
      <c r="M2" s="255"/>
      <c r="N2" s="255"/>
      <c r="O2" s="255"/>
      <c r="P2" s="256"/>
      <c r="Q2" s="256"/>
      <c r="R2" s="255"/>
      <c r="S2" s="255"/>
      <c r="T2" s="255"/>
      <c r="U2" s="255"/>
      <c r="V2" s="255"/>
      <c r="W2" s="255"/>
      <c r="X2" s="255"/>
      <c r="Y2" s="255"/>
      <c r="Z2" s="255"/>
      <c r="AA2" s="255"/>
      <c r="AB2" s="255"/>
      <c r="AC2" s="255"/>
      <c r="AD2" s="255"/>
      <c r="AE2" s="255"/>
      <c r="AF2" s="255"/>
      <c r="AG2" s="255"/>
      <c r="AH2" s="257"/>
      <c r="AI2" s="257"/>
      <c r="AJ2" s="258"/>
      <c r="AK2" s="258"/>
      <c r="AL2" s="258"/>
    </row>
    <row r="3">
      <c r="A3" s="255"/>
      <c r="B3" s="115"/>
      <c r="C3" s="259"/>
      <c r="D3" s="259"/>
      <c r="E3" s="102"/>
      <c r="F3" s="102"/>
      <c r="G3" s="102"/>
      <c r="H3" s="260"/>
      <c r="I3" s="259"/>
      <c r="J3" s="77"/>
      <c r="K3" s="115"/>
      <c r="L3" s="77"/>
      <c r="M3" s="115"/>
      <c r="N3" s="77"/>
      <c r="O3" s="115"/>
      <c r="P3" s="71"/>
      <c r="Q3" s="113"/>
      <c r="R3" s="77"/>
      <c r="S3" s="77"/>
      <c r="T3" s="115"/>
      <c r="U3" s="115"/>
      <c r="V3" s="115"/>
      <c r="W3" s="115"/>
      <c r="X3" s="115"/>
      <c r="Y3" s="115"/>
      <c r="Z3" s="115"/>
      <c r="AA3" s="115"/>
      <c r="AB3" s="261"/>
      <c r="AC3" s="115"/>
      <c r="AD3" s="115"/>
      <c r="AE3" s="77"/>
      <c r="AF3" s="115"/>
      <c r="AG3" s="115"/>
      <c r="AH3" s="115"/>
      <c r="AI3" s="262"/>
      <c r="AJ3" s="262"/>
      <c r="AK3" s="263" t="s">
        <v>34</v>
      </c>
      <c r="AL3" s="264"/>
    </row>
    <row r="4" hidden="1">
      <c r="A4" s="123"/>
      <c r="B4" s="122"/>
      <c r="C4" s="147"/>
      <c r="D4" s="102"/>
      <c r="E4" s="265"/>
      <c r="F4" s="265"/>
      <c r="G4" s="265"/>
      <c r="H4" s="266"/>
      <c r="I4" s="265"/>
      <c r="J4" s="123"/>
      <c r="K4" s="123"/>
      <c r="L4" s="123"/>
      <c r="M4" s="123"/>
      <c r="N4" s="123"/>
      <c r="O4" s="123"/>
      <c r="P4" s="121"/>
      <c r="Q4" s="121"/>
      <c r="R4" s="123"/>
      <c r="S4" s="123"/>
      <c r="T4" s="123"/>
      <c r="U4" s="123"/>
      <c r="V4" s="123"/>
      <c r="W4" s="123"/>
      <c r="X4" s="123"/>
      <c r="Y4" s="123"/>
      <c r="Z4" s="123"/>
      <c r="AA4" s="123"/>
      <c r="AB4" s="123"/>
      <c r="AC4" s="123"/>
      <c r="AD4" s="123"/>
      <c r="AE4" s="123"/>
      <c r="AF4" s="123"/>
      <c r="AG4" s="123"/>
      <c r="AH4" s="123"/>
      <c r="AI4" s="123"/>
      <c r="AJ4" s="87"/>
      <c r="AK4" s="267"/>
      <c r="AL4" s="267"/>
    </row>
    <row r="5" hidden="1">
      <c r="A5" s="123"/>
      <c r="B5" s="122"/>
      <c r="C5" s="147"/>
      <c r="D5" s="102"/>
      <c r="E5" s="265"/>
      <c r="F5" s="265"/>
      <c r="G5" s="265"/>
      <c r="H5" s="266"/>
      <c r="I5" s="265"/>
      <c r="J5" s="123"/>
      <c r="K5" s="123"/>
      <c r="L5" s="123"/>
      <c r="M5" s="123"/>
      <c r="N5" s="123"/>
      <c r="O5" s="123"/>
      <c r="P5" s="121"/>
      <c r="Q5" s="121"/>
      <c r="R5" s="123"/>
      <c r="S5" s="123"/>
      <c r="T5" s="123"/>
      <c r="U5" s="123"/>
      <c r="V5" s="123"/>
      <c r="W5" s="123"/>
      <c r="X5" s="123"/>
      <c r="Y5" s="123"/>
      <c r="Z5" s="123"/>
      <c r="AA5" s="123"/>
      <c r="AB5" s="123"/>
      <c r="AC5" s="123"/>
      <c r="AD5" s="123"/>
      <c r="AE5" s="123"/>
      <c r="AF5" s="123"/>
      <c r="AG5" s="123"/>
      <c r="AH5" s="123"/>
      <c r="AI5" s="123"/>
      <c r="AJ5" s="267" t="s">
        <v>54</v>
      </c>
      <c r="AK5" s="267" t="s">
        <v>90</v>
      </c>
      <c r="AL5" s="267"/>
    </row>
    <row r="6" hidden="1">
      <c r="A6" s="123"/>
      <c r="B6" s="122"/>
      <c r="C6" s="147"/>
      <c r="D6" s="102"/>
      <c r="E6" s="265"/>
      <c r="F6" s="265"/>
      <c r="G6" s="265"/>
      <c r="H6" s="266"/>
      <c r="I6" s="265"/>
      <c r="J6" s="123"/>
      <c r="K6" s="123"/>
      <c r="L6" s="123"/>
      <c r="M6" s="123"/>
      <c r="N6" s="123"/>
      <c r="O6" s="123"/>
      <c r="P6" s="121"/>
      <c r="Q6" s="121"/>
      <c r="R6" s="123"/>
      <c r="S6" s="123"/>
      <c r="T6" s="123"/>
      <c r="U6" s="123"/>
      <c r="V6" s="123"/>
      <c r="W6" s="123"/>
      <c r="X6" s="123"/>
      <c r="Y6" s="123"/>
      <c r="Z6" s="123"/>
      <c r="AA6" s="123"/>
      <c r="AB6" s="123"/>
      <c r="AC6" s="123"/>
      <c r="AD6" s="123"/>
      <c r="AE6" s="123"/>
      <c r="AF6" s="123"/>
      <c r="AG6" s="123"/>
      <c r="AH6" s="123"/>
      <c r="AI6" s="123"/>
      <c r="AJ6" s="267">
        <v>4.73683865E8</v>
      </c>
      <c r="AK6" s="267"/>
      <c r="AL6" s="267" t="str">
        <f t="shared" ref="AL6:AL30" si="2">VLOOKUP(AJ6,C:AC,27,0)</f>
        <v>#N/A</v>
      </c>
    </row>
    <row r="7" hidden="1">
      <c r="A7" s="123"/>
      <c r="B7" s="122"/>
      <c r="C7" s="147"/>
      <c r="D7" s="102"/>
      <c r="E7" s="265"/>
      <c r="F7" s="265"/>
      <c r="G7" s="265"/>
      <c r="H7" s="266"/>
      <c r="I7" s="265"/>
      <c r="J7" s="123"/>
      <c r="K7" s="123"/>
      <c r="L7" s="123"/>
      <c r="M7" s="123"/>
      <c r="N7" s="123"/>
      <c r="O7" s="123"/>
      <c r="P7" s="121"/>
      <c r="Q7" s="121"/>
      <c r="R7" s="123"/>
      <c r="S7" s="123"/>
      <c r="T7" s="123"/>
      <c r="U7" s="123"/>
      <c r="V7" s="123"/>
      <c r="W7" s="123"/>
      <c r="X7" s="123"/>
      <c r="Y7" s="123"/>
      <c r="Z7" s="123"/>
      <c r="AA7" s="123"/>
      <c r="AB7" s="123"/>
      <c r="AC7" s="123"/>
      <c r="AD7" s="123"/>
      <c r="AE7" s="123"/>
      <c r="AF7" s="123"/>
      <c r="AG7" s="123"/>
      <c r="AH7" s="123"/>
      <c r="AI7" s="123"/>
      <c r="AJ7" s="267">
        <v>1.6368338E8</v>
      </c>
      <c r="AK7" s="267" t="s">
        <v>167</v>
      </c>
      <c r="AL7" s="267" t="str">
        <f t="shared" si="2"/>
        <v>#N/A</v>
      </c>
    </row>
    <row r="8" hidden="1">
      <c r="A8" s="123"/>
      <c r="B8" s="122"/>
      <c r="C8" s="147"/>
      <c r="D8" s="102"/>
      <c r="E8" s="265"/>
      <c r="F8" s="265"/>
      <c r="G8" s="265"/>
      <c r="H8" s="266"/>
      <c r="I8" s="265"/>
      <c r="J8" s="123"/>
      <c r="K8" s="123"/>
      <c r="L8" s="123"/>
      <c r="M8" s="123"/>
      <c r="N8" s="123"/>
      <c r="O8" s="123"/>
      <c r="P8" s="121"/>
      <c r="Q8" s="121"/>
      <c r="R8" s="123"/>
      <c r="S8" s="123"/>
      <c r="T8" s="123"/>
      <c r="U8" s="123"/>
      <c r="V8" s="123"/>
      <c r="W8" s="123"/>
      <c r="X8" s="123"/>
      <c r="Y8" s="123"/>
      <c r="Z8" s="123"/>
      <c r="AA8" s="123"/>
      <c r="AB8" s="123"/>
      <c r="AC8" s="123"/>
      <c r="AD8" s="123"/>
      <c r="AE8" s="123"/>
      <c r="AF8" s="123"/>
      <c r="AG8" s="123"/>
      <c r="AH8" s="123"/>
      <c r="AI8" s="123"/>
      <c r="AJ8" s="267">
        <v>1.63688556E8</v>
      </c>
      <c r="AK8" s="267" t="s">
        <v>167</v>
      </c>
      <c r="AL8" s="267" t="str">
        <f t="shared" si="2"/>
        <v>#N/A</v>
      </c>
    </row>
    <row r="9" hidden="1">
      <c r="A9" s="123"/>
      <c r="B9" s="122"/>
      <c r="C9" s="147"/>
      <c r="D9" s="102"/>
      <c r="E9" s="265"/>
      <c r="F9" s="265"/>
      <c r="G9" s="265"/>
      <c r="H9" s="266"/>
      <c r="I9" s="265"/>
      <c r="J9" s="123"/>
      <c r="K9" s="123"/>
      <c r="L9" s="123"/>
      <c r="M9" s="123"/>
      <c r="N9" s="123"/>
      <c r="O9" s="123"/>
      <c r="P9" s="121"/>
      <c r="Q9" s="121"/>
      <c r="R9" s="123"/>
      <c r="S9" s="123"/>
      <c r="T9" s="123"/>
      <c r="U9" s="123"/>
      <c r="V9" s="123"/>
      <c r="W9" s="123"/>
      <c r="X9" s="123"/>
      <c r="Y9" s="123"/>
      <c r="Z9" s="123"/>
      <c r="AA9" s="123"/>
      <c r="AB9" s="123"/>
      <c r="AC9" s="123"/>
      <c r="AD9" s="123"/>
      <c r="AE9" s="123"/>
      <c r="AF9" s="123"/>
      <c r="AG9" s="123"/>
      <c r="AH9" s="123"/>
      <c r="AI9" s="123"/>
      <c r="AJ9" s="267">
        <v>2.65523439E8</v>
      </c>
      <c r="AK9" s="267"/>
      <c r="AL9" s="267" t="str">
        <f t="shared" si="2"/>
        <v>#N/A</v>
      </c>
    </row>
    <row r="10" hidden="1">
      <c r="A10" s="123"/>
      <c r="B10" s="122"/>
      <c r="C10" s="147"/>
      <c r="D10" s="102"/>
      <c r="E10" s="265"/>
      <c r="F10" s="265"/>
      <c r="G10" s="265"/>
      <c r="H10" s="266"/>
      <c r="I10" s="265"/>
      <c r="J10" s="123"/>
      <c r="K10" s="123"/>
      <c r="L10" s="123"/>
      <c r="M10" s="123"/>
      <c r="N10" s="123"/>
      <c r="O10" s="123"/>
      <c r="P10" s="121"/>
      <c r="Q10" s="121"/>
      <c r="R10" s="123"/>
      <c r="S10" s="123"/>
      <c r="T10" s="123"/>
      <c r="U10" s="123"/>
      <c r="V10" s="123"/>
      <c r="W10" s="123"/>
      <c r="X10" s="123"/>
      <c r="Y10" s="123"/>
      <c r="Z10" s="123"/>
      <c r="AA10" s="123"/>
      <c r="AB10" s="123"/>
      <c r="AC10" s="123"/>
      <c r="AD10" s="123"/>
      <c r="AE10" s="123"/>
      <c r="AF10" s="123"/>
      <c r="AG10" s="123"/>
      <c r="AH10" s="123"/>
      <c r="AI10" s="123"/>
      <c r="AJ10" s="267">
        <v>1.50253274E8</v>
      </c>
      <c r="AK10" s="267" t="s">
        <v>167</v>
      </c>
      <c r="AL10" s="267" t="str">
        <f t="shared" si="2"/>
        <v>#N/A</v>
      </c>
    </row>
    <row r="11" hidden="1">
      <c r="A11" s="123"/>
      <c r="B11" s="122"/>
      <c r="C11" s="147"/>
      <c r="D11" s="102"/>
      <c r="E11" s="265"/>
      <c r="F11" s="265"/>
      <c r="G11" s="265"/>
      <c r="H11" s="266"/>
      <c r="I11" s="265"/>
      <c r="J11" s="123"/>
      <c r="K11" s="123"/>
      <c r="L11" s="123"/>
      <c r="M11" s="123"/>
      <c r="N11" s="123"/>
      <c r="O11" s="123"/>
      <c r="P11" s="121"/>
      <c r="Q11" s="121"/>
      <c r="R11" s="123"/>
      <c r="S11" s="123"/>
      <c r="T11" s="123"/>
      <c r="U11" s="123"/>
      <c r="V11" s="123"/>
      <c r="W11" s="123"/>
      <c r="X11" s="123"/>
      <c r="Y11" s="123"/>
      <c r="Z11" s="123"/>
      <c r="AA11" s="123"/>
      <c r="AB11" s="123"/>
      <c r="AC11" s="123"/>
      <c r="AD11" s="123"/>
      <c r="AE11" s="123"/>
      <c r="AF11" s="123"/>
      <c r="AG11" s="123"/>
      <c r="AH11" s="123"/>
      <c r="AI11" s="123"/>
      <c r="AJ11" s="267">
        <v>2.32468472E8</v>
      </c>
      <c r="AK11" s="267"/>
      <c r="AL11" s="267" t="str">
        <f t="shared" si="2"/>
        <v>#N/A</v>
      </c>
    </row>
    <row r="12" hidden="1">
      <c r="A12" s="123"/>
      <c r="B12" s="122"/>
      <c r="C12" s="147"/>
      <c r="D12" s="102"/>
      <c r="E12" s="265"/>
      <c r="F12" s="265"/>
      <c r="G12" s="265"/>
      <c r="H12" s="266"/>
      <c r="I12" s="265"/>
      <c r="J12" s="123"/>
      <c r="K12" s="123"/>
      <c r="L12" s="123"/>
      <c r="M12" s="123"/>
      <c r="N12" s="123"/>
      <c r="O12" s="123"/>
      <c r="P12" s="121"/>
      <c r="Q12" s="121"/>
      <c r="R12" s="123"/>
      <c r="S12" s="123"/>
      <c r="T12" s="123"/>
      <c r="U12" s="123"/>
      <c r="V12" s="123"/>
      <c r="W12" s="123"/>
      <c r="X12" s="123"/>
      <c r="Y12" s="123"/>
      <c r="Z12" s="123"/>
      <c r="AA12" s="123"/>
      <c r="AB12" s="123"/>
      <c r="AC12" s="123"/>
      <c r="AD12" s="123"/>
      <c r="AE12" s="123"/>
      <c r="AF12" s="123"/>
      <c r="AG12" s="123"/>
      <c r="AH12" s="123"/>
      <c r="AI12" s="123"/>
      <c r="AJ12" s="267">
        <v>1.50262548E8</v>
      </c>
      <c r="AK12" s="267" t="s">
        <v>167</v>
      </c>
      <c r="AL12" s="267" t="str">
        <f t="shared" si="2"/>
        <v>#N/A</v>
      </c>
    </row>
    <row r="13" hidden="1">
      <c r="A13" s="123"/>
      <c r="B13" s="122"/>
      <c r="C13" s="147"/>
      <c r="D13" s="102"/>
      <c r="E13" s="265"/>
      <c r="F13" s="265"/>
      <c r="G13" s="265"/>
      <c r="H13" s="266"/>
      <c r="I13" s="265"/>
      <c r="J13" s="123"/>
      <c r="K13" s="123"/>
      <c r="L13" s="123"/>
      <c r="M13" s="123"/>
      <c r="N13" s="123"/>
      <c r="O13" s="123"/>
      <c r="P13" s="121"/>
      <c r="Q13" s="121"/>
      <c r="R13" s="123"/>
      <c r="S13" s="123"/>
      <c r="T13" s="123"/>
      <c r="U13" s="123"/>
      <c r="V13" s="123"/>
      <c r="W13" s="123"/>
      <c r="X13" s="123"/>
      <c r="Y13" s="123"/>
      <c r="Z13" s="123"/>
      <c r="AA13" s="123"/>
      <c r="AB13" s="123"/>
      <c r="AC13" s="123"/>
      <c r="AD13" s="123"/>
      <c r="AE13" s="123"/>
      <c r="AF13" s="123"/>
      <c r="AG13" s="123"/>
      <c r="AH13" s="123"/>
      <c r="AI13" s="123"/>
      <c r="AJ13" s="267">
        <v>1.63687757E8</v>
      </c>
      <c r="AK13" s="267" t="s">
        <v>167</v>
      </c>
      <c r="AL13" s="267" t="str">
        <f t="shared" si="2"/>
        <v>#N/A</v>
      </c>
    </row>
    <row r="14" hidden="1">
      <c r="A14" s="123"/>
      <c r="B14" s="122"/>
      <c r="C14" s="147"/>
      <c r="D14" s="102"/>
      <c r="E14" s="265"/>
      <c r="F14" s="265"/>
      <c r="G14" s="265"/>
      <c r="H14" s="266"/>
      <c r="I14" s="265"/>
      <c r="J14" s="123"/>
      <c r="K14" s="123"/>
      <c r="L14" s="123"/>
      <c r="M14" s="123"/>
      <c r="N14" s="123"/>
      <c r="O14" s="123"/>
      <c r="P14" s="121"/>
      <c r="Q14" s="121"/>
      <c r="R14" s="123"/>
      <c r="S14" s="123"/>
      <c r="T14" s="123"/>
      <c r="U14" s="123"/>
      <c r="V14" s="123"/>
      <c r="W14" s="123"/>
      <c r="X14" s="123"/>
      <c r="Y14" s="123"/>
      <c r="Z14" s="123"/>
      <c r="AA14" s="123"/>
      <c r="AB14" s="123"/>
      <c r="AC14" s="123"/>
      <c r="AD14" s="123"/>
      <c r="AE14" s="123"/>
      <c r="AF14" s="123"/>
      <c r="AG14" s="123"/>
      <c r="AH14" s="123"/>
      <c r="AI14" s="123"/>
      <c r="AJ14" s="267">
        <v>2.32465954E8</v>
      </c>
      <c r="AK14" s="267"/>
      <c r="AL14" s="267" t="str">
        <f t="shared" si="2"/>
        <v>#N/A</v>
      </c>
    </row>
    <row r="15" hidden="1">
      <c r="A15" s="123"/>
      <c r="B15" s="122"/>
      <c r="C15" s="147"/>
      <c r="D15" s="102"/>
      <c r="E15" s="265"/>
      <c r="F15" s="265"/>
      <c r="G15" s="265"/>
      <c r="H15" s="266"/>
      <c r="I15" s="265"/>
      <c r="J15" s="123"/>
      <c r="K15" s="123"/>
      <c r="L15" s="123"/>
      <c r="M15" s="123"/>
      <c r="N15" s="123"/>
      <c r="O15" s="123"/>
      <c r="P15" s="121"/>
      <c r="Q15" s="121"/>
      <c r="R15" s="123"/>
      <c r="S15" s="123"/>
      <c r="T15" s="123"/>
      <c r="U15" s="123"/>
      <c r="V15" s="123"/>
      <c r="W15" s="123"/>
      <c r="X15" s="123"/>
      <c r="Y15" s="123"/>
      <c r="Z15" s="123"/>
      <c r="AA15" s="123"/>
      <c r="AB15" s="123"/>
      <c r="AC15" s="123"/>
      <c r="AD15" s="123"/>
      <c r="AE15" s="123"/>
      <c r="AF15" s="123"/>
      <c r="AG15" s="123"/>
      <c r="AH15" s="123"/>
      <c r="AI15" s="123"/>
      <c r="AJ15" s="267">
        <v>3.77788941E8</v>
      </c>
      <c r="AK15" s="267"/>
      <c r="AL15" s="267" t="str">
        <f t="shared" si="2"/>
        <v>#N/A</v>
      </c>
    </row>
    <row r="16" hidden="1">
      <c r="A16" s="123"/>
      <c r="B16" s="122"/>
      <c r="C16" s="147"/>
      <c r="D16" s="102"/>
      <c r="E16" s="265"/>
      <c r="F16" s="265"/>
      <c r="G16" s="265"/>
      <c r="H16" s="266"/>
      <c r="I16" s="265"/>
      <c r="J16" s="123"/>
      <c r="K16" s="123"/>
      <c r="L16" s="123"/>
      <c r="M16" s="123"/>
      <c r="N16" s="123"/>
      <c r="O16" s="123"/>
      <c r="P16" s="121"/>
      <c r="Q16" s="121"/>
      <c r="R16" s="123"/>
      <c r="S16" s="123"/>
      <c r="T16" s="123"/>
      <c r="U16" s="123"/>
      <c r="V16" s="123"/>
      <c r="W16" s="123"/>
      <c r="X16" s="123"/>
      <c r="Y16" s="123"/>
      <c r="Z16" s="123"/>
      <c r="AA16" s="123"/>
      <c r="AB16" s="123"/>
      <c r="AC16" s="123"/>
      <c r="AD16" s="123"/>
      <c r="AE16" s="123"/>
      <c r="AF16" s="123"/>
      <c r="AG16" s="123"/>
      <c r="AH16" s="123"/>
      <c r="AI16" s="123"/>
      <c r="AJ16" s="267">
        <v>4.49423638E8</v>
      </c>
      <c r="AK16" s="267"/>
      <c r="AL16" s="267" t="str">
        <f t="shared" si="2"/>
        <v>#N/A</v>
      </c>
    </row>
    <row r="17" hidden="1">
      <c r="A17" s="123"/>
      <c r="B17" s="122"/>
      <c r="C17" s="147"/>
      <c r="D17" s="102"/>
      <c r="E17" s="265"/>
      <c r="F17" s="265"/>
      <c r="G17" s="265"/>
      <c r="H17" s="266"/>
      <c r="I17" s="265"/>
      <c r="J17" s="123"/>
      <c r="K17" s="123"/>
      <c r="L17" s="123"/>
      <c r="M17" s="123"/>
      <c r="N17" s="123"/>
      <c r="O17" s="123"/>
      <c r="P17" s="121"/>
      <c r="Q17" s="121"/>
      <c r="R17" s="123"/>
      <c r="S17" s="123"/>
      <c r="T17" s="123"/>
      <c r="U17" s="123"/>
      <c r="V17" s="123"/>
      <c r="W17" s="123"/>
      <c r="X17" s="123"/>
      <c r="Y17" s="123"/>
      <c r="Z17" s="123"/>
      <c r="AA17" s="123"/>
      <c r="AB17" s="123"/>
      <c r="AC17" s="123"/>
      <c r="AD17" s="123"/>
      <c r="AE17" s="123"/>
      <c r="AF17" s="123"/>
      <c r="AG17" s="123"/>
      <c r="AH17" s="123"/>
      <c r="AI17" s="123"/>
      <c r="AJ17" s="267">
        <v>2.68884161E8</v>
      </c>
      <c r="AK17" s="267"/>
      <c r="AL17" s="267" t="str">
        <f t="shared" si="2"/>
        <v>#N/A</v>
      </c>
    </row>
    <row r="18" hidden="1">
      <c r="A18" s="123"/>
      <c r="B18" s="122"/>
      <c r="C18" s="147"/>
      <c r="D18" s="102"/>
      <c r="E18" s="265"/>
      <c r="F18" s="265"/>
      <c r="G18" s="265"/>
      <c r="H18" s="266"/>
      <c r="I18" s="265"/>
      <c r="J18" s="123"/>
      <c r="K18" s="123"/>
      <c r="L18" s="123"/>
      <c r="M18" s="123"/>
      <c r="N18" s="123"/>
      <c r="O18" s="123"/>
      <c r="P18" s="121"/>
      <c r="Q18" s="121"/>
      <c r="R18" s="123"/>
      <c r="S18" s="123"/>
      <c r="T18" s="123"/>
      <c r="U18" s="123"/>
      <c r="V18" s="123"/>
      <c r="W18" s="123"/>
      <c r="X18" s="123"/>
      <c r="Y18" s="123"/>
      <c r="Z18" s="123"/>
      <c r="AA18" s="123"/>
      <c r="AB18" s="123"/>
      <c r="AC18" s="123"/>
      <c r="AD18" s="123"/>
      <c r="AE18" s="123"/>
      <c r="AF18" s="123"/>
      <c r="AG18" s="123"/>
      <c r="AH18" s="123"/>
      <c r="AI18" s="123"/>
      <c r="AJ18" s="267">
        <v>4.32821274E8</v>
      </c>
      <c r="AK18" s="267"/>
      <c r="AL18" s="267" t="str">
        <f t="shared" si="2"/>
        <v>#N/A</v>
      </c>
    </row>
    <row r="19" hidden="1">
      <c r="A19" s="255"/>
      <c r="B19" s="115"/>
      <c r="C19" s="259"/>
      <c r="D19" s="259"/>
      <c r="E19" s="102"/>
      <c r="F19" s="102"/>
      <c r="G19" s="102"/>
      <c r="H19" s="260"/>
      <c r="I19" s="259"/>
      <c r="J19" s="77"/>
      <c r="K19" s="115"/>
      <c r="L19" s="77"/>
      <c r="M19" s="115"/>
      <c r="N19" s="77"/>
      <c r="O19" s="115"/>
      <c r="P19" s="71"/>
      <c r="Q19" s="113"/>
      <c r="R19" s="77"/>
      <c r="S19" s="77"/>
      <c r="T19" s="115"/>
      <c r="U19" s="115"/>
      <c r="V19" s="115"/>
      <c r="W19" s="115"/>
      <c r="X19" s="115"/>
      <c r="Y19" s="115"/>
      <c r="Z19" s="115"/>
      <c r="AA19" s="115"/>
      <c r="AB19" s="261"/>
      <c r="AC19" s="115"/>
      <c r="AD19" s="115"/>
      <c r="AE19" s="77"/>
      <c r="AF19" s="115"/>
      <c r="AG19" s="115"/>
      <c r="AH19" s="115"/>
      <c r="AI19" s="262"/>
      <c r="AJ19" s="264">
        <v>1.38757897E8</v>
      </c>
      <c r="AK19" s="264" t="s">
        <v>399</v>
      </c>
      <c r="AL19" s="267" t="str">
        <f t="shared" si="2"/>
        <v>#N/A</v>
      </c>
    </row>
    <row r="20" hidden="1">
      <c r="A20" s="123"/>
      <c r="B20" s="122"/>
      <c r="C20" s="147"/>
      <c r="D20" s="102"/>
      <c r="E20" s="265"/>
      <c r="F20" s="265"/>
      <c r="G20" s="265"/>
      <c r="H20" s="266"/>
      <c r="I20" s="265"/>
      <c r="J20" s="123"/>
      <c r="K20" s="123"/>
      <c r="L20" s="123"/>
      <c r="M20" s="123"/>
      <c r="N20" s="123"/>
      <c r="O20" s="123"/>
      <c r="P20" s="121"/>
      <c r="Q20" s="121"/>
      <c r="R20" s="123"/>
      <c r="S20" s="123"/>
      <c r="T20" s="123"/>
      <c r="U20" s="123"/>
      <c r="V20" s="123"/>
      <c r="W20" s="123"/>
      <c r="X20" s="123"/>
      <c r="Y20" s="123"/>
      <c r="Z20" s="123"/>
      <c r="AA20" s="123"/>
      <c r="AB20" s="123"/>
      <c r="AC20" s="123"/>
      <c r="AD20" s="123"/>
      <c r="AE20" s="123"/>
      <c r="AF20" s="123"/>
      <c r="AG20" s="123"/>
      <c r="AH20" s="123"/>
      <c r="AI20" s="123"/>
      <c r="AJ20" s="267">
        <v>2.93062934E8</v>
      </c>
      <c r="AK20" s="267"/>
      <c r="AL20" s="267" t="str">
        <f t="shared" si="2"/>
        <v>#N/A</v>
      </c>
    </row>
    <row r="21" hidden="1">
      <c r="A21" s="123"/>
      <c r="B21" s="122"/>
      <c r="C21" s="147"/>
      <c r="D21" s="102"/>
      <c r="E21" s="265"/>
      <c r="F21" s="265"/>
      <c r="G21" s="265"/>
      <c r="H21" s="266"/>
      <c r="I21" s="265"/>
      <c r="J21" s="123"/>
      <c r="K21" s="123"/>
      <c r="L21" s="123"/>
      <c r="M21" s="123"/>
      <c r="N21" s="123"/>
      <c r="O21" s="123"/>
      <c r="P21" s="121"/>
      <c r="Q21" s="121"/>
      <c r="R21" s="123"/>
      <c r="S21" s="123"/>
      <c r="T21" s="123"/>
      <c r="U21" s="123"/>
      <c r="V21" s="123"/>
      <c r="W21" s="123"/>
      <c r="X21" s="123"/>
      <c r="Y21" s="123"/>
      <c r="Z21" s="123"/>
      <c r="AA21" s="123"/>
      <c r="AB21" s="123"/>
      <c r="AC21" s="123"/>
      <c r="AD21" s="123"/>
      <c r="AE21" s="123"/>
      <c r="AF21" s="123"/>
      <c r="AG21" s="123"/>
      <c r="AH21" s="123"/>
      <c r="AI21" s="123"/>
      <c r="AJ21" s="267">
        <v>4.32841134E8</v>
      </c>
      <c r="AK21" s="267"/>
      <c r="AL21" s="267" t="str">
        <f t="shared" si="2"/>
        <v>#N/A</v>
      </c>
    </row>
    <row r="22" hidden="1">
      <c r="A22" s="123"/>
      <c r="B22" s="122"/>
      <c r="C22" s="147"/>
      <c r="D22" s="102"/>
      <c r="E22" s="265"/>
      <c r="F22" s="265"/>
      <c r="G22" s="265"/>
      <c r="H22" s="266"/>
      <c r="I22" s="265"/>
      <c r="J22" s="123"/>
      <c r="K22" s="123"/>
      <c r="L22" s="123"/>
      <c r="M22" s="123"/>
      <c r="N22" s="123"/>
      <c r="O22" s="123"/>
      <c r="P22" s="121"/>
      <c r="Q22" s="121"/>
      <c r="R22" s="123"/>
      <c r="S22" s="123"/>
      <c r="T22" s="123"/>
      <c r="U22" s="123"/>
      <c r="V22" s="123"/>
      <c r="W22" s="123"/>
      <c r="X22" s="123"/>
      <c r="Y22" s="123"/>
      <c r="Z22" s="123"/>
      <c r="AA22" s="123"/>
      <c r="AB22" s="123"/>
      <c r="AC22" s="123"/>
      <c r="AD22" s="123"/>
      <c r="AE22" s="123"/>
      <c r="AF22" s="123"/>
      <c r="AG22" s="123"/>
      <c r="AH22" s="123"/>
      <c r="AI22" s="123"/>
      <c r="AJ22" s="267">
        <v>3.0787453E8</v>
      </c>
      <c r="AK22" s="267"/>
      <c r="AL22" s="267" t="str">
        <f t="shared" si="2"/>
        <v>#N/A</v>
      </c>
    </row>
    <row r="23" hidden="1">
      <c r="A23" s="123"/>
      <c r="B23" s="122"/>
      <c r="C23" s="147"/>
      <c r="D23" s="102"/>
      <c r="E23" s="265"/>
      <c r="F23" s="265"/>
      <c r="G23" s="265"/>
      <c r="H23" s="266"/>
      <c r="I23" s="265"/>
      <c r="J23" s="123"/>
      <c r="K23" s="123"/>
      <c r="L23" s="123"/>
      <c r="M23" s="123"/>
      <c r="N23" s="123"/>
      <c r="O23" s="123"/>
      <c r="P23" s="121"/>
      <c r="Q23" s="121"/>
      <c r="R23" s="123"/>
      <c r="S23" s="123"/>
      <c r="T23" s="123"/>
      <c r="U23" s="123"/>
      <c r="V23" s="123"/>
      <c r="W23" s="123"/>
      <c r="X23" s="123"/>
      <c r="Y23" s="123"/>
      <c r="Z23" s="123"/>
      <c r="AA23" s="123"/>
      <c r="AB23" s="123"/>
      <c r="AC23" s="123"/>
      <c r="AD23" s="123"/>
      <c r="AE23" s="123"/>
      <c r="AF23" s="123"/>
      <c r="AG23" s="123"/>
      <c r="AH23" s="123"/>
      <c r="AI23" s="123"/>
      <c r="AJ23" s="267">
        <v>2.76247301E8</v>
      </c>
      <c r="AK23" s="267"/>
      <c r="AL23" s="267" t="str">
        <f t="shared" si="2"/>
        <v>#N/A</v>
      </c>
    </row>
    <row r="24" hidden="1">
      <c r="A24" s="123"/>
      <c r="B24" s="122"/>
      <c r="C24" s="147"/>
      <c r="D24" s="102"/>
      <c r="E24" s="265"/>
      <c r="F24" s="265"/>
      <c r="G24" s="265"/>
      <c r="H24" s="266"/>
      <c r="I24" s="265"/>
      <c r="J24" s="123"/>
      <c r="K24" s="123"/>
      <c r="L24" s="123"/>
      <c r="M24" s="123"/>
      <c r="N24" s="123"/>
      <c r="O24" s="123"/>
      <c r="P24" s="121"/>
      <c r="Q24" s="121"/>
      <c r="R24" s="123"/>
      <c r="S24" s="123"/>
      <c r="T24" s="123"/>
      <c r="U24" s="123"/>
      <c r="V24" s="123"/>
      <c r="W24" s="123"/>
      <c r="X24" s="123"/>
      <c r="Y24" s="123"/>
      <c r="Z24" s="123"/>
      <c r="AA24" s="123"/>
      <c r="AB24" s="123"/>
      <c r="AC24" s="123"/>
      <c r="AD24" s="123"/>
      <c r="AE24" s="123"/>
      <c r="AF24" s="123"/>
      <c r="AG24" s="123"/>
      <c r="AH24" s="123"/>
      <c r="AI24" s="123"/>
      <c r="AJ24" s="267">
        <v>1.98421782E8</v>
      </c>
      <c r="AK24" s="267"/>
      <c r="AL24" s="267" t="str">
        <f t="shared" si="2"/>
        <v>#N/A</v>
      </c>
    </row>
    <row r="25" hidden="1">
      <c r="A25" s="123"/>
      <c r="B25" s="122"/>
      <c r="C25" s="147"/>
      <c r="D25" s="102"/>
      <c r="E25" s="265"/>
      <c r="F25" s="265"/>
      <c r="G25" s="265"/>
      <c r="H25" s="266"/>
      <c r="I25" s="265"/>
      <c r="J25" s="123"/>
      <c r="K25" s="123"/>
      <c r="L25" s="123"/>
      <c r="M25" s="123"/>
      <c r="N25" s="123"/>
      <c r="O25" s="123"/>
      <c r="P25" s="121"/>
      <c r="Q25" s="121"/>
      <c r="R25" s="123"/>
      <c r="S25" s="123"/>
      <c r="T25" s="123"/>
      <c r="U25" s="123"/>
      <c r="V25" s="123"/>
      <c r="W25" s="123"/>
      <c r="X25" s="123"/>
      <c r="Y25" s="123"/>
      <c r="Z25" s="123"/>
      <c r="AA25" s="123"/>
      <c r="AB25" s="123"/>
      <c r="AC25" s="123"/>
      <c r="AD25" s="123"/>
      <c r="AE25" s="123"/>
      <c r="AF25" s="123"/>
      <c r="AG25" s="123"/>
      <c r="AH25" s="123"/>
      <c r="AI25" s="123"/>
      <c r="AJ25" s="267">
        <v>1.42963712E8</v>
      </c>
      <c r="AK25" s="267"/>
      <c r="AL25" s="267" t="str">
        <f t="shared" si="2"/>
        <v>#N/A</v>
      </c>
    </row>
    <row r="26" hidden="1">
      <c r="A26" s="123"/>
      <c r="B26" s="122"/>
      <c r="C26" s="147"/>
      <c r="D26" s="102"/>
      <c r="E26" s="265"/>
      <c r="F26" s="265"/>
      <c r="G26" s="265"/>
      <c r="H26" s="266"/>
      <c r="I26" s="265"/>
      <c r="J26" s="123"/>
      <c r="K26" s="123"/>
      <c r="L26" s="123"/>
      <c r="M26" s="123"/>
      <c r="N26" s="123"/>
      <c r="O26" s="123"/>
      <c r="P26" s="121"/>
      <c r="Q26" s="121"/>
      <c r="R26" s="123"/>
      <c r="S26" s="123"/>
      <c r="T26" s="123"/>
      <c r="U26" s="123"/>
      <c r="V26" s="123"/>
      <c r="W26" s="123"/>
      <c r="X26" s="123"/>
      <c r="Y26" s="123"/>
      <c r="Z26" s="123"/>
      <c r="AA26" s="123"/>
      <c r="AB26" s="123"/>
      <c r="AC26" s="123"/>
      <c r="AD26" s="123"/>
      <c r="AE26" s="123"/>
      <c r="AF26" s="123"/>
      <c r="AG26" s="123"/>
      <c r="AH26" s="123"/>
      <c r="AI26" s="123"/>
      <c r="AJ26" s="267">
        <v>1.67680087E8</v>
      </c>
      <c r="AK26" s="267"/>
      <c r="AL26" s="267" t="str">
        <f t="shared" si="2"/>
        <v>#N/A</v>
      </c>
    </row>
    <row r="27" hidden="1">
      <c r="A27" s="123"/>
      <c r="B27" s="122"/>
      <c r="C27" s="147"/>
      <c r="D27" s="102"/>
      <c r="E27" s="265"/>
      <c r="F27" s="265"/>
      <c r="G27" s="265"/>
      <c r="H27" s="266"/>
      <c r="I27" s="265"/>
      <c r="J27" s="123"/>
      <c r="K27" s="123"/>
      <c r="L27" s="123"/>
      <c r="M27" s="123"/>
      <c r="N27" s="123"/>
      <c r="O27" s="123"/>
      <c r="P27" s="121"/>
      <c r="Q27" s="121"/>
      <c r="R27" s="123"/>
      <c r="S27" s="123"/>
      <c r="T27" s="123"/>
      <c r="U27" s="123"/>
      <c r="V27" s="123"/>
      <c r="W27" s="123"/>
      <c r="X27" s="123"/>
      <c r="Y27" s="123"/>
      <c r="Z27" s="123"/>
      <c r="AA27" s="123"/>
      <c r="AB27" s="123"/>
      <c r="AC27" s="123"/>
      <c r="AD27" s="123"/>
      <c r="AE27" s="123"/>
      <c r="AF27" s="123"/>
      <c r="AG27" s="123"/>
      <c r="AH27" s="123"/>
      <c r="AI27" s="123"/>
      <c r="AJ27" s="267">
        <v>1.88493994E8</v>
      </c>
      <c r="AK27" s="267" t="s">
        <v>546</v>
      </c>
      <c r="AL27" s="267" t="str">
        <f t="shared" si="2"/>
        <v>#N/A</v>
      </c>
    </row>
    <row r="28" hidden="1">
      <c r="A28" s="123"/>
      <c r="B28" s="122"/>
      <c r="C28" s="147"/>
      <c r="D28" s="102"/>
      <c r="E28" s="265"/>
      <c r="F28" s="265"/>
      <c r="G28" s="265"/>
      <c r="H28" s="266"/>
      <c r="I28" s="265"/>
      <c r="J28" s="123"/>
      <c r="K28" s="123"/>
      <c r="L28" s="123"/>
      <c r="M28" s="123"/>
      <c r="N28" s="123"/>
      <c r="O28" s="123"/>
      <c r="P28" s="121"/>
      <c r="Q28" s="121"/>
      <c r="R28" s="123"/>
      <c r="S28" s="123"/>
      <c r="T28" s="123"/>
      <c r="U28" s="123"/>
      <c r="V28" s="123"/>
      <c r="W28" s="123"/>
      <c r="X28" s="123"/>
      <c r="Y28" s="123"/>
      <c r="Z28" s="123"/>
      <c r="AA28" s="123"/>
      <c r="AB28" s="123"/>
      <c r="AC28" s="123"/>
      <c r="AD28" s="123"/>
      <c r="AE28" s="123"/>
      <c r="AF28" s="123"/>
      <c r="AG28" s="123"/>
      <c r="AH28" s="123"/>
      <c r="AI28" s="123"/>
      <c r="AJ28" s="267">
        <v>1.8860269E8</v>
      </c>
      <c r="AK28" s="267" t="s">
        <v>560</v>
      </c>
      <c r="AL28" s="267" t="str">
        <f t="shared" si="2"/>
        <v>#N/A</v>
      </c>
    </row>
    <row r="29" hidden="1">
      <c r="A29" s="123"/>
      <c r="B29" s="122"/>
      <c r="C29" s="147"/>
      <c r="D29" s="102"/>
      <c r="E29" s="265"/>
      <c r="F29" s="265"/>
      <c r="G29" s="265"/>
      <c r="H29" s="266"/>
      <c r="I29" s="265"/>
      <c r="J29" s="123"/>
      <c r="K29" s="123"/>
      <c r="L29" s="123"/>
      <c r="M29" s="123"/>
      <c r="N29" s="123"/>
      <c r="O29" s="123"/>
      <c r="P29" s="121"/>
      <c r="Q29" s="121"/>
      <c r="R29" s="123"/>
      <c r="S29" s="123"/>
      <c r="T29" s="123"/>
      <c r="U29" s="123"/>
      <c r="V29" s="123"/>
      <c r="W29" s="123"/>
      <c r="X29" s="123"/>
      <c r="Y29" s="123"/>
      <c r="Z29" s="123"/>
      <c r="AA29" s="123"/>
      <c r="AB29" s="123"/>
      <c r="AC29" s="123"/>
      <c r="AD29" s="123"/>
      <c r="AE29" s="123"/>
      <c r="AF29" s="123"/>
      <c r="AG29" s="123"/>
      <c r="AH29" s="123"/>
      <c r="AI29" s="123"/>
      <c r="AJ29" s="267">
        <v>5.49551191E8</v>
      </c>
      <c r="AK29" s="267"/>
      <c r="AL29" s="267" t="str">
        <f t="shared" si="2"/>
        <v>#N/A</v>
      </c>
    </row>
    <row r="30" hidden="1">
      <c r="A30" s="123"/>
      <c r="B30" s="122"/>
      <c r="C30" s="147"/>
      <c r="D30" s="102"/>
      <c r="E30" s="265"/>
      <c r="F30" s="265"/>
      <c r="G30" s="265"/>
      <c r="H30" s="266"/>
      <c r="I30" s="265"/>
      <c r="J30" s="123"/>
      <c r="K30" s="123"/>
      <c r="L30" s="123"/>
      <c r="M30" s="123"/>
      <c r="N30" s="123"/>
      <c r="O30" s="123"/>
      <c r="P30" s="121"/>
      <c r="Q30" s="121"/>
      <c r="R30" s="123"/>
      <c r="S30" s="123"/>
      <c r="T30" s="123"/>
      <c r="U30" s="123"/>
      <c r="V30" s="123"/>
      <c r="W30" s="123"/>
      <c r="X30" s="123"/>
      <c r="Y30" s="123"/>
      <c r="Z30" s="123"/>
      <c r="AA30" s="123"/>
      <c r="AB30" s="123"/>
      <c r="AC30" s="123"/>
      <c r="AD30" s="123"/>
      <c r="AE30" s="123"/>
      <c r="AF30" s="123"/>
      <c r="AG30" s="123"/>
      <c r="AH30" s="123"/>
      <c r="AI30" s="123"/>
      <c r="AJ30" s="267">
        <v>5.49611709E8</v>
      </c>
      <c r="AK30" s="267"/>
      <c r="AL30" s="267" t="str">
        <f t="shared" si="2"/>
        <v>#N/A</v>
      </c>
    </row>
    <row r="31" hidden="1">
      <c r="A31" s="123"/>
      <c r="B31" s="122"/>
      <c r="C31" s="147"/>
      <c r="D31" s="102"/>
      <c r="E31" s="265"/>
      <c r="F31" s="265"/>
      <c r="G31" s="265"/>
      <c r="H31" s="266"/>
      <c r="I31" s="265"/>
      <c r="J31" s="123"/>
      <c r="K31" s="123"/>
      <c r="L31" s="123"/>
      <c r="M31" s="123"/>
      <c r="N31" s="123"/>
      <c r="O31" s="123"/>
      <c r="P31" s="121"/>
      <c r="Q31" s="121"/>
      <c r="R31" s="123"/>
      <c r="S31" s="123"/>
      <c r="T31" s="123"/>
      <c r="U31" s="123"/>
      <c r="V31" s="123"/>
      <c r="W31" s="123"/>
      <c r="X31" s="123"/>
      <c r="Y31" s="123"/>
      <c r="Z31" s="123"/>
      <c r="AA31" s="123"/>
      <c r="AB31" s="123"/>
      <c r="AC31" s="123"/>
      <c r="AD31" s="123"/>
      <c r="AE31" s="123"/>
      <c r="AF31" s="123"/>
      <c r="AG31" s="123"/>
      <c r="AH31" s="123"/>
      <c r="AI31" s="123"/>
      <c r="AJ31" s="267">
        <v>5.59173569E8</v>
      </c>
      <c r="AK31" s="267"/>
      <c r="AL31" s="267"/>
    </row>
    <row r="32" hidden="1">
      <c r="A32" s="123"/>
      <c r="B32" s="122"/>
      <c r="C32" s="147"/>
      <c r="D32" s="102"/>
      <c r="E32" s="265"/>
      <c r="F32" s="265"/>
      <c r="G32" s="265"/>
      <c r="H32" s="266"/>
      <c r="I32" s="265"/>
      <c r="J32" s="123"/>
      <c r="K32" s="123"/>
      <c r="L32" s="123"/>
      <c r="M32" s="123"/>
      <c r="N32" s="123"/>
      <c r="O32" s="123"/>
      <c r="P32" s="121"/>
      <c r="Q32" s="121"/>
      <c r="R32" s="123"/>
      <c r="S32" s="123"/>
      <c r="T32" s="123"/>
      <c r="U32" s="123"/>
      <c r="V32" s="123"/>
      <c r="W32" s="123"/>
      <c r="X32" s="123"/>
      <c r="Y32" s="123"/>
      <c r="Z32" s="123"/>
      <c r="AA32" s="123"/>
      <c r="AB32" s="123"/>
      <c r="AC32" s="123"/>
      <c r="AD32" s="123"/>
      <c r="AE32" s="123"/>
      <c r="AF32" s="123"/>
      <c r="AG32" s="123"/>
      <c r="AH32" s="123"/>
      <c r="AI32" s="123"/>
      <c r="AJ32" s="267">
        <v>5.5922502E8</v>
      </c>
      <c r="AK32" s="267"/>
      <c r="AL32" s="267"/>
    </row>
    <row r="33" hidden="1">
      <c r="A33" s="123"/>
      <c r="B33" s="122"/>
      <c r="C33" s="147"/>
      <c r="D33" s="102"/>
      <c r="E33" s="265"/>
      <c r="F33" s="265"/>
      <c r="G33" s="265"/>
      <c r="H33" s="266"/>
      <c r="I33" s="265"/>
      <c r="J33" s="123"/>
      <c r="K33" s="123"/>
      <c r="L33" s="123"/>
      <c r="M33" s="123"/>
      <c r="N33" s="123"/>
      <c r="O33" s="123"/>
      <c r="P33" s="121"/>
      <c r="Q33" s="121"/>
      <c r="R33" s="123"/>
      <c r="S33" s="123"/>
      <c r="T33" s="123"/>
      <c r="U33" s="123"/>
      <c r="V33" s="123"/>
      <c r="W33" s="123"/>
      <c r="X33" s="123"/>
      <c r="Y33" s="123"/>
      <c r="Z33" s="123"/>
      <c r="AA33" s="123"/>
      <c r="AB33" s="123"/>
      <c r="AC33" s="123"/>
      <c r="AD33" s="123"/>
      <c r="AE33" s="123"/>
      <c r="AF33" s="123"/>
      <c r="AG33" s="123"/>
      <c r="AH33" s="123"/>
      <c r="AI33" s="123"/>
      <c r="AJ33" s="267">
        <v>5.6866731E8</v>
      </c>
      <c r="AK33" s="267"/>
      <c r="AL33" s="267"/>
    </row>
    <row r="34" hidden="1">
      <c r="A34" s="123"/>
      <c r="B34" s="122"/>
      <c r="C34" s="147"/>
      <c r="D34" s="102"/>
      <c r="E34" s="265"/>
      <c r="F34" s="265"/>
      <c r="G34" s="265"/>
      <c r="H34" s="266"/>
      <c r="I34" s="265"/>
      <c r="J34" s="123"/>
      <c r="K34" s="123"/>
      <c r="L34" s="123"/>
      <c r="M34" s="123"/>
      <c r="N34" s="123"/>
      <c r="O34" s="123"/>
      <c r="P34" s="121"/>
      <c r="Q34" s="121"/>
      <c r="R34" s="123"/>
      <c r="S34" s="123"/>
      <c r="T34" s="123"/>
      <c r="U34" s="123"/>
      <c r="V34" s="123"/>
      <c r="W34" s="123"/>
      <c r="X34" s="123"/>
      <c r="Y34" s="123"/>
      <c r="Z34" s="123"/>
      <c r="AA34" s="123"/>
      <c r="AB34" s="123"/>
      <c r="AC34" s="123"/>
      <c r="AD34" s="123"/>
      <c r="AE34" s="123"/>
      <c r="AF34" s="123"/>
      <c r="AG34" s="123"/>
      <c r="AH34" s="123"/>
      <c r="AI34" s="123"/>
      <c r="AJ34" s="267">
        <v>5.88937927E8</v>
      </c>
      <c r="AK34" s="267"/>
      <c r="AL34" s="267"/>
    </row>
    <row r="35" hidden="1">
      <c r="A35" s="90"/>
      <c r="B35" s="259"/>
      <c r="C35" s="259"/>
      <c r="D35" s="259"/>
      <c r="E35" s="102"/>
      <c r="F35" s="102"/>
      <c r="G35" s="102"/>
      <c r="H35" s="260"/>
      <c r="I35" s="259"/>
      <c r="J35" s="77"/>
      <c r="K35" s="115"/>
      <c r="L35" s="77"/>
      <c r="M35" s="115"/>
      <c r="N35" s="77"/>
      <c r="O35" s="115"/>
      <c r="P35" s="268"/>
      <c r="Q35" s="269"/>
      <c r="R35" s="77"/>
      <c r="S35" s="77"/>
      <c r="T35" s="115"/>
      <c r="U35" s="115"/>
      <c r="V35" s="115"/>
      <c r="W35" s="115"/>
      <c r="X35" s="115"/>
      <c r="Y35" s="115"/>
      <c r="Z35" s="115"/>
      <c r="AA35" s="115"/>
      <c r="AB35" s="261"/>
      <c r="AC35" s="115"/>
      <c r="AD35" s="115"/>
      <c r="AE35" s="270"/>
      <c r="AF35" s="115"/>
      <c r="AG35" s="115"/>
      <c r="AH35" s="115"/>
      <c r="AI35" s="262"/>
      <c r="AJ35" s="264">
        <v>6.17717249E8</v>
      </c>
      <c r="AK35" s="264"/>
      <c r="AL35" s="264"/>
    </row>
    <row r="36" hidden="1">
      <c r="A36" s="147"/>
      <c r="B36" s="123"/>
      <c r="C36" s="147"/>
      <c r="D36" s="102"/>
      <c r="E36" s="265"/>
      <c r="F36" s="265"/>
      <c r="G36" s="265"/>
      <c r="H36" s="266"/>
      <c r="I36" s="265"/>
      <c r="J36" s="123"/>
      <c r="K36" s="123"/>
      <c r="L36" s="123"/>
      <c r="M36" s="123"/>
      <c r="N36" s="123"/>
      <c r="O36" s="123"/>
      <c r="P36" s="121"/>
      <c r="Q36" s="121"/>
      <c r="R36" s="123"/>
      <c r="S36" s="123"/>
      <c r="T36" s="123"/>
      <c r="U36" s="123"/>
      <c r="V36" s="123"/>
      <c r="W36" s="123"/>
      <c r="X36" s="123"/>
      <c r="Y36" s="123"/>
      <c r="Z36" s="123"/>
      <c r="AA36" s="123"/>
      <c r="AB36" s="123"/>
      <c r="AC36" s="123"/>
      <c r="AD36" s="123"/>
      <c r="AE36" s="123"/>
      <c r="AF36" s="123"/>
      <c r="AG36" s="123"/>
      <c r="AH36" s="123"/>
      <c r="AI36" s="123"/>
      <c r="AJ36" s="267">
        <v>1.65592674E8</v>
      </c>
      <c r="AK36" s="267"/>
      <c r="AL36" s="267"/>
    </row>
    <row r="37" hidden="1">
      <c r="A37" s="147"/>
      <c r="B37" s="123"/>
      <c r="C37" s="147"/>
      <c r="D37" s="102"/>
      <c r="E37" s="265"/>
      <c r="F37" s="265"/>
      <c r="G37" s="265"/>
      <c r="H37" s="266"/>
      <c r="I37" s="265"/>
      <c r="J37" s="123"/>
      <c r="K37" s="123"/>
      <c r="L37" s="123"/>
      <c r="M37" s="123"/>
      <c r="N37" s="123"/>
      <c r="O37" s="123"/>
      <c r="P37" s="121"/>
      <c r="Q37" s="121"/>
      <c r="R37" s="123"/>
      <c r="S37" s="123"/>
      <c r="T37" s="123"/>
      <c r="U37" s="123"/>
      <c r="V37" s="123"/>
      <c r="W37" s="123"/>
      <c r="X37" s="123"/>
      <c r="Y37" s="123"/>
      <c r="Z37" s="123"/>
      <c r="AA37" s="123"/>
      <c r="AB37" s="123"/>
      <c r="AC37" s="123"/>
      <c r="AD37" s="123"/>
      <c r="AE37" s="123"/>
      <c r="AF37" s="123"/>
      <c r="AG37" s="123"/>
      <c r="AH37" s="123"/>
      <c r="AI37" s="123"/>
      <c r="AJ37" s="267">
        <v>6.81199239E8</v>
      </c>
      <c r="AK37" s="267"/>
      <c r="AL37" s="267"/>
    </row>
    <row r="38" hidden="1">
      <c r="A38" s="147"/>
      <c r="B38" s="123"/>
      <c r="C38" s="147"/>
      <c r="D38" s="102"/>
      <c r="E38" s="265"/>
      <c r="F38" s="265"/>
      <c r="G38" s="265"/>
      <c r="H38" s="266"/>
      <c r="I38" s="265"/>
      <c r="J38" s="123"/>
      <c r="K38" s="123"/>
      <c r="L38" s="123"/>
      <c r="M38" s="123"/>
      <c r="N38" s="123"/>
      <c r="O38" s="123"/>
      <c r="P38" s="121"/>
      <c r="Q38" s="121"/>
      <c r="R38" s="123"/>
      <c r="S38" s="123"/>
      <c r="T38" s="123"/>
      <c r="U38" s="123"/>
      <c r="V38" s="123"/>
      <c r="W38" s="123"/>
      <c r="X38" s="123"/>
      <c r="Y38" s="123"/>
      <c r="Z38" s="123"/>
      <c r="AA38" s="123"/>
      <c r="AB38" s="123"/>
      <c r="AC38" s="123"/>
      <c r="AD38" s="123"/>
      <c r="AE38" s="123"/>
      <c r="AF38" s="123"/>
      <c r="AG38" s="123"/>
      <c r="AH38" s="123"/>
      <c r="AI38" s="123"/>
      <c r="AJ38" s="267">
        <v>6.87712933E8</v>
      </c>
      <c r="AK38" s="267"/>
      <c r="AL38" s="267"/>
    </row>
    <row r="39" hidden="1">
      <c r="A39" s="147"/>
      <c r="B39" s="123"/>
      <c r="C39" s="147"/>
      <c r="D39" s="102"/>
      <c r="E39" s="265"/>
      <c r="F39" s="265"/>
      <c r="G39" s="265"/>
      <c r="H39" s="266"/>
      <c r="I39" s="265"/>
      <c r="J39" s="123"/>
      <c r="K39" s="123"/>
      <c r="L39" s="123"/>
      <c r="M39" s="123"/>
      <c r="N39" s="123"/>
      <c r="O39" s="123"/>
      <c r="P39" s="121"/>
      <c r="Q39" s="121"/>
      <c r="R39" s="123"/>
      <c r="S39" s="123"/>
      <c r="T39" s="123"/>
      <c r="U39" s="123"/>
      <c r="V39" s="123"/>
      <c r="W39" s="123"/>
      <c r="X39" s="123"/>
      <c r="Y39" s="123"/>
      <c r="Z39" s="123"/>
      <c r="AA39" s="123"/>
      <c r="AB39" s="123"/>
      <c r="AC39" s="123"/>
      <c r="AD39" s="123"/>
      <c r="AE39" s="123"/>
      <c r="AF39" s="123"/>
      <c r="AG39" s="123"/>
      <c r="AH39" s="123"/>
      <c r="AI39" s="123"/>
      <c r="AJ39" s="267">
        <v>6.92599189E8</v>
      </c>
      <c r="AK39" s="267"/>
      <c r="AL39" s="267"/>
    </row>
    <row r="40" hidden="1">
      <c r="A40" s="147"/>
      <c r="B40" s="123"/>
      <c r="C40" s="147"/>
      <c r="D40" s="102"/>
      <c r="E40" s="265"/>
      <c r="F40" s="265"/>
      <c r="G40" s="265"/>
      <c r="H40" s="266"/>
      <c r="I40" s="265"/>
      <c r="J40" s="123"/>
      <c r="K40" s="123"/>
      <c r="L40" s="123"/>
      <c r="M40" s="123"/>
      <c r="N40" s="123"/>
      <c r="O40" s="123"/>
      <c r="P40" s="121"/>
      <c r="Q40" s="121"/>
      <c r="R40" s="123"/>
      <c r="S40" s="123"/>
      <c r="T40" s="123"/>
      <c r="U40" s="123"/>
      <c r="V40" s="123"/>
      <c r="W40" s="123"/>
      <c r="X40" s="123"/>
      <c r="Y40" s="123"/>
      <c r="Z40" s="123"/>
      <c r="AA40" s="123"/>
      <c r="AB40" s="123"/>
      <c r="AC40" s="123"/>
      <c r="AD40" s="123"/>
      <c r="AE40" s="123"/>
      <c r="AF40" s="123"/>
      <c r="AG40" s="123"/>
      <c r="AH40" s="123"/>
      <c r="AI40" s="123"/>
      <c r="AJ40" s="267">
        <v>3.11795896E8</v>
      </c>
      <c r="AK40" s="267"/>
      <c r="AL40" s="267"/>
    </row>
    <row r="41" hidden="1">
      <c r="A41" s="147"/>
      <c r="B41" s="123"/>
      <c r="C41" s="147"/>
      <c r="D41" s="102"/>
      <c r="E41" s="265"/>
      <c r="F41" s="265"/>
      <c r="G41" s="265"/>
      <c r="H41" s="266"/>
      <c r="I41" s="265"/>
      <c r="J41" s="123"/>
      <c r="K41" s="123"/>
      <c r="L41" s="123"/>
      <c r="M41" s="123"/>
      <c r="N41" s="123"/>
      <c r="O41" s="123"/>
      <c r="P41" s="121"/>
      <c r="Q41" s="121"/>
      <c r="R41" s="123"/>
      <c r="S41" s="123"/>
      <c r="T41" s="123"/>
      <c r="U41" s="123"/>
      <c r="V41" s="123"/>
      <c r="W41" s="123"/>
      <c r="X41" s="123"/>
      <c r="Y41" s="123"/>
      <c r="Z41" s="123"/>
      <c r="AA41" s="123"/>
      <c r="AB41" s="123"/>
      <c r="AC41" s="123"/>
      <c r="AD41" s="123"/>
      <c r="AE41" s="123"/>
      <c r="AF41" s="123"/>
      <c r="AG41" s="123"/>
      <c r="AH41" s="123"/>
      <c r="AI41" s="123"/>
      <c r="AJ41" s="267">
        <v>3.02436449E8</v>
      </c>
      <c r="AK41" s="267"/>
      <c r="AL41" s="267"/>
    </row>
    <row r="42" hidden="1">
      <c r="A42" s="147"/>
      <c r="B42" s="123"/>
      <c r="C42" s="147"/>
      <c r="D42" s="102"/>
      <c r="E42" s="265"/>
      <c r="F42" s="265"/>
      <c r="G42" s="265"/>
      <c r="H42" s="266"/>
      <c r="I42" s="265"/>
      <c r="J42" s="123"/>
      <c r="K42" s="123"/>
      <c r="L42" s="123"/>
      <c r="M42" s="123"/>
      <c r="N42" s="123"/>
      <c r="O42" s="123"/>
      <c r="P42" s="121"/>
      <c r="Q42" s="121"/>
      <c r="R42" s="123"/>
      <c r="S42" s="123"/>
      <c r="T42" s="123"/>
      <c r="U42" s="123"/>
      <c r="V42" s="123"/>
      <c r="W42" s="123"/>
      <c r="X42" s="123"/>
      <c r="Y42" s="123"/>
      <c r="Z42" s="123"/>
      <c r="AA42" s="123"/>
      <c r="AB42" s="123"/>
      <c r="AC42" s="123"/>
      <c r="AD42" s="123"/>
      <c r="AE42" s="123"/>
      <c r="AF42" s="123"/>
      <c r="AG42" s="123"/>
      <c r="AH42" s="123"/>
      <c r="AI42" s="123"/>
      <c r="AJ42" s="267">
        <v>3.37468231E8</v>
      </c>
      <c r="AK42" s="267"/>
      <c r="AL42" s="267"/>
    </row>
    <row r="43" hidden="1">
      <c r="A43" s="147"/>
      <c r="B43" s="123"/>
      <c r="C43" s="147"/>
      <c r="D43" s="102"/>
      <c r="E43" s="265"/>
      <c r="F43" s="265"/>
      <c r="G43" s="265"/>
      <c r="H43" s="266"/>
      <c r="I43" s="265"/>
      <c r="J43" s="123"/>
      <c r="K43" s="123"/>
      <c r="L43" s="123"/>
      <c r="M43" s="123"/>
      <c r="N43" s="123"/>
      <c r="O43" s="123"/>
      <c r="P43" s="121"/>
      <c r="Q43" s="121"/>
      <c r="R43" s="123"/>
      <c r="S43" s="123"/>
      <c r="T43" s="123"/>
      <c r="U43" s="123"/>
      <c r="V43" s="123"/>
      <c r="W43" s="123"/>
      <c r="X43" s="123"/>
      <c r="Y43" s="123"/>
      <c r="Z43" s="123"/>
      <c r="AA43" s="123"/>
      <c r="AB43" s="123"/>
      <c r="AC43" s="123"/>
      <c r="AD43" s="123"/>
      <c r="AE43" s="123"/>
      <c r="AF43" s="123"/>
      <c r="AG43" s="123"/>
      <c r="AH43" s="123"/>
      <c r="AI43" s="123"/>
      <c r="AJ43" s="267">
        <v>2.060201E8</v>
      </c>
      <c r="AK43" s="267"/>
      <c r="AL43" s="267"/>
    </row>
    <row r="44" hidden="1">
      <c r="A44" s="147"/>
      <c r="B44" s="123"/>
      <c r="C44" s="147"/>
      <c r="D44" s="102"/>
      <c r="E44" s="265"/>
      <c r="F44" s="265"/>
      <c r="G44" s="265"/>
      <c r="H44" s="266"/>
      <c r="I44" s="265"/>
      <c r="J44" s="123"/>
      <c r="K44" s="123"/>
      <c r="L44" s="123"/>
      <c r="M44" s="123"/>
      <c r="N44" s="123"/>
      <c r="O44" s="123"/>
      <c r="P44" s="121"/>
      <c r="Q44" s="121"/>
      <c r="R44" s="123"/>
      <c r="S44" s="123"/>
      <c r="T44" s="123"/>
      <c r="U44" s="123"/>
      <c r="V44" s="123"/>
      <c r="W44" s="123"/>
      <c r="X44" s="123"/>
      <c r="Y44" s="123"/>
      <c r="Z44" s="123"/>
      <c r="AA44" s="123"/>
      <c r="AB44" s="123"/>
      <c r="AC44" s="123"/>
      <c r="AD44" s="123"/>
      <c r="AE44" s="123"/>
      <c r="AF44" s="123"/>
      <c r="AG44" s="123"/>
      <c r="AH44" s="123"/>
      <c r="AI44" s="123"/>
      <c r="AJ44" s="267">
        <v>2.16488606E8</v>
      </c>
      <c r="AK44" s="267"/>
      <c r="AL44" s="267"/>
    </row>
    <row r="45" hidden="1">
      <c r="A45" s="147"/>
      <c r="B45" s="123"/>
      <c r="C45" s="147"/>
      <c r="D45" s="102"/>
      <c r="E45" s="265"/>
      <c r="F45" s="265"/>
      <c r="G45" s="265"/>
      <c r="H45" s="266"/>
      <c r="I45" s="265"/>
      <c r="J45" s="123"/>
      <c r="K45" s="123"/>
      <c r="L45" s="123"/>
      <c r="M45" s="123"/>
      <c r="N45" s="123"/>
      <c r="O45" s="123"/>
      <c r="P45" s="121"/>
      <c r="Q45" s="121"/>
      <c r="R45" s="123"/>
      <c r="S45" s="123"/>
      <c r="T45" s="123"/>
      <c r="U45" s="123"/>
      <c r="V45" s="123"/>
      <c r="W45" s="123"/>
      <c r="X45" s="123"/>
      <c r="Y45" s="123"/>
      <c r="Z45" s="123"/>
      <c r="AA45" s="123"/>
      <c r="AB45" s="123"/>
      <c r="AC45" s="123"/>
      <c r="AD45" s="123"/>
      <c r="AE45" s="123"/>
      <c r="AF45" s="123"/>
      <c r="AG45" s="123"/>
      <c r="AH45" s="123"/>
      <c r="AI45" s="123"/>
      <c r="AJ45" s="267">
        <v>9.1969061E7</v>
      </c>
      <c r="AK45" s="267" t="s">
        <v>850</v>
      </c>
      <c r="AL45" s="267"/>
    </row>
    <row r="46" hidden="1">
      <c r="A46" s="147"/>
      <c r="B46" s="123"/>
      <c r="C46" s="147"/>
      <c r="D46" s="102"/>
      <c r="E46" s="265"/>
      <c r="F46" s="265"/>
      <c r="G46" s="265"/>
      <c r="H46" s="266"/>
      <c r="I46" s="265"/>
      <c r="J46" s="123"/>
      <c r="K46" s="123"/>
      <c r="L46" s="123"/>
      <c r="M46" s="123"/>
      <c r="N46" s="123"/>
      <c r="O46" s="123"/>
      <c r="P46" s="121"/>
      <c r="Q46" s="121"/>
      <c r="R46" s="123"/>
      <c r="S46" s="123"/>
      <c r="T46" s="123"/>
      <c r="U46" s="123"/>
      <c r="V46" s="123"/>
      <c r="W46" s="123"/>
      <c r="X46" s="123"/>
      <c r="Y46" s="123"/>
      <c r="Z46" s="123"/>
      <c r="AA46" s="123"/>
      <c r="AB46" s="123"/>
      <c r="AC46" s="123"/>
      <c r="AD46" s="123"/>
      <c r="AE46" s="123"/>
      <c r="AF46" s="123"/>
      <c r="AG46" s="123"/>
      <c r="AH46" s="123"/>
      <c r="AI46" s="123"/>
      <c r="AJ46" s="267">
        <v>2.06027291E8</v>
      </c>
      <c r="AK46" s="267"/>
      <c r="AL46" s="267"/>
    </row>
    <row r="47" hidden="1">
      <c r="A47" s="147"/>
      <c r="B47" s="123"/>
      <c r="C47" s="147"/>
      <c r="D47" s="102"/>
      <c r="E47" s="265"/>
      <c r="F47" s="265"/>
      <c r="G47" s="265"/>
      <c r="H47" s="266"/>
      <c r="I47" s="265"/>
      <c r="J47" s="123"/>
      <c r="K47" s="123"/>
      <c r="L47" s="123"/>
      <c r="M47" s="123"/>
      <c r="N47" s="123"/>
      <c r="O47" s="123"/>
      <c r="P47" s="121"/>
      <c r="Q47" s="121"/>
      <c r="R47" s="123"/>
      <c r="S47" s="123"/>
      <c r="T47" s="123"/>
      <c r="U47" s="123"/>
      <c r="V47" s="123"/>
      <c r="W47" s="123"/>
      <c r="X47" s="123"/>
      <c r="Y47" s="123"/>
      <c r="Z47" s="123"/>
      <c r="AA47" s="123"/>
      <c r="AB47" s="123"/>
      <c r="AC47" s="123"/>
      <c r="AD47" s="123"/>
      <c r="AE47" s="123"/>
      <c r="AF47" s="123"/>
      <c r="AG47" s="123"/>
      <c r="AH47" s="123"/>
      <c r="AI47" s="123"/>
      <c r="AJ47" s="267">
        <v>9.0343752E7</v>
      </c>
      <c r="AK47" s="267" t="s">
        <v>883</v>
      </c>
      <c r="AL47" s="267"/>
    </row>
    <row r="48" hidden="1">
      <c r="A48" s="147"/>
      <c r="B48" s="123"/>
      <c r="C48" s="147"/>
      <c r="D48" s="102"/>
      <c r="E48" s="265"/>
      <c r="F48" s="265"/>
      <c r="G48" s="265"/>
      <c r="H48" s="266"/>
      <c r="I48" s="265"/>
      <c r="J48" s="123"/>
      <c r="K48" s="123"/>
      <c r="L48" s="123"/>
      <c r="M48" s="123"/>
      <c r="N48" s="123"/>
      <c r="O48" s="123"/>
      <c r="P48" s="121"/>
      <c r="Q48" s="121"/>
      <c r="R48" s="123"/>
      <c r="S48" s="123"/>
      <c r="T48" s="123"/>
      <c r="U48" s="123"/>
      <c r="V48" s="123"/>
      <c r="W48" s="123"/>
      <c r="X48" s="123"/>
      <c r="Y48" s="123"/>
      <c r="Z48" s="123"/>
      <c r="AA48" s="123"/>
      <c r="AB48" s="123"/>
      <c r="AC48" s="123"/>
      <c r="AD48" s="123"/>
      <c r="AE48" s="123"/>
      <c r="AF48" s="123"/>
      <c r="AG48" s="123"/>
      <c r="AH48" s="123"/>
      <c r="AI48" s="123"/>
      <c r="AJ48" s="267">
        <v>4.17262785E8</v>
      </c>
      <c r="AK48" s="267"/>
      <c r="AL48" s="267"/>
    </row>
    <row r="49" hidden="1">
      <c r="A49" s="147"/>
      <c r="B49" s="123"/>
      <c r="C49" s="147"/>
      <c r="D49" s="102"/>
      <c r="E49" s="265"/>
      <c r="F49" s="265"/>
      <c r="G49" s="265"/>
      <c r="H49" s="266"/>
      <c r="I49" s="265"/>
      <c r="J49" s="123"/>
      <c r="K49" s="123"/>
      <c r="L49" s="123"/>
      <c r="M49" s="123"/>
      <c r="N49" s="123"/>
      <c r="O49" s="123"/>
      <c r="P49" s="121"/>
      <c r="Q49" s="121"/>
      <c r="R49" s="123"/>
      <c r="S49" s="123"/>
      <c r="T49" s="123"/>
      <c r="U49" s="123"/>
      <c r="V49" s="123"/>
      <c r="W49" s="123"/>
      <c r="X49" s="123"/>
      <c r="Y49" s="123"/>
      <c r="Z49" s="123"/>
      <c r="AA49" s="123"/>
      <c r="AB49" s="123"/>
      <c r="AC49" s="123"/>
      <c r="AD49" s="123"/>
      <c r="AE49" s="123"/>
      <c r="AF49" s="123"/>
      <c r="AG49" s="123"/>
      <c r="AH49" s="123"/>
      <c r="AI49" s="123"/>
      <c r="AJ49" s="267">
        <v>2.66214623E8</v>
      </c>
      <c r="AK49" s="267"/>
      <c r="AL49" s="267"/>
    </row>
    <row r="50" hidden="1">
      <c r="A50" s="147"/>
      <c r="B50" s="123"/>
      <c r="C50" s="147"/>
      <c r="D50" s="102"/>
      <c r="E50" s="265"/>
      <c r="F50" s="265"/>
      <c r="G50" s="265"/>
      <c r="H50" s="266"/>
      <c r="I50" s="265"/>
      <c r="J50" s="123"/>
      <c r="K50" s="123"/>
      <c r="L50" s="123"/>
      <c r="M50" s="123"/>
      <c r="N50" s="123"/>
      <c r="O50" s="123"/>
      <c r="P50" s="121"/>
      <c r="Q50" s="121"/>
      <c r="R50" s="123"/>
      <c r="S50" s="123"/>
      <c r="T50" s="123"/>
      <c r="U50" s="123"/>
      <c r="V50" s="123"/>
      <c r="W50" s="123"/>
      <c r="X50" s="123"/>
      <c r="Y50" s="123"/>
      <c r="Z50" s="123"/>
      <c r="AA50" s="123"/>
      <c r="AB50" s="123"/>
      <c r="AC50" s="123"/>
      <c r="AD50" s="123"/>
      <c r="AE50" s="123"/>
      <c r="AF50" s="123"/>
      <c r="AG50" s="123"/>
      <c r="AH50" s="123"/>
      <c r="AI50" s="123"/>
      <c r="AJ50" s="267">
        <v>2.71680783E8</v>
      </c>
      <c r="AK50" s="267"/>
      <c r="AL50" s="267"/>
    </row>
    <row r="51" hidden="1">
      <c r="A51" s="90"/>
      <c r="B51" s="259"/>
      <c r="C51" s="259"/>
      <c r="D51" s="259"/>
      <c r="E51" s="102"/>
      <c r="F51" s="102"/>
      <c r="G51" s="102"/>
      <c r="H51" s="260"/>
      <c r="I51" s="259"/>
      <c r="J51" s="77"/>
      <c r="K51" s="115"/>
      <c r="L51" s="77"/>
      <c r="M51" s="115"/>
      <c r="N51" s="77"/>
      <c r="O51" s="115"/>
      <c r="P51" s="268"/>
      <c r="Q51" s="268"/>
      <c r="R51" s="77"/>
      <c r="S51" s="77"/>
      <c r="T51" s="77"/>
      <c r="U51" s="77"/>
      <c r="V51" s="115"/>
      <c r="W51" s="115"/>
      <c r="X51" s="115"/>
      <c r="Y51" s="115"/>
      <c r="Z51" s="115"/>
      <c r="AA51" s="115"/>
      <c r="AB51" s="261"/>
      <c r="AC51" s="115"/>
      <c r="AD51" s="115"/>
      <c r="AE51" s="270"/>
      <c r="AF51" s="115"/>
      <c r="AG51" s="115"/>
      <c r="AH51" s="115"/>
      <c r="AI51" s="262"/>
      <c r="AJ51" s="264">
        <v>9.196935E7</v>
      </c>
      <c r="AK51" s="264"/>
      <c r="AL51" s="264"/>
    </row>
    <row r="52" hidden="1">
      <c r="A52" s="90"/>
      <c r="B52" s="259"/>
      <c r="C52" s="259"/>
      <c r="D52" s="259"/>
      <c r="E52" s="259"/>
      <c r="F52" s="102"/>
      <c r="G52" s="102"/>
      <c r="H52" s="260"/>
      <c r="I52" s="259"/>
      <c r="J52" s="77"/>
      <c r="K52" s="115"/>
      <c r="L52" s="77"/>
      <c r="M52" s="115"/>
      <c r="N52" s="77"/>
      <c r="O52" s="115"/>
      <c r="P52" s="268"/>
      <c r="Q52" s="269"/>
      <c r="R52" s="77"/>
      <c r="S52" s="77"/>
      <c r="T52" s="115"/>
      <c r="U52" s="115"/>
      <c r="V52" s="115"/>
      <c r="W52" s="115"/>
      <c r="X52" s="115"/>
      <c r="Y52" s="115"/>
      <c r="Z52" s="115"/>
      <c r="AA52" s="115"/>
      <c r="AB52" s="261"/>
      <c r="AC52" s="115"/>
      <c r="AD52" s="115"/>
      <c r="AE52" s="270"/>
      <c r="AF52" s="115"/>
      <c r="AG52" s="115"/>
      <c r="AH52" s="115"/>
      <c r="AI52" s="262"/>
      <c r="AJ52" s="264">
        <v>1.9312388E8</v>
      </c>
      <c r="AK52" s="264"/>
      <c r="AL52" s="264"/>
    </row>
    <row r="53" hidden="1">
      <c r="A53" s="147"/>
      <c r="B53" s="123"/>
      <c r="C53" s="147"/>
      <c r="D53" s="265"/>
      <c r="E53" s="265"/>
      <c r="F53" s="265"/>
      <c r="G53" s="265"/>
      <c r="H53" s="266"/>
      <c r="I53" s="265"/>
      <c r="J53" s="123"/>
      <c r="K53" s="123"/>
      <c r="L53" s="123"/>
      <c r="M53" s="123"/>
      <c r="N53" s="123"/>
      <c r="O53" s="123"/>
      <c r="P53" s="121"/>
      <c r="Q53" s="121"/>
      <c r="R53" s="123"/>
      <c r="S53" s="123"/>
      <c r="T53" s="123"/>
      <c r="U53" s="123"/>
      <c r="V53" s="123"/>
      <c r="W53" s="123"/>
      <c r="X53" s="123"/>
      <c r="Y53" s="123"/>
      <c r="Z53" s="123"/>
      <c r="AA53" s="123"/>
      <c r="AB53" s="123"/>
      <c r="AC53" s="123"/>
      <c r="AD53" s="123"/>
      <c r="AE53" s="123"/>
      <c r="AF53" s="123"/>
      <c r="AG53" s="123"/>
      <c r="AH53" s="123"/>
      <c r="AI53" s="271"/>
      <c r="AJ53" s="264">
        <v>1.69963867E8</v>
      </c>
      <c r="AK53" s="264" t="s">
        <v>989</v>
      </c>
      <c r="AL53" s="264"/>
    </row>
    <row r="54" hidden="1">
      <c r="A54" s="147"/>
      <c r="B54" s="123"/>
      <c r="C54" s="147"/>
      <c r="D54" s="265"/>
      <c r="E54" s="265"/>
      <c r="F54" s="265"/>
      <c r="G54" s="265"/>
      <c r="H54" s="266"/>
      <c r="I54" s="265"/>
      <c r="J54" s="123"/>
      <c r="K54" s="123"/>
      <c r="L54" s="123"/>
      <c r="M54" s="123"/>
      <c r="N54" s="123"/>
      <c r="O54" s="123"/>
      <c r="P54" s="121"/>
      <c r="Q54" s="121"/>
      <c r="R54" s="123"/>
      <c r="S54" s="123"/>
      <c r="T54" s="123"/>
      <c r="U54" s="123"/>
      <c r="V54" s="123"/>
      <c r="W54" s="123"/>
      <c r="X54" s="123"/>
      <c r="Y54" s="123"/>
      <c r="Z54" s="123"/>
      <c r="AA54" s="123"/>
      <c r="AB54" s="123"/>
      <c r="AC54" s="123"/>
      <c r="AD54" s="123"/>
      <c r="AE54" s="123"/>
      <c r="AF54" s="123"/>
      <c r="AG54" s="123"/>
      <c r="AH54" s="123"/>
      <c r="AI54" s="123"/>
      <c r="AJ54" s="267">
        <v>1.61526543E8</v>
      </c>
      <c r="AK54" s="267" t="s">
        <v>1006</v>
      </c>
      <c r="AL54" s="267"/>
    </row>
    <row r="55" hidden="1">
      <c r="A55" s="147"/>
      <c r="B55" s="123"/>
      <c r="C55" s="147"/>
      <c r="D55" s="265"/>
      <c r="E55" s="265"/>
      <c r="F55" s="265"/>
      <c r="G55" s="265"/>
      <c r="H55" s="266"/>
      <c r="I55" s="265"/>
      <c r="J55" s="123"/>
      <c r="K55" s="123"/>
      <c r="L55" s="123"/>
      <c r="M55" s="123"/>
      <c r="N55" s="123"/>
      <c r="O55" s="123"/>
      <c r="P55" s="121"/>
      <c r="Q55" s="121"/>
      <c r="R55" s="123"/>
      <c r="S55" s="123"/>
      <c r="T55" s="123"/>
      <c r="U55" s="123"/>
      <c r="V55" s="123"/>
      <c r="W55" s="123"/>
      <c r="X55" s="123"/>
      <c r="Y55" s="123"/>
      <c r="Z55" s="123"/>
      <c r="AA55" s="123"/>
      <c r="AB55" s="123"/>
      <c r="AC55" s="123"/>
      <c r="AD55" s="123"/>
      <c r="AE55" s="123"/>
      <c r="AF55" s="123"/>
      <c r="AG55" s="123"/>
      <c r="AH55" s="123"/>
      <c r="AI55" s="123"/>
      <c r="AJ55" s="267">
        <v>4.94708852E8</v>
      </c>
      <c r="AK55" s="267"/>
      <c r="AL55" s="267"/>
    </row>
    <row r="56" hidden="1">
      <c r="A56" s="147"/>
      <c r="B56" s="123"/>
      <c r="C56" s="147"/>
      <c r="D56" s="265"/>
      <c r="E56" s="265"/>
      <c r="F56" s="265"/>
      <c r="G56" s="265"/>
      <c r="H56" s="266"/>
      <c r="I56" s="265"/>
      <c r="J56" s="123"/>
      <c r="K56" s="123"/>
      <c r="L56" s="123"/>
      <c r="M56" s="123"/>
      <c r="N56" s="123"/>
      <c r="O56" s="123"/>
      <c r="P56" s="121"/>
      <c r="Q56" s="121"/>
      <c r="R56" s="123"/>
      <c r="S56" s="123"/>
      <c r="T56" s="123"/>
      <c r="U56" s="123"/>
      <c r="V56" s="123"/>
      <c r="W56" s="123"/>
      <c r="X56" s="123"/>
      <c r="Y56" s="123"/>
      <c r="Z56" s="123"/>
      <c r="AA56" s="123"/>
      <c r="AB56" s="123"/>
      <c r="AC56" s="123"/>
      <c r="AD56" s="123"/>
      <c r="AE56" s="123"/>
      <c r="AF56" s="123"/>
      <c r="AG56" s="123"/>
      <c r="AH56" s="123"/>
      <c r="AI56" s="123"/>
      <c r="AJ56" s="267">
        <v>1.61948275E8</v>
      </c>
      <c r="AK56" s="267" t="s">
        <v>1044</v>
      </c>
      <c r="AL56" s="267"/>
    </row>
    <row r="57" hidden="1">
      <c r="A57" s="147"/>
      <c r="B57" s="123"/>
      <c r="C57" s="147"/>
      <c r="D57" s="265"/>
      <c r="E57" s="265"/>
      <c r="F57" s="265"/>
      <c r="G57" s="265"/>
      <c r="H57" s="266"/>
      <c r="I57" s="265"/>
      <c r="J57" s="123"/>
      <c r="K57" s="123"/>
      <c r="L57" s="123"/>
      <c r="M57" s="123"/>
      <c r="N57" s="123"/>
      <c r="O57" s="123"/>
      <c r="P57" s="121"/>
      <c r="Q57" s="121"/>
      <c r="R57" s="123"/>
      <c r="S57" s="123"/>
      <c r="T57" s="123"/>
      <c r="U57" s="123"/>
      <c r="V57" s="123"/>
      <c r="W57" s="123"/>
      <c r="X57" s="123"/>
      <c r="Y57" s="123"/>
      <c r="Z57" s="123"/>
      <c r="AA57" s="123"/>
      <c r="AB57" s="123"/>
      <c r="AC57" s="123"/>
      <c r="AD57" s="123"/>
      <c r="AE57" s="123"/>
      <c r="AF57" s="123"/>
      <c r="AG57" s="123"/>
      <c r="AH57" s="123"/>
      <c r="AI57" s="123"/>
      <c r="AJ57" s="267">
        <v>2.40166228E8</v>
      </c>
      <c r="AK57" s="267"/>
      <c r="AL57" s="267"/>
    </row>
    <row r="58" hidden="1">
      <c r="A58" s="147"/>
      <c r="B58" s="123"/>
      <c r="C58" s="147"/>
      <c r="D58" s="265"/>
      <c r="E58" s="265"/>
      <c r="F58" s="265"/>
      <c r="G58" s="265"/>
      <c r="H58" s="266"/>
      <c r="I58" s="265"/>
      <c r="J58" s="123"/>
      <c r="K58" s="123"/>
      <c r="L58" s="123"/>
      <c r="M58" s="123"/>
      <c r="N58" s="123"/>
      <c r="O58" s="123"/>
      <c r="P58" s="121"/>
      <c r="Q58" s="121"/>
      <c r="R58" s="123"/>
      <c r="S58" s="123"/>
      <c r="T58" s="123"/>
      <c r="U58" s="123"/>
      <c r="V58" s="123"/>
      <c r="W58" s="123"/>
      <c r="X58" s="123"/>
      <c r="Y58" s="123"/>
      <c r="Z58" s="123"/>
      <c r="AA58" s="123"/>
      <c r="AB58" s="123"/>
      <c r="AC58" s="123"/>
      <c r="AD58" s="123"/>
      <c r="AE58" s="123"/>
      <c r="AF58" s="123"/>
      <c r="AG58" s="123"/>
      <c r="AH58" s="123"/>
      <c r="AI58" s="123"/>
      <c r="AJ58" s="267">
        <v>2.28331343E8</v>
      </c>
      <c r="AK58" s="267"/>
      <c r="AL58" s="267"/>
    </row>
    <row r="59" hidden="1">
      <c r="A59" s="147"/>
      <c r="B59" s="123"/>
      <c r="C59" s="147"/>
      <c r="D59" s="265"/>
      <c r="E59" s="265"/>
      <c r="F59" s="265"/>
      <c r="G59" s="265"/>
      <c r="H59" s="266"/>
      <c r="I59" s="265"/>
      <c r="J59" s="123"/>
      <c r="K59" s="123"/>
      <c r="L59" s="123"/>
      <c r="M59" s="123"/>
      <c r="N59" s="123"/>
      <c r="O59" s="123"/>
      <c r="P59" s="121"/>
      <c r="Q59" s="121"/>
      <c r="R59" s="123"/>
      <c r="S59" s="123"/>
      <c r="T59" s="123"/>
      <c r="U59" s="123"/>
      <c r="V59" s="123"/>
      <c r="W59" s="123"/>
      <c r="X59" s="123"/>
      <c r="Y59" s="123"/>
      <c r="Z59" s="123"/>
      <c r="AA59" s="123"/>
      <c r="AB59" s="123"/>
      <c r="AC59" s="123"/>
      <c r="AD59" s="123"/>
      <c r="AE59" s="123"/>
      <c r="AF59" s="123"/>
      <c r="AG59" s="123"/>
      <c r="AH59" s="123"/>
      <c r="AI59" s="123"/>
      <c r="AJ59" s="267">
        <v>1.76110909E8</v>
      </c>
      <c r="AK59" s="267" t="s">
        <v>1099</v>
      </c>
      <c r="AL59" s="267"/>
    </row>
    <row r="60" hidden="1">
      <c r="A60" s="147"/>
      <c r="B60" s="123"/>
      <c r="C60" s="147"/>
      <c r="D60" s="265"/>
      <c r="E60" s="265"/>
      <c r="F60" s="265"/>
      <c r="G60" s="265"/>
      <c r="H60" s="266"/>
      <c r="I60" s="265"/>
      <c r="J60" s="123"/>
      <c r="K60" s="123"/>
      <c r="L60" s="123"/>
      <c r="M60" s="123"/>
      <c r="N60" s="123"/>
      <c r="O60" s="123"/>
      <c r="P60" s="121"/>
      <c r="Q60" s="121"/>
      <c r="R60" s="123"/>
      <c r="S60" s="123"/>
      <c r="T60" s="123"/>
      <c r="U60" s="123"/>
      <c r="V60" s="123"/>
      <c r="W60" s="123"/>
      <c r="X60" s="123"/>
      <c r="Y60" s="123"/>
      <c r="Z60" s="123"/>
      <c r="AA60" s="123"/>
      <c r="AB60" s="123"/>
      <c r="AC60" s="123"/>
      <c r="AD60" s="123"/>
      <c r="AE60" s="123"/>
      <c r="AF60" s="123"/>
      <c r="AG60" s="123"/>
      <c r="AH60" s="123"/>
      <c r="AI60" s="123"/>
      <c r="AJ60" s="267">
        <v>1.48382531E8</v>
      </c>
      <c r="AK60" s="267" t="s">
        <v>1117</v>
      </c>
      <c r="AL60" s="267"/>
    </row>
    <row r="61" hidden="1">
      <c r="A61" s="147"/>
      <c r="B61" s="123"/>
      <c r="C61" s="147"/>
      <c r="D61" s="265"/>
      <c r="E61" s="265"/>
      <c r="F61" s="265"/>
      <c r="G61" s="265"/>
      <c r="H61" s="266"/>
      <c r="I61" s="265"/>
      <c r="J61" s="123"/>
      <c r="K61" s="123"/>
      <c r="L61" s="123"/>
      <c r="M61" s="123"/>
      <c r="N61" s="123"/>
      <c r="O61" s="123"/>
      <c r="P61" s="121"/>
      <c r="Q61" s="121"/>
      <c r="R61" s="123"/>
      <c r="S61" s="123"/>
      <c r="T61" s="123"/>
      <c r="U61" s="123"/>
      <c r="V61" s="123"/>
      <c r="W61" s="123"/>
      <c r="X61" s="123"/>
      <c r="Y61" s="123"/>
      <c r="Z61" s="123"/>
      <c r="AA61" s="123"/>
      <c r="AB61" s="123"/>
      <c r="AC61" s="123"/>
      <c r="AD61" s="123"/>
      <c r="AE61" s="123"/>
      <c r="AF61" s="123"/>
      <c r="AG61" s="123"/>
      <c r="AH61" s="123"/>
      <c r="AI61" s="123"/>
      <c r="AJ61" s="267">
        <v>1.57382017E8</v>
      </c>
      <c r="AK61" s="267" t="s">
        <v>1138</v>
      </c>
      <c r="AL61" s="267"/>
    </row>
    <row r="62" hidden="1">
      <c r="A62" s="147"/>
      <c r="B62" s="123"/>
      <c r="C62" s="147"/>
      <c r="D62" s="265"/>
      <c r="E62" s="265"/>
      <c r="F62" s="265"/>
      <c r="G62" s="265"/>
      <c r="H62" s="266"/>
      <c r="I62" s="265"/>
      <c r="J62" s="123"/>
      <c r="K62" s="123"/>
      <c r="L62" s="123"/>
      <c r="M62" s="123"/>
      <c r="N62" s="123"/>
      <c r="O62" s="123"/>
      <c r="P62" s="121"/>
      <c r="Q62" s="121"/>
      <c r="R62" s="123"/>
      <c r="S62" s="123"/>
      <c r="T62" s="123"/>
      <c r="U62" s="123"/>
      <c r="V62" s="123"/>
      <c r="W62" s="123"/>
      <c r="X62" s="123"/>
      <c r="Y62" s="123"/>
      <c r="Z62" s="123"/>
      <c r="AA62" s="123"/>
      <c r="AB62" s="123"/>
      <c r="AC62" s="123"/>
      <c r="AD62" s="123"/>
      <c r="AE62" s="123"/>
      <c r="AF62" s="123"/>
      <c r="AG62" s="123"/>
      <c r="AH62" s="123"/>
      <c r="AI62" s="123"/>
      <c r="AJ62" s="267">
        <v>1.38758948E8</v>
      </c>
      <c r="AK62" s="267" t="s">
        <v>1153</v>
      </c>
      <c r="AL62" s="267"/>
    </row>
    <row r="63" hidden="1">
      <c r="A63" s="147"/>
      <c r="B63" s="123"/>
      <c r="C63" s="147"/>
      <c r="D63" s="265"/>
      <c r="E63" s="265"/>
      <c r="F63" s="265"/>
      <c r="G63" s="265"/>
      <c r="H63" s="266"/>
      <c r="I63" s="265"/>
      <c r="J63" s="123"/>
      <c r="K63" s="123"/>
      <c r="L63" s="123"/>
      <c r="M63" s="123"/>
      <c r="N63" s="123"/>
      <c r="O63" s="123"/>
      <c r="P63" s="121"/>
      <c r="Q63" s="121"/>
      <c r="R63" s="123"/>
      <c r="S63" s="123"/>
      <c r="T63" s="123"/>
      <c r="U63" s="123"/>
      <c r="V63" s="123"/>
      <c r="W63" s="123"/>
      <c r="X63" s="123"/>
      <c r="Y63" s="123"/>
      <c r="Z63" s="123"/>
      <c r="AA63" s="123"/>
      <c r="AB63" s="123"/>
      <c r="AC63" s="123"/>
      <c r="AD63" s="123"/>
      <c r="AE63" s="123"/>
      <c r="AF63" s="123"/>
      <c r="AG63" s="123"/>
      <c r="AH63" s="123"/>
      <c r="AI63" s="123"/>
      <c r="AJ63" s="267">
        <v>1.6525279E8</v>
      </c>
      <c r="AK63" s="267" t="s">
        <v>1044</v>
      </c>
      <c r="AL63" s="267"/>
    </row>
    <row r="64" hidden="1">
      <c r="A64" s="147"/>
      <c r="B64" s="123"/>
      <c r="C64" s="147"/>
      <c r="D64" s="265"/>
      <c r="E64" s="265"/>
      <c r="F64" s="265"/>
      <c r="G64" s="265"/>
      <c r="H64" s="266"/>
      <c r="I64" s="265"/>
      <c r="J64" s="123"/>
      <c r="K64" s="123"/>
      <c r="L64" s="123"/>
      <c r="M64" s="123"/>
      <c r="N64" s="123"/>
      <c r="O64" s="123"/>
      <c r="P64" s="121"/>
      <c r="Q64" s="121"/>
      <c r="R64" s="123"/>
      <c r="S64" s="123"/>
      <c r="T64" s="123"/>
      <c r="U64" s="123"/>
      <c r="V64" s="123"/>
      <c r="W64" s="123"/>
      <c r="X64" s="123"/>
      <c r="Y64" s="123"/>
      <c r="Z64" s="123"/>
      <c r="AA64" s="123"/>
      <c r="AB64" s="123"/>
      <c r="AC64" s="123"/>
      <c r="AD64" s="123"/>
      <c r="AE64" s="123"/>
      <c r="AF64" s="123"/>
      <c r="AG64" s="123"/>
      <c r="AH64" s="123"/>
      <c r="AI64" s="123"/>
      <c r="AJ64" s="267">
        <v>2.09196024E8</v>
      </c>
      <c r="AK64" s="267"/>
      <c r="AL64" s="267"/>
    </row>
    <row r="65" hidden="1">
      <c r="A65" s="147"/>
      <c r="B65" s="123"/>
      <c r="C65" s="147"/>
      <c r="D65" s="265"/>
      <c r="E65" s="265"/>
      <c r="F65" s="265"/>
      <c r="G65" s="265"/>
      <c r="H65" s="266"/>
      <c r="I65" s="265"/>
      <c r="J65" s="123"/>
      <c r="K65" s="123"/>
      <c r="L65" s="123"/>
      <c r="M65" s="123"/>
      <c r="N65" s="123"/>
      <c r="O65" s="123"/>
      <c r="P65" s="121"/>
      <c r="Q65" s="121"/>
      <c r="R65" s="123"/>
      <c r="S65" s="123"/>
      <c r="T65" s="123"/>
      <c r="U65" s="123"/>
      <c r="V65" s="123"/>
      <c r="W65" s="123"/>
      <c r="X65" s="123"/>
      <c r="Y65" s="123"/>
      <c r="Z65" s="123"/>
      <c r="AA65" s="123"/>
      <c r="AB65" s="123"/>
      <c r="AC65" s="123"/>
      <c r="AD65" s="123"/>
      <c r="AE65" s="123"/>
      <c r="AF65" s="123"/>
      <c r="AG65" s="123"/>
      <c r="AH65" s="123"/>
      <c r="AI65" s="123"/>
      <c r="AJ65" s="267">
        <v>1.96519115E8</v>
      </c>
      <c r="AK65" s="267"/>
      <c r="AL65" s="267"/>
    </row>
    <row r="66" hidden="1">
      <c r="A66" s="147"/>
      <c r="B66" s="123"/>
      <c r="C66" s="147"/>
      <c r="D66" s="265"/>
      <c r="E66" s="265"/>
      <c r="F66" s="265"/>
      <c r="G66" s="265"/>
      <c r="H66" s="266"/>
      <c r="I66" s="265"/>
      <c r="J66" s="123"/>
      <c r="K66" s="123"/>
      <c r="L66" s="123"/>
      <c r="M66" s="123"/>
      <c r="N66" s="123"/>
      <c r="O66" s="123"/>
      <c r="P66" s="121"/>
      <c r="Q66" s="121"/>
      <c r="R66" s="123"/>
      <c r="S66" s="123"/>
      <c r="T66" s="123"/>
      <c r="U66" s="123"/>
      <c r="V66" s="123"/>
      <c r="W66" s="123"/>
      <c r="X66" s="123"/>
      <c r="Y66" s="123"/>
      <c r="Z66" s="123"/>
      <c r="AA66" s="123"/>
      <c r="AB66" s="123"/>
      <c r="AC66" s="123"/>
      <c r="AD66" s="123"/>
      <c r="AE66" s="123"/>
      <c r="AF66" s="123"/>
      <c r="AG66" s="123"/>
      <c r="AH66" s="123"/>
      <c r="AI66" s="123"/>
      <c r="AJ66" s="267">
        <v>9.1969213E7</v>
      </c>
      <c r="AK66" s="267" t="s">
        <v>1218</v>
      </c>
      <c r="AL66" s="267"/>
    </row>
    <row r="67" hidden="1">
      <c r="A67" s="147"/>
      <c r="B67" s="123"/>
      <c r="C67" s="147"/>
      <c r="D67" s="265"/>
      <c r="E67" s="265"/>
      <c r="F67" s="265"/>
      <c r="G67" s="265"/>
      <c r="H67" s="266"/>
      <c r="I67" s="265"/>
      <c r="J67" s="123"/>
      <c r="K67" s="123"/>
      <c r="L67" s="123"/>
      <c r="M67" s="123"/>
      <c r="N67" s="123"/>
      <c r="O67" s="123"/>
      <c r="P67" s="121"/>
      <c r="Q67" s="121"/>
      <c r="R67" s="123"/>
      <c r="S67" s="123"/>
      <c r="T67" s="123"/>
      <c r="U67" s="123"/>
      <c r="V67" s="123"/>
      <c r="W67" s="123"/>
      <c r="X67" s="123"/>
      <c r="Y67" s="123"/>
      <c r="Z67" s="123"/>
      <c r="AA67" s="123"/>
      <c r="AB67" s="123"/>
      <c r="AC67" s="123"/>
      <c r="AD67" s="123"/>
      <c r="AE67" s="123"/>
      <c r="AF67" s="123"/>
      <c r="AG67" s="123"/>
      <c r="AH67" s="123"/>
      <c r="AI67" s="123"/>
      <c r="AJ67" s="267">
        <v>2.21232387E8</v>
      </c>
      <c r="AK67" s="267"/>
      <c r="AL67" s="267"/>
    </row>
    <row r="68">
      <c r="A68" s="272"/>
      <c r="B68" s="273"/>
      <c r="C68" s="273"/>
      <c r="D68" s="273"/>
      <c r="E68" s="273"/>
      <c r="F68" s="273"/>
      <c r="G68" s="274"/>
      <c r="H68" s="260"/>
      <c r="I68" s="273"/>
      <c r="J68" s="124"/>
      <c r="K68" s="124"/>
      <c r="L68" s="124"/>
      <c r="M68" s="124"/>
      <c r="N68" s="124"/>
      <c r="O68" s="124"/>
      <c r="P68" s="127"/>
      <c r="Q68" s="127"/>
      <c r="R68" s="192"/>
      <c r="S68" s="192"/>
      <c r="T68" s="124"/>
      <c r="U68" s="192"/>
      <c r="V68" s="124"/>
      <c r="W68" s="124"/>
      <c r="X68" s="124"/>
      <c r="Y68" s="124"/>
      <c r="Z68" s="124"/>
      <c r="AA68" s="124"/>
      <c r="AB68" s="275"/>
      <c r="AC68" s="275"/>
      <c r="AD68" s="124"/>
      <c r="AE68" s="192"/>
      <c r="AF68" s="124"/>
      <c r="AG68" s="124"/>
      <c r="AH68" s="124"/>
      <c r="AI68" s="124"/>
      <c r="AJ68" s="264">
        <v>2.32451654E8</v>
      </c>
      <c r="AK68" s="264"/>
      <c r="AL68" s="264"/>
    </row>
    <row r="69">
      <c r="A69" s="272"/>
      <c r="B69" s="273"/>
      <c r="C69" s="273"/>
      <c r="D69" s="273"/>
      <c r="E69" s="273"/>
      <c r="F69" s="273"/>
      <c r="G69" s="274"/>
      <c r="H69" s="260"/>
      <c r="I69" s="273"/>
      <c r="J69" s="124"/>
      <c r="K69" s="124"/>
      <c r="L69" s="124"/>
      <c r="M69" s="124"/>
      <c r="N69" s="124"/>
      <c r="O69" s="124"/>
      <c r="P69" s="128"/>
      <c r="Q69" s="127"/>
      <c r="R69" s="192"/>
      <c r="S69" s="192"/>
      <c r="T69" s="124"/>
      <c r="U69" s="124"/>
      <c r="V69" s="124"/>
      <c r="W69" s="124"/>
      <c r="X69" s="124"/>
      <c r="Y69" s="124"/>
      <c r="Z69" s="124"/>
      <c r="AA69" s="124"/>
      <c r="AB69" s="275"/>
      <c r="AC69" s="275"/>
      <c r="AD69" s="124"/>
      <c r="AE69" s="192"/>
      <c r="AF69" s="124"/>
      <c r="AG69" s="124"/>
      <c r="AH69" s="124"/>
      <c r="AI69" s="124"/>
      <c r="AJ69" s="264">
        <v>3.85728241E8</v>
      </c>
      <c r="AK69" s="264"/>
      <c r="AL69" s="264"/>
    </row>
    <row r="70">
      <c r="A70" s="255"/>
      <c r="B70" s="259"/>
      <c r="C70" s="259"/>
      <c r="D70" s="259"/>
      <c r="E70" s="276"/>
      <c r="F70" s="259"/>
      <c r="G70" s="277"/>
      <c r="H70" s="260"/>
      <c r="I70" s="259"/>
      <c r="J70" s="115"/>
      <c r="K70" s="115"/>
      <c r="L70" s="115"/>
      <c r="M70" s="115"/>
      <c r="N70" s="115"/>
      <c r="O70" s="115"/>
      <c r="P70" s="268"/>
      <c r="Q70" s="269"/>
      <c r="R70" s="115"/>
      <c r="S70" s="77"/>
      <c r="T70" s="115"/>
      <c r="U70" s="115"/>
      <c r="V70" s="115"/>
      <c r="W70" s="115"/>
      <c r="X70" s="115"/>
      <c r="Y70" s="115"/>
      <c r="Z70" s="115"/>
      <c r="AA70" s="115"/>
      <c r="AB70" s="278"/>
      <c r="AC70" s="261"/>
      <c r="AD70" s="77"/>
      <c r="AE70" s="77"/>
      <c r="AF70" s="115"/>
      <c r="AG70" s="115"/>
      <c r="AH70" s="262"/>
      <c r="AI70" s="262"/>
      <c r="AJ70" s="264">
        <v>2.28329542E8</v>
      </c>
      <c r="AK70" s="264"/>
      <c r="AL70" s="264"/>
    </row>
    <row r="71">
      <c r="A71" s="279"/>
      <c r="B71" s="280"/>
      <c r="C71" s="281"/>
      <c r="D71" s="281"/>
      <c r="E71" s="280"/>
      <c r="F71" s="280"/>
      <c r="G71" s="280"/>
      <c r="H71" s="260"/>
      <c r="I71" s="281"/>
      <c r="J71" s="282"/>
      <c r="K71" s="282"/>
      <c r="L71" s="282"/>
      <c r="M71" s="282"/>
      <c r="N71" s="282"/>
      <c r="O71" s="282"/>
      <c r="P71" s="184"/>
      <c r="Q71" s="184"/>
      <c r="R71" s="282"/>
      <c r="S71" s="282"/>
      <c r="T71" s="282"/>
      <c r="U71" s="282"/>
      <c r="V71" s="283"/>
      <c r="W71" s="283"/>
      <c r="X71" s="282"/>
      <c r="Y71" s="282"/>
      <c r="Z71" s="115"/>
      <c r="AA71" s="282"/>
      <c r="AB71" s="284"/>
      <c r="AC71" s="282"/>
      <c r="AD71" s="282"/>
      <c r="AE71" s="282"/>
      <c r="AF71" s="283"/>
      <c r="AG71" s="283"/>
      <c r="AH71" s="262"/>
      <c r="AI71" s="262"/>
      <c r="AJ71" s="264">
        <v>2.28329661E8</v>
      </c>
      <c r="AK71" s="264"/>
      <c r="AL71" s="264"/>
    </row>
    <row r="72">
      <c r="A72" s="272"/>
      <c r="B72" s="273"/>
      <c r="C72" s="273"/>
      <c r="D72" s="273"/>
      <c r="E72" s="274"/>
      <c r="F72" s="273"/>
      <c r="G72" s="274"/>
      <c r="H72" s="260"/>
      <c r="I72" s="273"/>
      <c r="J72" s="124"/>
      <c r="K72" s="124"/>
      <c r="L72" s="124"/>
      <c r="M72" s="124"/>
      <c r="N72" s="124"/>
      <c r="O72" s="124"/>
      <c r="P72" s="128"/>
      <c r="Q72" s="127"/>
      <c r="R72" s="192"/>
      <c r="S72" s="192"/>
      <c r="T72" s="124"/>
      <c r="U72" s="124"/>
      <c r="V72" s="124"/>
      <c r="W72" s="124"/>
      <c r="X72" s="124"/>
      <c r="Y72" s="124"/>
      <c r="Z72" s="124"/>
      <c r="AA72" s="124"/>
      <c r="AB72" s="275"/>
      <c r="AC72" s="275"/>
      <c r="AD72" s="124"/>
      <c r="AE72" s="192"/>
      <c r="AF72" s="124"/>
      <c r="AG72" s="124"/>
      <c r="AH72" s="124"/>
      <c r="AI72" s="285"/>
      <c r="AJ72" s="286">
        <v>9.0476399E7</v>
      </c>
      <c r="AK72" s="286" t="s">
        <v>1305</v>
      </c>
      <c r="AL72" s="286"/>
    </row>
    <row r="73">
      <c r="A73" s="255"/>
      <c r="B73" s="259"/>
      <c r="C73" s="259"/>
      <c r="D73" s="259"/>
      <c r="E73" s="277"/>
      <c r="F73" s="276"/>
      <c r="G73" s="277"/>
      <c r="H73" s="260"/>
      <c r="I73" s="259"/>
      <c r="J73" s="115"/>
      <c r="K73" s="115"/>
      <c r="L73" s="115"/>
      <c r="M73" s="115"/>
      <c r="N73" s="115"/>
      <c r="O73" s="115"/>
      <c r="P73" s="268"/>
      <c r="Q73" s="269"/>
      <c r="R73" s="77"/>
      <c r="S73" s="77"/>
      <c r="T73" s="115"/>
      <c r="U73" s="115"/>
      <c r="V73" s="115"/>
      <c r="W73" s="115"/>
      <c r="X73" s="115"/>
      <c r="Y73" s="115"/>
      <c r="Z73" s="115"/>
      <c r="AA73" s="115"/>
      <c r="AB73" s="261"/>
      <c r="AC73" s="261"/>
      <c r="AD73" s="287"/>
      <c r="AE73" s="77"/>
      <c r="AF73" s="115"/>
      <c r="AG73" s="115"/>
      <c r="AH73" s="262"/>
      <c r="AI73" s="262"/>
      <c r="AJ73" s="264">
        <v>2.28329662E8</v>
      </c>
      <c r="AK73" s="264"/>
      <c r="AL73" s="264"/>
    </row>
    <row r="74">
      <c r="A74" s="288"/>
      <c r="B74" s="265"/>
      <c r="C74" s="289"/>
      <c r="D74" s="265"/>
      <c r="E74" s="265"/>
      <c r="F74" s="265"/>
      <c r="G74" s="265"/>
      <c r="H74" s="260"/>
      <c r="I74" s="265"/>
      <c r="J74" s="123"/>
      <c r="K74" s="123"/>
      <c r="L74" s="123"/>
      <c r="M74" s="123"/>
      <c r="N74" s="123"/>
      <c r="O74" s="123"/>
      <c r="P74" s="121"/>
      <c r="Q74" s="121"/>
      <c r="R74" s="123"/>
      <c r="S74" s="123"/>
      <c r="T74" s="123"/>
      <c r="U74" s="123"/>
      <c r="V74" s="123"/>
      <c r="W74" s="123"/>
      <c r="X74" s="123"/>
      <c r="Y74" s="123"/>
      <c r="Z74" s="123"/>
      <c r="AA74" s="123"/>
      <c r="AB74" s="123"/>
      <c r="AC74" s="123"/>
      <c r="AD74" s="123"/>
      <c r="AE74" s="123"/>
      <c r="AF74" s="123"/>
      <c r="AG74" s="123"/>
      <c r="AH74" s="123"/>
      <c r="AI74" s="123"/>
      <c r="AJ74" s="267">
        <v>1.31852035E8</v>
      </c>
      <c r="AK74" s="267" t="s">
        <v>1330</v>
      </c>
      <c r="AL74" s="267"/>
    </row>
    <row r="75">
      <c r="A75" s="288"/>
      <c r="B75" s="265"/>
      <c r="C75" s="289"/>
      <c r="D75" s="265"/>
      <c r="E75" s="265"/>
      <c r="F75" s="265"/>
      <c r="G75" s="265"/>
      <c r="H75" s="260"/>
      <c r="I75" s="265"/>
      <c r="J75" s="123"/>
      <c r="K75" s="123"/>
      <c r="L75" s="123"/>
      <c r="M75" s="123"/>
      <c r="N75" s="123"/>
      <c r="O75" s="123"/>
      <c r="P75" s="121"/>
      <c r="Q75" s="121"/>
      <c r="R75" s="123"/>
      <c r="S75" s="123"/>
      <c r="T75" s="123"/>
      <c r="U75" s="123"/>
      <c r="V75" s="123"/>
      <c r="W75" s="123"/>
      <c r="X75" s="123"/>
      <c r="Y75" s="123"/>
      <c r="Z75" s="123"/>
      <c r="AA75" s="123"/>
      <c r="AB75" s="123"/>
      <c r="AC75" s="123"/>
      <c r="AD75" s="123"/>
      <c r="AE75" s="123"/>
      <c r="AF75" s="123"/>
      <c r="AG75" s="123"/>
      <c r="AH75" s="123"/>
      <c r="AI75" s="123"/>
      <c r="AJ75" s="267">
        <v>1.31852033E8</v>
      </c>
      <c r="AK75" s="267" t="s">
        <v>1330</v>
      </c>
      <c r="AL75" s="267"/>
    </row>
    <row r="76">
      <c r="A76" s="288"/>
      <c r="B76" s="265"/>
      <c r="C76" s="289"/>
      <c r="D76" s="265"/>
      <c r="E76" s="265"/>
      <c r="F76" s="265"/>
      <c r="G76" s="265"/>
      <c r="H76" s="260"/>
      <c r="I76" s="265"/>
      <c r="J76" s="123"/>
      <c r="K76" s="123"/>
      <c r="L76" s="123"/>
      <c r="M76" s="123"/>
      <c r="N76" s="123"/>
      <c r="O76" s="123"/>
      <c r="P76" s="121"/>
      <c r="Q76" s="121"/>
      <c r="R76" s="123"/>
      <c r="S76" s="123"/>
      <c r="T76" s="123"/>
      <c r="U76" s="123"/>
      <c r="V76" s="123"/>
      <c r="W76" s="123"/>
      <c r="X76" s="123"/>
      <c r="Y76" s="123"/>
      <c r="Z76" s="123"/>
      <c r="AA76" s="123"/>
      <c r="AB76" s="123"/>
      <c r="AC76" s="123"/>
      <c r="AD76" s="123"/>
      <c r="AE76" s="123"/>
      <c r="AF76" s="123"/>
      <c r="AG76" s="123"/>
      <c r="AH76" s="123"/>
      <c r="AI76" s="123"/>
      <c r="AJ76" s="267">
        <v>1.31852032E8</v>
      </c>
      <c r="AK76" s="267" t="s">
        <v>1330</v>
      </c>
      <c r="AL76" s="267"/>
    </row>
    <row r="77">
      <c r="A77" s="288"/>
      <c r="B77" s="265"/>
      <c r="C77" s="289"/>
      <c r="D77" s="265"/>
      <c r="E77" s="265"/>
      <c r="F77" s="265"/>
      <c r="G77" s="265"/>
      <c r="H77" s="260"/>
      <c r="I77" s="265"/>
      <c r="J77" s="123"/>
      <c r="K77" s="123"/>
      <c r="L77" s="123"/>
      <c r="M77" s="123"/>
      <c r="N77" s="123"/>
      <c r="O77" s="123"/>
      <c r="P77" s="121"/>
      <c r="Q77" s="121"/>
      <c r="R77" s="123"/>
      <c r="S77" s="123"/>
      <c r="T77" s="123"/>
      <c r="U77" s="123"/>
      <c r="V77" s="123"/>
      <c r="W77" s="123"/>
      <c r="X77" s="123"/>
      <c r="Y77" s="123"/>
      <c r="Z77" s="123"/>
      <c r="AA77" s="123"/>
      <c r="AB77" s="123"/>
      <c r="AC77" s="123"/>
      <c r="AD77" s="123"/>
      <c r="AE77" s="123"/>
      <c r="AF77" s="123"/>
      <c r="AG77" s="123"/>
      <c r="AH77" s="123"/>
      <c r="AI77" s="123"/>
      <c r="AJ77" s="267">
        <v>2.33855851E8</v>
      </c>
      <c r="AK77" s="267"/>
      <c r="AL77" s="267"/>
    </row>
    <row r="78">
      <c r="A78" s="288"/>
      <c r="B78" s="265"/>
      <c r="C78" s="289"/>
      <c r="D78" s="265"/>
      <c r="E78" s="265"/>
      <c r="F78" s="265"/>
      <c r="G78" s="265"/>
      <c r="H78" s="260"/>
      <c r="I78" s="265"/>
      <c r="J78" s="123"/>
      <c r="K78" s="123"/>
      <c r="L78" s="123"/>
      <c r="M78" s="123"/>
      <c r="N78" s="123"/>
      <c r="O78" s="123"/>
      <c r="P78" s="121"/>
      <c r="Q78" s="121"/>
      <c r="R78" s="123"/>
      <c r="S78" s="123"/>
      <c r="T78" s="123"/>
      <c r="U78" s="123"/>
      <c r="V78" s="123"/>
      <c r="W78" s="123"/>
      <c r="X78" s="123"/>
      <c r="Y78" s="123"/>
      <c r="Z78" s="123"/>
      <c r="AA78" s="123"/>
      <c r="AB78" s="123"/>
      <c r="AC78" s="123"/>
      <c r="AD78" s="123"/>
      <c r="AE78" s="123"/>
      <c r="AF78" s="123"/>
      <c r="AG78" s="123"/>
      <c r="AH78" s="123"/>
      <c r="AI78" s="123"/>
      <c r="AJ78" s="267">
        <v>2.33815804E8</v>
      </c>
      <c r="AK78" s="267"/>
      <c r="AL78" s="267"/>
    </row>
    <row r="79">
      <c r="A79" s="288"/>
      <c r="B79" s="265"/>
      <c r="C79" s="289"/>
      <c r="D79" s="265"/>
      <c r="E79" s="265"/>
      <c r="F79" s="265"/>
      <c r="G79" s="265"/>
      <c r="H79" s="260"/>
      <c r="I79" s="265"/>
      <c r="J79" s="123"/>
      <c r="K79" s="123"/>
      <c r="L79" s="123"/>
      <c r="M79" s="123"/>
      <c r="N79" s="123"/>
      <c r="O79" s="123"/>
      <c r="P79" s="121"/>
      <c r="Q79" s="121"/>
      <c r="R79" s="123"/>
      <c r="S79" s="123"/>
      <c r="T79" s="123"/>
      <c r="U79" s="123"/>
      <c r="V79" s="123"/>
      <c r="W79" s="123"/>
      <c r="X79" s="123"/>
      <c r="Y79" s="123"/>
      <c r="Z79" s="123"/>
      <c r="AA79" s="123"/>
      <c r="AB79" s="123"/>
      <c r="AC79" s="123"/>
      <c r="AD79" s="123"/>
      <c r="AE79" s="123"/>
      <c r="AF79" s="123"/>
      <c r="AG79" s="123"/>
      <c r="AH79" s="123"/>
      <c r="AI79" s="123"/>
      <c r="AJ79" s="267">
        <v>2.63835222E8</v>
      </c>
      <c r="AK79" s="267"/>
      <c r="AL79" s="267"/>
    </row>
    <row r="80">
      <c r="A80" s="288"/>
      <c r="B80" s="265"/>
      <c r="C80" s="289"/>
      <c r="D80" s="265"/>
      <c r="E80" s="265"/>
      <c r="F80" s="265"/>
      <c r="G80" s="265"/>
      <c r="H80" s="260"/>
      <c r="I80" s="265"/>
      <c r="J80" s="123"/>
      <c r="K80" s="123"/>
      <c r="L80" s="123"/>
      <c r="M80" s="123"/>
      <c r="N80" s="123"/>
      <c r="O80" s="123"/>
      <c r="P80" s="121"/>
      <c r="Q80" s="121"/>
      <c r="R80" s="123"/>
      <c r="S80" s="123"/>
      <c r="T80" s="123"/>
      <c r="U80" s="123"/>
      <c r="V80" s="123"/>
      <c r="W80" s="123"/>
      <c r="X80" s="123"/>
      <c r="Y80" s="123"/>
      <c r="Z80" s="123"/>
      <c r="AA80" s="123"/>
      <c r="AB80" s="123"/>
      <c r="AC80" s="123"/>
      <c r="AD80" s="123"/>
      <c r="AE80" s="123"/>
      <c r="AF80" s="123"/>
      <c r="AG80" s="123"/>
      <c r="AH80" s="123"/>
      <c r="AI80" s="123"/>
      <c r="AJ80" s="267">
        <v>2.63831566E8</v>
      </c>
      <c r="AK80" s="267"/>
      <c r="AL80" s="267"/>
    </row>
    <row r="81">
      <c r="A81" s="288"/>
      <c r="B81" s="265"/>
      <c r="C81" s="289"/>
      <c r="D81" s="265"/>
      <c r="E81" s="265"/>
      <c r="F81" s="265"/>
      <c r="G81" s="265"/>
      <c r="H81" s="260"/>
      <c r="I81" s="265"/>
      <c r="J81" s="123"/>
      <c r="K81" s="123"/>
      <c r="L81" s="123"/>
      <c r="M81" s="123"/>
      <c r="N81" s="123"/>
      <c r="O81" s="123"/>
      <c r="P81" s="121"/>
      <c r="Q81" s="121"/>
      <c r="R81" s="123"/>
      <c r="S81" s="123"/>
      <c r="T81" s="123"/>
      <c r="U81" s="123"/>
      <c r="V81" s="123"/>
      <c r="W81" s="123"/>
      <c r="X81" s="123"/>
      <c r="Y81" s="123"/>
      <c r="Z81" s="123"/>
      <c r="AA81" s="123"/>
      <c r="AB81" s="123"/>
      <c r="AC81" s="123"/>
      <c r="AD81" s="123"/>
      <c r="AE81" s="123"/>
      <c r="AF81" s="123"/>
      <c r="AG81" s="123"/>
      <c r="AH81" s="123"/>
      <c r="AI81" s="123"/>
      <c r="AJ81" s="267">
        <v>3.26154767E8</v>
      </c>
      <c r="AK81" s="267"/>
      <c r="AL81" s="267"/>
    </row>
    <row r="82">
      <c r="A82" s="288"/>
      <c r="B82" s="265"/>
      <c r="C82" s="289"/>
      <c r="D82" s="265"/>
      <c r="E82" s="265"/>
      <c r="F82" s="265"/>
      <c r="G82" s="265"/>
      <c r="H82" s="260"/>
      <c r="I82" s="265"/>
      <c r="J82" s="123"/>
      <c r="K82" s="123"/>
      <c r="L82" s="123"/>
      <c r="M82" s="123"/>
      <c r="N82" s="123"/>
      <c r="O82" s="123"/>
      <c r="P82" s="121"/>
      <c r="Q82" s="121"/>
      <c r="R82" s="123"/>
      <c r="S82" s="123"/>
      <c r="T82" s="123"/>
      <c r="U82" s="123"/>
      <c r="V82" s="123"/>
      <c r="W82" s="123"/>
      <c r="X82" s="123"/>
      <c r="Y82" s="123"/>
      <c r="Z82" s="123"/>
      <c r="AA82" s="123"/>
      <c r="AB82" s="123"/>
      <c r="AC82" s="123"/>
      <c r="AD82" s="123"/>
      <c r="AE82" s="123"/>
      <c r="AF82" s="123"/>
      <c r="AG82" s="123"/>
      <c r="AH82" s="123"/>
      <c r="AI82" s="123"/>
      <c r="AJ82" s="267">
        <v>4.1873348E8</v>
      </c>
      <c r="AK82" s="267"/>
      <c r="AL82" s="267"/>
    </row>
    <row r="83">
      <c r="A83" s="279"/>
      <c r="B83" s="280"/>
      <c r="C83" s="281"/>
      <c r="D83" s="281"/>
      <c r="E83" s="280"/>
      <c r="F83" s="280"/>
      <c r="G83" s="280"/>
      <c r="H83" s="260"/>
      <c r="I83" s="280"/>
      <c r="J83" s="282"/>
      <c r="K83" s="282"/>
      <c r="L83" s="282"/>
      <c r="M83" s="282"/>
      <c r="N83" s="282"/>
      <c r="O83" s="282"/>
      <c r="P83" s="184"/>
      <c r="Q83" s="184"/>
      <c r="R83" s="282"/>
      <c r="S83" s="282"/>
      <c r="T83" s="282"/>
      <c r="U83" s="282"/>
      <c r="V83" s="283"/>
      <c r="W83" s="283"/>
      <c r="X83" s="283"/>
      <c r="Y83" s="282"/>
      <c r="Z83" s="115"/>
      <c r="AA83" s="282"/>
      <c r="AB83" s="282"/>
      <c r="AC83" s="282"/>
      <c r="AD83" s="282"/>
      <c r="AE83" s="282"/>
      <c r="AF83" s="283"/>
      <c r="AG83" s="283"/>
      <c r="AH83" s="262"/>
      <c r="AI83" s="262"/>
      <c r="AJ83" s="264">
        <v>3.92028939E8</v>
      </c>
      <c r="AK83" s="264"/>
      <c r="AL83" s="264"/>
    </row>
    <row r="84">
      <c r="A84" s="255"/>
      <c r="B84" s="259"/>
      <c r="C84" s="259"/>
      <c r="D84" s="259"/>
      <c r="E84" s="277"/>
      <c r="F84" s="276"/>
      <c r="G84" s="277"/>
      <c r="H84" s="260"/>
      <c r="I84" s="259"/>
      <c r="J84" s="115"/>
      <c r="K84" s="115"/>
      <c r="L84" s="115"/>
      <c r="M84" s="115"/>
      <c r="N84" s="115"/>
      <c r="O84" s="115"/>
      <c r="P84" s="268"/>
      <c r="Q84" s="269"/>
      <c r="R84" s="115"/>
      <c r="S84" s="77"/>
      <c r="T84" s="115"/>
      <c r="U84" s="115"/>
      <c r="V84" s="115"/>
      <c r="W84" s="115"/>
      <c r="X84" s="115"/>
      <c r="Y84" s="115"/>
      <c r="Z84" s="115"/>
      <c r="AA84" s="115"/>
      <c r="AB84" s="278"/>
      <c r="AC84" s="261"/>
      <c r="AD84" s="77"/>
      <c r="AE84" s="290"/>
      <c r="AF84" s="115"/>
      <c r="AG84" s="115"/>
      <c r="AH84" s="262"/>
      <c r="AI84" s="262"/>
      <c r="AJ84" s="264">
        <v>4.84619244E8</v>
      </c>
      <c r="AK84" s="264"/>
      <c r="AL84" s="264"/>
    </row>
    <row r="85">
      <c r="A85" s="279"/>
      <c r="B85" s="280"/>
      <c r="C85" s="281"/>
      <c r="D85" s="281"/>
      <c r="E85" s="280"/>
      <c r="F85" s="280"/>
      <c r="G85" s="280"/>
      <c r="H85" s="260"/>
      <c r="I85" s="281"/>
      <c r="J85" s="282"/>
      <c r="K85" s="282"/>
      <c r="L85" s="282"/>
      <c r="M85" s="282"/>
      <c r="N85" s="282"/>
      <c r="O85" s="282"/>
      <c r="P85" s="291"/>
      <c r="Q85" s="291"/>
      <c r="R85" s="282"/>
      <c r="S85" s="282"/>
      <c r="T85" s="283"/>
      <c r="U85" s="283"/>
      <c r="V85" s="283"/>
      <c r="W85" s="283"/>
      <c r="X85" s="283"/>
      <c r="Y85" s="282"/>
      <c r="Z85" s="115"/>
      <c r="AA85" s="282"/>
      <c r="AB85" s="282"/>
      <c r="AC85" s="282"/>
      <c r="AD85" s="282"/>
      <c r="AE85" s="282"/>
      <c r="AF85" s="283"/>
      <c r="AG85" s="283"/>
      <c r="AH85" s="148"/>
      <c r="AI85" s="262"/>
      <c r="AJ85" s="264"/>
      <c r="AK85" s="264" t="s">
        <v>401</v>
      </c>
      <c r="AL85" s="264"/>
    </row>
    <row r="86">
      <c r="A86" s="292"/>
      <c r="B86" s="273"/>
      <c r="C86" s="273"/>
      <c r="D86" s="273"/>
      <c r="E86" s="274"/>
      <c r="F86" s="273"/>
      <c r="G86" s="274"/>
      <c r="H86" s="260"/>
      <c r="I86" s="273"/>
      <c r="J86" s="124"/>
      <c r="K86" s="124"/>
      <c r="L86" s="124"/>
      <c r="M86" s="124"/>
      <c r="N86" s="124"/>
      <c r="O86" s="124"/>
      <c r="P86" s="128"/>
      <c r="Q86" s="128"/>
      <c r="R86" s="192"/>
      <c r="S86" s="192"/>
      <c r="T86" s="192"/>
      <c r="U86" s="192"/>
      <c r="V86" s="124"/>
      <c r="W86" s="124"/>
      <c r="X86" s="124"/>
      <c r="Y86" s="124"/>
      <c r="Z86" s="124"/>
      <c r="AA86" s="124"/>
      <c r="AB86" s="275"/>
      <c r="AC86" s="192"/>
      <c r="AD86" s="124"/>
      <c r="AE86" s="192"/>
      <c r="AF86" s="124"/>
      <c r="AG86" s="124"/>
      <c r="AH86" s="124"/>
      <c r="AI86" s="124"/>
      <c r="AJ86" s="264">
        <v>3.81335309E8</v>
      </c>
      <c r="AK86" s="264"/>
      <c r="AL86" s="264"/>
    </row>
    <row r="87">
      <c r="A87" s="255"/>
      <c r="B87" s="259"/>
      <c r="C87" s="259"/>
      <c r="D87" s="259"/>
      <c r="E87" s="277"/>
      <c r="F87" s="277"/>
      <c r="G87" s="277"/>
      <c r="H87" s="260"/>
      <c r="I87" s="259"/>
      <c r="J87" s="115"/>
      <c r="K87" s="115"/>
      <c r="L87" s="115"/>
      <c r="M87" s="115"/>
      <c r="N87" s="115"/>
      <c r="O87" s="115"/>
      <c r="P87" s="268"/>
      <c r="Q87" s="269"/>
      <c r="R87" s="77"/>
      <c r="S87" s="77"/>
      <c r="T87" s="115"/>
      <c r="U87" s="115"/>
      <c r="V87" s="115"/>
      <c r="W87" s="115"/>
      <c r="X87" s="115"/>
      <c r="Y87" s="115"/>
      <c r="Z87" s="115"/>
      <c r="AA87" s="115"/>
      <c r="AB87" s="77"/>
      <c r="AC87" s="261"/>
      <c r="AD87" s="115"/>
      <c r="AE87" s="77"/>
      <c r="AF87" s="115"/>
      <c r="AG87" s="115"/>
      <c r="AH87" s="262"/>
      <c r="AI87" s="262"/>
      <c r="AJ87" s="264">
        <v>4.45333054E8</v>
      </c>
      <c r="AK87" s="264"/>
      <c r="AL87" s="264"/>
    </row>
    <row r="88">
      <c r="A88" s="255"/>
      <c r="B88" s="259"/>
      <c r="C88" s="259"/>
      <c r="D88" s="259"/>
      <c r="E88" s="277"/>
      <c r="F88" s="277"/>
      <c r="G88" s="277"/>
      <c r="H88" s="260"/>
      <c r="I88" s="259"/>
      <c r="J88" s="115"/>
      <c r="K88" s="115"/>
      <c r="L88" s="115"/>
      <c r="M88" s="115"/>
      <c r="N88" s="115"/>
      <c r="O88" s="115"/>
      <c r="P88" s="268"/>
      <c r="Q88" s="269"/>
      <c r="R88" s="77"/>
      <c r="S88" s="77"/>
      <c r="T88" s="115"/>
      <c r="U88" s="115"/>
      <c r="V88" s="115"/>
      <c r="W88" s="115"/>
      <c r="X88" s="115"/>
      <c r="Y88" s="115"/>
      <c r="Z88" s="115"/>
      <c r="AA88" s="115"/>
      <c r="AB88" s="77"/>
      <c r="AC88" s="261"/>
      <c r="AD88" s="115"/>
      <c r="AE88" s="77"/>
      <c r="AF88" s="115"/>
      <c r="AG88" s="115"/>
      <c r="AH88" s="262"/>
      <c r="AI88" s="262"/>
      <c r="AJ88" s="264">
        <v>2.40173672E8</v>
      </c>
      <c r="AK88" s="264"/>
      <c r="AL88" s="264"/>
    </row>
    <row r="89">
      <c r="A89" s="255"/>
      <c r="B89" s="259"/>
      <c r="C89" s="259"/>
      <c r="D89" s="259"/>
      <c r="E89" s="277"/>
      <c r="F89" s="277"/>
      <c r="G89" s="277"/>
      <c r="H89" s="260"/>
      <c r="I89" s="259"/>
      <c r="J89" s="115"/>
      <c r="K89" s="115"/>
      <c r="L89" s="115"/>
      <c r="M89" s="115"/>
      <c r="N89" s="115"/>
      <c r="O89" s="115"/>
      <c r="P89" s="268"/>
      <c r="Q89" s="269"/>
      <c r="R89" s="77"/>
      <c r="S89" s="77"/>
      <c r="T89" s="115"/>
      <c r="U89" s="115"/>
      <c r="V89" s="115"/>
      <c r="W89" s="115"/>
      <c r="X89" s="115"/>
      <c r="Y89" s="115"/>
      <c r="Z89" s="115"/>
      <c r="AA89" s="115"/>
      <c r="AB89" s="77"/>
      <c r="AC89" s="261"/>
      <c r="AD89" s="115"/>
      <c r="AE89" s="77"/>
      <c r="AF89" s="115"/>
      <c r="AG89" s="115"/>
      <c r="AH89" s="262"/>
      <c r="AI89" s="262"/>
      <c r="AJ89" s="264">
        <v>2.65543042E8</v>
      </c>
      <c r="AK89" s="264"/>
      <c r="AL89" s="264"/>
    </row>
    <row r="90">
      <c r="A90" s="255"/>
      <c r="B90" s="259"/>
      <c r="C90" s="259"/>
      <c r="D90" s="259"/>
      <c r="E90" s="277"/>
      <c r="F90" s="259"/>
      <c r="G90" s="277"/>
      <c r="H90" s="260"/>
      <c r="I90" s="259"/>
      <c r="J90" s="115"/>
      <c r="K90" s="115"/>
      <c r="L90" s="115"/>
      <c r="M90" s="115"/>
      <c r="N90" s="115"/>
      <c r="O90" s="115"/>
      <c r="P90" s="268"/>
      <c r="Q90" s="269"/>
      <c r="R90" s="115"/>
      <c r="S90" s="77"/>
      <c r="T90" s="115"/>
      <c r="U90" s="115"/>
      <c r="V90" s="115"/>
      <c r="W90" s="115"/>
      <c r="X90" s="115"/>
      <c r="Y90" s="115"/>
      <c r="Z90" s="115"/>
      <c r="AA90" s="115"/>
      <c r="AB90" s="278"/>
      <c r="AC90" s="261"/>
      <c r="AD90" s="115"/>
      <c r="AE90" s="77"/>
      <c r="AF90" s="115"/>
      <c r="AG90" s="115"/>
      <c r="AH90" s="262"/>
      <c r="AI90" s="262"/>
      <c r="AJ90" s="264">
        <v>1.69962249E8</v>
      </c>
      <c r="AK90" s="264" t="s">
        <v>1589</v>
      </c>
      <c r="AL90" s="264"/>
    </row>
    <row r="91">
      <c r="A91" s="90"/>
      <c r="B91" s="259"/>
      <c r="C91" s="259"/>
      <c r="D91" s="259"/>
      <c r="E91" s="277"/>
      <c r="F91" s="259"/>
      <c r="G91" s="277"/>
      <c r="H91" s="260"/>
      <c r="I91" s="259"/>
      <c r="J91" s="115"/>
      <c r="K91" s="115"/>
      <c r="L91" s="115"/>
      <c r="M91" s="115"/>
      <c r="N91" s="115"/>
      <c r="O91" s="115"/>
      <c r="P91" s="269"/>
      <c r="Q91" s="269"/>
      <c r="R91" s="77"/>
      <c r="S91" s="77"/>
      <c r="T91" s="115"/>
      <c r="U91" s="115"/>
      <c r="V91" s="115"/>
      <c r="W91" s="115"/>
      <c r="X91" s="115"/>
      <c r="Y91" s="115"/>
      <c r="Z91" s="115"/>
      <c r="AA91" s="115"/>
      <c r="AB91" s="261"/>
      <c r="AC91" s="261"/>
      <c r="AD91" s="115"/>
      <c r="AE91" s="77"/>
      <c r="AF91" s="115"/>
      <c r="AG91" s="115"/>
      <c r="AH91" s="262"/>
      <c r="AI91" s="262"/>
      <c r="AJ91" s="264">
        <v>1.5973404E8</v>
      </c>
      <c r="AK91" s="264" t="s">
        <v>1605</v>
      </c>
      <c r="AL91" s="264"/>
    </row>
    <row r="92">
      <c r="A92" s="272"/>
      <c r="B92" s="273"/>
      <c r="C92" s="273"/>
      <c r="D92" s="273"/>
      <c r="E92" s="274"/>
      <c r="F92" s="273"/>
      <c r="G92" s="274"/>
      <c r="H92" s="260"/>
      <c r="I92" s="273"/>
      <c r="J92" s="124"/>
      <c r="K92" s="124"/>
      <c r="L92" s="124"/>
      <c r="M92" s="124"/>
      <c r="N92" s="124"/>
      <c r="O92" s="124"/>
      <c r="P92" s="128"/>
      <c r="Q92" s="127"/>
      <c r="R92" s="192"/>
      <c r="S92" s="192"/>
      <c r="T92" s="124"/>
      <c r="U92" s="124"/>
      <c r="V92" s="124"/>
      <c r="W92" s="124"/>
      <c r="X92" s="124"/>
      <c r="Y92" s="124"/>
      <c r="Z92" s="115"/>
      <c r="AA92" s="124"/>
      <c r="AB92" s="275"/>
      <c r="AC92" s="275"/>
      <c r="AD92" s="124"/>
      <c r="AE92" s="192"/>
      <c r="AF92" s="124"/>
      <c r="AG92" s="124"/>
      <c r="AH92" s="124"/>
      <c r="AI92" s="124"/>
      <c r="AJ92" s="264">
        <v>2.3278502E8</v>
      </c>
      <c r="AK92" s="264"/>
      <c r="AL92" s="264"/>
    </row>
    <row r="93">
      <c r="A93" s="272"/>
      <c r="B93" s="273"/>
      <c r="C93" s="273"/>
      <c r="D93" s="273"/>
      <c r="E93" s="293"/>
      <c r="F93" s="293"/>
      <c r="G93" s="293"/>
      <c r="H93" s="260"/>
      <c r="I93" s="273"/>
      <c r="J93" s="124"/>
      <c r="K93" s="124"/>
      <c r="L93" s="124"/>
      <c r="M93" s="124"/>
      <c r="N93" s="124"/>
      <c r="O93" s="124"/>
      <c r="P93" s="128"/>
      <c r="Q93" s="128"/>
      <c r="R93" s="192"/>
      <c r="S93" s="192"/>
      <c r="T93" s="192"/>
      <c r="U93" s="192"/>
      <c r="V93" s="124"/>
      <c r="W93" s="124"/>
      <c r="X93" s="124"/>
      <c r="Y93" s="124"/>
      <c r="Z93" s="115"/>
      <c r="AA93" s="124"/>
      <c r="AB93" s="275"/>
      <c r="AC93" s="192"/>
      <c r="AD93" s="124"/>
      <c r="AE93" s="192"/>
      <c r="AF93" s="124"/>
      <c r="AG93" s="124"/>
      <c r="AH93" s="124"/>
      <c r="AI93" s="124"/>
      <c r="AJ93" s="264">
        <v>2.55209721E8</v>
      </c>
      <c r="AK93" s="264" t="s">
        <v>401</v>
      </c>
      <c r="AL93" s="264"/>
    </row>
    <row r="94">
      <c r="A94" s="255"/>
      <c r="B94" s="259"/>
      <c r="C94" s="259"/>
      <c r="D94" s="259"/>
      <c r="E94" s="277"/>
      <c r="F94" s="259"/>
      <c r="G94" s="277"/>
      <c r="H94" s="260"/>
      <c r="I94" s="259"/>
      <c r="J94" s="115"/>
      <c r="K94" s="115"/>
      <c r="L94" s="115"/>
      <c r="M94" s="115"/>
      <c r="N94" s="115"/>
      <c r="O94" s="115"/>
      <c r="P94" s="268"/>
      <c r="Q94" s="269"/>
      <c r="R94" s="77"/>
      <c r="S94" s="77"/>
      <c r="T94" s="115"/>
      <c r="U94" s="115"/>
      <c r="V94" s="115"/>
      <c r="W94" s="115"/>
      <c r="X94" s="115"/>
      <c r="Y94" s="115"/>
      <c r="Z94" s="115"/>
      <c r="AA94" s="115"/>
      <c r="AB94" s="261"/>
      <c r="AC94" s="261"/>
      <c r="AD94" s="115"/>
      <c r="AE94" s="77"/>
      <c r="AF94" s="115"/>
      <c r="AG94" s="115"/>
      <c r="AH94" s="262"/>
      <c r="AI94" s="262"/>
      <c r="AJ94" s="264">
        <v>4.00501943E8</v>
      </c>
      <c r="AK94" s="264"/>
      <c r="AL94" s="264"/>
    </row>
    <row r="95">
      <c r="A95" s="288"/>
      <c r="B95" s="265"/>
      <c r="C95" s="289"/>
      <c r="D95" s="265"/>
      <c r="E95" s="265"/>
      <c r="F95" s="265"/>
      <c r="G95" s="265"/>
      <c r="H95" s="260"/>
      <c r="I95" s="265"/>
      <c r="J95" s="123"/>
      <c r="K95" s="123"/>
      <c r="L95" s="123"/>
      <c r="M95" s="123"/>
      <c r="N95" s="123"/>
      <c r="O95" s="123"/>
      <c r="P95" s="121"/>
      <c r="Q95" s="121"/>
      <c r="R95" s="123"/>
      <c r="S95" s="123"/>
      <c r="T95" s="123"/>
      <c r="U95" s="123"/>
      <c r="V95" s="123"/>
      <c r="W95" s="123"/>
      <c r="X95" s="123"/>
      <c r="Y95" s="123"/>
      <c r="Z95" s="123"/>
      <c r="AA95" s="123"/>
      <c r="AB95" s="123"/>
      <c r="AC95" s="123"/>
      <c r="AD95" s="123"/>
      <c r="AE95" s="123"/>
      <c r="AF95" s="123"/>
      <c r="AG95" s="123"/>
      <c r="AH95" s="123"/>
      <c r="AI95" s="123"/>
      <c r="AJ95" s="267">
        <v>1.56995682E8</v>
      </c>
      <c r="AK95" s="267" t="s">
        <v>1682</v>
      </c>
      <c r="AL95" s="267"/>
    </row>
    <row r="96">
      <c r="A96" s="288"/>
      <c r="B96" s="265"/>
      <c r="C96" s="289"/>
      <c r="D96" s="265"/>
      <c r="E96" s="265"/>
      <c r="F96" s="265"/>
      <c r="G96" s="265"/>
      <c r="H96" s="260"/>
      <c r="I96" s="265"/>
      <c r="J96" s="123"/>
      <c r="K96" s="123"/>
      <c r="L96" s="123"/>
      <c r="M96" s="123"/>
      <c r="N96" s="123"/>
      <c r="O96" s="123"/>
      <c r="P96" s="121"/>
      <c r="Q96" s="121"/>
      <c r="R96" s="123"/>
      <c r="S96" s="123"/>
      <c r="T96" s="123"/>
      <c r="U96" s="123"/>
      <c r="V96" s="123"/>
      <c r="W96" s="123"/>
      <c r="X96" s="123"/>
      <c r="Y96" s="123"/>
      <c r="Z96" s="123"/>
      <c r="AA96" s="123"/>
      <c r="AB96" s="123"/>
      <c r="AC96" s="123"/>
      <c r="AD96" s="123"/>
      <c r="AE96" s="123"/>
      <c r="AF96" s="123"/>
      <c r="AG96" s="123"/>
      <c r="AH96" s="123"/>
      <c r="AI96" s="123"/>
      <c r="AJ96" s="267">
        <v>2.71462078E8</v>
      </c>
      <c r="AK96" s="267"/>
      <c r="AL96" s="267"/>
    </row>
    <row r="97">
      <c r="A97" s="288"/>
      <c r="B97" s="265"/>
      <c r="C97" s="289"/>
      <c r="D97" s="265"/>
      <c r="E97" s="265"/>
      <c r="F97" s="265"/>
      <c r="G97" s="265"/>
      <c r="H97" s="260"/>
      <c r="I97" s="265"/>
      <c r="J97" s="123"/>
      <c r="K97" s="123"/>
      <c r="L97" s="123"/>
      <c r="M97" s="123"/>
      <c r="N97" s="123"/>
      <c r="O97" s="123"/>
      <c r="P97" s="121"/>
      <c r="Q97" s="121"/>
      <c r="R97" s="123"/>
      <c r="S97" s="123"/>
      <c r="T97" s="123"/>
      <c r="U97" s="123"/>
      <c r="V97" s="123"/>
      <c r="W97" s="123"/>
      <c r="X97" s="123"/>
      <c r="Y97" s="123"/>
      <c r="Z97" s="123"/>
      <c r="AA97" s="123"/>
      <c r="AB97" s="123"/>
      <c r="AC97" s="123"/>
      <c r="AD97" s="123"/>
      <c r="AE97" s="123"/>
      <c r="AF97" s="123"/>
      <c r="AG97" s="123"/>
      <c r="AH97" s="123"/>
      <c r="AI97" s="123"/>
      <c r="AJ97" s="267">
        <v>1.65241082E8</v>
      </c>
      <c r="AK97" s="267" t="s">
        <v>1715</v>
      </c>
      <c r="AL97" s="267"/>
    </row>
    <row r="98">
      <c r="A98" s="288"/>
      <c r="B98" s="265"/>
      <c r="C98" s="289"/>
      <c r="D98" s="265"/>
      <c r="E98" s="265"/>
      <c r="F98" s="265"/>
      <c r="G98" s="265"/>
      <c r="H98" s="260"/>
      <c r="I98" s="265"/>
      <c r="J98" s="123"/>
      <c r="K98" s="123"/>
      <c r="L98" s="123"/>
      <c r="M98" s="123"/>
      <c r="N98" s="123"/>
      <c r="O98" s="123"/>
      <c r="P98" s="121"/>
      <c r="Q98" s="121"/>
      <c r="R98" s="123"/>
      <c r="S98" s="123"/>
      <c r="T98" s="123"/>
      <c r="U98" s="123"/>
      <c r="V98" s="123"/>
      <c r="W98" s="123"/>
      <c r="X98" s="123"/>
      <c r="Y98" s="123"/>
      <c r="Z98" s="123"/>
      <c r="AA98" s="123"/>
      <c r="AB98" s="123"/>
      <c r="AC98" s="123"/>
      <c r="AD98" s="123"/>
      <c r="AE98" s="123"/>
      <c r="AF98" s="123"/>
      <c r="AG98" s="123"/>
      <c r="AH98" s="123"/>
      <c r="AI98" s="123"/>
      <c r="AJ98" s="267">
        <v>1.58114551E8</v>
      </c>
      <c r="AK98" s="267" t="s">
        <v>1734</v>
      </c>
      <c r="AL98" s="267"/>
    </row>
    <row r="99">
      <c r="A99" s="288"/>
      <c r="B99" s="265"/>
      <c r="C99" s="289"/>
      <c r="D99" s="265"/>
      <c r="E99" s="265"/>
      <c r="F99" s="265"/>
      <c r="G99" s="265"/>
      <c r="H99" s="260"/>
      <c r="I99" s="265"/>
      <c r="J99" s="123"/>
      <c r="K99" s="123"/>
      <c r="L99" s="123"/>
      <c r="M99" s="123"/>
      <c r="N99" s="123"/>
      <c r="O99" s="123"/>
      <c r="P99" s="121"/>
      <c r="Q99" s="121"/>
      <c r="R99" s="123"/>
      <c r="S99" s="123"/>
      <c r="T99" s="123"/>
      <c r="U99" s="123"/>
      <c r="V99" s="123"/>
      <c r="W99" s="123"/>
      <c r="X99" s="123"/>
      <c r="Y99" s="123"/>
      <c r="Z99" s="123"/>
      <c r="AA99" s="123"/>
      <c r="AB99" s="123"/>
      <c r="AC99" s="123"/>
      <c r="AD99" s="123"/>
      <c r="AE99" s="123"/>
      <c r="AF99" s="123"/>
      <c r="AG99" s="123"/>
      <c r="AH99" s="123"/>
      <c r="AI99" s="123"/>
      <c r="AJ99" s="267">
        <v>2.70128827E8</v>
      </c>
      <c r="AK99" s="267"/>
      <c r="AL99" s="267"/>
    </row>
    <row r="100">
      <c r="A100" s="288"/>
      <c r="B100" s="265"/>
      <c r="C100" s="289"/>
      <c r="D100" s="265"/>
      <c r="E100" s="265"/>
      <c r="F100" s="265"/>
      <c r="G100" s="265"/>
      <c r="H100" s="260"/>
      <c r="I100" s="265"/>
      <c r="J100" s="123"/>
      <c r="K100" s="123"/>
      <c r="L100" s="123"/>
      <c r="M100" s="123"/>
      <c r="N100" s="123"/>
      <c r="O100" s="123"/>
      <c r="P100" s="121"/>
      <c r="Q100" s="121"/>
      <c r="R100" s="123"/>
      <c r="S100" s="123"/>
      <c r="T100" s="123"/>
      <c r="U100" s="123"/>
      <c r="V100" s="123"/>
      <c r="W100" s="123"/>
      <c r="X100" s="123"/>
      <c r="Y100" s="123"/>
      <c r="Z100" s="123"/>
      <c r="AA100" s="123"/>
      <c r="AB100" s="123"/>
      <c r="AC100" s="123"/>
      <c r="AD100" s="123"/>
      <c r="AE100" s="123"/>
      <c r="AF100" s="123"/>
      <c r="AG100" s="123"/>
      <c r="AH100" s="123"/>
      <c r="AI100" s="123"/>
      <c r="AJ100" s="267">
        <v>2.29246778E8</v>
      </c>
      <c r="AK100" s="267"/>
      <c r="AL100" s="267"/>
    </row>
    <row r="101">
      <c r="A101" s="288"/>
      <c r="B101" s="265"/>
      <c r="C101" s="289"/>
      <c r="D101" s="265"/>
      <c r="E101" s="265"/>
      <c r="F101" s="265"/>
      <c r="G101" s="265"/>
      <c r="H101" s="260"/>
      <c r="I101" s="265"/>
      <c r="J101" s="123"/>
      <c r="K101" s="123"/>
      <c r="L101" s="123"/>
      <c r="M101" s="123"/>
      <c r="N101" s="123"/>
      <c r="O101" s="123"/>
      <c r="P101" s="121"/>
      <c r="Q101" s="121"/>
      <c r="R101" s="123"/>
      <c r="S101" s="123"/>
      <c r="T101" s="123"/>
      <c r="U101" s="123"/>
      <c r="V101" s="123"/>
      <c r="W101" s="123"/>
      <c r="X101" s="123"/>
      <c r="Y101" s="123"/>
      <c r="Z101" s="123"/>
      <c r="AA101" s="123"/>
      <c r="AB101" s="123"/>
      <c r="AC101" s="123"/>
      <c r="AD101" s="123"/>
      <c r="AE101" s="123"/>
      <c r="AF101" s="123"/>
      <c r="AG101" s="123"/>
      <c r="AH101" s="123"/>
      <c r="AI101" s="123"/>
      <c r="AJ101" s="267">
        <v>2.70128828E8</v>
      </c>
      <c r="AK101" s="267"/>
      <c r="AL101" s="267"/>
    </row>
    <row r="102">
      <c r="A102" s="288"/>
      <c r="B102" s="265"/>
      <c r="C102" s="289"/>
      <c r="D102" s="265"/>
      <c r="E102" s="265"/>
      <c r="F102" s="265"/>
      <c r="G102" s="265"/>
      <c r="H102" s="260"/>
      <c r="I102" s="265"/>
      <c r="J102" s="123"/>
      <c r="K102" s="123"/>
      <c r="L102" s="123"/>
      <c r="M102" s="123"/>
      <c r="N102" s="123"/>
      <c r="O102" s="123"/>
      <c r="P102" s="121"/>
      <c r="Q102" s="121"/>
      <c r="R102" s="123"/>
      <c r="S102" s="123"/>
      <c r="T102" s="123"/>
      <c r="U102" s="123"/>
      <c r="V102" s="123"/>
      <c r="W102" s="123"/>
      <c r="X102" s="123"/>
      <c r="Y102" s="123"/>
      <c r="Z102" s="123"/>
      <c r="AA102" s="123"/>
      <c r="AB102" s="123"/>
      <c r="AC102" s="123"/>
      <c r="AD102" s="123"/>
      <c r="AE102" s="123"/>
      <c r="AF102" s="123"/>
      <c r="AG102" s="123"/>
      <c r="AH102" s="123"/>
      <c r="AI102" s="123"/>
      <c r="AJ102" s="267">
        <v>1.77867999E8</v>
      </c>
      <c r="AK102" s="267" t="s">
        <v>1793</v>
      </c>
      <c r="AL102" s="267"/>
    </row>
    <row r="103">
      <c r="A103" s="288"/>
      <c r="B103" s="265"/>
      <c r="C103" s="289"/>
      <c r="D103" s="265"/>
      <c r="E103" s="265"/>
      <c r="F103" s="265"/>
      <c r="G103" s="265"/>
      <c r="H103" s="260"/>
      <c r="I103" s="265"/>
      <c r="J103" s="123"/>
      <c r="K103" s="123"/>
      <c r="L103" s="123"/>
      <c r="M103" s="123"/>
      <c r="N103" s="123"/>
      <c r="O103" s="123"/>
      <c r="P103" s="121"/>
      <c r="Q103" s="121"/>
      <c r="R103" s="123"/>
      <c r="S103" s="123"/>
      <c r="T103" s="123"/>
      <c r="U103" s="123"/>
      <c r="V103" s="123"/>
      <c r="W103" s="123"/>
      <c r="X103" s="123"/>
      <c r="Y103" s="123"/>
      <c r="Z103" s="123"/>
      <c r="AA103" s="123"/>
      <c r="AB103" s="123"/>
      <c r="AC103" s="123"/>
      <c r="AD103" s="123"/>
      <c r="AE103" s="123"/>
      <c r="AF103" s="123"/>
      <c r="AG103" s="123"/>
      <c r="AH103" s="123"/>
      <c r="AI103" s="123"/>
      <c r="AJ103" s="267">
        <v>2.7036074E8</v>
      </c>
      <c r="AK103" s="267"/>
      <c r="AL103" s="267"/>
    </row>
    <row r="104">
      <c r="A104" s="288"/>
      <c r="B104" s="265"/>
      <c r="C104" s="289"/>
      <c r="D104" s="265"/>
      <c r="E104" s="265"/>
      <c r="F104" s="265"/>
      <c r="G104" s="265"/>
      <c r="H104" s="260"/>
      <c r="I104" s="265"/>
      <c r="J104" s="123"/>
      <c r="K104" s="123"/>
      <c r="L104" s="123"/>
      <c r="M104" s="123"/>
      <c r="N104" s="123"/>
      <c r="O104" s="123"/>
      <c r="P104" s="121"/>
      <c r="Q104" s="121"/>
      <c r="R104" s="123"/>
      <c r="S104" s="123"/>
      <c r="T104" s="123"/>
      <c r="U104" s="123"/>
      <c r="V104" s="123"/>
      <c r="W104" s="123"/>
      <c r="X104" s="123"/>
      <c r="Y104" s="123"/>
      <c r="Z104" s="123"/>
      <c r="AA104" s="123"/>
      <c r="AB104" s="123"/>
      <c r="AC104" s="123"/>
      <c r="AD104" s="123"/>
      <c r="AE104" s="123"/>
      <c r="AF104" s="123"/>
      <c r="AG104" s="123"/>
      <c r="AH104" s="123"/>
      <c r="AI104" s="123"/>
      <c r="AJ104" s="267">
        <v>2.4016933E8</v>
      </c>
      <c r="AK104" s="267"/>
      <c r="AL104" s="267"/>
    </row>
    <row r="105">
      <c r="A105" s="255"/>
      <c r="B105" s="259"/>
      <c r="C105" s="259"/>
      <c r="D105" s="259"/>
      <c r="E105" s="277"/>
      <c r="F105" s="259"/>
      <c r="G105" s="277"/>
      <c r="H105" s="260"/>
      <c r="I105" s="259"/>
      <c r="J105" s="115"/>
      <c r="K105" s="115"/>
      <c r="L105" s="115"/>
      <c r="M105" s="115"/>
      <c r="N105" s="115"/>
      <c r="O105" s="115"/>
      <c r="P105" s="268"/>
      <c r="Q105" s="269"/>
      <c r="R105" s="77"/>
      <c r="S105" s="77"/>
      <c r="T105" s="115"/>
      <c r="U105" s="115"/>
      <c r="V105" s="115"/>
      <c r="W105" s="115"/>
      <c r="X105" s="115"/>
      <c r="Y105" s="115"/>
      <c r="Z105" s="115"/>
      <c r="AA105" s="115"/>
      <c r="AB105" s="261"/>
      <c r="AC105" s="261"/>
      <c r="AD105" s="115"/>
      <c r="AE105" s="77"/>
      <c r="AF105" s="115"/>
      <c r="AG105" s="115"/>
      <c r="AH105" s="262"/>
      <c r="AI105" s="262"/>
      <c r="AJ105" s="264">
        <v>3.02419362E8</v>
      </c>
      <c r="AK105" s="264"/>
      <c r="AL105" s="264"/>
    </row>
    <row r="106">
      <c r="A106" s="272"/>
      <c r="B106" s="273"/>
      <c r="C106" s="273"/>
      <c r="D106" s="273"/>
      <c r="E106" s="274"/>
      <c r="F106" s="273"/>
      <c r="G106" s="274"/>
      <c r="H106" s="260"/>
      <c r="I106" s="273"/>
      <c r="J106" s="124"/>
      <c r="K106" s="124"/>
      <c r="L106" s="124"/>
      <c r="M106" s="124"/>
      <c r="N106" s="124"/>
      <c r="O106" s="124"/>
      <c r="P106" s="128"/>
      <c r="Q106" s="127"/>
      <c r="R106" s="192"/>
      <c r="S106" s="192"/>
      <c r="T106" s="124"/>
      <c r="U106" s="124"/>
      <c r="V106" s="124"/>
      <c r="W106" s="124"/>
      <c r="X106" s="124"/>
      <c r="Y106" s="124"/>
      <c r="Z106" s="115"/>
      <c r="AA106" s="124"/>
      <c r="AB106" s="275"/>
      <c r="AC106" s="275"/>
      <c r="AD106" s="124"/>
      <c r="AE106" s="192"/>
      <c r="AF106" s="124"/>
      <c r="AG106" s="124"/>
      <c r="AH106" s="124"/>
      <c r="AI106" s="124"/>
      <c r="AJ106" s="264">
        <v>3.25209184E8</v>
      </c>
      <c r="AK106" s="264"/>
      <c r="AL106" s="264"/>
    </row>
    <row r="107">
      <c r="A107" s="272"/>
      <c r="B107" s="273"/>
      <c r="C107" s="273"/>
      <c r="D107" s="273"/>
      <c r="E107" s="274"/>
      <c r="F107" s="273"/>
      <c r="G107" s="274"/>
      <c r="H107" s="260"/>
      <c r="I107" s="273"/>
      <c r="J107" s="124"/>
      <c r="K107" s="124"/>
      <c r="L107" s="124"/>
      <c r="M107" s="124"/>
      <c r="N107" s="124"/>
      <c r="O107" s="124"/>
      <c r="P107" s="128"/>
      <c r="Q107" s="127"/>
      <c r="R107" s="124"/>
      <c r="S107" s="192"/>
      <c r="T107" s="124"/>
      <c r="U107" s="124"/>
      <c r="V107" s="124"/>
      <c r="W107" s="124"/>
      <c r="X107" s="124"/>
      <c r="Y107" s="124"/>
      <c r="Z107" s="115"/>
      <c r="AA107" s="124"/>
      <c r="AB107" s="294"/>
      <c r="AC107" s="275"/>
      <c r="AD107" s="124"/>
      <c r="AE107" s="192"/>
      <c r="AF107" s="124"/>
      <c r="AG107" s="124"/>
      <c r="AH107" s="124"/>
      <c r="AI107" s="124"/>
      <c r="AJ107" s="264">
        <v>2.19926965E8</v>
      </c>
      <c r="AK107" s="264"/>
      <c r="AL107" s="264"/>
    </row>
    <row r="108">
      <c r="A108" s="288"/>
      <c r="B108" s="265"/>
      <c r="C108" s="265"/>
      <c r="D108" s="265"/>
      <c r="E108" s="265"/>
      <c r="F108" s="265"/>
      <c r="G108" s="265"/>
      <c r="H108" s="295"/>
      <c r="I108" s="265"/>
      <c r="J108" s="123"/>
      <c r="K108" s="123"/>
      <c r="L108" s="123"/>
      <c r="M108" s="123"/>
      <c r="N108" s="123"/>
      <c r="O108" s="123"/>
      <c r="P108" s="121"/>
      <c r="Q108" s="121"/>
      <c r="R108" s="123"/>
      <c r="S108" s="123"/>
      <c r="T108" s="123"/>
      <c r="U108" s="123"/>
      <c r="V108" s="123"/>
      <c r="W108" s="123"/>
      <c r="X108" s="123"/>
      <c r="Y108" s="123"/>
      <c r="Z108" s="123"/>
      <c r="AA108" s="123"/>
      <c r="AB108" s="123"/>
      <c r="AC108" s="123"/>
      <c r="AD108" s="123"/>
      <c r="AE108" s="123"/>
      <c r="AF108" s="123"/>
      <c r="AG108" s="123"/>
      <c r="AH108" s="123"/>
      <c r="AI108" s="123"/>
      <c r="AJ108" s="267">
        <v>3.25216323E8</v>
      </c>
      <c r="AK108" s="267"/>
      <c r="AL108" s="267"/>
    </row>
    <row r="109">
      <c r="A109" s="90"/>
      <c r="B109" s="259"/>
      <c r="C109" s="259"/>
      <c r="D109" s="259"/>
      <c r="E109" s="277"/>
      <c r="F109" s="259"/>
      <c r="G109" s="277"/>
      <c r="H109" s="260"/>
      <c r="I109" s="259"/>
      <c r="J109" s="115"/>
      <c r="K109" s="115"/>
      <c r="L109" s="115"/>
      <c r="M109" s="115"/>
      <c r="N109" s="115"/>
      <c r="O109" s="115"/>
      <c r="P109" s="268"/>
      <c r="Q109" s="269"/>
      <c r="R109" s="77"/>
      <c r="S109" s="77"/>
      <c r="T109" s="115"/>
      <c r="U109" s="115"/>
      <c r="V109" s="115"/>
      <c r="W109" s="115"/>
      <c r="X109" s="115"/>
      <c r="Y109" s="115"/>
      <c r="Z109" s="115"/>
      <c r="AA109" s="115"/>
      <c r="AB109" s="77"/>
      <c r="AC109" s="261"/>
      <c r="AD109" s="115"/>
      <c r="AE109" s="77"/>
      <c r="AF109" s="115"/>
      <c r="AG109" s="115"/>
      <c r="AH109" s="262"/>
      <c r="AI109" s="262"/>
      <c r="AJ109" s="264">
        <v>2.55212157E8</v>
      </c>
      <c r="AK109" s="264"/>
      <c r="AL109" s="264"/>
    </row>
    <row r="110">
      <c r="A110" s="255"/>
      <c r="B110" s="259"/>
      <c r="C110" s="259"/>
      <c r="D110" s="259"/>
      <c r="E110" s="277"/>
      <c r="F110" s="259"/>
      <c r="G110" s="277"/>
      <c r="H110" s="260"/>
      <c r="I110" s="259"/>
      <c r="J110" s="115"/>
      <c r="K110" s="115"/>
      <c r="L110" s="115"/>
      <c r="M110" s="115"/>
      <c r="N110" s="115"/>
      <c r="O110" s="115"/>
      <c r="P110" s="268"/>
      <c r="Q110" s="269"/>
      <c r="R110" s="115"/>
      <c r="S110" s="77"/>
      <c r="T110" s="115"/>
      <c r="U110" s="115"/>
      <c r="V110" s="115"/>
      <c r="W110" s="115"/>
      <c r="X110" s="115"/>
      <c r="Y110" s="115"/>
      <c r="Z110" s="115"/>
      <c r="AA110" s="115"/>
      <c r="AB110" s="278"/>
      <c r="AC110" s="261"/>
      <c r="AD110" s="115"/>
      <c r="AE110" s="77"/>
      <c r="AF110" s="115"/>
      <c r="AG110" s="115"/>
      <c r="AH110" s="262"/>
      <c r="AI110" s="262"/>
      <c r="AJ110" s="264">
        <v>2.32462E8</v>
      </c>
      <c r="AK110" s="264"/>
      <c r="AL110" s="264"/>
    </row>
    <row r="111">
      <c r="A111" s="279"/>
      <c r="B111" s="280"/>
      <c r="C111" s="281"/>
      <c r="D111" s="281"/>
      <c r="E111" s="280"/>
      <c r="F111" s="280"/>
      <c r="G111" s="280"/>
      <c r="H111" s="260"/>
      <c r="I111" s="281"/>
      <c r="J111" s="282"/>
      <c r="K111" s="282"/>
      <c r="L111" s="282"/>
      <c r="M111" s="282"/>
      <c r="N111" s="282"/>
      <c r="O111" s="282"/>
      <c r="P111" s="184"/>
      <c r="Q111" s="291"/>
      <c r="R111" s="282"/>
      <c r="S111" s="282"/>
      <c r="T111" s="283"/>
      <c r="U111" s="283"/>
      <c r="V111" s="283"/>
      <c r="W111" s="283"/>
      <c r="X111" s="283"/>
      <c r="Y111" s="283"/>
      <c r="Z111" s="115"/>
      <c r="AA111" s="282"/>
      <c r="AB111" s="282"/>
      <c r="AC111" s="282"/>
      <c r="AD111" s="283"/>
      <c r="AE111" s="282"/>
      <c r="AF111" s="283"/>
      <c r="AG111" s="283"/>
      <c r="AH111" s="262"/>
      <c r="AI111" s="262"/>
      <c r="AJ111" s="264">
        <v>2.94499466E8</v>
      </c>
      <c r="AK111" s="264"/>
      <c r="AL111" s="264"/>
    </row>
    <row r="112">
      <c r="A112" s="90"/>
      <c r="B112" s="259"/>
      <c r="C112" s="259"/>
      <c r="D112" s="296"/>
      <c r="E112" s="287"/>
      <c r="F112" s="262"/>
      <c r="G112" s="287"/>
      <c r="H112" s="260"/>
      <c r="I112" s="259"/>
      <c r="J112" s="115"/>
      <c r="K112" s="115"/>
      <c r="L112" s="115"/>
      <c r="M112" s="115"/>
      <c r="N112" s="115"/>
      <c r="O112" s="115"/>
      <c r="P112" s="71"/>
      <c r="Q112" s="71"/>
      <c r="R112" s="77"/>
      <c r="S112" s="77"/>
      <c r="T112" s="77"/>
      <c r="U112" s="77"/>
      <c r="V112" s="115"/>
      <c r="W112" s="115"/>
      <c r="X112" s="115"/>
      <c r="Y112" s="115"/>
      <c r="Z112" s="115"/>
      <c r="AA112" s="115"/>
      <c r="AB112" s="261"/>
      <c r="AC112" s="261"/>
      <c r="AD112" s="115"/>
      <c r="AE112" s="115"/>
      <c r="AF112" s="262"/>
      <c r="AG112" s="115"/>
      <c r="AH112" s="262"/>
      <c r="AI112" s="262"/>
      <c r="AJ112" s="264">
        <v>2.20091999E8</v>
      </c>
      <c r="AK112" s="264"/>
      <c r="AL112" s="264"/>
    </row>
    <row r="113">
      <c r="A113" s="90"/>
      <c r="B113" s="259"/>
      <c r="C113" s="259"/>
      <c r="D113" s="259"/>
      <c r="E113" s="277"/>
      <c r="F113" s="276"/>
      <c r="G113" s="277"/>
      <c r="H113" s="260"/>
      <c r="I113" s="259"/>
      <c r="J113" s="115"/>
      <c r="K113" s="115"/>
      <c r="L113" s="115"/>
      <c r="M113" s="115"/>
      <c r="N113" s="115"/>
      <c r="O113" s="115"/>
      <c r="P113" s="269"/>
      <c r="Q113" s="269"/>
      <c r="R113" s="77"/>
      <c r="S113" s="77"/>
      <c r="T113" s="115"/>
      <c r="U113" s="77"/>
      <c r="V113" s="115"/>
      <c r="W113" s="115"/>
      <c r="X113" s="115"/>
      <c r="Y113" s="115"/>
      <c r="Z113" s="115"/>
      <c r="AA113" s="115"/>
      <c r="AB113" s="261"/>
      <c r="AC113" s="261"/>
      <c r="AD113" s="115"/>
      <c r="AE113" s="77"/>
      <c r="AF113" s="115"/>
      <c r="AG113" s="115"/>
      <c r="AH113" s="262"/>
      <c r="AI113" s="276"/>
      <c r="AJ113" s="264">
        <v>1.28833711E8</v>
      </c>
      <c r="AK113" s="264" t="s">
        <v>1953</v>
      </c>
      <c r="AL113" s="264"/>
    </row>
    <row r="114">
      <c r="A114" s="297"/>
      <c r="B114" s="281"/>
      <c r="C114" s="281"/>
      <c r="D114" s="281"/>
      <c r="E114" s="280"/>
      <c r="F114" s="280"/>
      <c r="G114" s="280"/>
      <c r="H114" s="260"/>
      <c r="I114" s="281"/>
      <c r="J114" s="283"/>
      <c r="K114" s="283"/>
      <c r="L114" s="282"/>
      <c r="M114" s="283"/>
      <c r="N114" s="283"/>
      <c r="O114" s="282"/>
      <c r="P114" s="291"/>
      <c r="Q114" s="291"/>
      <c r="R114" s="282"/>
      <c r="S114" s="282"/>
      <c r="T114" s="283"/>
      <c r="U114" s="283"/>
      <c r="V114" s="283"/>
      <c r="W114" s="283"/>
      <c r="X114" s="283"/>
      <c r="Y114" s="283"/>
      <c r="Z114" s="115"/>
      <c r="AA114" s="282"/>
      <c r="AB114" s="298"/>
      <c r="AC114" s="282"/>
      <c r="AD114" s="283"/>
      <c r="AE114" s="282"/>
      <c r="AF114" s="283"/>
      <c r="AG114" s="283"/>
      <c r="AH114" s="262"/>
      <c r="AI114" s="276"/>
      <c r="AJ114" s="264">
        <v>1.70000477E8</v>
      </c>
      <c r="AK114" s="264" t="s">
        <v>1972</v>
      </c>
      <c r="AL114" s="264"/>
    </row>
    <row r="115">
      <c r="A115" s="255"/>
      <c r="B115" s="259"/>
      <c r="C115" s="259"/>
      <c r="D115" s="259"/>
      <c r="E115" s="277"/>
      <c r="F115" s="276"/>
      <c r="G115" s="277"/>
      <c r="H115" s="299"/>
      <c r="I115" s="259"/>
      <c r="J115" s="115"/>
      <c r="K115" s="115"/>
      <c r="L115" s="115"/>
      <c r="M115" s="115"/>
      <c r="N115" s="115"/>
      <c r="O115" s="115"/>
      <c r="P115" s="268"/>
      <c r="Q115" s="269"/>
      <c r="R115" s="115"/>
      <c r="S115" s="77"/>
      <c r="T115" s="115"/>
      <c r="U115" s="115"/>
      <c r="V115" s="115"/>
      <c r="W115" s="115"/>
      <c r="X115" s="115"/>
      <c r="Y115" s="115"/>
      <c r="Z115" s="115"/>
      <c r="AA115" s="115"/>
      <c r="AB115" s="278"/>
      <c r="AC115" s="77"/>
      <c r="AD115" s="115"/>
      <c r="AE115" s="77"/>
      <c r="AF115" s="115"/>
      <c r="AG115" s="115"/>
      <c r="AH115" s="262"/>
      <c r="AI115" s="262"/>
      <c r="AJ115" s="264">
        <v>1.86780052E8</v>
      </c>
      <c r="AK115" s="264" t="s">
        <v>1987</v>
      </c>
      <c r="AL115" s="264"/>
    </row>
    <row r="116">
      <c r="A116" s="122"/>
      <c r="B116" s="123"/>
      <c r="C116" s="147"/>
      <c r="D116" s="265"/>
      <c r="E116" s="265"/>
      <c r="F116" s="265"/>
      <c r="G116" s="265"/>
      <c r="H116" s="300"/>
      <c r="I116" s="265"/>
      <c r="J116" s="123"/>
      <c r="K116" s="123"/>
      <c r="L116" s="123"/>
      <c r="M116" s="123"/>
      <c r="N116" s="123"/>
      <c r="O116" s="123"/>
      <c r="P116" s="121"/>
      <c r="Q116" s="121"/>
      <c r="R116" s="123"/>
      <c r="S116" s="123"/>
      <c r="T116" s="123"/>
      <c r="U116" s="123"/>
      <c r="V116" s="123"/>
      <c r="W116" s="123"/>
      <c r="X116" s="123"/>
      <c r="Y116" s="123"/>
      <c r="Z116" s="123"/>
      <c r="AA116" s="123"/>
      <c r="AB116" s="123"/>
      <c r="AC116" s="123"/>
      <c r="AD116" s="123"/>
      <c r="AE116" s="123"/>
      <c r="AF116" s="123"/>
      <c r="AG116" s="123"/>
      <c r="AH116" s="123"/>
      <c r="AI116" s="123"/>
      <c r="AJ116" s="267">
        <v>1.33689253E8</v>
      </c>
      <c r="AK116" s="267" t="s">
        <v>2000</v>
      </c>
      <c r="AL116" s="267"/>
    </row>
    <row r="117">
      <c r="A117" s="122"/>
      <c r="B117" s="123"/>
      <c r="C117" s="147"/>
      <c r="D117" s="265"/>
      <c r="E117" s="265"/>
      <c r="F117" s="265"/>
      <c r="G117" s="265"/>
      <c r="H117" s="300"/>
      <c r="I117" s="265"/>
      <c r="J117" s="123"/>
      <c r="K117" s="123"/>
      <c r="L117" s="123"/>
      <c r="M117" s="123"/>
      <c r="N117" s="123"/>
      <c r="O117" s="123"/>
      <c r="P117" s="121"/>
      <c r="Q117" s="121"/>
      <c r="R117" s="123"/>
      <c r="S117" s="123"/>
      <c r="T117" s="123"/>
      <c r="U117" s="123"/>
      <c r="V117" s="123"/>
      <c r="W117" s="123"/>
      <c r="X117" s="123"/>
      <c r="Y117" s="123"/>
      <c r="Z117" s="123"/>
      <c r="AA117" s="123"/>
      <c r="AB117" s="123"/>
      <c r="AC117" s="123"/>
      <c r="AD117" s="123"/>
      <c r="AE117" s="123"/>
      <c r="AF117" s="123"/>
      <c r="AG117" s="123"/>
      <c r="AH117" s="123"/>
      <c r="AI117" s="123"/>
      <c r="AJ117" s="267">
        <v>1.67273376E8</v>
      </c>
      <c r="AK117" s="267" t="s">
        <v>2018</v>
      </c>
      <c r="AL117" s="267"/>
    </row>
    <row r="118">
      <c r="A118" s="122"/>
      <c r="B118" s="123"/>
      <c r="C118" s="147"/>
      <c r="D118" s="265"/>
      <c r="E118" s="265"/>
      <c r="F118" s="265"/>
      <c r="G118" s="265"/>
      <c r="H118" s="300"/>
      <c r="I118" s="265"/>
      <c r="J118" s="123"/>
      <c r="K118" s="123"/>
      <c r="L118" s="123"/>
      <c r="M118" s="123"/>
      <c r="N118" s="123"/>
      <c r="O118" s="123"/>
      <c r="P118" s="121"/>
      <c r="Q118" s="121"/>
      <c r="R118" s="123"/>
      <c r="S118" s="123"/>
      <c r="T118" s="123"/>
      <c r="U118" s="123"/>
      <c r="V118" s="123"/>
      <c r="W118" s="123"/>
      <c r="X118" s="123"/>
      <c r="Y118" s="123"/>
      <c r="Z118" s="123"/>
      <c r="AA118" s="123"/>
      <c r="AB118" s="123"/>
      <c r="AC118" s="123"/>
      <c r="AD118" s="123"/>
      <c r="AE118" s="123"/>
      <c r="AF118" s="123"/>
      <c r="AG118" s="123"/>
      <c r="AH118" s="123"/>
      <c r="AI118" s="123"/>
      <c r="AJ118" s="267">
        <v>1.86730528E8</v>
      </c>
      <c r="AK118" s="267" t="s">
        <v>2030</v>
      </c>
      <c r="AL118" s="267"/>
    </row>
    <row r="119">
      <c r="A119" s="122"/>
      <c r="B119" s="123"/>
      <c r="C119" s="147"/>
      <c r="D119" s="265"/>
      <c r="E119" s="265"/>
      <c r="F119" s="265"/>
      <c r="G119" s="265"/>
      <c r="H119" s="300"/>
      <c r="I119" s="265"/>
      <c r="J119" s="123"/>
      <c r="K119" s="123"/>
      <c r="L119" s="123"/>
      <c r="M119" s="123"/>
      <c r="N119" s="123"/>
      <c r="O119" s="123"/>
      <c r="P119" s="121"/>
      <c r="Q119" s="121"/>
      <c r="R119" s="123"/>
      <c r="S119" s="123"/>
      <c r="T119" s="123"/>
      <c r="U119" s="123"/>
      <c r="V119" s="123"/>
      <c r="W119" s="123"/>
      <c r="X119" s="123"/>
      <c r="Y119" s="123"/>
      <c r="Z119" s="123"/>
      <c r="AA119" s="123"/>
      <c r="AB119" s="123"/>
      <c r="AC119" s="123"/>
      <c r="AD119" s="123"/>
      <c r="AE119" s="123"/>
      <c r="AF119" s="123"/>
      <c r="AG119" s="123"/>
      <c r="AH119" s="123"/>
      <c r="AI119" s="123"/>
      <c r="AJ119" s="267">
        <v>1.57007801E8</v>
      </c>
      <c r="AK119" s="267" t="s">
        <v>2047</v>
      </c>
      <c r="AL119" s="267"/>
    </row>
    <row r="120">
      <c r="A120" s="122"/>
      <c r="B120" s="123"/>
      <c r="C120" s="147"/>
      <c r="D120" s="265"/>
      <c r="E120" s="265"/>
      <c r="F120" s="265"/>
      <c r="G120" s="265"/>
      <c r="H120" s="300"/>
      <c r="I120" s="265"/>
      <c r="J120" s="123"/>
      <c r="K120" s="123"/>
      <c r="L120" s="123"/>
      <c r="M120" s="123"/>
      <c r="N120" s="123"/>
      <c r="O120" s="123"/>
      <c r="P120" s="121"/>
      <c r="Q120" s="121"/>
      <c r="R120" s="123"/>
      <c r="S120" s="123"/>
      <c r="T120" s="123"/>
      <c r="U120" s="123"/>
      <c r="V120" s="123"/>
      <c r="W120" s="123"/>
      <c r="X120" s="123"/>
      <c r="Y120" s="123"/>
      <c r="Z120" s="123"/>
      <c r="AA120" s="123"/>
      <c r="AB120" s="123"/>
      <c r="AC120" s="123"/>
      <c r="AD120" s="123"/>
      <c r="AE120" s="123"/>
      <c r="AF120" s="123"/>
      <c r="AG120" s="123"/>
      <c r="AH120" s="123"/>
      <c r="AI120" s="123"/>
      <c r="AJ120" s="267">
        <v>2.94499169E8</v>
      </c>
      <c r="AK120" s="267"/>
      <c r="AL120" s="267"/>
    </row>
    <row r="121">
      <c r="A121" s="122"/>
      <c r="B121" s="123"/>
      <c r="C121" s="147"/>
      <c r="D121" s="265"/>
      <c r="E121" s="265"/>
      <c r="F121" s="265"/>
      <c r="G121" s="265"/>
      <c r="H121" s="300"/>
      <c r="I121" s="265"/>
      <c r="J121" s="123"/>
      <c r="K121" s="123"/>
      <c r="L121" s="123"/>
      <c r="M121" s="123"/>
      <c r="N121" s="123"/>
      <c r="O121" s="123"/>
      <c r="P121" s="121"/>
      <c r="Q121" s="121"/>
      <c r="R121" s="123"/>
      <c r="S121" s="123"/>
      <c r="T121" s="123"/>
      <c r="U121" s="123"/>
      <c r="V121" s="123"/>
      <c r="W121" s="123"/>
      <c r="X121" s="123"/>
      <c r="Y121" s="123"/>
      <c r="Z121" s="123"/>
      <c r="AA121" s="123"/>
      <c r="AB121" s="123"/>
      <c r="AC121" s="123"/>
      <c r="AD121" s="123"/>
      <c r="AE121" s="123"/>
      <c r="AF121" s="123"/>
      <c r="AG121" s="123"/>
      <c r="AH121" s="123"/>
      <c r="AI121" s="123"/>
      <c r="AJ121" s="267">
        <v>2.94499845E8</v>
      </c>
      <c r="AK121" s="267"/>
      <c r="AL121" s="267"/>
    </row>
    <row r="122">
      <c r="A122" s="122"/>
      <c r="B122" s="123"/>
      <c r="C122" s="147"/>
      <c r="D122" s="265"/>
      <c r="E122" s="265"/>
      <c r="F122" s="265"/>
      <c r="G122" s="265"/>
      <c r="H122" s="300"/>
      <c r="I122" s="265"/>
      <c r="J122" s="123"/>
      <c r="K122" s="123"/>
      <c r="L122" s="123"/>
      <c r="M122" s="123"/>
      <c r="N122" s="123"/>
      <c r="O122" s="123"/>
      <c r="P122" s="121"/>
      <c r="Q122" s="121"/>
      <c r="R122" s="123"/>
      <c r="S122" s="123"/>
      <c r="T122" s="123"/>
      <c r="U122" s="123"/>
      <c r="V122" s="123"/>
      <c r="W122" s="123"/>
      <c r="X122" s="123"/>
      <c r="Y122" s="123"/>
      <c r="Z122" s="123"/>
      <c r="AA122" s="123"/>
      <c r="AB122" s="123"/>
      <c r="AC122" s="123"/>
      <c r="AD122" s="123"/>
      <c r="AE122" s="123"/>
      <c r="AF122" s="123"/>
      <c r="AG122" s="123"/>
      <c r="AH122" s="123"/>
      <c r="AI122" s="123"/>
      <c r="AJ122" s="267">
        <v>1.33694038E8</v>
      </c>
      <c r="AK122" s="267" t="s">
        <v>2082</v>
      </c>
      <c r="AL122" s="267"/>
    </row>
    <row r="123">
      <c r="A123" s="122"/>
      <c r="B123" s="123"/>
      <c r="C123" s="147"/>
      <c r="D123" s="265"/>
      <c r="E123" s="265"/>
      <c r="F123" s="265"/>
      <c r="G123" s="265"/>
      <c r="H123" s="300"/>
      <c r="I123" s="265"/>
      <c r="J123" s="123"/>
      <c r="K123" s="123"/>
      <c r="L123" s="123"/>
      <c r="M123" s="123"/>
      <c r="N123" s="123"/>
      <c r="O123" s="123"/>
      <c r="P123" s="121"/>
      <c r="Q123" s="121"/>
      <c r="R123" s="123"/>
      <c r="S123" s="123"/>
      <c r="T123" s="123"/>
      <c r="U123" s="123"/>
      <c r="V123" s="123"/>
      <c r="W123" s="123"/>
      <c r="X123" s="123"/>
      <c r="Y123" s="123"/>
      <c r="Z123" s="123"/>
      <c r="AA123" s="123"/>
      <c r="AB123" s="123"/>
      <c r="AC123" s="123"/>
      <c r="AD123" s="123"/>
      <c r="AE123" s="123"/>
      <c r="AF123" s="123"/>
      <c r="AG123" s="123"/>
      <c r="AH123" s="123"/>
      <c r="AI123" s="123"/>
      <c r="AJ123" s="267">
        <v>1.38754901E8</v>
      </c>
      <c r="AK123" s="267" t="s">
        <v>2095</v>
      </c>
      <c r="AL123" s="267"/>
    </row>
    <row r="124">
      <c r="A124" s="122"/>
      <c r="B124" s="123"/>
      <c r="C124" s="147"/>
      <c r="D124" s="265"/>
      <c r="E124" s="265"/>
      <c r="F124" s="265"/>
      <c r="G124" s="265"/>
      <c r="H124" s="300"/>
      <c r="I124" s="265"/>
      <c r="J124" s="123"/>
      <c r="K124" s="123"/>
      <c r="L124" s="123"/>
      <c r="M124" s="123"/>
      <c r="N124" s="123"/>
      <c r="O124" s="123"/>
      <c r="P124" s="121"/>
      <c r="Q124" s="121"/>
      <c r="R124" s="123"/>
      <c r="S124" s="123"/>
      <c r="T124" s="123"/>
      <c r="U124" s="123"/>
      <c r="V124" s="123"/>
      <c r="W124" s="123"/>
      <c r="X124" s="123"/>
      <c r="Y124" s="123"/>
      <c r="Z124" s="123"/>
      <c r="AA124" s="123"/>
      <c r="AB124" s="123"/>
      <c r="AC124" s="123"/>
      <c r="AD124" s="123"/>
      <c r="AE124" s="123"/>
      <c r="AF124" s="123"/>
      <c r="AG124" s="123"/>
      <c r="AH124" s="123"/>
      <c r="AI124" s="123"/>
      <c r="AJ124" s="267">
        <v>1.76110742E8</v>
      </c>
      <c r="AK124" s="267" t="s">
        <v>2108</v>
      </c>
      <c r="AL124" s="267"/>
    </row>
    <row r="125">
      <c r="A125" s="122"/>
      <c r="B125" s="123"/>
      <c r="C125" s="147"/>
      <c r="D125" s="265"/>
      <c r="E125" s="265"/>
      <c r="F125" s="265"/>
      <c r="G125" s="265"/>
      <c r="H125" s="300"/>
      <c r="I125" s="265"/>
      <c r="J125" s="123"/>
      <c r="K125" s="123"/>
      <c r="L125" s="123"/>
      <c r="M125" s="123"/>
      <c r="N125" s="123"/>
      <c r="O125" s="123"/>
      <c r="P125" s="121"/>
      <c r="Q125" s="121"/>
      <c r="R125" s="123"/>
      <c r="S125" s="123"/>
      <c r="T125" s="123"/>
      <c r="U125" s="123"/>
      <c r="V125" s="123"/>
      <c r="W125" s="123"/>
      <c r="X125" s="123"/>
      <c r="Y125" s="123"/>
      <c r="Z125" s="123"/>
      <c r="AA125" s="123"/>
      <c r="AB125" s="123"/>
      <c r="AC125" s="123"/>
      <c r="AD125" s="123"/>
      <c r="AE125" s="123"/>
      <c r="AF125" s="123"/>
      <c r="AG125" s="123"/>
      <c r="AH125" s="123"/>
      <c r="AI125" s="123"/>
      <c r="AJ125" s="267">
        <v>1.86777993E8</v>
      </c>
      <c r="AK125" s="267" t="s">
        <v>2122</v>
      </c>
      <c r="AL125" s="267"/>
    </row>
    <row r="126">
      <c r="A126" s="122"/>
      <c r="B126" s="123"/>
      <c r="C126" s="147"/>
      <c r="D126" s="265"/>
      <c r="E126" s="265"/>
      <c r="F126" s="265"/>
      <c r="G126" s="265"/>
      <c r="H126" s="300"/>
      <c r="I126" s="265"/>
      <c r="J126" s="123"/>
      <c r="K126" s="123"/>
      <c r="L126" s="123"/>
      <c r="M126" s="123"/>
      <c r="N126" s="123"/>
      <c r="O126" s="123"/>
      <c r="P126" s="121"/>
      <c r="Q126" s="121"/>
      <c r="R126" s="123"/>
      <c r="S126" s="123"/>
      <c r="T126" s="123"/>
      <c r="U126" s="123"/>
      <c r="V126" s="123"/>
      <c r="W126" s="123"/>
      <c r="X126" s="123"/>
      <c r="Y126" s="123"/>
      <c r="Z126" s="123"/>
      <c r="AA126" s="123"/>
      <c r="AB126" s="123"/>
      <c r="AC126" s="123"/>
      <c r="AD126" s="123"/>
      <c r="AE126" s="123"/>
      <c r="AF126" s="123"/>
      <c r="AG126" s="123"/>
      <c r="AH126" s="123"/>
      <c r="AI126" s="123"/>
      <c r="AJ126" s="267">
        <v>2.2917784E8</v>
      </c>
      <c r="AK126" s="267"/>
      <c r="AL126" s="267"/>
    </row>
    <row r="127">
      <c r="A127" s="122"/>
      <c r="B127" s="123"/>
      <c r="C127" s="147"/>
      <c r="D127" s="265"/>
      <c r="E127" s="265"/>
      <c r="F127" s="265"/>
      <c r="G127" s="265"/>
      <c r="H127" s="300"/>
      <c r="I127" s="265"/>
      <c r="J127" s="123"/>
      <c r="K127" s="123"/>
      <c r="L127" s="123"/>
      <c r="M127" s="123"/>
      <c r="N127" s="123"/>
      <c r="O127" s="123"/>
      <c r="P127" s="121"/>
      <c r="Q127" s="121"/>
      <c r="R127" s="123"/>
      <c r="S127" s="123"/>
      <c r="T127" s="123"/>
      <c r="U127" s="123"/>
      <c r="V127" s="123"/>
      <c r="W127" s="123"/>
      <c r="X127" s="123"/>
      <c r="Y127" s="123"/>
      <c r="Z127" s="123"/>
      <c r="AA127" s="123"/>
      <c r="AB127" s="123"/>
      <c r="AC127" s="123"/>
      <c r="AD127" s="123"/>
      <c r="AE127" s="123"/>
      <c r="AF127" s="123"/>
      <c r="AG127" s="123"/>
      <c r="AH127" s="123"/>
      <c r="AI127" s="123"/>
      <c r="AJ127" s="267">
        <v>1.61355809E8</v>
      </c>
      <c r="AK127" s="267"/>
      <c r="AL127" s="267"/>
    </row>
    <row r="128">
      <c r="A128" s="122"/>
      <c r="B128" s="123"/>
      <c r="C128" s="147"/>
      <c r="D128" s="265"/>
      <c r="E128" s="265"/>
      <c r="F128" s="265"/>
      <c r="G128" s="265"/>
      <c r="H128" s="300"/>
      <c r="I128" s="265"/>
      <c r="J128" s="123"/>
      <c r="K128" s="123"/>
      <c r="L128" s="123"/>
      <c r="M128" s="123"/>
      <c r="N128" s="123"/>
      <c r="O128" s="123"/>
      <c r="P128" s="121"/>
      <c r="Q128" s="121"/>
      <c r="R128" s="123"/>
      <c r="S128" s="123"/>
      <c r="T128" s="123"/>
      <c r="U128" s="123"/>
      <c r="V128" s="123"/>
      <c r="W128" s="123"/>
      <c r="X128" s="123"/>
      <c r="Y128" s="123"/>
      <c r="Z128" s="123"/>
      <c r="AA128" s="123"/>
      <c r="AB128" s="123"/>
      <c r="AC128" s="123"/>
      <c r="AD128" s="123"/>
      <c r="AE128" s="123"/>
      <c r="AF128" s="123"/>
      <c r="AG128" s="123"/>
      <c r="AH128" s="123"/>
      <c r="AI128" s="123"/>
      <c r="AJ128" s="267">
        <v>1.33851547E8</v>
      </c>
      <c r="AK128" s="267" t="s">
        <v>2156</v>
      </c>
      <c r="AL128" s="267"/>
    </row>
    <row r="129">
      <c r="A129" s="122"/>
      <c r="B129" s="123"/>
      <c r="C129" s="147"/>
      <c r="D129" s="265"/>
      <c r="E129" s="265"/>
      <c r="F129" s="265"/>
      <c r="G129" s="265"/>
      <c r="H129" s="300"/>
      <c r="I129" s="265"/>
      <c r="J129" s="123"/>
      <c r="K129" s="123"/>
      <c r="L129" s="123"/>
      <c r="M129" s="123"/>
      <c r="N129" s="123"/>
      <c r="O129" s="123"/>
      <c r="P129" s="121"/>
      <c r="Q129" s="121"/>
      <c r="R129" s="123"/>
      <c r="S129" s="123"/>
      <c r="T129" s="123"/>
      <c r="U129" s="123"/>
      <c r="V129" s="123"/>
      <c r="W129" s="123"/>
      <c r="X129" s="123"/>
      <c r="Y129" s="123"/>
      <c r="Z129" s="123"/>
      <c r="AA129" s="123"/>
      <c r="AB129" s="123"/>
      <c r="AC129" s="123"/>
      <c r="AD129" s="123"/>
      <c r="AE129" s="123"/>
      <c r="AF129" s="123"/>
      <c r="AG129" s="123"/>
      <c r="AH129" s="123"/>
      <c r="AI129" s="123"/>
      <c r="AJ129" s="267">
        <v>1.34150432E8</v>
      </c>
      <c r="AK129" s="267" t="s">
        <v>2168</v>
      </c>
      <c r="AL129" s="267"/>
    </row>
    <row r="130">
      <c r="A130" s="122"/>
      <c r="B130" s="123"/>
      <c r="C130" s="147"/>
      <c r="D130" s="265"/>
      <c r="E130" s="265"/>
      <c r="F130" s="265"/>
      <c r="G130" s="265"/>
      <c r="H130" s="300"/>
      <c r="I130" s="265"/>
      <c r="J130" s="123"/>
      <c r="K130" s="123"/>
      <c r="L130" s="123"/>
      <c r="M130" s="123"/>
      <c r="N130" s="123"/>
      <c r="O130" s="123"/>
      <c r="P130" s="121"/>
      <c r="Q130" s="121"/>
      <c r="R130" s="123"/>
      <c r="S130" s="123"/>
      <c r="T130" s="123"/>
      <c r="U130" s="123"/>
      <c r="V130" s="123"/>
      <c r="W130" s="123"/>
      <c r="X130" s="123"/>
      <c r="Y130" s="123"/>
      <c r="Z130" s="123"/>
      <c r="AA130" s="123"/>
      <c r="AB130" s="123"/>
      <c r="AC130" s="123"/>
      <c r="AD130" s="123"/>
      <c r="AE130" s="123"/>
      <c r="AF130" s="123"/>
      <c r="AG130" s="123"/>
      <c r="AH130" s="123"/>
      <c r="AI130" s="123"/>
      <c r="AJ130" s="267">
        <v>1.52169206E8</v>
      </c>
      <c r="AK130" s="267"/>
      <c r="AL130" s="267"/>
    </row>
    <row r="131">
      <c r="A131" s="279"/>
      <c r="B131" s="281"/>
      <c r="C131" s="281"/>
      <c r="D131" s="281"/>
      <c r="E131" s="280"/>
      <c r="F131" s="280"/>
      <c r="G131" s="280"/>
      <c r="H131" s="260"/>
      <c r="I131" s="281"/>
      <c r="J131" s="282"/>
      <c r="K131" s="282"/>
      <c r="L131" s="282"/>
      <c r="M131" s="282"/>
      <c r="N131" s="282"/>
      <c r="O131" s="282"/>
      <c r="P131" s="184"/>
      <c r="Q131" s="291"/>
      <c r="R131" s="282"/>
      <c r="S131" s="282"/>
      <c r="T131" s="283"/>
      <c r="U131" s="283"/>
      <c r="V131" s="283"/>
      <c r="W131" s="283"/>
      <c r="X131" s="283"/>
      <c r="Y131" s="282"/>
      <c r="Z131" s="115"/>
      <c r="AA131" s="282"/>
      <c r="AB131" s="282"/>
      <c r="AC131" s="282"/>
      <c r="AD131" s="283"/>
      <c r="AE131" s="282"/>
      <c r="AF131" s="283"/>
      <c r="AG131" s="283"/>
      <c r="AH131" s="262"/>
      <c r="AI131" s="262"/>
      <c r="AJ131" s="264">
        <v>9.196887E7</v>
      </c>
      <c r="AK131" s="264" t="s">
        <v>2190</v>
      </c>
      <c r="AL131" s="264"/>
    </row>
    <row r="132">
      <c r="A132" s="90"/>
      <c r="B132" s="259"/>
      <c r="C132" s="259"/>
      <c r="D132" s="259"/>
      <c r="E132" s="277"/>
      <c r="F132" s="259"/>
      <c r="G132" s="277"/>
      <c r="H132" s="260"/>
      <c r="I132" s="259"/>
      <c r="J132" s="115"/>
      <c r="K132" s="115"/>
      <c r="L132" s="115"/>
      <c r="M132" s="115"/>
      <c r="N132" s="115"/>
      <c r="O132" s="115"/>
      <c r="P132" s="268"/>
      <c r="Q132" s="269"/>
      <c r="R132" s="77"/>
      <c r="S132" s="77"/>
      <c r="T132" s="115"/>
      <c r="U132" s="115"/>
      <c r="V132" s="115"/>
      <c r="W132" s="115"/>
      <c r="X132" s="115"/>
      <c r="Y132" s="115"/>
      <c r="Z132" s="115"/>
      <c r="AA132" s="115"/>
      <c r="AB132" s="261"/>
      <c r="AC132" s="261"/>
      <c r="AD132" s="115"/>
      <c r="AE132" s="77"/>
      <c r="AF132" s="115"/>
      <c r="AG132" s="115"/>
      <c r="AH132" s="262"/>
      <c r="AI132" s="262"/>
      <c r="AJ132" s="264">
        <v>1.59980608E8</v>
      </c>
      <c r="AK132" s="264" t="s">
        <v>2190</v>
      </c>
      <c r="AL132" s="264"/>
    </row>
    <row r="133">
      <c r="A133" s="255"/>
      <c r="B133" s="259"/>
      <c r="C133" s="259"/>
      <c r="D133" s="259"/>
      <c r="E133" s="277"/>
      <c r="F133" s="276"/>
      <c r="G133" s="277"/>
      <c r="H133" s="260"/>
      <c r="I133" s="259"/>
      <c r="J133" s="115"/>
      <c r="K133" s="115"/>
      <c r="L133" s="115"/>
      <c r="M133" s="115"/>
      <c r="N133" s="115"/>
      <c r="O133" s="115"/>
      <c r="P133" s="268"/>
      <c r="Q133" s="269"/>
      <c r="R133" s="115"/>
      <c r="S133" s="77"/>
      <c r="T133" s="115"/>
      <c r="U133" s="115"/>
      <c r="V133" s="115"/>
      <c r="W133" s="115"/>
      <c r="X133" s="115"/>
      <c r="Y133" s="115"/>
      <c r="Z133" s="115"/>
      <c r="AA133" s="115"/>
      <c r="AB133" s="278"/>
      <c r="AC133" s="261"/>
      <c r="AD133" s="115"/>
      <c r="AE133" s="290"/>
      <c r="AF133" s="115"/>
      <c r="AG133" s="115"/>
      <c r="AH133" s="262"/>
      <c r="AI133" s="262"/>
      <c r="AJ133" s="264">
        <v>9.0382271E7</v>
      </c>
      <c r="AK133" s="264" t="s">
        <v>2216</v>
      </c>
      <c r="AL133" s="264"/>
    </row>
    <row r="134">
      <c r="A134" s="279"/>
      <c r="B134" s="280"/>
      <c r="C134" s="281"/>
      <c r="D134" s="281"/>
      <c r="E134" s="280"/>
      <c r="F134" s="280"/>
      <c r="G134" s="280"/>
      <c r="H134" s="260"/>
      <c r="I134" s="281"/>
      <c r="J134" s="282"/>
      <c r="K134" s="282"/>
      <c r="L134" s="282"/>
      <c r="M134" s="282"/>
      <c r="N134" s="282"/>
      <c r="O134" s="282"/>
      <c r="P134" s="291"/>
      <c r="Q134" s="291"/>
      <c r="R134" s="282"/>
      <c r="S134" s="282"/>
      <c r="T134" s="283"/>
      <c r="U134" s="283"/>
      <c r="V134" s="283"/>
      <c r="W134" s="283"/>
      <c r="X134" s="282"/>
      <c r="Y134" s="282"/>
      <c r="Z134" s="115"/>
      <c r="AA134" s="282"/>
      <c r="AB134" s="282"/>
      <c r="AC134" s="282"/>
      <c r="AD134" s="282"/>
      <c r="AE134" s="282"/>
      <c r="AF134" s="283"/>
      <c r="AG134" s="283"/>
      <c r="AH134" s="262"/>
      <c r="AI134" s="262"/>
      <c r="AJ134" s="264">
        <v>9.0471365E7</v>
      </c>
      <c r="AK134" s="264" t="s">
        <v>2229</v>
      </c>
      <c r="AL134" s="264"/>
    </row>
    <row r="135">
      <c r="A135" s="272"/>
      <c r="B135" s="293"/>
      <c r="C135" s="273"/>
      <c r="D135" s="273"/>
      <c r="E135" s="293"/>
      <c r="F135" s="293"/>
      <c r="G135" s="293"/>
      <c r="H135" s="260"/>
      <c r="I135" s="273"/>
      <c r="J135" s="192"/>
      <c r="K135" s="192"/>
      <c r="L135" s="192"/>
      <c r="M135" s="192"/>
      <c r="N135" s="192"/>
      <c r="O135" s="192"/>
      <c r="P135" s="128"/>
      <c r="Q135" s="128"/>
      <c r="R135" s="192"/>
      <c r="S135" s="192"/>
      <c r="T135" s="192"/>
      <c r="U135" s="192"/>
      <c r="V135" s="124"/>
      <c r="W135" s="124"/>
      <c r="X135" s="192"/>
      <c r="Y135" s="192"/>
      <c r="Z135" s="115"/>
      <c r="AA135" s="192"/>
      <c r="AB135" s="192"/>
      <c r="AC135" s="192"/>
      <c r="AD135" s="192"/>
      <c r="AE135" s="192"/>
      <c r="AF135" s="124"/>
      <c r="AG135" s="124"/>
      <c r="AH135" s="124"/>
      <c r="AI135" s="124"/>
      <c r="AJ135" s="264">
        <v>1.48386453E8</v>
      </c>
      <c r="AK135" s="264"/>
      <c r="AL135" s="264"/>
    </row>
    <row r="136">
      <c r="A136" s="255"/>
      <c r="B136" s="259"/>
      <c r="C136" s="259"/>
      <c r="D136" s="259"/>
      <c r="E136" s="277"/>
      <c r="F136" s="259"/>
      <c r="G136" s="277"/>
      <c r="H136" s="260"/>
      <c r="I136" s="259"/>
      <c r="J136" s="115"/>
      <c r="K136" s="115"/>
      <c r="L136" s="115"/>
      <c r="M136" s="115"/>
      <c r="N136" s="115"/>
      <c r="O136" s="115"/>
      <c r="P136" s="268"/>
      <c r="Q136" s="269"/>
      <c r="R136" s="77"/>
      <c r="S136" s="77"/>
      <c r="T136" s="115"/>
      <c r="U136" s="115"/>
      <c r="V136" s="115"/>
      <c r="W136" s="115"/>
      <c r="X136" s="115"/>
      <c r="Y136" s="115"/>
      <c r="Z136" s="115"/>
      <c r="AA136" s="115"/>
      <c r="AB136" s="261"/>
      <c r="AC136" s="261"/>
      <c r="AD136" s="115"/>
      <c r="AE136" s="77"/>
      <c r="AF136" s="115"/>
      <c r="AG136" s="115"/>
      <c r="AH136" s="262"/>
      <c r="AI136" s="262"/>
      <c r="AJ136" s="264">
        <v>1.45755886E8</v>
      </c>
      <c r="AK136" s="264"/>
      <c r="AL136" s="264"/>
    </row>
    <row r="137">
      <c r="A137" s="255"/>
      <c r="B137" s="259"/>
      <c r="C137" s="259"/>
      <c r="D137" s="259"/>
      <c r="E137" s="277"/>
      <c r="F137" s="276"/>
      <c r="G137" s="277"/>
      <c r="H137" s="260"/>
      <c r="I137" s="259"/>
      <c r="J137" s="115"/>
      <c r="K137" s="115"/>
      <c r="L137" s="115"/>
      <c r="M137" s="115"/>
      <c r="N137" s="115"/>
      <c r="O137" s="115"/>
      <c r="P137" s="268"/>
      <c r="Q137" s="269"/>
      <c r="R137" s="115"/>
      <c r="S137" s="77"/>
      <c r="T137" s="115"/>
      <c r="U137" s="115"/>
      <c r="V137" s="115"/>
      <c r="W137" s="115"/>
      <c r="X137" s="115"/>
      <c r="Y137" s="115"/>
      <c r="Z137" s="115"/>
      <c r="AA137" s="115"/>
      <c r="AB137" s="278"/>
      <c r="AC137" s="261"/>
      <c r="AD137" s="115"/>
      <c r="AE137" s="77"/>
      <c r="AF137" s="115"/>
      <c r="AG137" s="115"/>
      <c r="AH137" s="262"/>
      <c r="AI137" s="262"/>
      <c r="AJ137" s="264">
        <v>1.49730224E8</v>
      </c>
      <c r="AK137" s="264"/>
      <c r="AL137" s="264"/>
    </row>
    <row r="138">
      <c r="A138" s="272"/>
      <c r="B138" s="273"/>
      <c r="C138" s="273"/>
      <c r="D138" s="273"/>
      <c r="E138" s="274"/>
      <c r="F138" s="273"/>
      <c r="G138" s="274"/>
      <c r="H138" s="260"/>
      <c r="I138" s="273"/>
      <c r="J138" s="124"/>
      <c r="K138" s="124"/>
      <c r="L138" s="124"/>
      <c r="M138" s="124"/>
      <c r="N138" s="124"/>
      <c r="O138" s="124"/>
      <c r="P138" s="128"/>
      <c r="Q138" s="127"/>
      <c r="R138" s="124"/>
      <c r="S138" s="192"/>
      <c r="T138" s="124"/>
      <c r="U138" s="124"/>
      <c r="V138" s="124"/>
      <c r="W138" s="124"/>
      <c r="X138" s="124"/>
      <c r="Y138" s="124"/>
      <c r="Z138" s="115"/>
      <c r="AA138" s="124"/>
      <c r="AB138" s="294"/>
      <c r="AC138" s="275"/>
      <c r="AD138" s="124"/>
      <c r="AE138" s="192"/>
      <c r="AF138" s="124"/>
      <c r="AG138" s="124"/>
      <c r="AH138" s="124"/>
      <c r="AI138" s="124"/>
      <c r="AJ138" s="264">
        <v>1.70004552E8</v>
      </c>
      <c r="AK138" s="264"/>
      <c r="AL138" s="264"/>
    </row>
    <row r="139">
      <c r="A139" s="272"/>
      <c r="B139" s="124"/>
      <c r="C139" s="273"/>
      <c r="D139" s="273"/>
      <c r="E139" s="293"/>
      <c r="F139" s="293"/>
      <c r="G139" s="293"/>
      <c r="H139" s="260"/>
      <c r="I139" s="273"/>
      <c r="J139" s="124"/>
      <c r="K139" s="124"/>
      <c r="L139" s="124"/>
      <c r="M139" s="124"/>
      <c r="N139" s="124"/>
      <c r="O139" s="124"/>
      <c r="P139" s="128"/>
      <c r="Q139" s="128"/>
      <c r="R139" s="192"/>
      <c r="S139" s="192"/>
      <c r="T139" s="192"/>
      <c r="U139" s="192"/>
      <c r="V139" s="124"/>
      <c r="W139" s="124"/>
      <c r="X139" s="124"/>
      <c r="Y139" s="124"/>
      <c r="Z139" s="115"/>
      <c r="AA139" s="124"/>
      <c r="AB139" s="275"/>
      <c r="AC139" s="192"/>
      <c r="AD139" s="124"/>
      <c r="AE139" s="275"/>
      <c r="AF139" s="124"/>
      <c r="AG139" s="124"/>
      <c r="AH139" s="124"/>
      <c r="AI139" s="124"/>
      <c r="AJ139" s="264"/>
      <c r="AK139" s="264" t="s">
        <v>401</v>
      </c>
      <c r="AL139" s="264"/>
    </row>
    <row r="140">
      <c r="A140" s="272"/>
      <c r="B140" s="293"/>
      <c r="C140" s="273"/>
      <c r="D140" s="273"/>
      <c r="E140" s="293"/>
      <c r="F140" s="293"/>
      <c r="G140" s="293"/>
      <c r="H140" s="260"/>
      <c r="I140" s="293"/>
      <c r="J140" s="192"/>
      <c r="K140" s="192"/>
      <c r="L140" s="192"/>
      <c r="M140" s="192"/>
      <c r="N140" s="192"/>
      <c r="O140" s="192"/>
      <c r="P140" s="127"/>
      <c r="Q140" s="127"/>
      <c r="R140" s="192"/>
      <c r="S140" s="192"/>
      <c r="T140" s="124"/>
      <c r="U140" s="124"/>
      <c r="V140" s="124"/>
      <c r="W140" s="124"/>
      <c r="X140" s="124"/>
      <c r="Y140" s="124"/>
      <c r="Z140" s="115"/>
      <c r="AA140" s="192"/>
      <c r="AB140" s="192"/>
      <c r="AC140" s="192"/>
      <c r="AD140" s="192"/>
      <c r="AE140" s="192"/>
      <c r="AF140" s="124"/>
      <c r="AG140" s="124"/>
      <c r="AH140" s="124"/>
      <c r="AI140" s="124"/>
      <c r="AJ140" s="264">
        <v>1.6886755E8</v>
      </c>
      <c r="AK140" s="264" t="s">
        <v>2280</v>
      </c>
      <c r="AL140" s="264"/>
    </row>
    <row r="141">
      <c r="A141" s="272"/>
      <c r="B141" s="273"/>
      <c r="C141" s="273"/>
      <c r="D141" s="273"/>
      <c r="E141" s="274"/>
      <c r="F141" s="273"/>
      <c r="G141" s="274"/>
      <c r="H141" s="260"/>
      <c r="I141" s="273"/>
      <c r="J141" s="301"/>
      <c r="K141" s="124"/>
      <c r="L141" s="124"/>
      <c r="M141" s="124"/>
      <c r="N141" s="124"/>
      <c r="O141" s="124"/>
      <c r="P141" s="128"/>
      <c r="Q141" s="127"/>
      <c r="R141" s="192"/>
      <c r="S141" s="192"/>
      <c r="T141" s="124"/>
      <c r="U141" s="124"/>
      <c r="V141" s="124"/>
      <c r="W141" s="124"/>
      <c r="X141" s="124"/>
      <c r="Y141" s="124"/>
      <c r="Z141" s="115"/>
      <c r="AA141" s="124"/>
      <c r="AB141" s="275"/>
      <c r="AC141" s="275"/>
      <c r="AD141" s="124"/>
      <c r="AE141" s="192"/>
      <c r="AF141" s="124"/>
      <c r="AG141" s="124"/>
      <c r="AH141" s="124"/>
      <c r="AI141" s="124"/>
      <c r="AJ141" s="264">
        <v>1.23030751E8</v>
      </c>
      <c r="AK141" s="264" t="s">
        <v>2292</v>
      </c>
      <c r="AL141" s="264"/>
    </row>
    <row r="142">
      <c r="A142" s="90"/>
      <c r="B142" s="259"/>
      <c r="C142" s="259"/>
      <c r="D142" s="259"/>
      <c r="E142" s="277"/>
      <c r="F142" s="259"/>
      <c r="G142" s="277"/>
      <c r="H142" s="260"/>
      <c r="I142" s="259"/>
      <c r="J142" s="115"/>
      <c r="K142" s="115"/>
      <c r="L142" s="115"/>
      <c r="M142" s="115"/>
      <c r="N142" s="115"/>
      <c r="O142" s="115"/>
      <c r="P142" s="268"/>
      <c r="Q142" s="269"/>
      <c r="R142" s="77"/>
      <c r="S142" s="77"/>
      <c r="T142" s="115"/>
      <c r="U142" s="115"/>
      <c r="V142" s="115"/>
      <c r="W142" s="115"/>
      <c r="X142" s="115"/>
      <c r="Y142" s="115"/>
      <c r="Z142" s="115"/>
      <c r="AA142" s="115"/>
      <c r="AB142" s="261"/>
      <c r="AC142" s="261"/>
      <c r="AD142" s="115"/>
      <c r="AE142" s="77"/>
      <c r="AF142" s="115"/>
      <c r="AG142" s="115"/>
      <c r="AH142" s="262"/>
      <c r="AI142" s="262"/>
      <c r="AJ142" s="264">
        <v>2.93061661E8</v>
      </c>
      <c r="AK142" s="264"/>
      <c r="AL142" s="264"/>
    </row>
    <row r="143">
      <c r="A143" s="302"/>
      <c r="B143" s="147"/>
      <c r="C143" s="265"/>
      <c r="D143" s="265"/>
      <c r="E143" s="265"/>
      <c r="F143" s="265"/>
      <c r="G143" s="265"/>
      <c r="H143" s="266"/>
      <c r="I143" s="265"/>
      <c r="J143" s="123"/>
      <c r="K143" s="123"/>
      <c r="L143" s="123"/>
      <c r="M143" s="123"/>
      <c r="N143" s="123"/>
      <c r="O143" s="123"/>
      <c r="P143" s="121"/>
      <c r="Q143" s="121"/>
      <c r="R143" s="123"/>
      <c r="S143" s="123"/>
      <c r="T143" s="123"/>
      <c r="U143" s="123"/>
      <c r="V143" s="123"/>
      <c r="W143" s="123"/>
      <c r="X143" s="123"/>
      <c r="Y143" s="123"/>
      <c r="Z143" s="123"/>
      <c r="AA143" s="123"/>
      <c r="AB143" s="123"/>
      <c r="AC143" s="123"/>
      <c r="AD143" s="123"/>
      <c r="AE143" s="123"/>
      <c r="AF143" s="123"/>
      <c r="AG143" s="123"/>
      <c r="AH143" s="123"/>
      <c r="AI143" s="123"/>
      <c r="AJ143" s="267">
        <v>1.38313003E8</v>
      </c>
      <c r="AK143" s="267"/>
      <c r="AL143" s="267"/>
    </row>
    <row r="144">
      <c r="A144" s="302"/>
      <c r="B144" s="147"/>
      <c r="C144" s="265"/>
      <c r="D144" s="265"/>
      <c r="E144" s="265"/>
      <c r="F144" s="265"/>
      <c r="G144" s="265"/>
      <c r="H144" s="266"/>
      <c r="I144" s="265"/>
      <c r="J144" s="123"/>
      <c r="K144" s="123"/>
      <c r="L144" s="123"/>
      <c r="M144" s="123"/>
      <c r="N144" s="123"/>
      <c r="O144" s="123"/>
      <c r="P144" s="121"/>
      <c r="Q144" s="121"/>
      <c r="R144" s="123"/>
      <c r="S144" s="123"/>
      <c r="T144" s="123"/>
      <c r="U144" s="123"/>
      <c r="V144" s="123"/>
      <c r="W144" s="123"/>
      <c r="X144" s="123"/>
      <c r="Y144" s="123"/>
      <c r="Z144" s="123"/>
      <c r="AA144" s="123"/>
      <c r="AB144" s="123"/>
      <c r="AC144" s="123"/>
      <c r="AD144" s="123"/>
      <c r="AE144" s="123"/>
      <c r="AF144" s="123"/>
      <c r="AG144" s="123"/>
      <c r="AH144" s="123"/>
      <c r="AI144" s="123"/>
      <c r="AJ144" s="267">
        <v>1.48334501E8</v>
      </c>
      <c r="AK144" s="267"/>
      <c r="AL144" s="267"/>
    </row>
    <row r="145">
      <c r="A145" s="302"/>
      <c r="B145" s="147"/>
      <c r="C145" s="265"/>
      <c r="D145" s="265"/>
      <c r="E145" s="265"/>
      <c r="F145" s="265"/>
      <c r="G145" s="265"/>
      <c r="H145" s="266"/>
      <c r="I145" s="265"/>
      <c r="J145" s="123"/>
      <c r="K145" s="123"/>
      <c r="L145" s="123"/>
      <c r="M145" s="123"/>
      <c r="N145" s="123"/>
      <c r="O145" s="123"/>
      <c r="P145" s="121"/>
      <c r="Q145" s="121"/>
      <c r="R145" s="123"/>
      <c r="S145" s="123"/>
      <c r="T145" s="123"/>
      <c r="U145" s="123"/>
      <c r="V145" s="123"/>
      <c r="W145" s="123"/>
      <c r="X145" s="123"/>
      <c r="Y145" s="123"/>
      <c r="Z145" s="123"/>
      <c r="AA145" s="123"/>
      <c r="AB145" s="123"/>
      <c r="AC145" s="123"/>
      <c r="AD145" s="123"/>
      <c r="AE145" s="123"/>
      <c r="AF145" s="123"/>
      <c r="AG145" s="123"/>
      <c r="AH145" s="123"/>
      <c r="AI145" s="123"/>
      <c r="AJ145" s="267">
        <v>1.48312764E8</v>
      </c>
      <c r="AK145" s="267" t="s">
        <v>2335</v>
      </c>
      <c r="AL145" s="267"/>
    </row>
    <row r="146">
      <c r="A146" s="302"/>
      <c r="B146" s="147"/>
      <c r="C146" s="265"/>
      <c r="D146" s="265"/>
      <c r="E146" s="265"/>
      <c r="F146" s="265"/>
      <c r="G146" s="265"/>
      <c r="H146" s="266"/>
      <c r="I146" s="265"/>
      <c r="J146" s="123"/>
      <c r="K146" s="123"/>
      <c r="L146" s="123"/>
      <c r="M146" s="123"/>
      <c r="N146" s="123"/>
      <c r="O146" s="123"/>
      <c r="P146" s="121"/>
      <c r="Q146" s="121"/>
      <c r="R146" s="123"/>
      <c r="S146" s="123"/>
      <c r="T146" s="123"/>
      <c r="U146" s="123"/>
      <c r="V146" s="123"/>
      <c r="W146" s="123"/>
      <c r="X146" s="123"/>
      <c r="Y146" s="123"/>
      <c r="Z146" s="123"/>
      <c r="AA146" s="123"/>
      <c r="AB146" s="123"/>
      <c r="AC146" s="123"/>
      <c r="AD146" s="123"/>
      <c r="AE146" s="123"/>
      <c r="AF146" s="123"/>
      <c r="AG146" s="123"/>
      <c r="AH146" s="123"/>
      <c r="AI146" s="123"/>
      <c r="AJ146" s="267">
        <v>1.59632001E8</v>
      </c>
      <c r="AK146" s="267" t="s">
        <v>2350</v>
      </c>
      <c r="AL146" s="267"/>
    </row>
    <row r="147">
      <c r="A147" s="302"/>
      <c r="B147" s="147"/>
      <c r="C147" s="265"/>
      <c r="D147" s="265"/>
      <c r="E147" s="265"/>
      <c r="F147" s="265"/>
      <c r="G147" s="265"/>
      <c r="H147" s="266"/>
      <c r="I147" s="265"/>
      <c r="J147" s="123"/>
      <c r="K147" s="123"/>
      <c r="L147" s="123"/>
      <c r="M147" s="123"/>
      <c r="N147" s="123"/>
      <c r="O147" s="123"/>
      <c r="P147" s="121"/>
      <c r="Q147" s="121"/>
      <c r="R147" s="123"/>
      <c r="S147" s="123"/>
      <c r="T147" s="123"/>
      <c r="U147" s="123"/>
      <c r="V147" s="123"/>
      <c r="W147" s="123"/>
      <c r="X147" s="123"/>
      <c r="Y147" s="123"/>
      <c r="Z147" s="123"/>
      <c r="AA147" s="123"/>
      <c r="AB147" s="123"/>
      <c r="AC147" s="123"/>
      <c r="AD147" s="123"/>
      <c r="AE147" s="123"/>
      <c r="AF147" s="123"/>
      <c r="AG147" s="123"/>
      <c r="AH147" s="123"/>
      <c r="AI147" s="123"/>
      <c r="AJ147" s="267">
        <v>1.67680176E8</v>
      </c>
      <c r="AK147" s="267"/>
      <c r="AL147" s="267"/>
    </row>
    <row r="148">
      <c r="A148" s="302"/>
      <c r="B148" s="147"/>
      <c r="C148" s="265"/>
      <c r="D148" s="265"/>
      <c r="E148" s="265"/>
      <c r="F148" s="265"/>
      <c r="G148" s="265"/>
      <c r="H148" s="266"/>
      <c r="I148" s="265"/>
      <c r="J148" s="123"/>
      <c r="K148" s="123"/>
      <c r="L148" s="123"/>
      <c r="M148" s="123"/>
      <c r="N148" s="123"/>
      <c r="O148" s="123"/>
      <c r="P148" s="121"/>
      <c r="Q148" s="121"/>
      <c r="R148" s="123"/>
      <c r="S148" s="123"/>
      <c r="T148" s="123"/>
      <c r="U148" s="123"/>
      <c r="V148" s="123"/>
      <c r="W148" s="123"/>
      <c r="X148" s="123"/>
      <c r="Y148" s="123"/>
      <c r="Z148" s="123"/>
      <c r="AA148" s="123"/>
      <c r="AB148" s="123"/>
      <c r="AC148" s="123"/>
      <c r="AD148" s="123"/>
      <c r="AE148" s="123"/>
      <c r="AF148" s="123"/>
      <c r="AG148" s="123"/>
      <c r="AH148" s="123"/>
      <c r="AI148" s="123"/>
      <c r="AJ148" s="267">
        <v>1.88611559E8</v>
      </c>
      <c r="AK148" s="267" t="s">
        <v>2377</v>
      </c>
      <c r="AL148" s="267"/>
    </row>
    <row r="149">
      <c r="A149" s="302"/>
      <c r="B149" s="147"/>
      <c r="C149" s="265"/>
      <c r="D149" s="265"/>
      <c r="E149" s="265"/>
      <c r="F149" s="265"/>
      <c r="G149" s="265"/>
      <c r="H149" s="266"/>
      <c r="I149" s="265"/>
      <c r="J149" s="123"/>
      <c r="K149" s="123"/>
      <c r="L149" s="123"/>
      <c r="M149" s="123"/>
      <c r="N149" s="123"/>
      <c r="O149" s="123"/>
      <c r="P149" s="121"/>
      <c r="Q149" s="121"/>
      <c r="R149" s="123"/>
      <c r="S149" s="123"/>
      <c r="T149" s="123"/>
      <c r="U149" s="123"/>
      <c r="V149" s="123"/>
      <c r="W149" s="123"/>
      <c r="X149" s="123"/>
      <c r="Y149" s="123"/>
      <c r="Z149" s="123"/>
      <c r="AA149" s="123"/>
      <c r="AB149" s="123"/>
      <c r="AC149" s="123"/>
      <c r="AD149" s="123"/>
      <c r="AE149" s="123"/>
      <c r="AF149" s="123"/>
      <c r="AG149" s="123"/>
      <c r="AH149" s="123"/>
      <c r="AI149" s="123"/>
      <c r="AJ149" s="267">
        <v>1.59980276E8</v>
      </c>
      <c r="AK149" s="267" t="s">
        <v>2391</v>
      </c>
      <c r="AL149" s="267"/>
    </row>
    <row r="150">
      <c r="A150" s="302"/>
      <c r="B150" s="147"/>
      <c r="C150" s="265"/>
      <c r="D150" s="265"/>
      <c r="E150" s="265"/>
      <c r="F150" s="265"/>
      <c r="G150" s="265"/>
      <c r="H150" s="266"/>
      <c r="I150" s="265"/>
      <c r="J150" s="123"/>
      <c r="K150" s="123"/>
      <c r="L150" s="123"/>
      <c r="M150" s="123"/>
      <c r="N150" s="123"/>
      <c r="O150" s="123"/>
      <c r="P150" s="121"/>
      <c r="Q150" s="121"/>
      <c r="R150" s="123"/>
      <c r="S150" s="123"/>
      <c r="T150" s="123"/>
      <c r="U150" s="123"/>
      <c r="V150" s="123"/>
      <c r="W150" s="123"/>
      <c r="X150" s="123"/>
      <c r="Y150" s="123"/>
      <c r="Z150" s="123"/>
      <c r="AA150" s="123"/>
      <c r="AB150" s="123"/>
      <c r="AC150" s="123"/>
      <c r="AD150" s="123"/>
      <c r="AE150" s="123"/>
      <c r="AF150" s="123"/>
      <c r="AG150" s="123"/>
      <c r="AH150" s="123"/>
      <c r="AI150" s="123"/>
      <c r="AJ150" s="267">
        <v>1.57970824E8</v>
      </c>
      <c r="AK150" s="267" t="s">
        <v>2405</v>
      </c>
      <c r="AL150" s="267"/>
    </row>
    <row r="151">
      <c r="A151" s="302"/>
      <c r="B151" s="147"/>
      <c r="C151" s="265"/>
      <c r="D151" s="265"/>
      <c r="E151" s="265"/>
      <c r="F151" s="265"/>
      <c r="G151" s="265"/>
      <c r="H151" s="266"/>
      <c r="I151" s="265"/>
      <c r="J151" s="123"/>
      <c r="K151" s="123"/>
      <c r="L151" s="123"/>
      <c r="M151" s="123"/>
      <c r="N151" s="123"/>
      <c r="O151" s="123"/>
      <c r="P151" s="121"/>
      <c r="Q151" s="121"/>
      <c r="R151" s="123"/>
      <c r="S151" s="123"/>
      <c r="T151" s="123"/>
      <c r="U151" s="123"/>
      <c r="V151" s="123"/>
      <c r="W151" s="123"/>
      <c r="X151" s="123"/>
      <c r="Y151" s="123"/>
      <c r="Z151" s="123"/>
      <c r="AA151" s="123"/>
      <c r="AB151" s="123"/>
      <c r="AC151" s="123"/>
      <c r="AD151" s="123"/>
      <c r="AE151" s="123"/>
      <c r="AF151" s="123"/>
      <c r="AG151" s="123"/>
      <c r="AH151" s="123"/>
      <c r="AI151" s="123"/>
      <c r="AJ151" s="267">
        <v>1.58306407E8</v>
      </c>
      <c r="AK151" s="267" t="s">
        <v>2417</v>
      </c>
      <c r="AL151" s="267"/>
    </row>
    <row r="152">
      <c r="A152" s="302"/>
      <c r="B152" s="147"/>
      <c r="C152" s="265"/>
      <c r="D152" s="265"/>
      <c r="E152" s="265"/>
      <c r="F152" s="265"/>
      <c r="G152" s="265"/>
      <c r="H152" s="266"/>
      <c r="I152" s="265"/>
      <c r="J152" s="123"/>
      <c r="K152" s="123"/>
      <c r="L152" s="123"/>
      <c r="M152" s="123"/>
      <c r="N152" s="123"/>
      <c r="O152" s="123"/>
      <c r="P152" s="121"/>
      <c r="Q152" s="121"/>
      <c r="R152" s="123"/>
      <c r="S152" s="123"/>
      <c r="T152" s="123"/>
      <c r="U152" s="123"/>
      <c r="V152" s="123"/>
      <c r="W152" s="123"/>
      <c r="X152" s="123"/>
      <c r="Y152" s="123"/>
      <c r="Z152" s="123"/>
      <c r="AA152" s="123"/>
      <c r="AB152" s="123"/>
      <c r="AC152" s="123"/>
      <c r="AD152" s="123"/>
      <c r="AE152" s="123"/>
      <c r="AF152" s="123"/>
      <c r="AG152" s="123"/>
      <c r="AH152" s="123"/>
      <c r="AI152" s="123"/>
      <c r="AJ152" s="267">
        <v>1.63758027E8</v>
      </c>
      <c r="AK152" s="267" t="s">
        <v>2430</v>
      </c>
      <c r="AL152" s="267"/>
    </row>
    <row r="153">
      <c r="A153" s="302"/>
      <c r="B153" s="147"/>
      <c r="C153" s="265"/>
      <c r="D153" s="265"/>
      <c r="E153" s="265"/>
      <c r="F153" s="265"/>
      <c r="G153" s="265"/>
      <c r="H153" s="266"/>
      <c r="I153" s="265"/>
      <c r="J153" s="123"/>
      <c r="K153" s="123"/>
      <c r="L153" s="123"/>
      <c r="M153" s="123"/>
      <c r="N153" s="123"/>
      <c r="O153" s="123"/>
      <c r="P153" s="121"/>
      <c r="Q153" s="121"/>
      <c r="R153" s="123"/>
      <c r="S153" s="123"/>
      <c r="T153" s="123"/>
      <c r="U153" s="123"/>
      <c r="V153" s="123"/>
      <c r="W153" s="123"/>
      <c r="X153" s="123"/>
      <c r="Y153" s="123"/>
      <c r="Z153" s="123"/>
      <c r="AA153" s="123"/>
      <c r="AB153" s="123"/>
      <c r="AC153" s="123"/>
      <c r="AD153" s="123"/>
      <c r="AE153" s="123"/>
      <c r="AF153" s="123"/>
      <c r="AG153" s="123"/>
      <c r="AH153" s="123"/>
      <c r="AI153" s="123"/>
      <c r="AJ153" s="267">
        <v>1.59661866E8</v>
      </c>
      <c r="AK153" s="267" t="s">
        <v>2443</v>
      </c>
      <c r="AL153" s="267"/>
    </row>
    <row r="154">
      <c r="A154" s="302"/>
      <c r="B154" s="147"/>
      <c r="C154" s="265"/>
      <c r="D154" s="265"/>
      <c r="E154" s="265"/>
      <c r="F154" s="265"/>
      <c r="G154" s="265"/>
      <c r="H154" s="266"/>
      <c r="I154" s="265"/>
      <c r="J154" s="123"/>
      <c r="K154" s="123"/>
      <c r="L154" s="123"/>
      <c r="M154" s="123"/>
      <c r="N154" s="123"/>
      <c r="O154" s="123"/>
      <c r="P154" s="121"/>
      <c r="Q154" s="121"/>
      <c r="R154" s="123"/>
      <c r="S154" s="123"/>
      <c r="T154" s="123"/>
      <c r="U154" s="123"/>
      <c r="V154" s="123"/>
      <c r="W154" s="123"/>
      <c r="X154" s="123"/>
      <c r="Y154" s="123"/>
      <c r="Z154" s="123"/>
      <c r="AA154" s="123"/>
      <c r="AB154" s="123"/>
      <c r="AC154" s="123"/>
      <c r="AD154" s="123"/>
      <c r="AE154" s="123"/>
      <c r="AF154" s="123"/>
      <c r="AG154" s="123"/>
      <c r="AH154" s="123"/>
      <c r="AI154" s="123"/>
      <c r="AJ154" s="267">
        <v>9.038069E7</v>
      </c>
      <c r="AK154" s="267" t="s">
        <v>2458</v>
      </c>
      <c r="AL154" s="267"/>
    </row>
    <row r="155">
      <c r="A155" s="302"/>
      <c r="B155" s="147"/>
      <c r="C155" s="265"/>
      <c r="D155" s="265"/>
      <c r="E155" s="265"/>
      <c r="F155" s="265"/>
      <c r="G155" s="265"/>
      <c r="H155" s="266"/>
      <c r="I155" s="265"/>
      <c r="J155" s="123"/>
      <c r="K155" s="123"/>
      <c r="L155" s="123"/>
      <c r="M155" s="123"/>
      <c r="N155" s="123"/>
      <c r="O155" s="123"/>
      <c r="P155" s="121"/>
      <c r="Q155" s="121"/>
      <c r="R155" s="123"/>
      <c r="S155" s="123"/>
      <c r="T155" s="123"/>
      <c r="U155" s="123"/>
      <c r="V155" s="123"/>
      <c r="W155" s="123"/>
      <c r="X155" s="123"/>
      <c r="Y155" s="123"/>
      <c r="Z155" s="123"/>
      <c r="AA155" s="123"/>
      <c r="AB155" s="123"/>
      <c r="AC155" s="123"/>
      <c r="AD155" s="123"/>
      <c r="AE155" s="123"/>
      <c r="AF155" s="123"/>
      <c r="AG155" s="123"/>
      <c r="AH155" s="123"/>
      <c r="AI155" s="123"/>
      <c r="AJ155" s="267">
        <v>1.48387857E8</v>
      </c>
      <c r="AK155" s="267"/>
      <c r="AL155" s="267"/>
    </row>
    <row r="156">
      <c r="A156" s="302"/>
      <c r="B156" s="147"/>
      <c r="C156" s="265"/>
      <c r="D156" s="265"/>
      <c r="E156" s="265"/>
      <c r="F156" s="265"/>
      <c r="G156" s="265"/>
      <c r="H156" s="266"/>
      <c r="I156" s="265"/>
      <c r="J156" s="123"/>
      <c r="K156" s="123"/>
      <c r="L156" s="123"/>
      <c r="M156" s="123"/>
      <c r="N156" s="123"/>
      <c r="O156" s="123"/>
      <c r="P156" s="121"/>
      <c r="Q156" s="121"/>
      <c r="R156" s="123"/>
      <c r="S156" s="123"/>
      <c r="T156" s="123"/>
      <c r="U156" s="123"/>
      <c r="V156" s="123"/>
      <c r="W156" s="123"/>
      <c r="X156" s="123"/>
      <c r="Y156" s="123"/>
      <c r="Z156" s="123"/>
      <c r="AA156" s="123"/>
      <c r="AB156" s="123"/>
      <c r="AC156" s="123"/>
      <c r="AD156" s="123"/>
      <c r="AE156" s="123"/>
      <c r="AF156" s="123"/>
      <c r="AG156" s="123"/>
      <c r="AH156" s="123"/>
      <c r="AI156" s="123"/>
      <c r="AJ156" s="267">
        <v>1.65259041E8</v>
      </c>
      <c r="AK156" s="267" t="s">
        <v>2477</v>
      </c>
      <c r="AL156" s="267"/>
    </row>
    <row r="157">
      <c r="A157" s="302"/>
      <c r="B157" s="147"/>
      <c r="C157" s="265"/>
      <c r="D157" s="265"/>
      <c r="E157" s="265"/>
      <c r="F157" s="265"/>
      <c r="G157" s="265"/>
      <c r="H157" s="266"/>
      <c r="I157" s="265"/>
      <c r="J157" s="123"/>
      <c r="K157" s="123"/>
      <c r="L157" s="123"/>
      <c r="M157" s="123"/>
      <c r="N157" s="123"/>
      <c r="O157" s="123"/>
      <c r="P157" s="121"/>
      <c r="Q157" s="121"/>
      <c r="R157" s="123"/>
      <c r="S157" s="123"/>
      <c r="T157" s="123"/>
      <c r="U157" s="123"/>
      <c r="V157" s="123"/>
      <c r="W157" s="123"/>
      <c r="X157" s="123"/>
      <c r="Y157" s="123"/>
      <c r="Z157" s="123"/>
      <c r="AA157" s="123"/>
      <c r="AB157" s="123"/>
      <c r="AC157" s="123"/>
      <c r="AD157" s="123"/>
      <c r="AE157" s="123"/>
      <c r="AF157" s="123"/>
      <c r="AG157" s="123"/>
      <c r="AH157" s="123"/>
      <c r="AI157" s="123"/>
      <c r="AJ157" s="267">
        <v>1.67680829E8</v>
      </c>
      <c r="AK157" s="267"/>
      <c r="AL157" s="267"/>
    </row>
    <row r="158">
      <c r="A158" s="255"/>
      <c r="B158" s="259"/>
      <c r="C158" s="259"/>
      <c r="D158" s="259"/>
      <c r="E158" s="277"/>
      <c r="F158" s="259"/>
      <c r="G158" s="277"/>
      <c r="H158" s="260"/>
      <c r="I158" s="259"/>
      <c r="J158" s="115"/>
      <c r="K158" s="115"/>
      <c r="L158" s="115"/>
      <c r="M158" s="115"/>
      <c r="N158" s="115"/>
      <c r="O158" s="115"/>
      <c r="P158" s="268"/>
      <c r="Q158" s="269"/>
      <c r="R158" s="115"/>
      <c r="S158" s="77"/>
      <c r="T158" s="115"/>
      <c r="U158" s="115"/>
      <c r="V158" s="115"/>
      <c r="W158" s="115"/>
      <c r="X158" s="115"/>
      <c r="Y158" s="115"/>
      <c r="Z158" s="115"/>
      <c r="AA158" s="115"/>
      <c r="AB158" s="278"/>
      <c r="AC158" s="261"/>
      <c r="AD158" s="115"/>
      <c r="AE158" s="77"/>
      <c r="AF158" s="115"/>
      <c r="AG158" s="115"/>
      <c r="AH158" s="262"/>
      <c r="AI158" s="262"/>
      <c r="AJ158" s="264">
        <v>1.67680831E8</v>
      </c>
      <c r="AK158" s="264"/>
      <c r="AL158" s="264"/>
    </row>
    <row r="159">
      <c r="A159" s="279"/>
      <c r="B159" s="280"/>
      <c r="C159" s="281"/>
      <c r="D159" s="281"/>
      <c r="E159" s="280"/>
      <c r="F159" s="280"/>
      <c r="G159" s="280"/>
      <c r="H159" s="260"/>
      <c r="I159" s="280"/>
      <c r="J159" s="282"/>
      <c r="K159" s="282"/>
      <c r="L159" s="282"/>
      <c r="M159" s="282"/>
      <c r="N159" s="282"/>
      <c r="O159" s="282"/>
      <c r="P159" s="184"/>
      <c r="Q159" s="291"/>
      <c r="R159" s="282"/>
      <c r="S159" s="282"/>
      <c r="T159" s="283"/>
      <c r="U159" s="283"/>
      <c r="V159" s="283"/>
      <c r="W159" s="283"/>
      <c r="X159" s="282"/>
      <c r="Y159" s="282"/>
      <c r="Z159" s="115"/>
      <c r="AA159" s="282"/>
      <c r="AB159" s="282"/>
      <c r="AC159" s="282"/>
      <c r="AD159" s="283"/>
      <c r="AE159" s="282"/>
      <c r="AF159" s="283"/>
      <c r="AG159" s="283"/>
      <c r="AH159" s="262"/>
      <c r="AI159" s="262"/>
      <c r="AJ159" s="264">
        <v>1.67680833E8</v>
      </c>
      <c r="AK159" s="264"/>
      <c r="AL159" s="264"/>
    </row>
    <row r="160">
      <c r="A160" s="90"/>
      <c r="B160" s="259"/>
      <c r="C160" s="259"/>
      <c r="D160" s="259"/>
      <c r="E160" s="259"/>
      <c r="F160" s="276"/>
      <c r="G160" s="259"/>
      <c r="H160" s="260"/>
      <c r="I160" s="259"/>
      <c r="J160" s="115"/>
      <c r="K160" s="115"/>
      <c r="L160" s="115"/>
      <c r="M160" s="115"/>
      <c r="N160" s="115"/>
      <c r="O160" s="115"/>
      <c r="P160" s="71"/>
      <c r="Q160" s="71"/>
      <c r="R160" s="77"/>
      <c r="S160" s="77"/>
      <c r="T160" s="77"/>
      <c r="U160" s="77"/>
      <c r="V160" s="115"/>
      <c r="W160" s="115"/>
      <c r="X160" s="115"/>
      <c r="Y160" s="115"/>
      <c r="Z160" s="115"/>
      <c r="AA160" s="115"/>
      <c r="AB160" s="261"/>
      <c r="AC160" s="261"/>
      <c r="AD160" s="115"/>
      <c r="AE160" s="261"/>
      <c r="AF160" s="115"/>
      <c r="AG160" s="115"/>
      <c r="AH160" s="262"/>
      <c r="AI160" s="262"/>
      <c r="AJ160" s="264">
        <v>1.55928221E8</v>
      </c>
      <c r="AK160" s="264"/>
      <c r="AL160" s="264"/>
    </row>
    <row r="161">
      <c r="A161" s="90"/>
      <c r="B161" s="259"/>
      <c r="C161" s="259"/>
      <c r="D161" s="259"/>
      <c r="E161" s="259"/>
      <c r="F161" s="276"/>
      <c r="G161" s="259"/>
      <c r="H161" s="260"/>
      <c r="I161" s="259"/>
      <c r="J161" s="115"/>
      <c r="K161" s="115"/>
      <c r="L161" s="115"/>
      <c r="M161" s="115"/>
      <c r="N161" s="115"/>
      <c r="O161" s="115"/>
      <c r="P161" s="71"/>
      <c r="Q161" s="71"/>
      <c r="R161" s="77"/>
      <c r="S161" s="77"/>
      <c r="T161" s="77"/>
      <c r="U161" s="77"/>
      <c r="V161" s="115"/>
      <c r="W161" s="115"/>
      <c r="X161" s="115"/>
      <c r="Y161" s="115"/>
      <c r="Z161" s="115"/>
      <c r="AA161" s="115"/>
      <c r="AB161" s="261"/>
      <c r="AC161" s="261"/>
      <c r="AD161" s="115"/>
      <c r="AE161" s="261"/>
      <c r="AF161" s="115"/>
      <c r="AG161" s="115"/>
      <c r="AH161" s="262"/>
      <c r="AI161" s="262"/>
      <c r="AJ161" s="264"/>
      <c r="AK161" s="264" t="s">
        <v>401</v>
      </c>
      <c r="AL161" s="264"/>
    </row>
    <row r="162">
      <c r="A162" s="90"/>
      <c r="B162" s="259"/>
      <c r="C162" s="259"/>
      <c r="D162" s="259"/>
      <c r="E162" s="259"/>
      <c r="F162" s="276"/>
      <c r="G162" s="259"/>
      <c r="H162" s="260"/>
      <c r="I162" s="259"/>
      <c r="J162" s="115"/>
      <c r="K162" s="115"/>
      <c r="L162" s="115"/>
      <c r="M162" s="115"/>
      <c r="N162" s="115"/>
      <c r="O162" s="115"/>
      <c r="P162" s="71"/>
      <c r="Q162" s="71"/>
      <c r="R162" s="77"/>
      <c r="S162" s="77"/>
      <c r="T162" s="77"/>
      <c r="U162" s="77"/>
      <c r="V162" s="115"/>
      <c r="W162" s="115"/>
      <c r="X162" s="115"/>
      <c r="Y162" s="115"/>
      <c r="Z162" s="115"/>
      <c r="AA162" s="115"/>
      <c r="AB162" s="261"/>
      <c r="AC162" s="261"/>
      <c r="AD162" s="115"/>
      <c r="AE162" s="261"/>
      <c r="AF162" s="115"/>
      <c r="AG162" s="115"/>
      <c r="AH162" s="262"/>
      <c r="AI162" s="262"/>
      <c r="AJ162" s="264">
        <v>9.1969281E7</v>
      </c>
      <c r="AK162" s="264" t="s">
        <v>1044</v>
      </c>
      <c r="AL162" s="264"/>
    </row>
    <row r="163">
      <c r="A163" s="147"/>
      <c r="B163" s="123"/>
      <c r="C163" s="147"/>
      <c r="D163" s="265"/>
      <c r="E163" s="265"/>
      <c r="F163" s="265"/>
      <c r="G163" s="265"/>
      <c r="H163" s="266"/>
      <c r="I163" s="265"/>
      <c r="J163" s="123"/>
      <c r="K163" s="123"/>
      <c r="L163" s="123"/>
      <c r="M163" s="123"/>
      <c r="N163" s="123"/>
      <c r="O163" s="123"/>
      <c r="P163" s="121"/>
      <c r="Q163" s="121"/>
      <c r="R163" s="123"/>
      <c r="S163" s="123"/>
      <c r="T163" s="123"/>
      <c r="U163" s="123"/>
      <c r="V163" s="123"/>
      <c r="W163" s="123"/>
      <c r="X163" s="123"/>
      <c r="Y163" s="123"/>
      <c r="Z163" s="123"/>
      <c r="AA163" s="123"/>
      <c r="AB163" s="123"/>
      <c r="AC163" s="123"/>
      <c r="AD163" s="123"/>
      <c r="AE163" s="123"/>
      <c r="AF163" s="123"/>
      <c r="AG163" s="123"/>
      <c r="AH163" s="123"/>
      <c r="AI163" s="123"/>
      <c r="AJ163" s="267">
        <v>1.45755982E8</v>
      </c>
      <c r="AK163" s="267"/>
      <c r="AL163" s="267"/>
    </row>
    <row r="164">
      <c r="A164" s="147"/>
      <c r="B164" s="123"/>
      <c r="C164" s="147"/>
      <c r="D164" s="265"/>
      <c r="E164" s="265"/>
      <c r="F164" s="265"/>
      <c r="G164" s="265"/>
      <c r="H164" s="266"/>
      <c r="I164" s="265"/>
      <c r="J164" s="123"/>
      <c r="K164" s="123"/>
      <c r="L164" s="123"/>
      <c r="M164" s="123"/>
      <c r="N164" s="123"/>
      <c r="O164" s="123"/>
      <c r="P164" s="121"/>
      <c r="Q164" s="121"/>
      <c r="R164" s="123"/>
      <c r="S164" s="123"/>
      <c r="T164" s="123"/>
      <c r="U164" s="123"/>
      <c r="V164" s="123"/>
      <c r="W164" s="123"/>
      <c r="X164" s="123"/>
      <c r="Y164" s="123"/>
      <c r="Z164" s="123"/>
      <c r="AA164" s="123"/>
      <c r="AB164" s="123"/>
      <c r="AC164" s="123"/>
      <c r="AD164" s="123"/>
      <c r="AE164" s="123"/>
      <c r="AF164" s="123"/>
      <c r="AG164" s="123"/>
      <c r="AH164" s="123"/>
      <c r="AI164" s="123"/>
      <c r="AJ164" s="267">
        <v>1.59631114E8</v>
      </c>
      <c r="AK164" s="267" t="s">
        <v>2539</v>
      </c>
      <c r="AL164" s="267"/>
    </row>
    <row r="165">
      <c r="A165" s="147"/>
      <c r="B165" s="123"/>
      <c r="C165" s="147"/>
      <c r="D165" s="265"/>
      <c r="E165" s="265"/>
      <c r="F165" s="265"/>
      <c r="G165" s="265"/>
      <c r="H165" s="266"/>
      <c r="I165" s="265"/>
      <c r="J165" s="123"/>
      <c r="K165" s="123"/>
      <c r="L165" s="123"/>
      <c r="M165" s="123"/>
      <c r="N165" s="123"/>
      <c r="O165" s="123"/>
      <c r="P165" s="121"/>
      <c r="Q165" s="121"/>
      <c r="R165" s="123"/>
      <c r="S165" s="123"/>
      <c r="T165" s="123"/>
      <c r="U165" s="123"/>
      <c r="V165" s="123"/>
      <c r="W165" s="123"/>
      <c r="X165" s="123"/>
      <c r="Y165" s="123"/>
      <c r="Z165" s="123"/>
      <c r="AA165" s="123"/>
      <c r="AB165" s="123"/>
      <c r="AC165" s="123"/>
      <c r="AD165" s="123"/>
      <c r="AE165" s="123"/>
      <c r="AF165" s="123"/>
      <c r="AG165" s="123"/>
      <c r="AH165" s="123"/>
      <c r="AI165" s="123"/>
      <c r="AJ165" s="267">
        <v>1.74420257E8</v>
      </c>
      <c r="AK165" s="267" t="s">
        <v>2551</v>
      </c>
      <c r="AL165" s="267"/>
    </row>
    <row r="166">
      <c r="A166" s="147"/>
      <c r="B166" s="123"/>
      <c r="C166" s="147"/>
      <c r="D166" s="265"/>
      <c r="E166" s="265"/>
      <c r="F166" s="265"/>
      <c r="G166" s="265"/>
      <c r="H166" s="266"/>
      <c r="I166" s="265"/>
      <c r="J166" s="123"/>
      <c r="K166" s="123"/>
      <c r="L166" s="123"/>
      <c r="M166" s="123"/>
      <c r="N166" s="123"/>
      <c r="O166" s="123"/>
      <c r="P166" s="121"/>
      <c r="Q166" s="121"/>
      <c r="R166" s="123"/>
      <c r="S166" s="123"/>
      <c r="T166" s="123"/>
      <c r="U166" s="123"/>
      <c r="V166" s="123"/>
      <c r="W166" s="123"/>
      <c r="X166" s="123"/>
      <c r="Y166" s="123"/>
      <c r="Z166" s="123"/>
      <c r="AA166" s="123"/>
      <c r="AB166" s="123"/>
      <c r="AC166" s="123"/>
      <c r="AD166" s="123"/>
      <c r="AE166" s="123"/>
      <c r="AF166" s="123"/>
      <c r="AG166" s="123"/>
      <c r="AH166" s="123"/>
      <c r="AI166" s="123"/>
      <c r="AJ166" s="267">
        <v>1.4094636E8</v>
      </c>
      <c r="AK166" s="267" t="s">
        <v>2567</v>
      </c>
      <c r="AL166" s="267"/>
    </row>
    <row r="167">
      <c r="A167" s="147"/>
      <c r="B167" s="123"/>
      <c r="C167" s="147"/>
      <c r="D167" s="265"/>
      <c r="E167" s="265"/>
      <c r="F167" s="265"/>
      <c r="G167" s="265"/>
      <c r="H167" s="266"/>
      <c r="I167" s="265"/>
      <c r="J167" s="123"/>
      <c r="K167" s="123"/>
      <c r="L167" s="123"/>
      <c r="M167" s="123"/>
      <c r="N167" s="123"/>
      <c r="O167" s="123"/>
      <c r="P167" s="121"/>
      <c r="Q167" s="121"/>
      <c r="R167" s="123"/>
      <c r="S167" s="123"/>
      <c r="T167" s="123"/>
      <c r="U167" s="123"/>
      <c r="V167" s="123"/>
      <c r="W167" s="123"/>
      <c r="X167" s="123"/>
      <c r="Y167" s="123"/>
      <c r="Z167" s="123"/>
      <c r="AA167" s="123"/>
      <c r="AB167" s="123"/>
      <c r="AC167" s="123"/>
      <c r="AD167" s="123"/>
      <c r="AE167" s="123"/>
      <c r="AF167" s="123"/>
      <c r="AG167" s="123"/>
      <c r="AH167" s="123"/>
      <c r="AI167" s="123"/>
      <c r="AJ167" s="267">
        <v>1.48386282E8</v>
      </c>
      <c r="AK167" s="267"/>
      <c r="AL167" s="267"/>
    </row>
    <row r="168">
      <c r="A168" s="147"/>
      <c r="B168" s="123"/>
      <c r="C168" s="147"/>
      <c r="D168" s="265"/>
      <c r="E168" s="265"/>
      <c r="F168" s="265"/>
      <c r="G168" s="265"/>
      <c r="H168" s="266"/>
      <c r="I168" s="265"/>
      <c r="J168" s="123"/>
      <c r="K168" s="123"/>
      <c r="L168" s="123"/>
      <c r="M168" s="123"/>
      <c r="N168" s="123"/>
      <c r="O168" s="123"/>
      <c r="P168" s="121"/>
      <c r="Q168" s="121"/>
      <c r="R168" s="123"/>
      <c r="S168" s="123"/>
      <c r="T168" s="123"/>
      <c r="U168" s="123"/>
      <c r="V168" s="123"/>
      <c r="W168" s="123"/>
      <c r="X168" s="123"/>
      <c r="Y168" s="123"/>
      <c r="Z168" s="123"/>
      <c r="AA168" s="123"/>
      <c r="AB168" s="123"/>
      <c r="AC168" s="123"/>
      <c r="AD168" s="123"/>
      <c r="AE168" s="123"/>
      <c r="AF168" s="123"/>
      <c r="AG168" s="123"/>
      <c r="AH168" s="123"/>
      <c r="AI168" s="123"/>
      <c r="AJ168" s="267">
        <v>1.50847785E8</v>
      </c>
      <c r="AK168" s="267"/>
      <c r="AL168" s="267"/>
    </row>
    <row r="169">
      <c r="A169" s="147"/>
      <c r="B169" s="123"/>
      <c r="C169" s="147"/>
      <c r="D169" s="265"/>
      <c r="E169" s="265"/>
      <c r="F169" s="265"/>
      <c r="G169" s="265"/>
      <c r="H169" s="266"/>
      <c r="I169" s="265"/>
      <c r="J169" s="123"/>
      <c r="K169" s="123"/>
      <c r="L169" s="123"/>
      <c r="M169" s="123"/>
      <c r="N169" s="123"/>
      <c r="O169" s="123"/>
      <c r="P169" s="121"/>
      <c r="Q169" s="121"/>
      <c r="R169" s="123"/>
      <c r="S169" s="123"/>
      <c r="T169" s="123"/>
      <c r="U169" s="123"/>
      <c r="V169" s="123"/>
      <c r="W169" s="123"/>
      <c r="X169" s="123"/>
      <c r="Y169" s="123"/>
      <c r="Z169" s="123"/>
      <c r="AA169" s="123"/>
      <c r="AB169" s="123"/>
      <c r="AC169" s="123"/>
      <c r="AD169" s="123"/>
      <c r="AE169" s="123"/>
      <c r="AF169" s="123"/>
      <c r="AG169" s="123"/>
      <c r="AH169" s="123"/>
      <c r="AI169" s="123"/>
      <c r="AJ169" s="267">
        <v>1.91073458E8</v>
      </c>
      <c r="AK169" s="267" t="s">
        <v>2604</v>
      </c>
      <c r="AL169" s="267"/>
    </row>
    <row r="170">
      <c r="A170" s="147"/>
      <c r="B170" s="123"/>
      <c r="C170" s="147"/>
      <c r="D170" s="265"/>
      <c r="E170" s="265"/>
      <c r="F170" s="265"/>
      <c r="G170" s="265"/>
      <c r="H170" s="266"/>
      <c r="I170" s="265"/>
      <c r="J170" s="123"/>
      <c r="K170" s="123"/>
      <c r="L170" s="123"/>
      <c r="M170" s="123"/>
      <c r="N170" s="123"/>
      <c r="O170" s="123"/>
      <c r="P170" s="121"/>
      <c r="Q170" s="121"/>
      <c r="R170" s="123"/>
      <c r="S170" s="123"/>
      <c r="T170" s="123"/>
      <c r="U170" s="123"/>
      <c r="V170" s="123"/>
      <c r="W170" s="123"/>
      <c r="X170" s="123"/>
      <c r="Y170" s="123"/>
      <c r="Z170" s="123"/>
      <c r="AA170" s="123"/>
      <c r="AB170" s="123"/>
      <c r="AC170" s="123"/>
      <c r="AD170" s="123"/>
      <c r="AE170" s="123"/>
      <c r="AF170" s="123"/>
      <c r="AG170" s="123"/>
      <c r="AH170" s="123"/>
      <c r="AI170" s="123"/>
      <c r="AJ170" s="267">
        <v>1.40944929E8</v>
      </c>
      <c r="AK170" s="267" t="s">
        <v>2620</v>
      </c>
      <c r="AL170" s="267"/>
    </row>
    <row r="171">
      <c r="A171" s="147"/>
      <c r="B171" s="123"/>
      <c r="C171" s="147"/>
      <c r="D171" s="265"/>
      <c r="E171" s="265"/>
      <c r="F171" s="265"/>
      <c r="G171" s="265"/>
      <c r="H171" s="266"/>
      <c r="I171" s="265"/>
      <c r="J171" s="123"/>
      <c r="K171" s="123"/>
      <c r="L171" s="123"/>
      <c r="M171" s="123"/>
      <c r="N171" s="123"/>
      <c r="O171" s="123"/>
      <c r="P171" s="121"/>
      <c r="Q171" s="121"/>
      <c r="R171" s="123"/>
      <c r="S171" s="123"/>
      <c r="T171" s="123"/>
      <c r="U171" s="123"/>
      <c r="V171" s="123"/>
      <c r="W171" s="123"/>
      <c r="X171" s="123"/>
      <c r="Y171" s="123"/>
      <c r="Z171" s="123"/>
      <c r="AA171" s="123"/>
      <c r="AB171" s="123"/>
      <c r="AC171" s="123"/>
      <c r="AD171" s="123"/>
      <c r="AE171" s="123"/>
      <c r="AF171" s="123"/>
      <c r="AG171" s="123"/>
      <c r="AH171" s="123"/>
      <c r="AI171" s="123"/>
      <c r="AJ171" s="267">
        <v>1.67679765E8</v>
      </c>
      <c r="AK171" s="267"/>
      <c r="AL171" s="267"/>
    </row>
    <row r="172">
      <c r="A172" s="147"/>
      <c r="B172" s="123"/>
      <c r="C172" s="147"/>
      <c r="D172" s="265"/>
      <c r="E172" s="265"/>
      <c r="F172" s="265"/>
      <c r="G172" s="265"/>
      <c r="H172" s="266"/>
      <c r="I172" s="265"/>
      <c r="J172" s="123"/>
      <c r="K172" s="123"/>
      <c r="L172" s="123"/>
      <c r="M172" s="123"/>
      <c r="N172" s="123"/>
      <c r="O172" s="123"/>
      <c r="P172" s="121"/>
      <c r="Q172" s="121"/>
      <c r="R172" s="123"/>
      <c r="S172" s="123"/>
      <c r="T172" s="123"/>
      <c r="U172" s="123"/>
      <c r="V172" s="123"/>
      <c r="W172" s="123"/>
      <c r="X172" s="123"/>
      <c r="Y172" s="123"/>
      <c r="Z172" s="123"/>
      <c r="AA172" s="123"/>
      <c r="AB172" s="123"/>
      <c r="AC172" s="123"/>
      <c r="AD172" s="123"/>
      <c r="AE172" s="123"/>
      <c r="AF172" s="123"/>
      <c r="AG172" s="123"/>
      <c r="AH172" s="123"/>
      <c r="AI172" s="123"/>
      <c r="AJ172" s="267">
        <v>1.57011739E8</v>
      </c>
      <c r="AK172" s="267" t="s">
        <v>2643</v>
      </c>
      <c r="AL172" s="267"/>
    </row>
    <row r="173">
      <c r="A173" s="147"/>
      <c r="B173" s="123"/>
      <c r="C173" s="147"/>
      <c r="D173" s="265"/>
      <c r="E173" s="265"/>
      <c r="F173" s="265"/>
      <c r="G173" s="265"/>
      <c r="H173" s="266"/>
      <c r="I173" s="265"/>
      <c r="J173" s="123"/>
      <c r="K173" s="123"/>
      <c r="L173" s="123"/>
      <c r="M173" s="123"/>
      <c r="N173" s="123"/>
      <c r="O173" s="123"/>
      <c r="P173" s="121"/>
      <c r="Q173" s="121"/>
      <c r="R173" s="123"/>
      <c r="S173" s="123"/>
      <c r="T173" s="123"/>
      <c r="U173" s="123"/>
      <c r="V173" s="123"/>
      <c r="W173" s="123"/>
      <c r="X173" s="123"/>
      <c r="Y173" s="123"/>
      <c r="Z173" s="123"/>
      <c r="AA173" s="123"/>
      <c r="AB173" s="123"/>
      <c r="AC173" s="123"/>
      <c r="AD173" s="123"/>
      <c r="AE173" s="123"/>
      <c r="AF173" s="123"/>
      <c r="AG173" s="123"/>
      <c r="AH173" s="123"/>
      <c r="AI173" s="123"/>
      <c r="AJ173" s="267">
        <v>1.5998048E8</v>
      </c>
      <c r="AK173" s="267" t="s">
        <v>2658</v>
      </c>
      <c r="AL173" s="267"/>
    </row>
    <row r="174">
      <c r="A174" s="147"/>
      <c r="B174" s="123"/>
      <c r="C174" s="147"/>
      <c r="D174" s="265"/>
      <c r="E174" s="265"/>
      <c r="F174" s="265"/>
      <c r="G174" s="265"/>
      <c r="H174" s="266"/>
      <c r="I174" s="265"/>
      <c r="J174" s="123"/>
      <c r="K174" s="123"/>
      <c r="L174" s="123"/>
      <c r="M174" s="123"/>
      <c r="N174" s="123"/>
      <c r="O174" s="123"/>
      <c r="P174" s="121"/>
      <c r="Q174" s="121"/>
      <c r="R174" s="123"/>
      <c r="S174" s="123"/>
      <c r="T174" s="123"/>
      <c r="U174" s="123"/>
      <c r="V174" s="123"/>
      <c r="W174" s="123"/>
      <c r="X174" s="123"/>
      <c r="Y174" s="123"/>
      <c r="Z174" s="123"/>
      <c r="AA174" s="123"/>
      <c r="AB174" s="123"/>
      <c r="AC174" s="123"/>
      <c r="AD174" s="123"/>
      <c r="AE174" s="123"/>
      <c r="AF174" s="123"/>
      <c r="AG174" s="123"/>
      <c r="AH174" s="123"/>
      <c r="AI174" s="123"/>
      <c r="AJ174" s="87"/>
      <c r="AK174" s="87"/>
      <c r="AL174" s="87"/>
    </row>
    <row r="175">
      <c r="A175" s="147"/>
      <c r="B175" s="123"/>
      <c r="C175" s="147"/>
      <c r="D175" s="265"/>
      <c r="E175" s="265"/>
      <c r="F175" s="265"/>
      <c r="G175" s="265"/>
      <c r="H175" s="266"/>
      <c r="I175" s="265"/>
      <c r="J175" s="123"/>
      <c r="K175" s="123"/>
      <c r="L175" s="123"/>
      <c r="M175" s="123"/>
      <c r="N175" s="123"/>
      <c r="O175" s="123"/>
      <c r="P175" s="121"/>
      <c r="Q175" s="121"/>
      <c r="R175" s="123"/>
      <c r="S175" s="123"/>
      <c r="T175" s="123"/>
      <c r="U175" s="123"/>
      <c r="V175" s="123"/>
      <c r="W175" s="123"/>
      <c r="X175" s="123"/>
      <c r="Y175" s="123"/>
      <c r="Z175" s="123"/>
      <c r="AA175" s="123"/>
      <c r="AB175" s="123"/>
      <c r="AC175" s="123"/>
      <c r="AD175" s="123"/>
      <c r="AE175" s="123"/>
      <c r="AF175" s="123"/>
      <c r="AG175" s="123"/>
      <c r="AH175" s="123"/>
      <c r="AI175" s="123"/>
      <c r="AJ175" s="87"/>
      <c r="AK175" s="87"/>
      <c r="AL175" s="87"/>
    </row>
    <row r="176">
      <c r="A176" s="147"/>
      <c r="B176" s="123"/>
      <c r="C176" s="147"/>
      <c r="D176" s="265"/>
      <c r="E176" s="265"/>
      <c r="F176" s="265"/>
      <c r="G176" s="265"/>
      <c r="H176" s="266"/>
      <c r="I176" s="265"/>
      <c r="J176" s="123"/>
      <c r="K176" s="123"/>
      <c r="L176" s="123"/>
      <c r="M176" s="123"/>
      <c r="N176" s="123"/>
      <c r="O176" s="123"/>
      <c r="P176" s="121"/>
      <c r="Q176" s="121"/>
      <c r="R176" s="123"/>
      <c r="S176" s="123"/>
      <c r="T176" s="123"/>
      <c r="U176" s="123"/>
      <c r="V176" s="123"/>
      <c r="W176" s="123"/>
      <c r="X176" s="123"/>
      <c r="Y176" s="123"/>
      <c r="Z176" s="123"/>
      <c r="AA176" s="123"/>
      <c r="AB176" s="123"/>
      <c r="AC176" s="123"/>
      <c r="AD176" s="123"/>
      <c r="AE176" s="123"/>
      <c r="AF176" s="123"/>
      <c r="AG176" s="123"/>
      <c r="AH176" s="123"/>
      <c r="AI176" s="123"/>
      <c r="AJ176" s="87"/>
      <c r="AK176" s="87"/>
      <c r="AL176" s="87"/>
    </row>
    <row r="177">
      <c r="A177" s="147"/>
      <c r="B177" s="123"/>
      <c r="C177" s="147"/>
      <c r="D177" s="265"/>
      <c r="E177" s="265"/>
      <c r="F177" s="265"/>
      <c r="G177" s="265"/>
      <c r="H177" s="266"/>
      <c r="I177" s="265"/>
      <c r="J177" s="123"/>
      <c r="K177" s="123"/>
      <c r="L177" s="123"/>
      <c r="M177" s="123"/>
      <c r="N177" s="123"/>
      <c r="O177" s="123"/>
      <c r="P177" s="121"/>
      <c r="Q177" s="121"/>
      <c r="R177" s="123"/>
      <c r="S177" s="123"/>
      <c r="T177" s="123"/>
      <c r="U177" s="123"/>
      <c r="V177" s="123"/>
      <c r="W177" s="123"/>
      <c r="X177" s="123"/>
      <c r="Y177" s="123"/>
      <c r="Z177" s="123"/>
      <c r="AA177" s="123"/>
      <c r="AB177" s="123"/>
      <c r="AC177" s="123"/>
      <c r="AD177" s="123"/>
      <c r="AE177" s="123"/>
      <c r="AF177" s="123"/>
      <c r="AG177" s="123"/>
      <c r="AH177" s="123"/>
      <c r="AI177" s="123"/>
      <c r="AJ177" s="87"/>
      <c r="AK177" s="87"/>
      <c r="AL177" s="87"/>
    </row>
    <row r="178">
      <c r="A178" s="90"/>
      <c r="B178" s="259"/>
      <c r="C178" s="259"/>
      <c r="D178" s="259"/>
      <c r="E178" s="259"/>
      <c r="F178" s="276"/>
      <c r="G178" s="259"/>
      <c r="H178" s="260"/>
      <c r="I178" s="259"/>
      <c r="J178" s="115"/>
      <c r="K178" s="115"/>
      <c r="L178" s="115"/>
      <c r="M178" s="115"/>
      <c r="N178" s="115"/>
      <c r="O178" s="115"/>
      <c r="P178" s="71"/>
      <c r="Q178" s="71"/>
      <c r="R178" s="77"/>
      <c r="S178" s="77"/>
      <c r="T178" s="77"/>
      <c r="U178" s="77"/>
      <c r="V178" s="115"/>
      <c r="W178" s="115"/>
      <c r="X178" s="115"/>
      <c r="Y178" s="115"/>
      <c r="Z178" s="115"/>
      <c r="AA178" s="115"/>
      <c r="AB178" s="261"/>
      <c r="AC178" s="261"/>
      <c r="AD178" s="115"/>
      <c r="AE178" s="261"/>
      <c r="AF178" s="115"/>
      <c r="AG178" s="115"/>
      <c r="AH178" s="262"/>
      <c r="AI178" s="262"/>
      <c r="AJ178" s="262"/>
      <c r="AK178" s="262"/>
      <c r="AL178" s="262"/>
    </row>
    <row r="179">
      <c r="A179" s="292"/>
      <c r="B179" s="273"/>
      <c r="C179" s="273"/>
      <c r="D179" s="273"/>
      <c r="E179" s="273"/>
      <c r="F179" s="273"/>
      <c r="G179" s="273"/>
      <c r="H179" s="260"/>
      <c r="I179" s="273"/>
      <c r="J179" s="124"/>
      <c r="K179" s="124"/>
      <c r="L179" s="124"/>
      <c r="M179" s="124"/>
      <c r="N179" s="124"/>
      <c r="O179" s="124"/>
      <c r="P179" s="128"/>
      <c r="Q179" s="128"/>
      <c r="R179" s="192"/>
      <c r="S179" s="192"/>
      <c r="T179" s="192"/>
      <c r="U179" s="192"/>
      <c r="V179" s="124"/>
      <c r="W179" s="124"/>
      <c r="X179" s="124"/>
      <c r="Y179" s="124"/>
      <c r="Z179" s="124"/>
      <c r="AA179" s="124"/>
      <c r="AB179" s="275"/>
      <c r="AC179" s="275"/>
      <c r="AD179" s="124"/>
      <c r="AE179" s="275"/>
      <c r="AF179" s="124"/>
      <c r="AG179" s="124"/>
      <c r="AH179" s="124"/>
      <c r="AI179" s="124"/>
      <c r="AJ179" s="262"/>
      <c r="AK179" s="262"/>
      <c r="AL179" s="262"/>
    </row>
    <row r="180">
      <c r="A180" s="147"/>
      <c r="B180" s="123"/>
      <c r="C180" s="147"/>
      <c r="D180" s="265"/>
      <c r="E180" s="265"/>
      <c r="F180" s="265"/>
      <c r="G180" s="265"/>
      <c r="H180" s="266"/>
      <c r="I180" s="265"/>
      <c r="J180" s="123"/>
      <c r="K180" s="123"/>
      <c r="L180" s="123"/>
      <c r="M180" s="123"/>
      <c r="N180" s="123"/>
      <c r="O180" s="123"/>
      <c r="P180" s="121"/>
      <c r="Q180" s="121"/>
      <c r="R180" s="123"/>
      <c r="S180" s="123"/>
      <c r="T180" s="123"/>
      <c r="U180" s="123"/>
      <c r="V180" s="123"/>
      <c r="W180" s="123"/>
      <c r="X180" s="123"/>
      <c r="Y180" s="123"/>
      <c r="Z180" s="123"/>
      <c r="AA180" s="123"/>
      <c r="AB180" s="123"/>
      <c r="AC180" s="123"/>
      <c r="AD180" s="123"/>
      <c r="AE180" s="123"/>
      <c r="AF180" s="123"/>
      <c r="AG180" s="123"/>
      <c r="AH180" s="123"/>
      <c r="AI180" s="123"/>
      <c r="AJ180" s="87"/>
      <c r="AK180" s="87"/>
      <c r="AL180" s="87"/>
    </row>
    <row r="181">
      <c r="A181" s="147"/>
      <c r="B181" s="123"/>
      <c r="C181" s="147"/>
      <c r="D181" s="265"/>
      <c r="E181" s="265"/>
      <c r="F181" s="265"/>
      <c r="G181" s="265"/>
      <c r="H181" s="266"/>
      <c r="I181" s="265"/>
      <c r="J181" s="123"/>
      <c r="K181" s="123"/>
      <c r="L181" s="123"/>
      <c r="M181" s="123"/>
      <c r="N181" s="123"/>
      <c r="O181" s="123"/>
      <c r="P181" s="121"/>
      <c r="Q181" s="121"/>
      <c r="R181" s="123"/>
      <c r="S181" s="123"/>
      <c r="T181" s="123"/>
      <c r="U181" s="123"/>
      <c r="V181" s="123"/>
      <c r="W181" s="123"/>
      <c r="X181" s="123"/>
      <c r="Y181" s="123"/>
      <c r="Z181" s="123"/>
      <c r="AA181" s="123"/>
      <c r="AB181" s="123"/>
      <c r="AC181" s="123"/>
      <c r="AD181" s="123"/>
      <c r="AE181" s="123"/>
      <c r="AF181" s="123"/>
      <c r="AG181" s="123"/>
      <c r="AH181" s="123"/>
      <c r="AI181" s="123"/>
      <c r="AJ181" s="87"/>
      <c r="AK181" s="87"/>
      <c r="AL181" s="87"/>
    </row>
    <row r="182">
      <c r="A182" s="147"/>
      <c r="B182" s="123"/>
      <c r="C182" s="147"/>
      <c r="D182" s="265"/>
      <c r="E182" s="265"/>
      <c r="F182" s="265"/>
      <c r="G182" s="265"/>
      <c r="H182" s="266"/>
      <c r="I182" s="265"/>
      <c r="J182" s="123"/>
      <c r="K182" s="123"/>
      <c r="L182" s="123"/>
      <c r="M182" s="123"/>
      <c r="N182" s="123"/>
      <c r="O182" s="123"/>
      <c r="P182" s="121"/>
      <c r="Q182" s="121"/>
      <c r="R182" s="123"/>
      <c r="S182" s="123"/>
      <c r="T182" s="123"/>
      <c r="U182" s="123"/>
      <c r="V182" s="123"/>
      <c r="W182" s="123"/>
      <c r="X182" s="123"/>
      <c r="Y182" s="123"/>
      <c r="Z182" s="123"/>
      <c r="AA182" s="123"/>
      <c r="AB182" s="123"/>
      <c r="AC182" s="123"/>
      <c r="AD182" s="123"/>
      <c r="AE182" s="123"/>
      <c r="AF182" s="123"/>
      <c r="AG182" s="123"/>
      <c r="AH182" s="123"/>
      <c r="AI182" s="123"/>
      <c r="AJ182" s="87"/>
      <c r="AK182" s="87"/>
      <c r="AL182" s="87"/>
    </row>
    <row r="183">
      <c r="A183" s="147"/>
      <c r="B183" s="123"/>
      <c r="C183" s="147"/>
      <c r="D183" s="265"/>
      <c r="E183" s="265"/>
      <c r="F183" s="265"/>
      <c r="G183" s="265"/>
      <c r="H183" s="266"/>
      <c r="I183" s="265"/>
      <c r="J183" s="123"/>
      <c r="K183" s="123"/>
      <c r="L183" s="123"/>
      <c r="M183" s="123"/>
      <c r="N183" s="123"/>
      <c r="O183" s="123"/>
      <c r="P183" s="121"/>
      <c r="Q183" s="121"/>
      <c r="R183" s="123"/>
      <c r="S183" s="123"/>
      <c r="T183" s="123"/>
      <c r="U183" s="123"/>
      <c r="V183" s="123"/>
      <c r="W183" s="123"/>
      <c r="X183" s="123"/>
      <c r="Y183" s="123"/>
      <c r="Z183" s="123"/>
      <c r="AA183" s="123"/>
      <c r="AB183" s="123"/>
      <c r="AC183" s="123"/>
      <c r="AD183" s="123"/>
      <c r="AE183" s="123"/>
      <c r="AF183" s="123"/>
      <c r="AG183" s="123"/>
      <c r="AH183" s="123"/>
      <c r="AI183" s="123"/>
      <c r="AJ183" s="87"/>
      <c r="AK183" s="87"/>
      <c r="AL183" s="87"/>
    </row>
    <row r="184">
      <c r="A184" s="147"/>
      <c r="B184" s="123"/>
      <c r="C184" s="147"/>
      <c r="D184" s="265"/>
      <c r="E184" s="265"/>
      <c r="F184" s="265"/>
      <c r="G184" s="265"/>
      <c r="H184" s="266"/>
      <c r="I184" s="265"/>
      <c r="J184" s="123"/>
      <c r="K184" s="123"/>
      <c r="L184" s="123"/>
      <c r="M184" s="123"/>
      <c r="N184" s="123"/>
      <c r="O184" s="123"/>
      <c r="P184" s="121"/>
      <c r="Q184" s="121"/>
      <c r="R184" s="123"/>
      <c r="S184" s="123"/>
      <c r="T184" s="123"/>
      <c r="U184" s="123"/>
      <c r="V184" s="123"/>
      <c r="W184" s="123"/>
      <c r="X184" s="123"/>
      <c r="Y184" s="123"/>
      <c r="Z184" s="123"/>
      <c r="AA184" s="123"/>
      <c r="AB184" s="123"/>
      <c r="AC184" s="123"/>
      <c r="AD184" s="123"/>
      <c r="AE184" s="123"/>
      <c r="AF184" s="123"/>
      <c r="AG184" s="123"/>
      <c r="AH184" s="123"/>
      <c r="AI184" s="123"/>
      <c r="AJ184" s="87"/>
      <c r="AK184" s="87"/>
      <c r="AL184" s="87"/>
    </row>
    <row r="185">
      <c r="A185" s="90"/>
      <c r="B185" s="259"/>
      <c r="C185" s="259"/>
      <c r="D185" s="259"/>
      <c r="E185" s="259"/>
      <c r="F185" s="276"/>
      <c r="G185" s="259"/>
      <c r="H185" s="260"/>
      <c r="I185" s="259"/>
      <c r="J185" s="115"/>
      <c r="K185" s="115"/>
      <c r="L185" s="115"/>
      <c r="M185" s="115"/>
      <c r="N185" s="115"/>
      <c r="O185" s="115"/>
      <c r="P185" s="71"/>
      <c r="Q185" s="71"/>
      <c r="R185" s="77"/>
      <c r="S185" s="77"/>
      <c r="T185" s="77"/>
      <c r="U185" s="77"/>
      <c r="V185" s="115"/>
      <c r="W185" s="115"/>
      <c r="X185" s="115"/>
      <c r="Y185" s="115"/>
      <c r="Z185" s="115"/>
      <c r="AA185" s="115"/>
      <c r="AB185" s="261"/>
      <c r="AC185" s="261"/>
      <c r="AD185" s="115"/>
      <c r="AE185" s="261"/>
      <c r="AF185" s="115"/>
      <c r="AG185" s="115"/>
      <c r="AH185" s="262"/>
      <c r="AI185" s="262"/>
      <c r="AJ185" s="262"/>
      <c r="AK185" s="262"/>
      <c r="AL185" s="262"/>
    </row>
    <row r="186">
      <c r="A186" s="90"/>
      <c r="B186" s="259"/>
      <c r="C186" s="259"/>
      <c r="D186" s="259"/>
      <c r="E186" s="259"/>
      <c r="F186" s="276"/>
      <c r="G186" s="259"/>
      <c r="H186" s="260"/>
      <c r="I186" s="259"/>
      <c r="J186" s="115"/>
      <c r="K186" s="115"/>
      <c r="L186" s="115"/>
      <c r="M186" s="115"/>
      <c r="N186" s="115"/>
      <c r="O186" s="115"/>
      <c r="P186" s="71"/>
      <c r="Q186" s="71"/>
      <c r="R186" s="77"/>
      <c r="S186" s="77"/>
      <c r="T186" s="77"/>
      <c r="U186" s="77"/>
      <c r="V186" s="115"/>
      <c r="W186" s="115"/>
      <c r="X186" s="115"/>
      <c r="Y186" s="115"/>
      <c r="Z186" s="115"/>
      <c r="AA186" s="115"/>
      <c r="AB186" s="261"/>
      <c r="AC186" s="261"/>
      <c r="AD186" s="115"/>
      <c r="AE186" s="261"/>
      <c r="AF186" s="115"/>
      <c r="AG186" s="115"/>
      <c r="AH186" s="262"/>
      <c r="AI186" s="262"/>
      <c r="AJ186" s="262"/>
      <c r="AK186" s="262"/>
      <c r="AL186" s="262"/>
    </row>
    <row r="187">
      <c r="A187" s="302"/>
      <c r="B187" s="123"/>
      <c r="C187" s="147"/>
      <c r="D187" s="265"/>
      <c r="E187" s="265"/>
      <c r="F187" s="265"/>
      <c r="G187" s="265"/>
      <c r="H187" s="266"/>
      <c r="I187" s="265"/>
      <c r="J187" s="123"/>
      <c r="K187" s="123"/>
      <c r="L187" s="123"/>
      <c r="M187" s="123"/>
      <c r="N187" s="123"/>
      <c r="O187" s="123"/>
      <c r="P187" s="121"/>
      <c r="Q187" s="121"/>
      <c r="R187" s="123"/>
      <c r="S187" s="123"/>
      <c r="T187" s="123"/>
      <c r="U187" s="123"/>
      <c r="V187" s="123"/>
      <c r="W187" s="123"/>
      <c r="X187" s="123"/>
      <c r="Y187" s="123"/>
      <c r="Z187" s="123"/>
      <c r="AA187" s="123"/>
      <c r="AB187" s="123"/>
      <c r="AC187" s="123"/>
      <c r="AD187" s="123"/>
      <c r="AE187" s="123"/>
      <c r="AF187" s="123"/>
      <c r="AG187" s="123"/>
      <c r="AH187" s="123"/>
      <c r="AI187" s="123"/>
      <c r="AJ187" s="87"/>
      <c r="AK187" s="87"/>
      <c r="AL187" s="87"/>
    </row>
    <row r="188">
      <c r="A188" s="302"/>
      <c r="B188" s="123"/>
      <c r="C188" s="147"/>
      <c r="D188" s="265"/>
      <c r="E188" s="265"/>
      <c r="F188" s="265"/>
      <c r="G188" s="265"/>
      <c r="H188" s="266"/>
      <c r="I188" s="265"/>
      <c r="J188" s="123"/>
      <c r="K188" s="123"/>
      <c r="L188" s="123"/>
      <c r="M188" s="123"/>
      <c r="N188" s="123"/>
      <c r="O188" s="123"/>
      <c r="P188" s="121"/>
      <c r="Q188" s="121"/>
      <c r="R188" s="123"/>
      <c r="S188" s="123"/>
      <c r="T188" s="123"/>
      <c r="U188" s="123"/>
      <c r="V188" s="123"/>
      <c r="W188" s="123"/>
      <c r="X188" s="123"/>
      <c r="Y188" s="123"/>
      <c r="Z188" s="123"/>
      <c r="AA188" s="123"/>
      <c r="AB188" s="123"/>
      <c r="AC188" s="123"/>
      <c r="AD188" s="123"/>
      <c r="AE188" s="123"/>
      <c r="AF188" s="123"/>
      <c r="AG188" s="123"/>
      <c r="AH188" s="123"/>
      <c r="AI188" s="123"/>
      <c r="AJ188" s="87"/>
      <c r="AK188" s="87"/>
      <c r="AL188" s="87"/>
    </row>
    <row r="189">
      <c r="A189" s="302"/>
      <c r="B189" s="123"/>
      <c r="C189" s="147"/>
      <c r="D189" s="265"/>
      <c r="E189" s="265"/>
      <c r="F189" s="265"/>
      <c r="G189" s="265"/>
      <c r="H189" s="266"/>
      <c r="I189" s="265"/>
      <c r="J189" s="123"/>
      <c r="K189" s="123"/>
      <c r="L189" s="123"/>
      <c r="M189" s="123"/>
      <c r="N189" s="123"/>
      <c r="O189" s="123"/>
      <c r="P189" s="121"/>
      <c r="Q189" s="121"/>
      <c r="R189" s="123"/>
      <c r="S189" s="123"/>
      <c r="T189" s="123"/>
      <c r="U189" s="123"/>
      <c r="V189" s="123"/>
      <c r="W189" s="123"/>
      <c r="X189" s="123"/>
      <c r="Y189" s="123"/>
      <c r="Z189" s="123"/>
      <c r="AA189" s="123"/>
      <c r="AB189" s="123"/>
      <c r="AC189" s="123"/>
      <c r="AD189" s="123"/>
      <c r="AE189" s="123"/>
      <c r="AF189" s="123"/>
      <c r="AG189" s="123"/>
      <c r="AH189" s="123"/>
      <c r="AI189" s="123"/>
      <c r="AJ189" s="87"/>
      <c r="AK189" s="87"/>
      <c r="AL189" s="87"/>
    </row>
    <row r="190">
      <c r="A190" s="302"/>
      <c r="B190" s="123"/>
      <c r="C190" s="147"/>
      <c r="D190" s="265"/>
      <c r="E190" s="265"/>
      <c r="F190" s="265"/>
      <c r="G190" s="265"/>
      <c r="H190" s="266"/>
      <c r="I190" s="265"/>
      <c r="J190" s="123"/>
      <c r="K190" s="123"/>
      <c r="L190" s="123"/>
      <c r="M190" s="123"/>
      <c r="N190" s="123"/>
      <c r="O190" s="123"/>
      <c r="P190" s="121"/>
      <c r="Q190" s="121"/>
      <c r="R190" s="123"/>
      <c r="S190" s="123"/>
      <c r="T190" s="123"/>
      <c r="U190" s="123"/>
      <c r="V190" s="123"/>
      <c r="W190" s="123"/>
      <c r="X190" s="123"/>
      <c r="Y190" s="123"/>
      <c r="Z190" s="123"/>
      <c r="AA190" s="123"/>
      <c r="AB190" s="123"/>
      <c r="AC190" s="123"/>
      <c r="AD190" s="123"/>
      <c r="AE190" s="123"/>
      <c r="AF190" s="123"/>
      <c r="AG190" s="123"/>
      <c r="AH190" s="123"/>
      <c r="AI190" s="123"/>
      <c r="AJ190" s="87"/>
      <c r="AK190" s="87"/>
      <c r="AL190" s="87"/>
    </row>
    <row r="191">
      <c r="A191" s="302"/>
      <c r="B191" s="123"/>
      <c r="C191" s="147"/>
      <c r="D191" s="265"/>
      <c r="E191" s="265"/>
      <c r="F191" s="265"/>
      <c r="G191" s="265"/>
      <c r="H191" s="266"/>
      <c r="I191" s="265"/>
      <c r="J191" s="123"/>
      <c r="K191" s="123"/>
      <c r="L191" s="123"/>
      <c r="M191" s="123"/>
      <c r="N191" s="123"/>
      <c r="O191" s="123"/>
      <c r="P191" s="121"/>
      <c r="Q191" s="121"/>
      <c r="R191" s="123"/>
      <c r="S191" s="123"/>
      <c r="T191" s="123"/>
      <c r="U191" s="123"/>
      <c r="V191" s="123"/>
      <c r="W191" s="123"/>
      <c r="X191" s="123"/>
      <c r="Y191" s="123"/>
      <c r="Z191" s="123"/>
      <c r="AA191" s="123"/>
      <c r="AB191" s="123"/>
      <c r="AC191" s="123"/>
      <c r="AD191" s="123"/>
      <c r="AE191" s="123"/>
      <c r="AF191" s="123"/>
      <c r="AG191" s="123"/>
      <c r="AH191" s="123"/>
      <c r="AI191" s="123"/>
      <c r="AJ191" s="87"/>
      <c r="AK191" s="87"/>
      <c r="AL191" s="87"/>
    </row>
    <row r="192">
      <c r="A192" s="302"/>
      <c r="B192" s="123"/>
      <c r="C192" s="147"/>
      <c r="D192" s="265"/>
      <c r="E192" s="265"/>
      <c r="F192" s="265"/>
      <c r="G192" s="265"/>
      <c r="H192" s="266"/>
      <c r="I192" s="265"/>
      <c r="J192" s="123"/>
      <c r="K192" s="123"/>
      <c r="L192" s="123"/>
      <c r="M192" s="123"/>
      <c r="N192" s="123"/>
      <c r="O192" s="123"/>
      <c r="P192" s="121"/>
      <c r="Q192" s="121"/>
      <c r="R192" s="123"/>
      <c r="S192" s="123"/>
      <c r="T192" s="123"/>
      <c r="U192" s="123"/>
      <c r="V192" s="123"/>
      <c r="W192" s="123"/>
      <c r="X192" s="123"/>
      <c r="Y192" s="123"/>
      <c r="Z192" s="123"/>
      <c r="AA192" s="123"/>
      <c r="AB192" s="123"/>
      <c r="AC192" s="123"/>
      <c r="AD192" s="123"/>
      <c r="AE192" s="123"/>
      <c r="AF192" s="123"/>
      <c r="AG192" s="123"/>
      <c r="AH192" s="123"/>
      <c r="AI192" s="123"/>
      <c r="AJ192" s="87"/>
      <c r="AK192" s="87"/>
      <c r="AL192" s="87"/>
    </row>
    <row r="193">
      <c r="A193" s="302"/>
      <c r="B193" s="123"/>
      <c r="C193" s="147"/>
      <c r="D193" s="265"/>
      <c r="E193" s="265"/>
      <c r="F193" s="265"/>
      <c r="G193" s="265"/>
      <c r="H193" s="266"/>
      <c r="I193" s="265"/>
      <c r="J193" s="123"/>
      <c r="K193" s="123"/>
      <c r="L193" s="123"/>
      <c r="M193" s="123"/>
      <c r="N193" s="123"/>
      <c r="O193" s="123"/>
      <c r="P193" s="121"/>
      <c r="Q193" s="121"/>
      <c r="R193" s="123"/>
      <c r="S193" s="123"/>
      <c r="T193" s="123"/>
      <c r="U193" s="123"/>
      <c r="V193" s="123"/>
      <c r="W193" s="123"/>
      <c r="X193" s="123"/>
      <c r="Y193" s="123"/>
      <c r="Z193" s="123"/>
      <c r="AA193" s="123"/>
      <c r="AB193" s="123"/>
      <c r="AC193" s="123"/>
      <c r="AD193" s="123"/>
      <c r="AE193" s="123"/>
      <c r="AF193" s="123"/>
      <c r="AG193" s="123"/>
      <c r="AH193" s="123"/>
      <c r="AI193" s="123"/>
      <c r="AJ193" s="87"/>
      <c r="AK193" s="87"/>
      <c r="AL193" s="87"/>
    </row>
    <row r="194">
      <c r="A194" s="302"/>
      <c r="B194" s="123"/>
      <c r="C194" s="147"/>
      <c r="D194" s="265"/>
      <c r="E194" s="265"/>
      <c r="F194" s="265"/>
      <c r="G194" s="265"/>
      <c r="H194" s="266"/>
      <c r="I194" s="265"/>
      <c r="J194" s="123"/>
      <c r="K194" s="123"/>
      <c r="L194" s="123"/>
      <c r="M194" s="123"/>
      <c r="N194" s="123"/>
      <c r="O194" s="123"/>
      <c r="P194" s="121"/>
      <c r="Q194" s="121"/>
      <c r="R194" s="123"/>
      <c r="S194" s="123"/>
      <c r="T194" s="123"/>
      <c r="U194" s="123"/>
      <c r="V194" s="123"/>
      <c r="W194" s="123"/>
      <c r="X194" s="123"/>
      <c r="Y194" s="123"/>
      <c r="Z194" s="123"/>
      <c r="AA194" s="123"/>
      <c r="AB194" s="123"/>
      <c r="AC194" s="123"/>
      <c r="AD194" s="123"/>
      <c r="AE194" s="123"/>
      <c r="AF194" s="123"/>
      <c r="AG194" s="123"/>
      <c r="AH194" s="123"/>
      <c r="AI194" s="123"/>
      <c r="AJ194" s="87"/>
      <c r="AK194" s="87"/>
      <c r="AL194" s="87"/>
    </row>
    <row r="195">
      <c r="A195" s="302"/>
      <c r="B195" s="123"/>
      <c r="C195" s="147"/>
      <c r="D195" s="265"/>
      <c r="E195" s="265"/>
      <c r="F195" s="265"/>
      <c r="G195" s="265"/>
      <c r="H195" s="266"/>
      <c r="I195" s="265"/>
      <c r="J195" s="123"/>
      <c r="K195" s="123"/>
      <c r="L195" s="123"/>
      <c r="M195" s="123"/>
      <c r="N195" s="123"/>
      <c r="O195" s="123"/>
      <c r="P195" s="121"/>
      <c r="Q195" s="121"/>
      <c r="R195" s="123"/>
      <c r="S195" s="123"/>
      <c r="T195" s="123"/>
      <c r="U195" s="123"/>
      <c r="V195" s="123"/>
      <c r="W195" s="123"/>
      <c r="X195" s="123"/>
      <c r="Y195" s="123"/>
      <c r="Z195" s="123"/>
      <c r="AA195" s="123"/>
      <c r="AB195" s="123"/>
      <c r="AC195" s="123"/>
      <c r="AD195" s="123"/>
      <c r="AE195" s="123"/>
      <c r="AF195" s="123"/>
      <c r="AG195" s="123"/>
      <c r="AH195" s="123"/>
      <c r="AI195" s="123"/>
      <c r="AJ195" s="87"/>
      <c r="AK195" s="87"/>
      <c r="AL195" s="87"/>
    </row>
    <row r="196">
      <c r="A196" s="302"/>
      <c r="B196" s="123"/>
      <c r="C196" s="147"/>
      <c r="D196" s="265"/>
      <c r="E196" s="265"/>
      <c r="F196" s="265"/>
      <c r="G196" s="265"/>
      <c r="H196" s="266"/>
      <c r="I196" s="265"/>
      <c r="J196" s="123"/>
      <c r="K196" s="123"/>
      <c r="L196" s="123"/>
      <c r="M196" s="123"/>
      <c r="N196" s="123"/>
      <c r="O196" s="123"/>
      <c r="P196" s="121"/>
      <c r="Q196" s="121"/>
      <c r="R196" s="123"/>
      <c r="S196" s="123"/>
      <c r="T196" s="123"/>
      <c r="U196" s="123"/>
      <c r="V196" s="123"/>
      <c r="W196" s="123"/>
      <c r="X196" s="123"/>
      <c r="Y196" s="123"/>
      <c r="Z196" s="123"/>
      <c r="AA196" s="123"/>
      <c r="AB196" s="123"/>
      <c r="AC196" s="123"/>
      <c r="AD196" s="123"/>
      <c r="AE196" s="123"/>
      <c r="AF196" s="123"/>
      <c r="AG196" s="123"/>
      <c r="AH196" s="123"/>
      <c r="AI196" s="123"/>
      <c r="AJ196" s="87"/>
      <c r="AK196" s="87"/>
      <c r="AL196" s="87"/>
    </row>
    <row r="197">
      <c r="A197" s="302"/>
      <c r="B197" s="123"/>
      <c r="C197" s="147"/>
      <c r="D197" s="265"/>
      <c r="E197" s="265"/>
      <c r="F197" s="265"/>
      <c r="G197" s="265"/>
      <c r="H197" s="266"/>
      <c r="I197" s="265"/>
      <c r="J197" s="123"/>
      <c r="K197" s="123"/>
      <c r="L197" s="123"/>
      <c r="M197" s="123"/>
      <c r="N197" s="123"/>
      <c r="O197" s="123"/>
      <c r="P197" s="121"/>
      <c r="Q197" s="121"/>
      <c r="R197" s="123"/>
      <c r="S197" s="123"/>
      <c r="T197" s="123"/>
      <c r="U197" s="123"/>
      <c r="V197" s="123"/>
      <c r="W197" s="123"/>
      <c r="X197" s="123"/>
      <c r="Y197" s="123"/>
      <c r="Z197" s="123"/>
      <c r="AA197" s="123"/>
      <c r="AB197" s="123"/>
      <c r="AC197" s="123"/>
      <c r="AD197" s="123"/>
      <c r="AE197" s="123"/>
      <c r="AF197" s="123"/>
      <c r="AG197" s="123"/>
      <c r="AH197" s="123"/>
      <c r="AI197" s="123"/>
      <c r="AJ197" s="87"/>
      <c r="AK197" s="87"/>
      <c r="AL197" s="87"/>
    </row>
    <row r="198">
      <c r="A198" s="302"/>
      <c r="B198" s="123"/>
      <c r="C198" s="147"/>
      <c r="D198" s="265"/>
      <c r="E198" s="265"/>
      <c r="F198" s="265"/>
      <c r="G198" s="265"/>
      <c r="H198" s="266"/>
      <c r="I198" s="265"/>
      <c r="J198" s="123"/>
      <c r="K198" s="123"/>
      <c r="L198" s="123"/>
      <c r="M198" s="123"/>
      <c r="N198" s="123"/>
      <c r="O198" s="123"/>
      <c r="P198" s="121"/>
      <c r="Q198" s="121"/>
      <c r="R198" s="123"/>
      <c r="S198" s="123"/>
      <c r="T198" s="123"/>
      <c r="U198" s="123"/>
      <c r="V198" s="123"/>
      <c r="W198" s="123"/>
      <c r="X198" s="123"/>
      <c r="Y198" s="123"/>
      <c r="Z198" s="123"/>
      <c r="AA198" s="123"/>
      <c r="AB198" s="123"/>
      <c r="AC198" s="123"/>
      <c r="AD198" s="123"/>
      <c r="AE198" s="123"/>
      <c r="AF198" s="123"/>
      <c r="AG198" s="123"/>
      <c r="AH198" s="123"/>
      <c r="AI198" s="123"/>
      <c r="AJ198" s="87"/>
      <c r="AK198" s="87"/>
      <c r="AL198" s="87"/>
    </row>
    <row r="199">
      <c r="A199" s="302"/>
      <c r="B199" s="123"/>
      <c r="C199" s="147"/>
      <c r="D199" s="265"/>
      <c r="E199" s="265"/>
      <c r="F199" s="265"/>
      <c r="G199" s="265"/>
      <c r="H199" s="266"/>
      <c r="I199" s="265"/>
      <c r="J199" s="123"/>
      <c r="K199" s="123"/>
      <c r="L199" s="123"/>
      <c r="M199" s="123"/>
      <c r="N199" s="123"/>
      <c r="O199" s="123"/>
      <c r="P199" s="121"/>
      <c r="Q199" s="121"/>
      <c r="R199" s="123"/>
      <c r="S199" s="123"/>
      <c r="T199" s="123"/>
      <c r="U199" s="123"/>
      <c r="V199" s="123"/>
      <c r="W199" s="123"/>
      <c r="X199" s="123"/>
      <c r="Y199" s="123"/>
      <c r="Z199" s="123"/>
      <c r="AA199" s="123"/>
      <c r="AB199" s="123"/>
      <c r="AC199" s="123"/>
      <c r="AD199" s="123"/>
      <c r="AE199" s="123"/>
      <c r="AF199" s="123"/>
      <c r="AG199" s="123"/>
      <c r="AH199" s="123"/>
      <c r="AI199" s="123"/>
      <c r="AJ199" s="87"/>
      <c r="AK199" s="87"/>
      <c r="AL199" s="87"/>
    </row>
    <row r="200">
      <c r="A200" s="302"/>
      <c r="B200" s="123"/>
      <c r="C200" s="147"/>
      <c r="D200" s="265"/>
      <c r="E200" s="265"/>
      <c r="F200" s="265"/>
      <c r="G200" s="265"/>
      <c r="H200" s="266"/>
      <c r="I200" s="265"/>
      <c r="J200" s="123"/>
      <c r="K200" s="123"/>
      <c r="L200" s="123"/>
      <c r="M200" s="123"/>
      <c r="N200" s="123"/>
      <c r="O200" s="123"/>
      <c r="P200" s="121"/>
      <c r="Q200" s="121"/>
      <c r="R200" s="123"/>
      <c r="S200" s="123"/>
      <c r="T200" s="123"/>
      <c r="U200" s="123"/>
      <c r="V200" s="123"/>
      <c r="W200" s="123"/>
      <c r="X200" s="123"/>
      <c r="Y200" s="123"/>
      <c r="Z200" s="123"/>
      <c r="AA200" s="123"/>
      <c r="AB200" s="123"/>
      <c r="AC200" s="123"/>
      <c r="AD200" s="123"/>
      <c r="AE200" s="123"/>
      <c r="AF200" s="123"/>
      <c r="AG200" s="123"/>
      <c r="AH200" s="123"/>
      <c r="AI200" s="123"/>
      <c r="AJ200" s="87"/>
      <c r="AK200" s="87"/>
      <c r="AL200" s="87"/>
    </row>
    <row r="201">
      <c r="A201" s="302"/>
      <c r="B201" s="123"/>
      <c r="C201" s="147"/>
      <c r="D201" s="265"/>
      <c r="E201" s="265"/>
      <c r="F201" s="265"/>
      <c r="G201" s="265"/>
      <c r="H201" s="266"/>
      <c r="I201" s="265"/>
      <c r="J201" s="123"/>
      <c r="K201" s="123"/>
      <c r="L201" s="123"/>
      <c r="M201" s="123"/>
      <c r="N201" s="123"/>
      <c r="O201" s="123"/>
      <c r="P201" s="121"/>
      <c r="Q201" s="121"/>
      <c r="R201" s="123"/>
      <c r="S201" s="123"/>
      <c r="T201" s="123"/>
      <c r="U201" s="123"/>
      <c r="V201" s="123"/>
      <c r="W201" s="123"/>
      <c r="X201" s="123"/>
      <c r="Y201" s="123"/>
      <c r="Z201" s="123"/>
      <c r="AA201" s="123"/>
      <c r="AB201" s="123"/>
      <c r="AC201" s="123"/>
      <c r="AD201" s="123"/>
      <c r="AE201" s="123"/>
      <c r="AF201" s="123"/>
      <c r="AG201" s="123"/>
      <c r="AH201" s="123"/>
      <c r="AI201" s="123"/>
      <c r="AJ201" s="87"/>
      <c r="AK201" s="87"/>
      <c r="AL201" s="87"/>
    </row>
    <row r="202">
      <c r="A202" s="292"/>
      <c r="B202" s="273"/>
      <c r="C202" s="273"/>
      <c r="D202" s="273"/>
      <c r="E202" s="273"/>
      <c r="F202" s="273"/>
      <c r="G202" s="273"/>
      <c r="H202" s="260"/>
      <c r="I202" s="273"/>
      <c r="J202" s="124"/>
      <c r="K202" s="124"/>
      <c r="L202" s="124"/>
      <c r="M202" s="124"/>
      <c r="N202" s="124"/>
      <c r="O202" s="124"/>
      <c r="P202" s="128"/>
      <c r="Q202" s="128"/>
      <c r="R202" s="192"/>
      <c r="S202" s="192"/>
      <c r="T202" s="192"/>
      <c r="U202" s="192"/>
      <c r="V202" s="124"/>
      <c r="W202" s="124"/>
      <c r="X202" s="124"/>
      <c r="Y202" s="124"/>
      <c r="Z202" s="124"/>
      <c r="AA202" s="124"/>
      <c r="AB202" s="275"/>
      <c r="AC202" s="275"/>
      <c r="AD202" s="124"/>
      <c r="AE202" s="275"/>
      <c r="AF202" s="124"/>
      <c r="AG202" s="124"/>
      <c r="AH202" s="124"/>
      <c r="AI202" s="124"/>
      <c r="AJ202" s="262"/>
      <c r="AK202" s="262"/>
      <c r="AL202" s="262"/>
    </row>
    <row r="203">
      <c r="A203" s="90"/>
      <c r="B203" s="259"/>
      <c r="C203" s="259"/>
      <c r="D203" s="259"/>
      <c r="E203" s="259"/>
      <c r="F203" s="276"/>
      <c r="G203" s="259"/>
      <c r="H203" s="260"/>
      <c r="I203" s="259"/>
      <c r="J203" s="115"/>
      <c r="K203" s="115"/>
      <c r="L203" s="115"/>
      <c r="M203" s="115"/>
      <c r="N203" s="115"/>
      <c r="O203" s="115"/>
      <c r="P203" s="71"/>
      <c r="Q203" s="71"/>
      <c r="R203" s="77"/>
      <c r="S203" s="77"/>
      <c r="T203" s="77"/>
      <c r="U203" s="77"/>
      <c r="V203" s="115"/>
      <c r="W203" s="115"/>
      <c r="X203" s="115"/>
      <c r="Y203" s="115"/>
      <c r="Z203" s="115"/>
      <c r="AA203" s="115"/>
      <c r="AB203" s="261"/>
      <c r="AC203" s="261"/>
      <c r="AD203" s="115"/>
      <c r="AE203" s="261"/>
      <c r="AF203" s="115"/>
      <c r="AG203" s="115"/>
      <c r="AH203" s="262"/>
      <c r="AI203" s="262"/>
      <c r="AJ203" s="262"/>
      <c r="AK203" s="262"/>
      <c r="AL203" s="262"/>
    </row>
    <row r="204">
      <c r="A204" s="90"/>
      <c r="B204" s="259"/>
      <c r="C204" s="259"/>
      <c r="D204" s="259"/>
      <c r="E204" s="259"/>
      <c r="F204" s="276"/>
      <c r="G204" s="259"/>
      <c r="H204" s="260"/>
      <c r="I204" s="259"/>
      <c r="J204" s="115"/>
      <c r="K204" s="115"/>
      <c r="L204" s="115"/>
      <c r="M204" s="115"/>
      <c r="N204" s="115"/>
      <c r="O204" s="115"/>
      <c r="P204" s="71"/>
      <c r="Q204" s="71"/>
      <c r="R204" s="77"/>
      <c r="S204" s="77"/>
      <c r="T204" s="77"/>
      <c r="U204" s="77"/>
      <c r="V204" s="115"/>
      <c r="W204" s="115"/>
      <c r="X204" s="115"/>
      <c r="Y204" s="115"/>
      <c r="Z204" s="115"/>
      <c r="AA204" s="115"/>
      <c r="AB204" s="261"/>
      <c r="AC204" s="77"/>
      <c r="AD204" s="115"/>
      <c r="AE204" s="261"/>
      <c r="AF204" s="115"/>
      <c r="AG204" s="115"/>
      <c r="AH204" s="262"/>
      <c r="AI204" s="262"/>
      <c r="AJ204" s="262"/>
      <c r="AK204" s="262"/>
      <c r="AL204" s="262"/>
    </row>
    <row r="205">
      <c r="A205" s="90"/>
      <c r="B205" s="90"/>
      <c r="C205" s="102"/>
      <c r="D205" s="259"/>
      <c r="E205" s="102"/>
      <c r="F205" s="102"/>
      <c r="G205" s="102"/>
      <c r="H205" s="260"/>
      <c r="I205" s="102"/>
      <c r="J205" s="77"/>
      <c r="K205" s="77"/>
      <c r="L205" s="77"/>
      <c r="M205" s="77"/>
      <c r="N205" s="77"/>
      <c r="O205" s="77"/>
      <c r="P205" s="71"/>
      <c r="Q205" s="71"/>
      <c r="R205" s="77"/>
      <c r="S205" s="77"/>
      <c r="T205" s="77"/>
      <c r="U205" s="77"/>
      <c r="V205" s="77"/>
      <c r="W205" s="77"/>
      <c r="X205" s="77"/>
      <c r="Y205" s="77"/>
      <c r="Z205" s="77"/>
      <c r="AA205" s="77"/>
      <c r="AB205" s="77"/>
      <c r="AC205" s="77"/>
      <c r="AD205" s="77"/>
      <c r="AE205" s="77"/>
      <c r="AF205" s="77"/>
      <c r="AG205" s="77"/>
      <c r="AH205" s="77"/>
      <c r="AI205" s="77"/>
      <c r="AJ205" s="87"/>
      <c r="AK205" s="87"/>
      <c r="AL205" s="87"/>
    </row>
    <row r="206">
      <c r="A206" s="292"/>
      <c r="B206" s="273"/>
      <c r="C206" s="273"/>
      <c r="D206" s="273"/>
      <c r="E206" s="273"/>
      <c r="F206" s="273"/>
      <c r="G206" s="273"/>
      <c r="H206" s="260"/>
      <c r="I206" s="273"/>
      <c r="J206" s="124"/>
      <c r="K206" s="124"/>
      <c r="L206" s="124"/>
      <c r="M206" s="124"/>
      <c r="N206" s="124"/>
      <c r="O206" s="124"/>
      <c r="P206" s="128"/>
      <c r="Q206" s="128"/>
      <c r="R206" s="192"/>
      <c r="S206" s="192"/>
      <c r="T206" s="192"/>
      <c r="U206" s="192"/>
      <c r="V206" s="124"/>
      <c r="W206" s="124"/>
      <c r="X206" s="124"/>
      <c r="Y206" s="124"/>
      <c r="Z206" s="124"/>
      <c r="AA206" s="124"/>
      <c r="AB206" s="275"/>
      <c r="AC206" s="275"/>
      <c r="AD206" s="124"/>
      <c r="AE206" s="275"/>
      <c r="AF206" s="124"/>
      <c r="AG206" s="124"/>
      <c r="AH206" s="124"/>
      <c r="AI206" s="124"/>
      <c r="AJ206" s="262"/>
      <c r="AK206" s="262"/>
      <c r="AL206" s="262"/>
    </row>
    <row r="207">
      <c r="A207" s="90"/>
      <c r="B207" s="259"/>
      <c r="C207" s="259"/>
      <c r="D207" s="259"/>
      <c r="E207" s="259"/>
      <c r="F207" s="276"/>
      <c r="G207" s="259"/>
      <c r="H207" s="260"/>
      <c r="I207" s="259"/>
      <c r="J207" s="115"/>
      <c r="K207" s="115"/>
      <c r="L207" s="115"/>
      <c r="M207" s="115"/>
      <c r="N207" s="115"/>
      <c r="O207" s="115"/>
      <c r="P207" s="71"/>
      <c r="Q207" s="71"/>
      <c r="R207" s="77"/>
      <c r="S207" s="77"/>
      <c r="T207" s="77"/>
      <c r="U207" s="77"/>
      <c r="V207" s="115"/>
      <c r="W207" s="115"/>
      <c r="X207" s="115"/>
      <c r="Y207" s="115"/>
      <c r="Z207" s="115"/>
      <c r="AA207" s="115"/>
      <c r="AB207" s="261"/>
      <c r="AC207" s="261"/>
      <c r="AD207" s="115"/>
      <c r="AE207" s="261"/>
      <c r="AF207" s="115"/>
      <c r="AG207" s="115"/>
      <c r="AH207" s="262"/>
      <c r="AI207" s="262"/>
      <c r="AJ207" s="262"/>
      <c r="AK207" s="262"/>
      <c r="AL207" s="262"/>
    </row>
    <row r="208">
      <c r="A208" s="292"/>
      <c r="B208" s="273"/>
      <c r="C208" s="273"/>
      <c r="D208" s="273"/>
      <c r="E208" s="273"/>
      <c r="F208" s="273"/>
      <c r="G208" s="273"/>
      <c r="H208" s="260"/>
      <c r="I208" s="273"/>
      <c r="J208" s="124"/>
      <c r="K208" s="124"/>
      <c r="L208" s="124"/>
      <c r="M208" s="124"/>
      <c r="N208" s="124"/>
      <c r="O208" s="124"/>
      <c r="P208" s="128"/>
      <c r="Q208" s="128"/>
      <c r="R208" s="192"/>
      <c r="S208" s="192"/>
      <c r="T208" s="192"/>
      <c r="U208" s="192"/>
      <c r="V208" s="124"/>
      <c r="W208" s="124"/>
      <c r="X208" s="124"/>
      <c r="Y208" s="124"/>
      <c r="Z208" s="124"/>
      <c r="AA208" s="124"/>
      <c r="AB208" s="275"/>
      <c r="AC208" s="275"/>
      <c r="AD208" s="124"/>
      <c r="AE208" s="303"/>
      <c r="AF208" s="124"/>
      <c r="AG208" s="124"/>
      <c r="AH208" s="124"/>
      <c r="AI208" s="124"/>
      <c r="AJ208" s="262"/>
      <c r="AK208" s="262"/>
      <c r="AL208" s="262"/>
    </row>
    <row r="209">
      <c r="A209" s="292"/>
      <c r="B209" s="273"/>
      <c r="C209" s="273"/>
      <c r="D209" s="273"/>
      <c r="E209" s="273"/>
      <c r="F209" s="273"/>
      <c r="G209" s="273"/>
      <c r="H209" s="260"/>
      <c r="I209" s="273"/>
      <c r="J209" s="124"/>
      <c r="K209" s="124"/>
      <c r="L209" s="124"/>
      <c r="M209" s="124"/>
      <c r="N209" s="124"/>
      <c r="O209" s="124"/>
      <c r="P209" s="128"/>
      <c r="Q209" s="128"/>
      <c r="R209" s="192"/>
      <c r="S209" s="192"/>
      <c r="T209" s="192"/>
      <c r="U209" s="192"/>
      <c r="V209" s="124"/>
      <c r="W209" s="124"/>
      <c r="X209" s="124"/>
      <c r="Y209" s="124"/>
      <c r="Z209" s="124"/>
      <c r="AA209" s="124"/>
      <c r="AB209" s="275"/>
      <c r="AC209" s="275"/>
      <c r="AD209" s="124"/>
      <c r="AE209" s="303"/>
      <c r="AF209" s="124"/>
      <c r="AG209" s="124"/>
      <c r="AH209" s="124"/>
      <c r="AI209" s="124"/>
      <c r="AJ209" s="262"/>
      <c r="AK209" s="262"/>
      <c r="AL209" s="262"/>
    </row>
    <row r="210">
      <c r="A210" s="90"/>
      <c r="B210" s="259"/>
      <c r="C210" s="259"/>
      <c r="D210" s="259"/>
      <c r="E210" s="259"/>
      <c r="F210" s="276"/>
      <c r="G210" s="259"/>
      <c r="H210" s="260"/>
      <c r="I210" s="259"/>
      <c r="J210" s="115"/>
      <c r="K210" s="115"/>
      <c r="L210" s="115"/>
      <c r="M210" s="115"/>
      <c r="N210" s="115"/>
      <c r="O210" s="115"/>
      <c r="P210" s="71"/>
      <c r="Q210" s="71"/>
      <c r="R210" s="77"/>
      <c r="S210" s="77"/>
      <c r="T210" s="77"/>
      <c r="U210" s="77"/>
      <c r="V210" s="115"/>
      <c r="W210" s="115"/>
      <c r="X210" s="115"/>
      <c r="Y210" s="115"/>
      <c r="Z210" s="115"/>
      <c r="AA210" s="115"/>
      <c r="AB210" s="261"/>
      <c r="AC210" s="261"/>
      <c r="AD210" s="115"/>
      <c r="AE210" s="304"/>
      <c r="AF210" s="115"/>
      <c r="AG210" s="115"/>
      <c r="AH210" s="262"/>
      <c r="AI210" s="262"/>
      <c r="AJ210" s="262"/>
      <c r="AK210" s="262"/>
      <c r="AL210" s="262"/>
    </row>
    <row r="211">
      <c r="A211" s="90"/>
      <c r="B211" s="102"/>
      <c r="C211" s="259"/>
      <c r="D211" s="102"/>
      <c r="E211" s="102"/>
      <c r="F211" s="102"/>
      <c r="G211" s="102"/>
      <c r="H211" s="260"/>
      <c r="I211" s="102"/>
      <c r="J211" s="115"/>
      <c r="K211" s="115"/>
      <c r="L211" s="115"/>
      <c r="M211" s="115"/>
      <c r="N211" s="115"/>
      <c r="O211" s="115"/>
      <c r="P211" s="71"/>
      <c r="Q211" s="71"/>
      <c r="R211" s="77"/>
      <c r="S211" s="77"/>
      <c r="T211" s="77"/>
      <c r="U211" s="77"/>
      <c r="V211" s="115"/>
      <c r="W211" s="115"/>
      <c r="X211" s="77"/>
      <c r="Y211" s="77"/>
      <c r="Z211" s="115"/>
      <c r="AA211" s="115"/>
      <c r="AB211" s="77"/>
      <c r="AC211" s="77"/>
      <c r="AD211" s="115"/>
      <c r="AE211" s="77"/>
      <c r="AF211" s="77"/>
      <c r="AG211" s="115"/>
      <c r="AH211" s="115"/>
      <c r="AI211" s="115"/>
      <c r="AJ211" s="262"/>
      <c r="AK211" s="262"/>
      <c r="AL211" s="262"/>
    </row>
    <row r="212">
      <c r="A212" s="305"/>
      <c r="B212" s="265"/>
      <c r="C212" s="289"/>
      <c r="D212" s="265"/>
      <c r="E212" s="265"/>
      <c r="F212" s="265"/>
      <c r="G212" s="265"/>
      <c r="H212" s="260"/>
      <c r="I212" s="265"/>
      <c r="J212" s="123"/>
      <c r="K212" s="123"/>
      <c r="L212" s="123"/>
      <c r="M212" s="123"/>
      <c r="N212" s="123"/>
      <c r="O212" s="123"/>
      <c r="P212" s="121"/>
      <c r="Q212" s="121"/>
      <c r="R212" s="123"/>
      <c r="S212" s="123"/>
      <c r="T212" s="123"/>
      <c r="U212" s="123"/>
      <c r="V212" s="123"/>
      <c r="W212" s="123"/>
      <c r="X212" s="123"/>
      <c r="Y212" s="123"/>
      <c r="Z212" s="123"/>
      <c r="AA212" s="123"/>
      <c r="AB212" s="123"/>
      <c r="AC212" s="123"/>
      <c r="AD212" s="123"/>
      <c r="AE212" s="123"/>
      <c r="AF212" s="123"/>
      <c r="AG212" s="123"/>
      <c r="AH212" s="123"/>
      <c r="AI212" s="123"/>
      <c r="AJ212" s="87"/>
      <c r="AK212" s="87"/>
      <c r="AL212" s="87"/>
    </row>
    <row r="213">
      <c r="A213" s="305"/>
      <c r="B213" s="265"/>
      <c r="C213" s="289"/>
      <c r="D213" s="265"/>
      <c r="E213" s="265"/>
      <c r="F213" s="265"/>
      <c r="G213" s="265"/>
      <c r="H213" s="260"/>
      <c r="I213" s="265"/>
      <c r="J213" s="123"/>
      <c r="K213" s="123"/>
      <c r="L213" s="123"/>
      <c r="M213" s="123"/>
      <c r="N213" s="123"/>
      <c r="O213" s="123"/>
      <c r="P213" s="121"/>
      <c r="Q213" s="121"/>
      <c r="R213" s="123"/>
      <c r="S213" s="123"/>
      <c r="T213" s="123"/>
      <c r="U213" s="123"/>
      <c r="V213" s="123"/>
      <c r="W213" s="123"/>
      <c r="X213" s="123"/>
      <c r="Y213" s="123"/>
      <c r="Z213" s="123"/>
      <c r="AA213" s="123"/>
      <c r="AB213" s="123"/>
      <c r="AC213" s="123"/>
      <c r="AD213" s="123"/>
      <c r="AE213" s="123"/>
      <c r="AF213" s="123"/>
      <c r="AG213" s="123"/>
      <c r="AH213" s="123"/>
      <c r="AI213" s="123"/>
      <c r="AJ213" s="87"/>
      <c r="AK213" s="87"/>
      <c r="AL213" s="87"/>
    </row>
    <row r="214">
      <c r="A214" s="292"/>
      <c r="B214" s="273"/>
      <c r="C214" s="273"/>
      <c r="D214" s="273"/>
      <c r="E214" s="273"/>
      <c r="F214" s="273"/>
      <c r="G214" s="273"/>
      <c r="H214" s="260"/>
      <c r="I214" s="273"/>
      <c r="J214" s="124"/>
      <c r="K214" s="124"/>
      <c r="L214" s="124"/>
      <c r="M214" s="124"/>
      <c r="N214" s="124"/>
      <c r="O214" s="124"/>
      <c r="P214" s="128"/>
      <c r="Q214" s="128"/>
      <c r="R214" s="192"/>
      <c r="S214" s="192"/>
      <c r="T214" s="192"/>
      <c r="U214" s="192"/>
      <c r="V214" s="124"/>
      <c r="W214" s="124"/>
      <c r="X214" s="124"/>
      <c r="Y214" s="124"/>
      <c r="Z214" s="124"/>
      <c r="AA214" s="124"/>
      <c r="AB214" s="275"/>
      <c r="AC214" s="275"/>
      <c r="AD214" s="124"/>
      <c r="AE214" s="303"/>
      <c r="AF214" s="124"/>
      <c r="AG214" s="124"/>
      <c r="AH214" s="124"/>
      <c r="AI214" s="124"/>
      <c r="AJ214" s="262"/>
      <c r="AK214" s="262"/>
      <c r="AL214" s="262"/>
    </row>
    <row r="215">
      <c r="A215" s="90"/>
      <c r="B215" s="259"/>
      <c r="C215" s="259"/>
      <c r="D215" s="259"/>
      <c r="E215" s="259"/>
      <c r="F215" s="276"/>
      <c r="G215" s="259"/>
      <c r="H215" s="260"/>
      <c r="I215" s="259"/>
      <c r="J215" s="115"/>
      <c r="K215" s="115"/>
      <c r="L215" s="115"/>
      <c r="M215" s="115"/>
      <c r="N215" s="115"/>
      <c r="O215" s="115"/>
      <c r="P215" s="71"/>
      <c r="Q215" s="71"/>
      <c r="R215" s="77"/>
      <c r="S215" s="77"/>
      <c r="T215" s="77"/>
      <c r="U215" s="77"/>
      <c r="V215" s="115"/>
      <c r="W215" s="115"/>
      <c r="X215" s="115"/>
      <c r="Y215" s="115"/>
      <c r="Z215" s="115"/>
      <c r="AA215" s="115"/>
      <c r="AB215" s="261"/>
      <c r="AC215" s="261"/>
      <c r="AD215" s="115"/>
      <c r="AE215" s="304"/>
      <c r="AF215" s="115"/>
      <c r="AG215" s="115"/>
      <c r="AH215" s="262"/>
      <c r="AI215" s="262"/>
      <c r="AJ215" s="262"/>
      <c r="AK215" s="262"/>
      <c r="AL215" s="262"/>
    </row>
    <row r="216">
      <c r="A216" s="292"/>
      <c r="B216" s="273"/>
      <c r="C216" s="273"/>
      <c r="D216" s="273"/>
      <c r="E216" s="273"/>
      <c r="F216" s="273"/>
      <c r="G216" s="273"/>
      <c r="H216" s="260"/>
      <c r="I216" s="273"/>
      <c r="J216" s="124"/>
      <c r="K216" s="124"/>
      <c r="L216" s="124"/>
      <c r="M216" s="124"/>
      <c r="N216" s="124"/>
      <c r="O216" s="124"/>
      <c r="P216" s="128"/>
      <c r="Q216" s="128"/>
      <c r="R216" s="192"/>
      <c r="S216" s="192"/>
      <c r="T216" s="192"/>
      <c r="U216" s="192"/>
      <c r="V216" s="124"/>
      <c r="W216" s="124"/>
      <c r="X216" s="124"/>
      <c r="Y216" s="124"/>
      <c r="Z216" s="124"/>
      <c r="AA216" s="124"/>
      <c r="AB216" s="275"/>
      <c r="AC216" s="275"/>
      <c r="AD216" s="124"/>
      <c r="AE216" s="275"/>
      <c r="AF216" s="124"/>
      <c r="AG216" s="124"/>
      <c r="AH216" s="124"/>
      <c r="AI216" s="124"/>
      <c r="AJ216" s="262"/>
      <c r="AK216" s="262"/>
      <c r="AL216" s="262"/>
    </row>
    <row r="217">
      <c r="A217" s="292"/>
      <c r="B217" s="273"/>
      <c r="C217" s="273"/>
      <c r="D217" s="273"/>
      <c r="E217" s="273"/>
      <c r="F217" s="273"/>
      <c r="G217" s="273"/>
      <c r="H217" s="260"/>
      <c r="I217" s="273"/>
      <c r="J217" s="124"/>
      <c r="K217" s="124"/>
      <c r="L217" s="124"/>
      <c r="M217" s="124"/>
      <c r="N217" s="124"/>
      <c r="O217" s="124"/>
      <c r="P217" s="128"/>
      <c r="Q217" s="128"/>
      <c r="R217" s="192"/>
      <c r="S217" s="192"/>
      <c r="T217" s="192"/>
      <c r="U217" s="192"/>
      <c r="V217" s="124"/>
      <c r="W217" s="124"/>
      <c r="X217" s="124"/>
      <c r="Y217" s="124"/>
      <c r="Z217" s="124"/>
      <c r="AA217" s="124"/>
      <c r="AB217" s="275"/>
      <c r="AC217" s="275"/>
      <c r="AD217" s="124"/>
      <c r="AE217" s="275"/>
      <c r="AF217" s="124"/>
      <c r="AG217" s="124"/>
      <c r="AH217" s="124"/>
      <c r="AI217" s="124"/>
      <c r="AJ217" s="262"/>
      <c r="AK217" s="262"/>
      <c r="AL217" s="262"/>
    </row>
    <row r="218">
      <c r="A218" s="90"/>
      <c r="B218" s="259"/>
      <c r="C218" s="277"/>
      <c r="D218" s="259"/>
      <c r="E218" s="259"/>
      <c r="F218" s="259"/>
      <c r="G218" s="259"/>
      <c r="H218" s="260"/>
      <c r="I218" s="259"/>
      <c r="J218" s="115"/>
      <c r="K218" s="115"/>
      <c r="L218" s="115"/>
      <c r="M218" s="115"/>
      <c r="N218" s="115"/>
      <c r="O218" s="115"/>
      <c r="P218" s="71"/>
      <c r="Q218" s="71"/>
      <c r="R218" s="77"/>
      <c r="S218" s="77"/>
      <c r="T218" s="77"/>
      <c r="U218" s="77"/>
      <c r="V218" s="115"/>
      <c r="W218" s="115"/>
      <c r="X218" s="115"/>
      <c r="Y218" s="115"/>
      <c r="Z218" s="115"/>
      <c r="AA218" s="115"/>
      <c r="AB218" s="306"/>
      <c r="AC218" s="261"/>
      <c r="AD218" s="307"/>
      <c r="AE218" s="306"/>
      <c r="AF218" s="115"/>
      <c r="AG218" s="115"/>
      <c r="AH218" s="262"/>
      <c r="AI218" s="262"/>
      <c r="AJ218" s="262"/>
      <c r="AK218" s="262"/>
      <c r="AL218" s="262"/>
    </row>
    <row r="219">
      <c r="A219" s="305"/>
      <c r="B219" s="265"/>
      <c r="C219" s="308"/>
      <c r="D219" s="265"/>
      <c r="E219" s="265"/>
      <c r="F219" s="265"/>
      <c r="G219" s="265"/>
      <c r="H219" s="260"/>
      <c r="I219" s="265"/>
      <c r="J219" s="123"/>
      <c r="K219" s="123"/>
      <c r="L219" s="123"/>
      <c r="M219" s="123"/>
      <c r="N219" s="123"/>
      <c r="O219" s="123"/>
      <c r="P219" s="121"/>
      <c r="Q219" s="121"/>
      <c r="R219" s="123"/>
      <c r="S219" s="123"/>
      <c r="T219" s="123"/>
      <c r="U219" s="123"/>
      <c r="V219" s="123"/>
      <c r="W219" s="123"/>
      <c r="X219" s="123"/>
      <c r="Y219" s="123"/>
      <c r="Z219" s="123"/>
      <c r="AA219" s="123"/>
      <c r="AB219" s="123"/>
      <c r="AC219" s="123"/>
      <c r="AD219" s="123"/>
      <c r="AE219" s="123"/>
      <c r="AF219" s="123"/>
      <c r="AG219" s="123"/>
      <c r="AH219" s="123"/>
      <c r="AI219" s="123"/>
      <c r="AJ219" s="87"/>
      <c r="AK219" s="87"/>
      <c r="AL219" s="87"/>
    </row>
    <row r="220">
      <c r="A220" s="147"/>
      <c r="B220" s="265"/>
      <c r="C220" s="147"/>
      <c r="D220" s="265"/>
      <c r="E220" s="265"/>
      <c r="F220" s="265"/>
      <c r="G220" s="265"/>
      <c r="H220" s="266"/>
      <c r="I220" s="265"/>
      <c r="J220" s="123"/>
      <c r="K220" s="123"/>
      <c r="L220" s="123"/>
      <c r="M220" s="123"/>
      <c r="N220" s="123"/>
      <c r="O220" s="123"/>
      <c r="P220" s="121"/>
      <c r="Q220" s="121"/>
      <c r="R220" s="123"/>
      <c r="S220" s="123"/>
      <c r="T220" s="123"/>
      <c r="U220" s="123"/>
      <c r="V220" s="123"/>
      <c r="W220" s="123"/>
      <c r="X220" s="123"/>
      <c r="Y220" s="123"/>
      <c r="Z220" s="123"/>
      <c r="AA220" s="123"/>
      <c r="AB220" s="123"/>
      <c r="AC220" s="123"/>
      <c r="AD220" s="123"/>
      <c r="AE220" s="123"/>
      <c r="AF220" s="123"/>
      <c r="AG220" s="123"/>
      <c r="AH220" s="123"/>
      <c r="AI220" s="123"/>
      <c r="AJ220" s="87"/>
      <c r="AK220" s="87"/>
      <c r="AL220" s="87"/>
    </row>
    <row r="221">
      <c r="A221" s="147"/>
      <c r="B221" s="265"/>
      <c r="C221" s="147"/>
      <c r="D221" s="265"/>
      <c r="E221" s="265"/>
      <c r="F221" s="265"/>
      <c r="G221" s="265"/>
      <c r="H221" s="266"/>
      <c r="I221" s="265"/>
      <c r="J221" s="123"/>
      <c r="K221" s="123"/>
      <c r="L221" s="123"/>
      <c r="M221" s="123"/>
      <c r="N221" s="123"/>
      <c r="O221" s="123"/>
      <c r="P221" s="121"/>
      <c r="Q221" s="121"/>
      <c r="R221" s="123"/>
      <c r="S221" s="123"/>
      <c r="T221" s="123"/>
      <c r="U221" s="123"/>
      <c r="V221" s="123"/>
      <c r="W221" s="123"/>
      <c r="X221" s="123"/>
      <c r="Y221" s="123"/>
      <c r="Z221" s="123"/>
      <c r="AA221" s="123"/>
      <c r="AB221" s="123"/>
      <c r="AC221" s="123"/>
      <c r="AD221" s="123"/>
      <c r="AE221" s="123"/>
      <c r="AF221" s="123"/>
      <c r="AG221" s="123"/>
      <c r="AH221" s="123"/>
      <c r="AI221" s="123"/>
      <c r="AJ221" s="87"/>
      <c r="AK221" s="87"/>
      <c r="AL221" s="87"/>
    </row>
    <row r="222">
      <c r="A222" s="147"/>
      <c r="B222" s="265"/>
      <c r="C222" s="147"/>
      <c r="D222" s="265"/>
      <c r="E222" s="265"/>
      <c r="F222" s="265"/>
      <c r="G222" s="265"/>
      <c r="H222" s="266"/>
      <c r="I222" s="265"/>
      <c r="J222" s="123"/>
      <c r="K222" s="123"/>
      <c r="L222" s="123"/>
      <c r="M222" s="123"/>
      <c r="N222" s="123"/>
      <c r="O222" s="123"/>
      <c r="P222" s="121"/>
      <c r="Q222" s="121"/>
      <c r="R222" s="123"/>
      <c r="S222" s="123"/>
      <c r="T222" s="123"/>
      <c r="U222" s="123"/>
      <c r="V222" s="123"/>
      <c r="W222" s="123"/>
      <c r="X222" s="123"/>
      <c r="Y222" s="123"/>
      <c r="Z222" s="123"/>
      <c r="AA222" s="123"/>
      <c r="AB222" s="123"/>
      <c r="AC222" s="123"/>
      <c r="AD222" s="123"/>
      <c r="AE222" s="123"/>
      <c r="AF222" s="123"/>
      <c r="AG222" s="123"/>
      <c r="AH222" s="123"/>
      <c r="AI222" s="123"/>
      <c r="AJ222" s="87"/>
      <c r="AK222" s="87"/>
      <c r="AL222" s="87"/>
    </row>
    <row r="223">
      <c r="A223" s="147"/>
      <c r="B223" s="265"/>
      <c r="C223" s="147"/>
      <c r="D223" s="265"/>
      <c r="E223" s="265"/>
      <c r="F223" s="265"/>
      <c r="G223" s="265"/>
      <c r="H223" s="266"/>
      <c r="I223" s="265"/>
      <c r="J223" s="123"/>
      <c r="K223" s="123"/>
      <c r="L223" s="123"/>
      <c r="M223" s="123"/>
      <c r="N223" s="123"/>
      <c r="O223" s="123"/>
      <c r="P223" s="121"/>
      <c r="Q223" s="121"/>
      <c r="R223" s="123"/>
      <c r="S223" s="123"/>
      <c r="T223" s="123"/>
      <c r="U223" s="123"/>
      <c r="V223" s="123"/>
      <c r="W223" s="123"/>
      <c r="X223" s="123"/>
      <c r="Y223" s="123"/>
      <c r="Z223" s="123"/>
      <c r="AA223" s="123"/>
      <c r="AB223" s="123"/>
      <c r="AC223" s="123"/>
      <c r="AD223" s="123"/>
      <c r="AE223" s="123"/>
      <c r="AF223" s="123"/>
      <c r="AG223" s="123"/>
      <c r="AH223" s="123"/>
      <c r="AI223" s="123"/>
      <c r="AJ223" s="87"/>
      <c r="AK223" s="87"/>
      <c r="AL223" s="87"/>
    </row>
    <row r="224">
      <c r="A224" s="147"/>
      <c r="B224" s="265"/>
      <c r="C224" s="147"/>
      <c r="D224" s="265"/>
      <c r="E224" s="265"/>
      <c r="F224" s="265"/>
      <c r="G224" s="265"/>
      <c r="H224" s="266"/>
      <c r="I224" s="265"/>
      <c r="J224" s="123"/>
      <c r="K224" s="123"/>
      <c r="L224" s="123"/>
      <c r="M224" s="123"/>
      <c r="N224" s="123"/>
      <c r="O224" s="123"/>
      <c r="P224" s="121"/>
      <c r="Q224" s="121"/>
      <c r="R224" s="123"/>
      <c r="S224" s="123"/>
      <c r="T224" s="123"/>
      <c r="U224" s="123"/>
      <c r="V224" s="123"/>
      <c r="W224" s="123"/>
      <c r="X224" s="123"/>
      <c r="Y224" s="123"/>
      <c r="Z224" s="123"/>
      <c r="AA224" s="123"/>
      <c r="AB224" s="123"/>
      <c r="AC224" s="123"/>
      <c r="AD224" s="123"/>
      <c r="AE224" s="123"/>
      <c r="AF224" s="123"/>
      <c r="AG224" s="123"/>
      <c r="AH224" s="123"/>
      <c r="AI224" s="123"/>
      <c r="AJ224" s="87"/>
      <c r="AK224" s="87"/>
      <c r="AL224" s="87"/>
    </row>
    <row r="225">
      <c r="A225" s="147"/>
      <c r="B225" s="265"/>
      <c r="C225" s="147"/>
      <c r="D225" s="265"/>
      <c r="E225" s="265"/>
      <c r="F225" s="265"/>
      <c r="G225" s="265"/>
      <c r="H225" s="266"/>
      <c r="I225" s="265"/>
      <c r="J225" s="123"/>
      <c r="K225" s="123"/>
      <c r="L225" s="123"/>
      <c r="M225" s="123"/>
      <c r="N225" s="123"/>
      <c r="O225" s="123"/>
      <c r="P225" s="121"/>
      <c r="Q225" s="121"/>
      <c r="R225" s="123"/>
      <c r="S225" s="123"/>
      <c r="T225" s="123"/>
      <c r="U225" s="123"/>
      <c r="V225" s="123"/>
      <c r="W225" s="123"/>
      <c r="X225" s="123"/>
      <c r="Y225" s="123"/>
      <c r="Z225" s="123"/>
      <c r="AA225" s="123"/>
      <c r="AB225" s="123"/>
      <c r="AC225" s="123"/>
      <c r="AD225" s="123"/>
      <c r="AE225" s="123"/>
      <c r="AF225" s="123"/>
      <c r="AG225" s="123"/>
      <c r="AH225" s="123"/>
      <c r="AI225" s="123"/>
      <c r="AJ225" s="87"/>
      <c r="AK225" s="87"/>
      <c r="AL225" s="87"/>
    </row>
    <row r="226">
      <c r="A226" s="147"/>
      <c r="B226" s="265"/>
      <c r="C226" s="147"/>
      <c r="D226" s="265"/>
      <c r="E226" s="265"/>
      <c r="F226" s="265"/>
      <c r="G226" s="265"/>
      <c r="H226" s="266"/>
      <c r="I226" s="265"/>
      <c r="J226" s="123"/>
      <c r="K226" s="123"/>
      <c r="L226" s="123"/>
      <c r="M226" s="123"/>
      <c r="N226" s="123"/>
      <c r="O226" s="123"/>
      <c r="P226" s="121"/>
      <c r="Q226" s="121"/>
      <c r="R226" s="123"/>
      <c r="S226" s="123"/>
      <c r="T226" s="123"/>
      <c r="U226" s="123"/>
      <c r="V226" s="123"/>
      <c r="W226" s="123"/>
      <c r="X226" s="123"/>
      <c r="Y226" s="123"/>
      <c r="Z226" s="123"/>
      <c r="AA226" s="123"/>
      <c r="AB226" s="123"/>
      <c r="AC226" s="123"/>
      <c r="AD226" s="123"/>
      <c r="AE226" s="123"/>
      <c r="AF226" s="123"/>
      <c r="AG226" s="123"/>
      <c r="AH226" s="123"/>
      <c r="AI226" s="123"/>
      <c r="AJ226" s="87"/>
      <c r="AK226" s="87"/>
      <c r="AL226" s="87"/>
    </row>
    <row r="227">
      <c r="A227" s="147"/>
      <c r="B227" s="265"/>
      <c r="C227" s="147"/>
      <c r="D227" s="265"/>
      <c r="E227" s="265"/>
      <c r="F227" s="265"/>
      <c r="G227" s="265"/>
      <c r="H227" s="266"/>
      <c r="I227" s="265"/>
      <c r="J227" s="123"/>
      <c r="K227" s="123"/>
      <c r="L227" s="123"/>
      <c r="M227" s="123"/>
      <c r="N227" s="123"/>
      <c r="O227" s="123"/>
      <c r="P227" s="121"/>
      <c r="Q227" s="121"/>
      <c r="R227" s="123"/>
      <c r="S227" s="123"/>
      <c r="T227" s="123"/>
      <c r="U227" s="123"/>
      <c r="V227" s="123"/>
      <c r="W227" s="123"/>
      <c r="X227" s="123"/>
      <c r="Y227" s="123"/>
      <c r="Z227" s="123"/>
      <c r="AA227" s="123"/>
      <c r="AB227" s="123"/>
      <c r="AC227" s="123"/>
      <c r="AD227" s="123"/>
      <c r="AE227" s="123"/>
      <c r="AF227" s="123"/>
      <c r="AG227" s="123"/>
      <c r="AH227" s="123"/>
      <c r="AI227" s="123"/>
      <c r="AJ227" s="87"/>
      <c r="AK227" s="87"/>
      <c r="AL227" s="87"/>
    </row>
    <row r="228">
      <c r="A228" s="147"/>
      <c r="B228" s="265"/>
      <c r="C228" s="147"/>
      <c r="D228" s="265"/>
      <c r="E228" s="265"/>
      <c r="F228" s="265"/>
      <c r="G228" s="265"/>
      <c r="H228" s="266"/>
      <c r="I228" s="265"/>
      <c r="J228" s="123"/>
      <c r="K228" s="123"/>
      <c r="L228" s="123"/>
      <c r="M228" s="123"/>
      <c r="N228" s="123"/>
      <c r="O228" s="123"/>
      <c r="P228" s="121"/>
      <c r="Q228" s="121"/>
      <c r="R228" s="123"/>
      <c r="S228" s="123"/>
      <c r="T228" s="123"/>
      <c r="U228" s="123"/>
      <c r="V228" s="123"/>
      <c r="W228" s="123"/>
      <c r="X228" s="123"/>
      <c r="Y228" s="123"/>
      <c r="Z228" s="123"/>
      <c r="AA228" s="123"/>
      <c r="AB228" s="123"/>
      <c r="AC228" s="123"/>
      <c r="AD228" s="123"/>
      <c r="AE228" s="123"/>
      <c r="AF228" s="123"/>
      <c r="AG228" s="123"/>
      <c r="AH228" s="123"/>
      <c r="AI228" s="123"/>
      <c r="AJ228" s="87"/>
      <c r="AK228" s="87"/>
      <c r="AL228" s="87"/>
    </row>
    <row r="229">
      <c r="A229" s="147"/>
      <c r="B229" s="265"/>
      <c r="C229" s="147"/>
      <c r="D229" s="265"/>
      <c r="E229" s="265"/>
      <c r="F229" s="265"/>
      <c r="G229" s="265"/>
      <c r="H229" s="266"/>
      <c r="I229" s="265"/>
      <c r="J229" s="123"/>
      <c r="K229" s="123"/>
      <c r="L229" s="123"/>
      <c r="M229" s="123"/>
      <c r="N229" s="123"/>
      <c r="O229" s="123"/>
      <c r="P229" s="121"/>
      <c r="Q229" s="121"/>
      <c r="R229" s="123"/>
      <c r="S229" s="123"/>
      <c r="T229" s="123"/>
      <c r="U229" s="123"/>
      <c r="V229" s="123"/>
      <c r="W229" s="123"/>
      <c r="X229" s="123"/>
      <c r="Y229" s="123"/>
      <c r="Z229" s="123"/>
      <c r="AA229" s="123"/>
      <c r="AB229" s="123"/>
      <c r="AC229" s="123"/>
      <c r="AD229" s="123"/>
      <c r="AE229" s="123"/>
      <c r="AF229" s="123"/>
      <c r="AG229" s="123"/>
      <c r="AH229" s="123"/>
      <c r="AI229" s="123"/>
      <c r="AJ229" s="87"/>
      <c r="AK229" s="87"/>
      <c r="AL229" s="87"/>
    </row>
    <row r="230">
      <c r="A230" s="147"/>
      <c r="B230" s="265"/>
      <c r="C230" s="147"/>
      <c r="D230" s="265"/>
      <c r="E230" s="265"/>
      <c r="F230" s="265"/>
      <c r="G230" s="265"/>
      <c r="H230" s="266"/>
      <c r="I230" s="265"/>
      <c r="J230" s="123"/>
      <c r="K230" s="123"/>
      <c r="L230" s="123"/>
      <c r="M230" s="123"/>
      <c r="N230" s="123"/>
      <c r="O230" s="123"/>
      <c r="P230" s="121"/>
      <c r="Q230" s="121"/>
      <c r="R230" s="123"/>
      <c r="S230" s="123"/>
      <c r="T230" s="123"/>
      <c r="U230" s="123"/>
      <c r="V230" s="123"/>
      <c r="W230" s="123"/>
      <c r="X230" s="123"/>
      <c r="Y230" s="123"/>
      <c r="Z230" s="123"/>
      <c r="AA230" s="123"/>
      <c r="AB230" s="123"/>
      <c r="AC230" s="123"/>
      <c r="AD230" s="123"/>
      <c r="AE230" s="123"/>
      <c r="AF230" s="123"/>
      <c r="AG230" s="123"/>
      <c r="AH230" s="123"/>
      <c r="AI230" s="123"/>
      <c r="AJ230" s="87"/>
      <c r="AK230" s="87"/>
      <c r="AL230" s="87"/>
    </row>
    <row r="231">
      <c r="A231" s="147"/>
      <c r="B231" s="265"/>
      <c r="C231" s="147"/>
      <c r="D231" s="265"/>
      <c r="E231" s="265"/>
      <c r="F231" s="265"/>
      <c r="G231" s="265"/>
      <c r="H231" s="266"/>
      <c r="I231" s="265"/>
      <c r="J231" s="123"/>
      <c r="K231" s="123"/>
      <c r="L231" s="123"/>
      <c r="M231" s="123"/>
      <c r="N231" s="123"/>
      <c r="O231" s="123"/>
      <c r="P231" s="121"/>
      <c r="Q231" s="121"/>
      <c r="R231" s="123"/>
      <c r="S231" s="123"/>
      <c r="T231" s="123"/>
      <c r="U231" s="123"/>
      <c r="V231" s="123"/>
      <c r="W231" s="123"/>
      <c r="X231" s="123"/>
      <c r="Y231" s="123"/>
      <c r="Z231" s="123"/>
      <c r="AA231" s="123"/>
      <c r="AB231" s="123"/>
      <c r="AC231" s="123"/>
      <c r="AD231" s="123"/>
      <c r="AE231" s="123"/>
      <c r="AF231" s="123"/>
      <c r="AG231" s="123"/>
      <c r="AH231" s="123"/>
      <c r="AI231" s="123"/>
      <c r="AJ231" s="87"/>
      <c r="AK231" s="87"/>
      <c r="AL231" s="87"/>
    </row>
    <row r="232">
      <c r="A232" s="147"/>
      <c r="B232" s="265"/>
      <c r="C232" s="147"/>
      <c r="D232" s="265"/>
      <c r="E232" s="265"/>
      <c r="F232" s="265"/>
      <c r="G232" s="265"/>
      <c r="H232" s="266"/>
      <c r="I232" s="265"/>
      <c r="J232" s="123"/>
      <c r="K232" s="123"/>
      <c r="L232" s="123"/>
      <c r="M232" s="123"/>
      <c r="N232" s="123"/>
      <c r="O232" s="123"/>
      <c r="P232" s="121"/>
      <c r="Q232" s="121"/>
      <c r="R232" s="123"/>
      <c r="S232" s="123"/>
      <c r="T232" s="123"/>
      <c r="U232" s="123"/>
      <c r="V232" s="123"/>
      <c r="W232" s="123"/>
      <c r="X232" s="123"/>
      <c r="Y232" s="123"/>
      <c r="Z232" s="123"/>
      <c r="AA232" s="123"/>
      <c r="AB232" s="123"/>
      <c r="AC232" s="123"/>
      <c r="AD232" s="123"/>
      <c r="AE232" s="123"/>
      <c r="AF232" s="123"/>
      <c r="AG232" s="123"/>
      <c r="AH232" s="123"/>
      <c r="AI232" s="123"/>
      <c r="AJ232" s="87"/>
      <c r="AK232" s="87"/>
      <c r="AL232" s="87"/>
    </row>
    <row r="233">
      <c r="A233" s="147"/>
      <c r="B233" s="265"/>
      <c r="C233" s="147"/>
      <c r="D233" s="265"/>
      <c r="E233" s="265"/>
      <c r="F233" s="265"/>
      <c r="G233" s="265"/>
      <c r="H233" s="266"/>
      <c r="I233" s="265"/>
      <c r="J233" s="123"/>
      <c r="K233" s="123"/>
      <c r="L233" s="123"/>
      <c r="M233" s="123"/>
      <c r="N233" s="123"/>
      <c r="O233" s="123"/>
      <c r="P233" s="121"/>
      <c r="Q233" s="121"/>
      <c r="R233" s="123"/>
      <c r="S233" s="123"/>
      <c r="T233" s="123"/>
      <c r="U233" s="123"/>
      <c r="V233" s="123"/>
      <c r="W233" s="123"/>
      <c r="X233" s="123"/>
      <c r="Y233" s="123"/>
      <c r="Z233" s="123"/>
      <c r="AA233" s="123"/>
      <c r="AB233" s="123"/>
      <c r="AC233" s="123"/>
      <c r="AD233" s="123"/>
      <c r="AE233" s="123"/>
      <c r="AF233" s="123"/>
      <c r="AG233" s="123"/>
      <c r="AH233" s="123"/>
      <c r="AI233" s="123"/>
      <c r="AJ233" s="87"/>
      <c r="AK233" s="87"/>
      <c r="AL233" s="87"/>
    </row>
    <row r="234">
      <c r="A234" s="292"/>
      <c r="B234" s="273"/>
      <c r="C234" s="273"/>
      <c r="D234" s="273"/>
      <c r="E234" s="273"/>
      <c r="F234" s="293"/>
      <c r="G234" s="293"/>
      <c r="H234" s="260"/>
      <c r="I234" s="273"/>
      <c r="J234" s="124"/>
      <c r="K234" s="124"/>
      <c r="L234" s="124"/>
      <c r="M234" s="124"/>
      <c r="N234" s="124"/>
      <c r="O234" s="124"/>
      <c r="P234" s="128"/>
      <c r="Q234" s="128"/>
      <c r="R234" s="192"/>
      <c r="S234" s="192"/>
      <c r="T234" s="192"/>
      <c r="U234" s="192"/>
      <c r="V234" s="124"/>
      <c r="W234" s="124"/>
      <c r="X234" s="124"/>
      <c r="Y234" s="124"/>
      <c r="Z234" s="124"/>
      <c r="AA234" s="124"/>
      <c r="AB234" s="275"/>
      <c r="AC234" s="275"/>
      <c r="AD234" s="124"/>
      <c r="AE234" s="275"/>
      <c r="AF234" s="124"/>
      <c r="AG234" s="124"/>
      <c r="AH234" s="124"/>
      <c r="AI234" s="124"/>
      <c r="AJ234" s="262"/>
      <c r="AK234" s="262"/>
      <c r="AL234" s="262"/>
    </row>
    <row r="235">
      <c r="A235" s="309"/>
      <c r="B235" s="273"/>
      <c r="C235" s="273"/>
      <c r="D235" s="273"/>
      <c r="E235" s="273"/>
      <c r="F235" s="273"/>
      <c r="G235" s="310"/>
      <c r="H235" s="260"/>
      <c r="I235" s="273"/>
      <c r="J235" s="124"/>
      <c r="K235" s="124"/>
      <c r="L235" s="124"/>
      <c r="M235" s="124"/>
      <c r="N235" s="124"/>
      <c r="O235" s="124"/>
      <c r="P235" s="128"/>
      <c r="Q235" s="128"/>
      <c r="R235" s="192"/>
      <c r="S235" s="192"/>
      <c r="T235" s="192"/>
      <c r="U235" s="192"/>
      <c r="V235" s="124"/>
      <c r="W235" s="124"/>
      <c r="X235" s="124"/>
      <c r="Y235" s="124"/>
      <c r="Z235" s="115"/>
      <c r="AA235" s="124"/>
      <c r="AB235" s="275"/>
      <c r="AC235" s="275"/>
      <c r="AD235" s="124"/>
      <c r="AE235" s="275"/>
      <c r="AF235" s="124"/>
      <c r="AG235" s="124"/>
      <c r="AH235" s="124"/>
      <c r="AI235" s="124"/>
      <c r="AJ235" s="262"/>
      <c r="AK235" s="262"/>
      <c r="AL235" s="262"/>
    </row>
    <row r="236">
      <c r="A236" s="272"/>
      <c r="B236" s="273"/>
      <c r="C236" s="273"/>
      <c r="D236" s="273"/>
      <c r="E236" s="293"/>
      <c r="F236" s="293"/>
      <c r="G236" s="293"/>
      <c r="H236" s="260"/>
      <c r="I236" s="273"/>
      <c r="J236" s="192"/>
      <c r="K236" s="192"/>
      <c r="L236" s="192"/>
      <c r="M236" s="192"/>
      <c r="N236" s="192"/>
      <c r="O236" s="192"/>
      <c r="P236" s="128"/>
      <c r="Q236" s="128"/>
      <c r="R236" s="192"/>
      <c r="S236" s="192"/>
      <c r="T236" s="192"/>
      <c r="U236" s="192"/>
      <c r="V236" s="124"/>
      <c r="W236" s="124"/>
      <c r="X236" s="124"/>
      <c r="Y236" s="192"/>
      <c r="Z236" s="115"/>
      <c r="AA236" s="192"/>
      <c r="AB236" s="192"/>
      <c r="AC236" s="192"/>
      <c r="AD236" s="192"/>
      <c r="AE236" s="275"/>
      <c r="AF236" s="124"/>
      <c r="AG236" s="124"/>
      <c r="AH236" s="124"/>
      <c r="AI236" s="124"/>
      <c r="AJ236" s="262"/>
      <c r="AK236" s="262"/>
      <c r="AL236" s="262"/>
    </row>
    <row r="237">
      <c r="A237" s="272"/>
      <c r="B237" s="273"/>
      <c r="C237" s="273"/>
      <c r="D237" s="273"/>
      <c r="E237" s="293"/>
      <c r="F237" s="293"/>
      <c r="G237" s="293"/>
      <c r="H237" s="260"/>
      <c r="I237" s="273"/>
      <c r="J237" s="124"/>
      <c r="K237" s="124"/>
      <c r="L237" s="192"/>
      <c r="M237" s="124"/>
      <c r="N237" s="124"/>
      <c r="O237" s="124"/>
      <c r="P237" s="128"/>
      <c r="Q237" s="128"/>
      <c r="R237" s="192"/>
      <c r="S237" s="192"/>
      <c r="T237" s="192"/>
      <c r="U237" s="192"/>
      <c r="V237" s="124"/>
      <c r="W237" s="124"/>
      <c r="X237" s="192"/>
      <c r="Y237" s="192"/>
      <c r="Z237" s="115"/>
      <c r="AA237" s="192"/>
      <c r="AB237" s="192"/>
      <c r="AC237" s="192"/>
      <c r="AD237" s="192"/>
      <c r="AE237" s="275"/>
      <c r="AF237" s="124"/>
      <c r="AG237" s="124"/>
      <c r="AH237" s="124"/>
      <c r="AI237" s="273"/>
      <c r="AJ237" s="262"/>
      <c r="AK237" s="262"/>
      <c r="AL237" s="262"/>
    </row>
    <row r="238">
      <c r="A238" s="279"/>
      <c r="B238" s="281"/>
      <c r="C238" s="281"/>
      <c r="D238" s="281"/>
      <c r="E238" s="280"/>
      <c r="F238" s="280"/>
      <c r="G238" s="280"/>
      <c r="H238" s="260"/>
      <c r="I238" s="281"/>
      <c r="J238" s="283"/>
      <c r="K238" s="283"/>
      <c r="L238" s="283"/>
      <c r="M238" s="283"/>
      <c r="N238" s="283"/>
      <c r="O238" s="283"/>
      <c r="P238" s="184"/>
      <c r="Q238" s="184"/>
      <c r="R238" s="282"/>
      <c r="S238" s="282"/>
      <c r="T238" s="282"/>
      <c r="U238" s="282"/>
      <c r="V238" s="283"/>
      <c r="W238" s="283"/>
      <c r="X238" s="283"/>
      <c r="Y238" s="283"/>
      <c r="Z238" s="115"/>
      <c r="AA238" s="283"/>
      <c r="AB238" s="282"/>
      <c r="AC238" s="282"/>
      <c r="AD238" s="283"/>
      <c r="AE238" s="298"/>
      <c r="AF238" s="283"/>
      <c r="AG238" s="283"/>
      <c r="AH238" s="262"/>
      <c r="AI238" s="276"/>
      <c r="AJ238" s="262"/>
      <c r="AK238" s="262"/>
      <c r="AL238" s="262"/>
    </row>
    <row r="239">
      <c r="A239" s="272"/>
      <c r="B239" s="273"/>
      <c r="C239" s="273"/>
      <c r="D239" s="273"/>
      <c r="E239" s="293"/>
      <c r="F239" s="293"/>
      <c r="G239" s="293"/>
      <c r="H239" s="260"/>
      <c r="I239" s="273"/>
      <c r="J239" s="192"/>
      <c r="K239" s="192"/>
      <c r="L239" s="192"/>
      <c r="M239" s="192"/>
      <c r="N239" s="192"/>
      <c r="O239" s="192"/>
      <c r="P239" s="128"/>
      <c r="Q239" s="128"/>
      <c r="R239" s="192"/>
      <c r="S239" s="192"/>
      <c r="T239" s="192"/>
      <c r="U239" s="192"/>
      <c r="V239" s="124"/>
      <c r="W239" s="124"/>
      <c r="X239" s="192"/>
      <c r="Y239" s="192"/>
      <c r="Z239" s="115"/>
      <c r="AA239" s="192"/>
      <c r="AB239" s="192"/>
      <c r="AC239" s="192"/>
      <c r="AD239" s="192"/>
      <c r="AE239" s="275"/>
      <c r="AF239" s="124"/>
      <c r="AG239" s="124"/>
      <c r="AH239" s="124"/>
      <c r="AI239" s="273"/>
      <c r="AJ239" s="262"/>
      <c r="AK239" s="262"/>
      <c r="AL239" s="262"/>
    </row>
    <row r="240">
      <c r="A240" s="272"/>
      <c r="B240" s="124"/>
      <c r="C240" s="273"/>
      <c r="D240" s="273"/>
      <c r="E240" s="293"/>
      <c r="F240" s="293"/>
      <c r="G240" s="293"/>
      <c r="H240" s="260"/>
      <c r="I240" s="273"/>
      <c r="J240" s="192"/>
      <c r="K240" s="192"/>
      <c r="L240" s="192"/>
      <c r="M240" s="192"/>
      <c r="N240" s="192"/>
      <c r="O240" s="192"/>
      <c r="P240" s="128"/>
      <c r="Q240" s="128"/>
      <c r="R240" s="192"/>
      <c r="S240" s="192"/>
      <c r="T240" s="192"/>
      <c r="U240" s="192"/>
      <c r="V240" s="124"/>
      <c r="W240" s="124"/>
      <c r="X240" s="192"/>
      <c r="Y240" s="192"/>
      <c r="Z240" s="115"/>
      <c r="AA240" s="192"/>
      <c r="AB240" s="192"/>
      <c r="AC240" s="192"/>
      <c r="AD240" s="192"/>
      <c r="AE240" s="275"/>
      <c r="AF240" s="124"/>
      <c r="AG240" s="124"/>
      <c r="AH240" s="124"/>
      <c r="AI240" s="124"/>
      <c r="AJ240" s="262"/>
      <c r="AK240" s="262"/>
      <c r="AL240" s="262"/>
    </row>
    <row r="241">
      <c r="A241" s="272"/>
      <c r="B241" s="124"/>
      <c r="C241" s="273"/>
      <c r="D241" s="273"/>
      <c r="E241" s="293"/>
      <c r="F241" s="293"/>
      <c r="G241" s="293"/>
      <c r="H241" s="260"/>
      <c r="I241" s="273"/>
      <c r="J241" s="192"/>
      <c r="K241" s="192"/>
      <c r="L241" s="192"/>
      <c r="M241" s="192"/>
      <c r="N241" s="192"/>
      <c r="O241" s="192"/>
      <c r="P241" s="128"/>
      <c r="Q241" s="128"/>
      <c r="R241" s="192"/>
      <c r="S241" s="192"/>
      <c r="T241" s="192"/>
      <c r="U241" s="192"/>
      <c r="V241" s="124"/>
      <c r="W241" s="124"/>
      <c r="X241" s="192"/>
      <c r="Y241" s="192"/>
      <c r="Z241" s="115"/>
      <c r="AA241" s="192"/>
      <c r="AB241" s="192"/>
      <c r="AC241" s="192"/>
      <c r="AD241" s="192"/>
      <c r="AE241" s="275"/>
      <c r="AF241" s="124"/>
      <c r="AG241" s="124"/>
      <c r="AH241" s="124"/>
      <c r="AI241" s="124"/>
      <c r="AJ241" s="262"/>
      <c r="AK241" s="262"/>
      <c r="AL241" s="262"/>
    </row>
    <row r="242">
      <c r="A242" s="255"/>
      <c r="B242" s="115"/>
      <c r="C242" s="259"/>
      <c r="D242" s="259"/>
      <c r="E242" s="102"/>
      <c r="F242" s="102"/>
      <c r="G242" s="102"/>
      <c r="H242" s="260"/>
      <c r="I242" s="259"/>
      <c r="J242" s="115"/>
      <c r="K242" s="115"/>
      <c r="L242" s="115"/>
      <c r="M242" s="115"/>
      <c r="N242" s="115"/>
      <c r="O242" s="115"/>
      <c r="P242" s="71"/>
      <c r="Q242" s="71"/>
      <c r="R242" s="77"/>
      <c r="S242" s="77"/>
      <c r="T242" s="77"/>
      <c r="U242" s="77"/>
      <c r="V242" s="115"/>
      <c r="W242" s="115"/>
      <c r="X242" s="115"/>
      <c r="Y242" s="115"/>
      <c r="Z242" s="115"/>
      <c r="AA242" s="115"/>
      <c r="AB242" s="261"/>
      <c r="AC242" s="261"/>
      <c r="AD242" s="115"/>
      <c r="AE242" s="261"/>
      <c r="AF242" s="115"/>
      <c r="AG242" s="115"/>
      <c r="AH242" s="262"/>
      <c r="AI242" s="262"/>
      <c r="AJ242" s="262"/>
      <c r="AK242" s="262"/>
      <c r="AL242" s="262"/>
    </row>
    <row r="243">
      <c r="A243" s="255"/>
      <c r="B243" s="115"/>
      <c r="C243" s="259"/>
      <c r="D243" s="259"/>
      <c r="E243" s="102"/>
      <c r="F243" s="102"/>
      <c r="G243" s="102"/>
      <c r="H243" s="260"/>
      <c r="I243" s="259"/>
      <c r="J243" s="115"/>
      <c r="K243" s="115"/>
      <c r="L243" s="115"/>
      <c r="M243" s="115"/>
      <c r="N243" s="115"/>
      <c r="O243" s="115"/>
      <c r="P243" s="71"/>
      <c r="Q243" s="71"/>
      <c r="R243" s="77"/>
      <c r="S243" s="77"/>
      <c r="T243" s="77"/>
      <c r="U243" s="77"/>
      <c r="V243" s="115"/>
      <c r="W243" s="115"/>
      <c r="X243" s="115"/>
      <c r="Y243" s="115"/>
      <c r="Z243" s="115"/>
      <c r="AA243" s="115"/>
      <c r="AB243" s="261"/>
      <c r="AC243" s="261"/>
      <c r="AD243" s="115"/>
      <c r="AE243" s="261"/>
      <c r="AF243" s="115"/>
      <c r="AG243" s="115"/>
      <c r="AH243" s="262"/>
      <c r="AI243" s="262"/>
      <c r="AJ243" s="262"/>
      <c r="AK243" s="262"/>
      <c r="AL243" s="262"/>
    </row>
    <row r="244">
      <c r="A244" s="272"/>
      <c r="B244" s="124"/>
      <c r="C244" s="311"/>
      <c r="D244" s="273"/>
      <c r="E244" s="293"/>
      <c r="F244" s="293"/>
      <c r="G244" s="293"/>
      <c r="H244" s="260"/>
      <c r="I244" s="273"/>
      <c r="J244" s="124"/>
      <c r="K244" s="124"/>
      <c r="L244" s="124"/>
      <c r="M244" s="124"/>
      <c r="N244" s="192"/>
      <c r="O244" s="124"/>
      <c r="P244" s="128"/>
      <c r="Q244" s="128"/>
      <c r="R244" s="192"/>
      <c r="S244" s="192"/>
      <c r="T244" s="192"/>
      <c r="U244" s="192"/>
      <c r="V244" s="124"/>
      <c r="W244" s="124"/>
      <c r="X244" s="124"/>
      <c r="Y244" s="124"/>
      <c r="Z244" s="124"/>
      <c r="AA244" s="124"/>
      <c r="AB244" s="275"/>
      <c r="AC244" s="275"/>
      <c r="AD244" s="124"/>
      <c r="AE244" s="275"/>
      <c r="AF244" s="124"/>
      <c r="AG244" s="124"/>
      <c r="AH244" s="124"/>
      <c r="AI244" s="124"/>
      <c r="AJ244" s="262"/>
      <c r="AK244" s="262"/>
      <c r="AL244" s="262"/>
    </row>
    <row r="245">
      <c r="A245" s="279"/>
      <c r="B245" s="281"/>
      <c r="C245" s="281"/>
      <c r="D245" s="280"/>
      <c r="E245" s="280"/>
      <c r="F245" s="280"/>
      <c r="G245" s="280"/>
      <c r="H245" s="260"/>
      <c r="I245" s="281"/>
      <c r="J245" s="282"/>
      <c r="K245" s="282"/>
      <c r="L245" s="282"/>
      <c r="M245" s="282"/>
      <c r="N245" s="282"/>
      <c r="O245" s="282"/>
      <c r="P245" s="184"/>
      <c r="Q245" s="184"/>
      <c r="R245" s="282"/>
      <c r="S245" s="282"/>
      <c r="T245" s="282"/>
      <c r="U245" s="282"/>
      <c r="V245" s="282"/>
      <c r="W245" s="282"/>
      <c r="X245" s="282"/>
      <c r="Y245" s="282"/>
      <c r="Z245" s="115"/>
      <c r="AA245" s="282"/>
      <c r="AB245" s="282"/>
      <c r="AC245" s="282"/>
      <c r="AD245" s="282"/>
      <c r="AE245" s="282"/>
      <c r="AF245" s="282"/>
      <c r="AG245" s="283"/>
      <c r="AH245" s="262"/>
      <c r="AI245" s="262"/>
      <c r="AJ245" s="262"/>
      <c r="AK245" s="262"/>
      <c r="AL245" s="262"/>
    </row>
    <row r="246">
      <c r="A246" s="279"/>
      <c r="B246" s="281"/>
      <c r="C246" s="281"/>
      <c r="D246" s="280"/>
      <c r="E246" s="280"/>
      <c r="F246" s="280"/>
      <c r="G246" s="280"/>
      <c r="H246" s="260"/>
      <c r="I246" s="281"/>
      <c r="J246" s="282"/>
      <c r="K246" s="282"/>
      <c r="L246" s="282"/>
      <c r="M246" s="282"/>
      <c r="N246" s="282"/>
      <c r="O246" s="282"/>
      <c r="P246" s="184"/>
      <c r="Q246" s="184"/>
      <c r="R246" s="282"/>
      <c r="S246" s="282"/>
      <c r="T246" s="282"/>
      <c r="U246" s="282"/>
      <c r="V246" s="282"/>
      <c r="W246" s="282"/>
      <c r="X246" s="282"/>
      <c r="Y246" s="282"/>
      <c r="Z246" s="115"/>
      <c r="AA246" s="282"/>
      <c r="AB246" s="282"/>
      <c r="AC246" s="282"/>
      <c r="AD246" s="282"/>
      <c r="AE246" s="282"/>
      <c r="AF246" s="282"/>
      <c r="AG246" s="283"/>
      <c r="AH246" s="262"/>
      <c r="AI246" s="262"/>
      <c r="AJ246" s="262"/>
      <c r="AK246" s="262"/>
      <c r="AL246" s="262"/>
    </row>
    <row r="247">
      <c r="A247" s="279"/>
      <c r="B247" s="281"/>
      <c r="C247" s="281"/>
      <c r="D247" s="280"/>
      <c r="E247" s="280"/>
      <c r="F247" s="280"/>
      <c r="G247" s="280"/>
      <c r="H247" s="260"/>
      <c r="I247" s="281"/>
      <c r="J247" s="283"/>
      <c r="K247" s="283"/>
      <c r="L247" s="283"/>
      <c r="M247" s="283"/>
      <c r="N247" s="283"/>
      <c r="O247" s="283"/>
      <c r="P247" s="184"/>
      <c r="Q247" s="184"/>
      <c r="R247" s="282"/>
      <c r="S247" s="282"/>
      <c r="T247" s="282"/>
      <c r="U247" s="282"/>
      <c r="V247" s="282"/>
      <c r="W247" s="282"/>
      <c r="X247" s="282"/>
      <c r="Y247" s="282"/>
      <c r="Z247" s="115"/>
      <c r="AA247" s="282"/>
      <c r="AB247" s="282"/>
      <c r="AC247" s="298"/>
      <c r="AD247" s="282"/>
      <c r="AE247" s="282"/>
      <c r="AF247" s="282"/>
      <c r="AG247" s="283"/>
      <c r="AH247" s="262"/>
      <c r="AI247" s="262"/>
      <c r="AJ247" s="262"/>
      <c r="AK247" s="262"/>
      <c r="AL247" s="262"/>
    </row>
    <row r="248">
      <c r="A248" s="279"/>
      <c r="B248" s="281"/>
      <c r="C248" s="281"/>
      <c r="D248" s="280"/>
      <c r="E248" s="280"/>
      <c r="F248" s="280"/>
      <c r="G248" s="280"/>
      <c r="H248" s="260"/>
      <c r="I248" s="281"/>
      <c r="J248" s="283"/>
      <c r="K248" s="283"/>
      <c r="L248" s="283"/>
      <c r="M248" s="283"/>
      <c r="N248" s="283"/>
      <c r="O248" s="283"/>
      <c r="P248" s="184"/>
      <c r="Q248" s="184"/>
      <c r="R248" s="282"/>
      <c r="S248" s="282"/>
      <c r="T248" s="282"/>
      <c r="U248" s="282"/>
      <c r="V248" s="282"/>
      <c r="W248" s="282"/>
      <c r="X248" s="282"/>
      <c r="Y248" s="282"/>
      <c r="Z248" s="115"/>
      <c r="AA248" s="282"/>
      <c r="AB248" s="282"/>
      <c r="AC248" s="282"/>
      <c r="AD248" s="282"/>
      <c r="AE248" s="282"/>
      <c r="AF248" s="282"/>
      <c r="AG248" s="283"/>
      <c r="AH248" s="262"/>
      <c r="AI248" s="262"/>
      <c r="AJ248" s="262"/>
      <c r="AK248" s="262"/>
      <c r="AL248" s="262"/>
    </row>
    <row r="249">
      <c r="A249" s="90"/>
      <c r="B249" s="259"/>
      <c r="C249" s="259"/>
      <c r="D249" s="259"/>
      <c r="E249" s="102"/>
      <c r="F249" s="102"/>
      <c r="G249" s="102"/>
      <c r="H249" s="260"/>
      <c r="I249" s="259"/>
      <c r="J249" s="115"/>
      <c r="K249" s="115"/>
      <c r="L249" s="115"/>
      <c r="M249" s="115"/>
      <c r="N249" s="115"/>
      <c r="O249" s="115"/>
      <c r="P249" s="71"/>
      <c r="Q249" s="71"/>
      <c r="R249" s="77"/>
      <c r="S249" s="77"/>
      <c r="T249" s="77"/>
      <c r="U249" s="77"/>
      <c r="V249" s="115"/>
      <c r="W249" s="115"/>
      <c r="X249" s="115"/>
      <c r="Y249" s="115"/>
      <c r="Z249" s="115"/>
      <c r="AA249" s="115"/>
      <c r="AB249" s="261"/>
      <c r="AC249" s="261"/>
      <c r="AD249" s="115"/>
      <c r="AE249" s="77"/>
      <c r="AF249" s="115"/>
      <c r="AG249" s="115"/>
      <c r="AH249" s="262"/>
      <c r="AI249" s="262"/>
      <c r="AJ249" s="262"/>
      <c r="AK249" s="262"/>
      <c r="AL249" s="262"/>
    </row>
    <row r="250">
      <c r="A250" s="90"/>
      <c r="B250" s="259"/>
      <c r="C250" s="259"/>
      <c r="D250" s="259"/>
      <c r="E250" s="102"/>
      <c r="F250" s="102"/>
      <c r="G250" s="102"/>
      <c r="H250" s="260"/>
      <c r="I250" s="259"/>
      <c r="J250" s="115"/>
      <c r="K250" s="115"/>
      <c r="L250" s="115"/>
      <c r="M250" s="115"/>
      <c r="N250" s="115"/>
      <c r="O250" s="115"/>
      <c r="P250" s="71"/>
      <c r="Q250" s="71"/>
      <c r="R250" s="77"/>
      <c r="S250" s="77"/>
      <c r="T250" s="77"/>
      <c r="U250" s="77"/>
      <c r="V250" s="115"/>
      <c r="W250" s="115"/>
      <c r="X250" s="115"/>
      <c r="Y250" s="115"/>
      <c r="Z250" s="115"/>
      <c r="AA250" s="115"/>
      <c r="AB250" s="261"/>
      <c r="AC250" s="261"/>
      <c r="AD250" s="115"/>
      <c r="AE250" s="77"/>
      <c r="AF250" s="115"/>
      <c r="AG250" s="115"/>
      <c r="AH250" s="262"/>
      <c r="AI250" s="262"/>
      <c r="AJ250" s="262"/>
      <c r="AK250" s="262"/>
      <c r="AL250" s="262"/>
    </row>
    <row r="251">
      <c r="A251" s="302"/>
      <c r="B251" s="123"/>
      <c r="C251" s="147"/>
      <c r="D251" s="265"/>
      <c r="E251" s="265"/>
      <c r="F251" s="265"/>
      <c r="G251" s="265"/>
      <c r="H251" s="266"/>
      <c r="I251" s="265"/>
      <c r="J251" s="123"/>
      <c r="K251" s="123"/>
      <c r="L251" s="123"/>
      <c r="M251" s="123"/>
      <c r="N251" s="123"/>
      <c r="O251" s="123"/>
      <c r="P251" s="121"/>
      <c r="Q251" s="121"/>
      <c r="R251" s="123"/>
      <c r="S251" s="123"/>
      <c r="T251" s="123"/>
      <c r="U251" s="123"/>
      <c r="V251" s="123"/>
      <c r="W251" s="123"/>
      <c r="X251" s="123"/>
      <c r="Y251" s="123"/>
      <c r="Z251" s="123"/>
      <c r="AA251" s="123"/>
      <c r="AB251" s="123"/>
      <c r="AC251" s="123"/>
      <c r="AD251" s="123"/>
      <c r="AE251" s="123"/>
      <c r="AF251" s="123"/>
      <c r="AG251" s="123"/>
      <c r="AH251" s="123"/>
      <c r="AI251" s="123"/>
      <c r="AJ251" s="87"/>
      <c r="AK251" s="87"/>
      <c r="AL251" s="87"/>
    </row>
    <row r="252">
      <c r="A252" s="302"/>
      <c r="B252" s="123"/>
      <c r="C252" s="147"/>
      <c r="D252" s="265"/>
      <c r="E252" s="265"/>
      <c r="F252" s="265"/>
      <c r="G252" s="265"/>
      <c r="H252" s="266"/>
      <c r="I252" s="265"/>
      <c r="J252" s="123"/>
      <c r="K252" s="123"/>
      <c r="L252" s="123"/>
      <c r="M252" s="123"/>
      <c r="N252" s="123"/>
      <c r="O252" s="123"/>
      <c r="P252" s="121"/>
      <c r="Q252" s="121"/>
      <c r="R252" s="123"/>
      <c r="S252" s="123"/>
      <c r="T252" s="123"/>
      <c r="U252" s="123"/>
      <c r="V252" s="123"/>
      <c r="W252" s="123"/>
      <c r="X252" s="123"/>
      <c r="Y252" s="123"/>
      <c r="Z252" s="123"/>
      <c r="AA252" s="123"/>
      <c r="AB252" s="123"/>
      <c r="AC252" s="123"/>
      <c r="AD252" s="123"/>
      <c r="AE252" s="123"/>
      <c r="AF252" s="123"/>
      <c r="AG252" s="123"/>
      <c r="AH252" s="123"/>
      <c r="AI252" s="123"/>
      <c r="AJ252" s="87"/>
      <c r="AK252" s="87"/>
      <c r="AL252" s="87"/>
    </row>
    <row r="253">
      <c r="A253" s="302"/>
      <c r="B253" s="123"/>
      <c r="C253" s="147"/>
      <c r="D253" s="265"/>
      <c r="E253" s="265"/>
      <c r="F253" s="265"/>
      <c r="G253" s="265"/>
      <c r="H253" s="266"/>
      <c r="I253" s="265"/>
      <c r="J253" s="123"/>
      <c r="K253" s="123"/>
      <c r="L253" s="123"/>
      <c r="M253" s="123"/>
      <c r="N253" s="123"/>
      <c r="O253" s="123"/>
      <c r="P253" s="121"/>
      <c r="Q253" s="121"/>
      <c r="R253" s="123"/>
      <c r="S253" s="123"/>
      <c r="T253" s="123"/>
      <c r="U253" s="123"/>
      <c r="V253" s="123"/>
      <c r="W253" s="123"/>
      <c r="X253" s="123"/>
      <c r="Y253" s="123"/>
      <c r="Z253" s="123"/>
      <c r="AA253" s="123"/>
      <c r="AB253" s="123"/>
      <c r="AC253" s="123"/>
      <c r="AD253" s="123"/>
      <c r="AE253" s="123"/>
      <c r="AF253" s="123"/>
      <c r="AG253" s="123"/>
      <c r="AH253" s="123"/>
      <c r="AI253" s="123"/>
      <c r="AJ253" s="87"/>
      <c r="AK253" s="87"/>
      <c r="AL253" s="87"/>
    </row>
    <row r="254">
      <c r="A254" s="302"/>
      <c r="B254" s="123"/>
      <c r="C254" s="147"/>
      <c r="D254" s="265"/>
      <c r="E254" s="265"/>
      <c r="F254" s="265"/>
      <c r="G254" s="265"/>
      <c r="H254" s="266"/>
      <c r="I254" s="265"/>
      <c r="J254" s="123"/>
      <c r="K254" s="123"/>
      <c r="L254" s="123"/>
      <c r="M254" s="123"/>
      <c r="N254" s="123"/>
      <c r="O254" s="123"/>
      <c r="P254" s="121"/>
      <c r="Q254" s="121"/>
      <c r="R254" s="123"/>
      <c r="S254" s="123"/>
      <c r="T254" s="123"/>
      <c r="U254" s="123"/>
      <c r="V254" s="123"/>
      <c r="W254" s="123"/>
      <c r="X254" s="123"/>
      <c r="Y254" s="123"/>
      <c r="Z254" s="123"/>
      <c r="AA254" s="123"/>
      <c r="AB254" s="123"/>
      <c r="AC254" s="123"/>
      <c r="AD254" s="123"/>
      <c r="AE254" s="123"/>
      <c r="AF254" s="123"/>
      <c r="AG254" s="123"/>
      <c r="AH254" s="123"/>
      <c r="AI254" s="123"/>
      <c r="AJ254" s="87"/>
      <c r="AK254" s="87"/>
      <c r="AL254" s="87"/>
    </row>
    <row r="255">
      <c r="A255" s="302"/>
      <c r="B255" s="123"/>
      <c r="C255" s="147"/>
      <c r="D255" s="265"/>
      <c r="E255" s="265"/>
      <c r="F255" s="265"/>
      <c r="G255" s="265"/>
      <c r="H255" s="266"/>
      <c r="I255" s="265"/>
      <c r="J255" s="123"/>
      <c r="K255" s="123"/>
      <c r="L255" s="123"/>
      <c r="M255" s="123"/>
      <c r="N255" s="123"/>
      <c r="O255" s="123"/>
      <c r="P255" s="121"/>
      <c r="Q255" s="121"/>
      <c r="R255" s="123"/>
      <c r="S255" s="123"/>
      <c r="T255" s="123"/>
      <c r="U255" s="123"/>
      <c r="V255" s="123"/>
      <c r="W255" s="123"/>
      <c r="X255" s="123"/>
      <c r="Y255" s="123"/>
      <c r="Z255" s="123"/>
      <c r="AA255" s="123"/>
      <c r="AB255" s="123"/>
      <c r="AC255" s="123"/>
      <c r="AD255" s="123"/>
      <c r="AE255" s="123"/>
      <c r="AF255" s="123"/>
      <c r="AG255" s="123"/>
      <c r="AH255" s="123"/>
      <c r="AI255" s="123"/>
      <c r="AJ255" s="87"/>
      <c r="AK255" s="87"/>
      <c r="AL255" s="87"/>
    </row>
    <row r="256">
      <c r="A256" s="302"/>
      <c r="B256" s="123"/>
      <c r="C256" s="147"/>
      <c r="D256" s="265"/>
      <c r="E256" s="265"/>
      <c r="F256" s="265"/>
      <c r="G256" s="265"/>
      <c r="H256" s="266"/>
      <c r="I256" s="265"/>
      <c r="J256" s="123"/>
      <c r="K256" s="123"/>
      <c r="L256" s="123"/>
      <c r="M256" s="123"/>
      <c r="N256" s="123"/>
      <c r="O256" s="123"/>
      <c r="P256" s="121"/>
      <c r="Q256" s="121"/>
      <c r="R256" s="123"/>
      <c r="S256" s="123"/>
      <c r="T256" s="123"/>
      <c r="U256" s="123"/>
      <c r="V256" s="123"/>
      <c r="W256" s="123"/>
      <c r="X256" s="123"/>
      <c r="Y256" s="123"/>
      <c r="Z256" s="123"/>
      <c r="AA256" s="123"/>
      <c r="AB256" s="123"/>
      <c r="AC256" s="123"/>
      <c r="AD256" s="123"/>
      <c r="AE256" s="123"/>
      <c r="AF256" s="123"/>
      <c r="AG256" s="123"/>
      <c r="AH256" s="123"/>
      <c r="AI256" s="123"/>
      <c r="AJ256" s="87"/>
      <c r="AK256" s="87"/>
      <c r="AL256" s="87"/>
    </row>
    <row r="257">
      <c r="A257" s="302"/>
      <c r="B257" s="123"/>
      <c r="C257" s="147"/>
      <c r="D257" s="265"/>
      <c r="E257" s="265"/>
      <c r="F257" s="265"/>
      <c r="G257" s="265"/>
      <c r="H257" s="266"/>
      <c r="I257" s="265"/>
      <c r="J257" s="123"/>
      <c r="K257" s="123"/>
      <c r="L257" s="123"/>
      <c r="M257" s="123"/>
      <c r="N257" s="123"/>
      <c r="O257" s="123"/>
      <c r="P257" s="121"/>
      <c r="Q257" s="121"/>
      <c r="R257" s="123"/>
      <c r="S257" s="123"/>
      <c r="T257" s="123"/>
      <c r="U257" s="123"/>
      <c r="V257" s="123"/>
      <c r="W257" s="123"/>
      <c r="X257" s="123"/>
      <c r="Y257" s="123"/>
      <c r="Z257" s="123"/>
      <c r="AA257" s="123"/>
      <c r="AB257" s="123"/>
      <c r="AC257" s="123"/>
      <c r="AD257" s="123"/>
      <c r="AE257" s="123"/>
      <c r="AF257" s="123"/>
      <c r="AG257" s="123"/>
      <c r="AH257" s="123"/>
      <c r="AI257" s="123"/>
      <c r="AJ257" s="87"/>
      <c r="AK257" s="87"/>
      <c r="AL257" s="87"/>
    </row>
    <row r="258">
      <c r="A258" s="302"/>
      <c r="B258" s="123"/>
      <c r="C258" s="147"/>
      <c r="D258" s="265"/>
      <c r="E258" s="265"/>
      <c r="F258" s="265"/>
      <c r="G258" s="265"/>
      <c r="H258" s="266"/>
      <c r="I258" s="265"/>
      <c r="J258" s="123"/>
      <c r="K258" s="123"/>
      <c r="L258" s="123"/>
      <c r="M258" s="123"/>
      <c r="N258" s="123"/>
      <c r="O258" s="123"/>
      <c r="P258" s="121"/>
      <c r="Q258" s="121"/>
      <c r="R258" s="123"/>
      <c r="S258" s="123"/>
      <c r="T258" s="123"/>
      <c r="U258" s="123"/>
      <c r="V258" s="123"/>
      <c r="W258" s="123"/>
      <c r="X258" s="123"/>
      <c r="Y258" s="123"/>
      <c r="Z258" s="123"/>
      <c r="AA258" s="123"/>
      <c r="AB258" s="123"/>
      <c r="AC258" s="123"/>
      <c r="AD258" s="123"/>
      <c r="AE258" s="123"/>
      <c r="AF258" s="123"/>
      <c r="AG258" s="123"/>
      <c r="AH258" s="123"/>
      <c r="AI258" s="123"/>
      <c r="AJ258" s="87"/>
      <c r="AK258" s="87"/>
      <c r="AL258" s="87"/>
    </row>
    <row r="259">
      <c r="A259" s="302"/>
      <c r="B259" s="123"/>
      <c r="C259" s="147"/>
      <c r="D259" s="265"/>
      <c r="E259" s="265"/>
      <c r="F259" s="265"/>
      <c r="G259" s="265"/>
      <c r="H259" s="266"/>
      <c r="I259" s="265"/>
      <c r="J259" s="123"/>
      <c r="K259" s="123"/>
      <c r="L259" s="123"/>
      <c r="M259" s="123"/>
      <c r="N259" s="123"/>
      <c r="O259" s="123"/>
      <c r="P259" s="121"/>
      <c r="Q259" s="121"/>
      <c r="R259" s="123"/>
      <c r="S259" s="123"/>
      <c r="T259" s="123"/>
      <c r="U259" s="123"/>
      <c r="V259" s="123"/>
      <c r="W259" s="123"/>
      <c r="X259" s="123"/>
      <c r="Y259" s="123"/>
      <c r="Z259" s="123"/>
      <c r="AA259" s="123"/>
      <c r="AB259" s="123"/>
      <c r="AC259" s="123"/>
      <c r="AD259" s="123"/>
      <c r="AE259" s="123"/>
      <c r="AF259" s="123"/>
      <c r="AG259" s="123"/>
      <c r="AH259" s="123"/>
      <c r="AI259" s="123"/>
      <c r="AJ259" s="87"/>
      <c r="AK259" s="87"/>
      <c r="AL259" s="87"/>
    </row>
    <row r="260">
      <c r="A260" s="302"/>
      <c r="B260" s="123"/>
      <c r="C260" s="147"/>
      <c r="D260" s="265"/>
      <c r="E260" s="265"/>
      <c r="F260" s="265"/>
      <c r="G260" s="265"/>
      <c r="H260" s="266"/>
      <c r="I260" s="265"/>
      <c r="J260" s="123"/>
      <c r="K260" s="123"/>
      <c r="L260" s="123"/>
      <c r="M260" s="123"/>
      <c r="N260" s="123"/>
      <c r="O260" s="123"/>
      <c r="P260" s="121"/>
      <c r="Q260" s="121"/>
      <c r="R260" s="123"/>
      <c r="S260" s="123"/>
      <c r="T260" s="123"/>
      <c r="U260" s="123"/>
      <c r="V260" s="123"/>
      <c r="W260" s="123"/>
      <c r="X260" s="123"/>
      <c r="Y260" s="123"/>
      <c r="Z260" s="123"/>
      <c r="AA260" s="123"/>
      <c r="AB260" s="123"/>
      <c r="AC260" s="123"/>
      <c r="AD260" s="123"/>
      <c r="AE260" s="123"/>
      <c r="AF260" s="123"/>
      <c r="AG260" s="123"/>
      <c r="AH260" s="123"/>
      <c r="AI260" s="123"/>
      <c r="AJ260" s="87"/>
      <c r="AK260" s="87"/>
      <c r="AL260" s="87"/>
    </row>
    <row r="261">
      <c r="A261" s="302"/>
      <c r="B261" s="123"/>
      <c r="C261" s="147"/>
      <c r="D261" s="265"/>
      <c r="E261" s="265"/>
      <c r="F261" s="265"/>
      <c r="G261" s="265"/>
      <c r="H261" s="266"/>
      <c r="I261" s="265"/>
      <c r="J261" s="123"/>
      <c r="K261" s="123"/>
      <c r="L261" s="123"/>
      <c r="M261" s="123"/>
      <c r="N261" s="123"/>
      <c r="O261" s="123"/>
      <c r="P261" s="121"/>
      <c r="Q261" s="121"/>
      <c r="R261" s="123"/>
      <c r="S261" s="123"/>
      <c r="T261" s="123"/>
      <c r="U261" s="123"/>
      <c r="V261" s="123"/>
      <c r="W261" s="123"/>
      <c r="X261" s="123"/>
      <c r="Y261" s="123"/>
      <c r="Z261" s="123"/>
      <c r="AA261" s="123"/>
      <c r="AB261" s="123"/>
      <c r="AC261" s="123"/>
      <c r="AD261" s="123"/>
      <c r="AE261" s="123"/>
      <c r="AF261" s="123"/>
      <c r="AG261" s="123"/>
      <c r="AH261" s="123"/>
      <c r="AI261" s="123"/>
      <c r="AJ261" s="87"/>
      <c r="AK261" s="87"/>
      <c r="AL261" s="87"/>
    </row>
    <row r="262">
      <c r="A262" s="302"/>
      <c r="B262" s="123"/>
      <c r="C262" s="147"/>
      <c r="D262" s="265"/>
      <c r="E262" s="265"/>
      <c r="F262" s="265"/>
      <c r="G262" s="265"/>
      <c r="H262" s="266"/>
      <c r="I262" s="265"/>
      <c r="J262" s="123"/>
      <c r="K262" s="123"/>
      <c r="L262" s="123"/>
      <c r="M262" s="123"/>
      <c r="N262" s="123"/>
      <c r="O262" s="123"/>
      <c r="P262" s="121"/>
      <c r="Q262" s="121"/>
      <c r="R262" s="123"/>
      <c r="S262" s="123"/>
      <c r="T262" s="123"/>
      <c r="U262" s="123"/>
      <c r="V262" s="123"/>
      <c r="W262" s="123"/>
      <c r="X262" s="123"/>
      <c r="Y262" s="123"/>
      <c r="Z262" s="123"/>
      <c r="AA262" s="123"/>
      <c r="AB262" s="123"/>
      <c r="AC262" s="123"/>
      <c r="AD262" s="123"/>
      <c r="AE262" s="123"/>
      <c r="AF262" s="123"/>
      <c r="AG262" s="123"/>
      <c r="AH262" s="123"/>
      <c r="AI262" s="123"/>
      <c r="AJ262" s="87"/>
      <c r="AK262" s="87"/>
      <c r="AL262" s="87"/>
    </row>
    <row r="263">
      <c r="A263" s="302"/>
      <c r="B263" s="123"/>
      <c r="C263" s="147"/>
      <c r="D263" s="265"/>
      <c r="E263" s="265"/>
      <c r="F263" s="265"/>
      <c r="G263" s="265"/>
      <c r="H263" s="266"/>
      <c r="I263" s="265"/>
      <c r="J263" s="123"/>
      <c r="K263" s="123"/>
      <c r="L263" s="123"/>
      <c r="M263" s="123"/>
      <c r="N263" s="123"/>
      <c r="O263" s="123"/>
      <c r="P263" s="121"/>
      <c r="Q263" s="121"/>
      <c r="R263" s="123"/>
      <c r="S263" s="123"/>
      <c r="T263" s="123"/>
      <c r="U263" s="123"/>
      <c r="V263" s="123"/>
      <c r="W263" s="123"/>
      <c r="X263" s="123"/>
      <c r="Y263" s="123"/>
      <c r="Z263" s="123"/>
      <c r="AA263" s="123"/>
      <c r="AB263" s="123"/>
      <c r="AC263" s="123"/>
      <c r="AD263" s="123"/>
      <c r="AE263" s="123"/>
      <c r="AF263" s="123"/>
      <c r="AG263" s="123"/>
      <c r="AH263" s="123"/>
      <c r="AI263" s="123"/>
      <c r="AJ263" s="87"/>
      <c r="AK263" s="87"/>
      <c r="AL263" s="87"/>
    </row>
    <row r="264">
      <c r="A264" s="302"/>
      <c r="B264" s="123"/>
      <c r="C264" s="147"/>
      <c r="D264" s="265"/>
      <c r="E264" s="265"/>
      <c r="F264" s="265"/>
      <c r="G264" s="265"/>
      <c r="H264" s="266"/>
      <c r="I264" s="265"/>
      <c r="J264" s="123"/>
      <c r="K264" s="123"/>
      <c r="L264" s="123"/>
      <c r="M264" s="123"/>
      <c r="N264" s="123"/>
      <c r="O264" s="123"/>
      <c r="P264" s="121"/>
      <c r="Q264" s="121"/>
      <c r="R264" s="123"/>
      <c r="S264" s="123"/>
      <c r="T264" s="123"/>
      <c r="U264" s="123"/>
      <c r="V264" s="123"/>
      <c r="W264" s="123"/>
      <c r="X264" s="123"/>
      <c r="Y264" s="123"/>
      <c r="Z264" s="123"/>
      <c r="AA264" s="123"/>
      <c r="AB264" s="123"/>
      <c r="AC264" s="123"/>
      <c r="AD264" s="123"/>
      <c r="AE264" s="123"/>
      <c r="AF264" s="123"/>
      <c r="AG264" s="123"/>
      <c r="AH264" s="123"/>
      <c r="AI264" s="123"/>
      <c r="AJ264" s="87"/>
      <c r="AK264" s="87"/>
      <c r="AL264" s="87"/>
    </row>
    <row r="265">
      <c r="A265" s="302"/>
      <c r="B265" s="123"/>
      <c r="C265" s="147"/>
      <c r="D265" s="265"/>
      <c r="E265" s="265"/>
      <c r="F265" s="265"/>
      <c r="G265" s="265"/>
      <c r="H265" s="266"/>
      <c r="I265" s="265"/>
      <c r="J265" s="123"/>
      <c r="K265" s="123"/>
      <c r="L265" s="123"/>
      <c r="M265" s="123"/>
      <c r="N265" s="123"/>
      <c r="O265" s="123"/>
      <c r="P265" s="121"/>
      <c r="Q265" s="121"/>
      <c r="R265" s="123"/>
      <c r="S265" s="123"/>
      <c r="T265" s="123"/>
      <c r="U265" s="123"/>
      <c r="V265" s="123"/>
      <c r="W265" s="123"/>
      <c r="X265" s="123"/>
      <c r="Y265" s="123"/>
      <c r="Z265" s="123"/>
      <c r="AA265" s="123"/>
      <c r="AB265" s="123"/>
      <c r="AC265" s="123"/>
      <c r="AD265" s="123"/>
      <c r="AE265" s="123"/>
      <c r="AF265" s="123"/>
      <c r="AG265" s="123"/>
      <c r="AH265" s="123"/>
      <c r="AI265" s="123"/>
      <c r="AJ265" s="87"/>
      <c r="AK265" s="87"/>
      <c r="AL265" s="87"/>
    </row>
    <row r="266">
      <c r="A266" s="272"/>
      <c r="B266" s="273"/>
      <c r="C266" s="273"/>
      <c r="D266" s="273"/>
      <c r="E266" s="293"/>
      <c r="F266" s="293"/>
      <c r="G266" s="293"/>
      <c r="H266" s="260"/>
      <c r="I266" s="273"/>
      <c r="J266" s="124"/>
      <c r="K266" s="124"/>
      <c r="L266" s="124"/>
      <c r="M266" s="124"/>
      <c r="N266" s="124"/>
      <c r="O266" s="124"/>
      <c r="P266" s="128"/>
      <c r="Q266" s="128"/>
      <c r="R266" s="192"/>
      <c r="S266" s="192"/>
      <c r="T266" s="192"/>
      <c r="U266" s="192"/>
      <c r="V266" s="124"/>
      <c r="W266" s="124"/>
      <c r="X266" s="124"/>
      <c r="Y266" s="124"/>
      <c r="Z266" s="124"/>
      <c r="AA266" s="124"/>
      <c r="AB266" s="275"/>
      <c r="AC266" s="275"/>
      <c r="AD266" s="124"/>
      <c r="AE266" s="192"/>
      <c r="AF266" s="124"/>
      <c r="AG266" s="124"/>
      <c r="AH266" s="124"/>
      <c r="AI266" s="124"/>
      <c r="AJ266" s="262"/>
      <c r="AK266" s="262"/>
      <c r="AL266" s="262"/>
    </row>
    <row r="267">
      <c r="A267" s="90"/>
      <c r="B267" s="259"/>
      <c r="C267" s="259"/>
      <c r="D267" s="259"/>
      <c r="E267" s="102"/>
      <c r="F267" s="102"/>
      <c r="G267" s="102"/>
      <c r="H267" s="260"/>
      <c r="I267" s="259"/>
      <c r="J267" s="115"/>
      <c r="K267" s="115"/>
      <c r="L267" s="115"/>
      <c r="M267" s="115"/>
      <c r="N267" s="115"/>
      <c r="O267" s="115"/>
      <c r="P267" s="71"/>
      <c r="Q267" s="71"/>
      <c r="R267" s="77"/>
      <c r="S267" s="77"/>
      <c r="T267" s="77"/>
      <c r="U267" s="77"/>
      <c r="V267" s="115"/>
      <c r="W267" s="115"/>
      <c r="X267" s="115"/>
      <c r="Y267" s="115"/>
      <c r="Z267" s="115"/>
      <c r="AA267" s="115"/>
      <c r="AB267" s="261"/>
      <c r="AC267" s="261"/>
      <c r="AD267" s="115"/>
      <c r="AE267" s="115"/>
      <c r="AF267" s="115"/>
      <c r="AG267" s="115"/>
      <c r="AH267" s="262"/>
      <c r="AI267" s="262"/>
      <c r="AJ267" s="262"/>
      <c r="AK267" s="262"/>
      <c r="AL267" s="262"/>
    </row>
    <row r="268">
      <c r="A268" s="90"/>
      <c r="B268" s="259"/>
      <c r="C268" s="259"/>
      <c r="D268" s="259"/>
      <c r="E268" s="102"/>
      <c r="F268" s="102"/>
      <c r="G268" s="102"/>
      <c r="H268" s="260"/>
      <c r="I268" s="259"/>
      <c r="J268" s="115"/>
      <c r="K268" s="115"/>
      <c r="L268" s="115"/>
      <c r="M268" s="115"/>
      <c r="N268" s="115"/>
      <c r="O268" s="115"/>
      <c r="P268" s="71"/>
      <c r="Q268" s="71"/>
      <c r="R268" s="77"/>
      <c r="S268" s="77"/>
      <c r="T268" s="77"/>
      <c r="U268" s="77"/>
      <c r="V268" s="115"/>
      <c r="W268" s="115"/>
      <c r="X268" s="115"/>
      <c r="Y268" s="115"/>
      <c r="Z268" s="115"/>
      <c r="AA268" s="115"/>
      <c r="AB268" s="261"/>
      <c r="AC268" s="261"/>
      <c r="AD268" s="115"/>
      <c r="AE268" s="77"/>
      <c r="AF268" s="115"/>
      <c r="AG268" s="115"/>
      <c r="AH268" s="262"/>
      <c r="AI268" s="262"/>
      <c r="AJ268" s="262"/>
      <c r="AK268" s="262"/>
      <c r="AL268" s="262"/>
    </row>
    <row r="269">
      <c r="A269" s="90"/>
      <c r="B269" s="259"/>
      <c r="C269" s="259"/>
      <c r="D269" s="259"/>
      <c r="E269" s="102"/>
      <c r="F269" s="102"/>
      <c r="G269" s="102"/>
      <c r="H269" s="260"/>
      <c r="I269" s="259"/>
      <c r="J269" s="115"/>
      <c r="K269" s="115"/>
      <c r="L269" s="115"/>
      <c r="M269" s="115"/>
      <c r="N269" s="115"/>
      <c r="O269" s="115"/>
      <c r="P269" s="268"/>
      <c r="Q269" s="268"/>
      <c r="R269" s="77"/>
      <c r="S269" s="77"/>
      <c r="T269" s="77"/>
      <c r="U269" s="77"/>
      <c r="V269" s="115"/>
      <c r="W269" s="115"/>
      <c r="X269" s="115"/>
      <c r="Y269" s="115"/>
      <c r="Z269" s="115"/>
      <c r="AA269" s="115"/>
      <c r="AB269" s="261"/>
      <c r="AC269" s="261"/>
      <c r="AD269" s="115"/>
      <c r="AE269" s="115"/>
      <c r="AF269" s="115"/>
      <c r="AG269" s="115"/>
      <c r="AH269" s="262"/>
      <c r="AI269" s="262"/>
      <c r="AJ269" s="262"/>
      <c r="AK269" s="262"/>
      <c r="AL269" s="262"/>
    </row>
    <row r="270">
      <c r="A270" s="292"/>
      <c r="B270" s="273"/>
      <c r="C270" s="273"/>
      <c r="D270" s="273"/>
      <c r="E270" s="293"/>
      <c r="F270" s="293"/>
      <c r="G270" s="293"/>
      <c r="H270" s="260"/>
      <c r="I270" s="273"/>
      <c r="J270" s="273"/>
      <c r="K270" s="273"/>
      <c r="L270" s="124"/>
      <c r="M270" s="124"/>
      <c r="N270" s="124"/>
      <c r="O270" s="124"/>
      <c r="P270" s="128"/>
      <c r="Q270" s="128"/>
      <c r="R270" s="192"/>
      <c r="S270" s="192"/>
      <c r="T270" s="192"/>
      <c r="U270" s="192"/>
      <c r="V270" s="124"/>
      <c r="W270" s="124"/>
      <c r="X270" s="124"/>
      <c r="Y270" s="124"/>
      <c r="Z270" s="124"/>
      <c r="AA270" s="124"/>
      <c r="AB270" s="275"/>
      <c r="AC270" s="275"/>
      <c r="AD270" s="124"/>
      <c r="AE270" s="124"/>
      <c r="AF270" s="124"/>
      <c r="AG270" s="124"/>
      <c r="AH270" s="124"/>
      <c r="AI270" s="124"/>
      <c r="AJ270" s="262"/>
      <c r="AK270" s="262"/>
      <c r="AL270" s="262"/>
    </row>
    <row r="271">
      <c r="A271" s="90"/>
      <c r="B271" s="259"/>
      <c r="C271" s="259"/>
      <c r="D271" s="259"/>
      <c r="E271" s="102"/>
      <c r="F271" s="77"/>
      <c r="G271" s="102"/>
      <c r="H271" s="260"/>
      <c r="I271" s="259"/>
      <c r="J271" s="259"/>
      <c r="K271" s="259"/>
      <c r="L271" s="115"/>
      <c r="M271" s="115"/>
      <c r="N271" s="115"/>
      <c r="O271" s="115"/>
      <c r="P271" s="268"/>
      <c r="Q271" s="268"/>
      <c r="R271" s="77"/>
      <c r="S271" s="77"/>
      <c r="T271" s="77"/>
      <c r="U271" s="77"/>
      <c r="V271" s="115"/>
      <c r="W271" s="115"/>
      <c r="X271" s="115"/>
      <c r="Y271" s="115"/>
      <c r="Z271" s="115"/>
      <c r="AA271" s="115"/>
      <c r="AB271" s="261"/>
      <c r="AC271" s="261"/>
      <c r="AD271" s="115"/>
      <c r="AE271" s="115"/>
      <c r="AF271" s="115"/>
      <c r="AG271" s="115"/>
      <c r="AH271" s="262"/>
      <c r="AI271" s="262"/>
      <c r="AJ271" s="262"/>
      <c r="AK271" s="262"/>
      <c r="AL271" s="262"/>
    </row>
    <row r="272">
      <c r="A272" s="90"/>
      <c r="B272" s="259"/>
      <c r="C272" s="259"/>
      <c r="D272" s="259"/>
      <c r="E272" s="102"/>
      <c r="F272" s="102"/>
      <c r="G272" s="102"/>
      <c r="H272" s="260"/>
      <c r="I272" s="259"/>
      <c r="J272" s="259"/>
      <c r="K272" s="259"/>
      <c r="L272" s="115"/>
      <c r="M272" s="115"/>
      <c r="N272" s="115"/>
      <c r="O272" s="115"/>
      <c r="P272" s="268"/>
      <c r="Q272" s="268"/>
      <c r="R272" s="77"/>
      <c r="S272" s="77"/>
      <c r="T272" s="77"/>
      <c r="U272" s="77"/>
      <c r="V272" s="115"/>
      <c r="W272" s="115"/>
      <c r="X272" s="115"/>
      <c r="Y272" s="115"/>
      <c r="Z272" s="115"/>
      <c r="AA272" s="115"/>
      <c r="AB272" s="261"/>
      <c r="AC272" s="261"/>
      <c r="AD272" s="115"/>
      <c r="AE272" s="115"/>
      <c r="AF272" s="115"/>
      <c r="AG272" s="115"/>
      <c r="AH272" s="262"/>
      <c r="AI272" s="262"/>
      <c r="AJ272" s="262"/>
      <c r="AK272" s="262"/>
      <c r="AL272" s="262"/>
    </row>
    <row r="273">
      <c r="A273" s="90"/>
      <c r="B273" s="259"/>
      <c r="C273" s="259"/>
      <c r="D273" s="259"/>
      <c r="E273" s="102"/>
      <c r="F273" s="102"/>
      <c r="G273" s="102"/>
      <c r="H273" s="260"/>
      <c r="I273" s="259"/>
      <c r="J273" s="259"/>
      <c r="K273" s="259"/>
      <c r="L273" s="115"/>
      <c r="M273" s="115"/>
      <c r="N273" s="115"/>
      <c r="O273" s="115"/>
      <c r="P273" s="268"/>
      <c r="Q273" s="268"/>
      <c r="R273" s="77"/>
      <c r="S273" s="77"/>
      <c r="T273" s="77"/>
      <c r="U273" s="77"/>
      <c r="V273" s="115"/>
      <c r="W273" s="115"/>
      <c r="X273" s="115"/>
      <c r="Y273" s="115"/>
      <c r="Z273" s="115"/>
      <c r="AA273" s="115"/>
      <c r="AB273" s="261"/>
      <c r="AC273" s="261"/>
      <c r="AD273" s="115"/>
      <c r="AE273" s="115"/>
      <c r="AF273" s="115"/>
      <c r="AG273" s="115"/>
      <c r="AH273" s="276"/>
      <c r="AI273" s="262"/>
      <c r="AJ273" s="262"/>
      <c r="AK273" s="262"/>
      <c r="AL273" s="262"/>
    </row>
    <row r="274">
      <c r="A274" s="90"/>
      <c r="B274" s="259"/>
      <c r="C274" s="259"/>
      <c r="D274" s="259"/>
      <c r="E274" s="102"/>
      <c r="F274" s="102"/>
      <c r="G274" s="102"/>
      <c r="H274" s="260"/>
      <c r="I274" s="259"/>
      <c r="J274" s="259"/>
      <c r="K274" s="259"/>
      <c r="L274" s="115"/>
      <c r="M274" s="115"/>
      <c r="N274" s="115"/>
      <c r="O274" s="115"/>
      <c r="P274" s="268"/>
      <c r="Q274" s="268"/>
      <c r="R274" s="77"/>
      <c r="S274" s="77"/>
      <c r="T274" s="77"/>
      <c r="U274" s="77"/>
      <c r="V274" s="115"/>
      <c r="W274" s="115"/>
      <c r="X274" s="115"/>
      <c r="Y274" s="115"/>
      <c r="Z274" s="115"/>
      <c r="AA274" s="115"/>
      <c r="AB274" s="261"/>
      <c r="AC274" s="261"/>
      <c r="AD274" s="115"/>
      <c r="AE274" s="77"/>
      <c r="AF274" s="115"/>
      <c r="AG274" s="115"/>
      <c r="AH274" s="276"/>
      <c r="AI274" s="262"/>
      <c r="AJ274" s="262"/>
      <c r="AK274" s="262"/>
      <c r="AL274" s="262"/>
    </row>
    <row r="275">
      <c r="A275" s="312"/>
      <c r="B275" s="313"/>
      <c r="C275" s="313"/>
      <c r="D275" s="313"/>
      <c r="E275" s="313"/>
      <c r="F275" s="313"/>
      <c r="G275" s="313"/>
      <c r="H275" s="295"/>
      <c r="I275" s="313"/>
      <c r="J275" s="313"/>
      <c r="K275" s="313"/>
      <c r="L275" s="188"/>
      <c r="M275" s="188"/>
      <c r="N275" s="188"/>
      <c r="O275" s="188"/>
      <c r="P275" s="139"/>
      <c r="Q275" s="139"/>
      <c r="R275" s="188"/>
      <c r="S275" s="188"/>
      <c r="T275" s="188"/>
      <c r="U275" s="188"/>
      <c r="V275" s="188"/>
      <c r="W275" s="188"/>
      <c r="X275" s="188"/>
      <c r="Y275" s="188"/>
      <c r="Z275" s="188"/>
      <c r="AA275" s="188"/>
      <c r="AB275" s="188"/>
      <c r="AC275" s="188"/>
      <c r="AD275" s="188"/>
      <c r="AE275" s="188"/>
      <c r="AF275" s="188"/>
      <c r="AG275" s="188"/>
      <c r="AH275" s="313"/>
      <c r="AI275" s="188"/>
      <c r="AJ275" s="87"/>
      <c r="AK275" s="87"/>
      <c r="AL275" s="87"/>
    </row>
    <row r="276">
      <c r="A276" s="312"/>
      <c r="B276" s="313"/>
      <c r="C276" s="313"/>
      <c r="D276" s="313"/>
      <c r="E276" s="313"/>
      <c r="F276" s="313"/>
      <c r="G276" s="313"/>
      <c r="H276" s="295"/>
      <c r="I276" s="313"/>
      <c r="J276" s="313"/>
      <c r="K276" s="313"/>
      <c r="L276" s="188"/>
      <c r="M276" s="188"/>
      <c r="N276" s="188"/>
      <c r="O276" s="188"/>
      <c r="P276" s="139"/>
      <c r="Q276" s="139"/>
      <c r="R276" s="188"/>
      <c r="S276" s="188"/>
      <c r="T276" s="188"/>
      <c r="U276" s="188"/>
      <c r="V276" s="188"/>
      <c r="W276" s="188"/>
      <c r="X276" s="188"/>
      <c r="Y276" s="188"/>
      <c r="Z276" s="188"/>
      <c r="AA276" s="188"/>
      <c r="AB276" s="188"/>
      <c r="AC276" s="188"/>
      <c r="AD276" s="188"/>
      <c r="AE276" s="188"/>
      <c r="AF276" s="188"/>
      <c r="AG276" s="188"/>
      <c r="AH276" s="313"/>
      <c r="AI276" s="188"/>
      <c r="AJ276" s="87"/>
      <c r="AK276" s="87"/>
      <c r="AL276" s="87"/>
    </row>
    <row r="277">
      <c r="A277" s="312"/>
      <c r="B277" s="313"/>
      <c r="C277" s="313"/>
      <c r="D277" s="313"/>
      <c r="E277" s="313"/>
      <c r="F277" s="313"/>
      <c r="G277" s="313"/>
      <c r="H277" s="295"/>
      <c r="I277" s="313"/>
      <c r="J277" s="313"/>
      <c r="K277" s="313"/>
      <c r="L277" s="188"/>
      <c r="M277" s="188"/>
      <c r="N277" s="188"/>
      <c r="O277" s="188"/>
      <c r="P277" s="139"/>
      <c r="Q277" s="139"/>
      <c r="R277" s="188"/>
      <c r="S277" s="188"/>
      <c r="T277" s="188"/>
      <c r="U277" s="188"/>
      <c r="V277" s="188"/>
      <c r="W277" s="188"/>
      <c r="X277" s="188"/>
      <c r="Y277" s="188"/>
      <c r="Z277" s="188"/>
      <c r="AA277" s="188"/>
      <c r="AB277" s="188"/>
      <c r="AC277" s="188"/>
      <c r="AD277" s="188"/>
      <c r="AE277" s="188"/>
      <c r="AF277" s="188"/>
      <c r="AG277" s="188"/>
      <c r="AH277" s="313"/>
      <c r="AI277" s="188"/>
      <c r="AJ277" s="87"/>
      <c r="AK277" s="87"/>
      <c r="AL277" s="87"/>
    </row>
    <row r="278">
      <c r="A278" s="312"/>
      <c r="B278" s="313"/>
      <c r="C278" s="313"/>
      <c r="D278" s="313"/>
      <c r="E278" s="313"/>
      <c r="F278" s="313"/>
      <c r="G278" s="313"/>
      <c r="H278" s="295"/>
      <c r="I278" s="313"/>
      <c r="J278" s="313"/>
      <c r="K278" s="313"/>
      <c r="L278" s="188"/>
      <c r="M278" s="188"/>
      <c r="N278" s="188"/>
      <c r="O278" s="188"/>
      <c r="P278" s="139"/>
      <c r="Q278" s="139"/>
      <c r="R278" s="188"/>
      <c r="S278" s="188"/>
      <c r="T278" s="188"/>
      <c r="U278" s="188"/>
      <c r="V278" s="188"/>
      <c r="W278" s="188"/>
      <c r="X278" s="188"/>
      <c r="Y278" s="188"/>
      <c r="Z278" s="188"/>
      <c r="AA278" s="188"/>
      <c r="AB278" s="188"/>
      <c r="AC278" s="188"/>
      <c r="AD278" s="188"/>
      <c r="AE278" s="188"/>
      <c r="AF278" s="188"/>
      <c r="AG278" s="188"/>
      <c r="AH278" s="313"/>
      <c r="AI278" s="188"/>
      <c r="AJ278" s="87"/>
      <c r="AK278" s="87"/>
      <c r="AL278" s="87"/>
    </row>
    <row r="279">
      <c r="A279" s="90"/>
      <c r="B279" s="259"/>
      <c r="C279" s="259"/>
      <c r="D279" s="259"/>
      <c r="E279" s="102"/>
      <c r="F279" s="102"/>
      <c r="G279" s="102"/>
      <c r="H279" s="260"/>
      <c r="I279" s="259"/>
      <c r="J279" s="259"/>
      <c r="K279" s="259"/>
      <c r="L279" s="115"/>
      <c r="M279" s="115"/>
      <c r="N279" s="115"/>
      <c r="O279" s="115"/>
      <c r="P279" s="268"/>
      <c r="Q279" s="268"/>
      <c r="R279" s="77"/>
      <c r="S279" s="77"/>
      <c r="T279" s="77"/>
      <c r="U279" s="77"/>
      <c r="V279" s="115"/>
      <c r="W279" s="115"/>
      <c r="X279" s="115"/>
      <c r="Y279" s="115"/>
      <c r="Z279" s="115"/>
      <c r="AA279" s="115"/>
      <c r="AB279" s="261"/>
      <c r="AC279" s="77"/>
      <c r="AD279" s="115"/>
      <c r="AE279" s="77"/>
      <c r="AF279" s="115"/>
      <c r="AG279" s="115"/>
      <c r="AH279" s="262"/>
      <c r="AI279" s="262"/>
      <c r="AJ279" s="262"/>
      <c r="AK279" s="262"/>
      <c r="AL279" s="262"/>
    </row>
    <row r="280">
      <c r="A280" s="90"/>
      <c r="B280" s="259"/>
      <c r="C280" s="259"/>
      <c r="D280" s="259"/>
      <c r="E280" s="102"/>
      <c r="F280" s="102"/>
      <c r="G280" s="102"/>
      <c r="H280" s="260"/>
      <c r="I280" s="259"/>
      <c r="J280" s="259"/>
      <c r="K280" s="259"/>
      <c r="L280" s="115"/>
      <c r="M280" s="115"/>
      <c r="N280" s="115"/>
      <c r="O280" s="115"/>
      <c r="P280" s="71"/>
      <c r="Q280" s="71"/>
      <c r="R280" s="77"/>
      <c r="S280" s="77"/>
      <c r="T280" s="77"/>
      <c r="U280" s="77"/>
      <c r="V280" s="115"/>
      <c r="W280" s="115"/>
      <c r="X280" s="115"/>
      <c r="Y280" s="115"/>
      <c r="Z280" s="115"/>
      <c r="AA280" s="115"/>
      <c r="AB280" s="261"/>
      <c r="AC280" s="77"/>
      <c r="AD280" s="115"/>
      <c r="AE280" s="77"/>
      <c r="AF280" s="115"/>
      <c r="AG280" s="115"/>
      <c r="AH280" s="115"/>
      <c r="AI280" s="77"/>
      <c r="AJ280" s="87"/>
      <c r="AK280" s="87"/>
      <c r="AL280" s="87"/>
    </row>
    <row r="281">
      <c r="A281" s="90"/>
      <c r="B281" s="259"/>
      <c r="C281" s="259"/>
      <c r="D281" s="259"/>
      <c r="E281" s="102"/>
      <c r="F281" s="102"/>
      <c r="G281" s="102"/>
      <c r="H281" s="260"/>
      <c r="I281" s="259"/>
      <c r="J281" s="259"/>
      <c r="K281" s="259"/>
      <c r="L281" s="115"/>
      <c r="M281" s="115"/>
      <c r="N281" s="115"/>
      <c r="O281" s="115"/>
      <c r="P281" s="268"/>
      <c r="Q281" s="268"/>
      <c r="R281" s="77"/>
      <c r="S281" s="77"/>
      <c r="T281" s="77"/>
      <c r="U281" s="77"/>
      <c r="V281" s="115"/>
      <c r="W281" s="115"/>
      <c r="X281" s="115"/>
      <c r="Y281" s="115"/>
      <c r="Z281" s="115"/>
      <c r="AA281" s="115"/>
      <c r="AB281" s="261"/>
      <c r="AC281" s="77"/>
      <c r="AD281" s="115"/>
      <c r="AE281" s="77"/>
      <c r="AF281" s="115"/>
      <c r="AG281" s="115"/>
      <c r="AH281" s="262"/>
      <c r="AI281" s="262"/>
      <c r="AJ281" s="262"/>
      <c r="AK281" s="262"/>
      <c r="AL281" s="262"/>
    </row>
    <row r="282">
      <c r="A282" s="90"/>
      <c r="B282" s="259"/>
      <c r="C282" s="259"/>
      <c r="D282" s="259"/>
      <c r="E282" s="102"/>
      <c r="F282" s="102"/>
      <c r="G282" s="102"/>
      <c r="H282" s="260"/>
      <c r="I282" s="259"/>
      <c r="J282" s="259"/>
      <c r="K282" s="259"/>
      <c r="L282" s="115"/>
      <c r="M282" s="115"/>
      <c r="N282" s="115"/>
      <c r="O282" s="115"/>
      <c r="P282" s="268"/>
      <c r="Q282" s="268"/>
      <c r="R282" s="77"/>
      <c r="S282" s="77"/>
      <c r="T282" s="77"/>
      <c r="U282" s="77"/>
      <c r="V282" s="115"/>
      <c r="W282" s="115"/>
      <c r="X282" s="115"/>
      <c r="Y282" s="115"/>
      <c r="Z282" s="115"/>
      <c r="AA282" s="115"/>
      <c r="AB282" s="261"/>
      <c r="AC282" s="77"/>
      <c r="AD282" s="115"/>
      <c r="AE282" s="77"/>
      <c r="AF282" s="115"/>
      <c r="AG282" s="115"/>
      <c r="AH282" s="262"/>
      <c r="AI282" s="262"/>
      <c r="AJ282" s="262"/>
      <c r="AK282" s="262"/>
      <c r="AL282" s="262"/>
    </row>
    <row r="283">
      <c r="A283" s="305"/>
      <c r="B283" s="265"/>
      <c r="C283" s="289"/>
      <c r="D283" s="265"/>
      <c r="E283" s="265"/>
      <c r="F283" s="265"/>
      <c r="G283" s="265"/>
      <c r="H283" s="260"/>
      <c r="I283" s="265"/>
      <c r="J283" s="265"/>
      <c r="K283" s="265"/>
      <c r="L283" s="123"/>
      <c r="M283" s="123"/>
      <c r="N283" s="123"/>
      <c r="O283" s="123"/>
      <c r="P283" s="121"/>
      <c r="Q283" s="121"/>
      <c r="R283" s="123"/>
      <c r="S283" s="123"/>
      <c r="T283" s="123"/>
      <c r="U283" s="123"/>
      <c r="V283" s="123"/>
      <c r="W283" s="123"/>
      <c r="X283" s="123"/>
      <c r="Y283" s="123"/>
      <c r="Z283" s="123"/>
      <c r="AA283" s="123"/>
      <c r="AB283" s="123"/>
      <c r="AC283" s="123"/>
      <c r="AD283" s="123"/>
      <c r="AE283" s="123"/>
      <c r="AF283" s="123"/>
      <c r="AG283" s="123"/>
      <c r="AH283" s="123"/>
      <c r="AI283" s="123"/>
      <c r="AJ283" s="87"/>
      <c r="AK283" s="87"/>
      <c r="AL283" s="87"/>
    </row>
    <row r="284">
      <c r="A284" s="305"/>
      <c r="B284" s="265"/>
      <c r="C284" s="289"/>
      <c r="D284" s="265"/>
      <c r="E284" s="265"/>
      <c r="F284" s="265"/>
      <c r="G284" s="265"/>
      <c r="H284" s="260"/>
      <c r="I284" s="265"/>
      <c r="J284" s="265"/>
      <c r="K284" s="265"/>
      <c r="L284" s="123"/>
      <c r="M284" s="123"/>
      <c r="N284" s="123"/>
      <c r="O284" s="123"/>
      <c r="P284" s="121"/>
      <c r="Q284" s="121"/>
      <c r="R284" s="123"/>
      <c r="S284" s="123"/>
      <c r="T284" s="123"/>
      <c r="U284" s="123"/>
      <c r="V284" s="123"/>
      <c r="W284" s="123"/>
      <c r="X284" s="123"/>
      <c r="Y284" s="123"/>
      <c r="Z284" s="123"/>
      <c r="AA284" s="123"/>
      <c r="AB284" s="123"/>
      <c r="AC284" s="123"/>
      <c r="AD284" s="123"/>
      <c r="AE284" s="123"/>
      <c r="AF284" s="123"/>
      <c r="AG284" s="123"/>
      <c r="AH284" s="123"/>
      <c r="AI284" s="123"/>
      <c r="AJ284" s="87"/>
      <c r="AK284" s="87"/>
      <c r="AL284" s="87"/>
    </row>
    <row r="285">
      <c r="A285" s="314"/>
      <c r="B285" s="265"/>
      <c r="C285" s="289"/>
      <c r="D285" s="265"/>
      <c r="E285" s="265"/>
      <c r="F285" s="265"/>
      <c r="G285" s="265"/>
      <c r="H285" s="260"/>
      <c r="I285" s="265"/>
      <c r="J285" s="265"/>
      <c r="K285" s="265"/>
      <c r="L285" s="123"/>
      <c r="M285" s="123"/>
      <c r="N285" s="123"/>
      <c r="O285" s="123"/>
      <c r="P285" s="121"/>
      <c r="Q285" s="121"/>
      <c r="R285" s="123"/>
      <c r="S285" s="123"/>
      <c r="T285" s="123"/>
      <c r="U285" s="123"/>
      <c r="V285" s="123"/>
      <c r="W285" s="123"/>
      <c r="X285" s="123"/>
      <c r="Y285" s="123"/>
      <c r="Z285" s="123"/>
      <c r="AA285" s="123"/>
      <c r="AB285" s="123"/>
      <c r="AC285" s="123"/>
      <c r="AD285" s="123"/>
      <c r="AE285" s="123"/>
      <c r="AF285" s="123"/>
      <c r="AG285" s="123"/>
      <c r="AH285" s="123"/>
      <c r="AI285" s="123"/>
      <c r="AJ285" s="87"/>
      <c r="AK285" s="87"/>
      <c r="AL285" s="87"/>
    </row>
    <row r="286">
      <c r="A286" s="305"/>
      <c r="B286" s="265"/>
      <c r="C286" s="289"/>
      <c r="D286" s="265"/>
      <c r="E286" s="265"/>
      <c r="F286" s="265"/>
      <c r="G286" s="265"/>
      <c r="H286" s="260"/>
      <c r="I286" s="265"/>
      <c r="J286" s="265"/>
      <c r="K286" s="265"/>
      <c r="L286" s="123"/>
      <c r="M286" s="123"/>
      <c r="N286" s="123"/>
      <c r="O286" s="123"/>
      <c r="P286" s="121"/>
      <c r="Q286" s="121"/>
      <c r="R286" s="123"/>
      <c r="S286" s="123"/>
      <c r="T286" s="123"/>
      <c r="U286" s="123"/>
      <c r="V286" s="123"/>
      <c r="W286" s="123"/>
      <c r="X286" s="123"/>
      <c r="Y286" s="123"/>
      <c r="Z286" s="123"/>
      <c r="AA286" s="123"/>
      <c r="AB286" s="123"/>
      <c r="AC286" s="123"/>
      <c r="AD286" s="123"/>
      <c r="AE286" s="123"/>
      <c r="AF286" s="123"/>
      <c r="AG286" s="123"/>
      <c r="AH286" s="123"/>
      <c r="AI286" s="123"/>
      <c r="AJ286" s="87"/>
      <c r="AK286" s="87"/>
      <c r="AL286" s="87"/>
    </row>
    <row r="287">
      <c r="A287" s="305"/>
      <c r="B287" s="265"/>
      <c r="C287" s="289"/>
      <c r="D287" s="265"/>
      <c r="E287" s="265"/>
      <c r="F287" s="265"/>
      <c r="G287" s="265"/>
      <c r="H287" s="260"/>
      <c r="I287" s="265"/>
      <c r="J287" s="265"/>
      <c r="K287" s="265"/>
      <c r="L287" s="123"/>
      <c r="M287" s="123"/>
      <c r="N287" s="123"/>
      <c r="O287" s="123"/>
      <c r="P287" s="121"/>
      <c r="Q287" s="121"/>
      <c r="R287" s="123"/>
      <c r="S287" s="123"/>
      <c r="T287" s="123"/>
      <c r="U287" s="123"/>
      <c r="V287" s="123"/>
      <c r="W287" s="123"/>
      <c r="X287" s="123"/>
      <c r="Y287" s="123"/>
      <c r="Z287" s="123"/>
      <c r="AA287" s="123"/>
      <c r="AB287" s="123"/>
      <c r="AC287" s="123"/>
      <c r="AD287" s="123"/>
      <c r="AE287" s="123"/>
      <c r="AF287" s="123"/>
      <c r="AG287" s="123"/>
      <c r="AH287" s="123"/>
      <c r="AI287" s="123"/>
      <c r="AJ287" s="87"/>
      <c r="AK287" s="87"/>
      <c r="AL287" s="87"/>
    </row>
    <row r="288">
      <c r="A288" s="305"/>
      <c r="B288" s="265"/>
      <c r="C288" s="289"/>
      <c r="D288" s="265"/>
      <c r="E288" s="265"/>
      <c r="F288" s="265"/>
      <c r="G288" s="265"/>
      <c r="H288" s="260"/>
      <c r="I288" s="265"/>
      <c r="J288" s="265"/>
      <c r="K288" s="265"/>
      <c r="L288" s="123"/>
      <c r="M288" s="123"/>
      <c r="N288" s="123"/>
      <c r="O288" s="123"/>
      <c r="P288" s="121"/>
      <c r="Q288" s="121"/>
      <c r="R288" s="123"/>
      <c r="S288" s="123"/>
      <c r="T288" s="123"/>
      <c r="U288" s="123"/>
      <c r="V288" s="123"/>
      <c r="W288" s="123"/>
      <c r="X288" s="123"/>
      <c r="Y288" s="123"/>
      <c r="Z288" s="123"/>
      <c r="AA288" s="123"/>
      <c r="AB288" s="123"/>
      <c r="AC288" s="123"/>
      <c r="AD288" s="123"/>
      <c r="AE288" s="123"/>
      <c r="AF288" s="123"/>
      <c r="AG288" s="123"/>
      <c r="AH288" s="123"/>
      <c r="AI288" s="123"/>
      <c r="AJ288" s="87"/>
      <c r="AK288" s="87"/>
      <c r="AL288" s="87"/>
    </row>
    <row r="289">
      <c r="A289" s="305"/>
      <c r="B289" s="265"/>
      <c r="C289" s="289"/>
      <c r="D289" s="265"/>
      <c r="E289" s="265"/>
      <c r="F289" s="265"/>
      <c r="G289" s="265"/>
      <c r="H289" s="260"/>
      <c r="I289" s="265"/>
      <c r="J289" s="265"/>
      <c r="K289" s="265"/>
      <c r="L289" s="123"/>
      <c r="M289" s="123"/>
      <c r="N289" s="123"/>
      <c r="O289" s="123"/>
      <c r="P289" s="121"/>
      <c r="Q289" s="121"/>
      <c r="R289" s="123"/>
      <c r="S289" s="123"/>
      <c r="T289" s="123"/>
      <c r="U289" s="123"/>
      <c r="V289" s="123"/>
      <c r="W289" s="123"/>
      <c r="X289" s="123"/>
      <c r="Y289" s="123"/>
      <c r="Z289" s="123"/>
      <c r="AA289" s="123"/>
      <c r="AB289" s="123"/>
      <c r="AC289" s="123"/>
      <c r="AD289" s="123"/>
      <c r="AE289" s="123"/>
      <c r="AF289" s="123"/>
      <c r="AG289" s="123"/>
      <c r="AH289" s="123"/>
      <c r="AI289" s="123"/>
      <c r="AJ289" s="87"/>
      <c r="AK289" s="87"/>
      <c r="AL289" s="87"/>
    </row>
    <row r="290">
      <c r="A290" s="305"/>
      <c r="B290" s="265"/>
      <c r="C290" s="289"/>
      <c r="D290" s="265"/>
      <c r="E290" s="265"/>
      <c r="F290" s="265"/>
      <c r="G290" s="265"/>
      <c r="H290" s="260"/>
      <c r="I290" s="265"/>
      <c r="J290" s="265"/>
      <c r="K290" s="265"/>
      <c r="L290" s="123"/>
      <c r="M290" s="123"/>
      <c r="N290" s="123"/>
      <c r="O290" s="123"/>
      <c r="P290" s="121"/>
      <c r="Q290" s="121"/>
      <c r="R290" s="123"/>
      <c r="S290" s="123"/>
      <c r="T290" s="123"/>
      <c r="U290" s="123"/>
      <c r="V290" s="123"/>
      <c r="W290" s="123"/>
      <c r="X290" s="123"/>
      <c r="Y290" s="123"/>
      <c r="Z290" s="123"/>
      <c r="AA290" s="123"/>
      <c r="AB290" s="123"/>
      <c r="AC290" s="123"/>
      <c r="AD290" s="123"/>
      <c r="AE290" s="123"/>
      <c r="AF290" s="123"/>
      <c r="AG290" s="123"/>
      <c r="AH290" s="123"/>
      <c r="AI290" s="123"/>
      <c r="AJ290" s="87"/>
      <c r="AK290" s="87"/>
      <c r="AL290" s="87"/>
    </row>
    <row r="291">
      <c r="A291" s="305"/>
      <c r="B291" s="265"/>
      <c r="C291" s="289"/>
      <c r="D291" s="265"/>
      <c r="E291" s="265"/>
      <c r="F291" s="265"/>
      <c r="G291" s="265"/>
      <c r="H291" s="260"/>
      <c r="I291" s="265"/>
      <c r="J291" s="265"/>
      <c r="K291" s="265"/>
      <c r="L291" s="123"/>
      <c r="M291" s="123"/>
      <c r="N291" s="123"/>
      <c r="O291" s="123"/>
      <c r="P291" s="121"/>
      <c r="Q291" s="121"/>
      <c r="R291" s="123"/>
      <c r="S291" s="123"/>
      <c r="T291" s="123"/>
      <c r="U291" s="123"/>
      <c r="V291" s="123"/>
      <c r="W291" s="123"/>
      <c r="X291" s="123"/>
      <c r="Y291" s="123"/>
      <c r="Z291" s="123"/>
      <c r="AA291" s="123"/>
      <c r="AB291" s="123"/>
      <c r="AC291" s="123"/>
      <c r="AD291" s="123"/>
      <c r="AE291" s="123"/>
      <c r="AF291" s="123"/>
      <c r="AG291" s="123"/>
      <c r="AH291" s="123"/>
      <c r="AI291" s="123"/>
      <c r="AJ291" s="87"/>
      <c r="AK291" s="87"/>
      <c r="AL291" s="87"/>
    </row>
    <row r="292">
      <c r="A292" s="305"/>
      <c r="B292" s="265"/>
      <c r="C292" s="289"/>
      <c r="D292" s="265"/>
      <c r="E292" s="265"/>
      <c r="F292" s="265"/>
      <c r="G292" s="265"/>
      <c r="H292" s="260"/>
      <c r="I292" s="265"/>
      <c r="J292" s="265"/>
      <c r="K292" s="265"/>
      <c r="L292" s="123"/>
      <c r="M292" s="123"/>
      <c r="N292" s="123"/>
      <c r="O292" s="123"/>
      <c r="P292" s="121"/>
      <c r="Q292" s="121"/>
      <c r="R292" s="123"/>
      <c r="S292" s="123"/>
      <c r="T292" s="123"/>
      <c r="U292" s="123"/>
      <c r="V292" s="123"/>
      <c r="W292" s="123"/>
      <c r="X292" s="123"/>
      <c r="Y292" s="123"/>
      <c r="Z292" s="123"/>
      <c r="AA292" s="123"/>
      <c r="AB292" s="123"/>
      <c r="AC292" s="123"/>
      <c r="AD292" s="123"/>
      <c r="AE292" s="123"/>
      <c r="AF292" s="123"/>
      <c r="AG292" s="123"/>
      <c r="AH292" s="123"/>
      <c r="AI292" s="123"/>
      <c r="AJ292" s="87"/>
      <c r="AK292" s="87"/>
      <c r="AL292" s="87"/>
    </row>
    <row r="293">
      <c r="A293" s="305"/>
      <c r="B293" s="265"/>
      <c r="C293" s="289"/>
      <c r="D293" s="265"/>
      <c r="E293" s="265"/>
      <c r="F293" s="265"/>
      <c r="G293" s="265"/>
      <c r="H293" s="260"/>
      <c r="I293" s="265"/>
      <c r="J293" s="265"/>
      <c r="K293" s="265"/>
      <c r="L293" s="123"/>
      <c r="M293" s="123"/>
      <c r="N293" s="123"/>
      <c r="O293" s="123"/>
      <c r="P293" s="121"/>
      <c r="Q293" s="121"/>
      <c r="R293" s="123"/>
      <c r="S293" s="123"/>
      <c r="T293" s="123"/>
      <c r="U293" s="123"/>
      <c r="V293" s="123"/>
      <c r="W293" s="123"/>
      <c r="X293" s="123"/>
      <c r="Y293" s="123"/>
      <c r="Z293" s="123"/>
      <c r="AA293" s="123"/>
      <c r="AB293" s="123"/>
      <c r="AC293" s="123"/>
      <c r="AD293" s="123"/>
      <c r="AE293" s="123"/>
      <c r="AF293" s="123"/>
      <c r="AG293" s="123"/>
      <c r="AH293" s="123"/>
      <c r="AI293" s="123"/>
      <c r="AJ293" s="87"/>
      <c r="AK293" s="87"/>
      <c r="AL293" s="87"/>
    </row>
    <row r="294">
      <c r="A294" s="305"/>
      <c r="B294" s="265"/>
      <c r="C294" s="289"/>
      <c r="D294" s="265"/>
      <c r="E294" s="265"/>
      <c r="F294" s="265"/>
      <c r="G294" s="265"/>
      <c r="H294" s="260"/>
      <c r="I294" s="265"/>
      <c r="J294" s="265"/>
      <c r="K294" s="265"/>
      <c r="L294" s="123"/>
      <c r="M294" s="123"/>
      <c r="N294" s="123"/>
      <c r="O294" s="123"/>
      <c r="P294" s="121"/>
      <c r="Q294" s="121"/>
      <c r="R294" s="123"/>
      <c r="S294" s="123"/>
      <c r="T294" s="123"/>
      <c r="U294" s="123"/>
      <c r="V294" s="123"/>
      <c r="W294" s="123"/>
      <c r="X294" s="123"/>
      <c r="Y294" s="123"/>
      <c r="Z294" s="123"/>
      <c r="AA294" s="123"/>
      <c r="AB294" s="123"/>
      <c r="AC294" s="123"/>
      <c r="AD294" s="123"/>
      <c r="AE294" s="123"/>
      <c r="AF294" s="123"/>
      <c r="AG294" s="123"/>
      <c r="AH294" s="123"/>
      <c r="AI294" s="123"/>
      <c r="AJ294" s="87"/>
      <c r="AK294" s="87"/>
      <c r="AL294" s="87"/>
    </row>
    <row r="295">
      <c r="A295" s="305"/>
      <c r="B295" s="265"/>
      <c r="C295" s="289"/>
      <c r="D295" s="265"/>
      <c r="E295" s="265"/>
      <c r="F295" s="265"/>
      <c r="G295" s="265"/>
      <c r="H295" s="260"/>
      <c r="I295" s="265"/>
      <c r="J295" s="265"/>
      <c r="K295" s="265"/>
      <c r="L295" s="123"/>
      <c r="M295" s="123"/>
      <c r="N295" s="123"/>
      <c r="O295" s="123"/>
      <c r="P295" s="121"/>
      <c r="Q295" s="121"/>
      <c r="R295" s="123"/>
      <c r="S295" s="123"/>
      <c r="T295" s="123"/>
      <c r="U295" s="123"/>
      <c r="V295" s="123"/>
      <c r="W295" s="123"/>
      <c r="X295" s="123"/>
      <c r="Y295" s="123"/>
      <c r="Z295" s="123"/>
      <c r="AA295" s="123"/>
      <c r="AB295" s="123"/>
      <c r="AC295" s="123"/>
      <c r="AD295" s="123"/>
      <c r="AE295" s="123"/>
      <c r="AF295" s="123"/>
      <c r="AG295" s="123"/>
      <c r="AH295" s="123"/>
      <c r="AI295" s="123"/>
      <c r="AJ295" s="87"/>
      <c r="AK295" s="87"/>
      <c r="AL295" s="87"/>
    </row>
    <row r="296">
      <c r="A296" s="305"/>
      <c r="B296" s="265"/>
      <c r="C296" s="289"/>
      <c r="D296" s="265"/>
      <c r="E296" s="265"/>
      <c r="F296" s="265"/>
      <c r="G296" s="265"/>
      <c r="H296" s="260"/>
      <c r="I296" s="265"/>
      <c r="J296" s="265"/>
      <c r="K296" s="265"/>
      <c r="L296" s="123"/>
      <c r="M296" s="123"/>
      <c r="N296" s="123"/>
      <c r="O296" s="123"/>
      <c r="P296" s="121"/>
      <c r="Q296" s="121"/>
      <c r="R296" s="123"/>
      <c r="S296" s="123"/>
      <c r="T296" s="123"/>
      <c r="U296" s="123"/>
      <c r="V296" s="123"/>
      <c r="W296" s="123"/>
      <c r="X296" s="123"/>
      <c r="Y296" s="123"/>
      <c r="Z296" s="123"/>
      <c r="AA296" s="123"/>
      <c r="AB296" s="123"/>
      <c r="AC296" s="123"/>
      <c r="AD296" s="123"/>
      <c r="AE296" s="123"/>
      <c r="AF296" s="123"/>
      <c r="AG296" s="123"/>
      <c r="AH296" s="123"/>
      <c r="AI296" s="123"/>
      <c r="AJ296" s="87"/>
      <c r="AK296" s="87"/>
      <c r="AL296" s="87"/>
    </row>
    <row r="297">
      <c r="A297" s="305"/>
      <c r="B297" s="265"/>
      <c r="C297" s="289"/>
      <c r="D297" s="265"/>
      <c r="E297" s="265"/>
      <c r="F297" s="265"/>
      <c r="G297" s="265"/>
      <c r="H297" s="260"/>
      <c r="I297" s="265"/>
      <c r="J297" s="265"/>
      <c r="K297" s="265"/>
      <c r="L297" s="123"/>
      <c r="M297" s="123"/>
      <c r="N297" s="123"/>
      <c r="O297" s="123"/>
      <c r="P297" s="121"/>
      <c r="Q297" s="121"/>
      <c r="R297" s="123"/>
      <c r="S297" s="123"/>
      <c r="T297" s="123"/>
      <c r="U297" s="123"/>
      <c r="V297" s="123"/>
      <c r="W297" s="123"/>
      <c r="X297" s="123"/>
      <c r="Y297" s="123"/>
      <c r="Z297" s="123"/>
      <c r="AA297" s="123"/>
      <c r="AB297" s="123"/>
      <c r="AC297" s="123"/>
      <c r="AD297" s="123"/>
      <c r="AE297" s="123"/>
      <c r="AF297" s="123"/>
      <c r="AG297" s="123"/>
      <c r="AH297" s="123"/>
      <c r="AI297" s="123"/>
      <c r="AJ297" s="87"/>
      <c r="AK297" s="87"/>
      <c r="AL297" s="87"/>
    </row>
    <row r="298">
      <c r="A298" s="305"/>
      <c r="B298" s="265"/>
      <c r="C298" s="289"/>
      <c r="D298" s="265"/>
      <c r="E298" s="265"/>
      <c r="F298" s="265"/>
      <c r="G298" s="265"/>
      <c r="H298" s="260"/>
      <c r="I298" s="265"/>
      <c r="J298" s="265"/>
      <c r="K298" s="265"/>
      <c r="L298" s="123"/>
      <c r="M298" s="123"/>
      <c r="N298" s="123"/>
      <c r="O298" s="123"/>
      <c r="P298" s="121"/>
      <c r="Q298" s="121"/>
      <c r="R298" s="123"/>
      <c r="S298" s="123"/>
      <c r="T298" s="123"/>
      <c r="U298" s="123"/>
      <c r="V298" s="123"/>
      <c r="W298" s="123"/>
      <c r="X298" s="123"/>
      <c r="Y298" s="123"/>
      <c r="Z298" s="123"/>
      <c r="AA298" s="123"/>
      <c r="AB298" s="123"/>
      <c r="AC298" s="123"/>
      <c r="AD298" s="123"/>
      <c r="AE298" s="123"/>
      <c r="AF298" s="123"/>
      <c r="AG298" s="123"/>
      <c r="AH298" s="123"/>
      <c r="AI298" s="123"/>
      <c r="AJ298" s="87"/>
      <c r="AK298" s="87"/>
      <c r="AL298" s="87"/>
    </row>
    <row r="299">
      <c r="A299" s="90"/>
      <c r="B299" s="259"/>
      <c r="C299" s="259"/>
      <c r="D299" s="259"/>
      <c r="E299" s="102"/>
      <c r="F299" s="102"/>
      <c r="G299" s="102"/>
      <c r="H299" s="260"/>
      <c r="I299" s="259"/>
      <c r="J299" s="259"/>
      <c r="K299" s="259"/>
      <c r="L299" s="77"/>
      <c r="M299" s="115"/>
      <c r="N299" s="77"/>
      <c r="O299" s="77"/>
      <c r="P299" s="268"/>
      <c r="Q299" s="268"/>
      <c r="R299" s="77"/>
      <c r="S299" s="77"/>
      <c r="T299" s="77"/>
      <c r="U299" s="77"/>
      <c r="V299" s="115"/>
      <c r="W299" s="115"/>
      <c r="X299" s="115"/>
      <c r="Y299" s="115"/>
      <c r="Z299" s="115"/>
      <c r="AA299" s="115"/>
      <c r="AB299" s="261"/>
      <c r="AC299" s="77"/>
      <c r="AD299" s="115"/>
      <c r="AE299" s="77"/>
      <c r="AF299" s="115"/>
      <c r="AG299" s="115"/>
      <c r="AH299" s="262"/>
      <c r="AI299" s="262"/>
      <c r="AJ299" s="262"/>
      <c r="AK299" s="262"/>
      <c r="AL299" s="262"/>
    </row>
    <row r="300">
      <c r="A300" s="90"/>
      <c r="B300" s="259"/>
      <c r="C300" s="259"/>
      <c r="D300" s="259"/>
      <c r="E300" s="102"/>
      <c r="F300" s="102"/>
      <c r="G300" s="102"/>
      <c r="H300" s="260"/>
      <c r="I300" s="259"/>
      <c r="J300" s="259"/>
      <c r="K300" s="259"/>
      <c r="L300" s="77"/>
      <c r="M300" s="77"/>
      <c r="N300" s="77"/>
      <c r="O300" s="77"/>
      <c r="P300" s="268"/>
      <c r="Q300" s="268"/>
      <c r="R300" s="77"/>
      <c r="S300" s="77"/>
      <c r="T300" s="77"/>
      <c r="U300" s="77"/>
      <c r="V300" s="115"/>
      <c r="W300" s="115"/>
      <c r="X300" s="115"/>
      <c r="Y300" s="115"/>
      <c r="Z300" s="115"/>
      <c r="AA300" s="115"/>
      <c r="AB300" s="261"/>
      <c r="AC300" s="77"/>
      <c r="AD300" s="115"/>
      <c r="AE300" s="115"/>
      <c r="AF300" s="115"/>
      <c r="AG300" s="115"/>
      <c r="AH300" s="262"/>
      <c r="AI300" s="262"/>
      <c r="AJ300" s="262"/>
      <c r="AK300" s="262"/>
      <c r="AL300" s="262"/>
    </row>
    <row r="301">
      <c r="A301" s="90"/>
      <c r="B301" s="259"/>
      <c r="C301" s="315"/>
      <c r="D301" s="259"/>
      <c r="E301" s="102"/>
      <c r="F301" s="102"/>
      <c r="G301" s="102"/>
      <c r="H301" s="260"/>
      <c r="I301" s="259"/>
      <c r="J301" s="259"/>
      <c r="K301" s="259"/>
      <c r="L301" s="77"/>
      <c r="M301" s="115"/>
      <c r="N301" s="77"/>
      <c r="O301" s="77"/>
      <c r="P301" s="268"/>
      <c r="Q301" s="268"/>
      <c r="R301" s="77"/>
      <c r="S301" s="77"/>
      <c r="T301" s="77"/>
      <c r="U301" s="77"/>
      <c r="V301" s="115"/>
      <c r="W301" s="115"/>
      <c r="X301" s="115"/>
      <c r="Y301" s="115"/>
      <c r="Z301" s="115"/>
      <c r="AA301" s="115"/>
      <c r="AB301" s="261"/>
      <c r="AC301" s="77"/>
      <c r="AD301" s="115"/>
      <c r="AE301" s="77"/>
      <c r="AF301" s="115"/>
      <c r="AG301" s="115"/>
      <c r="AH301" s="262"/>
      <c r="AI301" s="262"/>
      <c r="AJ301" s="262"/>
      <c r="AK301" s="262"/>
      <c r="AL301" s="262"/>
    </row>
    <row r="302">
      <c r="A302" s="147"/>
      <c r="B302" s="123"/>
      <c r="C302" s="147"/>
      <c r="D302" s="265"/>
      <c r="E302" s="265"/>
      <c r="F302" s="265"/>
      <c r="G302" s="265"/>
      <c r="H302" s="266"/>
      <c r="I302" s="265"/>
      <c r="J302" s="265"/>
      <c r="K302" s="265"/>
      <c r="L302" s="123"/>
      <c r="M302" s="123"/>
      <c r="N302" s="123"/>
      <c r="O302" s="123"/>
      <c r="P302" s="121"/>
      <c r="Q302" s="121"/>
      <c r="R302" s="123"/>
      <c r="S302" s="123"/>
      <c r="T302" s="123"/>
      <c r="U302" s="123"/>
      <c r="V302" s="123"/>
      <c r="W302" s="123"/>
      <c r="X302" s="123"/>
      <c r="Y302" s="123"/>
      <c r="Z302" s="123"/>
      <c r="AA302" s="123"/>
      <c r="AB302" s="123"/>
      <c r="AC302" s="123"/>
      <c r="AD302" s="123"/>
      <c r="AE302" s="123"/>
      <c r="AF302" s="123"/>
      <c r="AG302" s="123"/>
      <c r="AH302" s="123"/>
      <c r="AI302" s="123"/>
      <c r="AJ302" s="87"/>
      <c r="AK302" s="87"/>
      <c r="AL302" s="87"/>
    </row>
    <row r="303">
      <c r="A303" s="147"/>
      <c r="B303" s="123"/>
      <c r="C303" s="147"/>
      <c r="D303" s="265"/>
      <c r="E303" s="265"/>
      <c r="F303" s="265"/>
      <c r="G303" s="265"/>
      <c r="H303" s="266"/>
      <c r="I303" s="265"/>
      <c r="J303" s="265"/>
      <c r="K303" s="265"/>
      <c r="L303" s="123"/>
      <c r="M303" s="123"/>
      <c r="N303" s="123"/>
      <c r="O303" s="123"/>
      <c r="P303" s="121"/>
      <c r="Q303" s="121"/>
      <c r="R303" s="123"/>
      <c r="S303" s="123"/>
      <c r="T303" s="123"/>
      <c r="U303" s="123"/>
      <c r="V303" s="123"/>
      <c r="W303" s="123"/>
      <c r="X303" s="123"/>
      <c r="Y303" s="123"/>
      <c r="Z303" s="123"/>
      <c r="AA303" s="123"/>
      <c r="AB303" s="123"/>
      <c r="AC303" s="123"/>
      <c r="AD303" s="123"/>
      <c r="AE303" s="123"/>
      <c r="AF303" s="123"/>
      <c r="AG303" s="123"/>
      <c r="AH303" s="123"/>
      <c r="AI303" s="123"/>
      <c r="AJ303" s="87"/>
      <c r="AK303" s="87"/>
      <c r="AL303" s="87"/>
    </row>
    <row r="304">
      <c r="A304" s="147"/>
      <c r="B304" s="123"/>
      <c r="C304" s="147"/>
      <c r="D304" s="265"/>
      <c r="E304" s="265"/>
      <c r="F304" s="265"/>
      <c r="G304" s="265"/>
      <c r="H304" s="266"/>
      <c r="I304" s="265"/>
      <c r="J304" s="265"/>
      <c r="K304" s="265"/>
      <c r="L304" s="123"/>
      <c r="M304" s="123"/>
      <c r="N304" s="123"/>
      <c r="O304" s="123"/>
      <c r="P304" s="121"/>
      <c r="Q304" s="121"/>
      <c r="R304" s="123"/>
      <c r="S304" s="123"/>
      <c r="T304" s="123"/>
      <c r="U304" s="123"/>
      <c r="V304" s="123"/>
      <c r="W304" s="123"/>
      <c r="X304" s="123"/>
      <c r="Y304" s="123"/>
      <c r="Z304" s="123"/>
      <c r="AA304" s="123"/>
      <c r="AB304" s="123"/>
      <c r="AC304" s="123"/>
      <c r="AD304" s="123"/>
      <c r="AE304" s="123"/>
      <c r="AF304" s="123"/>
      <c r="AG304" s="123"/>
      <c r="AH304" s="123"/>
      <c r="AI304" s="123"/>
      <c r="AJ304" s="87"/>
      <c r="AK304" s="87"/>
      <c r="AL304" s="87"/>
    </row>
    <row r="305">
      <c r="A305" s="147"/>
      <c r="B305" s="123"/>
      <c r="C305" s="147"/>
      <c r="D305" s="265"/>
      <c r="E305" s="265"/>
      <c r="F305" s="265"/>
      <c r="G305" s="265"/>
      <c r="H305" s="266"/>
      <c r="I305" s="265"/>
      <c r="J305" s="265"/>
      <c r="K305" s="265"/>
      <c r="L305" s="123"/>
      <c r="M305" s="123"/>
      <c r="N305" s="123"/>
      <c r="O305" s="123"/>
      <c r="P305" s="121"/>
      <c r="Q305" s="121"/>
      <c r="R305" s="123"/>
      <c r="S305" s="123"/>
      <c r="T305" s="123"/>
      <c r="U305" s="123"/>
      <c r="V305" s="123"/>
      <c r="W305" s="123"/>
      <c r="X305" s="123"/>
      <c r="Y305" s="123"/>
      <c r="Z305" s="123"/>
      <c r="AA305" s="123"/>
      <c r="AB305" s="123"/>
      <c r="AC305" s="123"/>
      <c r="AD305" s="123"/>
      <c r="AE305" s="123"/>
      <c r="AF305" s="123"/>
      <c r="AG305" s="123"/>
      <c r="AH305" s="123"/>
      <c r="AI305" s="123"/>
      <c r="AJ305" s="87"/>
      <c r="AK305" s="87"/>
      <c r="AL305" s="87"/>
    </row>
    <row r="306">
      <c r="A306" s="147"/>
      <c r="B306" s="123"/>
      <c r="C306" s="147"/>
      <c r="D306" s="265"/>
      <c r="E306" s="265"/>
      <c r="F306" s="265"/>
      <c r="G306" s="265"/>
      <c r="H306" s="266"/>
      <c r="I306" s="265"/>
      <c r="J306" s="265"/>
      <c r="K306" s="265"/>
      <c r="L306" s="123"/>
      <c r="M306" s="123"/>
      <c r="N306" s="123"/>
      <c r="O306" s="123"/>
      <c r="P306" s="121"/>
      <c r="Q306" s="121"/>
      <c r="R306" s="123"/>
      <c r="S306" s="123"/>
      <c r="T306" s="123"/>
      <c r="U306" s="123"/>
      <c r="V306" s="123"/>
      <c r="W306" s="123"/>
      <c r="X306" s="123"/>
      <c r="Y306" s="123"/>
      <c r="Z306" s="123"/>
      <c r="AA306" s="123"/>
      <c r="AB306" s="123"/>
      <c r="AC306" s="123"/>
      <c r="AD306" s="123"/>
      <c r="AE306" s="123"/>
      <c r="AF306" s="123"/>
      <c r="AG306" s="123"/>
      <c r="AH306" s="123"/>
      <c r="AI306" s="123"/>
      <c r="AJ306" s="87"/>
      <c r="AK306" s="87"/>
      <c r="AL306" s="87"/>
    </row>
    <row r="307">
      <c r="A307" s="90"/>
      <c r="B307" s="259"/>
      <c r="C307" s="315"/>
      <c r="D307" s="259"/>
      <c r="E307" s="102"/>
      <c r="F307" s="102"/>
      <c r="G307" s="102"/>
      <c r="H307" s="260"/>
      <c r="I307" s="259"/>
      <c r="J307" s="259"/>
      <c r="K307" s="259"/>
      <c r="L307" s="77"/>
      <c r="M307" s="115"/>
      <c r="N307" s="77"/>
      <c r="O307" s="77"/>
      <c r="P307" s="268"/>
      <c r="Q307" s="268"/>
      <c r="R307" s="77"/>
      <c r="S307" s="77"/>
      <c r="T307" s="77"/>
      <c r="U307" s="77"/>
      <c r="V307" s="115"/>
      <c r="W307" s="115"/>
      <c r="X307" s="115"/>
      <c r="Y307" s="115"/>
      <c r="Z307" s="115"/>
      <c r="AA307" s="115"/>
      <c r="AB307" s="261"/>
      <c r="AC307" s="77"/>
      <c r="AD307" s="115"/>
      <c r="AE307" s="77"/>
      <c r="AF307" s="115"/>
      <c r="AG307" s="115"/>
      <c r="AH307" s="262"/>
      <c r="AI307" s="262"/>
      <c r="AJ307" s="262"/>
      <c r="AK307" s="262"/>
      <c r="AL307" s="262"/>
    </row>
    <row r="308">
      <c r="A308" s="90"/>
      <c r="B308" s="259"/>
      <c r="C308" s="259"/>
      <c r="D308" s="259"/>
      <c r="E308" s="102"/>
      <c r="F308" s="77"/>
      <c r="G308" s="102"/>
      <c r="H308" s="260"/>
      <c r="I308" s="259"/>
      <c r="J308" s="77"/>
      <c r="K308" s="115"/>
      <c r="L308" s="77"/>
      <c r="M308" s="115"/>
      <c r="N308" s="115"/>
      <c r="O308" s="77"/>
      <c r="P308" s="268"/>
      <c r="Q308" s="268"/>
      <c r="R308" s="77"/>
      <c r="S308" s="77"/>
      <c r="T308" s="77"/>
      <c r="U308" s="77"/>
      <c r="V308" s="115"/>
      <c r="W308" s="115"/>
      <c r="X308" s="115"/>
      <c r="Y308" s="115"/>
      <c r="Z308" s="115"/>
      <c r="AA308" s="115"/>
      <c r="AB308" s="261"/>
      <c r="AC308" s="77"/>
      <c r="AD308" s="115"/>
      <c r="AE308" s="77"/>
      <c r="AF308" s="115"/>
      <c r="AG308" s="115"/>
      <c r="AH308" s="262"/>
      <c r="AI308" s="262"/>
      <c r="AJ308" s="262"/>
      <c r="AK308" s="262"/>
      <c r="AL308" s="262"/>
    </row>
    <row r="309">
      <c r="A309" s="302"/>
      <c r="B309" s="123"/>
      <c r="C309" s="147"/>
      <c r="D309" s="265"/>
      <c r="E309" s="265"/>
      <c r="F309" s="123"/>
      <c r="G309" s="265"/>
      <c r="H309" s="266"/>
      <c r="I309" s="265"/>
      <c r="J309" s="123"/>
      <c r="K309" s="123"/>
      <c r="L309" s="123"/>
      <c r="M309" s="123"/>
      <c r="N309" s="123"/>
      <c r="O309" s="123"/>
      <c r="P309" s="121"/>
      <c r="Q309" s="121"/>
      <c r="R309" s="123"/>
      <c r="S309" s="123"/>
      <c r="T309" s="123"/>
      <c r="U309" s="123"/>
      <c r="V309" s="123"/>
      <c r="W309" s="123"/>
      <c r="X309" s="123"/>
      <c r="Y309" s="123"/>
      <c r="Z309" s="123"/>
      <c r="AA309" s="123"/>
      <c r="AB309" s="123"/>
      <c r="AC309" s="123"/>
      <c r="AD309" s="123"/>
      <c r="AE309" s="123"/>
      <c r="AF309" s="123"/>
      <c r="AG309" s="123"/>
      <c r="AH309" s="123"/>
      <c r="AI309" s="123"/>
      <c r="AJ309" s="87"/>
      <c r="AK309" s="87"/>
      <c r="AL309" s="87"/>
    </row>
    <row r="310">
      <c r="A310" s="302"/>
      <c r="B310" s="123"/>
      <c r="C310" s="147"/>
      <c r="D310" s="265"/>
      <c r="E310" s="265"/>
      <c r="F310" s="123"/>
      <c r="G310" s="265"/>
      <c r="H310" s="266"/>
      <c r="I310" s="265"/>
      <c r="J310" s="123"/>
      <c r="K310" s="123"/>
      <c r="L310" s="123"/>
      <c r="M310" s="123"/>
      <c r="N310" s="123"/>
      <c r="O310" s="123"/>
      <c r="P310" s="121"/>
      <c r="Q310" s="121"/>
      <c r="R310" s="123"/>
      <c r="S310" s="123"/>
      <c r="T310" s="123"/>
      <c r="U310" s="123"/>
      <c r="V310" s="123"/>
      <c r="W310" s="123"/>
      <c r="X310" s="123"/>
      <c r="Y310" s="123"/>
      <c r="Z310" s="123"/>
      <c r="AA310" s="123"/>
      <c r="AB310" s="123"/>
      <c r="AC310" s="123"/>
      <c r="AD310" s="123"/>
      <c r="AE310" s="123"/>
      <c r="AF310" s="123"/>
      <c r="AG310" s="123"/>
      <c r="AH310" s="123"/>
      <c r="AI310" s="123"/>
      <c r="AJ310" s="87"/>
      <c r="AK310" s="87"/>
      <c r="AL310" s="87"/>
    </row>
    <row r="311">
      <c r="A311" s="302"/>
      <c r="B311" s="123"/>
      <c r="C311" s="147"/>
      <c r="D311" s="265"/>
      <c r="E311" s="265"/>
      <c r="F311" s="123"/>
      <c r="G311" s="265"/>
      <c r="H311" s="266"/>
      <c r="I311" s="265"/>
      <c r="J311" s="123"/>
      <c r="K311" s="123"/>
      <c r="L311" s="123"/>
      <c r="M311" s="123"/>
      <c r="N311" s="123"/>
      <c r="O311" s="123"/>
      <c r="P311" s="121"/>
      <c r="Q311" s="121"/>
      <c r="R311" s="123"/>
      <c r="S311" s="123"/>
      <c r="T311" s="123"/>
      <c r="U311" s="123"/>
      <c r="V311" s="123"/>
      <c r="W311" s="123"/>
      <c r="X311" s="123"/>
      <c r="Y311" s="123"/>
      <c r="Z311" s="123"/>
      <c r="AA311" s="123"/>
      <c r="AB311" s="123"/>
      <c r="AC311" s="123"/>
      <c r="AD311" s="123"/>
      <c r="AE311" s="123"/>
      <c r="AF311" s="123"/>
      <c r="AG311" s="123"/>
      <c r="AH311" s="123"/>
      <c r="AI311" s="123"/>
      <c r="AJ311" s="87"/>
      <c r="AK311" s="87"/>
      <c r="AL311" s="87"/>
    </row>
    <row r="312">
      <c r="A312" s="302"/>
      <c r="B312" s="123"/>
      <c r="C312" s="147"/>
      <c r="D312" s="265"/>
      <c r="E312" s="265"/>
      <c r="F312" s="123"/>
      <c r="G312" s="265"/>
      <c r="H312" s="266"/>
      <c r="I312" s="265"/>
      <c r="J312" s="123"/>
      <c r="K312" s="123"/>
      <c r="L312" s="123"/>
      <c r="M312" s="123"/>
      <c r="N312" s="123"/>
      <c r="O312" s="123"/>
      <c r="P312" s="121"/>
      <c r="Q312" s="121"/>
      <c r="R312" s="123"/>
      <c r="S312" s="123"/>
      <c r="T312" s="123"/>
      <c r="U312" s="123"/>
      <c r="V312" s="123"/>
      <c r="W312" s="123"/>
      <c r="X312" s="123"/>
      <c r="Y312" s="123"/>
      <c r="Z312" s="123"/>
      <c r="AA312" s="123"/>
      <c r="AB312" s="123"/>
      <c r="AC312" s="123"/>
      <c r="AD312" s="123"/>
      <c r="AE312" s="123"/>
      <c r="AF312" s="123"/>
      <c r="AG312" s="123"/>
      <c r="AH312" s="123"/>
      <c r="AI312" s="123"/>
      <c r="AJ312" s="87"/>
      <c r="AK312" s="87"/>
      <c r="AL312" s="87"/>
    </row>
    <row r="313">
      <c r="A313" s="302"/>
      <c r="B313" s="123"/>
      <c r="C313" s="147"/>
      <c r="D313" s="265"/>
      <c r="E313" s="265"/>
      <c r="F313" s="123"/>
      <c r="G313" s="265"/>
      <c r="H313" s="266"/>
      <c r="I313" s="265"/>
      <c r="J313" s="123"/>
      <c r="K313" s="123"/>
      <c r="L313" s="123"/>
      <c r="M313" s="123"/>
      <c r="N313" s="123"/>
      <c r="O313" s="123"/>
      <c r="P313" s="121"/>
      <c r="Q313" s="121"/>
      <c r="R313" s="123"/>
      <c r="S313" s="123"/>
      <c r="T313" s="123"/>
      <c r="U313" s="123"/>
      <c r="V313" s="123"/>
      <c r="W313" s="123"/>
      <c r="X313" s="123"/>
      <c r="Y313" s="123"/>
      <c r="Z313" s="123"/>
      <c r="AA313" s="123"/>
      <c r="AB313" s="123"/>
      <c r="AC313" s="123"/>
      <c r="AD313" s="123"/>
      <c r="AE313" s="123"/>
      <c r="AF313" s="123"/>
      <c r="AG313" s="123"/>
      <c r="AH313" s="123"/>
      <c r="AI313" s="123"/>
      <c r="AJ313" s="87"/>
      <c r="AK313" s="87"/>
      <c r="AL313" s="87"/>
    </row>
    <row r="314">
      <c r="A314" s="302"/>
      <c r="B314" s="123"/>
      <c r="C314" s="147"/>
      <c r="D314" s="265"/>
      <c r="E314" s="265"/>
      <c r="F314" s="123"/>
      <c r="G314" s="265"/>
      <c r="H314" s="266"/>
      <c r="I314" s="265"/>
      <c r="J314" s="123"/>
      <c r="K314" s="123"/>
      <c r="L314" s="123"/>
      <c r="M314" s="123"/>
      <c r="N314" s="123"/>
      <c r="O314" s="123"/>
      <c r="P314" s="121"/>
      <c r="Q314" s="121"/>
      <c r="R314" s="123"/>
      <c r="S314" s="123"/>
      <c r="T314" s="123"/>
      <c r="U314" s="123"/>
      <c r="V314" s="123"/>
      <c r="W314" s="123"/>
      <c r="X314" s="123"/>
      <c r="Y314" s="123"/>
      <c r="Z314" s="123"/>
      <c r="AA314" s="123"/>
      <c r="AB314" s="123"/>
      <c r="AC314" s="123"/>
      <c r="AD314" s="123"/>
      <c r="AE314" s="123"/>
      <c r="AF314" s="123"/>
      <c r="AG314" s="123"/>
      <c r="AH314" s="123"/>
      <c r="AI314" s="123"/>
      <c r="AJ314" s="87"/>
      <c r="AK314" s="87"/>
      <c r="AL314" s="87"/>
    </row>
    <row r="315">
      <c r="A315" s="302"/>
      <c r="B315" s="123"/>
      <c r="C315" s="147"/>
      <c r="D315" s="265"/>
      <c r="E315" s="265"/>
      <c r="F315" s="123"/>
      <c r="G315" s="265"/>
      <c r="H315" s="266"/>
      <c r="I315" s="265"/>
      <c r="J315" s="123"/>
      <c r="K315" s="123"/>
      <c r="L315" s="123"/>
      <c r="M315" s="123"/>
      <c r="N315" s="123"/>
      <c r="O315" s="123"/>
      <c r="P315" s="121"/>
      <c r="Q315" s="121"/>
      <c r="R315" s="123"/>
      <c r="S315" s="123"/>
      <c r="T315" s="123"/>
      <c r="U315" s="123"/>
      <c r="V315" s="123"/>
      <c r="W315" s="123"/>
      <c r="X315" s="123"/>
      <c r="Y315" s="123"/>
      <c r="Z315" s="123"/>
      <c r="AA315" s="123"/>
      <c r="AB315" s="123"/>
      <c r="AC315" s="123"/>
      <c r="AD315" s="123"/>
      <c r="AE315" s="123"/>
      <c r="AF315" s="123"/>
      <c r="AG315" s="123"/>
      <c r="AH315" s="123"/>
      <c r="AI315" s="123"/>
      <c r="AJ315" s="87"/>
      <c r="AK315" s="87"/>
      <c r="AL315" s="87"/>
    </row>
    <row r="316">
      <c r="A316" s="302"/>
      <c r="B316" s="123"/>
      <c r="C316" s="147"/>
      <c r="D316" s="265"/>
      <c r="E316" s="265"/>
      <c r="F316" s="123"/>
      <c r="G316" s="265"/>
      <c r="H316" s="266"/>
      <c r="I316" s="265"/>
      <c r="J316" s="123"/>
      <c r="K316" s="123"/>
      <c r="L316" s="123"/>
      <c r="M316" s="123"/>
      <c r="N316" s="123"/>
      <c r="O316" s="123"/>
      <c r="P316" s="121"/>
      <c r="Q316" s="121"/>
      <c r="R316" s="123"/>
      <c r="S316" s="123"/>
      <c r="T316" s="123"/>
      <c r="U316" s="123"/>
      <c r="V316" s="123"/>
      <c r="W316" s="123"/>
      <c r="X316" s="123"/>
      <c r="Y316" s="123"/>
      <c r="Z316" s="123"/>
      <c r="AA316" s="123"/>
      <c r="AB316" s="123"/>
      <c r="AC316" s="123"/>
      <c r="AD316" s="123"/>
      <c r="AE316" s="123"/>
      <c r="AF316" s="123"/>
      <c r="AG316" s="123"/>
      <c r="AH316" s="123"/>
      <c r="AI316" s="123"/>
      <c r="AJ316" s="87"/>
      <c r="AK316" s="87"/>
      <c r="AL316" s="87"/>
    </row>
    <row r="317">
      <c r="A317" s="302"/>
      <c r="B317" s="123"/>
      <c r="C317" s="147"/>
      <c r="D317" s="265"/>
      <c r="E317" s="265"/>
      <c r="F317" s="123"/>
      <c r="G317" s="265"/>
      <c r="H317" s="266"/>
      <c r="I317" s="265"/>
      <c r="J317" s="123"/>
      <c r="K317" s="123"/>
      <c r="L317" s="123"/>
      <c r="M317" s="123"/>
      <c r="N317" s="123"/>
      <c r="O317" s="123"/>
      <c r="P317" s="121"/>
      <c r="Q317" s="121"/>
      <c r="R317" s="123"/>
      <c r="S317" s="123"/>
      <c r="T317" s="123"/>
      <c r="U317" s="123"/>
      <c r="V317" s="123"/>
      <c r="W317" s="123"/>
      <c r="X317" s="123"/>
      <c r="Y317" s="123"/>
      <c r="Z317" s="123"/>
      <c r="AA317" s="123"/>
      <c r="AB317" s="123"/>
      <c r="AC317" s="123"/>
      <c r="AD317" s="123"/>
      <c r="AE317" s="123"/>
      <c r="AF317" s="123"/>
      <c r="AG317" s="123"/>
      <c r="AH317" s="123"/>
      <c r="AI317" s="123"/>
      <c r="AJ317" s="87"/>
      <c r="AK317" s="87"/>
      <c r="AL317" s="87"/>
    </row>
    <row r="318">
      <c r="A318" s="302"/>
      <c r="B318" s="123"/>
      <c r="C318" s="147"/>
      <c r="D318" s="265"/>
      <c r="E318" s="265"/>
      <c r="F318" s="123"/>
      <c r="G318" s="265"/>
      <c r="H318" s="266"/>
      <c r="I318" s="265"/>
      <c r="J318" s="123"/>
      <c r="K318" s="123"/>
      <c r="L318" s="123"/>
      <c r="M318" s="123"/>
      <c r="N318" s="123"/>
      <c r="O318" s="123"/>
      <c r="P318" s="121"/>
      <c r="Q318" s="121"/>
      <c r="R318" s="123"/>
      <c r="S318" s="123"/>
      <c r="T318" s="123"/>
      <c r="U318" s="123"/>
      <c r="V318" s="123"/>
      <c r="W318" s="123"/>
      <c r="X318" s="123"/>
      <c r="Y318" s="123"/>
      <c r="Z318" s="123"/>
      <c r="AA318" s="123"/>
      <c r="AB318" s="123"/>
      <c r="AC318" s="123"/>
      <c r="AD318" s="123"/>
      <c r="AE318" s="123"/>
      <c r="AF318" s="123"/>
      <c r="AG318" s="123"/>
      <c r="AH318" s="123"/>
      <c r="AI318" s="123"/>
      <c r="AJ318" s="87"/>
      <c r="AK318" s="87"/>
      <c r="AL318" s="87"/>
    </row>
    <row r="319">
      <c r="A319" s="302"/>
      <c r="B319" s="123"/>
      <c r="C319" s="147"/>
      <c r="D319" s="265"/>
      <c r="E319" s="265"/>
      <c r="F319" s="123"/>
      <c r="G319" s="265"/>
      <c r="H319" s="266"/>
      <c r="I319" s="265"/>
      <c r="J319" s="123"/>
      <c r="K319" s="123"/>
      <c r="L319" s="123"/>
      <c r="M319" s="123"/>
      <c r="N319" s="123"/>
      <c r="O319" s="123"/>
      <c r="P319" s="121"/>
      <c r="Q319" s="121"/>
      <c r="R319" s="123"/>
      <c r="S319" s="123"/>
      <c r="T319" s="123"/>
      <c r="U319" s="123"/>
      <c r="V319" s="123"/>
      <c r="W319" s="123"/>
      <c r="X319" s="123"/>
      <c r="Y319" s="123"/>
      <c r="Z319" s="123"/>
      <c r="AA319" s="123"/>
      <c r="AB319" s="123"/>
      <c r="AC319" s="123"/>
      <c r="AD319" s="123"/>
      <c r="AE319" s="123"/>
      <c r="AF319" s="123"/>
      <c r="AG319" s="123"/>
      <c r="AH319" s="123"/>
      <c r="AI319" s="123"/>
      <c r="AJ319" s="87"/>
      <c r="AK319" s="87"/>
      <c r="AL319" s="87"/>
    </row>
    <row r="320">
      <c r="A320" s="302"/>
      <c r="B320" s="123"/>
      <c r="C320" s="147"/>
      <c r="D320" s="265"/>
      <c r="E320" s="265"/>
      <c r="F320" s="123"/>
      <c r="G320" s="265"/>
      <c r="H320" s="266"/>
      <c r="I320" s="265"/>
      <c r="J320" s="123"/>
      <c r="K320" s="123"/>
      <c r="L320" s="123"/>
      <c r="M320" s="123"/>
      <c r="N320" s="123"/>
      <c r="O320" s="123"/>
      <c r="P320" s="121"/>
      <c r="Q320" s="121"/>
      <c r="R320" s="123"/>
      <c r="S320" s="123"/>
      <c r="T320" s="123"/>
      <c r="U320" s="123"/>
      <c r="V320" s="123"/>
      <c r="W320" s="123"/>
      <c r="X320" s="123"/>
      <c r="Y320" s="123"/>
      <c r="Z320" s="123"/>
      <c r="AA320" s="123"/>
      <c r="AB320" s="123"/>
      <c r="AC320" s="123"/>
      <c r="AD320" s="123"/>
      <c r="AE320" s="123"/>
      <c r="AF320" s="123"/>
      <c r="AG320" s="123"/>
      <c r="AH320" s="123"/>
      <c r="AI320" s="123"/>
      <c r="AJ320" s="87"/>
      <c r="AK320" s="87"/>
      <c r="AL320" s="87"/>
    </row>
    <row r="321">
      <c r="A321" s="302"/>
      <c r="B321" s="123"/>
      <c r="C321" s="147"/>
      <c r="D321" s="265"/>
      <c r="E321" s="265"/>
      <c r="F321" s="123"/>
      <c r="G321" s="265"/>
      <c r="H321" s="266"/>
      <c r="I321" s="265"/>
      <c r="J321" s="123"/>
      <c r="K321" s="123"/>
      <c r="L321" s="123"/>
      <c r="M321" s="123"/>
      <c r="N321" s="123"/>
      <c r="O321" s="123"/>
      <c r="P321" s="121"/>
      <c r="Q321" s="121"/>
      <c r="R321" s="123"/>
      <c r="S321" s="123"/>
      <c r="T321" s="123"/>
      <c r="U321" s="123"/>
      <c r="V321" s="123"/>
      <c r="W321" s="123"/>
      <c r="X321" s="123"/>
      <c r="Y321" s="123"/>
      <c r="Z321" s="123"/>
      <c r="AA321" s="123"/>
      <c r="AB321" s="123"/>
      <c r="AC321" s="123"/>
      <c r="AD321" s="123"/>
      <c r="AE321" s="123"/>
      <c r="AF321" s="123"/>
      <c r="AG321" s="123"/>
      <c r="AH321" s="123"/>
      <c r="AI321" s="123"/>
      <c r="AJ321" s="87"/>
      <c r="AK321" s="87"/>
      <c r="AL321" s="87"/>
    </row>
    <row r="322">
      <c r="A322" s="302"/>
      <c r="B322" s="123"/>
      <c r="C322" s="147"/>
      <c r="D322" s="265"/>
      <c r="E322" s="265"/>
      <c r="F322" s="123"/>
      <c r="G322" s="265"/>
      <c r="H322" s="266"/>
      <c r="I322" s="265"/>
      <c r="J322" s="123"/>
      <c r="K322" s="123"/>
      <c r="L322" s="123"/>
      <c r="M322" s="123"/>
      <c r="N322" s="123"/>
      <c r="O322" s="123"/>
      <c r="P322" s="121"/>
      <c r="Q322" s="121"/>
      <c r="R322" s="123"/>
      <c r="S322" s="123"/>
      <c r="T322" s="123"/>
      <c r="U322" s="123"/>
      <c r="V322" s="123"/>
      <c r="W322" s="123"/>
      <c r="X322" s="123"/>
      <c r="Y322" s="123"/>
      <c r="Z322" s="123"/>
      <c r="AA322" s="123"/>
      <c r="AB322" s="123"/>
      <c r="AC322" s="123"/>
      <c r="AD322" s="123"/>
      <c r="AE322" s="123"/>
      <c r="AF322" s="123"/>
      <c r="AG322" s="123"/>
      <c r="AH322" s="123"/>
      <c r="AI322" s="123"/>
      <c r="AJ322" s="87"/>
      <c r="AK322" s="87"/>
      <c r="AL322" s="87"/>
    </row>
    <row r="323">
      <c r="A323" s="302"/>
      <c r="B323" s="123"/>
      <c r="C323" s="147"/>
      <c r="D323" s="265"/>
      <c r="E323" s="265"/>
      <c r="F323" s="123"/>
      <c r="G323" s="265"/>
      <c r="H323" s="266"/>
      <c r="I323" s="265"/>
      <c r="J323" s="123"/>
      <c r="K323" s="123"/>
      <c r="L323" s="123"/>
      <c r="M323" s="123"/>
      <c r="N323" s="123"/>
      <c r="O323" s="123"/>
      <c r="P323" s="121"/>
      <c r="Q323" s="121"/>
      <c r="R323" s="123"/>
      <c r="S323" s="123"/>
      <c r="T323" s="123"/>
      <c r="U323" s="123"/>
      <c r="V323" s="123"/>
      <c r="W323" s="123"/>
      <c r="X323" s="123"/>
      <c r="Y323" s="123"/>
      <c r="Z323" s="123"/>
      <c r="AA323" s="123"/>
      <c r="AB323" s="123"/>
      <c r="AC323" s="123"/>
      <c r="AD323" s="123"/>
      <c r="AE323" s="123"/>
      <c r="AF323" s="123"/>
      <c r="AG323" s="123"/>
      <c r="AH323" s="123"/>
      <c r="AI323" s="123"/>
      <c r="AJ323" s="87"/>
      <c r="AK323" s="87"/>
      <c r="AL323" s="87"/>
    </row>
    <row r="324">
      <c r="A324" s="90"/>
      <c r="B324" s="259"/>
      <c r="C324" s="259"/>
      <c r="D324" s="259"/>
      <c r="E324" s="102"/>
      <c r="F324" s="77"/>
      <c r="G324" s="102"/>
      <c r="H324" s="260"/>
      <c r="I324" s="259"/>
      <c r="J324" s="115"/>
      <c r="K324" s="115"/>
      <c r="L324" s="115"/>
      <c r="M324" s="115"/>
      <c r="N324" s="77"/>
      <c r="O324" s="115"/>
      <c r="P324" s="268"/>
      <c r="Q324" s="268"/>
      <c r="R324" s="77"/>
      <c r="S324" s="77"/>
      <c r="T324" s="77"/>
      <c r="U324" s="77"/>
      <c r="V324" s="115"/>
      <c r="W324" s="115"/>
      <c r="X324" s="115"/>
      <c r="Y324" s="115"/>
      <c r="Z324" s="115"/>
      <c r="AA324" s="115"/>
      <c r="AB324" s="261"/>
      <c r="AC324" s="77"/>
      <c r="AD324" s="115"/>
      <c r="AE324" s="77"/>
      <c r="AF324" s="77"/>
      <c r="AG324" s="115"/>
      <c r="AH324" s="262"/>
      <c r="AI324" s="262"/>
      <c r="AJ324" s="262"/>
      <c r="AK324" s="262"/>
      <c r="AL324" s="262"/>
    </row>
    <row r="325">
      <c r="A325" s="90"/>
      <c r="B325" s="259"/>
      <c r="C325" s="259"/>
      <c r="D325" s="259"/>
      <c r="E325" s="102"/>
      <c r="F325" s="77"/>
      <c r="G325" s="102"/>
      <c r="H325" s="260"/>
      <c r="I325" s="259"/>
      <c r="J325" s="115"/>
      <c r="K325" s="115"/>
      <c r="L325" s="115"/>
      <c r="M325" s="115"/>
      <c r="N325" s="115"/>
      <c r="O325" s="115"/>
      <c r="P325" s="268"/>
      <c r="Q325" s="268"/>
      <c r="R325" s="77"/>
      <c r="S325" s="77"/>
      <c r="T325" s="77"/>
      <c r="U325" s="77"/>
      <c r="V325" s="115"/>
      <c r="W325" s="115"/>
      <c r="X325" s="115"/>
      <c r="Y325" s="115"/>
      <c r="Z325" s="115"/>
      <c r="AA325" s="115"/>
      <c r="AB325" s="261"/>
      <c r="AC325" s="77"/>
      <c r="AD325" s="115"/>
      <c r="AE325" s="77"/>
      <c r="AF325" s="77"/>
      <c r="AG325" s="115"/>
      <c r="AH325" s="87"/>
      <c r="AI325" s="87"/>
      <c r="AJ325" s="87"/>
      <c r="AK325" s="87"/>
      <c r="AL325" s="87"/>
    </row>
    <row r="326">
      <c r="A326" s="90"/>
      <c r="B326" s="259"/>
      <c r="C326" s="259"/>
      <c r="D326" s="259"/>
      <c r="E326" s="102"/>
      <c r="F326" s="77"/>
      <c r="G326" s="102"/>
      <c r="H326" s="260"/>
      <c r="I326" s="259"/>
      <c r="J326" s="115"/>
      <c r="K326" s="115"/>
      <c r="L326" s="115"/>
      <c r="M326" s="115"/>
      <c r="N326" s="115"/>
      <c r="O326" s="115"/>
      <c r="P326" s="268"/>
      <c r="Q326" s="268"/>
      <c r="R326" s="77"/>
      <c r="S326" s="77"/>
      <c r="T326" s="77"/>
      <c r="U326" s="77"/>
      <c r="V326" s="115"/>
      <c r="W326" s="115"/>
      <c r="X326" s="115"/>
      <c r="Y326" s="115"/>
      <c r="Z326" s="115"/>
      <c r="AA326" s="115"/>
      <c r="AB326" s="261"/>
      <c r="AC326" s="77"/>
      <c r="AD326" s="115"/>
      <c r="AE326" s="77"/>
      <c r="AF326" s="77"/>
      <c r="AG326" s="115"/>
      <c r="AH326" s="87"/>
      <c r="AI326" s="87"/>
      <c r="AJ326" s="87"/>
      <c r="AK326" s="87"/>
      <c r="AL326" s="87"/>
    </row>
    <row r="327">
      <c r="A327" s="90"/>
      <c r="B327" s="259"/>
      <c r="C327" s="259"/>
      <c r="D327" s="259"/>
      <c r="E327" s="102"/>
      <c r="F327" s="77"/>
      <c r="G327" s="102"/>
      <c r="H327" s="260"/>
      <c r="I327" s="259"/>
      <c r="J327" s="115"/>
      <c r="K327" s="115"/>
      <c r="L327" s="115"/>
      <c r="M327" s="115"/>
      <c r="N327" s="115"/>
      <c r="O327" s="115"/>
      <c r="P327" s="268"/>
      <c r="Q327" s="268"/>
      <c r="R327" s="77"/>
      <c r="S327" s="77"/>
      <c r="T327" s="77"/>
      <c r="U327" s="77"/>
      <c r="V327" s="115"/>
      <c r="W327" s="115"/>
      <c r="X327" s="115"/>
      <c r="Y327" s="115"/>
      <c r="Z327" s="115"/>
      <c r="AA327" s="115"/>
      <c r="AB327" s="261"/>
      <c r="AC327" s="77"/>
      <c r="AD327" s="115"/>
      <c r="AE327" s="77"/>
      <c r="AF327" s="77"/>
      <c r="AG327" s="115"/>
      <c r="AH327" s="87"/>
      <c r="AI327" s="87"/>
      <c r="AJ327" s="87"/>
      <c r="AK327" s="87"/>
      <c r="AL327" s="87"/>
    </row>
    <row r="328">
      <c r="A328" s="90"/>
      <c r="B328" s="259"/>
      <c r="C328" s="259"/>
      <c r="D328" s="259"/>
      <c r="E328" s="102"/>
      <c r="F328" s="77"/>
      <c r="G328" s="102"/>
      <c r="H328" s="260"/>
      <c r="I328" s="259"/>
      <c r="J328" s="115"/>
      <c r="K328" s="115"/>
      <c r="L328" s="115"/>
      <c r="M328" s="115"/>
      <c r="N328" s="115"/>
      <c r="O328" s="115"/>
      <c r="P328" s="268"/>
      <c r="Q328" s="268"/>
      <c r="R328" s="77"/>
      <c r="S328" s="77"/>
      <c r="T328" s="77"/>
      <c r="U328" s="77"/>
      <c r="V328" s="115"/>
      <c r="W328" s="115"/>
      <c r="X328" s="115"/>
      <c r="Y328" s="115"/>
      <c r="Z328" s="115"/>
      <c r="AA328" s="115"/>
      <c r="AB328" s="261"/>
      <c r="AC328" s="77"/>
      <c r="AD328" s="115"/>
      <c r="AE328" s="77"/>
      <c r="AF328" s="77"/>
      <c r="AG328" s="115"/>
      <c r="AH328" s="87"/>
      <c r="AI328" s="87"/>
      <c r="AJ328" s="87"/>
      <c r="AK328" s="87"/>
      <c r="AL328" s="87"/>
    </row>
    <row r="329">
      <c r="A329" s="90"/>
      <c r="B329" s="259"/>
      <c r="C329" s="259"/>
      <c r="D329" s="259"/>
      <c r="E329" s="102"/>
      <c r="F329" s="77"/>
      <c r="G329" s="102"/>
      <c r="H329" s="260"/>
      <c r="I329" s="102"/>
      <c r="J329" s="115"/>
      <c r="K329" s="115"/>
      <c r="L329" s="77"/>
      <c r="M329" s="115"/>
      <c r="N329" s="115"/>
      <c r="O329" s="115"/>
      <c r="P329" s="268"/>
      <c r="Q329" s="268"/>
      <c r="R329" s="77"/>
      <c r="S329" s="77"/>
      <c r="T329" s="77"/>
      <c r="U329" s="77"/>
      <c r="V329" s="115"/>
      <c r="W329" s="115"/>
      <c r="X329" s="115"/>
      <c r="Y329" s="115"/>
      <c r="Z329" s="115"/>
      <c r="AA329" s="115"/>
      <c r="AB329" s="261"/>
      <c r="AC329" s="77"/>
      <c r="AD329" s="115"/>
      <c r="AE329" s="77"/>
      <c r="AF329" s="115"/>
      <c r="AG329" s="115"/>
      <c r="AH329" s="87"/>
      <c r="AI329" s="87"/>
      <c r="AJ329" s="87"/>
      <c r="AK329" s="87"/>
      <c r="AL329" s="87"/>
    </row>
    <row r="330">
      <c r="A330" s="302"/>
      <c r="B330" s="123"/>
      <c r="C330" s="147"/>
      <c r="D330" s="265"/>
      <c r="E330" s="265"/>
      <c r="F330" s="123"/>
      <c r="G330" s="265"/>
      <c r="H330" s="266"/>
      <c r="I330" s="265"/>
      <c r="J330" s="123"/>
      <c r="K330" s="123"/>
      <c r="L330" s="123"/>
      <c r="M330" s="123"/>
      <c r="N330" s="123"/>
      <c r="O330" s="123"/>
      <c r="P330" s="121"/>
      <c r="Q330" s="121"/>
      <c r="R330" s="123"/>
      <c r="S330" s="123"/>
      <c r="T330" s="123"/>
      <c r="U330" s="123"/>
      <c r="V330" s="123"/>
      <c r="W330" s="123"/>
      <c r="X330" s="123"/>
      <c r="Y330" s="123"/>
      <c r="Z330" s="123"/>
      <c r="AA330" s="123"/>
      <c r="AB330" s="123"/>
      <c r="AC330" s="123"/>
      <c r="AD330" s="123"/>
      <c r="AE330" s="123"/>
      <c r="AF330" s="123"/>
      <c r="AG330" s="123"/>
      <c r="AH330" s="123"/>
      <c r="AI330" s="123"/>
      <c r="AJ330" s="87"/>
      <c r="AK330" s="87"/>
      <c r="AL330" s="87"/>
    </row>
    <row r="331">
      <c r="A331" s="302"/>
      <c r="B331" s="123"/>
      <c r="C331" s="147"/>
      <c r="D331" s="265"/>
      <c r="E331" s="265"/>
      <c r="F331" s="123"/>
      <c r="G331" s="265"/>
      <c r="H331" s="266"/>
      <c r="I331" s="265"/>
      <c r="J331" s="123"/>
      <c r="K331" s="123"/>
      <c r="L331" s="123"/>
      <c r="M331" s="123"/>
      <c r="N331" s="123"/>
      <c r="O331" s="123"/>
      <c r="P331" s="121"/>
      <c r="Q331" s="121"/>
      <c r="R331" s="123"/>
      <c r="S331" s="123"/>
      <c r="T331" s="123"/>
      <c r="U331" s="123"/>
      <c r="V331" s="123"/>
      <c r="W331" s="123"/>
      <c r="X331" s="123"/>
      <c r="Y331" s="123"/>
      <c r="Z331" s="123"/>
      <c r="AA331" s="123"/>
      <c r="AB331" s="123"/>
      <c r="AC331" s="123"/>
      <c r="AD331" s="123"/>
      <c r="AE331" s="123"/>
      <c r="AF331" s="123"/>
      <c r="AG331" s="123"/>
      <c r="AH331" s="123"/>
      <c r="AI331" s="123"/>
      <c r="AJ331" s="87"/>
      <c r="AK331" s="87"/>
      <c r="AL331" s="87"/>
    </row>
    <row r="332">
      <c r="A332" s="302"/>
      <c r="B332" s="123"/>
      <c r="C332" s="147"/>
      <c r="D332" s="265"/>
      <c r="E332" s="265"/>
      <c r="F332" s="123"/>
      <c r="G332" s="265"/>
      <c r="H332" s="266"/>
      <c r="I332" s="265"/>
      <c r="J332" s="123"/>
      <c r="K332" s="123"/>
      <c r="L332" s="123"/>
      <c r="M332" s="123"/>
      <c r="N332" s="123"/>
      <c r="O332" s="123"/>
      <c r="P332" s="121"/>
      <c r="Q332" s="121"/>
      <c r="R332" s="123"/>
      <c r="S332" s="123"/>
      <c r="T332" s="123"/>
      <c r="U332" s="123"/>
      <c r="V332" s="123"/>
      <c r="W332" s="123"/>
      <c r="X332" s="123"/>
      <c r="Y332" s="123"/>
      <c r="Z332" s="123"/>
      <c r="AA332" s="123"/>
      <c r="AB332" s="123"/>
      <c r="AC332" s="123"/>
      <c r="AD332" s="123"/>
      <c r="AE332" s="123"/>
      <c r="AF332" s="123"/>
      <c r="AG332" s="123"/>
      <c r="AH332" s="123"/>
      <c r="AI332" s="123"/>
      <c r="AJ332" s="87"/>
      <c r="AK332" s="87"/>
      <c r="AL332" s="87"/>
    </row>
    <row r="333">
      <c r="A333" s="302"/>
      <c r="B333" s="123"/>
      <c r="C333" s="147"/>
      <c r="D333" s="265"/>
      <c r="E333" s="265"/>
      <c r="F333" s="123"/>
      <c r="G333" s="265"/>
      <c r="H333" s="266"/>
      <c r="I333" s="265"/>
      <c r="J333" s="123"/>
      <c r="K333" s="123"/>
      <c r="L333" s="123"/>
      <c r="M333" s="123"/>
      <c r="N333" s="123"/>
      <c r="O333" s="123"/>
      <c r="P333" s="121"/>
      <c r="Q333" s="121"/>
      <c r="R333" s="123"/>
      <c r="S333" s="123"/>
      <c r="T333" s="123"/>
      <c r="U333" s="123"/>
      <c r="V333" s="123"/>
      <c r="W333" s="123"/>
      <c r="X333" s="123"/>
      <c r="Y333" s="123"/>
      <c r="Z333" s="123"/>
      <c r="AA333" s="123"/>
      <c r="AB333" s="123"/>
      <c r="AC333" s="123"/>
      <c r="AD333" s="123"/>
      <c r="AE333" s="123"/>
      <c r="AF333" s="123"/>
      <c r="AG333" s="123"/>
      <c r="AH333" s="123"/>
      <c r="AI333" s="123"/>
      <c r="AJ333" s="87"/>
      <c r="AK333" s="87"/>
      <c r="AL333" s="87"/>
    </row>
    <row r="334">
      <c r="A334" s="302"/>
      <c r="B334" s="123"/>
      <c r="C334" s="147"/>
      <c r="D334" s="265"/>
      <c r="E334" s="265"/>
      <c r="F334" s="123"/>
      <c r="G334" s="265"/>
      <c r="H334" s="266"/>
      <c r="I334" s="265"/>
      <c r="J334" s="123"/>
      <c r="K334" s="123"/>
      <c r="L334" s="123"/>
      <c r="M334" s="123"/>
      <c r="N334" s="123"/>
      <c r="O334" s="123"/>
      <c r="P334" s="121"/>
      <c r="Q334" s="121"/>
      <c r="R334" s="123"/>
      <c r="S334" s="123"/>
      <c r="T334" s="123"/>
      <c r="U334" s="123"/>
      <c r="V334" s="123"/>
      <c r="W334" s="123"/>
      <c r="X334" s="123"/>
      <c r="Y334" s="123"/>
      <c r="Z334" s="123"/>
      <c r="AA334" s="123"/>
      <c r="AB334" s="123"/>
      <c r="AC334" s="123"/>
      <c r="AD334" s="123"/>
      <c r="AE334" s="123"/>
      <c r="AF334" s="123"/>
      <c r="AG334" s="123"/>
      <c r="AH334" s="123"/>
      <c r="AI334" s="123"/>
      <c r="AJ334" s="87"/>
      <c r="AK334" s="87"/>
      <c r="AL334" s="87"/>
    </row>
    <row r="335">
      <c r="A335" s="302"/>
      <c r="B335" s="123"/>
      <c r="C335" s="147"/>
      <c r="D335" s="265"/>
      <c r="E335" s="265"/>
      <c r="F335" s="123"/>
      <c r="G335" s="265"/>
      <c r="H335" s="266"/>
      <c r="I335" s="265"/>
      <c r="J335" s="123"/>
      <c r="K335" s="123"/>
      <c r="L335" s="123"/>
      <c r="M335" s="123"/>
      <c r="N335" s="123"/>
      <c r="O335" s="123"/>
      <c r="P335" s="121"/>
      <c r="Q335" s="121"/>
      <c r="R335" s="123"/>
      <c r="S335" s="123"/>
      <c r="T335" s="123"/>
      <c r="U335" s="123"/>
      <c r="V335" s="123"/>
      <c r="W335" s="123"/>
      <c r="X335" s="123"/>
      <c r="Y335" s="123"/>
      <c r="Z335" s="123"/>
      <c r="AA335" s="123"/>
      <c r="AB335" s="123"/>
      <c r="AC335" s="123"/>
      <c r="AD335" s="123"/>
      <c r="AE335" s="123"/>
      <c r="AF335" s="123"/>
      <c r="AG335" s="123"/>
      <c r="AH335" s="123"/>
      <c r="AI335" s="123"/>
      <c r="AJ335" s="87"/>
      <c r="AK335" s="87"/>
      <c r="AL335" s="87"/>
    </row>
    <row r="336">
      <c r="A336" s="302"/>
      <c r="B336" s="123"/>
      <c r="C336" s="147"/>
      <c r="D336" s="265"/>
      <c r="E336" s="265"/>
      <c r="F336" s="123"/>
      <c r="G336" s="265"/>
      <c r="H336" s="266"/>
      <c r="I336" s="265"/>
      <c r="J336" s="123"/>
      <c r="K336" s="123"/>
      <c r="L336" s="123"/>
      <c r="M336" s="123"/>
      <c r="N336" s="123"/>
      <c r="O336" s="123"/>
      <c r="P336" s="121"/>
      <c r="Q336" s="121"/>
      <c r="R336" s="123"/>
      <c r="S336" s="123"/>
      <c r="T336" s="123"/>
      <c r="U336" s="123"/>
      <c r="V336" s="123"/>
      <c r="W336" s="123"/>
      <c r="X336" s="123"/>
      <c r="Y336" s="123"/>
      <c r="Z336" s="123"/>
      <c r="AA336" s="123"/>
      <c r="AB336" s="123"/>
      <c r="AC336" s="123"/>
      <c r="AD336" s="123"/>
      <c r="AE336" s="123"/>
      <c r="AF336" s="123"/>
      <c r="AG336" s="123"/>
      <c r="AH336" s="123"/>
      <c r="AI336" s="123"/>
      <c r="AJ336" s="87"/>
      <c r="AK336" s="87"/>
      <c r="AL336" s="87"/>
    </row>
    <row r="337">
      <c r="A337" s="302"/>
      <c r="B337" s="123"/>
      <c r="C337" s="147"/>
      <c r="D337" s="265"/>
      <c r="E337" s="265"/>
      <c r="F337" s="123"/>
      <c r="G337" s="265"/>
      <c r="H337" s="266"/>
      <c r="I337" s="265"/>
      <c r="J337" s="123"/>
      <c r="K337" s="123"/>
      <c r="L337" s="123"/>
      <c r="M337" s="123"/>
      <c r="N337" s="123"/>
      <c r="O337" s="123"/>
      <c r="P337" s="121"/>
      <c r="Q337" s="121"/>
      <c r="R337" s="123"/>
      <c r="S337" s="123"/>
      <c r="T337" s="123"/>
      <c r="U337" s="123"/>
      <c r="V337" s="123"/>
      <c r="W337" s="123"/>
      <c r="X337" s="123"/>
      <c r="Y337" s="123"/>
      <c r="Z337" s="123"/>
      <c r="AA337" s="123"/>
      <c r="AB337" s="123"/>
      <c r="AC337" s="123"/>
      <c r="AD337" s="123"/>
      <c r="AE337" s="123"/>
      <c r="AF337" s="123"/>
      <c r="AG337" s="123"/>
      <c r="AH337" s="123"/>
      <c r="AI337" s="123"/>
      <c r="AJ337" s="87"/>
      <c r="AK337" s="87"/>
      <c r="AL337" s="87"/>
    </row>
    <row r="338">
      <c r="A338" s="302"/>
      <c r="B338" s="123"/>
      <c r="C338" s="147"/>
      <c r="D338" s="265"/>
      <c r="E338" s="265"/>
      <c r="F338" s="123"/>
      <c r="G338" s="265"/>
      <c r="H338" s="266"/>
      <c r="I338" s="265"/>
      <c r="J338" s="123"/>
      <c r="K338" s="123"/>
      <c r="L338" s="123"/>
      <c r="M338" s="123"/>
      <c r="N338" s="123"/>
      <c r="O338" s="123"/>
      <c r="P338" s="121"/>
      <c r="Q338" s="121"/>
      <c r="R338" s="123"/>
      <c r="S338" s="123"/>
      <c r="T338" s="123"/>
      <c r="U338" s="123"/>
      <c r="V338" s="123"/>
      <c r="W338" s="123"/>
      <c r="X338" s="123"/>
      <c r="Y338" s="123"/>
      <c r="Z338" s="123"/>
      <c r="AA338" s="123"/>
      <c r="AB338" s="123"/>
      <c r="AC338" s="123"/>
      <c r="AD338" s="123"/>
      <c r="AE338" s="123"/>
      <c r="AF338" s="123"/>
      <c r="AG338" s="123"/>
      <c r="AH338" s="123"/>
      <c r="AI338" s="123"/>
      <c r="AJ338" s="87"/>
      <c r="AK338" s="87"/>
      <c r="AL338" s="87"/>
    </row>
    <row r="339">
      <c r="A339" s="302"/>
      <c r="B339" s="123"/>
      <c r="C339" s="147"/>
      <c r="D339" s="265"/>
      <c r="E339" s="265"/>
      <c r="F339" s="123"/>
      <c r="G339" s="265"/>
      <c r="H339" s="266"/>
      <c r="I339" s="265"/>
      <c r="J339" s="123"/>
      <c r="K339" s="123"/>
      <c r="L339" s="123"/>
      <c r="M339" s="123"/>
      <c r="N339" s="123"/>
      <c r="O339" s="123"/>
      <c r="P339" s="121"/>
      <c r="Q339" s="121"/>
      <c r="R339" s="123"/>
      <c r="S339" s="123"/>
      <c r="T339" s="123"/>
      <c r="U339" s="123"/>
      <c r="V339" s="123"/>
      <c r="W339" s="123"/>
      <c r="X339" s="123"/>
      <c r="Y339" s="123"/>
      <c r="Z339" s="123"/>
      <c r="AA339" s="123"/>
      <c r="AB339" s="123"/>
      <c r="AC339" s="123"/>
      <c r="AD339" s="123"/>
      <c r="AE339" s="123"/>
      <c r="AF339" s="123"/>
      <c r="AG339" s="123"/>
      <c r="AH339" s="123"/>
      <c r="AI339" s="123"/>
      <c r="AJ339" s="87"/>
      <c r="AK339" s="87"/>
      <c r="AL339" s="87"/>
    </row>
    <row r="340">
      <c r="A340" s="302"/>
      <c r="B340" s="123"/>
      <c r="C340" s="147"/>
      <c r="D340" s="265"/>
      <c r="E340" s="265"/>
      <c r="F340" s="123"/>
      <c r="G340" s="265"/>
      <c r="H340" s="266"/>
      <c r="I340" s="265"/>
      <c r="J340" s="123"/>
      <c r="K340" s="123"/>
      <c r="L340" s="123"/>
      <c r="M340" s="123"/>
      <c r="N340" s="123"/>
      <c r="O340" s="123"/>
      <c r="P340" s="121"/>
      <c r="Q340" s="121"/>
      <c r="R340" s="123"/>
      <c r="S340" s="123"/>
      <c r="T340" s="123"/>
      <c r="U340" s="123"/>
      <c r="V340" s="123"/>
      <c r="W340" s="123"/>
      <c r="X340" s="123"/>
      <c r="Y340" s="123"/>
      <c r="Z340" s="123"/>
      <c r="AA340" s="123"/>
      <c r="AB340" s="123"/>
      <c r="AC340" s="123"/>
      <c r="AD340" s="123"/>
      <c r="AE340" s="123"/>
      <c r="AF340" s="123"/>
      <c r="AG340" s="123"/>
      <c r="AH340" s="123"/>
      <c r="AI340" s="123"/>
      <c r="AJ340" s="87"/>
      <c r="AK340" s="87"/>
      <c r="AL340" s="87"/>
    </row>
    <row r="341">
      <c r="A341" s="302"/>
      <c r="B341" s="123"/>
      <c r="C341" s="147"/>
      <c r="D341" s="265"/>
      <c r="E341" s="265"/>
      <c r="F341" s="123"/>
      <c r="G341" s="265"/>
      <c r="H341" s="266"/>
      <c r="I341" s="265"/>
      <c r="J341" s="123"/>
      <c r="K341" s="123"/>
      <c r="L341" s="123"/>
      <c r="M341" s="123"/>
      <c r="N341" s="123"/>
      <c r="O341" s="123"/>
      <c r="P341" s="121"/>
      <c r="Q341" s="121"/>
      <c r="R341" s="123"/>
      <c r="S341" s="123"/>
      <c r="T341" s="123"/>
      <c r="U341" s="123"/>
      <c r="V341" s="123"/>
      <c r="W341" s="123"/>
      <c r="X341" s="123"/>
      <c r="Y341" s="123"/>
      <c r="Z341" s="123"/>
      <c r="AA341" s="123"/>
      <c r="AB341" s="123"/>
      <c r="AC341" s="123"/>
      <c r="AD341" s="123"/>
      <c r="AE341" s="123"/>
      <c r="AF341" s="123"/>
      <c r="AG341" s="123"/>
      <c r="AH341" s="123"/>
      <c r="AI341" s="123"/>
      <c r="AJ341" s="87"/>
      <c r="AK341" s="87"/>
      <c r="AL341" s="87"/>
    </row>
    <row r="342">
      <c r="A342" s="302"/>
      <c r="B342" s="123"/>
      <c r="C342" s="147"/>
      <c r="D342" s="265"/>
      <c r="E342" s="265"/>
      <c r="F342" s="123"/>
      <c r="G342" s="265"/>
      <c r="H342" s="266"/>
      <c r="I342" s="265"/>
      <c r="J342" s="123"/>
      <c r="K342" s="123"/>
      <c r="L342" s="123"/>
      <c r="M342" s="123"/>
      <c r="N342" s="123"/>
      <c r="O342" s="123"/>
      <c r="P342" s="121"/>
      <c r="Q342" s="121"/>
      <c r="R342" s="123"/>
      <c r="S342" s="123"/>
      <c r="T342" s="123"/>
      <c r="U342" s="123"/>
      <c r="V342" s="123"/>
      <c r="W342" s="123"/>
      <c r="X342" s="123"/>
      <c r="Y342" s="123"/>
      <c r="Z342" s="123"/>
      <c r="AA342" s="123"/>
      <c r="AB342" s="123"/>
      <c r="AC342" s="123"/>
      <c r="AD342" s="123"/>
      <c r="AE342" s="123"/>
      <c r="AF342" s="123"/>
      <c r="AG342" s="123"/>
      <c r="AH342" s="123"/>
      <c r="AI342" s="123"/>
      <c r="AJ342" s="87"/>
      <c r="AK342" s="87"/>
      <c r="AL342" s="87"/>
    </row>
    <row r="343">
      <c r="A343" s="302"/>
      <c r="B343" s="123"/>
      <c r="C343" s="147"/>
      <c r="D343" s="265"/>
      <c r="E343" s="265"/>
      <c r="F343" s="123"/>
      <c r="G343" s="265"/>
      <c r="H343" s="266"/>
      <c r="I343" s="265"/>
      <c r="J343" s="123"/>
      <c r="K343" s="123"/>
      <c r="L343" s="123"/>
      <c r="M343" s="123"/>
      <c r="N343" s="123"/>
      <c r="O343" s="123"/>
      <c r="P343" s="121"/>
      <c r="Q343" s="121"/>
      <c r="R343" s="123"/>
      <c r="S343" s="123"/>
      <c r="T343" s="123"/>
      <c r="U343" s="123"/>
      <c r="V343" s="123"/>
      <c r="W343" s="123"/>
      <c r="X343" s="123"/>
      <c r="Y343" s="123"/>
      <c r="Z343" s="123"/>
      <c r="AA343" s="123"/>
      <c r="AB343" s="123"/>
      <c r="AC343" s="123"/>
      <c r="AD343" s="123"/>
      <c r="AE343" s="123"/>
      <c r="AF343" s="123"/>
      <c r="AG343" s="123"/>
      <c r="AH343" s="123"/>
      <c r="AI343" s="123"/>
      <c r="AJ343" s="87"/>
      <c r="AK343" s="87"/>
      <c r="AL343" s="87"/>
    </row>
    <row r="344">
      <c r="A344" s="302"/>
      <c r="B344" s="123"/>
      <c r="C344" s="147"/>
      <c r="D344" s="265"/>
      <c r="E344" s="265"/>
      <c r="F344" s="123"/>
      <c r="G344" s="265"/>
      <c r="H344" s="266"/>
      <c r="I344" s="265"/>
      <c r="J344" s="123"/>
      <c r="K344" s="123"/>
      <c r="L344" s="123"/>
      <c r="M344" s="123"/>
      <c r="N344" s="123"/>
      <c r="O344" s="123"/>
      <c r="P344" s="121"/>
      <c r="Q344" s="121"/>
      <c r="R344" s="123"/>
      <c r="S344" s="123"/>
      <c r="T344" s="123"/>
      <c r="U344" s="123"/>
      <c r="V344" s="123"/>
      <c r="W344" s="123"/>
      <c r="X344" s="123"/>
      <c r="Y344" s="123"/>
      <c r="Z344" s="123"/>
      <c r="AA344" s="123"/>
      <c r="AB344" s="123"/>
      <c r="AC344" s="123"/>
      <c r="AD344" s="123"/>
      <c r="AE344" s="123"/>
      <c r="AF344" s="123"/>
      <c r="AG344" s="123"/>
      <c r="AH344" s="123"/>
      <c r="AI344" s="123"/>
      <c r="AJ344" s="87"/>
      <c r="AK344" s="87"/>
      <c r="AL344" s="87"/>
    </row>
    <row r="345">
      <c r="A345" s="273"/>
      <c r="B345" s="273"/>
      <c r="C345" s="273"/>
      <c r="D345" s="273"/>
      <c r="E345" s="293"/>
      <c r="F345" s="192"/>
      <c r="G345" s="293"/>
      <c r="H345" s="260"/>
      <c r="I345" s="273"/>
      <c r="J345" s="124"/>
      <c r="K345" s="124"/>
      <c r="L345" s="192"/>
      <c r="M345" s="192"/>
      <c r="N345" s="192"/>
      <c r="O345" s="192"/>
      <c r="P345" s="128"/>
      <c r="Q345" s="128"/>
      <c r="R345" s="192"/>
      <c r="S345" s="192"/>
      <c r="T345" s="192"/>
      <c r="U345" s="192"/>
      <c r="V345" s="124"/>
      <c r="W345" s="124"/>
      <c r="X345" s="124"/>
      <c r="Y345" s="124"/>
      <c r="Z345" s="124"/>
      <c r="AA345" s="124"/>
      <c r="AB345" s="124"/>
      <c r="AC345" s="192"/>
      <c r="AD345" s="124"/>
      <c r="AE345" s="192"/>
      <c r="AF345" s="192"/>
      <c r="AG345" s="124"/>
      <c r="AH345" s="192"/>
      <c r="AI345" s="192"/>
      <c r="AJ345" s="87"/>
      <c r="AK345" s="87"/>
      <c r="AL345" s="87"/>
    </row>
    <row r="346">
      <c r="A346" s="90"/>
      <c r="B346" s="259"/>
      <c r="C346" s="259"/>
      <c r="D346" s="259"/>
      <c r="E346" s="102"/>
      <c r="F346" s="77"/>
      <c r="G346" s="102"/>
      <c r="H346" s="260"/>
      <c r="I346" s="259"/>
      <c r="J346" s="77"/>
      <c r="K346" s="115"/>
      <c r="L346" s="115"/>
      <c r="M346" s="77"/>
      <c r="N346" s="77"/>
      <c r="O346" s="115"/>
      <c r="P346" s="268"/>
      <c r="Q346" s="268"/>
      <c r="R346" s="77"/>
      <c r="S346" s="77"/>
      <c r="T346" s="77"/>
      <c r="U346" s="77"/>
      <c r="V346" s="115"/>
      <c r="W346" s="115"/>
      <c r="X346" s="115"/>
      <c r="Y346" s="115"/>
      <c r="Z346" s="115"/>
      <c r="AA346" s="115"/>
      <c r="AB346" s="261"/>
      <c r="AC346" s="77"/>
      <c r="AD346" s="115"/>
      <c r="AE346" s="77"/>
      <c r="AF346" s="115"/>
      <c r="AG346" s="115"/>
      <c r="AH346" s="87"/>
      <c r="AI346" s="87"/>
      <c r="AJ346" s="87"/>
      <c r="AK346" s="87"/>
      <c r="AL346" s="87"/>
    </row>
    <row r="347">
      <c r="A347" s="302"/>
      <c r="B347" s="123"/>
      <c r="C347" s="147"/>
      <c r="D347" s="265"/>
      <c r="E347" s="265"/>
      <c r="F347" s="123"/>
      <c r="G347" s="265"/>
      <c r="H347" s="266"/>
      <c r="I347" s="265"/>
      <c r="J347" s="123"/>
      <c r="K347" s="123"/>
      <c r="L347" s="123"/>
      <c r="M347" s="123"/>
      <c r="N347" s="123"/>
      <c r="O347" s="123"/>
      <c r="P347" s="121"/>
      <c r="Q347" s="121"/>
      <c r="R347" s="123"/>
      <c r="S347" s="123"/>
      <c r="T347" s="123"/>
      <c r="U347" s="123"/>
      <c r="V347" s="123"/>
      <c r="W347" s="123"/>
      <c r="X347" s="123"/>
      <c r="Y347" s="123"/>
      <c r="Z347" s="123"/>
      <c r="AA347" s="123"/>
      <c r="AB347" s="123"/>
      <c r="AC347" s="123"/>
      <c r="AD347" s="123"/>
      <c r="AE347" s="123"/>
      <c r="AF347" s="123"/>
      <c r="AG347" s="123"/>
      <c r="AH347" s="123"/>
      <c r="AI347" s="123"/>
      <c r="AJ347" s="87"/>
      <c r="AK347" s="87"/>
      <c r="AL347" s="87"/>
    </row>
    <row r="348">
      <c r="A348" s="302"/>
      <c r="B348" s="123"/>
      <c r="C348" s="147"/>
      <c r="D348" s="265"/>
      <c r="E348" s="265"/>
      <c r="F348" s="123"/>
      <c r="G348" s="265"/>
      <c r="H348" s="266"/>
      <c r="I348" s="265"/>
      <c r="J348" s="123"/>
      <c r="K348" s="123"/>
      <c r="L348" s="123"/>
      <c r="M348" s="123"/>
      <c r="N348" s="123"/>
      <c r="O348" s="123"/>
      <c r="P348" s="121"/>
      <c r="Q348" s="121"/>
      <c r="R348" s="123"/>
      <c r="S348" s="123"/>
      <c r="T348" s="123"/>
      <c r="U348" s="123"/>
      <c r="V348" s="123"/>
      <c r="W348" s="123"/>
      <c r="X348" s="123"/>
      <c r="Y348" s="123"/>
      <c r="Z348" s="123"/>
      <c r="AA348" s="123"/>
      <c r="AB348" s="123"/>
      <c r="AC348" s="123"/>
      <c r="AD348" s="123"/>
      <c r="AE348" s="123"/>
      <c r="AF348" s="123"/>
      <c r="AG348" s="123"/>
      <c r="AH348" s="123"/>
      <c r="AI348" s="123"/>
      <c r="AJ348" s="87"/>
      <c r="AK348" s="87"/>
      <c r="AL348" s="87"/>
    </row>
    <row r="349">
      <c r="A349" s="302"/>
      <c r="B349" s="123"/>
      <c r="C349" s="147"/>
      <c r="D349" s="265"/>
      <c r="E349" s="265"/>
      <c r="F349" s="123"/>
      <c r="G349" s="265"/>
      <c r="H349" s="266"/>
      <c r="I349" s="265"/>
      <c r="J349" s="123"/>
      <c r="K349" s="123"/>
      <c r="L349" s="123"/>
      <c r="M349" s="123"/>
      <c r="N349" s="123"/>
      <c r="O349" s="123"/>
      <c r="P349" s="121"/>
      <c r="Q349" s="121"/>
      <c r="R349" s="123"/>
      <c r="S349" s="123"/>
      <c r="T349" s="123"/>
      <c r="U349" s="123"/>
      <c r="V349" s="123"/>
      <c r="W349" s="123"/>
      <c r="X349" s="123"/>
      <c r="Y349" s="123"/>
      <c r="Z349" s="123"/>
      <c r="AA349" s="123"/>
      <c r="AB349" s="123"/>
      <c r="AC349" s="123"/>
      <c r="AD349" s="123"/>
      <c r="AE349" s="123"/>
      <c r="AF349" s="123"/>
      <c r="AG349" s="123"/>
      <c r="AH349" s="123"/>
      <c r="AI349" s="123"/>
      <c r="AJ349" s="87"/>
      <c r="AK349" s="87"/>
      <c r="AL349" s="87"/>
    </row>
    <row r="350">
      <c r="A350" s="302"/>
      <c r="B350" s="123"/>
      <c r="C350" s="147"/>
      <c r="D350" s="265"/>
      <c r="E350" s="265"/>
      <c r="F350" s="123"/>
      <c r="G350" s="265"/>
      <c r="H350" s="266"/>
      <c r="I350" s="265"/>
      <c r="J350" s="123"/>
      <c r="K350" s="123"/>
      <c r="L350" s="123"/>
      <c r="M350" s="123"/>
      <c r="N350" s="123"/>
      <c r="O350" s="123"/>
      <c r="P350" s="121"/>
      <c r="Q350" s="121"/>
      <c r="R350" s="123"/>
      <c r="S350" s="123"/>
      <c r="T350" s="123"/>
      <c r="U350" s="123"/>
      <c r="V350" s="123"/>
      <c r="W350" s="123"/>
      <c r="X350" s="123"/>
      <c r="Y350" s="123"/>
      <c r="Z350" s="123"/>
      <c r="AA350" s="123"/>
      <c r="AB350" s="123"/>
      <c r="AC350" s="123"/>
      <c r="AD350" s="123"/>
      <c r="AE350" s="123"/>
      <c r="AF350" s="123"/>
      <c r="AG350" s="123"/>
      <c r="AH350" s="123"/>
      <c r="AI350" s="123"/>
      <c r="AJ350" s="87"/>
      <c r="AK350" s="87"/>
      <c r="AL350" s="87"/>
    </row>
    <row r="351">
      <c r="A351" s="302"/>
      <c r="B351" s="123"/>
      <c r="C351" s="147"/>
      <c r="D351" s="265"/>
      <c r="E351" s="265"/>
      <c r="F351" s="123"/>
      <c r="G351" s="265"/>
      <c r="H351" s="266"/>
      <c r="I351" s="265"/>
      <c r="J351" s="123"/>
      <c r="K351" s="123"/>
      <c r="L351" s="123"/>
      <c r="M351" s="123"/>
      <c r="N351" s="123"/>
      <c r="O351" s="123"/>
      <c r="P351" s="121"/>
      <c r="Q351" s="121"/>
      <c r="R351" s="123"/>
      <c r="S351" s="123"/>
      <c r="T351" s="123"/>
      <c r="U351" s="123"/>
      <c r="V351" s="123"/>
      <c r="W351" s="123"/>
      <c r="X351" s="123"/>
      <c r="Y351" s="123"/>
      <c r="Z351" s="123"/>
      <c r="AA351" s="123"/>
      <c r="AB351" s="123"/>
      <c r="AC351" s="123"/>
      <c r="AD351" s="123"/>
      <c r="AE351" s="123"/>
      <c r="AF351" s="123"/>
      <c r="AG351" s="123"/>
      <c r="AH351" s="123"/>
      <c r="AI351" s="123"/>
      <c r="AJ351" s="87"/>
      <c r="AK351" s="87"/>
      <c r="AL351" s="87"/>
    </row>
    <row r="352">
      <c r="A352" s="302"/>
      <c r="B352" s="123"/>
      <c r="C352" s="147"/>
      <c r="D352" s="265"/>
      <c r="E352" s="265"/>
      <c r="F352" s="123"/>
      <c r="G352" s="265"/>
      <c r="H352" s="266"/>
      <c r="I352" s="265"/>
      <c r="J352" s="123"/>
      <c r="K352" s="123"/>
      <c r="L352" s="123"/>
      <c r="M352" s="123"/>
      <c r="N352" s="123"/>
      <c r="O352" s="123"/>
      <c r="P352" s="121"/>
      <c r="Q352" s="121"/>
      <c r="R352" s="123"/>
      <c r="S352" s="123"/>
      <c r="T352" s="123"/>
      <c r="U352" s="123"/>
      <c r="V352" s="123"/>
      <c r="W352" s="123"/>
      <c r="X352" s="123"/>
      <c r="Y352" s="123"/>
      <c r="Z352" s="123"/>
      <c r="AA352" s="123"/>
      <c r="AB352" s="123"/>
      <c r="AC352" s="123"/>
      <c r="AD352" s="123"/>
      <c r="AE352" s="123"/>
      <c r="AF352" s="123"/>
      <c r="AG352" s="123"/>
      <c r="AH352" s="123"/>
      <c r="AI352" s="123"/>
      <c r="AJ352" s="87"/>
      <c r="AK352" s="87"/>
      <c r="AL352" s="87"/>
    </row>
    <row r="353">
      <c r="A353" s="302"/>
      <c r="B353" s="123"/>
      <c r="C353" s="147"/>
      <c r="D353" s="265"/>
      <c r="E353" s="265"/>
      <c r="F353" s="123"/>
      <c r="G353" s="265"/>
      <c r="H353" s="266"/>
      <c r="I353" s="265"/>
      <c r="J353" s="123"/>
      <c r="K353" s="123"/>
      <c r="L353" s="123"/>
      <c r="M353" s="123"/>
      <c r="N353" s="123"/>
      <c r="O353" s="123"/>
      <c r="P353" s="121"/>
      <c r="Q353" s="121"/>
      <c r="R353" s="123"/>
      <c r="S353" s="123"/>
      <c r="T353" s="123"/>
      <c r="U353" s="123"/>
      <c r="V353" s="123"/>
      <c r="W353" s="123"/>
      <c r="X353" s="123"/>
      <c r="Y353" s="123"/>
      <c r="Z353" s="123"/>
      <c r="AA353" s="123"/>
      <c r="AB353" s="123"/>
      <c r="AC353" s="123"/>
      <c r="AD353" s="123"/>
      <c r="AE353" s="123"/>
      <c r="AF353" s="123"/>
      <c r="AG353" s="123"/>
      <c r="AH353" s="123"/>
      <c r="AI353" s="123"/>
      <c r="AJ353" s="87"/>
      <c r="AK353" s="87"/>
      <c r="AL353" s="87"/>
    </row>
    <row r="354">
      <c r="A354" s="302"/>
      <c r="B354" s="123"/>
      <c r="C354" s="147"/>
      <c r="D354" s="265"/>
      <c r="E354" s="265"/>
      <c r="F354" s="123"/>
      <c r="G354" s="265"/>
      <c r="H354" s="266"/>
      <c r="I354" s="265"/>
      <c r="J354" s="123"/>
      <c r="K354" s="123"/>
      <c r="L354" s="123"/>
      <c r="M354" s="123"/>
      <c r="N354" s="123"/>
      <c r="O354" s="123"/>
      <c r="P354" s="121"/>
      <c r="Q354" s="121"/>
      <c r="R354" s="123"/>
      <c r="S354" s="123"/>
      <c r="T354" s="123"/>
      <c r="U354" s="123"/>
      <c r="V354" s="123"/>
      <c r="W354" s="123"/>
      <c r="X354" s="123"/>
      <c r="Y354" s="123"/>
      <c r="Z354" s="123"/>
      <c r="AA354" s="123"/>
      <c r="AB354" s="123"/>
      <c r="AC354" s="123"/>
      <c r="AD354" s="123"/>
      <c r="AE354" s="123"/>
      <c r="AF354" s="123"/>
      <c r="AG354" s="123"/>
      <c r="AH354" s="123"/>
      <c r="AI354" s="123"/>
      <c r="AJ354" s="87"/>
      <c r="AK354" s="87"/>
      <c r="AL354" s="87"/>
    </row>
    <row r="355">
      <c r="A355" s="302"/>
      <c r="B355" s="123"/>
      <c r="C355" s="147"/>
      <c r="D355" s="265"/>
      <c r="E355" s="265"/>
      <c r="F355" s="123"/>
      <c r="G355" s="265"/>
      <c r="H355" s="266"/>
      <c r="I355" s="265"/>
      <c r="J355" s="123"/>
      <c r="K355" s="123"/>
      <c r="L355" s="123"/>
      <c r="M355" s="123"/>
      <c r="N355" s="123"/>
      <c r="O355" s="123"/>
      <c r="P355" s="121"/>
      <c r="Q355" s="121"/>
      <c r="R355" s="123"/>
      <c r="S355" s="123"/>
      <c r="T355" s="123"/>
      <c r="U355" s="123"/>
      <c r="V355" s="123"/>
      <c r="W355" s="123"/>
      <c r="X355" s="123"/>
      <c r="Y355" s="123"/>
      <c r="Z355" s="123"/>
      <c r="AA355" s="123"/>
      <c r="AB355" s="123"/>
      <c r="AC355" s="123"/>
      <c r="AD355" s="123"/>
      <c r="AE355" s="123"/>
      <c r="AF355" s="123"/>
      <c r="AG355" s="123"/>
      <c r="AH355" s="123"/>
      <c r="AI355" s="123"/>
      <c r="AJ355" s="87"/>
      <c r="AK355" s="87"/>
      <c r="AL355" s="87"/>
    </row>
    <row r="356">
      <c r="A356" s="302"/>
      <c r="B356" s="123"/>
      <c r="C356" s="147"/>
      <c r="D356" s="265"/>
      <c r="E356" s="265"/>
      <c r="F356" s="123"/>
      <c r="G356" s="265"/>
      <c r="H356" s="266"/>
      <c r="I356" s="265"/>
      <c r="J356" s="123"/>
      <c r="K356" s="123"/>
      <c r="L356" s="123"/>
      <c r="M356" s="123"/>
      <c r="N356" s="123"/>
      <c r="O356" s="123"/>
      <c r="P356" s="121"/>
      <c r="Q356" s="121"/>
      <c r="R356" s="123"/>
      <c r="S356" s="123"/>
      <c r="T356" s="123"/>
      <c r="U356" s="123"/>
      <c r="V356" s="123"/>
      <c r="W356" s="123"/>
      <c r="X356" s="123"/>
      <c r="Y356" s="123"/>
      <c r="Z356" s="123"/>
      <c r="AA356" s="123"/>
      <c r="AB356" s="123"/>
      <c r="AC356" s="123"/>
      <c r="AD356" s="123"/>
      <c r="AE356" s="123"/>
      <c r="AF356" s="123"/>
      <c r="AG356" s="123"/>
      <c r="AH356" s="123"/>
      <c r="AI356" s="123"/>
      <c r="AJ356" s="87"/>
      <c r="AK356" s="87"/>
      <c r="AL356" s="87"/>
    </row>
    <row r="357">
      <c r="A357" s="302"/>
      <c r="B357" s="123"/>
      <c r="C357" s="147"/>
      <c r="D357" s="265"/>
      <c r="E357" s="265"/>
      <c r="F357" s="123"/>
      <c r="G357" s="265"/>
      <c r="H357" s="266"/>
      <c r="I357" s="265"/>
      <c r="J357" s="123"/>
      <c r="K357" s="123"/>
      <c r="L357" s="123"/>
      <c r="M357" s="123"/>
      <c r="N357" s="123"/>
      <c r="O357" s="123"/>
      <c r="P357" s="121"/>
      <c r="Q357" s="121"/>
      <c r="R357" s="123"/>
      <c r="S357" s="123"/>
      <c r="T357" s="123"/>
      <c r="U357" s="123"/>
      <c r="V357" s="123"/>
      <c r="W357" s="123"/>
      <c r="X357" s="123"/>
      <c r="Y357" s="123"/>
      <c r="Z357" s="123"/>
      <c r="AA357" s="123"/>
      <c r="AB357" s="123"/>
      <c r="AC357" s="123"/>
      <c r="AD357" s="123"/>
      <c r="AE357" s="123"/>
      <c r="AF357" s="123"/>
      <c r="AG357" s="123"/>
      <c r="AH357" s="123"/>
      <c r="AI357" s="123"/>
      <c r="AJ357" s="87"/>
      <c r="AK357" s="87"/>
      <c r="AL357" s="87"/>
    </row>
    <row r="358">
      <c r="A358" s="302"/>
      <c r="B358" s="123"/>
      <c r="C358" s="147"/>
      <c r="D358" s="265"/>
      <c r="E358" s="265"/>
      <c r="F358" s="123"/>
      <c r="G358" s="265"/>
      <c r="H358" s="266"/>
      <c r="I358" s="265"/>
      <c r="J358" s="123"/>
      <c r="K358" s="123"/>
      <c r="L358" s="123"/>
      <c r="M358" s="123"/>
      <c r="N358" s="123"/>
      <c r="O358" s="123"/>
      <c r="P358" s="121"/>
      <c r="Q358" s="121"/>
      <c r="R358" s="123"/>
      <c r="S358" s="123"/>
      <c r="T358" s="123"/>
      <c r="U358" s="123"/>
      <c r="V358" s="123"/>
      <c r="W358" s="123"/>
      <c r="X358" s="123"/>
      <c r="Y358" s="123"/>
      <c r="Z358" s="123"/>
      <c r="AA358" s="123"/>
      <c r="AB358" s="123"/>
      <c r="AC358" s="123"/>
      <c r="AD358" s="123"/>
      <c r="AE358" s="123"/>
      <c r="AF358" s="123"/>
      <c r="AG358" s="123"/>
      <c r="AH358" s="123"/>
      <c r="AI358" s="123"/>
      <c r="AJ358" s="87"/>
      <c r="AK358" s="87"/>
      <c r="AL358" s="87"/>
    </row>
    <row r="359">
      <c r="A359" s="302"/>
      <c r="B359" s="123"/>
      <c r="C359" s="147"/>
      <c r="D359" s="265"/>
      <c r="E359" s="265"/>
      <c r="F359" s="123"/>
      <c r="G359" s="265"/>
      <c r="H359" s="266"/>
      <c r="I359" s="265"/>
      <c r="J359" s="123"/>
      <c r="K359" s="123"/>
      <c r="L359" s="123"/>
      <c r="M359" s="123"/>
      <c r="N359" s="123"/>
      <c r="O359" s="123"/>
      <c r="P359" s="121"/>
      <c r="Q359" s="121"/>
      <c r="R359" s="123"/>
      <c r="S359" s="123"/>
      <c r="T359" s="123"/>
      <c r="U359" s="123"/>
      <c r="V359" s="123"/>
      <c r="W359" s="123"/>
      <c r="X359" s="123"/>
      <c r="Y359" s="123"/>
      <c r="Z359" s="123"/>
      <c r="AA359" s="123"/>
      <c r="AB359" s="123"/>
      <c r="AC359" s="123"/>
      <c r="AD359" s="123"/>
      <c r="AE359" s="123"/>
      <c r="AF359" s="123"/>
      <c r="AG359" s="123"/>
      <c r="AH359" s="123"/>
      <c r="AI359" s="123"/>
      <c r="AJ359" s="87"/>
      <c r="AK359" s="87"/>
      <c r="AL359" s="87"/>
    </row>
    <row r="360">
      <c r="A360" s="302"/>
      <c r="B360" s="123"/>
      <c r="C360" s="147"/>
      <c r="D360" s="265"/>
      <c r="E360" s="265"/>
      <c r="F360" s="123"/>
      <c r="G360" s="265"/>
      <c r="H360" s="266"/>
      <c r="I360" s="265"/>
      <c r="J360" s="123"/>
      <c r="K360" s="123"/>
      <c r="L360" s="123"/>
      <c r="M360" s="123"/>
      <c r="N360" s="123"/>
      <c r="O360" s="123"/>
      <c r="P360" s="121"/>
      <c r="Q360" s="121"/>
      <c r="R360" s="123"/>
      <c r="S360" s="123"/>
      <c r="T360" s="123"/>
      <c r="U360" s="123"/>
      <c r="V360" s="123"/>
      <c r="W360" s="123"/>
      <c r="X360" s="123"/>
      <c r="Y360" s="123"/>
      <c r="Z360" s="123"/>
      <c r="AA360" s="123"/>
      <c r="AB360" s="123"/>
      <c r="AC360" s="123"/>
      <c r="AD360" s="123"/>
      <c r="AE360" s="123"/>
      <c r="AF360" s="123"/>
      <c r="AG360" s="123"/>
      <c r="AH360" s="123"/>
      <c r="AI360" s="123"/>
      <c r="AJ360" s="87"/>
      <c r="AK360" s="87"/>
      <c r="AL360" s="87"/>
    </row>
    <row r="361">
      <c r="A361" s="302"/>
      <c r="B361" s="123"/>
      <c r="C361" s="147"/>
      <c r="D361" s="265"/>
      <c r="E361" s="265"/>
      <c r="F361" s="123"/>
      <c r="G361" s="265"/>
      <c r="H361" s="266"/>
      <c r="I361" s="265"/>
      <c r="J361" s="123"/>
      <c r="K361" s="123"/>
      <c r="L361" s="123"/>
      <c r="M361" s="123"/>
      <c r="N361" s="123"/>
      <c r="O361" s="123"/>
      <c r="P361" s="121"/>
      <c r="Q361" s="121"/>
      <c r="R361" s="123"/>
      <c r="S361" s="123"/>
      <c r="T361" s="123"/>
      <c r="U361" s="123"/>
      <c r="V361" s="123"/>
      <c r="W361" s="123"/>
      <c r="X361" s="123"/>
      <c r="Y361" s="123"/>
      <c r="Z361" s="123"/>
      <c r="AA361" s="123"/>
      <c r="AB361" s="123"/>
      <c r="AC361" s="123"/>
      <c r="AD361" s="123"/>
      <c r="AE361" s="123"/>
      <c r="AF361" s="123"/>
      <c r="AG361" s="123"/>
      <c r="AH361" s="123"/>
      <c r="AI361" s="123"/>
      <c r="AJ361" s="87"/>
      <c r="AK361" s="87"/>
      <c r="AL361" s="87"/>
    </row>
    <row r="362">
      <c r="A362" s="90"/>
      <c r="B362" s="259"/>
      <c r="C362" s="259"/>
      <c r="D362" s="259"/>
      <c r="E362" s="102"/>
      <c r="F362" s="77"/>
      <c r="G362" s="102"/>
      <c r="H362" s="260"/>
      <c r="I362" s="259"/>
      <c r="J362" s="115"/>
      <c r="K362" s="115"/>
      <c r="L362" s="115"/>
      <c r="M362" s="115"/>
      <c r="N362" s="115"/>
      <c r="O362" s="115"/>
      <c r="P362" s="268"/>
      <c r="Q362" s="268"/>
      <c r="R362" s="77"/>
      <c r="S362" s="77"/>
      <c r="T362" s="77"/>
      <c r="U362" s="77"/>
      <c r="V362" s="115"/>
      <c r="W362" s="115"/>
      <c r="X362" s="115"/>
      <c r="Y362" s="115"/>
      <c r="Z362" s="115"/>
      <c r="AA362" s="115"/>
      <c r="AB362" s="261"/>
      <c r="AC362" s="77"/>
      <c r="AD362" s="115"/>
      <c r="AE362" s="77"/>
      <c r="AF362" s="115"/>
      <c r="AG362" s="115"/>
      <c r="AH362" s="87"/>
      <c r="AI362" s="87"/>
      <c r="AJ362" s="87"/>
      <c r="AK362" s="87"/>
      <c r="AL362" s="87"/>
    </row>
    <row r="363">
      <c r="A363" s="90"/>
      <c r="B363" s="259"/>
      <c r="C363" s="259"/>
      <c r="D363" s="259"/>
      <c r="E363" s="102"/>
      <c r="F363" s="77"/>
      <c r="G363" s="102"/>
      <c r="H363" s="260"/>
      <c r="I363" s="259"/>
      <c r="J363" s="77"/>
      <c r="K363" s="115"/>
      <c r="L363" s="77"/>
      <c r="M363" s="77"/>
      <c r="N363" s="77"/>
      <c r="O363" s="115"/>
      <c r="P363" s="268"/>
      <c r="Q363" s="268"/>
      <c r="R363" s="77"/>
      <c r="S363" s="77"/>
      <c r="T363" s="77"/>
      <c r="U363" s="77"/>
      <c r="V363" s="115"/>
      <c r="W363" s="115"/>
      <c r="X363" s="115"/>
      <c r="Y363" s="115"/>
      <c r="Z363" s="115"/>
      <c r="AA363" s="115"/>
      <c r="AB363" s="261"/>
      <c r="AC363" s="77"/>
      <c r="AD363" s="115"/>
      <c r="AE363" s="77"/>
      <c r="AF363" s="115"/>
      <c r="AG363" s="115"/>
      <c r="AH363" s="87"/>
      <c r="AI363" s="87"/>
      <c r="AJ363" s="87"/>
      <c r="AK363" s="87"/>
      <c r="AL363" s="87"/>
    </row>
    <row r="364">
      <c r="A364" s="90"/>
      <c r="B364" s="259"/>
      <c r="C364" s="259"/>
      <c r="D364" s="259"/>
      <c r="E364" s="102"/>
      <c r="F364" s="77"/>
      <c r="G364" s="102"/>
      <c r="H364" s="260"/>
      <c r="I364" s="259"/>
      <c r="J364" s="77"/>
      <c r="K364" s="115"/>
      <c r="L364" s="77"/>
      <c r="M364" s="77"/>
      <c r="N364" s="77"/>
      <c r="O364" s="77"/>
      <c r="P364" s="268"/>
      <c r="Q364" s="268"/>
      <c r="R364" s="77"/>
      <c r="S364" s="77"/>
      <c r="T364" s="77"/>
      <c r="U364" s="77"/>
      <c r="V364" s="115"/>
      <c r="W364" s="115"/>
      <c r="X364" s="115"/>
      <c r="Y364" s="115"/>
      <c r="Z364" s="115"/>
      <c r="AA364" s="115"/>
      <c r="AB364" s="261"/>
      <c r="AC364" s="77"/>
      <c r="AD364" s="115"/>
      <c r="AE364" s="77"/>
      <c r="AF364" s="115"/>
      <c r="AG364" s="115"/>
      <c r="AH364" s="87"/>
      <c r="AI364" s="87"/>
      <c r="AJ364" s="87"/>
      <c r="AK364" s="87"/>
      <c r="AL364" s="87"/>
    </row>
    <row r="365">
      <c r="A365" s="90"/>
      <c r="B365" s="259"/>
      <c r="C365" s="259"/>
      <c r="D365" s="259"/>
      <c r="E365" s="102"/>
      <c r="F365" s="77"/>
      <c r="G365" s="102"/>
      <c r="H365" s="260"/>
      <c r="I365" s="259"/>
      <c r="J365" s="77"/>
      <c r="K365" s="115"/>
      <c r="L365" s="77"/>
      <c r="M365" s="77"/>
      <c r="N365" s="77"/>
      <c r="O365" s="77"/>
      <c r="P365" s="268"/>
      <c r="Q365" s="268"/>
      <c r="R365" s="77"/>
      <c r="S365" s="77"/>
      <c r="T365" s="77"/>
      <c r="U365" s="77"/>
      <c r="V365" s="115"/>
      <c r="W365" s="115"/>
      <c r="X365" s="115"/>
      <c r="Y365" s="115"/>
      <c r="Z365" s="115"/>
      <c r="AA365" s="115"/>
      <c r="AB365" s="261"/>
      <c r="AC365" s="77"/>
      <c r="AD365" s="115"/>
      <c r="AE365" s="77"/>
      <c r="AF365" s="77"/>
      <c r="AG365" s="115"/>
      <c r="AH365" s="87"/>
      <c r="AI365" s="87"/>
      <c r="AJ365" s="87"/>
      <c r="AK365" s="87"/>
      <c r="AL365" s="87"/>
    </row>
    <row r="366">
      <c r="A366" s="302"/>
      <c r="B366" s="123"/>
      <c r="C366" s="147"/>
      <c r="D366" s="265"/>
      <c r="E366" s="265"/>
      <c r="F366" s="123"/>
      <c r="G366" s="265"/>
      <c r="H366" s="266"/>
      <c r="I366" s="265"/>
      <c r="J366" s="123"/>
      <c r="K366" s="123"/>
      <c r="L366" s="123"/>
      <c r="M366" s="123"/>
      <c r="N366" s="123"/>
      <c r="O366" s="123"/>
      <c r="P366" s="121"/>
      <c r="Q366" s="121"/>
      <c r="R366" s="123"/>
      <c r="S366" s="123"/>
      <c r="T366" s="123"/>
      <c r="U366" s="123"/>
      <c r="V366" s="123"/>
      <c r="W366" s="123"/>
      <c r="X366" s="123"/>
      <c r="Y366" s="123"/>
      <c r="Z366" s="123"/>
      <c r="AA366" s="123"/>
      <c r="AB366" s="123"/>
      <c r="AC366" s="123"/>
      <c r="AD366" s="123"/>
      <c r="AE366" s="123"/>
      <c r="AF366" s="123"/>
      <c r="AG366" s="123"/>
      <c r="AH366" s="123"/>
      <c r="AI366" s="123"/>
      <c r="AJ366" s="87"/>
      <c r="AK366" s="87"/>
      <c r="AL366" s="87"/>
    </row>
    <row r="367">
      <c r="A367" s="302"/>
      <c r="B367" s="123"/>
      <c r="C367" s="147"/>
      <c r="D367" s="265"/>
      <c r="E367" s="265"/>
      <c r="F367" s="123"/>
      <c r="G367" s="265"/>
      <c r="H367" s="266"/>
      <c r="I367" s="265"/>
      <c r="J367" s="123"/>
      <c r="K367" s="123"/>
      <c r="L367" s="123"/>
      <c r="M367" s="123"/>
      <c r="N367" s="123"/>
      <c r="O367" s="123"/>
      <c r="P367" s="121"/>
      <c r="Q367" s="121"/>
      <c r="R367" s="123"/>
      <c r="S367" s="123"/>
      <c r="T367" s="123"/>
      <c r="U367" s="123"/>
      <c r="V367" s="123"/>
      <c r="W367" s="123"/>
      <c r="X367" s="123"/>
      <c r="Y367" s="123"/>
      <c r="Z367" s="123"/>
      <c r="AA367" s="123"/>
      <c r="AB367" s="123"/>
      <c r="AC367" s="123"/>
      <c r="AD367" s="123"/>
      <c r="AE367" s="123"/>
      <c r="AF367" s="123"/>
      <c r="AG367" s="123"/>
      <c r="AH367" s="123"/>
      <c r="AI367" s="123"/>
      <c r="AJ367" s="87"/>
      <c r="AK367" s="87"/>
      <c r="AL367" s="87"/>
    </row>
    <row r="368">
      <c r="A368" s="302"/>
      <c r="B368" s="123"/>
      <c r="C368" s="147"/>
      <c r="D368" s="265"/>
      <c r="E368" s="265"/>
      <c r="F368" s="123"/>
      <c r="G368" s="265"/>
      <c r="H368" s="266"/>
      <c r="I368" s="265"/>
      <c r="J368" s="123"/>
      <c r="K368" s="123"/>
      <c r="L368" s="123"/>
      <c r="M368" s="123"/>
      <c r="N368" s="123"/>
      <c r="O368" s="123"/>
      <c r="P368" s="121"/>
      <c r="Q368" s="121"/>
      <c r="R368" s="123"/>
      <c r="S368" s="123"/>
      <c r="T368" s="123"/>
      <c r="U368" s="123"/>
      <c r="V368" s="123"/>
      <c r="W368" s="123"/>
      <c r="X368" s="123"/>
      <c r="Y368" s="123"/>
      <c r="Z368" s="123"/>
      <c r="AA368" s="123"/>
      <c r="AB368" s="123"/>
      <c r="AC368" s="123"/>
      <c r="AD368" s="123"/>
      <c r="AE368" s="123"/>
      <c r="AF368" s="123"/>
      <c r="AG368" s="123"/>
      <c r="AH368" s="123"/>
      <c r="AI368" s="123"/>
      <c r="AJ368" s="87"/>
      <c r="AK368" s="87"/>
      <c r="AL368" s="87"/>
    </row>
    <row r="369">
      <c r="A369" s="302"/>
      <c r="B369" s="123"/>
      <c r="C369" s="147"/>
      <c r="D369" s="265"/>
      <c r="E369" s="265"/>
      <c r="F369" s="123"/>
      <c r="G369" s="265"/>
      <c r="H369" s="266"/>
      <c r="I369" s="265"/>
      <c r="J369" s="123"/>
      <c r="K369" s="123"/>
      <c r="L369" s="123"/>
      <c r="M369" s="123"/>
      <c r="N369" s="123"/>
      <c r="O369" s="123"/>
      <c r="P369" s="121"/>
      <c r="Q369" s="121"/>
      <c r="R369" s="123"/>
      <c r="S369" s="123"/>
      <c r="T369" s="123"/>
      <c r="U369" s="123"/>
      <c r="V369" s="123"/>
      <c r="W369" s="123"/>
      <c r="X369" s="123"/>
      <c r="Y369" s="123"/>
      <c r="Z369" s="123"/>
      <c r="AA369" s="123"/>
      <c r="AB369" s="123"/>
      <c r="AC369" s="123"/>
      <c r="AD369" s="123"/>
      <c r="AE369" s="123"/>
      <c r="AF369" s="123"/>
      <c r="AG369" s="123"/>
      <c r="AH369" s="123"/>
      <c r="AI369" s="123"/>
      <c r="AJ369" s="87"/>
      <c r="AK369" s="87"/>
      <c r="AL369" s="87"/>
    </row>
    <row r="370">
      <c r="A370" s="302"/>
      <c r="B370" s="123"/>
      <c r="C370" s="147"/>
      <c r="D370" s="265"/>
      <c r="E370" s="265"/>
      <c r="F370" s="123"/>
      <c r="G370" s="265"/>
      <c r="H370" s="266"/>
      <c r="I370" s="265"/>
      <c r="J370" s="123"/>
      <c r="K370" s="123"/>
      <c r="L370" s="123"/>
      <c r="M370" s="123"/>
      <c r="N370" s="123"/>
      <c r="O370" s="123"/>
      <c r="P370" s="121"/>
      <c r="Q370" s="121"/>
      <c r="R370" s="123"/>
      <c r="S370" s="123"/>
      <c r="T370" s="123"/>
      <c r="U370" s="123"/>
      <c r="V370" s="123"/>
      <c r="W370" s="123"/>
      <c r="X370" s="123"/>
      <c r="Y370" s="123"/>
      <c r="Z370" s="123"/>
      <c r="AA370" s="123"/>
      <c r="AB370" s="123"/>
      <c r="AC370" s="123"/>
      <c r="AD370" s="123"/>
      <c r="AE370" s="123"/>
      <c r="AF370" s="123"/>
      <c r="AG370" s="123"/>
      <c r="AH370" s="123"/>
      <c r="AI370" s="123"/>
      <c r="AJ370" s="87"/>
      <c r="AK370" s="87"/>
      <c r="AL370" s="87"/>
    </row>
    <row r="371">
      <c r="A371" s="302"/>
      <c r="B371" s="123"/>
      <c r="C371" s="147"/>
      <c r="D371" s="265"/>
      <c r="E371" s="265"/>
      <c r="F371" s="123"/>
      <c r="G371" s="265"/>
      <c r="H371" s="266"/>
      <c r="I371" s="265"/>
      <c r="J371" s="123"/>
      <c r="K371" s="123"/>
      <c r="L371" s="123"/>
      <c r="M371" s="123"/>
      <c r="N371" s="123"/>
      <c r="O371" s="123"/>
      <c r="P371" s="121"/>
      <c r="Q371" s="121"/>
      <c r="R371" s="123"/>
      <c r="S371" s="123"/>
      <c r="T371" s="123"/>
      <c r="U371" s="123"/>
      <c r="V371" s="123"/>
      <c r="W371" s="123"/>
      <c r="X371" s="123"/>
      <c r="Y371" s="123"/>
      <c r="Z371" s="123"/>
      <c r="AA371" s="123"/>
      <c r="AB371" s="123"/>
      <c r="AC371" s="123"/>
      <c r="AD371" s="123"/>
      <c r="AE371" s="123"/>
      <c r="AF371" s="123"/>
      <c r="AG371" s="123"/>
      <c r="AH371" s="123"/>
      <c r="AI371" s="123"/>
      <c r="AJ371" s="87"/>
      <c r="AK371" s="87"/>
      <c r="AL371" s="87"/>
    </row>
    <row r="372">
      <c r="A372" s="302"/>
      <c r="B372" s="123"/>
      <c r="C372" s="147"/>
      <c r="D372" s="265"/>
      <c r="E372" s="265"/>
      <c r="F372" s="123"/>
      <c r="G372" s="265"/>
      <c r="H372" s="266"/>
      <c r="I372" s="265"/>
      <c r="J372" s="123"/>
      <c r="K372" s="123"/>
      <c r="L372" s="123"/>
      <c r="M372" s="123"/>
      <c r="N372" s="123"/>
      <c r="O372" s="123"/>
      <c r="P372" s="121"/>
      <c r="Q372" s="121"/>
      <c r="R372" s="123"/>
      <c r="S372" s="123"/>
      <c r="T372" s="123"/>
      <c r="U372" s="123"/>
      <c r="V372" s="123"/>
      <c r="W372" s="123"/>
      <c r="X372" s="123"/>
      <c r="Y372" s="123"/>
      <c r="Z372" s="123"/>
      <c r="AA372" s="123"/>
      <c r="AB372" s="123"/>
      <c r="AC372" s="123"/>
      <c r="AD372" s="123"/>
      <c r="AE372" s="123"/>
      <c r="AF372" s="123"/>
      <c r="AG372" s="123"/>
      <c r="AH372" s="123"/>
      <c r="AI372" s="123"/>
      <c r="AJ372" s="87"/>
      <c r="AK372" s="87"/>
      <c r="AL372" s="87"/>
    </row>
    <row r="373">
      <c r="A373" s="302"/>
      <c r="B373" s="123"/>
      <c r="C373" s="147"/>
      <c r="D373" s="265"/>
      <c r="E373" s="265"/>
      <c r="F373" s="123"/>
      <c r="G373" s="265"/>
      <c r="H373" s="266"/>
      <c r="I373" s="265"/>
      <c r="J373" s="123"/>
      <c r="K373" s="123"/>
      <c r="L373" s="123"/>
      <c r="M373" s="123"/>
      <c r="N373" s="123"/>
      <c r="O373" s="123"/>
      <c r="P373" s="121"/>
      <c r="Q373" s="121"/>
      <c r="R373" s="123"/>
      <c r="S373" s="123"/>
      <c r="T373" s="123"/>
      <c r="U373" s="123"/>
      <c r="V373" s="123"/>
      <c r="W373" s="123"/>
      <c r="X373" s="123"/>
      <c r="Y373" s="123"/>
      <c r="Z373" s="123"/>
      <c r="AA373" s="123"/>
      <c r="AB373" s="123"/>
      <c r="AC373" s="123"/>
      <c r="AD373" s="123"/>
      <c r="AE373" s="123"/>
      <c r="AF373" s="123"/>
      <c r="AG373" s="123"/>
      <c r="AH373" s="123"/>
      <c r="AI373" s="123"/>
      <c r="AJ373" s="87"/>
      <c r="AK373" s="87"/>
      <c r="AL373" s="87"/>
    </row>
    <row r="374">
      <c r="A374" s="302"/>
      <c r="B374" s="123"/>
      <c r="C374" s="147"/>
      <c r="D374" s="265"/>
      <c r="E374" s="265"/>
      <c r="F374" s="123"/>
      <c r="G374" s="265"/>
      <c r="H374" s="266"/>
      <c r="I374" s="265"/>
      <c r="J374" s="123"/>
      <c r="K374" s="123"/>
      <c r="L374" s="123"/>
      <c r="M374" s="123"/>
      <c r="N374" s="123"/>
      <c r="O374" s="123"/>
      <c r="P374" s="121"/>
      <c r="Q374" s="121"/>
      <c r="R374" s="123"/>
      <c r="S374" s="123"/>
      <c r="T374" s="123"/>
      <c r="U374" s="123"/>
      <c r="V374" s="123"/>
      <c r="W374" s="123"/>
      <c r="X374" s="123"/>
      <c r="Y374" s="123"/>
      <c r="Z374" s="123"/>
      <c r="AA374" s="123"/>
      <c r="AB374" s="123"/>
      <c r="AC374" s="123"/>
      <c r="AD374" s="123"/>
      <c r="AE374" s="123"/>
      <c r="AF374" s="123"/>
      <c r="AG374" s="123"/>
      <c r="AH374" s="123"/>
      <c r="AI374" s="123"/>
      <c r="AJ374" s="87"/>
      <c r="AK374" s="87"/>
      <c r="AL374" s="87"/>
    </row>
    <row r="375">
      <c r="A375" s="302"/>
      <c r="B375" s="123"/>
      <c r="C375" s="147"/>
      <c r="D375" s="265"/>
      <c r="E375" s="265"/>
      <c r="F375" s="123"/>
      <c r="G375" s="265"/>
      <c r="H375" s="266"/>
      <c r="I375" s="265"/>
      <c r="J375" s="123"/>
      <c r="K375" s="123"/>
      <c r="L375" s="123"/>
      <c r="M375" s="123"/>
      <c r="N375" s="123"/>
      <c r="O375" s="123"/>
      <c r="P375" s="121"/>
      <c r="Q375" s="121"/>
      <c r="R375" s="123"/>
      <c r="S375" s="123"/>
      <c r="T375" s="123"/>
      <c r="U375" s="123"/>
      <c r="V375" s="123"/>
      <c r="W375" s="123"/>
      <c r="X375" s="123"/>
      <c r="Y375" s="123"/>
      <c r="Z375" s="123"/>
      <c r="AA375" s="123"/>
      <c r="AB375" s="123"/>
      <c r="AC375" s="123"/>
      <c r="AD375" s="123"/>
      <c r="AE375" s="123"/>
      <c r="AF375" s="123"/>
      <c r="AG375" s="123"/>
      <c r="AH375" s="123"/>
      <c r="AI375" s="123"/>
      <c r="AJ375" s="87"/>
      <c r="AK375" s="87"/>
      <c r="AL375" s="87"/>
    </row>
    <row r="376">
      <c r="A376" s="302"/>
      <c r="B376" s="123"/>
      <c r="C376" s="147"/>
      <c r="D376" s="265"/>
      <c r="E376" s="265"/>
      <c r="F376" s="123"/>
      <c r="G376" s="265"/>
      <c r="H376" s="266"/>
      <c r="I376" s="265"/>
      <c r="J376" s="123"/>
      <c r="K376" s="123"/>
      <c r="L376" s="123"/>
      <c r="M376" s="123"/>
      <c r="N376" s="123"/>
      <c r="O376" s="123"/>
      <c r="P376" s="121"/>
      <c r="Q376" s="121"/>
      <c r="R376" s="123"/>
      <c r="S376" s="123"/>
      <c r="T376" s="123"/>
      <c r="U376" s="123"/>
      <c r="V376" s="123"/>
      <c r="W376" s="123"/>
      <c r="X376" s="123"/>
      <c r="Y376" s="123"/>
      <c r="Z376" s="123"/>
      <c r="AA376" s="123"/>
      <c r="AB376" s="123"/>
      <c r="AC376" s="123"/>
      <c r="AD376" s="123"/>
      <c r="AE376" s="123"/>
      <c r="AF376" s="123"/>
      <c r="AG376" s="123"/>
      <c r="AH376" s="123"/>
      <c r="AI376" s="123"/>
      <c r="AJ376" s="87"/>
      <c r="AK376" s="87"/>
      <c r="AL376" s="87"/>
    </row>
    <row r="377">
      <c r="A377" s="302"/>
      <c r="B377" s="123"/>
      <c r="C377" s="147"/>
      <c r="D377" s="265"/>
      <c r="E377" s="265"/>
      <c r="F377" s="123"/>
      <c r="G377" s="265"/>
      <c r="H377" s="266"/>
      <c r="I377" s="265"/>
      <c r="J377" s="123"/>
      <c r="K377" s="123"/>
      <c r="L377" s="123"/>
      <c r="M377" s="123"/>
      <c r="N377" s="123"/>
      <c r="O377" s="123"/>
      <c r="P377" s="121"/>
      <c r="Q377" s="121"/>
      <c r="R377" s="123"/>
      <c r="S377" s="123"/>
      <c r="T377" s="123"/>
      <c r="U377" s="123"/>
      <c r="V377" s="123"/>
      <c r="W377" s="123"/>
      <c r="X377" s="123"/>
      <c r="Y377" s="123"/>
      <c r="Z377" s="123"/>
      <c r="AA377" s="123"/>
      <c r="AB377" s="123"/>
      <c r="AC377" s="123"/>
      <c r="AD377" s="123"/>
      <c r="AE377" s="123"/>
      <c r="AF377" s="123"/>
      <c r="AG377" s="123"/>
      <c r="AH377" s="123"/>
      <c r="AI377" s="123"/>
      <c r="AJ377" s="87"/>
      <c r="AK377" s="87"/>
      <c r="AL377" s="87"/>
    </row>
    <row r="378">
      <c r="A378" s="302"/>
      <c r="B378" s="123"/>
      <c r="C378" s="147"/>
      <c r="D378" s="265"/>
      <c r="E378" s="265"/>
      <c r="F378" s="123"/>
      <c r="G378" s="265"/>
      <c r="H378" s="266"/>
      <c r="I378" s="265"/>
      <c r="J378" s="123"/>
      <c r="K378" s="123"/>
      <c r="L378" s="123"/>
      <c r="M378" s="123"/>
      <c r="N378" s="123"/>
      <c r="O378" s="123"/>
      <c r="P378" s="121"/>
      <c r="Q378" s="121"/>
      <c r="R378" s="123"/>
      <c r="S378" s="123"/>
      <c r="T378" s="123"/>
      <c r="U378" s="123"/>
      <c r="V378" s="123"/>
      <c r="W378" s="123"/>
      <c r="X378" s="123"/>
      <c r="Y378" s="123"/>
      <c r="Z378" s="123"/>
      <c r="AA378" s="123"/>
      <c r="AB378" s="123"/>
      <c r="AC378" s="123"/>
      <c r="AD378" s="123"/>
      <c r="AE378" s="123"/>
      <c r="AF378" s="123"/>
      <c r="AG378" s="123"/>
      <c r="AH378" s="123"/>
      <c r="AI378" s="123"/>
      <c r="AJ378" s="87"/>
      <c r="AK378" s="87"/>
      <c r="AL378" s="87"/>
    </row>
    <row r="379">
      <c r="A379" s="302"/>
      <c r="B379" s="123"/>
      <c r="C379" s="147"/>
      <c r="D379" s="265"/>
      <c r="E379" s="265"/>
      <c r="F379" s="123"/>
      <c r="G379" s="265"/>
      <c r="H379" s="266"/>
      <c r="I379" s="265"/>
      <c r="J379" s="123"/>
      <c r="K379" s="123"/>
      <c r="L379" s="123"/>
      <c r="M379" s="123"/>
      <c r="N379" s="123"/>
      <c r="O379" s="123"/>
      <c r="P379" s="121"/>
      <c r="Q379" s="121"/>
      <c r="R379" s="123"/>
      <c r="S379" s="123"/>
      <c r="T379" s="123"/>
      <c r="U379" s="123"/>
      <c r="V379" s="123"/>
      <c r="W379" s="123"/>
      <c r="X379" s="123"/>
      <c r="Y379" s="123"/>
      <c r="Z379" s="123"/>
      <c r="AA379" s="123"/>
      <c r="AB379" s="123"/>
      <c r="AC379" s="123"/>
      <c r="AD379" s="123"/>
      <c r="AE379" s="123"/>
      <c r="AF379" s="123"/>
      <c r="AG379" s="123"/>
      <c r="AH379" s="123"/>
      <c r="AI379" s="123"/>
      <c r="AJ379" s="87"/>
      <c r="AK379" s="87"/>
      <c r="AL379" s="87"/>
    </row>
    <row r="380">
      <c r="A380" s="302"/>
      <c r="B380" s="123"/>
      <c r="C380" s="147"/>
      <c r="D380" s="265"/>
      <c r="E380" s="265"/>
      <c r="F380" s="123"/>
      <c r="G380" s="265"/>
      <c r="H380" s="266"/>
      <c r="I380" s="265"/>
      <c r="J380" s="123"/>
      <c r="K380" s="123"/>
      <c r="L380" s="123"/>
      <c r="M380" s="123"/>
      <c r="N380" s="123"/>
      <c r="O380" s="123"/>
      <c r="P380" s="121"/>
      <c r="Q380" s="121"/>
      <c r="R380" s="123"/>
      <c r="S380" s="123"/>
      <c r="T380" s="123"/>
      <c r="U380" s="123"/>
      <c r="V380" s="123"/>
      <c r="W380" s="123"/>
      <c r="X380" s="123"/>
      <c r="Y380" s="123"/>
      <c r="Z380" s="123"/>
      <c r="AA380" s="123"/>
      <c r="AB380" s="123"/>
      <c r="AC380" s="123"/>
      <c r="AD380" s="123"/>
      <c r="AE380" s="123"/>
      <c r="AF380" s="123"/>
      <c r="AG380" s="123"/>
      <c r="AH380" s="123"/>
      <c r="AI380" s="123"/>
      <c r="AJ380" s="87"/>
      <c r="AK380" s="87"/>
      <c r="AL380" s="87"/>
    </row>
    <row r="381">
      <c r="A381" s="90"/>
      <c r="B381" s="259"/>
      <c r="C381" s="259"/>
      <c r="D381" s="259"/>
      <c r="E381" s="102"/>
      <c r="F381" s="77"/>
      <c r="G381" s="102"/>
      <c r="H381" s="260"/>
      <c r="I381" s="259"/>
      <c r="J381" s="77"/>
      <c r="K381" s="115"/>
      <c r="L381" s="77"/>
      <c r="M381" s="77"/>
      <c r="N381" s="77"/>
      <c r="O381" s="77"/>
      <c r="P381" s="268"/>
      <c r="Q381" s="268"/>
      <c r="R381" s="77"/>
      <c r="S381" s="77"/>
      <c r="T381" s="77"/>
      <c r="U381" s="77"/>
      <c r="V381" s="115"/>
      <c r="W381" s="115"/>
      <c r="X381" s="115"/>
      <c r="Y381" s="115"/>
      <c r="Z381" s="115"/>
      <c r="AA381" s="115"/>
      <c r="AB381" s="261"/>
      <c r="AC381" s="77"/>
      <c r="AD381" s="115"/>
      <c r="AE381" s="77"/>
      <c r="AF381" s="77"/>
      <c r="AG381" s="115"/>
      <c r="AH381" s="87"/>
      <c r="AI381" s="87"/>
      <c r="AJ381" s="87"/>
      <c r="AK381" s="87"/>
      <c r="AL381" s="87"/>
    </row>
    <row r="382">
      <c r="A382" s="147"/>
      <c r="B382" s="265"/>
      <c r="C382" s="147"/>
      <c r="D382" s="265"/>
      <c r="E382" s="265"/>
      <c r="F382" s="123"/>
      <c r="G382" s="265"/>
      <c r="H382" s="266"/>
      <c r="I382" s="265"/>
      <c r="J382" s="123"/>
      <c r="K382" s="123"/>
      <c r="L382" s="123"/>
      <c r="M382" s="123"/>
      <c r="N382" s="123"/>
      <c r="O382" s="123"/>
      <c r="P382" s="121"/>
      <c r="Q382" s="121"/>
      <c r="R382" s="123"/>
      <c r="S382" s="123"/>
      <c r="T382" s="123"/>
      <c r="U382" s="123"/>
      <c r="V382" s="123"/>
      <c r="W382" s="123"/>
      <c r="X382" s="123"/>
      <c r="Y382" s="123"/>
      <c r="Z382" s="123"/>
      <c r="AA382" s="123"/>
      <c r="AB382" s="123"/>
      <c r="AC382" s="123"/>
      <c r="AD382" s="123"/>
      <c r="AE382" s="123"/>
      <c r="AF382" s="123"/>
      <c r="AG382" s="123"/>
      <c r="AH382" s="123"/>
      <c r="AI382" s="123"/>
      <c r="AJ382" s="87"/>
      <c r="AK382" s="87"/>
      <c r="AL382" s="87"/>
    </row>
    <row r="383">
      <c r="A383" s="147"/>
      <c r="B383" s="265"/>
      <c r="C383" s="147"/>
      <c r="D383" s="265"/>
      <c r="E383" s="265"/>
      <c r="F383" s="123"/>
      <c r="G383" s="265"/>
      <c r="H383" s="266"/>
      <c r="I383" s="265"/>
      <c r="J383" s="123"/>
      <c r="K383" s="123"/>
      <c r="L383" s="123"/>
      <c r="M383" s="123"/>
      <c r="N383" s="123"/>
      <c r="O383" s="123"/>
      <c r="P383" s="121"/>
      <c r="Q383" s="121"/>
      <c r="R383" s="123"/>
      <c r="S383" s="123"/>
      <c r="T383" s="123"/>
      <c r="U383" s="123"/>
      <c r="V383" s="123"/>
      <c r="W383" s="123"/>
      <c r="X383" s="123"/>
      <c r="Y383" s="123"/>
      <c r="Z383" s="123"/>
      <c r="AA383" s="123"/>
      <c r="AB383" s="123"/>
      <c r="AC383" s="123"/>
      <c r="AD383" s="123"/>
      <c r="AE383" s="123"/>
      <c r="AF383" s="123"/>
      <c r="AG383" s="123"/>
      <c r="AH383" s="123"/>
      <c r="AI383" s="123"/>
      <c r="AJ383" s="87"/>
      <c r="AK383" s="87"/>
      <c r="AL383" s="87"/>
    </row>
    <row r="384">
      <c r="A384" s="147"/>
      <c r="B384" s="265"/>
      <c r="C384" s="147"/>
      <c r="D384" s="265"/>
      <c r="E384" s="265"/>
      <c r="F384" s="123"/>
      <c r="G384" s="265"/>
      <c r="H384" s="266"/>
      <c r="I384" s="265"/>
      <c r="J384" s="123"/>
      <c r="K384" s="123"/>
      <c r="L384" s="123"/>
      <c r="M384" s="123"/>
      <c r="N384" s="123"/>
      <c r="O384" s="123"/>
      <c r="P384" s="121"/>
      <c r="Q384" s="121"/>
      <c r="R384" s="123"/>
      <c r="S384" s="123"/>
      <c r="T384" s="123"/>
      <c r="U384" s="123"/>
      <c r="V384" s="123"/>
      <c r="W384" s="123"/>
      <c r="X384" s="123"/>
      <c r="Y384" s="123"/>
      <c r="Z384" s="123"/>
      <c r="AA384" s="123"/>
      <c r="AB384" s="123"/>
      <c r="AC384" s="123"/>
      <c r="AD384" s="123"/>
      <c r="AE384" s="123"/>
      <c r="AF384" s="123"/>
      <c r="AG384" s="123"/>
      <c r="AH384" s="123"/>
      <c r="AI384" s="123"/>
      <c r="AJ384" s="87"/>
      <c r="AK384" s="87"/>
      <c r="AL384" s="87"/>
    </row>
    <row r="385">
      <c r="A385" s="147"/>
      <c r="B385" s="265"/>
      <c r="C385" s="147"/>
      <c r="D385" s="265"/>
      <c r="E385" s="265"/>
      <c r="F385" s="123"/>
      <c r="G385" s="265"/>
      <c r="H385" s="266"/>
      <c r="I385" s="265"/>
      <c r="J385" s="123"/>
      <c r="K385" s="123"/>
      <c r="L385" s="123"/>
      <c r="M385" s="123"/>
      <c r="N385" s="123"/>
      <c r="O385" s="123"/>
      <c r="P385" s="121"/>
      <c r="Q385" s="121"/>
      <c r="R385" s="123"/>
      <c r="S385" s="123"/>
      <c r="T385" s="123"/>
      <c r="U385" s="123"/>
      <c r="V385" s="123"/>
      <c r="W385" s="123"/>
      <c r="X385" s="123"/>
      <c r="Y385" s="123"/>
      <c r="Z385" s="123"/>
      <c r="AA385" s="123"/>
      <c r="AB385" s="123"/>
      <c r="AC385" s="123"/>
      <c r="AD385" s="123"/>
      <c r="AE385" s="123"/>
      <c r="AF385" s="123"/>
      <c r="AG385" s="123"/>
      <c r="AH385" s="123"/>
      <c r="AI385" s="123"/>
      <c r="AJ385" s="87"/>
      <c r="AK385" s="87"/>
      <c r="AL385" s="87"/>
    </row>
    <row r="386">
      <c r="A386" s="147"/>
      <c r="B386" s="265"/>
      <c r="C386" s="147"/>
      <c r="D386" s="265"/>
      <c r="E386" s="265"/>
      <c r="F386" s="123"/>
      <c r="G386" s="265"/>
      <c r="H386" s="266"/>
      <c r="I386" s="265"/>
      <c r="J386" s="123"/>
      <c r="K386" s="123"/>
      <c r="L386" s="123"/>
      <c r="M386" s="123"/>
      <c r="N386" s="123"/>
      <c r="O386" s="123"/>
      <c r="P386" s="121"/>
      <c r="Q386" s="121"/>
      <c r="R386" s="123"/>
      <c r="S386" s="123"/>
      <c r="T386" s="123"/>
      <c r="U386" s="123"/>
      <c r="V386" s="123"/>
      <c r="W386" s="123"/>
      <c r="X386" s="123"/>
      <c r="Y386" s="123"/>
      <c r="Z386" s="123"/>
      <c r="AA386" s="123"/>
      <c r="AB386" s="123"/>
      <c r="AC386" s="123"/>
      <c r="AD386" s="123"/>
      <c r="AE386" s="123"/>
      <c r="AF386" s="123"/>
      <c r="AG386" s="123"/>
      <c r="AH386" s="123"/>
      <c r="AI386" s="123"/>
      <c r="AJ386" s="87"/>
      <c r="AK386" s="87"/>
      <c r="AL386" s="87"/>
    </row>
    <row r="387">
      <c r="A387" s="147"/>
      <c r="B387" s="265"/>
      <c r="C387" s="147"/>
      <c r="D387" s="265"/>
      <c r="E387" s="265"/>
      <c r="F387" s="123"/>
      <c r="G387" s="265"/>
      <c r="H387" s="266"/>
      <c r="I387" s="265"/>
      <c r="J387" s="123"/>
      <c r="K387" s="123"/>
      <c r="L387" s="123"/>
      <c r="M387" s="123"/>
      <c r="N387" s="123"/>
      <c r="O387" s="123"/>
      <c r="P387" s="121"/>
      <c r="Q387" s="121"/>
      <c r="R387" s="123"/>
      <c r="S387" s="123"/>
      <c r="T387" s="123"/>
      <c r="U387" s="123"/>
      <c r="V387" s="123"/>
      <c r="W387" s="123"/>
      <c r="X387" s="123"/>
      <c r="Y387" s="123"/>
      <c r="Z387" s="123"/>
      <c r="AA387" s="123"/>
      <c r="AB387" s="123"/>
      <c r="AC387" s="123"/>
      <c r="AD387" s="123"/>
      <c r="AE387" s="123"/>
      <c r="AF387" s="123"/>
      <c r="AG387" s="123"/>
      <c r="AH387" s="123"/>
      <c r="AI387" s="123"/>
      <c r="AJ387" s="87"/>
      <c r="AK387" s="87"/>
      <c r="AL387" s="87"/>
    </row>
    <row r="388">
      <c r="A388" s="147"/>
      <c r="B388" s="265"/>
      <c r="C388" s="147"/>
      <c r="D388" s="265"/>
      <c r="E388" s="265"/>
      <c r="F388" s="123"/>
      <c r="G388" s="265"/>
      <c r="H388" s="266"/>
      <c r="I388" s="265"/>
      <c r="J388" s="123"/>
      <c r="K388" s="123"/>
      <c r="L388" s="123"/>
      <c r="M388" s="123"/>
      <c r="N388" s="123"/>
      <c r="O388" s="123"/>
      <c r="P388" s="121"/>
      <c r="Q388" s="121"/>
      <c r="R388" s="123"/>
      <c r="S388" s="123"/>
      <c r="T388" s="123"/>
      <c r="U388" s="123"/>
      <c r="V388" s="123"/>
      <c r="W388" s="123"/>
      <c r="X388" s="123"/>
      <c r="Y388" s="123"/>
      <c r="Z388" s="123"/>
      <c r="AA388" s="123"/>
      <c r="AB388" s="123"/>
      <c r="AC388" s="123"/>
      <c r="AD388" s="123"/>
      <c r="AE388" s="123"/>
      <c r="AF388" s="123"/>
      <c r="AG388" s="123"/>
      <c r="AH388" s="123"/>
      <c r="AI388" s="123"/>
      <c r="AJ388" s="87"/>
      <c r="AK388" s="87"/>
      <c r="AL388" s="87"/>
    </row>
    <row r="389">
      <c r="A389" s="147"/>
      <c r="B389" s="265"/>
      <c r="C389" s="147"/>
      <c r="D389" s="265"/>
      <c r="E389" s="265"/>
      <c r="F389" s="123"/>
      <c r="G389" s="265"/>
      <c r="H389" s="266"/>
      <c r="I389" s="265"/>
      <c r="J389" s="123"/>
      <c r="K389" s="123"/>
      <c r="L389" s="123"/>
      <c r="M389" s="123"/>
      <c r="N389" s="123"/>
      <c r="O389" s="123"/>
      <c r="P389" s="121"/>
      <c r="Q389" s="121"/>
      <c r="R389" s="123"/>
      <c r="S389" s="123"/>
      <c r="T389" s="123"/>
      <c r="U389" s="123"/>
      <c r="V389" s="123"/>
      <c r="W389" s="123"/>
      <c r="X389" s="123"/>
      <c r="Y389" s="123"/>
      <c r="Z389" s="123"/>
      <c r="AA389" s="123"/>
      <c r="AB389" s="123"/>
      <c r="AC389" s="123"/>
      <c r="AD389" s="123"/>
      <c r="AE389" s="123"/>
      <c r="AF389" s="123"/>
      <c r="AG389" s="123"/>
      <c r="AH389" s="123"/>
      <c r="AI389" s="123"/>
      <c r="AJ389" s="87"/>
      <c r="AK389" s="87"/>
      <c r="AL389" s="87"/>
    </row>
    <row r="390">
      <c r="A390" s="147"/>
      <c r="B390" s="265"/>
      <c r="C390" s="147"/>
      <c r="D390" s="265"/>
      <c r="E390" s="265"/>
      <c r="F390" s="123"/>
      <c r="G390" s="265"/>
      <c r="H390" s="266"/>
      <c r="I390" s="265"/>
      <c r="J390" s="123"/>
      <c r="K390" s="123"/>
      <c r="L390" s="123"/>
      <c r="M390" s="123"/>
      <c r="N390" s="123"/>
      <c r="O390" s="123"/>
      <c r="P390" s="121"/>
      <c r="Q390" s="121"/>
      <c r="R390" s="123"/>
      <c r="S390" s="123"/>
      <c r="T390" s="123"/>
      <c r="U390" s="123"/>
      <c r="V390" s="123"/>
      <c r="W390" s="123"/>
      <c r="X390" s="123"/>
      <c r="Y390" s="123"/>
      <c r="Z390" s="123"/>
      <c r="AA390" s="123"/>
      <c r="AB390" s="123"/>
      <c r="AC390" s="123"/>
      <c r="AD390" s="123"/>
      <c r="AE390" s="123"/>
      <c r="AF390" s="123"/>
      <c r="AG390" s="123"/>
      <c r="AH390" s="123"/>
      <c r="AI390" s="123"/>
      <c r="AJ390" s="87"/>
      <c r="AK390" s="87"/>
      <c r="AL390" s="87"/>
    </row>
    <row r="391">
      <c r="A391" s="147"/>
      <c r="B391" s="265"/>
      <c r="C391" s="147"/>
      <c r="D391" s="265"/>
      <c r="E391" s="265"/>
      <c r="F391" s="123"/>
      <c r="G391" s="265"/>
      <c r="H391" s="266"/>
      <c r="I391" s="265"/>
      <c r="J391" s="123"/>
      <c r="K391" s="123"/>
      <c r="L391" s="123"/>
      <c r="M391" s="123"/>
      <c r="N391" s="123"/>
      <c r="O391" s="123"/>
      <c r="P391" s="121"/>
      <c r="Q391" s="121"/>
      <c r="R391" s="123"/>
      <c r="S391" s="123"/>
      <c r="T391" s="123"/>
      <c r="U391" s="123"/>
      <c r="V391" s="123"/>
      <c r="W391" s="123"/>
      <c r="X391" s="123"/>
      <c r="Y391" s="123"/>
      <c r="Z391" s="123"/>
      <c r="AA391" s="123"/>
      <c r="AB391" s="123"/>
      <c r="AC391" s="123"/>
      <c r="AD391" s="123"/>
      <c r="AE391" s="123"/>
      <c r="AF391" s="123"/>
      <c r="AG391" s="123"/>
      <c r="AH391" s="123"/>
      <c r="AI391" s="123"/>
      <c r="AJ391" s="87"/>
      <c r="AK391" s="87"/>
      <c r="AL391" s="87"/>
    </row>
    <row r="392">
      <c r="A392" s="90"/>
      <c r="B392" s="259"/>
      <c r="C392" s="259"/>
      <c r="D392" s="259"/>
      <c r="E392" s="102"/>
      <c r="F392" s="77"/>
      <c r="G392" s="102"/>
      <c r="H392" s="260"/>
      <c r="I392" s="259"/>
      <c r="J392" s="77"/>
      <c r="K392" s="115"/>
      <c r="L392" s="77"/>
      <c r="M392" s="77"/>
      <c r="N392" s="77"/>
      <c r="O392" s="77"/>
      <c r="P392" s="268"/>
      <c r="Q392" s="268"/>
      <c r="R392" s="77"/>
      <c r="S392" s="77"/>
      <c r="T392" s="77"/>
      <c r="U392" s="77"/>
      <c r="V392" s="115"/>
      <c r="W392" s="115"/>
      <c r="X392" s="115"/>
      <c r="Y392" s="115"/>
      <c r="Z392" s="115"/>
      <c r="AA392" s="115"/>
      <c r="AB392" s="261"/>
      <c r="AC392" s="77"/>
      <c r="AD392" s="115"/>
      <c r="AE392" s="77"/>
      <c r="AF392" s="77"/>
      <c r="AG392" s="115"/>
      <c r="AH392" s="87"/>
      <c r="AI392" s="87"/>
      <c r="AJ392" s="87"/>
      <c r="AK392" s="87"/>
      <c r="AL392" s="87"/>
    </row>
    <row r="393">
      <c r="A393" s="90"/>
      <c r="B393" s="259"/>
      <c r="C393" s="259"/>
      <c r="D393" s="315"/>
      <c r="E393" s="102"/>
      <c r="F393" s="77"/>
      <c r="G393" s="102"/>
      <c r="H393" s="260"/>
      <c r="I393" s="259"/>
      <c r="J393" s="259"/>
      <c r="K393" s="115"/>
      <c r="L393" s="77"/>
      <c r="M393" s="115"/>
      <c r="N393" s="115"/>
      <c r="O393" s="77"/>
      <c r="P393" s="268"/>
      <c r="Q393" s="268"/>
      <c r="R393" s="77"/>
      <c r="S393" s="77"/>
      <c r="T393" s="77"/>
      <c r="U393" s="77"/>
      <c r="V393" s="115"/>
      <c r="W393" s="115"/>
      <c r="X393" s="115"/>
      <c r="Y393" s="115"/>
      <c r="Z393" s="115"/>
      <c r="AA393" s="115"/>
      <c r="AB393" s="261"/>
      <c r="AC393" s="77"/>
      <c r="AD393" s="115"/>
      <c r="AE393" s="77"/>
      <c r="AF393" s="77"/>
      <c r="AG393" s="115"/>
      <c r="AH393" s="87"/>
      <c r="AI393" s="87"/>
      <c r="AJ393" s="87"/>
      <c r="AK393" s="87"/>
      <c r="AL393" s="87"/>
    </row>
    <row r="394">
      <c r="A394" s="147"/>
      <c r="B394" s="123"/>
      <c r="C394" s="147"/>
      <c r="D394" s="123"/>
      <c r="E394" s="265"/>
      <c r="F394" s="123"/>
      <c r="G394" s="265"/>
      <c r="H394" s="266"/>
      <c r="I394" s="265"/>
      <c r="J394" s="265"/>
      <c r="K394" s="123"/>
      <c r="L394" s="123"/>
      <c r="M394" s="123"/>
      <c r="N394" s="123"/>
      <c r="O394" s="123"/>
      <c r="P394" s="121"/>
      <c r="Q394" s="121"/>
      <c r="R394" s="123"/>
      <c r="S394" s="123"/>
      <c r="T394" s="123"/>
      <c r="U394" s="123"/>
      <c r="V394" s="123"/>
      <c r="W394" s="123"/>
      <c r="X394" s="123"/>
      <c r="Y394" s="123"/>
      <c r="Z394" s="123"/>
      <c r="AA394" s="123"/>
      <c r="AB394" s="123"/>
      <c r="AC394" s="123"/>
      <c r="AD394" s="123"/>
      <c r="AE394" s="123"/>
      <c r="AF394" s="123"/>
      <c r="AG394" s="123"/>
      <c r="AH394" s="123"/>
      <c r="AI394" s="123"/>
      <c r="AJ394" s="87"/>
      <c r="AK394" s="87"/>
      <c r="AL394" s="87"/>
    </row>
    <row r="395">
      <c r="A395" s="147"/>
      <c r="B395" s="123"/>
      <c r="C395" s="147"/>
      <c r="D395" s="123"/>
      <c r="E395" s="265"/>
      <c r="F395" s="123"/>
      <c r="G395" s="265"/>
      <c r="H395" s="266"/>
      <c r="I395" s="265"/>
      <c r="J395" s="265"/>
      <c r="K395" s="123"/>
      <c r="L395" s="123"/>
      <c r="M395" s="123"/>
      <c r="N395" s="123"/>
      <c r="O395" s="123"/>
      <c r="P395" s="121"/>
      <c r="Q395" s="121"/>
      <c r="R395" s="123"/>
      <c r="S395" s="123"/>
      <c r="T395" s="123"/>
      <c r="U395" s="123"/>
      <c r="V395" s="123"/>
      <c r="W395" s="123"/>
      <c r="X395" s="123"/>
      <c r="Y395" s="123"/>
      <c r="Z395" s="123"/>
      <c r="AA395" s="123"/>
      <c r="AB395" s="123"/>
      <c r="AC395" s="123"/>
      <c r="AD395" s="123"/>
      <c r="AE395" s="123"/>
      <c r="AF395" s="123"/>
      <c r="AG395" s="123"/>
      <c r="AH395" s="123"/>
      <c r="AI395" s="123"/>
      <c r="AJ395" s="87"/>
      <c r="AK395" s="87"/>
      <c r="AL395" s="87"/>
    </row>
    <row r="396">
      <c r="A396" s="147"/>
      <c r="B396" s="123"/>
      <c r="C396" s="147"/>
      <c r="D396" s="123"/>
      <c r="E396" s="265"/>
      <c r="F396" s="123"/>
      <c r="G396" s="265"/>
      <c r="H396" s="266"/>
      <c r="I396" s="265"/>
      <c r="J396" s="265"/>
      <c r="K396" s="123"/>
      <c r="L396" s="123"/>
      <c r="M396" s="123"/>
      <c r="N396" s="123"/>
      <c r="O396" s="123"/>
      <c r="P396" s="121"/>
      <c r="Q396" s="121"/>
      <c r="R396" s="123"/>
      <c r="S396" s="123"/>
      <c r="T396" s="123"/>
      <c r="U396" s="123"/>
      <c r="V396" s="123"/>
      <c r="W396" s="123"/>
      <c r="X396" s="123"/>
      <c r="Y396" s="123"/>
      <c r="Z396" s="123"/>
      <c r="AA396" s="123"/>
      <c r="AB396" s="123"/>
      <c r="AC396" s="123"/>
      <c r="AD396" s="123"/>
      <c r="AE396" s="123"/>
      <c r="AF396" s="123"/>
      <c r="AG396" s="123"/>
      <c r="AH396" s="123"/>
      <c r="AI396" s="123"/>
      <c r="AJ396" s="87"/>
      <c r="AK396" s="87"/>
      <c r="AL396" s="87"/>
    </row>
    <row r="397">
      <c r="A397" s="147"/>
      <c r="B397" s="123"/>
      <c r="C397" s="147"/>
      <c r="D397" s="123"/>
      <c r="E397" s="265"/>
      <c r="F397" s="123"/>
      <c r="G397" s="265"/>
      <c r="H397" s="266"/>
      <c r="I397" s="265"/>
      <c r="J397" s="265"/>
      <c r="K397" s="123"/>
      <c r="L397" s="123"/>
      <c r="M397" s="123"/>
      <c r="N397" s="123"/>
      <c r="O397" s="123"/>
      <c r="P397" s="121"/>
      <c r="Q397" s="121"/>
      <c r="R397" s="123"/>
      <c r="S397" s="123"/>
      <c r="T397" s="123"/>
      <c r="U397" s="123"/>
      <c r="V397" s="123"/>
      <c r="W397" s="123"/>
      <c r="X397" s="123"/>
      <c r="Y397" s="123"/>
      <c r="Z397" s="123"/>
      <c r="AA397" s="123"/>
      <c r="AB397" s="123"/>
      <c r="AC397" s="123"/>
      <c r="AD397" s="123"/>
      <c r="AE397" s="123"/>
      <c r="AF397" s="123"/>
      <c r="AG397" s="123"/>
      <c r="AH397" s="123"/>
      <c r="AI397" s="123"/>
      <c r="AJ397" s="87"/>
      <c r="AK397" s="87"/>
      <c r="AL397" s="87"/>
    </row>
    <row r="398">
      <c r="A398" s="147"/>
      <c r="B398" s="123"/>
      <c r="C398" s="147"/>
      <c r="D398" s="123"/>
      <c r="E398" s="265"/>
      <c r="F398" s="123"/>
      <c r="G398" s="265"/>
      <c r="H398" s="266"/>
      <c r="I398" s="265"/>
      <c r="J398" s="265"/>
      <c r="K398" s="123"/>
      <c r="L398" s="123"/>
      <c r="M398" s="123"/>
      <c r="N398" s="123"/>
      <c r="O398" s="123"/>
      <c r="P398" s="121"/>
      <c r="Q398" s="121"/>
      <c r="R398" s="123"/>
      <c r="S398" s="123"/>
      <c r="T398" s="123"/>
      <c r="U398" s="123"/>
      <c r="V398" s="123"/>
      <c r="W398" s="123"/>
      <c r="X398" s="123"/>
      <c r="Y398" s="123"/>
      <c r="Z398" s="123"/>
      <c r="AA398" s="123"/>
      <c r="AB398" s="123"/>
      <c r="AC398" s="123"/>
      <c r="AD398" s="123"/>
      <c r="AE398" s="123"/>
      <c r="AF398" s="123"/>
      <c r="AG398" s="123"/>
      <c r="AH398" s="123"/>
      <c r="AI398" s="123"/>
      <c r="AJ398" s="87"/>
      <c r="AK398" s="87"/>
      <c r="AL398" s="87"/>
    </row>
    <row r="399">
      <c r="A399" s="147"/>
      <c r="B399" s="123"/>
      <c r="C399" s="147"/>
      <c r="D399" s="123"/>
      <c r="E399" s="265"/>
      <c r="F399" s="123"/>
      <c r="G399" s="265"/>
      <c r="H399" s="266"/>
      <c r="I399" s="265"/>
      <c r="J399" s="265"/>
      <c r="K399" s="123"/>
      <c r="L399" s="123"/>
      <c r="M399" s="123"/>
      <c r="N399" s="123"/>
      <c r="O399" s="123"/>
      <c r="P399" s="121"/>
      <c r="Q399" s="121"/>
      <c r="R399" s="123"/>
      <c r="S399" s="123"/>
      <c r="T399" s="123"/>
      <c r="U399" s="123"/>
      <c r="V399" s="123"/>
      <c r="W399" s="123"/>
      <c r="X399" s="123"/>
      <c r="Y399" s="123"/>
      <c r="Z399" s="123"/>
      <c r="AA399" s="123"/>
      <c r="AB399" s="123"/>
      <c r="AC399" s="123"/>
      <c r="AD399" s="123"/>
      <c r="AE399" s="123"/>
      <c r="AF399" s="123"/>
      <c r="AG399" s="123"/>
      <c r="AH399" s="123"/>
      <c r="AI399" s="123"/>
      <c r="AJ399" s="87"/>
      <c r="AK399" s="87"/>
      <c r="AL399" s="87"/>
    </row>
    <row r="400">
      <c r="A400" s="147"/>
      <c r="B400" s="123"/>
      <c r="C400" s="147"/>
      <c r="D400" s="123"/>
      <c r="E400" s="265"/>
      <c r="F400" s="123"/>
      <c r="G400" s="265"/>
      <c r="H400" s="266"/>
      <c r="I400" s="265"/>
      <c r="J400" s="265"/>
      <c r="K400" s="123"/>
      <c r="L400" s="123"/>
      <c r="M400" s="123"/>
      <c r="N400" s="123"/>
      <c r="O400" s="123"/>
      <c r="P400" s="121"/>
      <c r="Q400" s="121"/>
      <c r="R400" s="123"/>
      <c r="S400" s="123"/>
      <c r="T400" s="123"/>
      <c r="U400" s="123"/>
      <c r="V400" s="123"/>
      <c r="W400" s="123"/>
      <c r="X400" s="123"/>
      <c r="Y400" s="123"/>
      <c r="Z400" s="123"/>
      <c r="AA400" s="123"/>
      <c r="AB400" s="123"/>
      <c r="AC400" s="123"/>
      <c r="AD400" s="123"/>
      <c r="AE400" s="123"/>
      <c r="AF400" s="123"/>
      <c r="AG400" s="123"/>
      <c r="AH400" s="123"/>
      <c r="AI400" s="123"/>
      <c r="AJ400" s="87"/>
      <c r="AK400" s="87"/>
      <c r="AL400" s="87"/>
    </row>
    <row r="401">
      <c r="A401" s="147"/>
      <c r="B401" s="123"/>
      <c r="C401" s="147"/>
      <c r="D401" s="123"/>
      <c r="E401" s="265"/>
      <c r="F401" s="123"/>
      <c r="G401" s="265"/>
      <c r="H401" s="266"/>
      <c r="I401" s="265"/>
      <c r="J401" s="265"/>
      <c r="K401" s="123"/>
      <c r="L401" s="123"/>
      <c r="M401" s="123"/>
      <c r="N401" s="123"/>
      <c r="O401" s="123"/>
      <c r="P401" s="121"/>
      <c r="Q401" s="121"/>
      <c r="R401" s="123"/>
      <c r="S401" s="123"/>
      <c r="T401" s="123"/>
      <c r="U401" s="123"/>
      <c r="V401" s="123"/>
      <c r="W401" s="123"/>
      <c r="X401" s="123"/>
      <c r="Y401" s="123"/>
      <c r="Z401" s="123"/>
      <c r="AA401" s="123"/>
      <c r="AB401" s="123"/>
      <c r="AC401" s="123"/>
      <c r="AD401" s="123"/>
      <c r="AE401" s="123"/>
      <c r="AF401" s="123"/>
      <c r="AG401" s="123"/>
      <c r="AH401" s="123"/>
      <c r="AI401" s="123"/>
      <c r="AJ401" s="87"/>
      <c r="AK401" s="87"/>
      <c r="AL401" s="87"/>
    </row>
    <row r="402">
      <c r="A402" s="147"/>
      <c r="B402" s="123"/>
      <c r="C402" s="147"/>
      <c r="D402" s="123"/>
      <c r="E402" s="265"/>
      <c r="F402" s="123"/>
      <c r="G402" s="265"/>
      <c r="H402" s="266"/>
      <c r="I402" s="265"/>
      <c r="J402" s="265"/>
      <c r="K402" s="123"/>
      <c r="L402" s="123"/>
      <c r="M402" s="123"/>
      <c r="N402" s="123"/>
      <c r="O402" s="123"/>
      <c r="P402" s="121"/>
      <c r="Q402" s="121"/>
      <c r="R402" s="123"/>
      <c r="S402" s="123"/>
      <c r="T402" s="123"/>
      <c r="U402" s="123"/>
      <c r="V402" s="123"/>
      <c r="W402" s="123"/>
      <c r="X402" s="123"/>
      <c r="Y402" s="123"/>
      <c r="Z402" s="123"/>
      <c r="AA402" s="123"/>
      <c r="AB402" s="123"/>
      <c r="AC402" s="123"/>
      <c r="AD402" s="123"/>
      <c r="AE402" s="123"/>
      <c r="AF402" s="123"/>
      <c r="AG402" s="123"/>
      <c r="AH402" s="123"/>
      <c r="AI402" s="123"/>
      <c r="AJ402" s="87"/>
      <c r="AK402" s="87"/>
      <c r="AL402" s="87"/>
    </row>
    <row r="403">
      <c r="A403" s="147"/>
      <c r="B403" s="123"/>
      <c r="C403" s="147"/>
      <c r="D403" s="123"/>
      <c r="E403" s="265"/>
      <c r="F403" s="123"/>
      <c r="G403" s="265"/>
      <c r="H403" s="266"/>
      <c r="I403" s="265"/>
      <c r="J403" s="265"/>
      <c r="K403" s="123"/>
      <c r="L403" s="123"/>
      <c r="M403" s="123"/>
      <c r="N403" s="123"/>
      <c r="O403" s="123"/>
      <c r="P403" s="121"/>
      <c r="Q403" s="121"/>
      <c r="R403" s="123"/>
      <c r="S403" s="123"/>
      <c r="T403" s="123"/>
      <c r="U403" s="123"/>
      <c r="V403" s="123"/>
      <c r="W403" s="123"/>
      <c r="X403" s="123"/>
      <c r="Y403" s="123"/>
      <c r="Z403" s="123"/>
      <c r="AA403" s="123"/>
      <c r="AB403" s="123"/>
      <c r="AC403" s="123"/>
      <c r="AD403" s="123"/>
      <c r="AE403" s="123"/>
      <c r="AF403" s="123"/>
      <c r="AG403" s="123"/>
      <c r="AH403" s="123"/>
      <c r="AI403" s="123"/>
      <c r="AJ403" s="87"/>
      <c r="AK403" s="87"/>
      <c r="AL403" s="87"/>
    </row>
    <row r="404">
      <c r="A404" s="147"/>
      <c r="B404" s="123"/>
      <c r="C404" s="147"/>
      <c r="D404" s="123"/>
      <c r="E404" s="265"/>
      <c r="F404" s="123"/>
      <c r="G404" s="265"/>
      <c r="H404" s="266"/>
      <c r="I404" s="265"/>
      <c r="J404" s="265"/>
      <c r="K404" s="123"/>
      <c r="L404" s="123"/>
      <c r="M404" s="123"/>
      <c r="N404" s="123"/>
      <c r="O404" s="123"/>
      <c r="P404" s="121"/>
      <c r="Q404" s="121"/>
      <c r="R404" s="123"/>
      <c r="S404" s="123"/>
      <c r="T404" s="123"/>
      <c r="U404" s="123"/>
      <c r="V404" s="123"/>
      <c r="W404" s="123"/>
      <c r="X404" s="123"/>
      <c r="Y404" s="123"/>
      <c r="Z404" s="123"/>
      <c r="AA404" s="123"/>
      <c r="AB404" s="123"/>
      <c r="AC404" s="123"/>
      <c r="AD404" s="123"/>
      <c r="AE404" s="123"/>
      <c r="AF404" s="123"/>
      <c r="AG404" s="123"/>
      <c r="AH404" s="123"/>
      <c r="AI404" s="123"/>
      <c r="AJ404" s="87"/>
      <c r="AK404" s="87"/>
      <c r="AL404" s="87"/>
    </row>
    <row r="405">
      <c r="A405" s="147"/>
      <c r="B405" s="123"/>
      <c r="C405" s="147"/>
      <c r="D405" s="123"/>
      <c r="E405" s="265"/>
      <c r="F405" s="123"/>
      <c r="G405" s="265"/>
      <c r="H405" s="266"/>
      <c r="I405" s="265"/>
      <c r="J405" s="265"/>
      <c r="K405" s="123"/>
      <c r="L405" s="123"/>
      <c r="M405" s="123"/>
      <c r="N405" s="123"/>
      <c r="O405" s="123"/>
      <c r="P405" s="121"/>
      <c r="Q405" s="121"/>
      <c r="R405" s="123"/>
      <c r="S405" s="123"/>
      <c r="T405" s="123"/>
      <c r="U405" s="123"/>
      <c r="V405" s="123"/>
      <c r="W405" s="123"/>
      <c r="X405" s="123"/>
      <c r="Y405" s="123"/>
      <c r="Z405" s="123"/>
      <c r="AA405" s="123"/>
      <c r="AB405" s="123"/>
      <c r="AC405" s="123"/>
      <c r="AD405" s="123"/>
      <c r="AE405" s="123"/>
      <c r="AF405" s="123"/>
      <c r="AG405" s="123"/>
      <c r="AH405" s="123"/>
      <c r="AI405" s="123"/>
      <c r="AJ405" s="87"/>
      <c r="AK405" s="87"/>
      <c r="AL405" s="87"/>
    </row>
    <row r="406">
      <c r="A406" s="147"/>
      <c r="B406" s="123"/>
      <c r="C406" s="147"/>
      <c r="D406" s="123"/>
      <c r="E406" s="265"/>
      <c r="F406" s="123"/>
      <c r="G406" s="265"/>
      <c r="H406" s="266"/>
      <c r="I406" s="265"/>
      <c r="J406" s="265"/>
      <c r="K406" s="123"/>
      <c r="L406" s="123"/>
      <c r="M406" s="123"/>
      <c r="N406" s="123"/>
      <c r="O406" s="123"/>
      <c r="P406" s="121"/>
      <c r="Q406" s="121"/>
      <c r="R406" s="123"/>
      <c r="S406" s="123"/>
      <c r="T406" s="123"/>
      <c r="U406" s="123"/>
      <c r="V406" s="123"/>
      <c r="W406" s="123"/>
      <c r="X406" s="123"/>
      <c r="Y406" s="123"/>
      <c r="Z406" s="123"/>
      <c r="AA406" s="123"/>
      <c r="AB406" s="123"/>
      <c r="AC406" s="123"/>
      <c r="AD406" s="123"/>
      <c r="AE406" s="123"/>
      <c r="AF406" s="123"/>
      <c r="AG406" s="123"/>
      <c r="AH406" s="123"/>
      <c r="AI406" s="123"/>
      <c r="AJ406" s="87"/>
      <c r="AK406" s="87"/>
      <c r="AL406" s="87"/>
    </row>
    <row r="407">
      <c r="A407" s="147"/>
      <c r="B407" s="123"/>
      <c r="C407" s="147"/>
      <c r="D407" s="123"/>
      <c r="E407" s="265"/>
      <c r="F407" s="123"/>
      <c r="G407" s="265"/>
      <c r="H407" s="266"/>
      <c r="I407" s="265"/>
      <c r="J407" s="265"/>
      <c r="K407" s="123"/>
      <c r="L407" s="123"/>
      <c r="M407" s="123"/>
      <c r="N407" s="123"/>
      <c r="O407" s="123"/>
      <c r="P407" s="121"/>
      <c r="Q407" s="121"/>
      <c r="R407" s="123"/>
      <c r="S407" s="123"/>
      <c r="T407" s="123"/>
      <c r="U407" s="123"/>
      <c r="V407" s="123"/>
      <c r="W407" s="123"/>
      <c r="X407" s="123"/>
      <c r="Y407" s="123"/>
      <c r="Z407" s="123"/>
      <c r="AA407" s="123"/>
      <c r="AB407" s="123"/>
      <c r="AC407" s="123"/>
      <c r="AD407" s="123"/>
      <c r="AE407" s="123"/>
      <c r="AF407" s="123"/>
      <c r="AG407" s="123"/>
      <c r="AH407" s="123"/>
      <c r="AI407" s="123"/>
      <c r="AJ407" s="87"/>
      <c r="AK407" s="87"/>
      <c r="AL407" s="87"/>
    </row>
    <row r="408">
      <c r="A408" s="147"/>
      <c r="B408" s="123"/>
      <c r="C408" s="147"/>
      <c r="D408" s="123"/>
      <c r="E408" s="265"/>
      <c r="F408" s="123"/>
      <c r="G408" s="265"/>
      <c r="H408" s="266"/>
      <c r="I408" s="265"/>
      <c r="J408" s="265"/>
      <c r="K408" s="123"/>
      <c r="L408" s="123"/>
      <c r="M408" s="123"/>
      <c r="N408" s="123"/>
      <c r="O408" s="123"/>
      <c r="P408" s="121"/>
      <c r="Q408" s="121"/>
      <c r="R408" s="123"/>
      <c r="S408" s="123"/>
      <c r="T408" s="123"/>
      <c r="U408" s="123"/>
      <c r="V408" s="123"/>
      <c r="W408" s="123"/>
      <c r="X408" s="123"/>
      <c r="Y408" s="123"/>
      <c r="Z408" s="123"/>
      <c r="AA408" s="123"/>
      <c r="AB408" s="123"/>
      <c r="AC408" s="123"/>
      <c r="AD408" s="123"/>
      <c r="AE408" s="123"/>
      <c r="AF408" s="123"/>
      <c r="AG408" s="123"/>
      <c r="AH408" s="123"/>
      <c r="AI408" s="123"/>
      <c r="AJ408" s="87"/>
      <c r="AK408" s="87"/>
      <c r="AL408" s="87"/>
    </row>
    <row r="409">
      <c r="A409" s="90"/>
      <c r="B409" s="259"/>
      <c r="C409" s="259"/>
      <c r="D409" s="315"/>
      <c r="E409" s="102"/>
      <c r="F409" s="77"/>
      <c r="G409" s="102"/>
      <c r="H409" s="260"/>
      <c r="I409" s="259"/>
      <c r="J409" s="259"/>
      <c r="K409" s="115"/>
      <c r="L409" s="77"/>
      <c r="M409" s="115"/>
      <c r="N409" s="77"/>
      <c r="O409" s="77"/>
      <c r="P409" s="268"/>
      <c r="Q409" s="268"/>
      <c r="R409" s="77"/>
      <c r="S409" s="77"/>
      <c r="T409" s="77"/>
      <c r="U409" s="77"/>
      <c r="V409" s="115"/>
      <c r="W409" s="115"/>
      <c r="X409" s="115"/>
      <c r="Y409" s="115"/>
      <c r="Z409" s="115"/>
      <c r="AA409" s="115"/>
      <c r="AB409" s="261"/>
      <c r="AC409" s="77"/>
      <c r="AD409" s="115"/>
      <c r="AE409" s="77"/>
      <c r="AF409" s="77"/>
      <c r="AG409" s="115"/>
      <c r="AH409" s="87"/>
      <c r="AI409" s="87"/>
      <c r="AJ409" s="87"/>
      <c r="AK409" s="87"/>
      <c r="AL409" s="87"/>
    </row>
    <row r="410">
      <c r="A410" s="90"/>
      <c r="B410" s="259"/>
      <c r="C410" s="259"/>
      <c r="D410" s="315"/>
      <c r="E410" s="102"/>
      <c r="F410" s="77"/>
      <c r="G410" s="102"/>
      <c r="H410" s="260"/>
      <c r="I410" s="259"/>
      <c r="J410" s="259"/>
      <c r="K410" s="115"/>
      <c r="L410" s="77"/>
      <c r="M410" s="115"/>
      <c r="N410" s="77"/>
      <c r="O410" s="77"/>
      <c r="P410" s="268"/>
      <c r="Q410" s="268"/>
      <c r="R410" s="77"/>
      <c r="S410" s="77"/>
      <c r="T410" s="77"/>
      <c r="U410" s="77"/>
      <c r="V410" s="115"/>
      <c r="W410" s="115"/>
      <c r="X410" s="115"/>
      <c r="Y410" s="115"/>
      <c r="Z410" s="115"/>
      <c r="AA410" s="115"/>
      <c r="AB410" s="261"/>
      <c r="AC410" s="77"/>
      <c r="AD410" s="115"/>
      <c r="AE410" s="77"/>
      <c r="AF410" s="77"/>
      <c r="AG410" s="115"/>
      <c r="AH410" s="87"/>
      <c r="AI410" s="87"/>
      <c r="AJ410" s="87"/>
      <c r="AK410" s="87"/>
      <c r="AL410" s="87"/>
    </row>
    <row r="411">
      <c r="A411" s="90"/>
      <c r="B411" s="259"/>
      <c r="C411" s="259"/>
      <c r="D411" s="315"/>
      <c r="E411" s="102"/>
      <c r="F411" s="77"/>
      <c r="G411" s="102"/>
      <c r="H411" s="260"/>
      <c r="I411" s="102"/>
      <c r="J411" s="102"/>
      <c r="K411" s="77"/>
      <c r="L411" s="77"/>
      <c r="M411" s="77"/>
      <c r="N411" s="77"/>
      <c r="O411" s="77"/>
      <c r="P411" s="268"/>
      <c r="Q411" s="268"/>
      <c r="R411" s="77"/>
      <c r="S411" s="77"/>
      <c r="T411" s="77"/>
      <c r="U411" s="77"/>
      <c r="V411" s="77"/>
      <c r="W411" s="77"/>
      <c r="X411" s="77"/>
      <c r="Y411" s="77"/>
      <c r="Z411" s="77"/>
      <c r="AA411" s="77"/>
      <c r="AB411" s="77"/>
      <c r="AC411" s="77"/>
      <c r="AD411" s="77"/>
      <c r="AE411" s="77"/>
      <c r="AF411" s="77"/>
      <c r="AG411" s="77"/>
      <c r="AH411" s="87"/>
      <c r="AI411" s="87"/>
      <c r="AJ411" s="87"/>
      <c r="AK411" s="87"/>
      <c r="AL411" s="87"/>
    </row>
    <row r="412">
      <c r="A412" s="302"/>
      <c r="B412" s="123"/>
      <c r="C412" s="147"/>
      <c r="D412" s="123"/>
      <c r="E412" s="265"/>
      <c r="F412" s="123"/>
      <c r="G412" s="265"/>
      <c r="H412" s="266"/>
      <c r="I412" s="265"/>
      <c r="J412" s="265"/>
      <c r="K412" s="123"/>
      <c r="L412" s="123"/>
      <c r="M412" s="123"/>
      <c r="N412" s="123"/>
      <c r="O412" s="123"/>
      <c r="P412" s="121"/>
      <c r="Q412" s="121"/>
      <c r="R412" s="123"/>
      <c r="S412" s="123"/>
      <c r="T412" s="123"/>
      <c r="U412" s="123"/>
      <c r="V412" s="123"/>
      <c r="W412" s="123"/>
      <c r="X412" s="123"/>
      <c r="Y412" s="123"/>
      <c r="Z412" s="123"/>
      <c r="AA412" s="123"/>
      <c r="AB412" s="123"/>
      <c r="AC412" s="123"/>
      <c r="AD412" s="123"/>
      <c r="AE412" s="123"/>
      <c r="AF412" s="123"/>
      <c r="AG412" s="123"/>
      <c r="AH412" s="123"/>
      <c r="AI412" s="123"/>
      <c r="AJ412" s="87"/>
      <c r="AK412" s="87"/>
      <c r="AL412" s="87"/>
    </row>
    <row r="413">
      <c r="A413" s="302"/>
      <c r="B413" s="123"/>
      <c r="C413" s="147"/>
      <c r="D413" s="123"/>
      <c r="E413" s="265"/>
      <c r="F413" s="123"/>
      <c r="G413" s="265"/>
      <c r="H413" s="266"/>
      <c r="I413" s="265"/>
      <c r="J413" s="265"/>
      <c r="K413" s="123"/>
      <c r="L413" s="123"/>
      <c r="M413" s="123"/>
      <c r="N413" s="123"/>
      <c r="O413" s="123"/>
      <c r="P413" s="121"/>
      <c r="Q413" s="121"/>
      <c r="R413" s="123"/>
      <c r="S413" s="123"/>
      <c r="T413" s="123"/>
      <c r="U413" s="123"/>
      <c r="V413" s="123"/>
      <c r="W413" s="123"/>
      <c r="X413" s="123"/>
      <c r="Y413" s="123"/>
      <c r="Z413" s="123"/>
      <c r="AA413" s="123"/>
      <c r="AB413" s="123"/>
      <c r="AC413" s="123"/>
      <c r="AD413" s="123"/>
      <c r="AE413" s="123"/>
      <c r="AF413" s="123"/>
      <c r="AG413" s="123"/>
      <c r="AH413" s="123"/>
      <c r="AI413" s="123"/>
      <c r="AJ413" s="87"/>
      <c r="AK413" s="87"/>
      <c r="AL413" s="87"/>
    </row>
    <row r="414">
      <c r="A414" s="302"/>
      <c r="B414" s="123"/>
      <c r="C414" s="147"/>
      <c r="D414" s="123"/>
      <c r="E414" s="265"/>
      <c r="F414" s="123"/>
      <c r="G414" s="265"/>
      <c r="H414" s="266"/>
      <c r="I414" s="265"/>
      <c r="J414" s="265"/>
      <c r="K414" s="123"/>
      <c r="L414" s="123"/>
      <c r="M414" s="123"/>
      <c r="N414" s="123"/>
      <c r="O414" s="123"/>
      <c r="P414" s="121"/>
      <c r="Q414" s="121"/>
      <c r="R414" s="123"/>
      <c r="S414" s="123"/>
      <c r="T414" s="123"/>
      <c r="U414" s="123"/>
      <c r="V414" s="123"/>
      <c r="W414" s="123"/>
      <c r="X414" s="123"/>
      <c r="Y414" s="123"/>
      <c r="Z414" s="123"/>
      <c r="AA414" s="123"/>
      <c r="AB414" s="123"/>
      <c r="AC414" s="123"/>
      <c r="AD414" s="123"/>
      <c r="AE414" s="123"/>
      <c r="AF414" s="123"/>
      <c r="AG414" s="123"/>
      <c r="AH414" s="123"/>
      <c r="AI414" s="123"/>
      <c r="AJ414" s="87"/>
      <c r="AK414" s="87"/>
      <c r="AL414" s="87"/>
    </row>
    <row r="415">
      <c r="A415" s="302"/>
      <c r="B415" s="123"/>
      <c r="C415" s="147"/>
      <c r="D415" s="123"/>
      <c r="E415" s="265"/>
      <c r="F415" s="123"/>
      <c r="G415" s="265"/>
      <c r="H415" s="266"/>
      <c r="I415" s="265"/>
      <c r="J415" s="265"/>
      <c r="K415" s="123"/>
      <c r="L415" s="123"/>
      <c r="M415" s="123"/>
      <c r="N415" s="123"/>
      <c r="O415" s="123"/>
      <c r="P415" s="121"/>
      <c r="Q415" s="121"/>
      <c r="R415" s="123"/>
      <c r="S415" s="123"/>
      <c r="T415" s="123"/>
      <c r="U415" s="123"/>
      <c r="V415" s="123"/>
      <c r="W415" s="123"/>
      <c r="X415" s="123"/>
      <c r="Y415" s="123"/>
      <c r="Z415" s="123"/>
      <c r="AA415" s="123"/>
      <c r="AB415" s="123"/>
      <c r="AC415" s="123"/>
      <c r="AD415" s="123"/>
      <c r="AE415" s="123"/>
      <c r="AF415" s="123"/>
      <c r="AG415" s="123"/>
      <c r="AH415" s="123"/>
      <c r="AI415" s="123"/>
      <c r="AJ415" s="87"/>
      <c r="AK415" s="87"/>
      <c r="AL415" s="87"/>
    </row>
    <row r="416">
      <c r="A416" s="302"/>
      <c r="B416" s="123"/>
      <c r="C416" s="147"/>
      <c r="D416" s="123"/>
      <c r="E416" s="265"/>
      <c r="F416" s="123"/>
      <c r="G416" s="265"/>
      <c r="H416" s="266"/>
      <c r="I416" s="265"/>
      <c r="J416" s="265"/>
      <c r="K416" s="123"/>
      <c r="L416" s="123"/>
      <c r="M416" s="123"/>
      <c r="N416" s="123"/>
      <c r="O416" s="123"/>
      <c r="P416" s="121"/>
      <c r="Q416" s="121"/>
      <c r="R416" s="123"/>
      <c r="S416" s="123"/>
      <c r="T416" s="123"/>
      <c r="U416" s="123"/>
      <c r="V416" s="123"/>
      <c r="W416" s="123"/>
      <c r="X416" s="123"/>
      <c r="Y416" s="123"/>
      <c r="Z416" s="123"/>
      <c r="AA416" s="123"/>
      <c r="AB416" s="123"/>
      <c r="AC416" s="123"/>
      <c r="AD416" s="123"/>
      <c r="AE416" s="123"/>
      <c r="AF416" s="123"/>
      <c r="AG416" s="123"/>
      <c r="AH416" s="123"/>
      <c r="AI416" s="123"/>
      <c r="AJ416" s="87"/>
      <c r="AK416" s="87"/>
      <c r="AL416" s="87"/>
    </row>
    <row r="417">
      <c r="A417" s="302"/>
      <c r="B417" s="123"/>
      <c r="C417" s="147"/>
      <c r="D417" s="123"/>
      <c r="E417" s="265"/>
      <c r="F417" s="123"/>
      <c r="G417" s="265"/>
      <c r="H417" s="266"/>
      <c r="I417" s="265"/>
      <c r="J417" s="265"/>
      <c r="K417" s="123"/>
      <c r="L417" s="123"/>
      <c r="M417" s="123"/>
      <c r="N417" s="123"/>
      <c r="O417" s="123"/>
      <c r="P417" s="121"/>
      <c r="Q417" s="121"/>
      <c r="R417" s="123"/>
      <c r="S417" s="123"/>
      <c r="T417" s="123"/>
      <c r="U417" s="123"/>
      <c r="V417" s="123"/>
      <c r="W417" s="123"/>
      <c r="X417" s="123"/>
      <c r="Y417" s="123"/>
      <c r="Z417" s="123"/>
      <c r="AA417" s="123"/>
      <c r="AB417" s="123"/>
      <c r="AC417" s="123"/>
      <c r="AD417" s="123"/>
      <c r="AE417" s="123"/>
      <c r="AF417" s="123"/>
      <c r="AG417" s="123"/>
      <c r="AH417" s="123"/>
      <c r="AI417" s="123"/>
      <c r="AJ417" s="87"/>
      <c r="AK417" s="87"/>
      <c r="AL417" s="87"/>
    </row>
    <row r="418">
      <c r="A418" s="302"/>
      <c r="B418" s="123"/>
      <c r="C418" s="147"/>
      <c r="D418" s="123"/>
      <c r="E418" s="265"/>
      <c r="F418" s="123"/>
      <c r="G418" s="265"/>
      <c r="H418" s="266"/>
      <c r="I418" s="265"/>
      <c r="J418" s="265"/>
      <c r="K418" s="123"/>
      <c r="L418" s="123"/>
      <c r="M418" s="123"/>
      <c r="N418" s="123"/>
      <c r="O418" s="123"/>
      <c r="P418" s="121"/>
      <c r="Q418" s="121"/>
      <c r="R418" s="123"/>
      <c r="S418" s="123"/>
      <c r="T418" s="123"/>
      <c r="U418" s="123"/>
      <c r="V418" s="123"/>
      <c r="W418" s="123"/>
      <c r="X418" s="123"/>
      <c r="Y418" s="123"/>
      <c r="Z418" s="123"/>
      <c r="AA418" s="123"/>
      <c r="AB418" s="123"/>
      <c r="AC418" s="123"/>
      <c r="AD418" s="123"/>
      <c r="AE418" s="123"/>
      <c r="AF418" s="123"/>
      <c r="AG418" s="123"/>
      <c r="AH418" s="123"/>
      <c r="AI418" s="123"/>
      <c r="AJ418" s="87"/>
      <c r="AK418" s="87"/>
      <c r="AL418" s="87"/>
    </row>
    <row r="419">
      <c r="A419" s="302"/>
      <c r="B419" s="123"/>
      <c r="C419" s="147"/>
      <c r="D419" s="123"/>
      <c r="E419" s="265"/>
      <c r="F419" s="123"/>
      <c r="G419" s="265"/>
      <c r="H419" s="266"/>
      <c r="I419" s="265"/>
      <c r="J419" s="265"/>
      <c r="K419" s="123"/>
      <c r="L419" s="123"/>
      <c r="M419" s="123"/>
      <c r="N419" s="123"/>
      <c r="O419" s="123"/>
      <c r="P419" s="121"/>
      <c r="Q419" s="121"/>
      <c r="R419" s="123"/>
      <c r="S419" s="123"/>
      <c r="T419" s="123"/>
      <c r="U419" s="123"/>
      <c r="V419" s="123"/>
      <c r="W419" s="123"/>
      <c r="X419" s="123"/>
      <c r="Y419" s="123"/>
      <c r="Z419" s="123"/>
      <c r="AA419" s="123"/>
      <c r="AB419" s="123"/>
      <c r="AC419" s="123"/>
      <c r="AD419" s="123"/>
      <c r="AE419" s="123"/>
      <c r="AF419" s="123"/>
      <c r="AG419" s="123"/>
      <c r="AH419" s="123"/>
      <c r="AI419" s="123"/>
      <c r="AJ419" s="87"/>
      <c r="AK419" s="87"/>
      <c r="AL419" s="87"/>
    </row>
    <row r="420">
      <c r="A420" s="302"/>
      <c r="B420" s="123"/>
      <c r="C420" s="147"/>
      <c r="D420" s="123"/>
      <c r="E420" s="265"/>
      <c r="F420" s="123"/>
      <c r="G420" s="265"/>
      <c r="H420" s="266"/>
      <c r="I420" s="265"/>
      <c r="J420" s="265"/>
      <c r="K420" s="123"/>
      <c r="L420" s="123"/>
      <c r="M420" s="123"/>
      <c r="N420" s="123"/>
      <c r="O420" s="123"/>
      <c r="P420" s="121"/>
      <c r="Q420" s="121"/>
      <c r="R420" s="123"/>
      <c r="S420" s="123"/>
      <c r="T420" s="123"/>
      <c r="U420" s="123"/>
      <c r="V420" s="123"/>
      <c r="W420" s="123"/>
      <c r="X420" s="123"/>
      <c r="Y420" s="123"/>
      <c r="Z420" s="123"/>
      <c r="AA420" s="123"/>
      <c r="AB420" s="123"/>
      <c r="AC420" s="123"/>
      <c r="AD420" s="123"/>
      <c r="AE420" s="123"/>
      <c r="AF420" s="123"/>
      <c r="AG420" s="123"/>
      <c r="AH420" s="123"/>
      <c r="AI420" s="123"/>
      <c r="AJ420" s="87"/>
      <c r="AK420" s="87"/>
      <c r="AL420" s="87"/>
    </row>
    <row r="421">
      <c r="A421" s="302"/>
      <c r="B421" s="123"/>
      <c r="C421" s="147"/>
      <c r="D421" s="123"/>
      <c r="E421" s="265"/>
      <c r="F421" s="123"/>
      <c r="G421" s="265"/>
      <c r="H421" s="266"/>
      <c r="I421" s="265"/>
      <c r="J421" s="265"/>
      <c r="K421" s="123"/>
      <c r="L421" s="123"/>
      <c r="M421" s="123"/>
      <c r="N421" s="123"/>
      <c r="O421" s="123"/>
      <c r="P421" s="121"/>
      <c r="Q421" s="121"/>
      <c r="R421" s="123"/>
      <c r="S421" s="123"/>
      <c r="T421" s="123"/>
      <c r="U421" s="123"/>
      <c r="V421" s="123"/>
      <c r="W421" s="123"/>
      <c r="X421" s="123"/>
      <c r="Y421" s="123"/>
      <c r="Z421" s="123"/>
      <c r="AA421" s="123"/>
      <c r="AB421" s="123"/>
      <c r="AC421" s="123"/>
      <c r="AD421" s="123"/>
      <c r="AE421" s="123"/>
      <c r="AF421" s="123"/>
      <c r="AG421" s="123"/>
      <c r="AH421" s="123"/>
      <c r="AI421" s="123"/>
      <c r="AJ421" s="87"/>
      <c r="AK421" s="87"/>
      <c r="AL421" s="87"/>
    </row>
    <row r="422">
      <c r="A422" s="302"/>
      <c r="B422" s="123"/>
      <c r="C422" s="147"/>
      <c r="D422" s="123"/>
      <c r="E422" s="265"/>
      <c r="F422" s="123"/>
      <c r="G422" s="265"/>
      <c r="H422" s="266"/>
      <c r="I422" s="265"/>
      <c r="J422" s="265"/>
      <c r="K422" s="123"/>
      <c r="L422" s="123"/>
      <c r="M422" s="123"/>
      <c r="N422" s="123"/>
      <c r="O422" s="123"/>
      <c r="P422" s="121"/>
      <c r="Q422" s="121"/>
      <c r="R422" s="123"/>
      <c r="S422" s="123"/>
      <c r="T422" s="123"/>
      <c r="U422" s="123"/>
      <c r="V422" s="123"/>
      <c r="W422" s="123"/>
      <c r="X422" s="123"/>
      <c r="Y422" s="123"/>
      <c r="Z422" s="123"/>
      <c r="AA422" s="123"/>
      <c r="AB422" s="123"/>
      <c r="AC422" s="123"/>
      <c r="AD422" s="123"/>
      <c r="AE422" s="123"/>
      <c r="AF422" s="123"/>
      <c r="AG422" s="123"/>
      <c r="AH422" s="123"/>
      <c r="AI422" s="123"/>
      <c r="AJ422" s="87"/>
      <c r="AK422" s="87"/>
      <c r="AL422" s="87"/>
    </row>
    <row r="423">
      <c r="A423" s="302"/>
      <c r="B423" s="123"/>
      <c r="C423" s="147"/>
      <c r="D423" s="123"/>
      <c r="E423" s="265"/>
      <c r="F423" s="123"/>
      <c r="G423" s="265"/>
      <c r="H423" s="266"/>
      <c r="I423" s="265"/>
      <c r="J423" s="265"/>
      <c r="K423" s="123"/>
      <c r="L423" s="123"/>
      <c r="M423" s="123"/>
      <c r="N423" s="123"/>
      <c r="O423" s="123"/>
      <c r="P423" s="121"/>
      <c r="Q423" s="121"/>
      <c r="R423" s="123"/>
      <c r="S423" s="123"/>
      <c r="T423" s="123"/>
      <c r="U423" s="123"/>
      <c r="V423" s="123"/>
      <c r="W423" s="123"/>
      <c r="X423" s="123"/>
      <c r="Y423" s="123"/>
      <c r="Z423" s="123"/>
      <c r="AA423" s="123"/>
      <c r="AB423" s="123"/>
      <c r="AC423" s="123"/>
      <c r="AD423" s="123"/>
      <c r="AE423" s="123"/>
      <c r="AF423" s="123"/>
      <c r="AG423" s="123"/>
      <c r="AH423" s="123"/>
      <c r="AI423" s="123"/>
      <c r="AJ423" s="87"/>
      <c r="AK423" s="87"/>
      <c r="AL423" s="87"/>
    </row>
    <row r="424">
      <c r="A424" s="302"/>
      <c r="B424" s="123"/>
      <c r="C424" s="147"/>
      <c r="D424" s="123"/>
      <c r="E424" s="265"/>
      <c r="F424" s="123"/>
      <c r="G424" s="265"/>
      <c r="H424" s="266"/>
      <c r="I424" s="265"/>
      <c r="J424" s="265"/>
      <c r="K424" s="123"/>
      <c r="L424" s="123"/>
      <c r="M424" s="123"/>
      <c r="N424" s="123"/>
      <c r="O424" s="123"/>
      <c r="P424" s="121"/>
      <c r="Q424" s="121"/>
      <c r="R424" s="123"/>
      <c r="S424" s="123"/>
      <c r="T424" s="123"/>
      <c r="U424" s="123"/>
      <c r="V424" s="123"/>
      <c r="W424" s="123"/>
      <c r="X424" s="123"/>
      <c r="Y424" s="123"/>
      <c r="Z424" s="123"/>
      <c r="AA424" s="123"/>
      <c r="AB424" s="123"/>
      <c r="AC424" s="123"/>
      <c r="AD424" s="123"/>
      <c r="AE424" s="123"/>
      <c r="AF424" s="123"/>
      <c r="AG424" s="123"/>
      <c r="AH424" s="123"/>
      <c r="AI424" s="123"/>
      <c r="AJ424" s="87"/>
      <c r="AK424" s="87"/>
      <c r="AL424" s="87"/>
    </row>
    <row r="425">
      <c r="A425" s="302"/>
      <c r="B425" s="123"/>
      <c r="C425" s="147"/>
      <c r="D425" s="123"/>
      <c r="E425" s="265"/>
      <c r="F425" s="123"/>
      <c r="G425" s="265"/>
      <c r="H425" s="266"/>
      <c r="I425" s="265"/>
      <c r="J425" s="265"/>
      <c r="K425" s="123"/>
      <c r="L425" s="123"/>
      <c r="M425" s="123"/>
      <c r="N425" s="123"/>
      <c r="O425" s="123"/>
      <c r="P425" s="121"/>
      <c r="Q425" s="121"/>
      <c r="R425" s="123"/>
      <c r="S425" s="123"/>
      <c r="T425" s="123"/>
      <c r="U425" s="123"/>
      <c r="V425" s="123"/>
      <c r="W425" s="123"/>
      <c r="X425" s="123"/>
      <c r="Y425" s="123"/>
      <c r="Z425" s="123"/>
      <c r="AA425" s="123"/>
      <c r="AB425" s="123"/>
      <c r="AC425" s="123"/>
      <c r="AD425" s="123"/>
      <c r="AE425" s="123"/>
      <c r="AF425" s="123"/>
      <c r="AG425" s="123"/>
      <c r="AH425" s="123"/>
      <c r="AI425" s="123"/>
      <c r="AJ425" s="87"/>
      <c r="AK425" s="87"/>
      <c r="AL425" s="87"/>
    </row>
    <row r="426">
      <c r="A426" s="302"/>
      <c r="B426" s="123"/>
      <c r="C426" s="147"/>
      <c r="D426" s="123"/>
      <c r="E426" s="265"/>
      <c r="F426" s="123"/>
      <c r="G426" s="265"/>
      <c r="H426" s="266"/>
      <c r="I426" s="265"/>
      <c r="J426" s="265"/>
      <c r="K426" s="123"/>
      <c r="L426" s="123"/>
      <c r="M426" s="123"/>
      <c r="N426" s="123"/>
      <c r="O426" s="123"/>
      <c r="P426" s="121"/>
      <c r="Q426" s="121"/>
      <c r="R426" s="123"/>
      <c r="S426" s="123"/>
      <c r="T426" s="123"/>
      <c r="U426" s="123"/>
      <c r="V426" s="123"/>
      <c r="W426" s="123"/>
      <c r="X426" s="123"/>
      <c r="Y426" s="123"/>
      <c r="Z426" s="123"/>
      <c r="AA426" s="123"/>
      <c r="AB426" s="123"/>
      <c r="AC426" s="123"/>
      <c r="AD426" s="123"/>
      <c r="AE426" s="123"/>
      <c r="AF426" s="123"/>
      <c r="AG426" s="123"/>
      <c r="AH426" s="123"/>
      <c r="AI426" s="123"/>
      <c r="AJ426" s="87"/>
      <c r="AK426" s="87"/>
      <c r="AL426" s="87"/>
    </row>
    <row r="427">
      <c r="A427" s="302"/>
      <c r="B427" s="123"/>
      <c r="C427" s="147"/>
      <c r="D427" s="123"/>
      <c r="E427" s="265"/>
      <c r="F427" s="123"/>
      <c r="G427" s="265"/>
      <c r="H427" s="266"/>
      <c r="I427" s="265"/>
      <c r="J427" s="265"/>
      <c r="K427" s="123"/>
      <c r="L427" s="123"/>
      <c r="M427" s="123"/>
      <c r="N427" s="123"/>
      <c r="O427" s="123"/>
      <c r="P427" s="121"/>
      <c r="Q427" s="121"/>
      <c r="R427" s="123"/>
      <c r="S427" s="123"/>
      <c r="T427" s="123"/>
      <c r="U427" s="123"/>
      <c r="V427" s="123"/>
      <c r="W427" s="123"/>
      <c r="X427" s="123"/>
      <c r="Y427" s="123"/>
      <c r="Z427" s="123"/>
      <c r="AA427" s="123"/>
      <c r="AB427" s="123"/>
      <c r="AC427" s="123"/>
      <c r="AD427" s="123"/>
      <c r="AE427" s="123"/>
      <c r="AF427" s="123"/>
      <c r="AG427" s="123"/>
      <c r="AH427" s="123"/>
      <c r="AI427" s="123"/>
      <c r="AJ427" s="87"/>
      <c r="AK427" s="87"/>
      <c r="AL427" s="87"/>
    </row>
    <row r="428">
      <c r="A428" s="302"/>
      <c r="B428" s="123"/>
      <c r="C428" s="147"/>
      <c r="D428" s="123"/>
      <c r="E428" s="265"/>
      <c r="F428" s="123"/>
      <c r="G428" s="265"/>
      <c r="H428" s="266"/>
      <c r="I428" s="265"/>
      <c r="J428" s="265"/>
      <c r="K428" s="123"/>
      <c r="L428" s="123"/>
      <c r="M428" s="123"/>
      <c r="N428" s="123"/>
      <c r="O428" s="123"/>
      <c r="P428" s="121"/>
      <c r="Q428" s="121"/>
      <c r="R428" s="123"/>
      <c r="S428" s="123"/>
      <c r="T428" s="123"/>
      <c r="U428" s="123"/>
      <c r="V428" s="123"/>
      <c r="W428" s="123"/>
      <c r="X428" s="123"/>
      <c r="Y428" s="123"/>
      <c r="Z428" s="123"/>
      <c r="AA428" s="123"/>
      <c r="AB428" s="123"/>
      <c r="AC428" s="123"/>
      <c r="AD428" s="123"/>
      <c r="AE428" s="123"/>
      <c r="AF428" s="123"/>
      <c r="AG428" s="123"/>
      <c r="AH428" s="123"/>
      <c r="AI428" s="123"/>
      <c r="AJ428" s="87"/>
      <c r="AK428" s="87"/>
      <c r="AL428" s="87"/>
    </row>
    <row r="429">
      <c r="A429" s="302"/>
      <c r="B429" s="123"/>
      <c r="C429" s="147"/>
      <c r="D429" s="123"/>
      <c r="E429" s="265"/>
      <c r="F429" s="123"/>
      <c r="G429" s="265"/>
      <c r="H429" s="266"/>
      <c r="I429" s="265"/>
      <c r="J429" s="265"/>
      <c r="K429" s="123"/>
      <c r="L429" s="123"/>
      <c r="M429" s="123"/>
      <c r="N429" s="123"/>
      <c r="O429" s="123"/>
      <c r="P429" s="121"/>
      <c r="Q429" s="121"/>
      <c r="R429" s="123"/>
      <c r="S429" s="123"/>
      <c r="T429" s="123"/>
      <c r="U429" s="123"/>
      <c r="V429" s="123"/>
      <c r="W429" s="123"/>
      <c r="X429" s="123"/>
      <c r="Y429" s="123"/>
      <c r="Z429" s="123"/>
      <c r="AA429" s="123"/>
      <c r="AB429" s="123"/>
      <c r="AC429" s="123"/>
      <c r="AD429" s="123"/>
      <c r="AE429" s="123"/>
      <c r="AF429" s="123"/>
      <c r="AG429" s="123"/>
      <c r="AH429" s="123"/>
      <c r="AI429" s="123"/>
      <c r="AJ429" s="87"/>
      <c r="AK429" s="87"/>
      <c r="AL429" s="87"/>
    </row>
    <row r="430">
      <c r="A430" s="302"/>
      <c r="B430" s="123"/>
      <c r="C430" s="147"/>
      <c r="D430" s="123"/>
      <c r="E430" s="265"/>
      <c r="F430" s="123"/>
      <c r="G430" s="265"/>
      <c r="H430" s="266"/>
      <c r="I430" s="265"/>
      <c r="J430" s="265"/>
      <c r="K430" s="123"/>
      <c r="L430" s="123"/>
      <c r="M430" s="123"/>
      <c r="N430" s="123"/>
      <c r="O430" s="123"/>
      <c r="P430" s="121"/>
      <c r="Q430" s="121"/>
      <c r="R430" s="123"/>
      <c r="S430" s="123"/>
      <c r="T430" s="123"/>
      <c r="U430" s="123"/>
      <c r="V430" s="123"/>
      <c r="W430" s="123"/>
      <c r="X430" s="123"/>
      <c r="Y430" s="123"/>
      <c r="Z430" s="123"/>
      <c r="AA430" s="123"/>
      <c r="AB430" s="123"/>
      <c r="AC430" s="123"/>
      <c r="AD430" s="123"/>
      <c r="AE430" s="123"/>
      <c r="AF430" s="123"/>
      <c r="AG430" s="123"/>
      <c r="AH430" s="123"/>
      <c r="AI430" s="123"/>
      <c r="AJ430" s="87"/>
      <c r="AK430" s="87"/>
      <c r="AL430" s="87"/>
    </row>
    <row r="431">
      <c r="A431" s="302"/>
      <c r="B431" s="123"/>
      <c r="C431" s="147"/>
      <c r="D431" s="123"/>
      <c r="E431" s="265"/>
      <c r="F431" s="123"/>
      <c r="G431" s="265"/>
      <c r="H431" s="266"/>
      <c r="I431" s="265"/>
      <c r="J431" s="265"/>
      <c r="K431" s="123"/>
      <c r="L431" s="123"/>
      <c r="M431" s="123"/>
      <c r="N431" s="123"/>
      <c r="O431" s="123"/>
      <c r="P431" s="121"/>
      <c r="Q431" s="121"/>
      <c r="R431" s="123"/>
      <c r="S431" s="123"/>
      <c r="T431" s="123"/>
      <c r="U431" s="123"/>
      <c r="V431" s="123"/>
      <c r="W431" s="123"/>
      <c r="X431" s="123"/>
      <c r="Y431" s="123"/>
      <c r="Z431" s="123"/>
      <c r="AA431" s="123"/>
      <c r="AB431" s="123"/>
      <c r="AC431" s="123"/>
      <c r="AD431" s="123"/>
      <c r="AE431" s="123"/>
      <c r="AF431" s="123"/>
      <c r="AG431" s="123"/>
      <c r="AH431" s="123"/>
      <c r="AI431" s="123"/>
      <c r="AJ431" s="87"/>
      <c r="AK431" s="87"/>
      <c r="AL431" s="87"/>
    </row>
    <row r="432">
      <c r="A432" s="302"/>
      <c r="B432" s="123"/>
      <c r="C432" s="147"/>
      <c r="D432" s="123"/>
      <c r="E432" s="265"/>
      <c r="F432" s="123"/>
      <c r="G432" s="265"/>
      <c r="H432" s="266"/>
      <c r="I432" s="265"/>
      <c r="J432" s="265"/>
      <c r="K432" s="123"/>
      <c r="L432" s="123"/>
      <c r="M432" s="123"/>
      <c r="N432" s="123"/>
      <c r="O432" s="123"/>
      <c r="P432" s="121"/>
      <c r="Q432" s="121"/>
      <c r="R432" s="123"/>
      <c r="S432" s="123"/>
      <c r="T432" s="123"/>
      <c r="U432" s="123"/>
      <c r="V432" s="123"/>
      <c r="W432" s="123"/>
      <c r="X432" s="123"/>
      <c r="Y432" s="123"/>
      <c r="Z432" s="123"/>
      <c r="AA432" s="123"/>
      <c r="AB432" s="123"/>
      <c r="AC432" s="123"/>
      <c r="AD432" s="123"/>
      <c r="AE432" s="123"/>
      <c r="AF432" s="123"/>
      <c r="AG432" s="123"/>
      <c r="AH432" s="123"/>
      <c r="AI432" s="123"/>
      <c r="AJ432" s="87"/>
      <c r="AK432" s="87"/>
      <c r="AL432" s="87"/>
    </row>
    <row r="433">
      <c r="A433" s="302"/>
      <c r="B433" s="123"/>
      <c r="C433" s="147"/>
      <c r="D433" s="123"/>
      <c r="E433" s="265"/>
      <c r="F433" s="123"/>
      <c r="G433" s="265"/>
      <c r="H433" s="266"/>
      <c r="I433" s="265"/>
      <c r="J433" s="265"/>
      <c r="K433" s="123"/>
      <c r="L433" s="123"/>
      <c r="M433" s="123"/>
      <c r="N433" s="123"/>
      <c r="O433" s="123"/>
      <c r="P433" s="121"/>
      <c r="Q433" s="121"/>
      <c r="R433" s="123"/>
      <c r="S433" s="123"/>
      <c r="T433" s="123"/>
      <c r="U433" s="123"/>
      <c r="V433" s="123"/>
      <c r="W433" s="123"/>
      <c r="X433" s="123"/>
      <c r="Y433" s="123"/>
      <c r="Z433" s="123"/>
      <c r="AA433" s="123"/>
      <c r="AB433" s="123"/>
      <c r="AC433" s="123"/>
      <c r="AD433" s="123"/>
      <c r="AE433" s="123"/>
      <c r="AF433" s="123"/>
      <c r="AG433" s="123"/>
      <c r="AH433" s="123"/>
      <c r="AI433" s="123"/>
      <c r="AJ433" s="87"/>
      <c r="AK433" s="87"/>
      <c r="AL433" s="87"/>
    </row>
    <row r="434">
      <c r="A434" s="302"/>
      <c r="B434" s="123"/>
      <c r="C434" s="147"/>
      <c r="D434" s="123"/>
      <c r="E434" s="265"/>
      <c r="F434" s="123"/>
      <c r="G434" s="265"/>
      <c r="H434" s="266"/>
      <c r="I434" s="265"/>
      <c r="J434" s="265"/>
      <c r="K434" s="123"/>
      <c r="L434" s="123"/>
      <c r="M434" s="123"/>
      <c r="N434" s="123"/>
      <c r="O434" s="123"/>
      <c r="P434" s="121"/>
      <c r="Q434" s="121"/>
      <c r="R434" s="123"/>
      <c r="S434" s="123"/>
      <c r="T434" s="123"/>
      <c r="U434" s="123"/>
      <c r="V434" s="123"/>
      <c r="W434" s="123"/>
      <c r="X434" s="123"/>
      <c r="Y434" s="123"/>
      <c r="Z434" s="123"/>
      <c r="AA434" s="123"/>
      <c r="AB434" s="123"/>
      <c r="AC434" s="123"/>
      <c r="AD434" s="123"/>
      <c r="AE434" s="123"/>
      <c r="AF434" s="123"/>
      <c r="AG434" s="123"/>
      <c r="AH434" s="123"/>
      <c r="AI434" s="123"/>
      <c r="AJ434" s="87"/>
      <c r="AK434" s="87"/>
      <c r="AL434" s="87"/>
    </row>
    <row r="435">
      <c r="A435" s="302"/>
      <c r="B435" s="123"/>
      <c r="C435" s="147"/>
      <c r="D435" s="123"/>
      <c r="E435" s="265"/>
      <c r="F435" s="123"/>
      <c r="G435" s="265"/>
      <c r="H435" s="266"/>
      <c r="I435" s="265"/>
      <c r="J435" s="265"/>
      <c r="K435" s="123"/>
      <c r="L435" s="123"/>
      <c r="M435" s="123"/>
      <c r="N435" s="123"/>
      <c r="O435" s="123"/>
      <c r="P435" s="121"/>
      <c r="Q435" s="121"/>
      <c r="R435" s="123"/>
      <c r="S435" s="123"/>
      <c r="T435" s="123"/>
      <c r="U435" s="123"/>
      <c r="V435" s="123"/>
      <c r="W435" s="123"/>
      <c r="X435" s="123"/>
      <c r="Y435" s="123"/>
      <c r="Z435" s="123"/>
      <c r="AA435" s="123"/>
      <c r="AB435" s="123"/>
      <c r="AC435" s="123"/>
      <c r="AD435" s="123"/>
      <c r="AE435" s="123"/>
      <c r="AF435" s="123"/>
      <c r="AG435" s="123"/>
      <c r="AH435" s="123"/>
      <c r="AI435" s="123"/>
      <c r="AJ435" s="87"/>
      <c r="AK435" s="87"/>
      <c r="AL435" s="87"/>
    </row>
    <row r="436">
      <c r="A436" s="302"/>
      <c r="B436" s="123"/>
      <c r="C436" s="147"/>
      <c r="D436" s="123"/>
      <c r="E436" s="265"/>
      <c r="F436" s="123"/>
      <c r="G436" s="265"/>
      <c r="H436" s="266"/>
      <c r="I436" s="265"/>
      <c r="J436" s="265"/>
      <c r="K436" s="123"/>
      <c r="L436" s="123"/>
      <c r="M436" s="123"/>
      <c r="N436" s="123"/>
      <c r="O436" s="123"/>
      <c r="P436" s="121"/>
      <c r="Q436" s="121"/>
      <c r="R436" s="123"/>
      <c r="S436" s="123"/>
      <c r="T436" s="123"/>
      <c r="U436" s="123"/>
      <c r="V436" s="123"/>
      <c r="W436" s="123"/>
      <c r="X436" s="123"/>
      <c r="Y436" s="123"/>
      <c r="Z436" s="123"/>
      <c r="AA436" s="123"/>
      <c r="AB436" s="123"/>
      <c r="AC436" s="123"/>
      <c r="AD436" s="123"/>
      <c r="AE436" s="123"/>
      <c r="AF436" s="123"/>
      <c r="AG436" s="123"/>
      <c r="AH436" s="123"/>
      <c r="AI436" s="123"/>
      <c r="AJ436" s="87"/>
      <c r="AK436" s="87"/>
      <c r="AL436" s="87"/>
    </row>
    <row r="437">
      <c r="A437" s="302"/>
      <c r="B437" s="123"/>
      <c r="C437" s="147"/>
      <c r="D437" s="123"/>
      <c r="E437" s="265"/>
      <c r="F437" s="123"/>
      <c r="G437" s="265"/>
      <c r="H437" s="266"/>
      <c r="I437" s="265"/>
      <c r="J437" s="265"/>
      <c r="K437" s="123"/>
      <c r="L437" s="123"/>
      <c r="M437" s="123"/>
      <c r="N437" s="123"/>
      <c r="O437" s="123"/>
      <c r="P437" s="121"/>
      <c r="Q437" s="121"/>
      <c r="R437" s="123"/>
      <c r="S437" s="123"/>
      <c r="T437" s="123"/>
      <c r="U437" s="123"/>
      <c r="V437" s="123"/>
      <c r="W437" s="123"/>
      <c r="X437" s="123"/>
      <c r="Y437" s="123"/>
      <c r="Z437" s="123"/>
      <c r="AA437" s="123"/>
      <c r="AB437" s="123"/>
      <c r="AC437" s="123"/>
      <c r="AD437" s="123"/>
      <c r="AE437" s="123"/>
      <c r="AF437" s="123"/>
      <c r="AG437" s="123"/>
      <c r="AH437" s="123"/>
      <c r="AI437" s="123"/>
      <c r="AJ437" s="87"/>
      <c r="AK437" s="87"/>
      <c r="AL437" s="87"/>
    </row>
    <row r="438">
      <c r="A438" s="302"/>
      <c r="B438" s="123"/>
      <c r="C438" s="147"/>
      <c r="D438" s="123"/>
      <c r="E438" s="265"/>
      <c r="F438" s="123"/>
      <c r="G438" s="265"/>
      <c r="H438" s="266"/>
      <c r="I438" s="265"/>
      <c r="J438" s="265"/>
      <c r="K438" s="123"/>
      <c r="L438" s="123"/>
      <c r="M438" s="123"/>
      <c r="N438" s="123"/>
      <c r="O438" s="123"/>
      <c r="P438" s="121"/>
      <c r="Q438" s="121"/>
      <c r="R438" s="123"/>
      <c r="S438" s="123"/>
      <c r="T438" s="123"/>
      <c r="U438" s="123"/>
      <c r="V438" s="123"/>
      <c r="W438" s="123"/>
      <c r="X438" s="123"/>
      <c r="Y438" s="123"/>
      <c r="Z438" s="123"/>
      <c r="AA438" s="123"/>
      <c r="AB438" s="123"/>
      <c r="AC438" s="123"/>
      <c r="AD438" s="123"/>
      <c r="AE438" s="123"/>
      <c r="AF438" s="123"/>
      <c r="AG438" s="123"/>
      <c r="AH438" s="123"/>
      <c r="AI438" s="123"/>
      <c r="AJ438" s="87"/>
      <c r="AK438" s="87"/>
      <c r="AL438" s="87"/>
    </row>
    <row r="439">
      <c r="A439" s="302"/>
      <c r="B439" s="123"/>
      <c r="C439" s="147"/>
      <c r="D439" s="123"/>
      <c r="E439" s="265"/>
      <c r="F439" s="123"/>
      <c r="G439" s="265"/>
      <c r="H439" s="266"/>
      <c r="I439" s="265"/>
      <c r="J439" s="265"/>
      <c r="K439" s="123"/>
      <c r="L439" s="123"/>
      <c r="M439" s="123"/>
      <c r="N439" s="123"/>
      <c r="O439" s="123"/>
      <c r="P439" s="121"/>
      <c r="Q439" s="121"/>
      <c r="R439" s="123"/>
      <c r="S439" s="123"/>
      <c r="T439" s="123"/>
      <c r="U439" s="123"/>
      <c r="V439" s="123"/>
      <c r="W439" s="123"/>
      <c r="X439" s="123"/>
      <c r="Y439" s="123"/>
      <c r="Z439" s="123"/>
      <c r="AA439" s="123"/>
      <c r="AB439" s="123"/>
      <c r="AC439" s="123"/>
      <c r="AD439" s="123"/>
      <c r="AE439" s="123"/>
      <c r="AF439" s="123"/>
      <c r="AG439" s="123"/>
      <c r="AH439" s="123"/>
      <c r="AI439" s="123"/>
      <c r="AJ439" s="87"/>
      <c r="AK439" s="87"/>
      <c r="AL439" s="87"/>
    </row>
    <row r="440">
      <c r="A440" s="302"/>
      <c r="B440" s="123"/>
      <c r="C440" s="147"/>
      <c r="D440" s="123"/>
      <c r="E440" s="265"/>
      <c r="F440" s="123"/>
      <c r="G440" s="265"/>
      <c r="H440" s="266"/>
      <c r="I440" s="265"/>
      <c r="J440" s="265"/>
      <c r="K440" s="123"/>
      <c r="L440" s="123"/>
      <c r="M440" s="123"/>
      <c r="N440" s="123"/>
      <c r="O440" s="123"/>
      <c r="P440" s="121"/>
      <c r="Q440" s="121"/>
      <c r="R440" s="123"/>
      <c r="S440" s="123"/>
      <c r="T440" s="123"/>
      <c r="U440" s="123"/>
      <c r="V440" s="123"/>
      <c r="W440" s="123"/>
      <c r="X440" s="123"/>
      <c r="Y440" s="123"/>
      <c r="Z440" s="123"/>
      <c r="AA440" s="123"/>
      <c r="AB440" s="123"/>
      <c r="AC440" s="123"/>
      <c r="AD440" s="123"/>
      <c r="AE440" s="123"/>
      <c r="AF440" s="123"/>
      <c r="AG440" s="123"/>
      <c r="AH440" s="123"/>
      <c r="AI440" s="123"/>
      <c r="AJ440" s="87"/>
      <c r="AK440" s="87"/>
      <c r="AL440" s="87"/>
    </row>
    <row r="441">
      <c r="A441" s="90"/>
      <c r="B441" s="259"/>
      <c r="C441" s="259"/>
      <c r="D441" s="259"/>
      <c r="E441" s="102"/>
      <c r="F441" s="102"/>
      <c r="G441" s="102"/>
      <c r="H441" s="260"/>
      <c r="I441" s="259"/>
      <c r="J441" s="115"/>
      <c r="K441" s="115"/>
      <c r="L441" s="77"/>
      <c r="M441" s="115"/>
      <c r="N441" s="77"/>
      <c r="O441" s="77"/>
      <c r="P441" s="268"/>
      <c r="Q441" s="268"/>
      <c r="R441" s="77"/>
      <c r="S441" s="77"/>
      <c r="T441" s="77"/>
      <c r="U441" s="77"/>
      <c r="V441" s="115"/>
      <c r="W441" s="115"/>
      <c r="X441" s="115"/>
      <c r="Y441" s="115"/>
      <c r="Z441" s="115"/>
      <c r="AA441" s="115"/>
      <c r="AB441" s="261"/>
      <c r="AC441" s="77"/>
      <c r="AD441" s="259"/>
      <c r="AE441" s="77"/>
      <c r="AF441" s="77"/>
      <c r="AG441" s="77"/>
      <c r="AH441" s="87"/>
      <c r="AI441" s="87"/>
      <c r="AJ441" s="87"/>
      <c r="AK441" s="87"/>
      <c r="AL441" s="87"/>
    </row>
    <row r="442">
      <c r="A442" s="316"/>
      <c r="B442" s="316"/>
      <c r="C442" s="316"/>
      <c r="D442" s="316"/>
      <c r="E442" s="313"/>
      <c r="F442" s="313"/>
      <c r="G442" s="313"/>
      <c r="H442" s="260"/>
      <c r="I442" s="313"/>
      <c r="J442" s="188"/>
      <c r="K442" s="317"/>
      <c r="L442" s="188"/>
      <c r="M442" s="188"/>
      <c r="N442" s="188"/>
      <c r="O442" s="188"/>
      <c r="P442" s="139"/>
      <c r="Q442" s="139"/>
      <c r="R442" s="188"/>
      <c r="S442" s="188"/>
      <c r="T442" s="188"/>
      <c r="U442" s="188"/>
      <c r="V442" s="317"/>
      <c r="W442" s="317"/>
      <c r="X442" s="317"/>
      <c r="Y442" s="188"/>
      <c r="Z442" s="317"/>
      <c r="AA442" s="317"/>
      <c r="AB442" s="188"/>
      <c r="AC442" s="188"/>
      <c r="AD442" s="188"/>
      <c r="AE442" s="188"/>
      <c r="AF442" s="188"/>
      <c r="AG442" s="188"/>
      <c r="AH442" s="188"/>
      <c r="AI442" s="188"/>
      <c r="AJ442" s="87"/>
      <c r="AK442" s="87"/>
      <c r="AL442" s="87"/>
    </row>
    <row r="443">
      <c r="A443" s="302"/>
      <c r="B443" s="265"/>
      <c r="C443" s="147"/>
      <c r="D443" s="265"/>
      <c r="E443" s="265"/>
      <c r="F443" s="265"/>
      <c r="G443" s="265"/>
      <c r="H443" s="266"/>
      <c r="I443" s="265"/>
      <c r="J443" s="123"/>
      <c r="K443" s="123"/>
      <c r="L443" s="123"/>
      <c r="M443" s="123"/>
      <c r="N443" s="123"/>
      <c r="O443" s="123"/>
      <c r="P443" s="121"/>
      <c r="Q443" s="121"/>
      <c r="R443" s="123"/>
      <c r="S443" s="123"/>
      <c r="T443" s="123"/>
      <c r="U443" s="123"/>
      <c r="V443" s="123"/>
      <c r="W443" s="123"/>
      <c r="X443" s="123"/>
      <c r="Y443" s="123"/>
      <c r="Z443" s="123"/>
      <c r="AA443" s="123"/>
      <c r="AB443" s="123"/>
      <c r="AC443" s="123"/>
      <c r="AD443" s="265"/>
      <c r="AE443" s="123"/>
      <c r="AF443" s="123"/>
      <c r="AG443" s="123"/>
      <c r="AH443" s="123"/>
      <c r="AI443" s="123"/>
      <c r="AJ443" s="87"/>
      <c r="AK443" s="87"/>
      <c r="AL443" s="87"/>
    </row>
    <row r="444">
      <c r="A444" s="302"/>
      <c r="B444" s="265"/>
      <c r="C444" s="147"/>
      <c r="D444" s="265"/>
      <c r="E444" s="265"/>
      <c r="F444" s="265"/>
      <c r="G444" s="265"/>
      <c r="H444" s="266"/>
      <c r="I444" s="265"/>
      <c r="J444" s="123"/>
      <c r="K444" s="123"/>
      <c r="L444" s="123"/>
      <c r="M444" s="123"/>
      <c r="N444" s="123"/>
      <c r="O444" s="123"/>
      <c r="P444" s="121"/>
      <c r="Q444" s="121"/>
      <c r="R444" s="123"/>
      <c r="S444" s="123"/>
      <c r="T444" s="123"/>
      <c r="U444" s="123"/>
      <c r="V444" s="123"/>
      <c r="W444" s="123"/>
      <c r="X444" s="123"/>
      <c r="Y444" s="123"/>
      <c r="Z444" s="123"/>
      <c r="AA444" s="123"/>
      <c r="AB444" s="123"/>
      <c r="AC444" s="123"/>
      <c r="AD444" s="265"/>
      <c r="AE444" s="123"/>
      <c r="AF444" s="123"/>
      <c r="AG444" s="123"/>
      <c r="AH444" s="123"/>
      <c r="AI444" s="123"/>
      <c r="AJ444" s="87"/>
      <c r="AK444" s="87"/>
      <c r="AL444" s="87"/>
    </row>
    <row r="445">
      <c r="A445" s="302"/>
      <c r="B445" s="265"/>
      <c r="C445" s="147"/>
      <c r="D445" s="265"/>
      <c r="E445" s="265"/>
      <c r="F445" s="265"/>
      <c r="G445" s="265"/>
      <c r="H445" s="266"/>
      <c r="I445" s="265"/>
      <c r="J445" s="123"/>
      <c r="K445" s="123"/>
      <c r="L445" s="123"/>
      <c r="M445" s="123"/>
      <c r="N445" s="123"/>
      <c r="O445" s="123"/>
      <c r="P445" s="121"/>
      <c r="Q445" s="121"/>
      <c r="R445" s="123"/>
      <c r="S445" s="123"/>
      <c r="T445" s="123"/>
      <c r="U445" s="123"/>
      <c r="V445" s="123"/>
      <c r="W445" s="123"/>
      <c r="X445" s="123"/>
      <c r="Y445" s="123"/>
      <c r="Z445" s="123"/>
      <c r="AA445" s="123"/>
      <c r="AB445" s="123"/>
      <c r="AC445" s="123"/>
      <c r="AD445" s="265"/>
      <c r="AE445" s="123"/>
      <c r="AF445" s="123"/>
      <c r="AG445" s="123"/>
      <c r="AH445" s="123"/>
      <c r="AI445" s="123"/>
      <c r="AJ445" s="87"/>
      <c r="AK445" s="87"/>
      <c r="AL445" s="87"/>
    </row>
    <row r="446">
      <c r="A446" s="302"/>
      <c r="B446" s="265"/>
      <c r="C446" s="147"/>
      <c r="D446" s="265"/>
      <c r="E446" s="265"/>
      <c r="F446" s="265"/>
      <c r="G446" s="265"/>
      <c r="H446" s="266"/>
      <c r="I446" s="265"/>
      <c r="J446" s="123"/>
      <c r="K446" s="123"/>
      <c r="L446" s="123"/>
      <c r="M446" s="123"/>
      <c r="N446" s="123"/>
      <c r="O446" s="123"/>
      <c r="P446" s="121"/>
      <c r="Q446" s="121"/>
      <c r="R446" s="123"/>
      <c r="S446" s="123"/>
      <c r="T446" s="123"/>
      <c r="U446" s="123"/>
      <c r="V446" s="123"/>
      <c r="W446" s="123"/>
      <c r="X446" s="123"/>
      <c r="Y446" s="123"/>
      <c r="Z446" s="123"/>
      <c r="AA446" s="123"/>
      <c r="AB446" s="123"/>
      <c r="AC446" s="123"/>
      <c r="AD446" s="265"/>
      <c r="AE446" s="123"/>
      <c r="AF446" s="123"/>
      <c r="AG446" s="123"/>
      <c r="AH446" s="123"/>
      <c r="AI446" s="123"/>
      <c r="AJ446" s="87"/>
      <c r="AK446" s="87"/>
      <c r="AL446" s="87"/>
    </row>
    <row r="447">
      <c r="A447" s="302"/>
      <c r="B447" s="265"/>
      <c r="C447" s="147"/>
      <c r="D447" s="265"/>
      <c r="E447" s="265"/>
      <c r="F447" s="265"/>
      <c r="G447" s="265"/>
      <c r="H447" s="266"/>
      <c r="I447" s="265"/>
      <c r="J447" s="123"/>
      <c r="K447" s="123"/>
      <c r="L447" s="123"/>
      <c r="M447" s="123"/>
      <c r="N447" s="123"/>
      <c r="O447" s="123"/>
      <c r="P447" s="121"/>
      <c r="Q447" s="121"/>
      <c r="R447" s="123"/>
      <c r="S447" s="123"/>
      <c r="T447" s="123"/>
      <c r="U447" s="123"/>
      <c r="V447" s="123"/>
      <c r="W447" s="123"/>
      <c r="X447" s="123"/>
      <c r="Y447" s="123"/>
      <c r="Z447" s="123"/>
      <c r="AA447" s="123"/>
      <c r="AB447" s="123"/>
      <c r="AC447" s="123"/>
      <c r="AD447" s="265"/>
      <c r="AE447" s="123"/>
      <c r="AF447" s="123"/>
      <c r="AG447" s="123"/>
      <c r="AH447" s="123"/>
      <c r="AI447" s="123"/>
      <c r="AJ447" s="87"/>
      <c r="AK447" s="87"/>
      <c r="AL447" s="87"/>
    </row>
    <row r="448">
      <c r="A448" s="302"/>
      <c r="B448" s="265"/>
      <c r="C448" s="147"/>
      <c r="D448" s="265"/>
      <c r="E448" s="265"/>
      <c r="F448" s="265"/>
      <c r="G448" s="265"/>
      <c r="H448" s="266"/>
      <c r="I448" s="265"/>
      <c r="J448" s="123"/>
      <c r="K448" s="123"/>
      <c r="L448" s="123"/>
      <c r="M448" s="123"/>
      <c r="N448" s="123"/>
      <c r="O448" s="123"/>
      <c r="P448" s="121"/>
      <c r="Q448" s="121"/>
      <c r="R448" s="123"/>
      <c r="S448" s="123"/>
      <c r="T448" s="123"/>
      <c r="U448" s="123"/>
      <c r="V448" s="123"/>
      <c r="W448" s="123"/>
      <c r="X448" s="123"/>
      <c r="Y448" s="123"/>
      <c r="Z448" s="123"/>
      <c r="AA448" s="123"/>
      <c r="AB448" s="123"/>
      <c r="AC448" s="123"/>
      <c r="AD448" s="265"/>
      <c r="AE448" s="123"/>
      <c r="AF448" s="123"/>
      <c r="AG448" s="123"/>
      <c r="AH448" s="123"/>
      <c r="AI448" s="123"/>
      <c r="AJ448" s="87"/>
      <c r="AK448" s="87"/>
      <c r="AL448" s="87"/>
    </row>
    <row r="449">
      <c r="A449" s="302"/>
      <c r="B449" s="265"/>
      <c r="C449" s="147"/>
      <c r="D449" s="265"/>
      <c r="E449" s="265"/>
      <c r="F449" s="265"/>
      <c r="G449" s="265"/>
      <c r="H449" s="266"/>
      <c r="I449" s="265"/>
      <c r="J449" s="123"/>
      <c r="K449" s="123"/>
      <c r="L449" s="123"/>
      <c r="M449" s="123"/>
      <c r="N449" s="123"/>
      <c r="O449" s="123"/>
      <c r="P449" s="121"/>
      <c r="Q449" s="121"/>
      <c r="R449" s="123"/>
      <c r="S449" s="123"/>
      <c r="T449" s="123"/>
      <c r="U449" s="123"/>
      <c r="V449" s="123"/>
      <c r="W449" s="123"/>
      <c r="X449" s="123"/>
      <c r="Y449" s="123"/>
      <c r="Z449" s="123"/>
      <c r="AA449" s="123"/>
      <c r="AB449" s="123"/>
      <c r="AC449" s="123"/>
      <c r="AD449" s="265"/>
      <c r="AE449" s="123"/>
      <c r="AF449" s="123"/>
      <c r="AG449" s="123"/>
      <c r="AH449" s="123"/>
      <c r="AI449" s="123"/>
      <c r="AJ449" s="87"/>
      <c r="AK449" s="87"/>
      <c r="AL449" s="87"/>
    </row>
    <row r="450">
      <c r="A450" s="302"/>
      <c r="B450" s="265"/>
      <c r="C450" s="147"/>
      <c r="D450" s="265"/>
      <c r="E450" s="265"/>
      <c r="F450" s="265"/>
      <c r="G450" s="265"/>
      <c r="H450" s="266"/>
      <c r="I450" s="265"/>
      <c r="J450" s="123"/>
      <c r="K450" s="123"/>
      <c r="L450" s="123"/>
      <c r="M450" s="123"/>
      <c r="N450" s="123"/>
      <c r="O450" s="123"/>
      <c r="P450" s="121"/>
      <c r="Q450" s="121"/>
      <c r="R450" s="123"/>
      <c r="S450" s="123"/>
      <c r="T450" s="123"/>
      <c r="U450" s="123"/>
      <c r="V450" s="123"/>
      <c r="W450" s="123"/>
      <c r="X450" s="123"/>
      <c r="Y450" s="123"/>
      <c r="Z450" s="123"/>
      <c r="AA450" s="123"/>
      <c r="AB450" s="123"/>
      <c r="AC450" s="123"/>
      <c r="AD450" s="265"/>
      <c r="AE450" s="123"/>
      <c r="AF450" s="123"/>
      <c r="AG450" s="123"/>
      <c r="AH450" s="123"/>
      <c r="AI450" s="123"/>
      <c r="AJ450" s="87"/>
      <c r="AK450" s="87"/>
      <c r="AL450" s="87"/>
    </row>
    <row r="451">
      <c r="A451" s="302"/>
      <c r="B451" s="265"/>
      <c r="C451" s="147"/>
      <c r="D451" s="265"/>
      <c r="E451" s="265"/>
      <c r="F451" s="265"/>
      <c r="G451" s="265"/>
      <c r="H451" s="266"/>
      <c r="I451" s="265"/>
      <c r="J451" s="123"/>
      <c r="K451" s="123"/>
      <c r="L451" s="123"/>
      <c r="M451" s="123"/>
      <c r="N451" s="123"/>
      <c r="O451" s="123"/>
      <c r="P451" s="121"/>
      <c r="Q451" s="121"/>
      <c r="R451" s="123"/>
      <c r="S451" s="123"/>
      <c r="T451" s="123"/>
      <c r="U451" s="123"/>
      <c r="V451" s="123"/>
      <c r="W451" s="123"/>
      <c r="X451" s="123"/>
      <c r="Y451" s="123"/>
      <c r="Z451" s="123"/>
      <c r="AA451" s="123"/>
      <c r="AB451" s="123"/>
      <c r="AC451" s="123"/>
      <c r="AD451" s="265"/>
      <c r="AE451" s="123"/>
      <c r="AF451" s="123"/>
      <c r="AG451" s="123"/>
      <c r="AH451" s="123"/>
      <c r="AI451" s="123"/>
      <c r="AJ451" s="87"/>
      <c r="AK451" s="87"/>
      <c r="AL451" s="87"/>
    </row>
    <row r="452">
      <c r="A452" s="302"/>
      <c r="B452" s="265"/>
      <c r="C452" s="147"/>
      <c r="D452" s="265"/>
      <c r="E452" s="265"/>
      <c r="F452" s="265"/>
      <c r="G452" s="265"/>
      <c r="H452" s="266"/>
      <c r="I452" s="265"/>
      <c r="J452" s="123"/>
      <c r="K452" s="123"/>
      <c r="L452" s="123"/>
      <c r="M452" s="123"/>
      <c r="N452" s="123"/>
      <c r="O452" s="123"/>
      <c r="P452" s="121"/>
      <c r="Q452" s="121"/>
      <c r="R452" s="123"/>
      <c r="S452" s="123"/>
      <c r="T452" s="123"/>
      <c r="U452" s="123"/>
      <c r="V452" s="123"/>
      <c r="W452" s="123"/>
      <c r="X452" s="123"/>
      <c r="Y452" s="123"/>
      <c r="Z452" s="123"/>
      <c r="AA452" s="123"/>
      <c r="AB452" s="123"/>
      <c r="AC452" s="123"/>
      <c r="AD452" s="265"/>
      <c r="AE452" s="123"/>
      <c r="AF452" s="123"/>
      <c r="AG452" s="123"/>
      <c r="AH452" s="123"/>
      <c r="AI452" s="123"/>
      <c r="AJ452" s="87"/>
      <c r="AK452" s="87"/>
      <c r="AL452" s="87"/>
    </row>
    <row r="453">
      <c r="A453" s="302"/>
      <c r="B453" s="265"/>
      <c r="C453" s="147"/>
      <c r="D453" s="265"/>
      <c r="E453" s="265"/>
      <c r="F453" s="265"/>
      <c r="G453" s="265"/>
      <c r="H453" s="266"/>
      <c r="I453" s="265"/>
      <c r="J453" s="123"/>
      <c r="K453" s="123"/>
      <c r="L453" s="123"/>
      <c r="M453" s="123"/>
      <c r="N453" s="123"/>
      <c r="O453" s="123"/>
      <c r="P453" s="121"/>
      <c r="Q453" s="121"/>
      <c r="R453" s="123"/>
      <c r="S453" s="123"/>
      <c r="T453" s="123"/>
      <c r="U453" s="123"/>
      <c r="V453" s="123"/>
      <c r="W453" s="123"/>
      <c r="X453" s="123"/>
      <c r="Y453" s="123"/>
      <c r="Z453" s="123"/>
      <c r="AA453" s="123"/>
      <c r="AB453" s="123"/>
      <c r="AC453" s="123"/>
      <c r="AD453" s="265"/>
      <c r="AE453" s="123"/>
      <c r="AF453" s="123"/>
      <c r="AG453" s="123"/>
      <c r="AH453" s="123"/>
      <c r="AI453" s="123"/>
      <c r="AJ453" s="87"/>
      <c r="AK453" s="87"/>
      <c r="AL453" s="87"/>
    </row>
    <row r="454">
      <c r="A454" s="302"/>
      <c r="B454" s="265"/>
      <c r="C454" s="147"/>
      <c r="D454" s="265"/>
      <c r="E454" s="265"/>
      <c r="F454" s="265"/>
      <c r="G454" s="265"/>
      <c r="H454" s="266"/>
      <c r="I454" s="265"/>
      <c r="J454" s="123"/>
      <c r="K454" s="123"/>
      <c r="L454" s="123"/>
      <c r="M454" s="123"/>
      <c r="N454" s="123"/>
      <c r="O454" s="123"/>
      <c r="P454" s="121"/>
      <c r="Q454" s="121"/>
      <c r="R454" s="123"/>
      <c r="S454" s="123"/>
      <c r="T454" s="123"/>
      <c r="U454" s="123"/>
      <c r="V454" s="123"/>
      <c r="W454" s="123"/>
      <c r="X454" s="123"/>
      <c r="Y454" s="123"/>
      <c r="Z454" s="123"/>
      <c r="AA454" s="123"/>
      <c r="AB454" s="123"/>
      <c r="AC454" s="123"/>
      <c r="AD454" s="265"/>
      <c r="AE454" s="123"/>
      <c r="AF454" s="123"/>
      <c r="AG454" s="123"/>
      <c r="AH454" s="123"/>
      <c r="AI454" s="123"/>
      <c r="AJ454" s="87"/>
      <c r="AK454" s="87"/>
      <c r="AL454" s="87"/>
    </row>
    <row r="455">
      <c r="A455" s="302"/>
      <c r="B455" s="265"/>
      <c r="C455" s="147"/>
      <c r="D455" s="265"/>
      <c r="E455" s="265"/>
      <c r="F455" s="265"/>
      <c r="G455" s="265"/>
      <c r="H455" s="266"/>
      <c r="I455" s="265"/>
      <c r="J455" s="123"/>
      <c r="K455" s="123"/>
      <c r="L455" s="123"/>
      <c r="M455" s="123"/>
      <c r="N455" s="123"/>
      <c r="O455" s="123"/>
      <c r="P455" s="121"/>
      <c r="Q455" s="121"/>
      <c r="R455" s="123"/>
      <c r="S455" s="123"/>
      <c r="T455" s="123"/>
      <c r="U455" s="123"/>
      <c r="V455" s="123"/>
      <c r="W455" s="123"/>
      <c r="X455" s="123"/>
      <c r="Y455" s="123"/>
      <c r="Z455" s="123"/>
      <c r="AA455" s="123"/>
      <c r="AB455" s="123"/>
      <c r="AC455" s="123"/>
      <c r="AD455" s="265"/>
      <c r="AE455" s="123"/>
      <c r="AF455" s="123"/>
      <c r="AG455" s="123"/>
      <c r="AH455" s="123"/>
      <c r="AI455" s="123"/>
      <c r="AJ455" s="87"/>
      <c r="AK455" s="87"/>
      <c r="AL455" s="87"/>
    </row>
    <row r="456">
      <c r="A456" s="302"/>
      <c r="B456" s="265"/>
      <c r="C456" s="147"/>
      <c r="D456" s="265"/>
      <c r="E456" s="265"/>
      <c r="F456" s="265"/>
      <c r="G456" s="265"/>
      <c r="H456" s="266"/>
      <c r="I456" s="265"/>
      <c r="J456" s="123"/>
      <c r="K456" s="123"/>
      <c r="L456" s="123"/>
      <c r="M456" s="123"/>
      <c r="N456" s="123"/>
      <c r="O456" s="123"/>
      <c r="P456" s="121"/>
      <c r="Q456" s="121"/>
      <c r="R456" s="123"/>
      <c r="S456" s="123"/>
      <c r="T456" s="123"/>
      <c r="U456" s="123"/>
      <c r="V456" s="123"/>
      <c r="W456" s="123"/>
      <c r="X456" s="123"/>
      <c r="Y456" s="123"/>
      <c r="Z456" s="123"/>
      <c r="AA456" s="123"/>
      <c r="AB456" s="123"/>
      <c r="AC456" s="123"/>
      <c r="AD456" s="265"/>
      <c r="AE456" s="123"/>
      <c r="AF456" s="123"/>
      <c r="AG456" s="123"/>
      <c r="AH456" s="123"/>
      <c r="AI456" s="123"/>
      <c r="AJ456" s="87"/>
      <c r="AK456" s="87"/>
      <c r="AL456" s="87"/>
    </row>
    <row r="457">
      <c r="A457" s="302"/>
      <c r="B457" s="265"/>
      <c r="C457" s="147"/>
      <c r="D457" s="265"/>
      <c r="E457" s="265"/>
      <c r="F457" s="265"/>
      <c r="G457" s="265"/>
      <c r="H457" s="266"/>
      <c r="I457" s="265"/>
      <c r="J457" s="123"/>
      <c r="K457" s="123"/>
      <c r="L457" s="123"/>
      <c r="M457" s="123"/>
      <c r="N457" s="123"/>
      <c r="O457" s="123"/>
      <c r="P457" s="121"/>
      <c r="Q457" s="121"/>
      <c r="R457" s="123"/>
      <c r="S457" s="123"/>
      <c r="T457" s="123"/>
      <c r="U457" s="123"/>
      <c r="V457" s="123"/>
      <c r="W457" s="123"/>
      <c r="X457" s="123"/>
      <c r="Y457" s="123"/>
      <c r="Z457" s="123"/>
      <c r="AA457" s="123"/>
      <c r="AB457" s="123"/>
      <c r="AC457" s="123"/>
      <c r="AD457" s="265"/>
      <c r="AE457" s="123"/>
      <c r="AF457" s="123"/>
      <c r="AG457" s="123"/>
      <c r="AH457" s="123"/>
      <c r="AI457" s="123"/>
      <c r="AJ457" s="87"/>
      <c r="AK457" s="87"/>
      <c r="AL457" s="87"/>
    </row>
    <row r="458">
      <c r="A458" s="302"/>
      <c r="B458" s="265"/>
      <c r="C458" s="147"/>
      <c r="D458" s="265"/>
      <c r="E458" s="265"/>
      <c r="F458" s="265"/>
      <c r="G458" s="265"/>
      <c r="H458" s="266"/>
      <c r="I458" s="265"/>
      <c r="J458" s="123"/>
      <c r="K458" s="123"/>
      <c r="L458" s="123"/>
      <c r="M458" s="123"/>
      <c r="N458" s="123"/>
      <c r="O458" s="123"/>
      <c r="P458" s="121"/>
      <c r="Q458" s="121"/>
      <c r="R458" s="123"/>
      <c r="S458" s="123"/>
      <c r="T458" s="123"/>
      <c r="U458" s="123"/>
      <c r="V458" s="123"/>
      <c r="W458" s="123"/>
      <c r="X458" s="123"/>
      <c r="Y458" s="123"/>
      <c r="Z458" s="123"/>
      <c r="AA458" s="123"/>
      <c r="AB458" s="123"/>
      <c r="AC458" s="123"/>
      <c r="AD458" s="265"/>
      <c r="AE458" s="123"/>
      <c r="AF458" s="123"/>
      <c r="AG458" s="123"/>
      <c r="AH458" s="123"/>
      <c r="AI458" s="123"/>
      <c r="AJ458" s="87"/>
      <c r="AK458" s="87"/>
      <c r="AL458" s="87"/>
    </row>
    <row r="459">
      <c r="A459" s="302"/>
      <c r="B459" s="265"/>
      <c r="C459" s="147"/>
      <c r="D459" s="265"/>
      <c r="E459" s="265"/>
      <c r="F459" s="265"/>
      <c r="G459" s="265"/>
      <c r="H459" s="266"/>
      <c r="I459" s="265"/>
      <c r="J459" s="123"/>
      <c r="K459" s="123"/>
      <c r="L459" s="123"/>
      <c r="M459" s="123"/>
      <c r="N459" s="123"/>
      <c r="O459" s="123"/>
      <c r="P459" s="121"/>
      <c r="Q459" s="121"/>
      <c r="R459" s="123"/>
      <c r="S459" s="123"/>
      <c r="T459" s="123"/>
      <c r="U459" s="123"/>
      <c r="V459" s="123"/>
      <c r="W459" s="123"/>
      <c r="X459" s="123"/>
      <c r="Y459" s="123"/>
      <c r="Z459" s="123"/>
      <c r="AA459" s="123"/>
      <c r="AB459" s="123"/>
      <c r="AC459" s="123"/>
      <c r="AD459" s="265"/>
      <c r="AE459" s="123"/>
      <c r="AF459" s="123"/>
      <c r="AG459" s="123"/>
      <c r="AH459" s="123"/>
      <c r="AI459" s="123"/>
      <c r="AJ459" s="87"/>
      <c r="AK459" s="87"/>
      <c r="AL459" s="87"/>
    </row>
    <row r="460">
      <c r="A460" s="302"/>
      <c r="B460" s="265"/>
      <c r="C460" s="147"/>
      <c r="D460" s="265"/>
      <c r="E460" s="265"/>
      <c r="F460" s="265"/>
      <c r="G460" s="265"/>
      <c r="H460" s="266"/>
      <c r="I460" s="265"/>
      <c r="J460" s="123"/>
      <c r="K460" s="123"/>
      <c r="L460" s="123"/>
      <c r="M460" s="123"/>
      <c r="N460" s="123"/>
      <c r="O460" s="123"/>
      <c r="P460" s="121"/>
      <c r="Q460" s="121"/>
      <c r="R460" s="123"/>
      <c r="S460" s="123"/>
      <c r="T460" s="123"/>
      <c r="U460" s="123"/>
      <c r="V460" s="123"/>
      <c r="W460" s="123"/>
      <c r="X460" s="123"/>
      <c r="Y460" s="123"/>
      <c r="Z460" s="123"/>
      <c r="AA460" s="123"/>
      <c r="AB460" s="123"/>
      <c r="AC460" s="123"/>
      <c r="AD460" s="265"/>
      <c r="AE460" s="123"/>
      <c r="AF460" s="123"/>
      <c r="AG460" s="123"/>
      <c r="AH460" s="123"/>
      <c r="AI460" s="123"/>
      <c r="AJ460" s="87"/>
      <c r="AK460" s="87"/>
      <c r="AL460" s="87"/>
    </row>
    <row r="461">
      <c r="A461" s="302"/>
      <c r="B461" s="265"/>
      <c r="C461" s="147"/>
      <c r="D461" s="265"/>
      <c r="E461" s="265"/>
      <c r="F461" s="265"/>
      <c r="G461" s="265"/>
      <c r="H461" s="266"/>
      <c r="I461" s="265"/>
      <c r="J461" s="123"/>
      <c r="K461" s="123"/>
      <c r="L461" s="123"/>
      <c r="M461" s="123"/>
      <c r="N461" s="123"/>
      <c r="O461" s="123"/>
      <c r="P461" s="121"/>
      <c r="Q461" s="121"/>
      <c r="R461" s="123"/>
      <c r="S461" s="123"/>
      <c r="T461" s="123"/>
      <c r="U461" s="123"/>
      <c r="V461" s="123"/>
      <c r="W461" s="123"/>
      <c r="X461" s="123"/>
      <c r="Y461" s="123"/>
      <c r="Z461" s="123"/>
      <c r="AA461" s="123"/>
      <c r="AB461" s="123"/>
      <c r="AC461" s="123"/>
      <c r="AD461" s="265"/>
      <c r="AE461" s="123"/>
      <c r="AF461" s="123"/>
      <c r="AG461" s="123"/>
      <c r="AH461" s="123"/>
      <c r="AI461" s="123"/>
      <c r="AJ461" s="87"/>
      <c r="AK461" s="87"/>
      <c r="AL461" s="87"/>
    </row>
    <row r="462">
      <c r="A462" s="302"/>
      <c r="B462" s="265"/>
      <c r="C462" s="147"/>
      <c r="D462" s="265"/>
      <c r="E462" s="265"/>
      <c r="F462" s="265"/>
      <c r="G462" s="265"/>
      <c r="H462" s="266"/>
      <c r="I462" s="265"/>
      <c r="J462" s="123"/>
      <c r="K462" s="123"/>
      <c r="L462" s="123"/>
      <c r="M462" s="123"/>
      <c r="N462" s="123"/>
      <c r="O462" s="123"/>
      <c r="P462" s="121"/>
      <c r="Q462" s="121"/>
      <c r="R462" s="123"/>
      <c r="S462" s="123"/>
      <c r="T462" s="123"/>
      <c r="U462" s="123"/>
      <c r="V462" s="123"/>
      <c r="W462" s="123"/>
      <c r="X462" s="123"/>
      <c r="Y462" s="123"/>
      <c r="Z462" s="123"/>
      <c r="AA462" s="123"/>
      <c r="AB462" s="123"/>
      <c r="AC462" s="123"/>
      <c r="AD462" s="265"/>
      <c r="AE462" s="123"/>
      <c r="AF462" s="123"/>
      <c r="AG462" s="123"/>
      <c r="AH462" s="123"/>
      <c r="AI462" s="123"/>
      <c r="AJ462" s="87"/>
      <c r="AK462" s="87"/>
      <c r="AL462" s="87"/>
    </row>
    <row r="463">
      <c r="A463" s="302"/>
      <c r="B463" s="265"/>
      <c r="C463" s="147"/>
      <c r="D463" s="265"/>
      <c r="E463" s="265"/>
      <c r="F463" s="265"/>
      <c r="G463" s="265"/>
      <c r="H463" s="266"/>
      <c r="I463" s="265"/>
      <c r="J463" s="123"/>
      <c r="K463" s="123"/>
      <c r="L463" s="123"/>
      <c r="M463" s="123"/>
      <c r="N463" s="123"/>
      <c r="O463" s="123"/>
      <c r="P463" s="121"/>
      <c r="Q463" s="121"/>
      <c r="R463" s="123"/>
      <c r="S463" s="123"/>
      <c r="T463" s="123"/>
      <c r="U463" s="123"/>
      <c r="V463" s="123"/>
      <c r="W463" s="123"/>
      <c r="X463" s="123"/>
      <c r="Y463" s="123"/>
      <c r="Z463" s="123"/>
      <c r="AA463" s="123"/>
      <c r="AB463" s="123"/>
      <c r="AC463" s="123"/>
      <c r="AD463" s="265"/>
      <c r="AE463" s="123"/>
      <c r="AF463" s="123"/>
      <c r="AG463" s="123"/>
      <c r="AH463" s="123"/>
      <c r="AI463" s="123"/>
      <c r="AJ463" s="87"/>
      <c r="AK463" s="87"/>
      <c r="AL463" s="87"/>
    </row>
    <row r="464">
      <c r="A464" s="302"/>
      <c r="B464" s="265"/>
      <c r="C464" s="147"/>
      <c r="D464" s="265"/>
      <c r="E464" s="265"/>
      <c r="F464" s="265"/>
      <c r="G464" s="265"/>
      <c r="H464" s="266"/>
      <c r="I464" s="265"/>
      <c r="J464" s="123"/>
      <c r="K464" s="123"/>
      <c r="L464" s="123"/>
      <c r="M464" s="123"/>
      <c r="N464" s="123"/>
      <c r="O464" s="123"/>
      <c r="P464" s="121"/>
      <c r="Q464" s="121"/>
      <c r="R464" s="123"/>
      <c r="S464" s="123"/>
      <c r="T464" s="123"/>
      <c r="U464" s="123"/>
      <c r="V464" s="123"/>
      <c r="W464" s="123"/>
      <c r="X464" s="123"/>
      <c r="Y464" s="123"/>
      <c r="Z464" s="123"/>
      <c r="AA464" s="123"/>
      <c r="AB464" s="123"/>
      <c r="AC464" s="123"/>
      <c r="AD464" s="265"/>
      <c r="AE464" s="123"/>
      <c r="AF464" s="123"/>
      <c r="AG464" s="123"/>
      <c r="AH464" s="123"/>
      <c r="AI464" s="123"/>
      <c r="AJ464" s="87"/>
      <c r="AK464" s="87"/>
      <c r="AL464" s="87"/>
    </row>
    <row r="465">
      <c r="A465" s="302"/>
      <c r="B465" s="265"/>
      <c r="C465" s="147"/>
      <c r="D465" s="265"/>
      <c r="E465" s="265"/>
      <c r="F465" s="265"/>
      <c r="G465" s="265"/>
      <c r="H465" s="266"/>
      <c r="I465" s="265"/>
      <c r="J465" s="123"/>
      <c r="K465" s="123"/>
      <c r="L465" s="123"/>
      <c r="M465" s="123"/>
      <c r="N465" s="123"/>
      <c r="O465" s="123"/>
      <c r="P465" s="121"/>
      <c r="Q465" s="121"/>
      <c r="R465" s="123"/>
      <c r="S465" s="123"/>
      <c r="T465" s="123"/>
      <c r="U465" s="123"/>
      <c r="V465" s="123"/>
      <c r="W465" s="123"/>
      <c r="X465" s="123"/>
      <c r="Y465" s="123"/>
      <c r="Z465" s="123"/>
      <c r="AA465" s="123"/>
      <c r="AB465" s="123"/>
      <c r="AC465" s="123"/>
      <c r="AD465" s="265"/>
      <c r="AE465" s="123"/>
      <c r="AF465" s="123"/>
      <c r="AG465" s="123"/>
      <c r="AH465" s="123"/>
      <c r="AI465" s="123"/>
      <c r="AJ465" s="87"/>
      <c r="AK465" s="87"/>
      <c r="AL465" s="87"/>
    </row>
    <row r="466">
      <c r="A466" s="302"/>
      <c r="B466" s="265"/>
      <c r="C466" s="147"/>
      <c r="D466" s="265"/>
      <c r="E466" s="265"/>
      <c r="F466" s="265"/>
      <c r="G466" s="265"/>
      <c r="H466" s="266"/>
      <c r="I466" s="265"/>
      <c r="J466" s="123"/>
      <c r="K466" s="123"/>
      <c r="L466" s="123"/>
      <c r="M466" s="123"/>
      <c r="N466" s="123"/>
      <c r="O466" s="123"/>
      <c r="P466" s="121"/>
      <c r="Q466" s="121"/>
      <c r="R466" s="123"/>
      <c r="S466" s="123"/>
      <c r="T466" s="123"/>
      <c r="U466" s="123"/>
      <c r="V466" s="123"/>
      <c r="W466" s="123"/>
      <c r="X466" s="123"/>
      <c r="Y466" s="123"/>
      <c r="Z466" s="123"/>
      <c r="AA466" s="123"/>
      <c r="AB466" s="123"/>
      <c r="AC466" s="123"/>
      <c r="AD466" s="265"/>
      <c r="AE466" s="123"/>
      <c r="AF466" s="123"/>
      <c r="AG466" s="123"/>
      <c r="AH466" s="123"/>
      <c r="AI466" s="123"/>
      <c r="AJ466" s="87"/>
      <c r="AK466" s="87"/>
      <c r="AL466" s="87"/>
    </row>
    <row r="467">
      <c r="A467" s="302"/>
      <c r="B467" s="265"/>
      <c r="C467" s="147"/>
      <c r="D467" s="265"/>
      <c r="E467" s="265"/>
      <c r="F467" s="265"/>
      <c r="G467" s="265"/>
      <c r="H467" s="266"/>
      <c r="I467" s="265"/>
      <c r="J467" s="123"/>
      <c r="K467" s="123"/>
      <c r="L467" s="123"/>
      <c r="M467" s="123"/>
      <c r="N467" s="123"/>
      <c r="O467" s="123"/>
      <c r="P467" s="121"/>
      <c r="Q467" s="121"/>
      <c r="R467" s="123"/>
      <c r="S467" s="123"/>
      <c r="T467" s="123"/>
      <c r="U467" s="123"/>
      <c r="V467" s="123"/>
      <c r="W467" s="123"/>
      <c r="X467" s="123"/>
      <c r="Y467" s="123"/>
      <c r="Z467" s="123"/>
      <c r="AA467" s="123"/>
      <c r="AB467" s="123"/>
      <c r="AC467" s="123"/>
      <c r="AD467" s="265"/>
      <c r="AE467" s="123"/>
      <c r="AF467" s="123"/>
      <c r="AG467" s="123"/>
      <c r="AH467" s="123"/>
      <c r="AI467" s="123"/>
      <c r="AJ467" s="87"/>
      <c r="AK467" s="87"/>
      <c r="AL467" s="87"/>
    </row>
    <row r="468">
      <c r="A468" s="302"/>
      <c r="B468" s="265"/>
      <c r="C468" s="147"/>
      <c r="D468" s="265"/>
      <c r="E468" s="265"/>
      <c r="F468" s="265"/>
      <c r="G468" s="265"/>
      <c r="H468" s="266"/>
      <c r="I468" s="265"/>
      <c r="J468" s="123"/>
      <c r="K468" s="123"/>
      <c r="L468" s="123"/>
      <c r="M468" s="123"/>
      <c r="N468" s="123"/>
      <c r="O468" s="123"/>
      <c r="P468" s="121"/>
      <c r="Q468" s="121"/>
      <c r="R468" s="123"/>
      <c r="S468" s="123"/>
      <c r="T468" s="123"/>
      <c r="U468" s="123"/>
      <c r="V468" s="123"/>
      <c r="W468" s="123"/>
      <c r="X468" s="123"/>
      <c r="Y468" s="123"/>
      <c r="Z468" s="123"/>
      <c r="AA468" s="123"/>
      <c r="AB468" s="123"/>
      <c r="AC468" s="123"/>
      <c r="AD468" s="265"/>
      <c r="AE468" s="123"/>
      <c r="AF468" s="123"/>
      <c r="AG468" s="123"/>
      <c r="AH468" s="123"/>
      <c r="AI468" s="123"/>
      <c r="AJ468" s="87"/>
      <c r="AK468" s="87"/>
      <c r="AL468" s="87"/>
    </row>
    <row r="469">
      <c r="A469" s="302"/>
      <c r="B469" s="265"/>
      <c r="C469" s="147"/>
      <c r="D469" s="265"/>
      <c r="E469" s="265"/>
      <c r="F469" s="265"/>
      <c r="G469" s="265"/>
      <c r="H469" s="266"/>
      <c r="I469" s="265"/>
      <c r="J469" s="123"/>
      <c r="K469" s="123"/>
      <c r="L469" s="123"/>
      <c r="M469" s="123"/>
      <c r="N469" s="123"/>
      <c r="O469" s="123"/>
      <c r="P469" s="121"/>
      <c r="Q469" s="121"/>
      <c r="R469" s="123"/>
      <c r="S469" s="123"/>
      <c r="T469" s="123"/>
      <c r="U469" s="123"/>
      <c r="V469" s="123"/>
      <c r="W469" s="123"/>
      <c r="X469" s="123"/>
      <c r="Y469" s="123"/>
      <c r="Z469" s="123"/>
      <c r="AA469" s="123"/>
      <c r="AB469" s="123"/>
      <c r="AC469" s="123"/>
      <c r="AD469" s="265"/>
      <c r="AE469" s="123"/>
      <c r="AF469" s="123"/>
      <c r="AG469" s="123"/>
      <c r="AH469" s="123"/>
      <c r="AI469" s="123"/>
      <c r="AJ469" s="87"/>
      <c r="AK469" s="87"/>
      <c r="AL469" s="87"/>
    </row>
    <row r="470">
      <c r="A470" s="302"/>
      <c r="B470" s="265"/>
      <c r="C470" s="147"/>
      <c r="D470" s="265"/>
      <c r="E470" s="265"/>
      <c r="F470" s="265"/>
      <c r="G470" s="265"/>
      <c r="H470" s="266"/>
      <c r="I470" s="265"/>
      <c r="J470" s="123"/>
      <c r="K470" s="123"/>
      <c r="L470" s="123"/>
      <c r="M470" s="123"/>
      <c r="N470" s="123"/>
      <c r="O470" s="123"/>
      <c r="P470" s="121"/>
      <c r="Q470" s="121"/>
      <c r="R470" s="123"/>
      <c r="S470" s="123"/>
      <c r="T470" s="123"/>
      <c r="U470" s="123"/>
      <c r="V470" s="123"/>
      <c r="W470" s="123"/>
      <c r="X470" s="123"/>
      <c r="Y470" s="123"/>
      <c r="Z470" s="123"/>
      <c r="AA470" s="123"/>
      <c r="AB470" s="123"/>
      <c r="AC470" s="123"/>
      <c r="AD470" s="265"/>
      <c r="AE470" s="123"/>
      <c r="AF470" s="123"/>
      <c r="AG470" s="123"/>
      <c r="AH470" s="123"/>
      <c r="AI470" s="123"/>
      <c r="AJ470" s="87"/>
      <c r="AK470" s="87"/>
      <c r="AL470" s="87"/>
    </row>
    <row r="471">
      <c r="A471" s="305"/>
      <c r="B471" s="265"/>
      <c r="C471" s="147"/>
      <c r="D471" s="265"/>
      <c r="E471" s="265"/>
      <c r="F471" s="265"/>
      <c r="G471" s="265"/>
      <c r="H471" s="266"/>
      <c r="I471" s="265"/>
      <c r="J471" s="123"/>
      <c r="K471" s="123"/>
      <c r="L471" s="123"/>
      <c r="M471" s="123"/>
      <c r="N471" s="123"/>
      <c r="O471" s="123"/>
      <c r="P471" s="121"/>
      <c r="Q471" s="121"/>
      <c r="R471" s="123"/>
      <c r="S471" s="123"/>
      <c r="T471" s="123"/>
      <c r="U471" s="123"/>
      <c r="V471" s="123"/>
      <c r="W471" s="123"/>
      <c r="X471" s="123"/>
      <c r="Y471" s="123"/>
      <c r="Z471" s="123"/>
      <c r="AA471" s="123"/>
      <c r="AB471" s="123"/>
      <c r="AC471" s="123"/>
      <c r="AD471" s="265"/>
      <c r="AE471" s="123"/>
      <c r="AF471" s="123"/>
      <c r="AG471" s="123"/>
      <c r="AH471" s="123"/>
      <c r="AI471" s="123"/>
      <c r="AJ471" s="87"/>
      <c r="AK471" s="87"/>
      <c r="AL471" s="87"/>
    </row>
    <row r="472">
      <c r="A472" s="90"/>
      <c r="B472" s="259"/>
      <c r="C472" s="259"/>
      <c r="D472" s="259"/>
      <c r="E472" s="102"/>
      <c r="F472" s="102"/>
      <c r="G472" s="102"/>
      <c r="H472" s="260"/>
      <c r="I472" s="259"/>
      <c r="J472" s="115"/>
      <c r="K472" s="115"/>
      <c r="L472" s="77"/>
      <c r="M472" s="77"/>
      <c r="N472" s="77"/>
      <c r="O472" s="77"/>
      <c r="P472" s="268"/>
      <c r="Q472" s="268"/>
      <c r="R472" s="77"/>
      <c r="S472" s="77"/>
      <c r="T472" s="77"/>
      <c r="U472" s="77"/>
      <c r="V472" s="115"/>
      <c r="W472" s="115"/>
      <c r="X472" s="115"/>
      <c r="Y472" s="115"/>
      <c r="Z472" s="115"/>
      <c r="AA472" s="115"/>
      <c r="AB472" s="261"/>
      <c r="AC472" s="77"/>
      <c r="AD472" s="259"/>
      <c r="AE472" s="77"/>
      <c r="AF472" s="77"/>
      <c r="AG472" s="77"/>
      <c r="AH472" s="87"/>
      <c r="AI472" s="87"/>
      <c r="AJ472" s="87"/>
      <c r="AK472" s="87"/>
      <c r="AL472" s="87"/>
    </row>
    <row r="473">
      <c r="A473" s="302"/>
      <c r="B473" s="123"/>
      <c r="C473" s="147"/>
      <c r="D473" s="265"/>
      <c r="E473" s="265"/>
      <c r="F473" s="265"/>
      <c r="G473" s="265"/>
      <c r="H473" s="266"/>
      <c r="I473" s="265"/>
      <c r="J473" s="123"/>
      <c r="K473" s="123"/>
      <c r="L473" s="123"/>
      <c r="M473" s="123"/>
      <c r="N473" s="123"/>
      <c r="O473" s="123"/>
      <c r="P473" s="121"/>
      <c r="Q473" s="121"/>
      <c r="R473" s="123"/>
      <c r="S473" s="123"/>
      <c r="T473" s="123"/>
      <c r="U473" s="123"/>
      <c r="V473" s="123"/>
      <c r="W473" s="123"/>
      <c r="X473" s="123"/>
      <c r="Y473" s="123"/>
      <c r="Z473" s="123"/>
      <c r="AA473" s="123"/>
      <c r="AB473" s="123"/>
      <c r="AC473" s="123"/>
      <c r="AD473" s="265"/>
      <c r="AE473" s="123"/>
      <c r="AF473" s="123"/>
      <c r="AG473" s="123"/>
      <c r="AH473" s="123"/>
      <c r="AI473" s="123"/>
      <c r="AJ473" s="87"/>
      <c r="AK473" s="87"/>
      <c r="AL473" s="87"/>
    </row>
    <row r="474">
      <c r="A474" s="302"/>
      <c r="B474" s="123"/>
      <c r="C474" s="147"/>
      <c r="D474" s="265"/>
      <c r="E474" s="265"/>
      <c r="F474" s="265"/>
      <c r="G474" s="265"/>
      <c r="H474" s="266"/>
      <c r="I474" s="265"/>
      <c r="J474" s="123"/>
      <c r="K474" s="123"/>
      <c r="L474" s="123"/>
      <c r="M474" s="123"/>
      <c r="N474" s="123"/>
      <c r="O474" s="123"/>
      <c r="P474" s="121"/>
      <c r="Q474" s="121"/>
      <c r="R474" s="123"/>
      <c r="S474" s="123"/>
      <c r="T474" s="123"/>
      <c r="U474" s="123"/>
      <c r="V474" s="123"/>
      <c r="W474" s="123"/>
      <c r="X474" s="123"/>
      <c r="Y474" s="123"/>
      <c r="Z474" s="123"/>
      <c r="AA474" s="123"/>
      <c r="AB474" s="123"/>
      <c r="AC474" s="123"/>
      <c r="AD474" s="265"/>
      <c r="AE474" s="123"/>
      <c r="AF474" s="123"/>
      <c r="AG474" s="123"/>
      <c r="AH474" s="123"/>
      <c r="AI474" s="123"/>
      <c r="AJ474" s="87"/>
      <c r="AK474" s="87"/>
      <c r="AL474" s="87"/>
    </row>
    <row r="475">
      <c r="A475" s="302"/>
      <c r="B475" s="123"/>
      <c r="C475" s="147"/>
      <c r="D475" s="265"/>
      <c r="E475" s="265"/>
      <c r="F475" s="265"/>
      <c r="G475" s="265"/>
      <c r="H475" s="266"/>
      <c r="I475" s="265"/>
      <c r="J475" s="123"/>
      <c r="K475" s="123"/>
      <c r="L475" s="123"/>
      <c r="M475" s="123"/>
      <c r="N475" s="123"/>
      <c r="O475" s="123"/>
      <c r="P475" s="121"/>
      <c r="Q475" s="121"/>
      <c r="R475" s="123"/>
      <c r="S475" s="123"/>
      <c r="T475" s="123"/>
      <c r="U475" s="123"/>
      <c r="V475" s="123"/>
      <c r="W475" s="123"/>
      <c r="X475" s="123"/>
      <c r="Y475" s="123"/>
      <c r="Z475" s="123"/>
      <c r="AA475" s="123"/>
      <c r="AB475" s="123"/>
      <c r="AC475" s="123"/>
      <c r="AD475" s="265"/>
      <c r="AE475" s="123"/>
      <c r="AF475" s="123"/>
      <c r="AG475" s="123"/>
      <c r="AH475" s="123"/>
      <c r="AI475" s="123"/>
      <c r="AJ475" s="87"/>
      <c r="AK475" s="87"/>
      <c r="AL475" s="87"/>
    </row>
    <row r="476">
      <c r="A476" s="302"/>
      <c r="B476" s="123"/>
      <c r="C476" s="147"/>
      <c r="D476" s="265"/>
      <c r="E476" s="265"/>
      <c r="F476" s="265"/>
      <c r="G476" s="265"/>
      <c r="H476" s="266"/>
      <c r="I476" s="265"/>
      <c r="J476" s="123"/>
      <c r="K476" s="123"/>
      <c r="L476" s="123"/>
      <c r="M476" s="123"/>
      <c r="N476" s="123"/>
      <c r="O476" s="123"/>
      <c r="P476" s="121"/>
      <c r="Q476" s="121"/>
      <c r="R476" s="123"/>
      <c r="S476" s="123"/>
      <c r="T476" s="123"/>
      <c r="U476" s="123"/>
      <c r="V476" s="123"/>
      <c r="W476" s="123"/>
      <c r="X476" s="123"/>
      <c r="Y476" s="123"/>
      <c r="Z476" s="123"/>
      <c r="AA476" s="123"/>
      <c r="AB476" s="123"/>
      <c r="AC476" s="123"/>
      <c r="AD476" s="265"/>
      <c r="AE476" s="123"/>
      <c r="AF476" s="123"/>
      <c r="AG476" s="123"/>
      <c r="AH476" s="123"/>
      <c r="AI476" s="123"/>
      <c r="AJ476" s="87"/>
      <c r="AK476" s="87"/>
      <c r="AL476" s="87"/>
    </row>
    <row r="477">
      <c r="A477" s="302"/>
      <c r="B477" s="123"/>
      <c r="C477" s="147"/>
      <c r="D477" s="265"/>
      <c r="E477" s="265"/>
      <c r="F477" s="265"/>
      <c r="G477" s="265"/>
      <c r="H477" s="266"/>
      <c r="I477" s="265"/>
      <c r="J477" s="123"/>
      <c r="K477" s="123"/>
      <c r="L477" s="123"/>
      <c r="M477" s="123"/>
      <c r="N477" s="123"/>
      <c r="O477" s="123"/>
      <c r="P477" s="121"/>
      <c r="Q477" s="121"/>
      <c r="R477" s="123"/>
      <c r="S477" s="123"/>
      <c r="T477" s="123"/>
      <c r="U477" s="123"/>
      <c r="V477" s="123"/>
      <c r="W477" s="123"/>
      <c r="X477" s="123"/>
      <c r="Y477" s="123"/>
      <c r="Z477" s="123"/>
      <c r="AA477" s="123"/>
      <c r="AB477" s="123"/>
      <c r="AC477" s="123"/>
      <c r="AD477" s="265"/>
      <c r="AE477" s="123"/>
      <c r="AF477" s="123"/>
      <c r="AG477" s="123"/>
      <c r="AH477" s="123"/>
      <c r="AI477" s="123"/>
      <c r="AJ477" s="87"/>
      <c r="AK477" s="87"/>
      <c r="AL477" s="87"/>
    </row>
    <row r="478">
      <c r="A478" s="302"/>
      <c r="B478" s="123"/>
      <c r="C478" s="147"/>
      <c r="D478" s="265"/>
      <c r="E478" s="265"/>
      <c r="F478" s="265"/>
      <c r="G478" s="265"/>
      <c r="H478" s="266"/>
      <c r="I478" s="265"/>
      <c r="J478" s="123"/>
      <c r="K478" s="123"/>
      <c r="L478" s="123"/>
      <c r="M478" s="123"/>
      <c r="N478" s="123"/>
      <c r="O478" s="123"/>
      <c r="P478" s="121"/>
      <c r="Q478" s="121"/>
      <c r="R478" s="123"/>
      <c r="S478" s="123"/>
      <c r="T478" s="123"/>
      <c r="U478" s="123"/>
      <c r="V478" s="123"/>
      <c r="W478" s="123"/>
      <c r="X478" s="123"/>
      <c r="Y478" s="123"/>
      <c r="Z478" s="123"/>
      <c r="AA478" s="123"/>
      <c r="AB478" s="123"/>
      <c r="AC478" s="123"/>
      <c r="AD478" s="265"/>
      <c r="AE478" s="123"/>
      <c r="AF478" s="123"/>
      <c r="AG478" s="123"/>
      <c r="AH478" s="123"/>
      <c r="AI478" s="123"/>
      <c r="AJ478" s="87"/>
      <c r="AK478" s="87"/>
      <c r="AL478" s="87"/>
    </row>
    <row r="479">
      <c r="A479" s="302"/>
      <c r="B479" s="123"/>
      <c r="C479" s="147"/>
      <c r="D479" s="265"/>
      <c r="E479" s="265"/>
      <c r="F479" s="265"/>
      <c r="G479" s="265"/>
      <c r="H479" s="266"/>
      <c r="I479" s="265"/>
      <c r="J479" s="123"/>
      <c r="K479" s="123"/>
      <c r="L479" s="123"/>
      <c r="M479" s="123"/>
      <c r="N479" s="123"/>
      <c r="O479" s="123"/>
      <c r="P479" s="121"/>
      <c r="Q479" s="121"/>
      <c r="R479" s="123"/>
      <c r="S479" s="123"/>
      <c r="T479" s="123"/>
      <c r="U479" s="123"/>
      <c r="V479" s="123"/>
      <c r="W479" s="123"/>
      <c r="X479" s="123"/>
      <c r="Y479" s="123"/>
      <c r="Z479" s="123"/>
      <c r="AA479" s="123"/>
      <c r="AB479" s="123"/>
      <c r="AC479" s="123"/>
      <c r="AD479" s="265"/>
      <c r="AE479" s="123"/>
      <c r="AF479" s="123"/>
      <c r="AG479" s="123"/>
      <c r="AH479" s="123"/>
      <c r="AI479" s="123"/>
      <c r="AJ479" s="87"/>
      <c r="AK479" s="87"/>
      <c r="AL479" s="87"/>
    </row>
    <row r="480">
      <c r="A480" s="302"/>
      <c r="B480" s="123"/>
      <c r="C480" s="147"/>
      <c r="D480" s="265"/>
      <c r="E480" s="265"/>
      <c r="F480" s="265"/>
      <c r="G480" s="265"/>
      <c r="H480" s="266"/>
      <c r="I480" s="265"/>
      <c r="J480" s="123"/>
      <c r="K480" s="123"/>
      <c r="L480" s="123"/>
      <c r="M480" s="123"/>
      <c r="N480" s="123"/>
      <c r="O480" s="123"/>
      <c r="P480" s="121"/>
      <c r="Q480" s="121"/>
      <c r="R480" s="123"/>
      <c r="S480" s="123"/>
      <c r="T480" s="123"/>
      <c r="U480" s="123"/>
      <c r="V480" s="123"/>
      <c r="W480" s="123"/>
      <c r="X480" s="123"/>
      <c r="Y480" s="123"/>
      <c r="Z480" s="123"/>
      <c r="AA480" s="123"/>
      <c r="AB480" s="123"/>
      <c r="AC480" s="123"/>
      <c r="AD480" s="265"/>
      <c r="AE480" s="123"/>
      <c r="AF480" s="123"/>
      <c r="AG480" s="123"/>
      <c r="AH480" s="123"/>
      <c r="AI480" s="123"/>
      <c r="AJ480" s="87"/>
      <c r="AK480" s="87"/>
      <c r="AL480" s="87"/>
    </row>
    <row r="481">
      <c r="A481" s="302"/>
      <c r="B481" s="123"/>
      <c r="C481" s="147"/>
      <c r="D481" s="265"/>
      <c r="E481" s="265"/>
      <c r="F481" s="265"/>
      <c r="G481" s="265"/>
      <c r="H481" s="266"/>
      <c r="I481" s="265"/>
      <c r="J481" s="123"/>
      <c r="K481" s="123"/>
      <c r="L481" s="123"/>
      <c r="M481" s="123"/>
      <c r="N481" s="123"/>
      <c r="O481" s="123"/>
      <c r="P481" s="121"/>
      <c r="Q481" s="121"/>
      <c r="R481" s="123"/>
      <c r="S481" s="123"/>
      <c r="T481" s="123"/>
      <c r="U481" s="123"/>
      <c r="V481" s="123"/>
      <c r="W481" s="123"/>
      <c r="X481" s="123"/>
      <c r="Y481" s="123"/>
      <c r="Z481" s="123"/>
      <c r="AA481" s="123"/>
      <c r="AB481" s="123"/>
      <c r="AC481" s="123"/>
      <c r="AD481" s="265"/>
      <c r="AE481" s="123"/>
      <c r="AF481" s="123"/>
      <c r="AG481" s="123"/>
      <c r="AH481" s="123"/>
      <c r="AI481" s="123"/>
      <c r="AJ481" s="87"/>
      <c r="AK481" s="87"/>
      <c r="AL481" s="87"/>
    </row>
    <row r="482">
      <c r="A482" s="302"/>
      <c r="B482" s="123"/>
      <c r="C482" s="147"/>
      <c r="D482" s="265"/>
      <c r="E482" s="265"/>
      <c r="F482" s="265"/>
      <c r="G482" s="265"/>
      <c r="H482" s="266"/>
      <c r="I482" s="265"/>
      <c r="J482" s="123"/>
      <c r="K482" s="123"/>
      <c r="L482" s="123"/>
      <c r="M482" s="123"/>
      <c r="N482" s="123"/>
      <c r="O482" s="123"/>
      <c r="P482" s="121"/>
      <c r="Q482" s="121"/>
      <c r="R482" s="123"/>
      <c r="S482" s="123"/>
      <c r="T482" s="123"/>
      <c r="U482" s="123"/>
      <c r="V482" s="123"/>
      <c r="W482" s="123"/>
      <c r="X482" s="123"/>
      <c r="Y482" s="123"/>
      <c r="Z482" s="123"/>
      <c r="AA482" s="123"/>
      <c r="AB482" s="123"/>
      <c r="AC482" s="123"/>
      <c r="AD482" s="265"/>
      <c r="AE482" s="123"/>
      <c r="AF482" s="123"/>
      <c r="AG482" s="123"/>
      <c r="AH482" s="123"/>
      <c r="AI482" s="123"/>
      <c r="AJ482" s="87"/>
      <c r="AK482" s="87"/>
      <c r="AL482" s="87"/>
    </row>
    <row r="483">
      <c r="A483" s="302"/>
      <c r="B483" s="123"/>
      <c r="C483" s="147"/>
      <c r="D483" s="265"/>
      <c r="E483" s="265"/>
      <c r="F483" s="265"/>
      <c r="G483" s="265"/>
      <c r="H483" s="266"/>
      <c r="I483" s="265"/>
      <c r="J483" s="123"/>
      <c r="K483" s="123"/>
      <c r="L483" s="123"/>
      <c r="M483" s="123"/>
      <c r="N483" s="123"/>
      <c r="O483" s="123"/>
      <c r="P483" s="121"/>
      <c r="Q483" s="121"/>
      <c r="R483" s="123"/>
      <c r="S483" s="123"/>
      <c r="T483" s="123"/>
      <c r="U483" s="123"/>
      <c r="V483" s="123"/>
      <c r="W483" s="123"/>
      <c r="X483" s="123"/>
      <c r="Y483" s="123"/>
      <c r="Z483" s="123"/>
      <c r="AA483" s="123"/>
      <c r="AB483" s="123"/>
      <c r="AC483" s="123"/>
      <c r="AD483" s="265"/>
      <c r="AE483" s="123"/>
      <c r="AF483" s="123"/>
      <c r="AG483" s="123"/>
      <c r="AH483" s="123"/>
      <c r="AI483" s="123"/>
      <c r="AJ483" s="87"/>
      <c r="AK483" s="87"/>
      <c r="AL483" s="87"/>
    </row>
    <row r="484">
      <c r="A484" s="302"/>
      <c r="B484" s="123"/>
      <c r="C484" s="147"/>
      <c r="D484" s="265"/>
      <c r="E484" s="265"/>
      <c r="F484" s="265"/>
      <c r="G484" s="265"/>
      <c r="H484" s="266"/>
      <c r="I484" s="265"/>
      <c r="J484" s="123"/>
      <c r="K484" s="123"/>
      <c r="L484" s="123"/>
      <c r="M484" s="123"/>
      <c r="N484" s="123"/>
      <c r="O484" s="123"/>
      <c r="P484" s="121"/>
      <c r="Q484" s="121"/>
      <c r="R484" s="123"/>
      <c r="S484" s="123"/>
      <c r="T484" s="123"/>
      <c r="U484" s="123"/>
      <c r="V484" s="123"/>
      <c r="W484" s="123"/>
      <c r="X484" s="123"/>
      <c r="Y484" s="123"/>
      <c r="Z484" s="123"/>
      <c r="AA484" s="123"/>
      <c r="AB484" s="123"/>
      <c r="AC484" s="123"/>
      <c r="AD484" s="265"/>
      <c r="AE484" s="123"/>
      <c r="AF484" s="123"/>
      <c r="AG484" s="123"/>
      <c r="AH484" s="123"/>
      <c r="AI484" s="123"/>
      <c r="AJ484" s="87"/>
      <c r="AK484" s="87"/>
      <c r="AL484" s="87"/>
    </row>
    <row r="485">
      <c r="A485" s="302"/>
      <c r="B485" s="123"/>
      <c r="C485" s="147"/>
      <c r="D485" s="265"/>
      <c r="E485" s="265"/>
      <c r="F485" s="265"/>
      <c r="G485" s="265"/>
      <c r="H485" s="266"/>
      <c r="I485" s="265"/>
      <c r="J485" s="123"/>
      <c r="K485" s="123"/>
      <c r="L485" s="123"/>
      <c r="M485" s="123"/>
      <c r="N485" s="123"/>
      <c r="O485" s="123"/>
      <c r="P485" s="121"/>
      <c r="Q485" s="121"/>
      <c r="R485" s="123"/>
      <c r="S485" s="123"/>
      <c r="T485" s="123"/>
      <c r="U485" s="123"/>
      <c r="V485" s="123"/>
      <c r="W485" s="123"/>
      <c r="X485" s="123"/>
      <c r="Y485" s="123"/>
      <c r="Z485" s="123"/>
      <c r="AA485" s="123"/>
      <c r="AB485" s="123"/>
      <c r="AC485" s="123"/>
      <c r="AD485" s="265"/>
      <c r="AE485" s="123"/>
      <c r="AF485" s="123"/>
      <c r="AG485" s="123"/>
      <c r="AH485" s="123"/>
      <c r="AI485" s="123"/>
      <c r="AJ485" s="87"/>
      <c r="AK485" s="87"/>
      <c r="AL485" s="87"/>
    </row>
    <row r="486">
      <c r="A486" s="302"/>
      <c r="B486" s="123"/>
      <c r="C486" s="147"/>
      <c r="D486" s="265"/>
      <c r="E486" s="265"/>
      <c r="F486" s="265"/>
      <c r="G486" s="265"/>
      <c r="H486" s="266"/>
      <c r="I486" s="265"/>
      <c r="J486" s="123"/>
      <c r="K486" s="123"/>
      <c r="L486" s="123"/>
      <c r="M486" s="123"/>
      <c r="N486" s="123"/>
      <c r="O486" s="123"/>
      <c r="P486" s="121"/>
      <c r="Q486" s="121"/>
      <c r="R486" s="123"/>
      <c r="S486" s="123"/>
      <c r="T486" s="123"/>
      <c r="U486" s="123"/>
      <c r="V486" s="123"/>
      <c r="W486" s="123"/>
      <c r="X486" s="123"/>
      <c r="Y486" s="123"/>
      <c r="Z486" s="123"/>
      <c r="AA486" s="123"/>
      <c r="AB486" s="123"/>
      <c r="AC486" s="123"/>
      <c r="AD486" s="265"/>
      <c r="AE486" s="123"/>
      <c r="AF486" s="123"/>
      <c r="AG486" s="123"/>
      <c r="AH486" s="123"/>
      <c r="AI486" s="123"/>
      <c r="AJ486" s="87"/>
      <c r="AK486" s="87"/>
      <c r="AL486" s="87"/>
    </row>
    <row r="487">
      <c r="A487" s="302"/>
      <c r="B487" s="123"/>
      <c r="C487" s="147"/>
      <c r="D487" s="265"/>
      <c r="E487" s="265"/>
      <c r="F487" s="265"/>
      <c r="G487" s="265"/>
      <c r="H487" s="266"/>
      <c r="I487" s="265"/>
      <c r="J487" s="123"/>
      <c r="K487" s="123"/>
      <c r="L487" s="123"/>
      <c r="M487" s="123"/>
      <c r="N487" s="123"/>
      <c r="O487" s="123"/>
      <c r="P487" s="121"/>
      <c r="Q487" s="121"/>
      <c r="R487" s="123"/>
      <c r="S487" s="123"/>
      <c r="T487" s="123"/>
      <c r="U487" s="123"/>
      <c r="V487" s="123"/>
      <c r="W487" s="123"/>
      <c r="X487" s="123"/>
      <c r="Y487" s="123"/>
      <c r="Z487" s="123"/>
      <c r="AA487" s="123"/>
      <c r="AB487" s="123"/>
      <c r="AC487" s="123"/>
      <c r="AD487" s="265"/>
      <c r="AE487" s="123"/>
      <c r="AF487" s="123"/>
      <c r="AG487" s="123"/>
      <c r="AH487" s="123"/>
      <c r="AI487" s="123"/>
      <c r="AJ487" s="87"/>
      <c r="AK487" s="87"/>
      <c r="AL487" s="87"/>
    </row>
    <row r="488">
      <c r="A488" s="302"/>
      <c r="B488" s="123"/>
      <c r="C488" s="147"/>
      <c r="D488" s="265"/>
      <c r="E488" s="265"/>
      <c r="F488" s="265"/>
      <c r="G488" s="265"/>
      <c r="H488" s="266"/>
      <c r="I488" s="265"/>
      <c r="J488" s="123"/>
      <c r="K488" s="123"/>
      <c r="L488" s="123"/>
      <c r="M488" s="123"/>
      <c r="N488" s="123"/>
      <c r="O488" s="123"/>
      <c r="P488" s="121"/>
      <c r="Q488" s="121"/>
      <c r="R488" s="123"/>
      <c r="S488" s="123"/>
      <c r="T488" s="123"/>
      <c r="U488" s="123"/>
      <c r="V488" s="123"/>
      <c r="W488" s="123"/>
      <c r="X488" s="123"/>
      <c r="Y488" s="123"/>
      <c r="Z488" s="123"/>
      <c r="AA488" s="123"/>
      <c r="AB488" s="123"/>
      <c r="AC488" s="123"/>
      <c r="AD488" s="265"/>
      <c r="AE488" s="123"/>
      <c r="AF488" s="123"/>
      <c r="AG488" s="123"/>
      <c r="AH488" s="123"/>
      <c r="AI488" s="123"/>
      <c r="AJ488" s="87"/>
      <c r="AK488" s="87"/>
      <c r="AL488" s="87"/>
    </row>
    <row r="489">
      <c r="A489" s="302"/>
      <c r="B489" s="123"/>
      <c r="C489" s="147"/>
      <c r="D489" s="265"/>
      <c r="E489" s="265"/>
      <c r="F489" s="265"/>
      <c r="G489" s="265"/>
      <c r="H489" s="266"/>
      <c r="I489" s="265"/>
      <c r="J489" s="123"/>
      <c r="K489" s="123"/>
      <c r="L489" s="123"/>
      <c r="M489" s="123"/>
      <c r="N489" s="123"/>
      <c r="O489" s="123"/>
      <c r="P489" s="121"/>
      <c r="Q489" s="121"/>
      <c r="R489" s="123"/>
      <c r="S489" s="123"/>
      <c r="T489" s="123"/>
      <c r="U489" s="123"/>
      <c r="V489" s="123"/>
      <c r="W489" s="123"/>
      <c r="X489" s="123"/>
      <c r="Y489" s="123"/>
      <c r="Z489" s="123"/>
      <c r="AA489" s="123"/>
      <c r="AB489" s="123"/>
      <c r="AC489" s="123"/>
      <c r="AD489" s="265"/>
      <c r="AE489" s="123"/>
      <c r="AF489" s="123"/>
      <c r="AG489" s="123"/>
      <c r="AH489" s="123"/>
      <c r="AI489" s="123"/>
      <c r="AJ489" s="87"/>
      <c r="AK489" s="87"/>
      <c r="AL489" s="87"/>
    </row>
    <row r="490">
      <c r="A490" s="302"/>
      <c r="B490" s="123"/>
      <c r="C490" s="147"/>
      <c r="D490" s="265"/>
      <c r="E490" s="265"/>
      <c r="F490" s="265"/>
      <c r="G490" s="265"/>
      <c r="H490" s="266"/>
      <c r="I490" s="265"/>
      <c r="J490" s="123"/>
      <c r="K490" s="123"/>
      <c r="L490" s="123"/>
      <c r="M490" s="123"/>
      <c r="N490" s="123"/>
      <c r="O490" s="123"/>
      <c r="P490" s="121"/>
      <c r="Q490" s="121"/>
      <c r="R490" s="123"/>
      <c r="S490" s="123"/>
      <c r="T490" s="123"/>
      <c r="U490" s="123"/>
      <c r="V490" s="123"/>
      <c r="W490" s="123"/>
      <c r="X490" s="123"/>
      <c r="Y490" s="123"/>
      <c r="Z490" s="123"/>
      <c r="AA490" s="123"/>
      <c r="AB490" s="123"/>
      <c r="AC490" s="123"/>
      <c r="AD490" s="265"/>
      <c r="AE490" s="123"/>
      <c r="AF490" s="123"/>
      <c r="AG490" s="123"/>
      <c r="AH490" s="123"/>
      <c r="AI490" s="123"/>
      <c r="AJ490" s="87"/>
      <c r="AK490" s="87"/>
      <c r="AL490" s="87"/>
    </row>
    <row r="491">
      <c r="A491" s="302"/>
      <c r="B491" s="123"/>
      <c r="C491" s="147"/>
      <c r="D491" s="265"/>
      <c r="E491" s="265"/>
      <c r="F491" s="265"/>
      <c r="G491" s="265"/>
      <c r="H491" s="266"/>
      <c r="I491" s="265"/>
      <c r="J491" s="123"/>
      <c r="K491" s="123"/>
      <c r="L491" s="123"/>
      <c r="M491" s="123"/>
      <c r="N491" s="123"/>
      <c r="O491" s="123"/>
      <c r="P491" s="121"/>
      <c r="Q491" s="121"/>
      <c r="R491" s="123"/>
      <c r="S491" s="123"/>
      <c r="T491" s="123"/>
      <c r="U491" s="123"/>
      <c r="V491" s="123"/>
      <c r="W491" s="123"/>
      <c r="X491" s="123"/>
      <c r="Y491" s="123"/>
      <c r="Z491" s="123"/>
      <c r="AA491" s="123"/>
      <c r="AB491" s="123"/>
      <c r="AC491" s="123"/>
      <c r="AD491" s="265"/>
      <c r="AE491" s="123"/>
      <c r="AF491" s="123"/>
      <c r="AG491" s="123"/>
      <c r="AH491" s="123"/>
      <c r="AI491" s="123"/>
      <c r="AJ491" s="87"/>
      <c r="AK491" s="87"/>
      <c r="AL491" s="87"/>
    </row>
    <row r="492">
      <c r="A492" s="302"/>
      <c r="B492" s="123"/>
      <c r="C492" s="147"/>
      <c r="D492" s="265"/>
      <c r="E492" s="265"/>
      <c r="F492" s="265"/>
      <c r="G492" s="265"/>
      <c r="H492" s="266"/>
      <c r="I492" s="265"/>
      <c r="J492" s="123"/>
      <c r="K492" s="123"/>
      <c r="L492" s="123"/>
      <c r="M492" s="123"/>
      <c r="N492" s="123"/>
      <c r="O492" s="123"/>
      <c r="P492" s="121"/>
      <c r="Q492" s="121"/>
      <c r="R492" s="123"/>
      <c r="S492" s="123"/>
      <c r="T492" s="123"/>
      <c r="U492" s="123"/>
      <c r="V492" s="123"/>
      <c r="W492" s="123"/>
      <c r="X492" s="123"/>
      <c r="Y492" s="123"/>
      <c r="Z492" s="123"/>
      <c r="AA492" s="123"/>
      <c r="AB492" s="123"/>
      <c r="AC492" s="123"/>
      <c r="AD492" s="265"/>
      <c r="AE492" s="123"/>
      <c r="AF492" s="123"/>
      <c r="AG492" s="123"/>
      <c r="AH492" s="123"/>
      <c r="AI492" s="123"/>
      <c r="AJ492" s="87"/>
      <c r="AK492" s="87"/>
      <c r="AL492" s="87"/>
    </row>
    <row r="493">
      <c r="A493" s="302"/>
      <c r="B493" s="123"/>
      <c r="C493" s="147"/>
      <c r="D493" s="265"/>
      <c r="E493" s="265"/>
      <c r="F493" s="265"/>
      <c r="G493" s="265"/>
      <c r="H493" s="266"/>
      <c r="I493" s="265"/>
      <c r="J493" s="123"/>
      <c r="K493" s="123"/>
      <c r="L493" s="123"/>
      <c r="M493" s="123"/>
      <c r="N493" s="123"/>
      <c r="O493" s="123"/>
      <c r="P493" s="121"/>
      <c r="Q493" s="121"/>
      <c r="R493" s="123"/>
      <c r="S493" s="123"/>
      <c r="T493" s="123"/>
      <c r="U493" s="123"/>
      <c r="V493" s="123"/>
      <c r="W493" s="123"/>
      <c r="X493" s="123"/>
      <c r="Y493" s="123"/>
      <c r="Z493" s="123"/>
      <c r="AA493" s="123"/>
      <c r="AB493" s="123"/>
      <c r="AC493" s="123"/>
      <c r="AD493" s="265"/>
      <c r="AE493" s="123"/>
      <c r="AF493" s="123"/>
      <c r="AG493" s="123"/>
      <c r="AH493" s="123"/>
      <c r="AI493" s="123"/>
      <c r="AJ493" s="87"/>
      <c r="AK493" s="87"/>
      <c r="AL493" s="87"/>
    </row>
    <row r="494">
      <c r="A494" s="302"/>
      <c r="B494" s="123"/>
      <c r="C494" s="147"/>
      <c r="D494" s="265"/>
      <c r="E494" s="265"/>
      <c r="F494" s="265"/>
      <c r="G494" s="265"/>
      <c r="H494" s="266"/>
      <c r="I494" s="265"/>
      <c r="J494" s="123"/>
      <c r="K494" s="123"/>
      <c r="L494" s="123"/>
      <c r="M494" s="123"/>
      <c r="N494" s="123"/>
      <c r="O494" s="123"/>
      <c r="P494" s="121"/>
      <c r="Q494" s="121"/>
      <c r="R494" s="123"/>
      <c r="S494" s="123"/>
      <c r="T494" s="123"/>
      <c r="U494" s="123"/>
      <c r="V494" s="123"/>
      <c r="W494" s="123"/>
      <c r="X494" s="123"/>
      <c r="Y494" s="123"/>
      <c r="Z494" s="123"/>
      <c r="AA494" s="123"/>
      <c r="AB494" s="123"/>
      <c r="AC494" s="123"/>
      <c r="AD494" s="265"/>
      <c r="AE494" s="123"/>
      <c r="AF494" s="123"/>
      <c r="AG494" s="123"/>
      <c r="AH494" s="123"/>
      <c r="AI494" s="123"/>
      <c r="AJ494" s="87"/>
      <c r="AK494" s="87"/>
      <c r="AL494" s="87"/>
    </row>
    <row r="495">
      <c r="A495" s="302"/>
      <c r="B495" s="123"/>
      <c r="C495" s="147"/>
      <c r="D495" s="265"/>
      <c r="E495" s="265"/>
      <c r="F495" s="265"/>
      <c r="G495" s="265"/>
      <c r="H495" s="266"/>
      <c r="I495" s="265"/>
      <c r="J495" s="123"/>
      <c r="K495" s="123"/>
      <c r="L495" s="123"/>
      <c r="M495" s="123"/>
      <c r="N495" s="123"/>
      <c r="O495" s="123"/>
      <c r="P495" s="121"/>
      <c r="Q495" s="121"/>
      <c r="R495" s="123"/>
      <c r="S495" s="123"/>
      <c r="T495" s="123"/>
      <c r="U495" s="123"/>
      <c r="V495" s="123"/>
      <c r="W495" s="123"/>
      <c r="X495" s="123"/>
      <c r="Y495" s="123"/>
      <c r="Z495" s="123"/>
      <c r="AA495" s="123"/>
      <c r="AB495" s="123"/>
      <c r="AC495" s="123"/>
      <c r="AD495" s="265"/>
      <c r="AE495" s="123"/>
      <c r="AF495" s="123"/>
      <c r="AG495" s="123"/>
      <c r="AH495" s="123"/>
      <c r="AI495" s="123"/>
      <c r="AJ495" s="87"/>
      <c r="AK495" s="87"/>
      <c r="AL495" s="87"/>
    </row>
    <row r="496">
      <c r="A496" s="302"/>
      <c r="B496" s="123"/>
      <c r="C496" s="147"/>
      <c r="D496" s="265"/>
      <c r="E496" s="265"/>
      <c r="F496" s="265"/>
      <c r="G496" s="265"/>
      <c r="H496" s="266"/>
      <c r="I496" s="265"/>
      <c r="J496" s="123"/>
      <c r="K496" s="123"/>
      <c r="L496" s="123"/>
      <c r="M496" s="123"/>
      <c r="N496" s="123"/>
      <c r="O496" s="123"/>
      <c r="P496" s="121"/>
      <c r="Q496" s="121"/>
      <c r="R496" s="123"/>
      <c r="S496" s="123"/>
      <c r="T496" s="123"/>
      <c r="U496" s="123"/>
      <c r="V496" s="123"/>
      <c r="W496" s="123"/>
      <c r="X496" s="123"/>
      <c r="Y496" s="123"/>
      <c r="Z496" s="123"/>
      <c r="AA496" s="123"/>
      <c r="AB496" s="123"/>
      <c r="AC496" s="123"/>
      <c r="AD496" s="265"/>
      <c r="AE496" s="123"/>
      <c r="AF496" s="123"/>
      <c r="AG496" s="123"/>
      <c r="AH496" s="123"/>
      <c r="AI496" s="123"/>
      <c r="AJ496" s="87"/>
      <c r="AK496" s="87"/>
      <c r="AL496" s="87"/>
    </row>
    <row r="497">
      <c r="A497" s="302"/>
      <c r="B497" s="123"/>
      <c r="C497" s="147"/>
      <c r="D497" s="265"/>
      <c r="E497" s="265"/>
      <c r="F497" s="265"/>
      <c r="G497" s="265"/>
      <c r="H497" s="266"/>
      <c r="I497" s="265"/>
      <c r="J497" s="123"/>
      <c r="K497" s="123"/>
      <c r="L497" s="123"/>
      <c r="M497" s="123"/>
      <c r="N497" s="123"/>
      <c r="O497" s="123"/>
      <c r="P497" s="121"/>
      <c r="Q497" s="121"/>
      <c r="R497" s="123"/>
      <c r="S497" s="123"/>
      <c r="T497" s="123"/>
      <c r="U497" s="123"/>
      <c r="V497" s="123"/>
      <c r="W497" s="123"/>
      <c r="X497" s="123"/>
      <c r="Y497" s="123"/>
      <c r="Z497" s="123"/>
      <c r="AA497" s="123"/>
      <c r="AB497" s="123"/>
      <c r="AC497" s="123"/>
      <c r="AD497" s="265"/>
      <c r="AE497" s="123"/>
      <c r="AF497" s="123"/>
      <c r="AG497" s="123"/>
      <c r="AH497" s="123"/>
      <c r="AI497" s="123"/>
      <c r="AJ497" s="87"/>
      <c r="AK497" s="87"/>
      <c r="AL497" s="87"/>
    </row>
    <row r="498">
      <c r="A498" s="302"/>
      <c r="B498" s="123"/>
      <c r="C498" s="147"/>
      <c r="D498" s="265"/>
      <c r="E498" s="265"/>
      <c r="F498" s="265"/>
      <c r="G498" s="265"/>
      <c r="H498" s="266"/>
      <c r="I498" s="265"/>
      <c r="J498" s="123"/>
      <c r="K498" s="123"/>
      <c r="L498" s="123"/>
      <c r="M498" s="123"/>
      <c r="N498" s="123"/>
      <c r="O498" s="123"/>
      <c r="P498" s="121"/>
      <c r="Q498" s="121"/>
      <c r="R498" s="123"/>
      <c r="S498" s="123"/>
      <c r="T498" s="123"/>
      <c r="U498" s="123"/>
      <c r="V498" s="123"/>
      <c r="W498" s="123"/>
      <c r="X498" s="123"/>
      <c r="Y498" s="123"/>
      <c r="Z498" s="123"/>
      <c r="AA498" s="123"/>
      <c r="AB498" s="123"/>
      <c r="AC498" s="123"/>
      <c r="AD498" s="265"/>
      <c r="AE498" s="123"/>
      <c r="AF498" s="123"/>
      <c r="AG498" s="123"/>
      <c r="AH498" s="123"/>
      <c r="AI498" s="123"/>
      <c r="AJ498" s="87"/>
      <c r="AK498" s="87"/>
      <c r="AL498" s="87"/>
    </row>
    <row r="499">
      <c r="A499" s="302"/>
      <c r="B499" s="123"/>
      <c r="C499" s="147"/>
      <c r="D499" s="265"/>
      <c r="E499" s="265"/>
      <c r="F499" s="265"/>
      <c r="G499" s="265"/>
      <c r="H499" s="266"/>
      <c r="I499" s="265"/>
      <c r="J499" s="123"/>
      <c r="K499" s="123"/>
      <c r="L499" s="123"/>
      <c r="M499" s="123"/>
      <c r="N499" s="123"/>
      <c r="O499" s="123"/>
      <c r="P499" s="121"/>
      <c r="Q499" s="121"/>
      <c r="R499" s="123"/>
      <c r="S499" s="123"/>
      <c r="T499" s="123"/>
      <c r="U499" s="123"/>
      <c r="V499" s="123"/>
      <c r="W499" s="123"/>
      <c r="X499" s="123"/>
      <c r="Y499" s="123"/>
      <c r="Z499" s="123"/>
      <c r="AA499" s="123"/>
      <c r="AB499" s="123"/>
      <c r="AC499" s="123"/>
      <c r="AD499" s="265"/>
      <c r="AE499" s="123"/>
      <c r="AF499" s="123"/>
      <c r="AG499" s="123"/>
      <c r="AH499" s="123"/>
      <c r="AI499" s="123"/>
      <c r="AJ499" s="87"/>
      <c r="AK499" s="87"/>
      <c r="AL499" s="87"/>
    </row>
    <row r="500">
      <c r="A500" s="302"/>
      <c r="B500" s="123"/>
      <c r="C500" s="147"/>
      <c r="D500" s="265"/>
      <c r="E500" s="265"/>
      <c r="F500" s="265"/>
      <c r="G500" s="265"/>
      <c r="H500" s="266"/>
      <c r="I500" s="265"/>
      <c r="J500" s="123"/>
      <c r="K500" s="123"/>
      <c r="L500" s="123"/>
      <c r="M500" s="123"/>
      <c r="N500" s="123"/>
      <c r="O500" s="123"/>
      <c r="P500" s="121"/>
      <c r="Q500" s="121"/>
      <c r="R500" s="123"/>
      <c r="S500" s="123"/>
      <c r="T500" s="123"/>
      <c r="U500" s="123"/>
      <c r="V500" s="123"/>
      <c r="W500" s="123"/>
      <c r="X500" s="123"/>
      <c r="Y500" s="123"/>
      <c r="Z500" s="123"/>
      <c r="AA500" s="123"/>
      <c r="AB500" s="123"/>
      <c r="AC500" s="123"/>
      <c r="AD500" s="265"/>
      <c r="AE500" s="123"/>
      <c r="AF500" s="123"/>
      <c r="AG500" s="123"/>
      <c r="AH500" s="123"/>
      <c r="AI500" s="123"/>
      <c r="AJ500" s="87"/>
      <c r="AK500" s="87"/>
      <c r="AL500" s="87"/>
    </row>
    <row r="501">
      <c r="A501" s="302"/>
      <c r="B501" s="123"/>
      <c r="C501" s="147"/>
      <c r="D501" s="265"/>
      <c r="E501" s="265"/>
      <c r="F501" s="265"/>
      <c r="G501" s="265"/>
      <c r="H501" s="266"/>
      <c r="I501" s="265"/>
      <c r="J501" s="123"/>
      <c r="K501" s="123"/>
      <c r="L501" s="123"/>
      <c r="M501" s="123"/>
      <c r="N501" s="123"/>
      <c r="O501" s="123"/>
      <c r="P501" s="121"/>
      <c r="Q501" s="121"/>
      <c r="R501" s="123"/>
      <c r="S501" s="123"/>
      <c r="T501" s="123"/>
      <c r="U501" s="123"/>
      <c r="V501" s="123"/>
      <c r="W501" s="123"/>
      <c r="X501" s="123"/>
      <c r="Y501" s="123"/>
      <c r="Z501" s="123"/>
      <c r="AA501" s="123"/>
      <c r="AB501" s="123"/>
      <c r="AC501" s="123"/>
      <c r="AD501" s="265"/>
      <c r="AE501" s="123"/>
      <c r="AF501" s="123"/>
      <c r="AG501" s="123"/>
      <c r="AH501" s="123"/>
      <c r="AI501" s="123"/>
      <c r="AJ501" s="87"/>
      <c r="AK501" s="87"/>
      <c r="AL501" s="87"/>
    </row>
    <row r="502">
      <c r="A502" s="302"/>
      <c r="B502" s="123"/>
      <c r="C502" s="147"/>
      <c r="D502" s="265"/>
      <c r="E502" s="265"/>
      <c r="F502" s="265"/>
      <c r="G502" s="265"/>
      <c r="H502" s="266"/>
      <c r="I502" s="265"/>
      <c r="J502" s="123"/>
      <c r="K502" s="123"/>
      <c r="L502" s="123"/>
      <c r="M502" s="123"/>
      <c r="N502" s="123"/>
      <c r="O502" s="123"/>
      <c r="P502" s="121"/>
      <c r="Q502" s="121"/>
      <c r="R502" s="123"/>
      <c r="S502" s="123"/>
      <c r="T502" s="123"/>
      <c r="U502" s="123"/>
      <c r="V502" s="123"/>
      <c r="W502" s="123"/>
      <c r="X502" s="123"/>
      <c r="Y502" s="123"/>
      <c r="Z502" s="123"/>
      <c r="AA502" s="123"/>
      <c r="AB502" s="123"/>
      <c r="AC502" s="123"/>
      <c r="AD502" s="265"/>
      <c r="AE502" s="123"/>
      <c r="AF502" s="123"/>
      <c r="AG502" s="123"/>
      <c r="AH502" s="123"/>
      <c r="AI502" s="123"/>
      <c r="AJ502" s="87"/>
      <c r="AK502" s="87"/>
      <c r="AL502" s="87"/>
    </row>
    <row r="503">
      <c r="A503" s="90"/>
      <c r="B503" s="259"/>
      <c r="C503" s="259"/>
      <c r="D503" s="315"/>
      <c r="E503" s="102"/>
      <c r="F503" s="102"/>
      <c r="G503" s="102"/>
      <c r="H503" s="260"/>
      <c r="I503" s="259"/>
      <c r="J503" s="115"/>
      <c r="K503" s="115"/>
      <c r="L503" s="77"/>
      <c r="M503" s="77"/>
      <c r="N503" s="77"/>
      <c r="O503" s="77"/>
      <c r="P503" s="71"/>
      <c r="Q503" s="71"/>
      <c r="R503" s="77"/>
      <c r="S503" s="77"/>
      <c r="T503" s="77"/>
      <c r="U503" s="77"/>
      <c r="V503" s="115"/>
      <c r="W503" s="115"/>
      <c r="X503" s="115"/>
      <c r="Y503" s="115"/>
      <c r="Z503" s="115"/>
      <c r="AA503" s="115"/>
      <c r="AB503" s="261"/>
      <c r="AC503" s="77"/>
      <c r="AD503" s="115"/>
      <c r="AE503" s="77"/>
      <c r="AF503" s="77"/>
      <c r="AG503" s="77"/>
      <c r="AH503" s="77"/>
      <c r="AI503" s="77"/>
      <c r="AJ503" s="87"/>
      <c r="AK503" s="87"/>
      <c r="AL503" s="87"/>
    </row>
    <row r="504">
      <c r="A504" s="302"/>
      <c r="B504" s="123"/>
      <c r="C504" s="147"/>
      <c r="D504" s="123"/>
      <c r="E504" s="265"/>
      <c r="F504" s="265"/>
      <c r="G504" s="265"/>
      <c r="H504" s="266"/>
      <c r="I504" s="265"/>
      <c r="J504" s="123"/>
      <c r="K504" s="123"/>
      <c r="L504" s="123"/>
      <c r="M504" s="123"/>
      <c r="N504" s="123"/>
      <c r="O504" s="123"/>
      <c r="P504" s="121"/>
      <c r="Q504" s="121"/>
      <c r="R504" s="123"/>
      <c r="S504" s="123"/>
      <c r="T504" s="123"/>
      <c r="U504" s="123"/>
      <c r="V504" s="123"/>
      <c r="W504" s="123"/>
      <c r="X504" s="123"/>
      <c r="Y504" s="123"/>
      <c r="Z504" s="123"/>
      <c r="AA504" s="123"/>
      <c r="AB504" s="123"/>
      <c r="AC504" s="123"/>
      <c r="AD504" s="123"/>
      <c r="AE504" s="123"/>
      <c r="AF504" s="123"/>
      <c r="AG504" s="123"/>
      <c r="AH504" s="123"/>
      <c r="AI504" s="123"/>
      <c r="AJ504" s="87"/>
      <c r="AK504" s="87"/>
      <c r="AL504" s="87"/>
    </row>
    <row r="505">
      <c r="A505" s="302"/>
      <c r="B505" s="123"/>
      <c r="C505" s="147"/>
      <c r="D505" s="123"/>
      <c r="E505" s="265"/>
      <c r="F505" s="265"/>
      <c r="G505" s="265"/>
      <c r="H505" s="266"/>
      <c r="I505" s="265"/>
      <c r="J505" s="123"/>
      <c r="K505" s="123"/>
      <c r="L505" s="123"/>
      <c r="M505" s="123"/>
      <c r="N505" s="123"/>
      <c r="O505" s="123"/>
      <c r="P505" s="121"/>
      <c r="Q505" s="121"/>
      <c r="R505" s="123"/>
      <c r="S505" s="123"/>
      <c r="T505" s="123"/>
      <c r="U505" s="123"/>
      <c r="V505" s="123"/>
      <c r="W505" s="123"/>
      <c r="X505" s="123"/>
      <c r="Y505" s="123"/>
      <c r="Z505" s="123"/>
      <c r="AA505" s="123"/>
      <c r="AB505" s="123"/>
      <c r="AC505" s="123"/>
      <c r="AD505" s="123"/>
      <c r="AE505" s="123"/>
      <c r="AF505" s="123"/>
      <c r="AG505" s="123"/>
      <c r="AH505" s="123"/>
      <c r="AI505" s="123"/>
      <c r="AJ505" s="87"/>
      <c r="AK505" s="87"/>
      <c r="AL505" s="87"/>
    </row>
    <row r="506">
      <c r="A506" s="302"/>
      <c r="B506" s="123"/>
      <c r="C506" s="147"/>
      <c r="D506" s="123"/>
      <c r="E506" s="265"/>
      <c r="F506" s="265"/>
      <c r="G506" s="265"/>
      <c r="H506" s="266"/>
      <c r="I506" s="265"/>
      <c r="J506" s="123"/>
      <c r="K506" s="123"/>
      <c r="L506" s="123"/>
      <c r="M506" s="123"/>
      <c r="N506" s="123"/>
      <c r="O506" s="123"/>
      <c r="P506" s="121"/>
      <c r="Q506" s="121"/>
      <c r="R506" s="123"/>
      <c r="S506" s="123"/>
      <c r="T506" s="123"/>
      <c r="U506" s="123"/>
      <c r="V506" s="123"/>
      <c r="W506" s="123"/>
      <c r="X506" s="123"/>
      <c r="Y506" s="123"/>
      <c r="Z506" s="123"/>
      <c r="AA506" s="123"/>
      <c r="AB506" s="123"/>
      <c r="AC506" s="123"/>
      <c r="AD506" s="123"/>
      <c r="AE506" s="123"/>
      <c r="AF506" s="123"/>
      <c r="AG506" s="123"/>
      <c r="AH506" s="123"/>
      <c r="AI506" s="123"/>
      <c r="AJ506" s="87"/>
      <c r="AK506" s="87"/>
      <c r="AL506" s="87"/>
    </row>
    <row r="507">
      <c r="A507" s="302"/>
      <c r="B507" s="123"/>
      <c r="C507" s="147"/>
      <c r="D507" s="123"/>
      <c r="E507" s="265"/>
      <c r="F507" s="265"/>
      <c r="G507" s="265"/>
      <c r="H507" s="266"/>
      <c r="I507" s="265"/>
      <c r="J507" s="123"/>
      <c r="K507" s="123"/>
      <c r="L507" s="123"/>
      <c r="M507" s="123"/>
      <c r="N507" s="123"/>
      <c r="O507" s="123"/>
      <c r="P507" s="121"/>
      <c r="Q507" s="121"/>
      <c r="R507" s="123"/>
      <c r="S507" s="123"/>
      <c r="T507" s="123"/>
      <c r="U507" s="123"/>
      <c r="V507" s="123"/>
      <c r="W507" s="123"/>
      <c r="X507" s="123"/>
      <c r="Y507" s="123"/>
      <c r="Z507" s="123"/>
      <c r="AA507" s="123"/>
      <c r="AB507" s="123"/>
      <c r="AC507" s="123"/>
      <c r="AD507" s="123"/>
      <c r="AE507" s="123"/>
      <c r="AF507" s="123"/>
      <c r="AG507" s="123"/>
      <c r="AH507" s="123"/>
      <c r="AI507" s="123"/>
      <c r="AJ507" s="87"/>
      <c r="AK507" s="87"/>
      <c r="AL507" s="87"/>
    </row>
    <row r="508">
      <c r="A508" s="302"/>
      <c r="B508" s="123"/>
      <c r="C508" s="147"/>
      <c r="D508" s="123"/>
      <c r="E508" s="265"/>
      <c r="F508" s="265"/>
      <c r="G508" s="265"/>
      <c r="H508" s="266"/>
      <c r="I508" s="265"/>
      <c r="J508" s="123"/>
      <c r="K508" s="123"/>
      <c r="L508" s="123"/>
      <c r="M508" s="123"/>
      <c r="N508" s="123"/>
      <c r="O508" s="123"/>
      <c r="P508" s="121"/>
      <c r="Q508" s="121"/>
      <c r="R508" s="123"/>
      <c r="S508" s="123"/>
      <c r="T508" s="123"/>
      <c r="U508" s="123"/>
      <c r="V508" s="123"/>
      <c r="W508" s="123"/>
      <c r="X508" s="123"/>
      <c r="Y508" s="123"/>
      <c r="Z508" s="123"/>
      <c r="AA508" s="123"/>
      <c r="AB508" s="123"/>
      <c r="AC508" s="123"/>
      <c r="AD508" s="123"/>
      <c r="AE508" s="123"/>
      <c r="AF508" s="123"/>
      <c r="AG508" s="123"/>
      <c r="AH508" s="123"/>
      <c r="AI508" s="123"/>
      <c r="AJ508" s="87"/>
      <c r="AK508" s="87"/>
      <c r="AL508" s="87"/>
    </row>
    <row r="509">
      <c r="A509" s="302"/>
      <c r="B509" s="123"/>
      <c r="C509" s="147"/>
      <c r="D509" s="123"/>
      <c r="E509" s="265"/>
      <c r="F509" s="265"/>
      <c r="G509" s="265"/>
      <c r="H509" s="266"/>
      <c r="I509" s="265"/>
      <c r="J509" s="123"/>
      <c r="K509" s="123"/>
      <c r="L509" s="123"/>
      <c r="M509" s="123"/>
      <c r="N509" s="123"/>
      <c r="O509" s="123"/>
      <c r="P509" s="121"/>
      <c r="Q509" s="121"/>
      <c r="R509" s="123"/>
      <c r="S509" s="123"/>
      <c r="T509" s="123"/>
      <c r="U509" s="123"/>
      <c r="V509" s="123"/>
      <c r="W509" s="123"/>
      <c r="X509" s="123"/>
      <c r="Y509" s="123"/>
      <c r="Z509" s="123"/>
      <c r="AA509" s="123"/>
      <c r="AB509" s="123"/>
      <c r="AC509" s="123"/>
      <c r="AD509" s="123"/>
      <c r="AE509" s="123"/>
      <c r="AF509" s="123"/>
      <c r="AG509" s="123"/>
      <c r="AH509" s="123"/>
      <c r="AI509" s="123"/>
      <c r="AJ509" s="87"/>
      <c r="AK509" s="87"/>
      <c r="AL509" s="87"/>
    </row>
    <row r="510">
      <c r="A510" s="302"/>
      <c r="B510" s="123"/>
      <c r="C510" s="147"/>
      <c r="D510" s="123"/>
      <c r="E510" s="265"/>
      <c r="F510" s="265"/>
      <c r="G510" s="265"/>
      <c r="H510" s="266"/>
      <c r="I510" s="265"/>
      <c r="J510" s="123"/>
      <c r="K510" s="123"/>
      <c r="L510" s="123"/>
      <c r="M510" s="123"/>
      <c r="N510" s="123"/>
      <c r="O510" s="123"/>
      <c r="P510" s="121"/>
      <c r="Q510" s="121"/>
      <c r="R510" s="123"/>
      <c r="S510" s="123"/>
      <c r="T510" s="123"/>
      <c r="U510" s="123"/>
      <c r="V510" s="123"/>
      <c r="W510" s="123"/>
      <c r="X510" s="123"/>
      <c r="Y510" s="123"/>
      <c r="Z510" s="123"/>
      <c r="AA510" s="123"/>
      <c r="AB510" s="123"/>
      <c r="AC510" s="123"/>
      <c r="AD510" s="123"/>
      <c r="AE510" s="123"/>
      <c r="AF510" s="123"/>
      <c r="AG510" s="123"/>
      <c r="AH510" s="123"/>
      <c r="AI510" s="123"/>
      <c r="AJ510" s="87"/>
      <c r="AK510" s="87"/>
      <c r="AL510" s="87"/>
    </row>
    <row r="511">
      <c r="A511" s="302"/>
      <c r="B511" s="123"/>
      <c r="C511" s="147"/>
      <c r="D511" s="123"/>
      <c r="E511" s="265"/>
      <c r="F511" s="265"/>
      <c r="G511" s="265"/>
      <c r="H511" s="266"/>
      <c r="I511" s="265"/>
      <c r="J511" s="123"/>
      <c r="K511" s="123"/>
      <c r="L511" s="123"/>
      <c r="M511" s="123"/>
      <c r="N511" s="123"/>
      <c r="O511" s="123"/>
      <c r="P511" s="121"/>
      <c r="Q511" s="121"/>
      <c r="R511" s="123"/>
      <c r="S511" s="123"/>
      <c r="T511" s="123"/>
      <c r="U511" s="123"/>
      <c r="V511" s="123"/>
      <c r="W511" s="123"/>
      <c r="X511" s="123"/>
      <c r="Y511" s="123"/>
      <c r="Z511" s="123"/>
      <c r="AA511" s="123"/>
      <c r="AB511" s="123"/>
      <c r="AC511" s="123"/>
      <c r="AD511" s="123"/>
      <c r="AE511" s="123"/>
      <c r="AF511" s="123"/>
      <c r="AG511" s="123"/>
      <c r="AH511" s="123"/>
      <c r="AI511" s="123"/>
      <c r="AJ511" s="87"/>
      <c r="AK511" s="87"/>
      <c r="AL511" s="87"/>
    </row>
    <row r="512">
      <c r="A512" s="302"/>
      <c r="B512" s="123"/>
      <c r="C512" s="147"/>
      <c r="D512" s="123"/>
      <c r="E512" s="265"/>
      <c r="F512" s="265"/>
      <c r="G512" s="265"/>
      <c r="H512" s="266"/>
      <c r="I512" s="265"/>
      <c r="J512" s="123"/>
      <c r="K512" s="123"/>
      <c r="L512" s="123"/>
      <c r="M512" s="123"/>
      <c r="N512" s="123"/>
      <c r="O512" s="123"/>
      <c r="P512" s="121"/>
      <c r="Q512" s="121"/>
      <c r="R512" s="123"/>
      <c r="S512" s="123"/>
      <c r="T512" s="123"/>
      <c r="U512" s="123"/>
      <c r="V512" s="123"/>
      <c r="W512" s="123"/>
      <c r="X512" s="123"/>
      <c r="Y512" s="123"/>
      <c r="Z512" s="123"/>
      <c r="AA512" s="123"/>
      <c r="AB512" s="123"/>
      <c r="AC512" s="123"/>
      <c r="AD512" s="123"/>
      <c r="AE512" s="123"/>
      <c r="AF512" s="123"/>
      <c r="AG512" s="123"/>
      <c r="AH512" s="123"/>
      <c r="AI512" s="123"/>
      <c r="AJ512" s="87"/>
      <c r="AK512" s="87"/>
      <c r="AL512" s="87"/>
    </row>
    <row r="513">
      <c r="A513" s="302"/>
      <c r="B513" s="123"/>
      <c r="C513" s="147"/>
      <c r="D513" s="123"/>
      <c r="E513" s="265"/>
      <c r="F513" s="265"/>
      <c r="G513" s="265"/>
      <c r="H513" s="266"/>
      <c r="I513" s="265"/>
      <c r="J513" s="123"/>
      <c r="K513" s="123"/>
      <c r="L513" s="123"/>
      <c r="M513" s="123"/>
      <c r="N513" s="123"/>
      <c r="O513" s="123"/>
      <c r="P513" s="121"/>
      <c r="Q513" s="121"/>
      <c r="R513" s="123"/>
      <c r="S513" s="123"/>
      <c r="T513" s="123"/>
      <c r="U513" s="123"/>
      <c r="V513" s="123"/>
      <c r="W513" s="123"/>
      <c r="X513" s="123"/>
      <c r="Y513" s="123"/>
      <c r="Z513" s="123"/>
      <c r="AA513" s="123"/>
      <c r="AB513" s="123"/>
      <c r="AC513" s="123"/>
      <c r="AD513" s="123"/>
      <c r="AE513" s="123"/>
      <c r="AF513" s="123"/>
      <c r="AG513" s="123"/>
      <c r="AH513" s="123"/>
      <c r="AI513" s="123"/>
      <c r="AJ513" s="87"/>
      <c r="AK513" s="87"/>
      <c r="AL513" s="87"/>
    </row>
    <row r="514">
      <c r="A514" s="302"/>
      <c r="B514" s="123"/>
      <c r="C514" s="147"/>
      <c r="D514" s="123"/>
      <c r="E514" s="265"/>
      <c r="F514" s="265"/>
      <c r="G514" s="265"/>
      <c r="H514" s="266"/>
      <c r="I514" s="265"/>
      <c r="J514" s="123"/>
      <c r="K514" s="123"/>
      <c r="L514" s="123"/>
      <c r="M514" s="123"/>
      <c r="N514" s="123"/>
      <c r="O514" s="123"/>
      <c r="P514" s="121"/>
      <c r="Q514" s="121"/>
      <c r="R514" s="123"/>
      <c r="S514" s="123"/>
      <c r="T514" s="123"/>
      <c r="U514" s="123"/>
      <c r="V514" s="123"/>
      <c r="W514" s="123"/>
      <c r="X514" s="123"/>
      <c r="Y514" s="123"/>
      <c r="Z514" s="123"/>
      <c r="AA514" s="123"/>
      <c r="AB514" s="123"/>
      <c r="AC514" s="123"/>
      <c r="AD514" s="123"/>
      <c r="AE514" s="123"/>
      <c r="AF514" s="123"/>
      <c r="AG514" s="123"/>
      <c r="AH514" s="123"/>
      <c r="AI514" s="123"/>
      <c r="AJ514" s="87"/>
      <c r="AK514" s="87"/>
      <c r="AL514" s="87"/>
    </row>
    <row r="515">
      <c r="A515" s="302"/>
      <c r="B515" s="123"/>
      <c r="C515" s="147"/>
      <c r="D515" s="123"/>
      <c r="E515" s="265"/>
      <c r="F515" s="265"/>
      <c r="G515" s="265"/>
      <c r="H515" s="266"/>
      <c r="I515" s="265"/>
      <c r="J515" s="123"/>
      <c r="K515" s="123"/>
      <c r="L515" s="123"/>
      <c r="M515" s="123"/>
      <c r="N515" s="123"/>
      <c r="O515" s="123"/>
      <c r="P515" s="121"/>
      <c r="Q515" s="121"/>
      <c r="R515" s="123"/>
      <c r="S515" s="123"/>
      <c r="T515" s="123"/>
      <c r="U515" s="123"/>
      <c r="V515" s="123"/>
      <c r="W515" s="123"/>
      <c r="X515" s="123"/>
      <c r="Y515" s="123"/>
      <c r="Z515" s="123"/>
      <c r="AA515" s="123"/>
      <c r="AB515" s="123"/>
      <c r="AC515" s="123"/>
      <c r="AD515" s="123"/>
      <c r="AE515" s="123"/>
      <c r="AF515" s="123"/>
      <c r="AG515" s="123"/>
      <c r="AH515" s="123"/>
      <c r="AI515" s="123"/>
      <c r="AJ515" s="87"/>
      <c r="AK515" s="87"/>
      <c r="AL515" s="87"/>
    </row>
    <row r="516">
      <c r="A516" s="302"/>
      <c r="B516" s="123"/>
      <c r="C516" s="147"/>
      <c r="D516" s="123"/>
      <c r="E516" s="265"/>
      <c r="F516" s="265"/>
      <c r="G516" s="265"/>
      <c r="H516" s="266"/>
      <c r="I516" s="265"/>
      <c r="J516" s="123"/>
      <c r="K516" s="123"/>
      <c r="L516" s="123"/>
      <c r="M516" s="123"/>
      <c r="N516" s="123"/>
      <c r="O516" s="123"/>
      <c r="P516" s="121"/>
      <c r="Q516" s="121"/>
      <c r="R516" s="123"/>
      <c r="S516" s="123"/>
      <c r="T516" s="123"/>
      <c r="U516" s="123"/>
      <c r="V516" s="123"/>
      <c r="W516" s="123"/>
      <c r="X516" s="123"/>
      <c r="Y516" s="123"/>
      <c r="Z516" s="123"/>
      <c r="AA516" s="123"/>
      <c r="AB516" s="123"/>
      <c r="AC516" s="123"/>
      <c r="AD516" s="123"/>
      <c r="AE516" s="123"/>
      <c r="AF516" s="123"/>
      <c r="AG516" s="123"/>
      <c r="AH516" s="123"/>
      <c r="AI516" s="123"/>
      <c r="AJ516" s="87"/>
      <c r="AK516" s="87"/>
      <c r="AL516" s="87"/>
    </row>
    <row r="517">
      <c r="A517" s="302"/>
      <c r="B517" s="123"/>
      <c r="C517" s="147"/>
      <c r="D517" s="123"/>
      <c r="E517" s="265"/>
      <c r="F517" s="265"/>
      <c r="G517" s="265"/>
      <c r="H517" s="266"/>
      <c r="I517" s="265"/>
      <c r="J517" s="123"/>
      <c r="K517" s="123"/>
      <c r="L517" s="123"/>
      <c r="M517" s="123"/>
      <c r="N517" s="123"/>
      <c r="O517" s="123"/>
      <c r="P517" s="121"/>
      <c r="Q517" s="121"/>
      <c r="R517" s="123"/>
      <c r="S517" s="123"/>
      <c r="T517" s="123"/>
      <c r="U517" s="123"/>
      <c r="V517" s="123"/>
      <c r="W517" s="123"/>
      <c r="X517" s="123"/>
      <c r="Y517" s="123"/>
      <c r="Z517" s="123"/>
      <c r="AA517" s="123"/>
      <c r="AB517" s="123"/>
      <c r="AC517" s="123"/>
      <c r="AD517" s="123"/>
      <c r="AE517" s="123"/>
      <c r="AF517" s="123"/>
      <c r="AG517" s="123"/>
      <c r="AH517" s="123"/>
      <c r="AI517" s="123"/>
      <c r="AJ517" s="87"/>
      <c r="AK517" s="87"/>
      <c r="AL517" s="87"/>
    </row>
    <row r="518">
      <c r="A518" s="302"/>
      <c r="B518" s="123"/>
      <c r="C518" s="147"/>
      <c r="D518" s="123"/>
      <c r="E518" s="265"/>
      <c r="F518" s="265"/>
      <c r="G518" s="265"/>
      <c r="H518" s="266"/>
      <c r="I518" s="265"/>
      <c r="J518" s="123"/>
      <c r="K518" s="123"/>
      <c r="L518" s="123"/>
      <c r="M518" s="123"/>
      <c r="N518" s="123"/>
      <c r="O518" s="123"/>
      <c r="P518" s="121"/>
      <c r="Q518" s="121"/>
      <c r="R518" s="123"/>
      <c r="S518" s="123"/>
      <c r="T518" s="123"/>
      <c r="U518" s="123"/>
      <c r="V518" s="123"/>
      <c r="W518" s="123"/>
      <c r="X518" s="123"/>
      <c r="Y518" s="123"/>
      <c r="Z518" s="123"/>
      <c r="AA518" s="123"/>
      <c r="AB518" s="123"/>
      <c r="AC518" s="123"/>
      <c r="AD518" s="123"/>
      <c r="AE518" s="123"/>
      <c r="AF518" s="123"/>
      <c r="AG518" s="123"/>
      <c r="AH518" s="123"/>
      <c r="AI518" s="123"/>
      <c r="AJ518" s="87"/>
      <c r="AK518" s="87"/>
      <c r="AL518" s="87"/>
    </row>
    <row r="519">
      <c r="A519" s="90"/>
      <c r="B519" s="259"/>
      <c r="C519" s="259"/>
      <c r="D519" s="315"/>
      <c r="E519" s="102"/>
      <c r="F519" s="102"/>
      <c r="G519" s="102"/>
      <c r="H519" s="260"/>
      <c r="I519" s="259"/>
      <c r="J519" s="115"/>
      <c r="K519" s="115"/>
      <c r="L519" s="77"/>
      <c r="M519" s="77"/>
      <c r="N519" s="77"/>
      <c r="O519" s="77"/>
      <c r="P519" s="71"/>
      <c r="Q519" s="71"/>
      <c r="R519" s="77"/>
      <c r="S519" s="77"/>
      <c r="T519" s="77"/>
      <c r="U519" s="77"/>
      <c r="V519" s="115"/>
      <c r="W519" s="115"/>
      <c r="X519" s="115"/>
      <c r="Y519" s="115"/>
      <c r="Z519" s="115"/>
      <c r="AA519" s="115"/>
      <c r="AB519" s="261"/>
      <c r="AC519" s="77"/>
      <c r="AD519" s="115"/>
      <c r="AE519" s="77"/>
      <c r="AF519" s="77"/>
      <c r="AG519" s="77"/>
      <c r="AH519" s="77"/>
      <c r="AI519" s="77"/>
      <c r="AJ519" s="87"/>
      <c r="AK519" s="87"/>
      <c r="AL519" s="87"/>
    </row>
    <row r="520">
      <c r="A520" s="302"/>
      <c r="B520" s="123"/>
      <c r="C520" s="147"/>
      <c r="D520" s="123"/>
      <c r="E520" s="265"/>
      <c r="F520" s="265"/>
      <c r="G520" s="265"/>
      <c r="H520" s="266"/>
      <c r="I520" s="265"/>
      <c r="J520" s="123"/>
      <c r="K520" s="123"/>
      <c r="L520" s="123"/>
      <c r="M520" s="123"/>
      <c r="N520" s="123"/>
      <c r="O520" s="123"/>
      <c r="P520" s="121"/>
      <c r="Q520" s="121"/>
      <c r="R520" s="123"/>
      <c r="S520" s="123"/>
      <c r="T520" s="123"/>
      <c r="U520" s="123"/>
      <c r="V520" s="123"/>
      <c r="W520" s="123"/>
      <c r="X520" s="123"/>
      <c r="Y520" s="123"/>
      <c r="Z520" s="123"/>
      <c r="AA520" s="123"/>
      <c r="AB520" s="123"/>
      <c r="AC520" s="123"/>
      <c r="AD520" s="123"/>
      <c r="AE520" s="123"/>
      <c r="AF520" s="123"/>
      <c r="AG520" s="123"/>
      <c r="AH520" s="123"/>
      <c r="AI520" s="123"/>
      <c r="AJ520" s="87"/>
      <c r="AK520" s="87"/>
      <c r="AL520" s="87"/>
    </row>
    <row r="521">
      <c r="A521" s="302"/>
      <c r="B521" s="123"/>
      <c r="C521" s="147"/>
      <c r="D521" s="123"/>
      <c r="E521" s="265"/>
      <c r="F521" s="265"/>
      <c r="G521" s="265"/>
      <c r="H521" s="266"/>
      <c r="I521" s="265"/>
      <c r="J521" s="123"/>
      <c r="K521" s="123"/>
      <c r="L521" s="123"/>
      <c r="M521" s="123"/>
      <c r="N521" s="123"/>
      <c r="O521" s="123"/>
      <c r="P521" s="121"/>
      <c r="Q521" s="121"/>
      <c r="R521" s="123"/>
      <c r="S521" s="123"/>
      <c r="T521" s="123"/>
      <c r="U521" s="123"/>
      <c r="V521" s="123"/>
      <c r="W521" s="123"/>
      <c r="X521" s="123"/>
      <c r="Y521" s="123"/>
      <c r="Z521" s="123"/>
      <c r="AA521" s="123"/>
      <c r="AB521" s="123"/>
      <c r="AC521" s="123"/>
      <c r="AD521" s="123"/>
      <c r="AE521" s="123"/>
      <c r="AF521" s="123"/>
      <c r="AG521" s="123"/>
      <c r="AH521" s="123"/>
      <c r="AI521" s="123"/>
      <c r="AJ521" s="87"/>
      <c r="AK521" s="87"/>
      <c r="AL521" s="87"/>
    </row>
    <row r="522">
      <c r="A522" s="302"/>
      <c r="B522" s="123"/>
      <c r="C522" s="147"/>
      <c r="D522" s="123"/>
      <c r="E522" s="265"/>
      <c r="F522" s="265"/>
      <c r="G522" s="265"/>
      <c r="H522" s="266"/>
      <c r="I522" s="265"/>
      <c r="J522" s="123"/>
      <c r="K522" s="123"/>
      <c r="L522" s="123"/>
      <c r="M522" s="123"/>
      <c r="N522" s="123"/>
      <c r="O522" s="123"/>
      <c r="P522" s="121"/>
      <c r="Q522" s="121"/>
      <c r="R522" s="123"/>
      <c r="S522" s="123"/>
      <c r="T522" s="123"/>
      <c r="U522" s="123"/>
      <c r="V522" s="123"/>
      <c r="W522" s="123"/>
      <c r="X522" s="123"/>
      <c r="Y522" s="123"/>
      <c r="Z522" s="123"/>
      <c r="AA522" s="123"/>
      <c r="AB522" s="123"/>
      <c r="AC522" s="123"/>
      <c r="AD522" s="123"/>
      <c r="AE522" s="123"/>
      <c r="AF522" s="123"/>
      <c r="AG522" s="123"/>
      <c r="AH522" s="123"/>
      <c r="AI522" s="123"/>
      <c r="AJ522" s="87"/>
      <c r="AK522" s="87"/>
      <c r="AL522" s="87"/>
    </row>
    <row r="523">
      <c r="A523" s="302"/>
      <c r="B523" s="123"/>
      <c r="C523" s="147"/>
      <c r="D523" s="123"/>
      <c r="E523" s="265"/>
      <c r="F523" s="265"/>
      <c r="G523" s="265"/>
      <c r="H523" s="266"/>
      <c r="I523" s="265"/>
      <c r="J523" s="123"/>
      <c r="K523" s="123"/>
      <c r="L523" s="123"/>
      <c r="M523" s="123"/>
      <c r="N523" s="123"/>
      <c r="O523" s="123"/>
      <c r="P523" s="121"/>
      <c r="Q523" s="121"/>
      <c r="R523" s="123"/>
      <c r="S523" s="123"/>
      <c r="T523" s="123"/>
      <c r="U523" s="123"/>
      <c r="V523" s="123"/>
      <c r="W523" s="123"/>
      <c r="X523" s="123"/>
      <c r="Y523" s="123"/>
      <c r="Z523" s="123"/>
      <c r="AA523" s="123"/>
      <c r="AB523" s="123"/>
      <c r="AC523" s="123"/>
      <c r="AD523" s="123"/>
      <c r="AE523" s="123"/>
      <c r="AF523" s="123"/>
      <c r="AG523" s="123"/>
      <c r="AH523" s="123"/>
      <c r="AI523" s="123"/>
      <c r="AJ523" s="87"/>
      <c r="AK523" s="87"/>
      <c r="AL523" s="87"/>
    </row>
    <row r="524">
      <c r="A524" s="302"/>
      <c r="B524" s="123"/>
      <c r="C524" s="147"/>
      <c r="D524" s="123"/>
      <c r="E524" s="265"/>
      <c r="F524" s="265"/>
      <c r="G524" s="265"/>
      <c r="H524" s="266"/>
      <c r="I524" s="265"/>
      <c r="J524" s="123"/>
      <c r="K524" s="123"/>
      <c r="L524" s="123"/>
      <c r="M524" s="123"/>
      <c r="N524" s="123"/>
      <c r="O524" s="123"/>
      <c r="P524" s="121"/>
      <c r="Q524" s="121"/>
      <c r="R524" s="123"/>
      <c r="S524" s="123"/>
      <c r="T524" s="123"/>
      <c r="U524" s="123"/>
      <c r="V524" s="123"/>
      <c r="W524" s="123"/>
      <c r="X524" s="123"/>
      <c r="Y524" s="123"/>
      <c r="Z524" s="123"/>
      <c r="AA524" s="123"/>
      <c r="AB524" s="123"/>
      <c r="AC524" s="123"/>
      <c r="AD524" s="123"/>
      <c r="AE524" s="123"/>
      <c r="AF524" s="123"/>
      <c r="AG524" s="123"/>
      <c r="AH524" s="123"/>
      <c r="AI524" s="123"/>
      <c r="AJ524" s="87"/>
      <c r="AK524" s="87"/>
      <c r="AL524" s="87"/>
    </row>
    <row r="525">
      <c r="A525" s="302"/>
      <c r="B525" s="123"/>
      <c r="C525" s="147"/>
      <c r="D525" s="123"/>
      <c r="E525" s="265"/>
      <c r="F525" s="265"/>
      <c r="G525" s="265"/>
      <c r="H525" s="266"/>
      <c r="I525" s="265"/>
      <c r="J525" s="123"/>
      <c r="K525" s="123"/>
      <c r="L525" s="123"/>
      <c r="M525" s="123"/>
      <c r="N525" s="123"/>
      <c r="O525" s="123"/>
      <c r="P525" s="121"/>
      <c r="Q525" s="121"/>
      <c r="R525" s="123"/>
      <c r="S525" s="123"/>
      <c r="T525" s="123"/>
      <c r="U525" s="123"/>
      <c r="V525" s="123"/>
      <c r="W525" s="123"/>
      <c r="X525" s="123"/>
      <c r="Y525" s="123"/>
      <c r="Z525" s="123"/>
      <c r="AA525" s="123"/>
      <c r="AB525" s="123"/>
      <c r="AC525" s="123"/>
      <c r="AD525" s="123"/>
      <c r="AE525" s="123"/>
      <c r="AF525" s="123"/>
      <c r="AG525" s="123"/>
      <c r="AH525" s="123"/>
      <c r="AI525" s="123"/>
      <c r="AJ525" s="87"/>
      <c r="AK525" s="87"/>
      <c r="AL525" s="87"/>
    </row>
    <row r="526">
      <c r="A526" s="302"/>
      <c r="B526" s="123"/>
      <c r="C526" s="147"/>
      <c r="D526" s="123"/>
      <c r="E526" s="265"/>
      <c r="F526" s="265"/>
      <c r="G526" s="265"/>
      <c r="H526" s="266"/>
      <c r="I526" s="265"/>
      <c r="J526" s="123"/>
      <c r="K526" s="123"/>
      <c r="L526" s="123"/>
      <c r="M526" s="123"/>
      <c r="N526" s="123"/>
      <c r="O526" s="123"/>
      <c r="P526" s="121"/>
      <c r="Q526" s="121"/>
      <c r="R526" s="123"/>
      <c r="S526" s="123"/>
      <c r="T526" s="123"/>
      <c r="U526" s="123"/>
      <c r="V526" s="123"/>
      <c r="W526" s="123"/>
      <c r="X526" s="123"/>
      <c r="Y526" s="123"/>
      <c r="Z526" s="123"/>
      <c r="AA526" s="123"/>
      <c r="AB526" s="123"/>
      <c r="AC526" s="123"/>
      <c r="AD526" s="123"/>
      <c r="AE526" s="123"/>
      <c r="AF526" s="123"/>
      <c r="AG526" s="123"/>
      <c r="AH526" s="123"/>
      <c r="AI526" s="123"/>
      <c r="AJ526" s="87"/>
      <c r="AK526" s="87"/>
      <c r="AL526" s="87"/>
    </row>
    <row r="527">
      <c r="A527" s="302"/>
      <c r="B527" s="123"/>
      <c r="C527" s="147"/>
      <c r="D527" s="123"/>
      <c r="E527" s="265"/>
      <c r="F527" s="265"/>
      <c r="G527" s="265"/>
      <c r="H527" s="266"/>
      <c r="I527" s="265"/>
      <c r="J527" s="123"/>
      <c r="K527" s="123"/>
      <c r="L527" s="123"/>
      <c r="M527" s="123"/>
      <c r="N527" s="123"/>
      <c r="O527" s="123"/>
      <c r="P527" s="121"/>
      <c r="Q527" s="121"/>
      <c r="R527" s="123"/>
      <c r="S527" s="123"/>
      <c r="T527" s="123"/>
      <c r="U527" s="123"/>
      <c r="V527" s="123"/>
      <c r="W527" s="123"/>
      <c r="X527" s="123"/>
      <c r="Y527" s="123"/>
      <c r="Z527" s="123"/>
      <c r="AA527" s="123"/>
      <c r="AB527" s="123"/>
      <c r="AC527" s="123"/>
      <c r="AD527" s="123"/>
      <c r="AE527" s="123"/>
      <c r="AF527" s="123"/>
      <c r="AG527" s="123"/>
      <c r="AH527" s="123"/>
      <c r="AI527" s="123"/>
      <c r="AJ527" s="87"/>
      <c r="AK527" s="87"/>
      <c r="AL527" s="87"/>
    </row>
    <row r="528">
      <c r="A528" s="302"/>
      <c r="B528" s="123"/>
      <c r="C528" s="147"/>
      <c r="D528" s="123"/>
      <c r="E528" s="265"/>
      <c r="F528" s="265"/>
      <c r="G528" s="265"/>
      <c r="H528" s="266"/>
      <c r="I528" s="265"/>
      <c r="J528" s="123"/>
      <c r="K528" s="123"/>
      <c r="L528" s="123"/>
      <c r="M528" s="123"/>
      <c r="N528" s="123"/>
      <c r="O528" s="123"/>
      <c r="P528" s="121"/>
      <c r="Q528" s="121"/>
      <c r="R528" s="123"/>
      <c r="S528" s="123"/>
      <c r="T528" s="123"/>
      <c r="U528" s="123"/>
      <c r="V528" s="123"/>
      <c r="W528" s="123"/>
      <c r="X528" s="123"/>
      <c r="Y528" s="123"/>
      <c r="Z528" s="123"/>
      <c r="AA528" s="123"/>
      <c r="AB528" s="123"/>
      <c r="AC528" s="123"/>
      <c r="AD528" s="123"/>
      <c r="AE528" s="123"/>
      <c r="AF528" s="123"/>
      <c r="AG528" s="123"/>
      <c r="AH528" s="123"/>
      <c r="AI528" s="123"/>
      <c r="AJ528" s="87"/>
      <c r="AK528" s="87"/>
      <c r="AL528" s="87"/>
    </row>
    <row r="529">
      <c r="A529" s="302"/>
      <c r="B529" s="123"/>
      <c r="C529" s="147"/>
      <c r="D529" s="123"/>
      <c r="E529" s="265"/>
      <c r="F529" s="265"/>
      <c r="G529" s="265"/>
      <c r="H529" s="266"/>
      <c r="I529" s="265"/>
      <c r="J529" s="123"/>
      <c r="K529" s="123"/>
      <c r="L529" s="123"/>
      <c r="M529" s="123"/>
      <c r="N529" s="123"/>
      <c r="O529" s="123"/>
      <c r="P529" s="121"/>
      <c r="Q529" s="121"/>
      <c r="R529" s="123"/>
      <c r="S529" s="123"/>
      <c r="T529" s="123"/>
      <c r="U529" s="123"/>
      <c r="V529" s="123"/>
      <c r="W529" s="123"/>
      <c r="X529" s="123"/>
      <c r="Y529" s="123"/>
      <c r="Z529" s="123"/>
      <c r="AA529" s="123"/>
      <c r="AB529" s="123"/>
      <c r="AC529" s="123"/>
      <c r="AD529" s="123"/>
      <c r="AE529" s="123"/>
      <c r="AF529" s="123"/>
      <c r="AG529" s="123"/>
      <c r="AH529" s="123"/>
      <c r="AI529" s="123"/>
      <c r="AJ529" s="87"/>
      <c r="AK529" s="87"/>
      <c r="AL529" s="87"/>
    </row>
    <row r="530">
      <c r="A530" s="302"/>
      <c r="B530" s="123"/>
      <c r="C530" s="147"/>
      <c r="D530" s="123"/>
      <c r="E530" s="265"/>
      <c r="F530" s="265"/>
      <c r="G530" s="265"/>
      <c r="H530" s="266"/>
      <c r="I530" s="265"/>
      <c r="J530" s="123"/>
      <c r="K530" s="123"/>
      <c r="L530" s="123"/>
      <c r="M530" s="123"/>
      <c r="N530" s="123"/>
      <c r="O530" s="123"/>
      <c r="P530" s="121"/>
      <c r="Q530" s="121"/>
      <c r="R530" s="123"/>
      <c r="S530" s="123"/>
      <c r="T530" s="123"/>
      <c r="U530" s="123"/>
      <c r="V530" s="123"/>
      <c r="W530" s="123"/>
      <c r="X530" s="123"/>
      <c r="Y530" s="123"/>
      <c r="Z530" s="123"/>
      <c r="AA530" s="123"/>
      <c r="AB530" s="123"/>
      <c r="AC530" s="123"/>
      <c r="AD530" s="123"/>
      <c r="AE530" s="123"/>
      <c r="AF530" s="123"/>
      <c r="AG530" s="123"/>
      <c r="AH530" s="123"/>
      <c r="AI530" s="123"/>
      <c r="AJ530" s="87"/>
      <c r="AK530" s="87"/>
      <c r="AL530" s="87"/>
    </row>
    <row r="531">
      <c r="A531" s="302"/>
      <c r="B531" s="123"/>
      <c r="C531" s="147"/>
      <c r="D531" s="123"/>
      <c r="E531" s="265"/>
      <c r="F531" s="265"/>
      <c r="G531" s="265"/>
      <c r="H531" s="266"/>
      <c r="I531" s="265"/>
      <c r="J531" s="123"/>
      <c r="K531" s="123"/>
      <c r="L531" s="123"/>
      <c r="M531" s="123"/>
      <c r="N531" s="123"/>
      <c r="O531" s="123"/>
      <c r="P531" s="121"/>
      <c r="Q531" s="121"/>
      <c r="R531" s="123"/>
      <c r="S531" s="123"/>
      <c r="T531" s="123"/>
      <c r="U531" s="123"/>
      <c r="V531" s="123"/>
      <c r="W531" s="123"/>
      <c r="X531" s="123"/>
      <c r="Y531" s="123"/>
      <c r="Z531" s="123"/>
      <c r="AA531" s="123"/>
      <c r="AB531" s="123"/>
      <c r="AC531" s="123"/>
      <c r="AD531" s="123"/>
      <c r="AE531" s="123"/>
      <c r="AF531" s="123"/>
      <c r="AG531" s="123"/>
      <c r="AH531" s="123"/>
      <c r="AI531" s="123"/>
      <c r="AJ531" s="87"/>
      <c r="AK531" s="87"/>
      <c r="AL531" s="87"/>
    </row>
    <row r="532">
      <c r="A532" s="302"/>
      <c r="B532" s="123"/>
      <c r="C532" s="147"/>
      <c r="D532" s="123"/>
      <c r="E532" s="265"/>
      <c r="F532" s="265"/>
      <c r="G532" s="265"/>
      <c r="H532" s="266"/>
      <c r="I532" s="265"/>
      <c r="J532" s="123"/>
      <c r="K532" s="123"/>
      <c r="L532" s="123"/>
      <c r="M532" s="123"/>
      <c r="N532" s="123"/>
      <c r="O532" s="123"/>
      <c r="P532" s="121"/>
      <c r="Q532" s="121"/>
      <c r="R532" s="123"/>
      <c r="S532" s="123"/>
      <c r="T532" s="123"/>
      <c r="U532" s="123"/>
      <c r="V532" s="123"/>
      <c r="W532" s="123"/>
      <c r="X532" s="123"/>
      <c r="Y532" s="123"/>
      <c r="Z532" s="123"/>
      <c r="AA532" s="123"/>
      <c r="AB532" s="123"/>
      <c r="AC532" s="123"/>
      <c r="AD532" s="123"/>
      <c r="AE532" s="123"/>
      <c r="AF532" s="123"/>
      <c r="AG532" s="123"/>
      <c r="AH532" s="123"/>
      <c r="AI532" s="123"/>
      <c r="AJ532" s="87"/>
      <c r="AK532" s="87"/>
      <c r="AL532" s="87"/>
    </row>
    <row r="533">
      <c r="A533" s="302"/>
      <c r="B533" s="123"/>
      <c r="C533" s="147"/>
      <c r="D533" s="123"/>
      <c r="E533" s="265"/>
      <c r="F533" s="265"/>
      <c r="G533" s="265"/>
      <c r="H533" s="266"/>
      <c r="I533" s="265"/>
      <c r="J533" s="123"/>
      <c r="K533" s="123"/>
      <c r="L533" s="123"/>
      <c r="M533" s="123"/>
      <c r="N533" s="123"/>
      <c r="O533" s="123"/>
      <c r="P533" s="121"/>
      <c r="Q533" s="121"/>
      <c r="R533" s="123"/>
      <c r="S533" s="123"/>
      <c r="T533" s="123"/>
      <c r="U533" s="123"/>
      <c r="V533" s="123"/>
      <c r="W533" s="123"/>
      <c r="X533" s="123"/>
      <c r="Y533" s="123"/>
      <c r="Z533" s="123"/>
      <c r="AA533" s="123"/>
      <c r="AB533" s="123"/>
      <c r="AC533" s="123"/>
      <c r="AD533" s="123"/>
      <c r="AE533" s="123"/>
      <c r="AF533" s="123"/>
      <c r="AG533" s="123"/>
      <c r="AH533" s="123"/>
      <c r="AI533" s="123"/>
      <c r="AJ533" s="87"/>
      <c r="AK533" s="87"/>
      <c r="AL533" s="87"/>
    </row>
    <row r="534">
      <c r="A534" s="302"/>
      <c r="B534" s="123"/>
      <c r="C534" s="147"/>
      <c r="D534" s="123"/>
      <c r="E534" s="265"/>
      <c r="F534" s="265"/>
      <c r="G534" s="265"/>
      <c r="H534" s="266"/>
      <c r="I534" s="265"/>
      <c r="J534" s="123"/>
      <c r="K534" s="123"/>
      <c r="L534" s="123"/>
      <c r="M534" s="123"/>
      <c r="N534" s="123"/>
      <c r="O534" s="123"/>
      <c r="P534" s="121"/>
      <c r="Q534" s="121"/>
      <c r="R534" s="123"/>
      <c r="S534" s="123"/>
      <c r="T534" s="123"/>
      <c r="U534" s="123"/>
      <c r="V534" s="123"/>
      <c r="W534" s="123"/>
      <c r="X534" s="123"/>
      <c r="Y534" s="123"/>
      <c r="Z534" s="123"/>
      <c r="AA534" s="123"/>
      <c r="AB534" s="123"/>
      <c r="AC534" s="123"/>
      <c r="AD534" s="123"/>
      <c r="AE534" s="123"/>
      <c r="AF534" s="123"/>
      <c r="AG534" s="123"/>
      <c r="AH534" s="123"/>
      <c r="AI534" s="123"/>
      <c r="AJ534" s="87"/>
      <c r="AK534" s="87"/>
      <c r="AL534" s="87"/>
    </row>
    <row r="535">
      <c r="A535" s="90"/>
      <c r="B535" s="259"/>
      <c r="C535" s="259"/>
      <c r="D535" s="315"/>
      <c r="E535" s="102"/>
      <c r="F535" s="102"/>
      <c r="G535" s="102"/>
      <c r="H535" s="260"/>
      <c r="I535" s="259"/>
      <c r="J535" s="115"/>
      <c r="K535" s="115"/>
      <c r="L535" s="77"/>
      <c r="M535" s="77"/>
      <c r="N535" s="77"/>
      <c r="O535" s="77"/>
      <c r="P535" s="71"/>
      <c r="Q535" s="71"/>
      <c r="R535" s="77"/>
      <c r="S535" s="77"/>
      <c r="T535" s="77"/>
      <c r="U535" s="77"/>
      <c r="V535" s="115"/>
      <c r="W535" s="115"/>
      <c r="X535" s="115"/>
      <c r="Y535" s="115"/>
      <c r="Z535" s="115"/>
      <c r="AA535" s="115"/>
      <c r="AB535" s="261"/>
      <c r="AC535" s="77"/>
      <c r="AD535" s="115"/>
      <c r="AE535" s="77"/>
      <c r="AF535" s="77"/>
      <c r="AG535" s="77"/>
      <c r="AH535" s="77"/>
      <c r="AI535" s="77"/>
      <c r="AJ535" s="87"/>
      <c r="AK535" s="87"/>
      <c r="AL535" s="87"/>
    </row>
    <row r="536">
      <c r="A536" s="312"/>
      <c r="B536" s="316"/>
      <c r="C536" s="316"/>
      <c r="D536" s="318"/>
      <c r="E536" s="313"/>
      <c r="F536" s="313"/>
      <c r="G536" s="313"/>
      <c r="H536" s="260"/>
      <c r="I536" s="313"/>
      <c r="J536" s="188"/>
      <c r="K536" s="188"/>
      <c r="L536" s="188"/>
      <c r="M536" s="188"/>
      <c r="N536" s="188"/>
      <c r="O536" s="188"/>
      <c r="P536" s="139"/>
      <c r="Q536" s="139"/>
      <c r="R536" s="188"/>
      <c r="S536" s="188"/>
      <c r="T536" s="188"/>
      <c r="U536" s="188"/>
      <c r="V536" s="188"/>
      <c r="W536" s="188"/>
      <c r="X536" s="188"/>
      <c r="Y536" s="188"/>
      <c r="Z536" s="115"/>
      <c r="AA536" s="188"/>
      <c r="AB536" s="188"/>
      <c r="AC536" s="188"/>
      <c r="AD536" s="188"/>
      <c r="AE536" s="188"/>
      <c r="AF536" s="188"/>
      <c r="AG536" s="188"/>
      <c r="AH536" s="188"/>
      <c r="AI536" s="188"/>
      <c r="AJ536" s="87"/>
      <c r="AK536" s="87"/>
      <c r="AL536" s="87"/>
    </row>
    <row r="537">
      <c r="A537" s="302"/>
      <c r="B537" s="123"/>
      <c r="C537" s="147"/>
      <c r="D537" s="123"/>
      <c r="E537" s="265"/>
      <c r="F537" s="265"/>
      <c r="G537" s="265"/>
      <c r="H537" s="266"/>
      <c r="I537" s="265"/>
      <c r="J537" s="123"/>
      <c r="K537" s="123"/>
      <c r="L537" s="123"/>
      <c r="M537" s="123"/>
      <c r="N537" s="123"/>
      <c r="O537" s="123"/>
      <c r="P537" s="121"/>
      <c r="Q537" s="121"/>
      <c r="R537" s="123"/>
      <c r="S537" s="123"/>
      <c r="T537" s="123"/>
      <c r="U537" s="123"/>
      <c r="V537" s="123"/>
      <c r="W537" s="123"/>
      <c r="X537" s="123"/>
      <c r="Y537" s="123"/>
      <c r="Z537" s="123"/>
      <c r="AA537" s="123"/>
      <c r="AB537" s="123"/>
      <c r="AC537" s="123"/>
      <c r="AD537" s="123"/>
      <c r="AE537" s="123"/>
      <c r="AF537" s="123"/>
      <c r="AG537" s="123"/>
      <c r="AH537" s="123"/>
      <c r="AI537" s="123"/>
      <c r="AJ537" s="87"/>
      <c r="AK537" s="87"/>
      <c r="AL537" s="87"/>
    </row>
    <row r="538">
      <c r="A538" s="302"/>
      <c r="B538" s="123"/>
      <c r="C538" s="147"/>
      <c r="D538" s="123"/>
      <c r="E538" s="265"/>
      <c r="F538" s="265"/>
      <c r="G538" s="265"/>
      <c r="H538" s="266"/>
      <c r="I538" s="265"/>
      <c r="J538" s="123"/>
      <c r="K538" s="123"/>
      <c r="L538" s="123"/>
      <c r="M538" s="123"/>
      <c r="N538" s="123"/>
      <c r="O538" s="123"/>
      <c r="P538" s="121"/>
      <c r="Q538" s="121"/>
      <c r="R538" s="123"/>
      <c r="S538" s="123"/>
      <c r="T538" s="123"/>
      <c r="U538" s="123"/>
      <c r="V538" s="123"/>
      <c r="W538" s="123"/>
      <c r="X538" s="123"/>
      <c r="Y538" s="123"/>
      <c r="Z538" s="123"/>
      <c r="AA538" s="123"/>
      <c r="AB538" s="123"/>
      <c r="AC538" s="123"/>
      <c r="AD538" s="123"/>
      <c r="AE538" s="123"/>
      <c r="AF538" s="123"/>
      <c r="AG538" s="123"/>
      <c r="AH538" s="123"/>
      <c r="AI538" s="123"/>
      <c r="AJ538" s="87"/>
      <c r="AK538" s="87"/>
      <c r="AL538" s="87"/>
    </row>
    <row r="539">
      <c r="A539" s="302"/>
      <c r="B539" s="123"/>
      <c r="C539" s="147"/>
      <c r="D539" s="123"/>
      <c r="E539" s="265"/>
      <c r="F539" s="265"/>
      <c r="G539" s="265"/>
      <c r="H539" s="266"/>
      <c r="I539" s="265"/>
      <c r="J539" s="123"/>
      <c r="K539" s="123"/>
      <c r="L539" s="123"/>
      <c r="M539" s="123"/>
      <c r="N539" s="123"/>
      <c r="O539" s="123"/>
      <c r="P539" s="121"/>
      <c r="Q539" s="121"/>
      <c r="R539" s="123"/>
      <c r="S539" s="123"/>
      <c r="T539" s="123"/>
      <c r="U539" s="123"/>
      <c r="V539" s="123"/>
      <c r="W539" s="123"/>
      <c r="X539" s="123"/>
      <c r="Y539" s="123"/>
      <c r="Z539" s="123"/>
      <c r="AA539" s="123"/>
      <c r="AB539" s="123"/>
      <c r="AC539" s="123"/>
      <c r="AD539" s="123"/>
      <c r="AE539" s="123"/>
      <c r="AF539" s="123"/>
      <c r="AG539" s="123"/>
      <c r="AH539" s="123"/>
      <c r="AI539" s="123"/>
      <c r="AJ539" s="87"/>
      <c r="AK539" s="87"/>
      <c r="AL539" s="87"/>
    </row>
    <row r="540">
      <c r="A540" s="302"/>
      <c r="B540" s="123"/>
      <c r="C540" s="147"/>
      <c r="D540" s="123"/>
      <c r="E540" s="265"/>
      <c r="F540" s="265"/>
      <c r="G540" s="265"/>
      <c r="H540" s="266"/>
      <c r="I540" s="265"/>
      <c r="J540" s="123"/>
      <c r="K540" s="123"/>
      <c r="L540" s="123"/>
      <c r="M540" s="123"/>
      <c r="N540" s="123"/>
      <c r="O540" s="123"/>
      <c r="P540" s="121"/>
      <c r="Q540" s="121"/>
      <c r="R540" s="123"/>
      <c r="S540" s="123"/>
      <c r="T540" s="123"/>
      <c r="U540" s="123"/>
      <c r="V540" s="123"/>
      <c r="W540" s="123"/>
      <c r="X540" s="123"/>
      <c r="Y540" s="123"/>
      <c r="Z540" s="123"/>
      <c r="AA540" s="123"/>
      <c r="AB540" s="123"/>
      <c r="AC540" s="123"/>
      <c r="AD540" s="123"/>
      <c r="AE540" s="123"/>
      <c r="AF540" s="123"/>
      <c r="AG540" s="123"/>
      <c r="AH540" s="123"/>
      <c r="AI540" s="123"/>
      <c r="AJ540" s="87"/>
      <c r="AK540" s="87"/>
      <c r="AL540" s="87"/>
    </row>
    <row r="541">
      <c r="A541" s="302"/>
      <c r="B541" s="123"/>
      <c r="C541" s="147"/>
      <c r="D541" s="123"/>
      <c r="E541" s="265"/>
      <c r="F541" s="265"/>
      <c r="G541" s="265"/>
      <c r="H541" s="266"/>
      <c r="I541" s="265"/>
      <c r="J541" s="123"/>
      <c r="K541" s="123"/>
      <c r="L541" s="123"/>
      <c r="M541" s="123"/>
      <c r="N541" s="123"/>
      <c r="O541" s="123"/>
      <c r="P541" s="121"/>
      <c r="Q541" s="121"/>
      <c r="R541" s="123"/>
      <c r="S541" s="123"/>
      <c r="T541" s="123"/>
      <c r="U541" s="123"/>
      <c r="V541" s="123"/>
      <c r="W541" s="123"/>
      <c r="X541" s="123"/>
      <c r="Y541" s="123"/>
      <c r="Z541" s="123"/>
      <c r="AA541" s="123"/>
      <c r="AB541" s="123"/>
      <c r="AC541" s="123"/>
      <c r="AD541" s="123"/>
      <c r="AE541" s="123"/>
      <c r="AF541" s="123"/>
      <c r="AG541" s="123"/>
      <c r="AH541" s="123"/>
      <c r="AI541" s="123"/>
      <c r="AJ541" s="87"/>
      <c r="AK541" s="87"/>
      <c r="AL541" s="87"/>
    </row>
    <row r="542">
      <c r="A542" s="302"/>
      <c r="B542" s="123"/>
      <c r="C542" s="147"/>
      <c r="D542" s="123"/>
      <c r="E542" s="265"/>
      <c r="F542" s="265"/>
      <c r="G542" s="265"/>
      <c r="H542" s="266"/>
      <c r="I542" s="265"/>
      <c r="J542" s="123"/>
      <c r="K542" s="123"/>
      <c r="L542" s="123"/>
      <c r="M542" s="123"/>
      <c r="N542" s="123"/>
      <c r="O542" s="123"/>
      <c r="P542" s="121"/>
      <c r="Q542" s="121"/>
      <c r="R542" s="123"/>
      <c r="S542" s="123"/>
      <c r="T542" s="123"/>
      <c r="U542" s="123"/>
      <c r="V542" s="123"/>
      <c r="W542" s="123"/>
      <c r="X542" s="123"/>
      <c r="Y542" s="123"/>
      <c r="Z542" s="123"/>
      <c r="AA542" s="123"/>
      <c r="AB542" s="123"/>
      <c r="AC542" s="123"/>
      <c r="AD542" s="123"/>
      <c r="AE542" s="123"/>
      <c r="AF542" s="123"/>
      <c r="AG542" s="123"/>
      <c r="AH542" s="123"/>
      <c r="AI542" s="123"/>
      <c r="AJ542" s="87"/>
      <c r="AK542" s="87"/>
      <c r="AL542" s="87"/>
    </row>
    <row r="543">
      <c r="A543" s="302"/>
      <c r="B543" s="123"/>
      <c r="C543" s="147"/>
      <c r="D543" s="123"/>
      <c r="E543" s="265"/>
      <c r="F543" s="265"/>
      <c r="G543" s="265"/>
      <c r="H543" s="266"/>
      <c r="I543" s="265"/>
      <c r="J543" s="123"/>
      <c r="K543" s="123"/>
      <c r="L543" s="123"/>
      <c r="M543" s="123"/>
      <c r="N543" s="123"/>
      <c r="O543" s="123"/>
      <c r="P543" s="121"/>
      <c r="Q543" s="121"/>
      <c r="R543" s="123"/>
      <c r="S543" s="123"/>
      <c r="T543" s="123"/>
      <c r="U543" s="123"/>
      <c r="V543" s="123"/>
      <c r="W543" s="123"/>
      <c r="X543" s="123"/>
      <c r="Y543" s="123"/>
      <c r="Z543" s="123"/>
      <c r="AA543" s="123"/>
      <c r="AB543" s="123"/>
      <c r="AC543" s="123"/>
      <c r="AD543" s="123"/>
      <c r="AE543" s="123"/>
      <c r="AF543" s="123"/>
      <c r="AG543" s="123"/>
      <c r="AH543" s="123"/>
      <c r="AI543" s="123"/>
      <c r="AJ543" s="87"/>
      <c r="AK543" s="87"/>
      <c r="AL543" s="87"/>
    </row>
    <row r="544">
      <c r="A544" s="302"/>
      <c r="B544" s="123"/>
      <c r="C544" s="147"/>
      <c r="D544" s="123"/>
      <c r="E544" s="265"/>
      <c r="F544" s="265"/>
      <c r="G544" s="265"/>
      <c r="H544" s="266"/>
      <c r="I544" s="265"/>
      <c r="J544" s="123"/>
      <c r="K544" s="123"/>
      <c r="L544" s="123"/>
      <c r="M544" s="123"/>
      <c r="N544" s="123"/>
      <c r="O544" s="123"/>
      <c r="P544" s="121"/>
      <c r="Q544" s="121"/>
      <c r="R544" s="123"/>
      <c r="S544" s="123"/>
      <c r="T544" s="123"/>
      <c r="U544" s="123"/>
      <c r="V544" s="123"/>
      <c r="W544" s="123"/>
      <c r="X544" s="123"/>
      <c r="Y544" s="123"/>
      <c r="Z544" s="123"/>
      <c r="AA544" s="123"/>
      <c r="AB544" s="123"/>
      <c r="AC544" s="123"/>
      <c r="AD544" s="123"/>
      <c r="AE544" s="123"/>
      <c r="AF544" s="123"/>
      <c r="AG544" s="123"/>
      <c r="AH544" s="123"/>
      <c r="AI544" s="123"/>
      <c r="AJ544" s="87"/>
      <c r="AK544" s="87"/>
      <c r="AL544" s="87"/>
    </row>
    <row r="545">
      <c r="A545" s="302"/>
      <c r="B545" s="123"/>
      <c r="C545" s="147"/>
      <c r="D545" s="123"/>
      <c r="E545" s="265"/>
      <c r="F545" s="265"/>
      <c r="G545" s="265"/>
      <c r="H545" s="266"/>
      <c r="I545" s="265"/>
      <c r="J545" s="123"/>
      <c r="K545" s="123"/>
      <c r="L545" s="123"/>
      <c r="M545" s="123"/>
      <c r="N545" s="123"/>
      <c r="O545" s="123"/>
      <c r="P545" s="121"/>
      <c r="Q545" s="121"/>
      <c r="R545" s="123"/>
      <c r="S545" s="123"/>
      <c r="T545" s="123"/>
      <c r="U545" s="123"/>
      <c r="V545" s="123"/>
      <c r="W545" s="123"/>
      <c r="X545" s="123"/>
      <c r="Y545" s="123"/>
      <c r="Z545" s="123"/>
      <c r="AA545" s="123"/>
      <c r="AB545" s="123"/>
      <c r="AC545" s="123"/>
      <c r="AD545" s="123"/>
      <c r="AE545" s="123"/>
      <c r="AF545" s="123"/>
      <c r="AG545" s="123"/>
      <c r="AH545" s="123"/>
      <c r="AI545" s="123"/>
      <c r="AJ545" s="87"/>
      <c r="AK545" s="87"/>
      <c r="AL545" s="87"/>
    </row>
    <row r="546">
      <c r="A546" s="302"/>
      <c r="B546" s="123"/>
      <c r="C546" s="147"/>
      <c r="D546" s="123"/>
      <c r="E546" s="265"/>
      <c r="F546" s="265"/>
      <c r="G546" s="265"/>
      <c r="H546" s="266"/>
      <c r="I546" s="265"/>
      <c r="J546" s="123"/>
      <c r="K546" s="123"/>
      <c r="L546" s="123"/>
      <c r="M546" s="123"/>
      <c r="N546" s="123"/>
      <c r="O546" s="123"/>
      <c r="P546" s="121"/>
      <c r="Q546" s="121"/>
      <c r="R546" s="123"/>
      <c r="S546" s="123"/>
      <c r="T546" s="123"/>
      <c r="U546" s="123"/>
      <c r="V546" s="123"/>
      <c r="W546" s="123"/>
      <c r="X546" s="123"/>
      <c r="Y546" s="123"/>
      <c r="Z546" s="123"/>
      <c r="AA546" s="123"/>
      <c r="AB546" s="123"/>
      <c r="AC546" s="123"/>
      <c r="AD546" s="123"/>
      <c r="AE546" s="123"/>
      <c r="AF546" s="123"/>
      <c r="AG546" s="123"/>
      <c r="AH546" s="123"/>
      <c r="AI546" s="123"/>
      <c r="AJ546" s="87"/>
      <c r="AK546" s="87"/>
      <c r="AL546" s="87"/>
    </row>
    <row r="547">
      <c r="A547" s="302"/>
      <c r="B547" s="123"/>
      <c r="C547" s="147"/>
      <c r="D547" s="123"/>
      <c r="E547" s="265"/>
      <c r="F547" s="265"/>
      <c r="G547" s="265"/>
      <c r="H547" s="266"/>
      <c r="I547" s="265"/>
      <c r="J547" s="123"/>
      <c r="K547" s="123"/>
      <c r="L547" s="123"/>
      <c r="M547" s="123"/>
      <c r="N547" s="123"/>
      <c r="O547" s="123"/>
      <c r="P547" s="121"/>
      <c r="Q547" s="121"/>
      <c r="R547" s="123"/>
      <c r="S547" s="123"/>
      <c r="T547" s="123"/>
      <c r="U547" s="123"/>
      <c r="V547" s="123"/>
      <c r="W547" s="123"/>
      <c r="X547" s="123"/>
      <c r="Y547" s="123"/>
      <c r="Z547" s="123"/>
      <c r="AA547" s="123"/>
      <c r="AB547" s="123"/>
      <c r="AC547" s="123"/>
      <c r="AD547" s="123"/>
      <c r="AE547" s="123"/>
      <c r="AF547" s="123"/>
      <c r="AG547" s="123"/>
      <c r="AH547" s="123"/>
      <c r="AI547" s="123"/>
      <c r="AJ547" s="87"/>
      <c r="AK547" s="87"/>
      <c r="AL547" s="87"/>
    </row>
    <row r="548">
      <c r="A548" s="302"/>
      <c r="B548" s="123"/>
      <c r="C548" s="147"/>
      <c r="D548" s="123"/>
      <c r="E548" s="265"/>
      <c r="F548" s="265"/>
      <c r="G548" s="265"/>
      <c r="H548" s="266"/>
      <c r="I548" s="265"/>
      <c r="J548" s="123"/>
      <c r="K548" s="123"/>
      <c r="L548" s="123"/>
      <c r="M548" s="123"/>
      <c r="N548" s="123"/>
      <c r="O548" s="123"/>
      <c r="P548" s="121"/>
      <c r="Q548" s="121"/>
      <c r="R548" s="123"/>
      <c r="S548" s="123"/>
      <c r="T548" s="123"/>
      <c r="U548" s="123"/>
      <c r="V548" s="123"/>
      <c r="W548" s="123"/>
      <c r="X548" s="123"/>
      <c r="Y548" s="123"/>
      <c r="Z548" s="123"/>
      <c r="AA548" s="123"/>
      <c r="AB548" s="123"/>
      <c r="AC548" s="123"/>
      <c r="AD548" s="123"/>
      <c r="AE548" s="123"/>
      <c r="AF548" s="123"/>
      <c r="AG548" s="123"/>
      <c r="AH548" s="123"/>
      <c r="AI548" s="123"/>
      <c r="AJ548" s="87"/>
      <c r="AK548" s="87"/>
      <c r="AL548" s="87"/>
    </row>
    <row r="549">
      <c r="A549" s="302"/>
      <c r="B549" s="123"/>
      <c r="C549" s="147"/>
      <c r="D549" s="123"/>
      <c r="E549" s="265"/>
      <c r="F549" s="265"/>
      <c r="G549" s="265"/>
      <c r="H549" s="266"/>
      <c r="I549" s="265"/>
      <c r="J549" s="123"/>
      <c r="K549" s="123"/>
      <c r="L549" s="123"/>
      <c r="M549" s="123"/>
      <c r="N549" s="123"/>
      <c r="O549" s="123"/>
      <c r="P549" s="121"/>
      <c r="Q549" s="121"/>
      <c r="R549" s="123"/>
      <c r="S549" s="123"/>
      <c r="T549" s="123"/>
      <c r="U549" s="123"/>
      <c r="V549" s="123"/>
      <c r="W549" s="123"/>
      <c r="X549" s="123"/>
      <c r="Y549" s="123"/>
      <c r="Z549" s="123"/>
      <c r="AA549" s="123"/>
      <c r="AB549" s="123"/>
      <c r="AC549" s="123"/>
      <c r="AD549" s="123"/>
      <c r="AE549" s="123"/>
      <c r="AF549" s="123"/>
      <c r="AG549" s="123"/>
      <c r="AH549" s="123"/>
      <c r="AI549" s="123"/>
      <c r="AJ549" s="87"/>
      <c r="AK549" s="87"/>
      <c r="AL549" s="87"/>
    </row>
    <row r="550">
      <c r="A550" s="302"/>
      <c r="B550" s="123"/>
      <c r="C550" s="147"/>
      <c r="D550" s="123"/>
      <c r="E550" s="265"/>
      <c r="F550" s="265"/>
      <c r="G550" s="265"/>
      <c r="H550" s="266"/>
      <c r="I550" s="265"/>
      <c r="J550" s="123"/>
      <c r="K550" s="123"/>
      <c r="L550" s="123"/>
      <c r="M550" s="123"/>
      <c r="N550" s="123"/>
      <c r="O550" s="123"/>
      <c r="P550" s="121"/>
      <c r="Q550" s="121"/>
      <c r="R550" s="123"/>
      <c r="S550" s="123"/>
      <c r="T550" s="123"/>
      <c r="U550" s="123"/>
      <c r="V550" s="123"/>
      <c r="W550" s="123"/>
      <c r="X550" s="123"/>
      <c r="Y550" s="123"/>
      <c r="Z550" s="123"/>
      <c r="AA550" s="123"/>
      <c r="AB550" s="123"/>
      <c r="AC550" s="123"/>
      <c r="AD550" s="123"/>
      <c r="AE550" s="123"/>
      <c r="AF550" s="123"/>
      <c r="AG550" s="123"/>
      <c r="AH550" s="123"/>
      <c r="AI550" s="123"/>
      <c r="AJ550" s="87"/>
      <c r="AK550" s="87"/>
      <c r="AL550" s="87"/>
    </row>
    <row r="551">
      <c r="A551" s="302"/>
      <c r="B551" s="123"/>
      <c r="C551" s="147"/>
      <c r="D551" s="123"/>
      <c r="E551" s="265"/>
      <c r="F551" s="265"/>
      <c r="G551" s="265"/>
      <c r="H551" s="266"/>
      <c r="I551" s="265"/>
      <c r="J551" s="123"/>
      <c r="K551" s="123"/>
      <c r="L551" s="123"/>
      <c r="M551" s="123"/>
      <c r="N551" s="123"/>
      <c r="O551" s="123"/>
      <c r="P551" s="121"/>
      <c r="Q551" s="121"/>
      <c r="R551" s="123"/>
      <c r="S551" s="123"/>
      <c r="T551" s="123"/>
      <c r="U551" s="123"/>
      <c r="V551" s="123"/>
      <c r="W551" s="123"/>
      <c r="X551" s="123"/>
      <c r="Y551" s="123"/>
      <c r="Z551" s="123"/>
      <c r="AA551" s="123"/>
      <c r="AB551" s="123"/>
      <c r="AC551" s="123"/>
      <c r="AD551" s="123"/>
      <c r="AE551" s="123"/>
      <c r="AF551" s="123"/>
      <c r="AG551" s="123"/>
      <c r="AH551" s="123"/>
      <c r="AI551" s="123"/>
      <c r="AJ551" s="87"/>
      <c r="AK551" s="87"/>
      <c r="AL551" s="87"/>
    </row>
    <row r="552">
      <c r="A552" s="90"/>
      <c r="B552" s="259"/>
      <c r="C552" s="259"/>
      <c r="D552" s="315"/>
      <c r="E552" s="102"/>
      <c r="F552" s="102"/>
      <c r="G552" s="102"/>
      <c r="H552" s="260"/>
      <c r="I552" s="259"/>
      <c r="J552" s="115"/>
      <c r="K552" s="115"/>
      <c r="L552" s="77"/>
      <c r="M552" s="77"/>
      <c r="N552" s="77"/>
      <c r="O552" s="77"/>
      <c r="P552" s="71"/>
      <c r="Q552" s="71"/>
      <c r="R552" s="77"/>
      <c r="S552" s="77"/>
      <c r="T552" s="77"/>
      <c r="U552" s="77"/>
      <c r="V552" s="115"/>
      <c r="W552" s="115"/>
      <c r="X552" s="115"/>
      <c r="Y552" s="115"/>
      <c r="Z552" s="115"/>
      <c r="AA552" s="115"/>
      <c r="AB552" s="261"/>
      <c r="AC552" s="77"/>
      <c r="AD552" s="115"/>
      <c r="AE552" s="77"/>
      <c r="AF552" s="77"/>
      <c r="AG552" s="77"/>
      <c r="AH552" s="77"/>
      <c r="AI552" s="77"/>
      <c r="AJ552" s="87"/>
      <c r="AK552" s="87"/>
      <c r="AL552" s="87"/>
    </row>
    <row r="553">
      <c r="A553" s="302"/>
      <c r="B553" s="265"/>
      <c r="C553" s="147"/>
      <c r="D553" s="123"/>
      <c r="E553" s="265"/>
      <c r="F553" s="265"/>
      <c r="G553" s="265"/>
      <c r="H553" s="266"/>
      <c r="I553" s="265"/>
      <c r="J553" s="123"/>
      <c r="K553" s="123"/>
      <c r="L553" s="123"/>
      <c r="M553" s="123"/>
      <c r="N553" s="123"/>
      <c r="O553" s="123"/>
      <c r="P553" s="121"/>
      <c r="Q553" s="121"/>
      <c r="R553" s="123"/>
      <c r="S553" s="123"/>
      <c r="T553" s="123"/>
      <c r="U553" s="123"/>
      <c r="V553" s="123"/>
      <c r="W553" s="123"/>
      <c r="X553" s="123"/>
      <c r="Y553" s="123"/>
      <c r="Z553" s="123"/>
      <c r="AA553" s="123"/>
      <c r="AB553" s="123"/>
      <c r="AC553" s="123"/>
      <c r="AD553" s="123"/>
      <c r="AE553" s="123"/>
      <c r="AF553" s="123"/>
      <c r="AG553" s="123"/>
      <c r="AH553" s="123"/>
      <c r="AI553" s="123"/>
      <c r="AJ553" s="87"/>
      <c r="AK553" s="87"/>
      <c r="AL553" s="87"/>
    </row>
    <row r="554">
      <c r="A554" s="302"/>
      <c r="B554" s="265"/>
      <c r="C554" s="147"/>
      <c r="D554" s="123"/>
      <c r="E554" s="265"/>
      <c r="F554" s="265"/>
      <c r="G554" s="265"/>
      <c r="H554" s="266"/>
      <c r="I554" s="265"/>
      <c r="J554" s="123"/>
      <c r="K554" s="123"/>
      <c r="L554" s="123"/>
      <c r="M554" s="123"/>
      <c r="N554" s="123"/>
      <c r="O554" s="123"/>
      <c r="P554" s="121"/>
      <c r="Q554" s="121"/>
      <c r="R554" s="123"/>
      <c r="S554" s="123"/>
      <c r="T554" s="123"/>
      <c r="U554" s="123"/>
      <c r="V554" s="123"/>
      <c r="W554" s="123"/>
      <c r="X554" s="123"/>
      <c r="Y554" s="123"/>
      <c r="Z554" s="123"/>
      <c r="AA554" s="123"/>
      <c r="AB554" s="123"/>
      <c r="AC554" s="123"/>
      <c r="AD554" s="123"/>
      <c r="AE554" s="123"/>
      <c r="AF554" s="123"/>
      <c r="AG554" s="123"/>
      <c r="AH554" s="123"/>
      <c r="AI554" s="123"/>
      <c r="AJ554" s="87"/>
      <c r="AK554" s="87"/>
      <c r="AL554" s="87"/>
    </row>
    <row r="555">
      <c r="A555" s="302"/>
      <c r="B555" s="265"/>
      <c r="C555" s="147"/>
      <c r="D555" s="123"/>
      <c r="E555" s="265"/>
      <c r="F555" s="265"/>
      <c r="G555" s="265"/>
      <c r="H555" s="266"/>
      <c r="I555" s="265"/>
      <c r="J555" s="123"/>
      <c r="K555" s="123"/>
      <c r="L555" s="123"/>
      <c r="M555" s="123"/>
      <c r="N555" s="123"/>
      <c r="O555" s="123"/>
      <c r="P555" s="121"/>
      <c r="Q555" s="121"/>
      <c r="R555" s="123"/>
      <c r="S555" s="123"/>
      <c r="T555" s="123"/>
      <c r="U555" s="123"/>
      <c r="V555" s="123"/>
      <c r="W555" s="123"/>
      <c r="X555" s="123"/>
      <c r="Y555" s="123"/>
      <c r="Z555" s="123"/>
      <c r="AA555" s="123"/>
      <c r="AB555" s="123"/>
      <c r="AC555" s="123"/>
      <c r="AD555" s="123"/>
      <c r="AE555" s="123"/>
      <c r="AF555" s="123"/>
      <c r="AG555" s="123"/>
      <c r="AH555" s="123"/>
      <c r="AI555" s="123"/>
      <c r="AJ555" s="87"/>
      <c r="AK555" s="87"/>
      <c r="AL555" s="87"/>
    </row>
    <row r="556">
      <c r="A556" s="302"/>
      <c r="B556" s="265"/>
      <c r="C556" s="147"/>
      <c r="D556" s="123"/>
      <c r="E556" s="265"/>
      <c r="F556" s="265"/>
      <c r="G556" s="265"/>
      <c r="H556" s="266"/>
      <c r="I556" s="265"/>
      <c r="J556" s="123"/>
      <c r="K556" s="123"/>
      <c r="L556" s="123"/>
      <c r="M556" s="123"/>
      <c r="N556" s="123"/>
      <c r="O556" s="123"/>
      <c r="P556" s="121"/>
      <c r="Q556" s="121"/>
      <c r="R556" s="123"/>
      <c r="S556" s="123"/>
      <c r="T556" s="123"/>
      <c r="U556" s="123"/>
      <c r="V556" s="123"/>
      <c r="W556" s="123"/>
      <c r="X556" s="123"/>
      <c r="Y556" s="123"/>
      <c r="Z556" s="123"/>
      <c r="AA556" s="123"/>
      <c r="AB556" s="123"/>
      <c r="AC556" s="123"/>
      <c r="AD556" s="123"/>
      <c r="AE556" s="123"/>
      <c r="AF556" s="123"/>
      <c r="AG556" s="123"/>
      <c r="AH556" s="123"/>
      <c r="AI556" s="123"/>
      <c r="AJ556" s="87"/>
      <c r="AK556" s="87"/>
      <c r="AL556" s="87"/>
    </row>
    <row r="557">
      <c r="A557" s="302"/>
      <c r="B557" s="265"/>
      <c r="C557" s="147"/>
      <c r="D557" s="123"/>
      <c r="E557" s="265"/>
      <c r="F557" s="265"/>
      <c r="G557" s="265"/>
      <c r="H557" s="266"/>
      <c r="I557" s="265"/>
      <c r="J557" s="123"/>
      <c r="K557" s="123"/>
      <c r="L557" s="123"/>
      <c r="M557" s="123"/>
      <c r="N557" s="123"/>
      <c r="O557" s="123"/>
      <c r="P557" s="121"/>
      <c r="Q557" s="121"/>
      <c r="R557" s="123"/>
      <c r="S557" s="123"/>
      <c r="T557" s="123"/>
      <c r="U557" s="123"/>
      <c r="V557" s="123"/>
      <c r="W557" s="123"/>
      <c r="X557" s="123"/>
      <c r="Y557" s="123"/>
      <c r="Z557" s="123"/>
      <c r="AA557" s="123"/>
      <c r="AB557" s="123"/>
      <c r="AC557" s="123"/>
      <c r="AD557" s="123"/>
      <c r="AE557" s="123"/>
      <c r="AF557" s="123"/>
      <c r="AG557" s="123"/>
      <c r="AH557" s="123"/>
      <c r="AI557" s="123"/>
      <c r="AJ557" s="87"/>
      <c r="AK557" s="87"/>
      <c r="AL557" s="87"/>
    </row>
    <row r="558">
      <c r="A558" s="302"/>
      <c r="B558" s="265"/>
      <c r="C558" s="147"/>
      <c r="D558" s="123"/>
      <c r="E558" s="265"/>
      <c r="F558" s="265"/>
      <c r="G558" s="265"/>
      <c r="H558" s="266"/>
      <c r="I558" s="265"/>
      <c r="J558" s="123"/>
      <c r="K558" s="123"/>
      <c r="L558" s="123"/>
      <c r="M558" s="123"/>
      <c r="N558" s="123"/>
      <c r="O558" s="123"/>
      <c r="P558" s="121"/>
      <c r="Q558" s="121"/>
      <c r="R558" s="123"/>
      <c r="S558" s="123"/>
      <c r="T558" s="123"/>
      <c r="U558" s="123"/>
      <c r="V558" s="123"/>
      <c r="W558" s="123"/>
      <c r="X558" s="123"/>
      <c r="Y558" s="123"/>
      <c r="Z558" s="123"/>
      <c r="AA558" s="123"/>
      <c r="AB558" s="123"/>
      <c r="AC558" s="123"/>
      <c r="AD558" s="123"/>
      <c r="AE558" s="123"/>
      <c r="AF558" s="123"/>
      <c r="AG558" s="123"/>
      <c r="AH558" s="123"/>
      <c r="AI558" s="123"/>
      <c r="AJ558" s="87"/>
      <c r="AK558" s="87"/>
      <c r="AL558" s="87"/>
    </row>
    <row r="559">
      <c r="A559" s="302"/>
      <c r="B559" s="265"/>
      <c r="C559" s="147"/>
      <c r="D559" s="123"/>
      <c r="E559" s="265"/>
      <c r="F559" s="265"/>
      <c r="G559" s="265"/>
      <c r="H559" s="266"/>
      <c r="I559" s="265"/>
      <c r="J559" s="123"/>
      <c r="K559" s="123"/>
      <c r="L559" s="123"/>
      <c r="M559" s="123"/>
      <c r="N559" s="123"/>
      <c r="O559" s="123"/>
      <c r="P559" s="121"/>
      <c r="Q559" s="121"/>
      <c r="R559" s="123"/>
      <c r="S559" s="123"/>
      <c r="T559" s="123"/>
      <c r="U559" s="123"/>
      <c r="V559" s="123"/>
      <c r="W559" s="123"/>
      <c r="X559" s="123"/>
      <c r="Y559" s="123"/>
      <c r="Z559" s="123"/>
      <c r="AA559" s="123"/>
      <c r="AB559" s="123"/>
      <c r="AC559" s="123"/>
      <c r="AD559" s="123"/>
      <c r="AE559" s="123"/>
      <c r="AF559" s="123"/>
      <c r="AG559" s="123"/>
      <c r="AH559" s="123"/>
      <c r="AI559" s="123"/>
      <c r="AJ559" s="87"/>
      <c r="AK559" s="87"/>
      <c r="AL559" s="87"/>
    </row>
    <row r="560">
      <c r="A560" s="302"/>
      <c r="B560" s="265"/>
      <c r="C560" s="147"/>
      <c r="D560" s="123"/>
      <c r="E560" s="265"/>
      <c r="F560" s="265"/>
      <c r="G560" s="265"/>
      <c r="H560" s="266"/>
      <c r="I560" s="265"/>
      <c r="J560" s="123"/>
      <c r="K560" s="123"/>
      <c r="L560" s="123"/>
      <c r="M560" s="123"/>
      <c r="N560" s="123"/>
      <c r="O560" s="123"/>
      <c r="P560" s="121"/>
      <c r="Q560" s="121"/>
      <c r="R560" s="123"/>
      <c r="S560" s="123"/>
      <c r="T560" s="123"/>
      <c r="U560" s="123"/>
      <c r="V560" s="123"/>
      <c r="W560" s="123"/>
      <c r="X560" s="123"/>
      <c r="Y560" s="123"/>
      <c r="Z560" s="123"/>
      <c r="AA560" s="123"/>
      <c r="AB560" s="123"/>
      <c r="AC560" s="123"/>
      <c r="AD560" s="123"/>
      <c r="AE560" s="123"/>
      <c r="AF560" s="123"/>
      <c r="AG560" s="123"/>
      <c r="AH560" s="123"/>
      <c r="AI560" s="123"/>
      <c r="AJ560" s="87"/>
      <c r="AK560" s="87"/>
      <c r="AL560" s="87"/>
    </row>
    <row r="561">
      <c r="A561" s="302"/>
      <c r="B561" s="265"/>
      <c r="C561" s="147"/>
      <c r="D561" s="123"/>
      <c r="E561" s="265"/>
      <c r="F561" s="265"/>
      <c r="G561" s="265"/>
      <c r="H561" s="266"/>
      <c r="I561" s="265"/>
      <c r="J561" s="123"/>
      <c r="K561" s="123"/>
      <c r="L561" s="123"/>
      <c r="M561" s="123"/>
      <c r="N561" s="123"/>
      <c r="O561" s="123"/>
      <c r="P561" s="121"/>
      <c r="Q561" s="121"/>
      <c r="R561" s="123"/>
      <c r="S561" s="123"/>
      <c r="T561" s="123"/>
      <c r="U561" s="123"/>
      <c r="V561" s="123"/>
      <c r="W561" s="123"/>
      <c r="X561" s="123"/>
      <c r="Y561" s="123"/>
      <c r="Z561" s="123"/>
      <c r="AA561" s="123"/>
      <c r="AB561" s="123"/>
      <c r="AC561" s="123"/>
      <c r="AD561" s="123"/>
      <c r="AE561" s="123"/>
      <c r="AF561" s="123"/>
      <c r="AG561" s="123"/>
      <c r="AH561" s="123"/>
      <c r="AI561" s="123"/>
      <c r="AJ561" s="87"/>
      <c r="AK561" s="87"/>
      <c r="AL561" s="87"/>
    </row>
    <row r="562">
      <c r="A562" s="302"/>
      <c r="B562" s="265"/>
      <c r="C562" s="147"/>
      <c r="D562" s="123"/>
      <c r="E562" s="265"/>
      <c r="F562" s="265"/>
      <c r="G562" s="265"/>
      <c r="H562" s="266"/>
      <c r="I562" s="265"/>
      <c r="J562" s="123"/>
      <c r="K562" s="123"/>
      <c r="L562" s="123"/>
      <c r="M562" s="123"/>
      <c r="N562" s="123"/>
      <c r="O562" s="123"/>
      <c r="P562" s="121"/>
      <c r="Q562" s="121"/>
      <c r="R562" s="123"/>
      <c r="S562" s="123"/>
      <c r="T562" s="123"/>
      <c r="U562" s="123"/>
      <c r="V562" s="123"/>
      <c r="W562" s="123"/>
      <c r="X562" s="123"/>
      <c r="Y562" s="123"/>
      <c r="Z562" s="123"/>
      <c r="AA562" s="123"/>
      <c r="AB562" s="123"/>
      <c r="AC562" s="123"/>
      <c r="AD562" s="123"/>
      <c r="AE562" s="123"/>
      <c r="AF562" s="123"/>
      <c r="AG562" s="123"/>
      <c r="AH562" s="123"/>
      <c r="AI562" s="123"/>
      <c r="AJ562" s="87"/>
      <c r="AK562" s="87"/>
      <c r="AL562" s="87"/>
    </row>
    <row r="563">
      <c r="A563" s="302"/>
      <c r="B563" s="265"/>
      <c r="C563" s="147"/>
      <c r="D563" s="123"/>
      <c r="E563" s="265"/>
      <c r="F563" s="265"/>
      <c r="G563" s="265"/>
      <c r="H563" s="266"/>
      <c r="I563" s="265"/>
      <c r="J563" s="123"/>
      <c r="K563" s="123"/>
      <c r="L563" s="123"/>
      <c r="M563" s="123"/>
      <c r="N563" s="123"/>
      <c r="O563" s="123"/>
      <c r="P563" s="121"/>
      <c r="Q563" s="121"/>
      <c r="R563" s="123"/>
      <c r="S563" s="123"/>
      <c r="T563" s="123"/>
      <c r="U563" s="123"/>
      <c r="V563" s="123"/>
      <c r="W563" s="123"/>
      <c r="X563" s="123"/>
      <c r="Y563" s="123"/>
      <c r="Z563" s="123"/>
      <c r="AA563" s="123"/>
      <c r="AB563" s="123"/>
      <c r="AC563" s="123"/>
      <c r="AD563" s="123"/>
      <c r="AE563" s="123"/>
      <c r="AF563" s="123"/>
      <c r="AG563" s="123"/>
      <c r="AH563" s="123"/>
      <c r="AI563" s="123"/>
      <c r="AJ563" s="87"/>
      <c r="AK563" s="87"/>
      <c r="AL563" s="87"/>
    </row>
    <row r="564">
      <c r="A564" s="302"/>
      <c r="B564" s="265"/>
      <c r="C564" s="147"/>
      <c r="D564" s="123"/>
      <c r="E564" s="265"/>
      <c r="F564" s="265"/>
      <c r="G564" s="265"/>
      <c r="H564" s="266"/>
      <c r="I564" s="265"/>
      <c r="J564" s="123"/>
      <c r="K564" s="123"/>
      <c r="L564" s="123"/>
      <c r="M564" s="123"/>
      <c r="N564" s="123"/>
      <c r="O564" s="123"/>
      <c r="P564" s="121"/>
      <c r="Q564" s="121"/>
      <c r="R564" s="123"/>
      <c r="S564" s="123"/>
      <c r="T564" s="123"/>
      <c r="U564" s="123"/>
      <c r="V564" s="123"/>
      <c r="W564" s="123"/>
      <c r="X564" s="123"/>
      <c r="Y564" s="123"/>
      <c r="Z564" s="123"/>
      <c r="AA564" s="123"/>
      <c r="AB564" s="123"/>
      <c r="AC564" s="123"/>
      <c r="AD564" s="123"/>
      <c r="AE564" s="123"/>
      <c r="AF564" s="123"/>
      <c r="AG564" s="123"/>
      <c r="AH564" s="123"/>
      <c r="AI564" s="123"/>
      <c r="AJ564" s="87"/>
      <c r="AK564" s="87"/>
      <c r="AL564" s="87"/>
    </row>
    <row r="565">
      <c r="A565" s="302"/>
      <c r="B565" s="265"/>
      <c r="C565" s="147"/>
      <c r="D565" s="123"/>
      <c r="E565" s="265"/>
      <c r="F565" s="265"/>
      <c r="G565" s="265"/>
      <c r="H565" s="266"/>
      <c r="I565" s="265"/>
      <c r="J565" s="123"/>
      <c r="K565" s="123"/>
      <c r="L565" s="123"/>
      <c r="M565" s="123"/>
      <c r="N565" s="123"/>
      <c r="O565" s="123"/>
      <c r="P565" s="121"/>
      <c r="Q565" s="121"/>
      <c r="R565" s="123"/>
      <c r="S565" s="123"/>
      <c r="T565" s="123"/>
      <c r="U565" s="123"/>
      <c r="V565" s="123"/>
      <c r="W565" s="123"/>
      <c r="X565" s="123"/>
      <c r="Y565" s="123"/>
      <c r="Z565" s="123"/>
      <c r="AA565" s="123"/>
      <c r="AB565" s="123"/>
      <c r="AC565" s="123"/>
      <c r="AD565" s="123"/>
      <c r="AE565" s="123"/>
      <c r="AF565" s="123"/>
      <c r="AG565" s="123"/>
      <c r="AH565" s="123"/>
      <c r="AI565" s="123"/>
      <c r="AJ565" s="87"/>
      <c r="AK565" s="87"/>
      <c r="AL565" s="87"/>
    </row>
    <row r="566">
      <c r="A566" s="302"/>
      <c r="B566" s="265"/>
      <c r="C566" s="147"/>
      <c r="D566" s="123"/>
      <c r="E566" s="265"/>
      <c r="F566" s="265"/>
      <c r="G566" s="265"/>
      <c r="H566" s="266"/>
      <c r="I566" s="265"/>
      <c r="J566" s="123"/>
      <c r="K566" s="123"/>
      <c r="L566" s="123"/>
      <c r="M566" s="123"/>
      <c r="N566" s="123"/>
      <c r="O566" s="123"/>
      <c r="P566" s="121"/>
      <c r="Q566" s="121"/>
      <c r="R566" s="123"/>
      <c r="S566" s="123"/>
      <c r="T566" s="123"/>
      <c r="U566" s="123"/>
      <c r="V566" s="123"/>
      <c r="W566" s="123"/>
      <c r="X566" s="123"/>
      <c r="Y566" s="123"/>
      <c r="Z566" s="123"/>
      <c r="AA566" s="123"/>
      <c r="AB566" s="123"/>
      <c r="AC566" s="123"/>
      <c r="AD566" s="123"/>
      <c r="AE566" s="123"/>
      <c r="AF566" s="123"/>
      <c r="AG566" s="123"/>
      <c r="AH566" s="123"/>
      <c r="AI566" s="123"/>
      <c r="AJ566" s="87"/>
      <c r="AK566" s="87"/>
      <c r="AL566" s="87"/>
    </row>
    <row r="567">
      <c r="A567" s="302"/>
      <c r="B567" s="265"/>
      <c r="C567" s="147"/>
      <c r="D567" s="123"/>
      <c r="E567" s="265"/>
      <c r="F567" s="265"/>
      <c r="G567" s="265"/>
      <c r="H567" s="266"/>
      <c r="I567" s="265"/>
      <c r="J567" s="123"/>
      <c r="K567" s="123"/>
      <c r="L567" s="123"/>
      <c r="M567" s="123"/>
      <c r="N567" s="123"/>
      <c r="O567" s="123"/>
      <c r="P567" s="121"/>
      <c r="Q567" s="121"/>
      <c r="R567" s="123"/>
      <c r="S567" s="123"/>
      <c r="T567" s="123"/>
      <c r="U567" s="123"/>
      <c r="V567" s="123"/>
      <c r="W567" s="123"/>
      <c r="X567" s="123"/>
      <c r="Y567" s="123"/>
      <c r="Z567" s="123"/>
      <c r="AA567" s="123"/>
      <c r="AB567" s="123"/>
      <c r="AC567" s="123"/>
      <c r="AD567" s="123"/>
      <c r="AE567" s="123"/>
      <c r="AF567" s="123"/>
      <c r="AG567" s="123"/>
      <c r="AH567" s="123"/>
      <c r="AI567" s="123"/>
      <c r="AJ567" s="87"/>
      <c r="AK567" s="87"/>
      <c r="AL567" s="87"/>
    </row>
    <row r="568">
      <c r="A568" s="302"/>
      <c r="B568" s="265"/>
      <c r="C568" s="147"/>
      <c r="D568" s="123"/>
      <c r="E568" s="265"/>
      <c r="F568" s="265"/>
      <c r="G568" s="265"/>
      <c r="H568" s="266"/>
      <c r="I568" s="265"/>
      <c r="J568" s="123"/>
      <c r="K568" s="123"/>
      <c r="L568" s="123"/>
      <c r="M568" s="123"/>
      <c r="N568" s="123"/>
      <c r="O568" s="123"/>
      <c r="P568" s="121"/>
      <c r="Q568" s="121"/>
      <c r="R568" s="123"/>
      <c r="S568" s="123"/>
      <c r="T568" s="123"/>
      <c r="U568" s="123"/>
      <c r="V568" s="123"/>
      <c r="W568" s="123"/>
      <c r="X568" s="123"/>
      <c r="Y568" s="123"/>
      <c r="Z568" s="123"/>
      <c r="AA568" s="123"/>
      <c r="AB568" s="123"/>
      <c r="AC568" s="123"/>
      <c r="AD568" s="123"/>
      <c r="AE568" s="123"/>
      <c r="AF568" s="123"/>
      <c r="AG568" s="123"/>
      <c r="AH568" s="123"/>
      <c r="AI568" s="123"/>
      <c r="AJ568" s="87"/>
      <c r="AK568" s="87"/>
      <c r="AL568" s="87"/>
    </row>
    <row r="569">
      <c r="A569" s="302"/>
      <c r="B569" s="265"/>
      <c r="C569" s="147"/>
      <c r="D569" s="123"/>
      <c r="E569" s="265"/>
      <c r="F569" s="265"/>
      <c r="G569" s="265"/>
      <c r="H569" s="266"/>
      <c r="I569" s="265"/>
      <c r="J569" s="123"/>
      <c r="K569" s="123"/>
      <c r="L569" s="123"/>
      <c r="M569" s="123"/>
      <c r="N569" s="123"/>
      <c r="O569" s="123"/>
      <c r="P569" s="121"/>
      <c r="Q569" s="121"/>
      <c r="R569" s="123"/>
      <c r="S569" s="123"/>
      <c r="T569" s="123"/>
      <c r="U569" s="123"/>
      <c r="V569" s="123"/>
      <c r="W569" s="123"/>
      <c r="X569" s="123"/>
      <c r="Y569" s="123"/>
      <c r="Z569" s="123"/>
      <c r="AA569" s="123"/>
      <c r="AB569" s="123"/>
      <c r="AC569" s="123"/>
      <c r="AD569" s="123"/>
      <c r="AE569" s="123"/>
      <c r="AF569" s="123"/>
      <c r="AG569" s="123"/>
      <c r="AH569" s="123"/>
      <c r="AI569" s="123"/>
      <c r="AJ569" s="87"/>
      <c r="AK569" s="87"/>
      <c r="AL569" s="87"/>
    </row>
    <row r="570">
      <c r="A570" s="302"/>
      <c r="B570" s="265"/>
      <c r="C570" s="147"/>
      <c r="D570" s="123"/>
      <c r="E570" s="265"/>
      <c r="F570" s="265"/>
      <c r="G570" s="265"/>
      <c r="H570" s="266"/>
      <c r="I570" s="265"/>
      <c r="J570" s="123"/>
      <c r="K570" s="123"/>
      <c r="L570" s="123"/>
      <c r="M570" s="123"/>
      <c r="N570" s="123"/>
      <c r="O570" s="123"/>
      <c r="P570" s="121"/>
      <c r="Q570" s="121"/>
      <c r="R570" s="123"/>
      <c r="S570" s="123"/>
      <c r="T570" s="123"/>
      <c r="U570" s="123"/>
      <c r="V570" s="123"/>
      <c r="W570" s="123"/>
      <c r="X570" s="123"/>
      <c r="Y570" s="123"/>
      <c r="Z570" s="123"/>
      <c r="AA570" s="123"/>
      <c r="AB570" s="123"/>
      <c r="AC570" s="123"/>
      <c r="AD570" s="123"/>
      <c r="AE570" s="123"/>
      <c r="AF570" s="123"/>
      <c r="AG570" s="123"/>
      <c r="AH570" s="123"/>
      <c r="AI570" s="123"/>
      <c r="AJ570" s="87"/>
      <c r="AK570" s="87"/>
      <c r="AL570" s="87"/>
    </row>
    <row r="571">
      <c r="A571" s="302"/>
      <c r="B571" s="265"/>
      <c r="C571" s="147"/>
      <c r="D571" s="123"/>
      <c r="E571" s="265"/>
      <c r="F571" s="265"/>
      <c r="G571" s="265"/>
      <c r="H571" s="266"/>
      <c r="I571" s="265"/>
      <c r="J571" s="123"/>
      <c r="K571" s="123"/>
      <c r="L571" s="123"/>
      <c r="M571" s="123"/>
      <c r="N571" s="123"/>
      <c r="O571" s="123"/>
      <c r="P571" s="121"/>
      <c r="Q571" s="121"/>
      <c r="R571" s="123"/>
      <c r="S571" s="123"/>
      <c r="T571" s="123"/>
      <c r="U571" s="123"/>
      <c r="V571" s="123"/>
      <c r="W571" s="123"/>
      <c r="X571" s="123"/>
      <c r="Y571" s="123"/>
      <c r="Z571" s="123"/>
      <c r="AA571" s="123"/>
      <c r="AB571" s="123"/>
      <c r="AC571" s="123"/>
      <c r="AD571" s="123"/>
      <c r="AE571" s="123"/>
      <c r="AF571" s="123"/>
      <c r="AG571" s="123"/>
      <c r="AH571" s="123"/>
      <c r="AI571" s="123"/>
      <c r="AJ571" s="87"/>
      <c r="AK571" s="87"/>
      <c r="AL571" s="87"/>
    </row>
    <row r="572">
      <c r="A572" s="302"/>
      <c r="B572" s="265"/>
      <c r="C572" s="147"/>
      <c r="D572" s="123"/>
      <c r="E572" s="265"/>
      <c r="F572" s="265"/>
      <c r="G572" s="265"/>
      <c r="H572" s="266"/>
      <c r="I572" s="265"/>
      <c r="J572" s="123"/>
      <c r="K572" s="123"/>
      <c r="L572" s="123"/>
      <c r="M572" s="123"/>
      <c r="N572" s="123"/>
      <c r="O572" s="123"/>
      <c r="P572" s="121"/>
      <c r="Q572" s="121"/>
      <c r="R572" s="123"/>
      <c r="S572" s="123"/>
      <c r="T572" s="123"/>
      <c r="U572" s="123"/>
      <c r="V572" s="123"/>
      <c r="W572" s="123"/>
      <c r="X572" s="123"/>
      <c r="Y572" s="123"/>
      <c r="Z572" s="123"/>
      <c r="AA572" s="123"/>
      <c r="AB572" s="123"/>
      <c r="AC572" s="123"/>
      <c r="AD572" s="123"/>
      <c r="AE572" s="123"/>
      <c r="AF572" s="123"/>
      <c r="AG572" s="123"/>
      <c r="AH572" s="123"/>
      <c r="AI572" s="123"/>
      <c r="AJ572" s="87"/>
      <c r="AK572" s="87"/>
      <c r="AL572" s="87"/>
    </row>
    <row r="573">
      <c r="A573" s="302"/>
      <c r="B573" s="265"/>
      <c r="C573" s="147"/>
      <c r="D573" s="123"/>
      <c r="E573" s="265"/>
      <c r="F573" s="265"/>
      <c r="G573" s="265"/>
      <c r="H573" s="266"/>
      <c r="I573" s="265"/>
      <c r="J573" s="123"/>
      <c r="K573" s="123"/>
      <c r="L573" s="123"/>
      <c r="M573" s="123"/>
      <c r="N573" s="123"/>
      <c r="O573" s="123"/>
      <c r="P573" s="121"/>
      <c r="Q573" s="121"/>
      <c r="R573" s="123"/>
      <c r="S573" s="123"/>
      <c r="T573" s="123"/>
      <c r="U573" s="123"/>
      <c r="V573" s="123"/>
      <c r="W573" s="123"/>
      <c r="X573" s="123"/>
      <c r="Y573" s="123"/>
      <c r="Z573" s="123"/>
      <c r="AA573" s="123"/>
      <c r="AB573" s="123"/>
      <c r="AC573" s="123"/>
      <c r="AD573" s="123"/>
      <c r="AE573" s="123"/>
      <c r="AF573" s="123"/>
      <c r="AG573" s="123"/>
      <c r="AH573" s="123"/>
      <c r="AI573" s="123"/>
      <c r="AJ573" s="87"/>
      <c r="AK573" s="87"/>
      <c r="AL573" s="87"/>
    </row>
    <row r="574">
      <c r="A574" s="302"/>
      <c r="B574" s="265"/>
      <c r="C574" s="147"/>
      <c r="D574" s="123"/>
      <c r="E574" s="265"/>
      <c r="F574" s="265"/>
      <c r="G574" s="265"/>
      <c r="H574" s="266"/>
      <c r="I574" s="265"/>
      <c r="J574" s="123"/>
      <c r="K574" s="123"/>
      <c r="L574" s="123"/>
      <c r="M574" s="123"/>
      <c r="N574" s="123"/>
      <c r="O574" s="123"/>
      <c r="P574" s="121"/>
      <c r="Q574" s="121"/>
      <c r="R574" s="123"/>
      <c r="S574" s="123"/>
      <c r="T574" s="123"/>
      <c r="U574" s="123"/>
      <c r="V574" s="123"/>
      <c r="W574" s="123"/>
      <c r="X574" s="123"/>
      <c r="Y574" s="123"/>
      <c r="Z574" s="123"/>
      <c r="AA574" s="123"/>
      <c r="AB574" s="123"/>
      <c r="AC574" s="123"/>
      <c r="AD574" s="123"/>
      <c r="AE574" s="123"/>
      <c r="AF574" s="123"/>
      <c r="AG574" s="123"/>
      <c r="AH574" s="123"/>
      <c r="AI574" s="123"/>
      <c r="AJ574" s="87"/>
      <c r="AK574" s="87"/>
      <c r="AL574" s="87"/>
    </row>
    <row r="575">
      <c r="A575" s="302"/>
      <c r="B575" s="265"/>
      <c r="C575" s="147"/>
      <c r="D575" s="123"/>
      <c r="E575" s="265"/>
      <c r="F575" s="265"/>
      <c r="G575" s="265"/>
      <c r="H575" s="266"/>
      <c r="I575" s="265"/>
      <c r="J575" s="123"/>
      <c r="K575" s="123"/>
      <c r="L575" s="123"/>
      <c r="M575" s="123"/>
      <c r="N575" s="123"/>
      <c r="O575" s="123"/>
      <c r="P575" s="121"/>
      <c r="Q575" s="121"/>
      <c r="R575" s="123"/>
      <c r="S575" s="123"/>
      <c r="T575" s="123"/>
      <c r="U575" s="123"/>
      <c r="V575" s="123"/>
      <c r="W575" s="123"/>
      <c r="X575" s="123"/>
      <c r="Y575" s="123"/>
      <c r="Z575" s="123"/>
      <c r="AA575" s="123"/>
      <c r="AB575" s="123"/>
      <c r="AC575" s="123"/>
      <c r="AD575" s="123"/>
      <c r="AE575" s="123"/>
      <c r="AF575" s="123"/>
      <c r="AG575" s="123"/>
      <c r="AH575" s="123"/>
      <c r="AI575" s="123"/>
      <c r="AJ575" s="87"/>
      <c r="AK575" s="87"/>
      <c r="AL575" s="87"/>
    </row>
    <row r="576">
      <c r="A576" s="302"/>
      <c r="B576" s="265"/>
      <c r="C576" s="147"/>
      <c r="D576" s="123"/>
      <c r="E576" s="265"/>
      <c r="F576" s="265"/>
      <c r="G576" s="265"/>
      <c r="H576" s="266"/>
      <c r="I576" s="265"/>
      <c r="J576" s="123"/>
      <c r="K576" s="123"/>
      <c r="L576" s="123"/>
      <c r="M576" s="123"/>
      <c r="N576" s="123"/>
      <c r="O576" s="123"/>
      <c r="P576" s="121"/>
      <c r="Q576" s="121"/>
      <c r="R576" s="123"/>
      <c r="S576" s="123"/>
      <c r="T576" s="123"/>
      <c r="U576" s="123"/>
      <c r="V576" s="123"/>
      <c r="W576" s="123"/>
      <c r="X576" s="123"/>
      <c r="Y576" s="123"/>
      <c r="Z576" s="123"/>
      <c r="AA576" s="123"/>
      <c r="AB576" s="123"/>
      <c r="AC576" s="123"/>
      <c r="AD576" s="123"/>
      <c r="AE576" s="123"/>
      <c r="AF576" s="123"/>
      <c r="AG576" s="123"/>
      <c r="AH576" s="123"/>
      <c r="AI576" s="123"/>
      <c r="AJ576" s="87"/>
      <c r="AK576" s="87"/>
      <c r="AL576" s="87"/>
    </row>
    <row r="577">
      <c r="A577" s="302"/>
      <c r="B577" s="265"/>
      <c r="C577" s="147"/>
      <c r="D577" s="123"/>
      <c r="E577" s="265"/>
      <c r="F577" s="265"/>
      <c r="G577" s="265"/>
      <c r="H577" s="266"/>
      <c r="I577" s="265"/>
      <c r="J577" s="123"/>
      <c r="K577" s="123"/>
      <c r="L577" s="123"/>
      <c r="M577" s="123"/>
      <c r="N577" s="123"/>
      <c r="O577" s="123"/>
      <c r="P577" s="121"/>
      <c r="Q577" s="121"/>
      <c r="R577" s="123"/>
      <c r="S577" s="123"/>
      <c r="T577" s="123"/>
      <c r="U577" s="123"/>
      <c r="V577" s="123"/>
      <c r="W577" s="123"/>
      <c r="X577" s="123"/>
      <c r="Y577" s="123"/>
      <c r="Z577" s="123"/>
      <c r="AA577" s="123"/>
      <c r="AB577" s="123"/>
      <c r="AC577" s="123"/>
      <c r="AD577" s="123"/>
      <c r="AE577" s="123"/>
      <c r="AF577" s="123"/>
      <c r="AG577" s="123"/>
      <c r="AH577" s="123"/>
      <c r="AI577" s="123"/>
      <c r="AJ577" s="87"/>
      <c r="AK577" s="87"/>
      <c r="AL577" s="87"/>
    </row>
    <row r="578">
      <c r="A578" s="302"/>
      <c r="B578" s="265"/>
      <c r="C578" s="147"/>
      <c r="D578" s="123"/>
      <c r="E578" s="265"/>
      <c r="F578" s="265"/>
      <c r="G578" s="265"/>
      <c r="H578" s="266"/>
      <c r="I578" s="265"/>
      <c r="J578" s="123"/>
      <c r="K578" s="123"/>
      <c r="L578" s="123"/>
      <c r="M578" s="123"/>
      <c r="N578" s="123"/>
      <c r="O578" s="123"/>
      <c r="P578" s="121"/>
      <c r="Q578" s="121"/>
      <c r="R578" s="123"/>
      <c r="S578" s="123"/>
      <c r="T578" s="123"/>
      <c r="U578" s="123"/>
      <c r="V578" s="123"/>
      <c r="W578" s="123"/>
      <c r="X578" s="123"/>
      <c r="Y578" s="123"/>
      <c r="Z578" s="123"/>
      <c r="AA578" s="123"/>
      <c r="AB578" s="123"/>
      <c r="AC578" s="123"/>
      <c r="AD578" s="123"/>
      <c r="AE578" s="123"/>
      <c r="AF578" s="123"/>
      <c r="AG578" s="123"/>
      <c r="AH578" s="123"/>
      <c r="AI578" s="123"/>
      <c r="AJ578" s="87"/>
      <c r="AK578" s="87"/>
      <c r="AL578" s="87"/>
    </row>
    <row r="579">
      <c r="A579" s="302"/>
      <c r="B579" s="265"/>
      <c r="C579" s="147"/>
      <c r="D579" s="123"/>
      <c r="E579" s="265"/>
      <c r="F579" s="265"/>
      <c r="G579" s="265"/>
      <c r="H579" s="266"/>
      <c r="I579" s="265"/>
      <c r="J579" s="123"/>
      <c r="K579" s="123"/>
      <c r="L579" s="123"/>
      <c r="M579" s="123"/>
      <c r="N579" s="123"/>
      <c r="O579" s="123"/>
      <c r="P579" s="121"/>
      <c r="Q579" s="121"/>
      <c r="R579" s="123"/>
      <c r="S579" s="123"/>
      <c r="T579" s="123"/>
      <c r="U579" s="123"/>
      <c r="V579" s="123"/>
      <c r="W579" s="123"/>
      <c r="X579" s="123"/>
      <c r="Y579" s="123"/>
      <c r="Z579" s="123"/>
      <c r="AA579" s="123"/>
      <c r="AB579" s="123"/>
      <c r="AC579" s="123"/>
      <c r="AD579" s="123"/>
      <c r="AE579" s="123"/>
      <c r="AF579" s="123"/>
      <c r="AG579" s="123"/>
      <c r="AH579" s="123"/>
      <c r="AI579" s="123"/>
      <c r="AJ579" s="87"/>
      <c r="AK579" s="87"/>
      <c r="AL579" s="87"/>
    </row>
    <row r="580">
      <c r="A580" s="302"/>
      <c r="B580" s="265"/>
      <c r="C580" s="147"/>
      <c r="D580" s="123"/>
      <c r="E580" s="265"/>
      <c r="F580" s="265"/>
      <c r="G580" s="265"/>
      <c r="H580" s="266"/>
      <c r="I580" s="265"/>
      <c r="J580" s="123"/>
      <c r="K580" s="123"/>
      <c r="L580" s="123"/>
      <c r="M580" s="123"/>
      <c r="N580" s="123"/>
      <c r="O580" s="123"/>
      <c r="P580" s="121"/>
      <c r="Q580" s="121"/>
      <c r="R580" s="123"/>
      <c r="S580" s="123"/>
      <c r="T580" s="123"/>
      <c r="U580" s="123"/>
      <c r="V580" s="123"/>
      <c r="W580" s="123"/>
      <c r="X580" s="123"/>
      <c r="Y580" s="123"/>
      <c r="Z580" s="123"/>
      <c r="AA580" s="123"/>
      <c r="AB580" s="123"/>
      <c r="AC580" s="123"/>
      <c r="AD580" s="123"/>
      <c r="AE580" s="123"/>
      <c r="AF580" s="123"/>
      <c r="AG580" s="123"/>
      <c r="AH580" s="123"/>
      <c r="AI580" s="123"/>
      <c r="AJ580" s="87"/>
      <c r="AK580" s="87"/>
      <c r="AL580" s="87"/>
    </row>
    <row r="581">
      <c r="A581" s="302"/>
      <c r="B581" s="265"/>
      <c r="C581" s="147"/>
      <c r="D581" s="123"/>
      <c r="E581" s="265"/>
      <c r="F581" s="265"/>
      <c r="G581" s="265"/>
      <c r="H581" s="266"/>
      <c r="I581" s="265"/>
      <c r="J581" s="123"/>
      <c r="K581" s="123"/>
      <c r="L581" s="123"/>
      <c r="M581" s="123"/>
      <c r="N581" s="123"/>
      <c r="O581" s="123"/>
      <c r="P581" s="121"/>
      <c r="Q581" s="121"/>
      <c r="R581" s="123"/>
      <c r="S581" s="123"/>
      <c r="T581" s="123"/>
      <c r="U581" s="123"/>
      <c r="V581" s="123"/>
      <c r="W581" s="123"/>
      <c r="X581" s="123"/>
      <c r="Y581" s="123"/>
      <c r="Z581" s="123"/>
      <c r="AA581" s="123"/>
      <c r="AB581" s="123"/>
      <c r="AC581" s="123"/>
      <c r="AD581" s="123"/>
      <c r="AE581" s="123"/>
      <c r="AF581" s="123"/>
      <c r="AG581" s="123"/>
      <c r="AH581" s="123"/>
      <c r="AI581" s="123"/>
      <c r="AJ581" s="87"/>
      <c r="AK581" s="87"/>
      <c r="AL581" s="87"/>
    </row>
    <row r="582">
      <c r="A582" s="90"/>
      <c r="B582" s="259"/>
      <c r="C582" s="259"/>
      <c r="D582" s="259"/>
      <c r="E582" s="102"/>
      <c r="F582" s="102"/>
      <c r="G582" s="102"/>
      <c r="H582" s="260"/>
      <c r="I582" s="259"/>
      <c r="J582" s="115"/>
      <c r="K582" s="115"/>
      <c r="L582" s="77"/>
      <c r="M582" s="115"/>
      <c r="N582" s="77"/>
      <c r="O582" s="77"/>
      <c r="P582" s="268"/>
      <c r="Q582" s="268"/>
      <c r="R582" s="77"/>
      <c r="S582" s="77"/>
      <c r="T582" s="77"/>
      <c r="U582" s="77"/>
      <c r="V582" s="115"/>
      <c r="W582" s="115"/>
      <c r="X582" s="115"/>
      <c r="Y582" s="115"/>
      <c r="Z582" s="115"/>
      <c r="AA582" s="115"/>
      <c r="AB582" s="261"/>
      <c r="AC582" s="77"/>
      <c r="AD582" s="115"/>
      <c r="AE582" s="77"/>
      <c r="AF582" s="77"/>
      <c r="AG582" s="77"/>
      <c r="AH582" s="87"/>
      <c r="AI582" s="87"/>
      <c r="AJ582" s="87"/>
      <c r="AK582" s="87"/>
      <c r="AL582" s="87"/>
    </row>
    <row r="583">
      <c r="A583" s="302"/>
      <c r="B583" s="123"/>
      <c r="C583" s="147"/>
      <c r="D583" s="265"/>
      <c r="E583" s="265"/>
      <c r="F583" s="265"/>
      <c r="G583" s="265"/>
      <c r="H583" s="266"/>
      <c r="I583" s="265"/>
      <c r="J583" s="123"/>
      <c r="K583" s="123"/>
      <c r="L583" s="123"/>
      <c r="M583" s="123"/>
      <c r="N583" s="123"/>
      <c r="O583" s="123"/>
      <c r="P583" s="121"/>
      <c r="Q583" s="121"/>
      <c r="R583" s="123"/>
      <c r="S583" s="123"/>
      <c r="T583" s="123"/>
      <c r="U583" s="123"/>
      <c r="V583" s="123"/>
      <c r="W583" s="123"/>
      <c r="X583" s="123"/>
      <c r="Y583" s="123"/>
      <c r="Z583" s="123"/>
      <c r="AA583" s="123"/>
      <c r="AB583" s="123"/>
      <c r="AC583" s="123"/>
      <c r="AD583" s="123"/>
      <c r="AE583" s="123"/>
      <c r="AF583" s="123"/>
      <c r="AG583" s="123"/>
      <c r="AH583" s="123"/>
      <c r="AI583" s="123"/>
      <c r="AJ583" s="87"/>
      <c r="AK583" s="87"/>
      <c r="AL583" s="87"/>
    </row>
    <row r="584">
      <c r="A584" s="302"/>
      <c r="B584" s="123"/>
      <c r="C584" s="147"/>
      <c r="D584" s="265"/>
      <c r="E584" s="265"/>
      <c r="F584" s="265"/>
      <c r="G584" s="265"/>
      <c r="H584" s="266"/>
      <c r="I584" s="265"/>
      <c r="J584" s="123"/>
      <c r="K584" s="123"/>
      <c r="L584" s="123"/>
      <c r="M584" s="123"/>
      <c r="N584" s="123"/>
      <c r="O584" s="123"/>
      <c r="P584" s="121"/>
      <c r="Q584" s="121"/>
      <c r="R584" s="123"/>
      <c r="S584" s="123"/>
      <c r="T584" s="123"/>
      <c r="U584" s="123"/>
      <c r="V584" s="123"/>
      <c r="W584" s="123"/>
      <c r="X584" s="123"/>
      <c r="Y584" s="123"/>
      <c r="Z584" s="123"/>
      <c r="AA584" s="123"/>
      <c r="AB584" s="123"/>
      <c r="AC584" s="123"/>
      <c r="AD584" s="123"/>
      <c r="AE584" s="123"/>
      <c r="AF584" s="123"/>
      <c r="AG584" s="123"/>
      <c r="AH584" s="123"/>
      <c r="AI584" s="123"/>
      <c r="AJ584" s="87"/>
      <c r="AK584" s="87"/>
      <c r="AL584" s="87"/>
    </row>
    <row r="585">
      <c r="A585" s="302"/>
      <c r="B585" s="123"/>
      <c r="C585" s="147"/>
      <c r="D585" s="265"/>
      <c r="E585" s="265"/>
      <c r="F585" s="265"/>
      <c r="G585" s="265"/>
      <c r="H585" s="266"/>
      <c r="I585" s="265"/>
      <c r="J585" s="123"/>
      <c r="K585" s="123"/>
      <c r="L585" s="123"/>
      <c r="M585" s="123"/>
      <c r="N585" s="123"/>
      <c r="O585" s="123"/>
      <c r="P585" s="121"/>
      <c r="Q585" s="121"/>
      <c r="R585" s="123"/>
      <c r="S585" s="123"/>
      <c r="T585" s="123"/>
      <c r="U585" s="123"/>
      <c r="V585" s="123"/>
      <c r="W585" s="123"/>
      <c r="X585" s="123"/>
      <c r="Y585" s="123"/>
      <c r="Z585" s="123"/>
      <c r="AA585" s="123"/>
      <c r="AB585" s="123"/>
      <c r="AC585" s="123"/>
      <c r="AD585" s="123"/>
      <c r="AE585" s="123"/>
      <c r="AF585" s="123"/>
      <c r="AG585" s="123"/>
      <c r="AH585" s="123"/>
      <c r="AI585" s="123"/>
      <c r="AJ585" s="87"/>
      <c r="AK585" s="87"/>
      <c r="AL585" s="87"/>
    </row>
    <row r="586">
      <c r="A586" s="302"/>
      <c r="B586" s="123"/>
      <c r="C586" s="147"/>
      <c r="D586" s="265"/>
      <c r="E586" s="265"/>
      <c r="F586" s="265"/>
      <c r="G586" s="265"/>
      <c r="H586" s="266"/>
      <c r="I586" s="265"/>
      <c r="J586" s="123"/>
      <c r="K586" s="123"/>
      <c r="L586" s="123"/>
      <c r="M586" s="123"/>
      <c r="N586" s="123"/>
      <c r="O586" s="123"/>
      <c r="P586" s="121"/>
      <c r="Q586" s="121"/>
      <c r="R586" s="123"/>
      <c r="S586" s="123"/>
      <c r="T586" s="123"/>
      <c r="U586" s="123"/>
      <c r="V586" s="123"/>
      <c r="W586" s="123"/>
      <c r="X586" s="123"/>
      <c r="Y586" s="123"/>
      <c r="Z586" s="123"/>
      <c r="AA586" s="123"/>
      <c r="AB586" s="123"/>
      <c r="AC586" s="123"/>
      <c r="AD586" s="123"/>
      <c r="AE586" s="123"/>
      <c r="AF586" s="123"/>
      <c r="AG586" s="123"/>
      <c r="AH586" s="123"/>
      <c r="AI586" s="123"/>
      <c r="AJ586" s="87"/>
      <c r="AK586" s="87"/>
      <c r="AL586" s="87"/>
    </row>
    <row r="587">
      <c r="A587" s="302"/>
      <c r="B587" s="123"/>
      <c r="C587" s="147"/>
      <c r="D587" s="265"/>
      <c r="E587" s="265"/>
      <c r="F587" s="265"/>
      <c r="G587" s="265"/>
      <c r="H587" s="266"/>
      <c r="I587" s="265"/>
      <c r="J587" s="123"/>
      <c r="K587" s="123"/>
      <c r="L587" s="123"/>
      <c r="M587" s="123"/>
      <c r="N587" s="123"/>
      <c r="O587" s="123"/>
      <c r="P587" s="121"/>
      <c r="Q587" s="121"/>
      <c r="R587" s="123"/>
      <c r="S587" s="123"/>
      <c r="T587" s="123"/>
      <c r="U587" s="123"/>
      <c r="V587" s="123"/>
      <c r="W587" s="123"/>
      <c r="X587" s="123"/>
      <c r="Y587" s="123"/>
      <c r="Z587" s="123"/>
      <c r="AA587" s="123"/>
      <c r="AB587" s="123"/>
      <c r="AC587" s="123"/>
      <c r="AD587" s="123"/>
      <c r="AE587" s="123"/>
      <c r="AF587" s="123"/>
      <c r="AG587" s="123"/>
      <c r="AH587" s="123"/>
      <c r="AI587" s="123"/>
      <c r="AJ587" s="87"/>
      <c r="AK587" s="87"/>
      <c r="AL587" s="87"/>
    </row>
    <row r="588">
      <c r="A588" s="302"/>
      <c r="B588" s="123"/>
      <c r="C588" s="147"/>
      <c r="D588" s="265"/>
      <c r="E588" s="265"/>
      <c r="F588" s="265"/>
      <c r="G588" s="265"/>
      <c r="H588" s="266"/>
      <c r="I588" s="265"/>
      <c r="J588" s="123"/>
      <c r="K588" s="123"/>
      <c r="L588" s="123"/>
      <c r="M588" s="123"/>
      <c r="N588" s="123"/>
      <c r="O588" s="123"/>
      <c r="P588" s="121"/>
      <c r="Q588" s="121"/>
      <c r="R588" s="123"/>
      <c r="S588" s="123"/>
      <c r="T588" s="123"/>
      <c r="U588" s="123"/>
      <c r="V588" s="123"/>
      <c r="W588" s="123"/>
      <c r="X588" s="123"/>
      <c r="Y588" s="123"/>
      <c r="Z588" s="123"/>
      <c r="AA588" s="123"/>
      <c r="AB588" s="123"/>
      <c r="AC588" s="123"/>
      <c r="AD588" s="123"/>
      <c r="AE588" s="123"/>
      <c r="AF588" s="123"/>
      <c r="AG588" s="123"/>
      <c r="AH588" s="123"/>
      <c r="AI588" s="123"/>
      <c r="AJ588" s="87"/>
      <c r="AK588" s="87"/>
      <c r="AL588" s="87"/>
    </row>
    <row r="589">
      <c r="A589" s="302"/>
      <c r="B589" s="123"/>
      <c r="C589" s="147"/>
      <c r="D589" s="265"/>
      <c r="E589" s="265"/>
      <c r="F589" s="265"/>
      <c r="G589" s="265"/>
      <c r="H589" s="266"/>
      <c r="I589" s="265"/>
      <c r="J589" s="123"/>
      <c r="K589" s="123"/>
      <c r="L589" s="123"/>
      <c r="M589" s="123"/>
      <c r="N589" s="123"/>
      <c r="O589" s="123"/>
      <c r="P589" s="121"/>
      <c r="Q589" s="121"/>
      <c r="R589" s="123"/>
      <c r="S589" s="123"/>
      <c r="T589" s="123"/>
      <c r="U589" s="123"/>
      <c r="V589" s="123"/>
      <c r="W589" s="123"/>
      <c r="X589" s="123"/>
      <c r="Y589" s="123"/>
      <c r="Z589" s="123"/>
      <c r="AA589" s="123"/>
      <c r="AB589" s="123"/>
      <c r="AC589" s="123"/>
      <c r="AD589" s="123"/>
      <c r="AE589" s="123"/>
      <c r="AF589" s="123"/>
      <c r="AG589" s="123"/>
      <c r="AH589" s="123"/>
      <c r="AI589" s="123"/>
      <c r="AJ589" s="87"/>
      <c r="AK589" s="87"/>
      <c r="AL589" s="87"/>
    </row>
    <row r="590">
      <c r="A590" s="302"/>
      <c r="B590" s="123"/>
      <c r="C590" s="147"/>
      <c r="D590" s="265"/>
      <c r="E590" s="265"/>
      <c r="F590" s="265"/>
      <c r="G590" s="265"/>
      <c r="H590" s="266"/>
      <c r="I590" s="265"/>
      <c r="J590" s="123"/>
      <c r="K590" s="123"/>
      <c r="L590" s="123"/>
      <c r="M590" s="123"/>
      <c r="N590" s="123"/>
      <c r="O590" s="123"/>
      <c r="P590" s="121"/>
      <c r="Q590" s="121"/>
      <c r="R590" s="123"/>
      <c r="S590" s="123"/>
      <c r="T590" s="123"/>
      <c r="U590" s="123"/>
      <c r="V590" s="123"/>
      <c r="W590" s="123"/>
      <c r="X590" s="123"/>
      <c r="Y590" s="123"/>
      <c r="Z590" s="123"/>
      <c r="AA590" s="123"/>
      <c r="AB590" s="123"/>
      <c r="AC590" s="123"/>
      <c r="AD590" s="123"/>
      <c r="AE590" s="123"/>
      <c r="AF590" s="123"/>
      <c r="AG590" s="123"/>
      <c r="AH590" s="123"/>
      <c r="AI590" s="123"/>
      <c r="AJ590" s="87"/>
      <c r="AK590" s="87"/>
      <c r="AL590" s="87"/>
    </row>
    <row r="591">
      <c r="A591" s="302"/>
      <c r="B591" s="123"/>
      <c r="C591" s="147"/>
      <c r="D591" s="265"/>
      <c r="E591" s="265"/>
      <c r="F591" s="265"/>
      <c r="G591" s="265"/>
      <c r="H591" s="266"/>
      <c r="I591" s="265"/>
      <c r="J591" s="123"/>
      <c r="K591" s="123"/>
      <c r="L591" s="123"/>
      <c r="M591" s="123"/>
      <c r="N591" s="123"/>
      <c r="O591" s="123"/>
      <c r="P591" s="121"/>
      <c r="Q591" s="121"/>
      <c r="R591" s="123"/>
      <c r="S591" s="123"/>
      <c r="T591" s="123"/>
      <c r="U591" s="123"/>
      <c r="V591" s="123"/>
      <c r="W591" s="123"/>
      <c r="X591" s="123"/>
      <c r="Y591" s="123"/>
      <c r="Z591" s="123"/>
      <c r="AA591" s="123"/>
      <c r="AB591" s="123"/>
      <c r="AC591" s="123"/>
      <c r="AD591" s="123"/>
      <c r="AE591" s="123"/>
      <c r="AF591" s="123"/>
      <c r="AG591" s="123"/>
      <c r="AH591" s="123"/>
      <c r="AI591" s="123"/>
      <c r="AJ591" s="87"/>
      <c r="AK591" s="87"/>
      <c r="AL591" s="87"/>
    </row>
    <row r="592">
      <c r="A592" s="302"/>
      <c r="B592" s="123"/>
      <c r="C592" s="147"/>
      <c r="D592" s="265"/>
      <c r="E592" s="265"/>
      <c r="F592" s="265"/>
      <c r="G592" s="265"/>
      <c r="H592" s="266"/>
      <c r="I592" s="265"/>
      <c r="J592" s="123"/>
      <c r="K592" s="123"/>
      <c r="L592" s="123"/>
      <c r="M592" s="123"/>
      <c r="N592" s="123"/>
      <c r="O592" s="123"/>
      <c r="P592" s="121"/>
      <c r="Q592" s="121"/>
      <c r="R592" s="123"/>
      <c r="S592" s="123"/>
      <c r="T592" s="123"/>
      <c r="U592" s="123"/>
      <c r="V592" s="123"/>
      <c r="W592" s="123"/>
      <c r="X592" s="123"/>
      <c r="Y592" s="123"/>
      <c r="Z592" s="123"/>
      <c r="AA592" s="123"/>
      <c r="AB592" s="123"/>
      <c r="AC592" s="123"/>
      <c r="AD592" s="123"/>
      <c r="AE592" s="123"/>
      <c r="AF592" s="123"/>
      <c r="AG592" s="123"/>
      <c r="AH592" s="123"/>
      <c r="AI592" s="123"/>
      <c r="AJ592" s="87"/>
      <c r="AK592" s="87"/>
      <c r="AL592" s="87"/>
    </row>
    <row r="593">
      <c r="A593" s="302"/>
      <c r="B593" s="123"/>
      <c r="C593" s="147"/>
      <c r="D593" s="265"/>
      <c r="E593" s="265"/>
      <c r="F593" s="265"/>
      <c r="G593" s="265"/>
      <c r="H593" s="266"/>
      <c r="I593" s="265"/>
      <c r="J593" s="123"/>
      <c r="K593" s="123"/>
      <c r="L593" s="123"/>
      <c r="M593" s="123"/>
      <c r="N593" s="123"/>
      <c r="O593" s="123"/>
      <c r="P593" s="121"/>
      <c r="Q593" s="121"/>
      <c r="R593" s="123"/>
      <c r="S593" s="123"/>
      <c r="T593" s="123"/>
      <c r="U593" s="123"/>
      <c r="V593" s="123"/>
      <c r="W593" s="123"/>
      <c r="X593" s="123"/>
      <c r="Y593" s="123"/>
      <c r="Z593" s="123"/>
      <c r="AA593" s="123"/>
      <c r="AB593" s="123"/>
      <c r="AC593" s="123"/>
      <c r="AD593" s="123"/>
      <c r="AE593" s="123"/>
      <c r="AF593" s="123"/>
      <c r="AG593" s="123"/>
      <c r="AH593" s="123"/>
      <c r="AI593" s="123"/>
      <c r="AJ593" s="87"/>
      <c r="AK593" s="87"/>
      <c r="AL593" s="87"/>
    </row>
    <row r="594">
      <c r="A594" s="302"/>
      <c r="B594" s="123"/>
      <c r="C594" s="147"/>
      <c r="D594" s="265"/>
      <c r="E594" s="265"/>
      <c r="F594" s="265"/>
      <c r="G594" s="265"/>
      <c r="H594" s="266"/>
      <c r="I594" s="265"/>
      <c r="J594" s="123"/>
      <c r="K594" s="123"/>
      <c r="L594" s="123"/>
      <c r="M594" s="123"/>
      <c r="N594" s="123"/>
      <c r="O594" s="123"/>
      <c r="P594" s="121"/>
      <c r="Q594" s="121"/>
      <c r="R594" s="123"/>
      <c r="S594" s="123"/>
      <c r="T594" s="123"/>
      <c r="U594" s="123"/>
      <c r="V594" s="123"/>
      <c r="W594" s="123"/>
      <c r="X594" s="123"/>
      <c r="Y594" s="123"/>
      <c r="Z594" s="123"/>
      <c r="AA594" s="123"/>
      <c r="AB594" s="123"/>
      <c r="AC594" s="123"/>
      <c r="AD594" s="123"/>
      <c r="AE594" s="123"/>
      <c r="AF594" s="123"/>
      <c r="AG594" s="123"/>
      <c r="AH594" s="123"/>
      <c r="AI594" s="123"/>
      <c r="AJ594" s="87"/>
      <c r="AK594" s="87"/>
      <c r="AL594" s="87"/>
    </row>
    <row r="595">
      <c r="A595" s="302"/>
      <c r="B595" s="123"/>
      <c r="C595" s="147"/>
      <c r="D595" s="265"/>
      <c r="E595" s="265"/>
      <c r="F595" s="265"/>
      <c r="G595" s="265"/>
      <c r="H595" s="266"/>
      <c r="I595" s="265"/>
      <c r="J595" s="123"/>
      <c r="K595" s="123"/>
      <c r="L595" s="123"/>
      <c r="M595" s="123"/>
      <c r="N595" s="123"/>
      <c r="O595" s="123"/>
      <c r="P595" s="121"/>
      <c r="Q595" s="121"/>
      <c r="R595" s="123"/>
      <c r="S595" s="123"/>
      <c r="T595" s="123"/>
      <c r="U595" s="123"/>
      <c r="V595" s="123"/>
      <c r="W595" s="123"/>
      <c r="X595" s="123"/>
      <c r="Y595" s="123"/>
      <c r="Z595" s="123"/>
      <c r="AA595" s="123"/>
      <c r="AB595" s="123"/>
      <c r="AC595" s="123"/>
      <c r="AD595" s="123"/>
      <c r="AE595" s="123"/>
      <c r="AF595" s="123"/>
      <c r="AG595" s="123"/>
      <c r="AH595" s="123"/>
      <c r="AI595" s="123"/>
      <c r="AJ595" s="87"/>
      <c r="AK595" s="87"/>
      <c r="AL595" s="87"/>
    </row>
    <row r="596">
      <c r="A596" s="302"/>
      <c r="B596" s="123"/>
      <c r="C596" s="147"/>
      <c r="D596" s="265"/>
      <c r="E596" s="265"/>
      <c r="F596" s="265"/>
      <c r="G596" s="265"/>
      <c r="H596" s="266"/>
      <c r="I596" s="265"/>
      <c r="J596" s="123"/>
      <c r="K596" s="123"/>
      <c r="L596" s="123"/>
      <c r="M596" s="123"/>
      <c r="N596" s="123"/>
      <c r="O596" s="123"/>
      <c r="P596" s="121"/>
      <c r="Q596" s="121"/>
      <c r="R596" s="123"/>
      <c r="S596" s="123"/>
      <c r="T596" s="123"/>
      <c r="U596" s="123"/>
      <c r="V596" s="123"/>
      <c r="W596" s="123"/>
      <c r="X596" s="123"/>
      <c r="Y596" s="123"/>
      <c r="Z596" s="123"/>
      <c r="AA596" s="123"/>
      <c r="AB596" s="123"/>
      <c r="AC596" s="123"/>
      <c r="AD596" s="123"/>
      <c r="AE596" s="123"/>
      <c r="AF596" s="123"/>
      <c r="AG596" s="123"/>
      <c r="AH596" s="123"/>
      <c r="AI596" s="123"/>
      <c r="AJ596" s="87"/>
      <c r="AK596" s="87"/>
      <c r="AL596" s="87"/>
    </row>
    <row r="597">
      <c r="A597" s="302"/>
      <c r="B597" s="123"/>
      <c r="C597" s="147"/>
      <c r="D597" s="265"/>
      <c r="E597" s="265"/>
      <c r="F597" s="265"/>
      <c r="G597" s="265"/>
      <c r="H597" s="266"/>
      <c r="I597" s="265"/>
      <c r="J597" s="123"/>
      <c r="K597" s="123"/>
      <c r="L597" s="123"/>
      <c r="M597" s="123"/>
      <c r="N597" s="123"/>
      <c r="O597" s="123"/>
      <c r="P597" s="121"/>
      <c r="Q597" s="121"/>
      <c r="R597" s="123"/>
      <c r="S597" s="123"/>
      <c r="T597" s="123"/>
      <c r="U597" s="123"/>
      <c r="V597" s="123"/>
      <c r="W597" s="123"/>
      <c r="X597" s="123"/>
      <c r="Y597" s="123"/>
      <c r="Z597" s="123"/>
      <c r="AA597" s="123"/>
      <c r="AB597" s="123"/>
      <c r="AC597" s="123"/>
      <c r="AD597" s="123"/>
      <c r="AE597" s="123"/>
      <c r="AF597" s="123"/>
      <c r="AG597" s="123"/>
      <c r="AH597" s="123"/>
      <c r="AI597" s="123"/>
      <c r="AJ597" s="87"/>
      <c r="AK597" s="87"/>
      <c r="AL597" s="87"/>
    </row>
    <row r="598">
      <c r="A598" s="90"/>
      <c r="B598" s="259"/>
      <c r="C598" s="259"/>
      <c r="D598" s="259"/>
      <c r="E598" s="259"/>
      <c r="F598" s="102"/>
      <c r="G598" s="102"/>
      <c r="H598" s="260"/>
      <c r="I598" s="259"/>
      <c r="J598" s="77"/>
      <c r="K598" s="115"/>
      <c r="L598" s="77"/>
      <c r="M598" s="77"/>
      <c r="N598" s="77"/>
      <c r="O598" s="77"/>
      <c r="P598" s="71"/>
      <c r="Q598" s="71"/>
      <c r="R598" s="77"/>
      <c r="S598" s="77"/>
      <c r="T598" s="77"/>
      <c r="U598" s="77"/>
      <c r="V598" s="115"/>
      <c r="W598" s="115"/>
      <c r="X598" s="115"/>
      <c r="Y598" s="77"/>
      <c r="Z598" s="115"/>
      <c r="AA598" s="115"/>
      <c r="AB598" s="261"/>
      <c r="AC598" s="77"/>
      <c r="AD598" s="115"/>
      <c r="AE598" s="77"/>
      <c r="AF598" s="77"/>
      <c r="AG598" s="77"/>
      <c r="AH598" s="77"/>
      <c r="AI598" s="77"/>
      <c r="AJ598" s="87"/>
      <c r="AK598" s="87"/>
      <c r="AL598" s="87"/>
    </row>
    <row r="599">
      <c r="A599" s="302"/>
      <c r="B599" s="265"/>
      <c r="C599" s="147"/>
      <c r="D599" s="265"/>
      <c r="E599" s="265"/>
      <c r="F599" s="265"/>
      <c r="G599" s="265"/>
      <c r="H599" s="266"/>
      <c r="I599" s="265"/>
      <c r="J599" s="123"/>
      <c r="K599" s="123"/>
      <c r="L599" s="123"/>
      <c r="M599" s="123"/>
      <c r="N599" s="123"/>
      <c r="O599" s="123"/>
      <c r="P599" s="121"/>
      <c r="Q599" s="121"/>
      <c r="R599" s="123"/>
      <c r="S599" s="123"/>
      <c r="T599" s="123"/>
      <c r="U599" s="123"/>
      <c r="V599" s="123"/>
      <c r="W599" s="123"/>
      <c r="X599" s="123"/>
      <c r="Y599" s="123"/>
      <c r="Z599" s="123"/>
      <c r="AA599" s="123"/>
      <c r="AB599" s="123"/>
      <c r="AC599" s="123"/>
      <c r="AD599" s="123"/>
      <c r="AE599" s="123"/>
      <c r="AF599" s="123"/>
      <c r="AG599" s="123"/>
      <c r="AH599" s="123"/>
      <c r="AI599" s="123"/>
      <c r="AJ599" s="87"/>
      <c r="AK599" s="87"/>
      <c r="AL599" s="87"/>
    </row>
    <row r="600">
      <c r="A600" s="302"/>
      <c r="B600" s="265"/>
      <c r="C600" s="147"/>
      <c r="D600" s="265"/>
      <c r="E600" s="265"/>
      <c r="F600" s="265"/>
      <c r="G600" s="265"/>
      <c r="H600" s="266"/>
      <c r="I600" s="265"/>
      <c r="J600" s="123"/>
      <c r="K600" s="123"/>
      <c r="L600" s="123"/>
      <c r="M600" s="123"/>
      <c r="N600" s="123"/>
      <c r="O600" s="123"/>
      <c r="P600" s="121"/>
      <c r="Q600" s="121"/>
      <c r="R600" s="123"/>
      <c r="S600" s="123"/>
      <c r="T600" s="123"/>
      <c r="U600" s="123"/>
      <c r="V600" s="123"/>
      <c r="W600" s="123"/>
      <c r="X600" s="123"/>
      <c r="Y600" s="123"/>
      <c r="Z600" s="123"/>
      <c r="AA600" s="123"/>
      <c r="AB600" s="123"/>
      <c r="AC600" s="123"/>
      <c r="AD600" s="123"/>
      <c r="AE600" s="123"/>
      <c r="AF600" s="123"/>
      <c r="AG600" s="123"/>
      <c r="AH600" s="123"/>
      <c r="AI600" s="123"/>
      <c r="AJ600" s="87"/>
      <c r="AK600" s="87"/>
      <c r="AL600" s="87"/>
    </row>
    <row r="601">
      <c r="A601" s="302"/>
      <c r="B601" s="265"/>
      <c r="C601" s="147"/>
      <c r="D601" s="265"/>
      <c r="E601" s="265"/>
      <c r="F601" s="265"/>
      <c r="G601" s="265"/>
      <c r="H601" s="266"/>
      <c r="I601" s="265"/>
      <c r="J601" s="123"/>
      <c r="K601" s="123"/>
      <c r="L601" s="123"/>
      <c r="M601" s="123"/>
      <c r="N601" s="123"/>
      <c r="O601" s="123"/>
      <c r="P601" s="121"/>
      <c r="Q601" s="121"/>
      <c r="R601" s="123"/>
      <c r="S601" s="123"/>
      <c r="T601" s="123"/>
      <c r="U601" s="123"/>
      <c r="V601" s="123"/>
      <c r="W601" s="123"/>
      <c r="X601" s="123"/>
      <c r="Y601" s="123"/>
      <c r="Z601" s="123"/>
      <c r="AA601" s="123"/>
      <c r="AB601" s="123"/>
      <c r="AC601" s="123"/>
      <c r="AD601" s="123"/>
      <c r="AE601" s="123"/>
      <c r="AF601" s="123"/>
      <c r="AG601" s="123"/>
      <c r="AH601" s="123"/>
      <c r="AI601" s="123"/>
      <c r="AJ601" s="87"/>
      <c r="AK601" s="87"/>
      <c r="AL601" s="87"/>
    </row>
    <row r="602">
      <c r="A602" s="302"/>
      <c r="B602" s="265"/>
      <c r="C602" s="147"/>
      <c r="D602" s="265"/>
      <c r="E602" s="265"/>
      <c r="F602" s="265"/>
      <c r="G602" s="265"/>
      <c r="H602" s="266"/>
      <c r="I602" s="265"/>
      <c r="J602" s="123"/>
      <c r="K602" s="123"/>
      <c r="L602" s="123"/>
      <c r="M602" s="123"/>
      <c r="N602" s="123"/>
      <c r="O602" s="123"/>
      <c r="P602" s="121"/>
      <c r="Q602" s="121"/>
      <c r="R602" s="123"/>
      <c r="S602" s="123"/>
      <c r="T602" s="123"/>
      <c r="U602" s="123"/>
      <c r="V602" s="123"/>
      <c r="W602" s="123"/>
      <c r="X602" s="123"/>
      <c r="Y602" s="123"/>
      <c r="Z602" s="123"/>
      <c r="AA602" s="123"/>
      <c r="AB602" s="123"/>
      <c r="AC602" s="123"/>
      <c r="AD602" s="123"/>
      <c r="AE602" s="123"/>
      <c r="AF602" s="123"/>
      <c r="AG602" s="123"/>
      <c r="AH602" s="123"/>
      <c r="AI602" s="123"/>
      <c r="AJ602" s="87"/>
      <c r="AK602" s="87"/>
      <c r="AL602" s="87"/>
    </row>
    <row r="603">
      <c r="A603" s="302"/>
      <c r="B603" s="265"/>
      <c r="C603" s="147"/>
      <c r="D603" s="265"/>
      <c r="E603" s="265"/>
      <c r="F603" s="265"/>
      <c r="G603" s="265"/>
      <c r="H603" s="266"/>
      <c r="I603" s="265"/>
      <c r="J603" s="123"/>
      <c r="K603" s="123"/>
      <c r="L603" s="123"/>
      <c r="M603" s="123"/>
      <c r="N603" s="123"/>
      <c r="O603" s="123"/>
      <c r="P603" s="121"/>
      <c r="Q603" s="121"/>
      <c r="R603" s="123"/>
      <c r="S603" s="123"/>
      <c r="T603" s="123"/>
      <c r="U603" s="123"/>
      <c r="V603" s="123"/>
      <c r="W603" s="123"/>
      <c r="X603" s="123"/>
      <c r="Y603" s="123"/>
      <c r="Z603" s="123"/>
      <c r="AA603" s="123"/>
      <c r="AB603" s="123"/>
      <c r="AC603" s="123"/>
      <c r="AD603" s="123"/>
      <c r="AE603" s="123"/>
      <c r="AF603" s="123"/>
      <c r="AG603" s="123"/>
      <c r="AH603" s="123"/>
      <c r="AI603" s="123"/>
      <c r="AJ603" s="87"/>
      <c r="AK603" s="87"/>
      <c r="AL603" s="87"/>
    </row>
    <row r="604">
      <c r="A604" s="302"/>
      <c r="B604" s="265"/>
      <c r="C604" s="147"/>
      <c r="D604" s="265"/>
      <c r="E604" s="265"/>
      <c r="F604" s="265"/>
      <c r="G604" s="265"/>
      <c r="H604" s="266"/>
      <c r="I604" s="265"/>
      <c r="J604" s="123"/>
      <c r="K604" s="123"/>
      <c r="L604" s="123"/>
      <c r="M604" s="123"/>
      <c r="N604" s="123"/>
      <c r="O604" s="123"/>
      <c r="P604" s="121"/>
      <c r="Q604" s="121"/>
      <c r="R604" s="123"/>
      <c r="S604" s="123"/>
      <c r="T604" s="123"/>
      <c r="U604" s="123"/>
      <c r="V604" s="123"/>
      <c r="W604" s="123"/>
      <c r="X604" s="123"/>
      <c r="Y604" s="123"/>
      <c r="Z604" s="123"/>
      <c r="AA604" s="123"/>
      <c r="AB604" s="123"/>
      <c r="AC604" s="123"/>
      <c r="AD604" s="123"/>
      <c r="AE604" s="123"/>
      <c r="AF604" s="123"/>
      <c r="AG604" s="123"/>
      <c r="AH604" s="123"/>
      <c r="AI604" s="123"/>
      <c r="AJ604" s="87"/>
      <c r="AK604" s="87"/>
      <c r="AL604" s="87"/>
    </row>
    <row r="605">
      <c r="A605" s="302"/>
      <c r="B605" s="265"/>
      <c r="C605" s="147"/>
      <c r="D605" s="265"/>
      <c r="E605" s="265"/>
      <c r="F605" s="265"/>
      <c r="G605" s="265"/>
      <c r="H605" s="266"/>
      <c r="I605" s="265"/>
      <c r="J605" s="123"/>
      <c r="K605" s="123"/>
      <c r="L605" s="123"/>
      <c r="M605" s="123"/>
      <c r="N605" s="123"/>
      <c r="O605" s="123"/>
      <c r="P605" s="121"/>
      <c r="Q605" s="121"/>
      <c r="R605" s="123"/>
      <c r="S605" s="123"/>
      <c r="T605" s="123"/>
      <c r="U605" s="123"/>
      <c r="V605" s="123"/>
      <c r="W605" s="123"/>
      <c r="X605" s="123"/>
      <c r="Y605" s="123"/>
      <c r="Z605" s="123"/>
      <c r="AA605" s="123"/>
      <c r="AB605" s="123"/>
      <c r="AC605" s="123"/>
      <c r="AD605" s="123"/>
      <c r="AE605" s="123"/>
      <c r="AF605" s="123"/>
      <c r="AG605" s="123"/>
      <c r="AH605" s="123"/>
      <c r="AI605" s="123"/>
      <c r="AJ605" s="87"/>
      <c r="AK605" s="87"/>
      <c r="AL605" s="87"/>
    </row>
    <row r="606">
      <c r="A606" s="302"/>
      <c r="B606" s="265"/>
      <c r="C606" s="147"/>
      <c r="D606" s="265"/>
      <c r="E606" s="265"/>
      <c r="F606" s="265"/>
      <c r="G606" s="265"/>
      <c r="H606" s="266"/>
      <c r="I606" s="265"/>
      <c r="J606" s="123"/>
      <c r="K606" s="123"/>
      <c r="L606" s="123"/>
      <c r="M606" s="123"/>
      <c r="N606" s="123"/>
      <c r="O606" s="123"/>
      <c r="P606" s="121"/>
      <c r="Q606" s="121"/>
      <c r="R606" s="123"/>
      <c r="S606" s="123"/>
      <c r="T606" s="123"/>
      <c r="U606" s="123"/>
      <c r="V606" s="123"/>
      <c r="W606" s="123"/>
      <c r="X606" s="123"/>
      <c r="Y606" s="123"/>
      <c r="Z606" s="123"/>
      <c r="AA606" s="123"/>
      <c r="AB606" s="123"/>
      <c r="AC606" s="123"/>
      <c r="AD606" s="123"/>
      <c r="AE606" s="123"/>
      <c r="AF606" s="123"/>
      <c r="AG606" s="123"/>
      <c r="AH606" s="123"/>
      <c r="AI606" s="123"/>
      <c r="AJ606" s="87"/>
      <c r="AK606" s="87"/>
      <c r="AL606" s="87"/>
    </row>
    <row r="607">
      <c r="A607" s="302"/>
      <c r="B607" s="265"/>
      <c r="C607" s="147"/>
      <c r="D607" s="265"/>
      <c r="E607" s="265"/>
      <c r="F607" s="265"/>
      <c r="G607" s="265"/>
      <c r="H607" s="266"/>
      <c r="I607" s="265"/>
      <c r="J607" s="123"/>
      <c r="K607" s="123"/>
      <c r="L607" s="123"/>
      <c r="M607" s="123"/>
      <c r="N607" s="123"/>
      <c r="O607" s="123"/>
      <c r="P607" s="121"/>
      <c r="Q607" s="121"/>
      <c r="R607" s="123"/>
      <c r="S607" s="123"/>
      <c r="T607" s="123"/>
      <c r="U607" s="123"/>
      <c r="V607" s="123"/>
      <c r="W607" s="123"/>
      <c r="X607" s="123"/>
      <c r="Y607" s="123"/>
      <c r="Z607" s="123"/>
      <c r="AA607" s="123"/>
      <c r="AB607" s="123"/>
      <c r="AC607" s="123"/>
      <c r="AD607" s="123"/>
      <c r="AE607" s="123"/>
      <c r="AF607" s="123"/>
      <c r="AG607" s="123"/>
      <c r="AH607" s="123"/>
      <c r="AI607" s="123"/>
      <c r="AJ607" s="87"/>
      <c r="AK607" s="87"/>
      <c r="AL607" s="87"/>
    </row>
    <row r="608">
      <c r="A608" s="302"/>
      <c r="B608" s="265"/>
      <c r="C608" s="147"/>
      <c r="D608" s="265"/>
      <c r="E608" s="265"/>
      <c r="F608" s="265"/>
      <c r="G608" s="265"/>
      <c r="H608" s="266"/>
      <c r="I608" s="265"/>
      <c r="J608" s="123"/>
      <c r="K608" s="123"/>
      <c r="L608" s="123"/>
      <c r="M608" s="123"/>
      <c r="N608" s="123"/>
      <c r="O608" s="123"/>
      <c r="P608" s="121"/>
      <c r="Q608" s="121"/>
      <c r="R608" s="123"/>
      <c r="S608" s="123"/>
      <c r="T608" s="123"/>
      <c r="U608" s="123"/>
      <c r="V608" s="123"/>
      <c r="W608" s="123"/>
      <c r="X608" s="123"/>
      <c r="Y608" s="123"/>
      <c r="Z608" s="123"/>
      <c r="AA608" s="123"/>
      <c r="AB608" s="123"/>
      <c r="AC608" s="123"/>
      <c r="AD608" s="123"/>
      <c r="AE608" s="123"/>
      <c r="AF608" s="123"/>
      <c r="AG608" s="123"/>
      <c r="AH608" s="123"/>
      <c r="AI608" s="123"/>
      <c r="AJ608" s="87"/>
      <c r="AK608" s="87"/>
      <c r="AL608" s="87"/>
    </row>
    <row r="609">
      <c r="A609" s="302"/>
      <c r="B609" s="265"/>
      <c r="C609" s="147"/>
      <c r="D609" s="265"/>
      <c r="E609" s="265"/>
      <c r="F609" s="265"/>
      <c r="G609" s="265"/>
      <c r="H609" s="266"/>
      <c r="I609" s="265"/>
      <c r="J609" s="123"/>
      <c r="K609" s="123"/>
      <c r="L609" s="123"/>
      <c r="M609" s="123"/>
      <c r="N609" s="123"/>
      <c r="O609" s="123"/>
      <c r="P609" s="121"/>
      <c r="Q609" s="121"/>
      <c r="R609" s="123"/>
      <c r="S609" s="123"/>
      <c r="T609" s="123"/>
      <c r="U609" s="123"/>
      <c r="V609" s="123"/>
      <c r="W609" s="123"/>
      <c r="X609" s="123"/>
      <c r="Y609" s="123"/>
      <c r="Z609" s="123"/>
      <c r="AA609" s="123"/>
      <c r="AB609" s="123"/>
      <c r="AC609" s="123"/>
      <c r="AD609" s="123"/>
      <c r="AE609" s="123"/>
      <c r="AF609" s="123"/>
      <c r="AG609" s="123"/>
      <c r="AH609" s="123"/>
      <c r="AI609" s="123"/>
      <c r="AJ609" s="87"/>
      <c r="AK609" s="87"/>
      <c r="AL609" s="87"/>
    </row>
    <row r="610">
      <c r="A610" s="302"/>
      <c r="B610" s="265"/>
      <c r="C610" s="147"/>
      <c r="D610" s="265"/>
      <c r="E610" s="265"/>
      <c r="F610" s="265"/>
      <c r="G610" s="265"/>
      <c r="H610" s="266"/>
      <c r="I610" s="265"/>
      <c r="J610" s="123"/>
      <c r="K610" s="123"/>
      <c r="L610" s="123"/>
      <c r="M610" s="123"/>
      <c r="N610" s="123"/>
      <c r="O610" s="123"/>
      <c r="P610" s="121"/>
      <c r="Q610" s="121"/>
      <c r="R610" s="123"/>
      <c r="S610" s="123"/>
      <c r="T610" s="123"/>
      <c r="U610" s="123"/>
      <c r="V610" s="123"/>
      <c r="W610" s="123"/>
      <c r="X610" s="123"/>
      <c r="Y610" s="123"/>
      <c r="Z610" s="123"/>
      <c r="AA610" s="123"/>
      <c r="AB610" s="123"/>
      <c r="AC610" s="123"/>
      <c r="AD610" s="123"/>
      <c r="AE610" s="123"/>
      <c r="AF610" s="123"/>
      <c r="AG610" s="123"/>
      <c r="AH610" s="123"/>
      <c r="AI610" s="123"/>
      <c r="AJ610" s="87"/>
      <c r="AK610" s="87"/>
      <c r="AL610" s="87"/>
    </row>
    <row r="611">
      <c r="A611" s="302"/>
      <c r="B611" s="265"/>
      <c r="C611" s="147"/>
      <c r="D611" s="265"/>
      <c r="E611" s="265"/>
      <c r="F611" s="265"/>
      <c r="G611" s="265"/>
      <c r="H611" s="266"/>
      <c r="I611" s="265"/>
      <c r="J611" s="123"/>
      <c r="K611" s="123"/>
      <c r="L611" s="123"/>
      <c r="M611" s="123"/>
      <c r="N611" s="123"/>
      <c r="O611" s="123"/>
      <c r="P611" s="121"/>
      <c r="Q611" s="121"/>
      <c r="R611" s="123"/>
      <c r="S611" s="123"/>
      <c r="T611" s="123"/>
      <c r="U611" s="123"/>
      <c r="V611" s="123"/>
      <c r="W611" s="123"/>
      <c r="X611" s="123"/>
      <c r="Y611" s="123"/>
      <c r="Z611" s="123"/>
      <c r="AA611" s="123"/>
      <c r="AB611" s="123"/>
      <c r="AC611" s="123"/>
      <c r="AD611" s="123"/>
      <c r="AE611" s="123"/>
      <c r="AF611" s="123"/>
      <c r="AG611" s="123"/>
      <c r="AH611" s="123"/>
      <c r="AI611" s="123"/>
      <c r="AJ611" s="87"/>
      <c r="AK611" s="87"/>
      <c r="AL611" s="87"/>
    </row>
    <row r="612">
      <c r="A612" s="302"/>
      <c r="B612" s="265"/>
      <c r="C612" s="147"/>
      <c r="D612" s="265"/>
      <c r="E612" s="265"/>
      <c r="F612" s="265"/>
      <c r="G612" s="265"/>
      <c r="H612" s="266"/>
      <c r="I612" s="265"/>
      <c r="J612" s="123"/>
      <c r="K612" s="123"/>
      <c r="L612" s="123"/>
      <c r="M612" s="123"/>
      <c r="N612" s="123"/>
      <c r="O612" s="123"/>
      <c r="P612" s="121"/>
      <c r="Q612" s="121"/>
      <c r="R612" s="123"/>
      <c r="S612" s="123"/>
      <c r="T612" s="123"/>
      <c r="U612" s="123"/>
      <c r="V612" s="123"/>
      <c r="W612" s="123"/>
      <c r="X612" s="123"/>
      <c r="Y612" s="123"/>
      <c r="Z612" s="123"/>
      <c r="AA612" s="123"/>
      <c r="AB612" s="123"/>
      <c r="AC612" s="123"/>
      <c r="AD612" s="123"/>
      <c r="AE612" s="123"/>
      <c r="AF612" s="123"/>
      <c r="AG612" s="123"/>
      <c r="AH612" s="123"/>
      <c r="AI612" s="123"/>
      <c r="AJ612" s="87"/>
      <c r="AK612" s="87"/>
      <c r="AL612" s="87"/>
    </row>
    <row r="613">
      <c r="A613" s="302"/>
      <c r="B613" s="265"/>
      <c r="C613" s="147"/>
      <c r="D613" s="265"/>
      <c r="E613" s="265"/>
      <c r="F613" s="265"/>
      <c r="G613" s="265"/>
      <c r="H613" s="266"/>
      <c r="I613" s="265"/>
      <c r="J613" s="123"/>
      <c r="K613" s="123"/>
      <c r="L613" s="123"/>
      <c r="M613" s="123"/>
      <c r="N613" s="123"/>
      <c r="O613" s="123"/>
      <c r="P613" s="121"/>
      <c r="Q613" s="121"/>
      <c r="R613" s="123"/>
      <c r="S613" s="123"/>
      <c r="T613" s="123"/>
      <c r="U613" s="123"/>
      <c r="V613" s="123"/>
      <c r="W613" s="123"/>
      <c r="X613" s="123"/>
      <c r="Y613" s="123"/>
      <c r="Z613" s="123"/>
      <c r="AA613" s="123"/>
      <c r="AB613" s="123"/>
      <c r="AC613" s="123"/>
      <c r="AD613" s="123"/>
      <c r="AE613" s="123"/>
      <c r="AF613" s="123"/>
      <c r="AG613" s="123"/>
      <c r="AH613" s="123"/>
      <c r="AI613" s="123"/>
      <c r="AJ613" s="87"/>
      <c r="AK613" s="87"/>
      <c r="AL613" s="87"/>
    </row>
    <row r="614">
      <c r="A614" s="90"/>
      <c r="B614" s="259"/>
      <c r="C614" s="259"/>
      <c r="D614" s="259"/>
      <c r="E614" s="102"/>
      <c r="F614" s="102"/>
      <c r="G614" s="102"/>
      <c r="H614" s="260"/>
      <c r="I614" s="259"/>
      <c r="J614" s="77"/>
      <c r="K614" s="115"/>
      <c r="L614" s="77"/>
      <c r="M614" s="77"/>
      <c r="N614" s="77"/>
      <c r="O614" s="77"/>
      <c r="P614" s="71"/>
      <c r="Q614" s="71"/>
      <c r="R614" s="77"/>
      <c r="S614" s="77"/>
      <c r="T614" s="77"/>
      <c r="U614" s="77"/>
      <c r="V614" s="115"/>
      <c r="W614" s="115"/>
      <c r="X614" s="115"/>
      <c r="Y614" s="115"/>
      <c r="Z614" s="115"/>
      <c r="AA614" s="115"/>
      <c r="AB614" s="261"/>
      <c r="AC614" s="77"/>
      <c r="AD614" s="115"/>
      <c r="AE614" s="77"/>
      <c r="AF614" s="77"/>
      <c r="AG614" s="77"/>
      <c r="AH614" s="77"/>
      <c r="AI614" s="77"/>
      <c r="AJ614" s="87"/>
      <c r="AK614" s="87"/>
      <c r="AL614" s="87"/>
    </row>
    <row r="615">
      <c r="A615" s="147"/>
      <c r="B615" s="123"/>
      <c r="C615" s="147"/>
      <c r="D615" s="265"/>
      <c r="E615" s="265"/>
      <c r="F615" s="265"/>
      <c r="G615" s="265"/>
      <c r="H615" s="266"/>
      <c r="I615" s="265"/>
      <c r="J615" s="123"/>
      <c r="K615" s="123"/>
      <c r="L615" s="123"/>
      <c r="M615" s="123"/>
      <c r="N615" s="123"/>
      <c r="O615" s="123"/>
      <c r="P615" s="121"/>
      <c r="Q615" s="121"/>
      <c r="R615" s="123"/>
      <c r="S615" s="123"/>
      <c r="T615" s="123"/>
      <c r="U615" s="123"/>
      <c r="V615" s="123"/>
      <c r="W615" s="123"/>
      <c r="X615" s="123"/>
      <c r="Y615" s="123"/>
      <c r="Z615" s="123"/>
      <c r="AA615" s="123"/>
      <c r="AB615" s="123"/>
      <c r="AC615" s="123"/>
      <c r="AD615" s="123"/>
      <c r="AE615" s="123"/>
      <c r="AF615" s="123"/>
      <c r="AG615" s="123"/>
      <c r="AH615" s="123"/>
      <c r="AI615" s="123"/>
      <c r="AJ615" s="87"/>
      <c r="AK615" s="87"/>
      <c r="AL615" s="87"/>
    </row>
    <row r="616">
      <c r="A616" s="147"/>
      <c r="B616" s="123"/>
      <c r="C616" s="147"/>
      <c r="D616" s="265"/>
      <c r="E616" s="265"/>
      <c r="F616" s="265"/>
      <c r="G616" s="265"/>
      <c r="H616" s="266"/>
      <c r="I616" s="265"/>
      <c r="J616" s="123"/>
      <c r="K616" s="123"/>
      <c r="L616" s="123"/>
      <c r="M616" s="123"/>
      <c r="N616" s="123"/>
      <c r="O616" s="123"/>
      <c r="P616" s="121"/>
      <c r="Q616" s="121"/>
      <c r="R616" s="123"/>
      <c r="S616" s="123"/>
      <c r="T616" s="123"/>
      <c r="U616" s="123"/>
      <c r="V616" s="123"/>
      <c r="W616" s="123"/>
      <c r="X616" s="123"/>
      <c r="Y616" s="123"/>
      <c r="Z616" s="123"/>
      <c r="AA616" s="123"/>
      <c r="AB616" s="123"/>
      <c r="AC616" s="123"/>
      <c r="AD616" s="123"/>
      <c r="AE616" s="123"/>
      <c r="AF616" s="123"/>
      <c r="AG616" s="123"/>
      <c r="AH616" s="123"/>
      <c r="AI616" s="123"/>
      <c r="AJ616" s="87"/>
      <c r="AK616" s="87"/>
      <c r="AL616" s="87"/>
    </row>
    <row r="617">
      <c r="A617" s="147"/>
      <c r="B617" s="123"/>
      <c r="C617" s="147"/>
      <c r="D617" s="265"/>
      <c r="E617" s="265"/>
      <c r="F617" s="265"/>
      <c r="G617" s="265"/>
      <c r="H617" s="266"/>
      <c r="I617" s="265"/>
      <c r="J617" s="123"/>
      <c r="K617" s="123"/>
      <c r="L617" s="123"/>
      <c r="M617" s="123"/>
      <c r="N617" s="123"/>
      <c r="O617" s="123"/>
      <c r="P617" s="121"/>
      <c r="Q617" s="121"/>
      <c r="R617" s="123"/>
      <c r="S617" s="123"/>
      <c r="T617" s="123"/>
      <c r="U617" s="123"/>
      <c r="V617" s="123"/>
      <c r="W617" s="123"/>
      <c r="X617" s="123"/>
      <c r="Y617" s="123"/>
      <c r="Z617" s="123"/>
      <c r="AA617" s="123"/>
      <c r="AB617" s="123"/>
      <c r="AC617" s="123"/>
      <c r="AD617" s="123"/>
      <c r="AE617" s="123"/>
      <c r="AF617" s="123"/>
      <c r="AG617" s="123"/>
      <c r="AH617" s="123"/>
      <c r="AI617" s="123"/>
      <c r="AJ617" s="87"/>
      <c r="AK617" s="87"/>
      <c r="AL617" s="87"/>
    </row>
    <row r="618">
      <c r="A618" s="147"/>
      <c r="B618" s="123"/>
      <c r="C618" s="147"/>
      <c r="D618" s="265"/>
      <c r="E618" s="265"/>
      <c r="F618" s="265"/>
      <c r="G618" s="265"/>
      <c r="H618" s="266"/>
      <c r="I618" s="265"/>
      <c r="J618" s="123"/>
      <c r="K618" s="123"/>
      <c r="L618" s="123"/>
      <c r="M618" s="123"/>
      <c r="N618" s="123"/>
      <c r="O618" s="123"/>
      <c r="P618" s="121"/>
      <c r="Q618" s="121"/>
      <c r="R618" s="123"/>
      <c r="S618" s="123"/>
      <c r="T618" s="123"/>
      <c r="U618" s="123"/>
      <c r="V618" s="123"/>
      <c r="W618" s="123"/>
      <c r="X618" s="123"/>
      <c r="Y618" s="123"/>
      <c r="Z618" s="123"/>
      <c r="AA618" s="123"/>
      <c r="AB618" s="123"/>
      <c r="AC618" s="123"/>
      <c r="AD618" s="123"/>
      <c r="AE618" s="123"/>
      <c r="AF618" s="123"/>
      <c r="AG618" s="123"/>
      <c r="AH618" s="123"/>
      <c r="AI618" s="123"/>
      <c r="AJ618" s="87"/>
      <c r="AK618" s="87"/>
      <c r="AL618" s="87"/>
    </row>
    <row r="619">
      <c r="A619" s="147"/>
      <c r="B619" s="123"/>
      <c r="C619" s="147"/>
      <c r="D619" s="265"/>
      <c r="E619" s="265"/>
      <c r="F619" s="265"/>
      <c r="G619" s="265"/>
      <c r="H619" s="266"/>
      <c r="I619" s="265"/>
      <c r="J619" s="123"/>
      <c r="K619" s="123"/>
      <c r="L619" s="123"/>
      <c r="M619" s="123"/>
      <c r="N619" s="123"/>
      <c r="O619" s="123"/>
      <c r="P619" s="121"/>
      <c r="Q619" s="121"/>
      <c r="R619" s="123"/>
      <c r="S619" s="123"/>
      <c r="T619" s="123"/>
      <c r="U619" s="123"/>
      <c r="V619" s="123"/>
      <c r="W619" s="123"/>
      <c r="X619" s="123"/>
      <c r="Y619" s="123"/>
      <c r="Z619" s="123"/>
      <c r="AA619" s="123"/>
      <c r="AB619" s="123"/>
      <c r="AC619" s="123"/>
      <c r="AD619" s="123"/>
      <c r="AE619" s="123"/>
      <c r="AF619" s="123"/>
      <c r="AG619" s="123"/>
      <c r="AH619" s="123"/>
      <c r="AI619" s="123"/>
      <c r="AJ619" s="87"/>
      <c r="AK619" s="87"/>
      <c r="AL619" s="87"/>
    </row>
    <row r="620">
      <c r="A620" s="147"/>
      <c r="B620" s="123"/>
      <c r="C620" s="147"/>
      <c r="D620" s="265"/>
      <c r="E620" s="265"/>
      <c r="F620" s="265"/>
      <c r="G620" s="265"/>
      <c r="H620" s="266"/>
      <c r="I620" s="265"/>
      <c r="J620" s="123"/>
      <c r="K620" s="123"/>
      <c r="L620" s="123"/>
      <c r="M620" s="123"/>
      <c r="N620" s="123"/>
      <c r="O620" s="123"/>
      <c r="P620" s="121"/>
      <c r="Q620" s="121"/>
      <c r="R620" s="123"/>
      <c r="S620" s="123"/>
      <c r="T620" s="123"/>
      <c r="U620" s="123"/>
      <c r="V620" s="123"/>
      <c r="W620" s="123"/>
      <c r="X620" s="123"/>
      <c r="Y620" s="123"/>
      <c r="Z620" s="123"/>
      <c r="AA620" s="123"/>
      <c r="AB620" s="123"/>
      <c r="AC620" s="123"/>
      <c r="AD620" s="123"/>
      <c r="AE620" s="123"/>
      <c r="AF620" s="123"/>
      <c r="AG620" s="123"/>
      <c r="AH620" s="123"/>
      <c r="AI620" s="123"/>
      <c r="AJ620" s="87"/>
      <c r="AK620" s="87"/>
      <c r="AL620" s="87"/>
    </row>
    <row r="621">
      <c r="A621" s="147"/>
      <c r="B621" s="123"/>
      <c r="C621" s="147"/>
      <c r="D621" s="265"/>
      <c r="E621" s="265"/>
      <c r="F621" s="265"/>
      <c r="G621" s="265"/>
      <c r="H621" s="266"/>
      <c r="I621" s="265"/>
      <c r="J621" s="123"/>
      <c r="K621" s="123"/>
      <c r="L621" s="123"/>
      <c r="M621" s="123"/>
      <c r="N621" s="123"/>
      <c r="O621" s="123"/>
      <c r="P621" s="121"/>
      <c r="Q621" s="121"/>
      <c r="R621" s="123"/>
      <c r="S621" s="123"/>
      <c r="T621" s="123"/>
      <c r="U621" s="123"/>
      <c r="V621" s="123"/>
      <c r="W621" s="123"/>
      <c r="X621" s="123"/>
      <c r="Y621" s="123"/>
      <c r="Z621" s="123"/>
      <c r="AA621" s="123"/>
      <c r="AB621" s="123"/>
      <c r="AC621" s="123"/>
      <c r="AD621" s="123"/>
      <c r="AE621" s="123"/>
      <c r="AF621" s="123"/>
      <c r="AG621" s="123"/>
      <c r="AH621" s="123"/>
      <c r="AI621" s="123"/>
      <c r="AJ621" s="87"/>
      <c r="AK621" s="87"/>
      <c r="AL621" s="87"/>
    </row>
    <row r="622">
      <c r="A622" s="147"/>
      <c r="B622" s="123"/>
      <c r="C622" s="147"/>
      <c r="D622" s="265"/>
      <c r="E622" s="265"/>
      <c r="F622" s="265"/>
      <c r="G622" s="265"/>
      <c r="H622" s="266"/>
      <c r="I622" s="265"/>
      <c r="J622" s="123"/>
      <c r="K622" s="123"/>
      <c r="L622" s="123"/>
      <c r="M622" s="123"/>
      <c r="N622" s="123"/>
      <c r="O622" s="123"/>
      <c r="P622" s="121"/>
      <c r="Q622" s="121"/>
      <c r="R622" s="123"/>
      <c r="S622" s="123"/>
      <c r="T622" s="123"/>
      <c r="U622" s="123"/>
      <c r="V622" s="123"/>
      <c r="W622" s="123"/>
      <c r="X622" s="123"/>
      <c r="Y622" s="123"/>
      <c r="Z622" s="123"/>
      <c r="AA622" s="123"/>
      <c r="AB622" s="123"/>
      <c r="AC622" s="123"/>
      <c r="AD622" s="123"/>
      <c r="AE622" s="123"/>
      <c r="AF622" s="123"/>
      <c r="AG622" s="123"/>
      <c r="AH622" s="123"/>
      <c r="AI622" s="123"/>
      <c r="AJ622" s="87"/>
      <c r="AK622" s="87"/>
      <c r="AL622" s="87"/>
    </row>
    <row r="623">
      <c r="A623" s="147"/>
      <c r="B623" s="123"/>
      <c r="C623" s="147"/>
      <c r="D623" s="265"/>
      <c r="E623" s="265"/>
      <c r="F623" s="265"/>
      <c r="G623" s="265"/>
      <c r="H623" s="266"/>
      <c r="I623" s="265"/>
      <c r="J623" s="123"/>
      <c r="K623" s="123"/>
      <c r="L623" s="123"/>
      <c r="M623" s="123"/>
      <c r="N623" s="123"/>
      <c r="O623" s="123"/>
      <c r="P623" s="121"/>
      <c r="Q623" s="121"/>
      <c r="R623" s="123"/>
      <c r="S623" s="123"/>
      <c r="T623" s="123"/>
      <c r="U623" s="123"/>
      <c r="V623" s="123"/>
      <c r="W623" s="123"/>
      <c r="X623" s="123"/>
      <c r="Y623" s="123"/>
      <c r="Z623" s="123"/>
      <c r="AA623" s="123"/>
      <c r="AB623" s="123"/>
      <c r="AC623" s="123"/>
      <c r="AD623" s="123"/>
      <c r="AE623" s="123"/>
      <c r="AF623" s="123"/>
      <c r="AG623" s="123"/>
      <c r="AH623" s="123"/>
      <c r="AI623" s="123"/>
      <c r="AJ623" s="87"/>
      <c r="AK623" s="87"/>
      <c r="AL623" s="87"/>
    </row>
    <row r="624">
      <c r="A624" s="147"/>
      <c r="B624" s="123"/>
      <c r="C624" s="147"/>
      <c r="D624" s="265"/>
      <c r="E624" s="265"/>
      <c r="F624" s="265"/>
      <c r="G624" s="265"/>
      <c r="H624" s="266"/>
      <c r="I624" s="265"/>
      <c r="J624" s="123"/>
      <c r="K624" s="123"/>
      <c r="L624" s="123"/>
      <c r="M624" s="123"/>
      <c r="N624" s="123"/>
      <c r="O624" s="123"/>
      <c r="P624" s="121"/>
      <c r="Q624" s="121"/>
      <c r="R624" s="123"/>
      <c r="S624" s="123"/>
      <c r="T624" s="123"/>
      <c r="U624" s="123"/>
      <c r="V624" s="123"/>
      <c r="W624" s="123"/>
      <c r="X624" s="123"/>
      <c r="Y624" s="123"/>
      <c r="Z624" s="123"/>
      <c r="AA624" s="123"/>
      <c r="AB624" s="123"/>
      <c r="AC624" s="123"/>
      <c r="AD624" s="123"/>
      <c r="AE624" s="123"/>
      <c r="AF624" s="123"/>
      <c r="AG624" s="123"/>
      <c r="AH624" s="123"/>
      <c r="AI624" s="123"/>
      <c r="AJ624" s="87"/>
      <c r="AK624" s="87"/>
      <c r="AL624" s="87"/>
    </row>
    <row r="625">
      <c r="A625" s="147"/>
      <c r="B625" s="123"/>
      <c r="C625" s="147"/>
      <c r="D625" s="265"/>
      <c r="E625" s="265"/>
      <c r="F625" s="265"/>
      <c r="G625" s="265"/>
      <c r="H625" s="266"/>
      <c r="I625" s="265"/>
      <c r="J625" s="123"/>
      <c r="K625" s="123"/>
      <c r="L625" s="123"/>
      <c r="M625" s="123"/>
      <c r="N625" s="123"/>
      <c r="O625" s="123"/>
      <c r="P625" s="121"/>
      <c r="Q625" s="121"/>
      <c r="R625" s="123"/>
      <c r="S625" s="123"/>
      <c r="T625" s="123"/>
      <c r="U625" s="123"/>
      <c r="V625" s="123"/>
      <c r="W625" s="123"/>
      <c r="X625" s="123"/>
      <c r="Y625" s="123"/>
      <c r="Z625" s="123"/>
      <c r="AA625" s="123"/>
      <c r="AB625" s="123"/>
      <c r="AC625" s="123"/>
      <c r="AD625" s="123"/>
      <c r="AE625" s="123"/>
      <c r="AF625" s="123"/>
      <c r="AG625" s="123"/>
      <c r="AH625" s="123"/>
      <c r="AI625" s="123"/>
      <c r="AJ625" s="87"/>
      <c r="AK625" s="87"/>
      <c r="AL625" s="87"/>
    </row>
    <row r="626">
      <c r="A626" s="147"/>
      <c r="B626" s="123"/>
      <c r="C626" s="147"/>
      <c r="D626" s="265"/>
      <c r="E626" s="265"/>
      <c r="F626" s="265"/>
      <c r="G626" s="265"/>
      <c r="H626" s="266"/>
      <c r="I626" s="265"/>
      <c r="J626" s="123"/>
      <c r="K626" s="123"/>
      <c r="L626" s="123"/>
      <c r="M626" s="123"/>
      <c r="N626" s="123"/>
      <c r="O626" s="123"/>
      <c r="P626" s="121"/>
      <c r="Q626" s="121"/>
      <c r="R626" s="123"/>
      <c r="S626" s="123"/>
      <c r="T626" s="123"/>
      <c r="U626" s="123"/>
      <c r="V626" s="123"/>
      <c r="W626" s="123"/>
      <c r="X626" s="123"/>
      <c r="Y626" s="123"/>
      <c r="Z626" s="123"/>
      <c r="AA626" s="123"/>
      <c r="AB626" s="123"/>
      <c r="AC626" s="123"/>
      <c r="AD626" s="123"/>
      <c r="AE626" s="123"/>
      <c r="AF626" s="123"/>
      <c r="AG626" s="123"/>
      <c r="AH626" s="123"/>
      <c r="AI626" s="123"/>
      <c r="AJ626" s="87"/>
      <c r="AK626" s="87"/>
      <c r="AL626" s="87"/>
    </row>
    <row r="627">
      <c r="A627" s="147"/>
      <c r="B627" s="123"/>
      <c r="C627" s="147"/>
      <c r="D627" s="265"/>
      <c r="E627" s="265"/>
      <c r="F627" s="265"/>
      <c r="G627" s="265"/>
      <c r="H627" s="266"/>
      <c r="I627" s="265"/>
      <c r="J627" s="123"/>
      <c r="K627" s="123"/>
      <c r="L627" s="123"/>
      <c r="M627" s="123"/>
      <c r="N627" s="123"/>
      <c r="O627" s="123"/>
      <c r="P627" s="121"/>
      <c r="Q627" s="121"/>
      <c r="R627" s="123"/>
      <c r="S627" s="123"/>
      <c r="T627" s="123"/>
      <c r="U627" s="123"/>
      <c r="V627" s="123"/>
      <c r="W627" s="123"/>
      <c r="X627" s="123"/>
      <c r="Y627" s="123"/>
      <c r="Z627" s="123"/>
      <c r="AA627" s="123"/>
      <c r="AB627" s="123"/>
      <c r="AC627" s="123"/>
      <c r="AD627" s="123"/>
      <c r="AE627" s="123"/>
      <c r="AF627" s="123"/>
      <c r="AG627" s="123"/>
      <c r="AH627" s="123"/>
      <c r="AI627" s="123"/>
      <c r="AJ627" s="87"/>
      <c r="AK627" s="87"/>
      <c r="AL627" s="87"/>
    </row>
    <row r="628">
      <c r="A628" s="147"/>
      <c r="B628" s="123"/>
      <c r="C628" s="147"/>
      <c r="D628" s="265"/>
      <c r="E628" s="265"/>
      <c r="F628" s="265"/>
      <c r="G628" s="265"/>
      <c r="H628" s="266"/>
      <c r="I628" s="265"/>
      <c r="J628" s="123"/>
      <c r="K628" s="123"/>
      <c r="L628" s="123"/>
      <c r="M628" s="123"/>
      <c r="N628" s="123"/>
      <c r="O628" s="123"/>
      <c r="P628" s="121"/>
      <c r="Q628" s="121"/>
      <c r="R628" s="123"/>
      <c r="S628" s="123"/>
      <c r="T628" s="123"/>
      <c r="U628" s="123"/>
      <c r="V628" s="123"/>
      <c r="W628" s="123"/>
      <c r="X628" s="123"/>
      <c r="Y628" s="123"/>
      <c r="Z628" s="123"/>
      <c r="AA628" s="123"/>
      <c r="AB628" s="123"/>
      <c r="AC628" s="123"/>
      <c r="AD628" s="123"/>
      <c r="AE628" s="123"/>
      <c r="AF628" s="123"/>
      <c r="AG628" s="123"/>
      <c r="AH628" s="123"/>
      <c r="AI628" s="123"/>
      <c r="AJ628" s="87"/>
      <c r="AK628" s="87"/>
      <c r="AL628" s="87"/>
    </row>
    <row r="629">
      <c r="A629" s="147"/>
      <c r="B629" s="123"/>
      <c r="C629" s="147"/>
      <c r="D629" s="265"/>
      <c r="E629" s="265"/>
      <c r="F629" s="265"/>
      <c r="G629" s="265"/>
      <c r="H629" s="266"/>
      <c r="I629" s="265"/>
      <c r="J629" s="123"/>
      <c r="K629" s="123"/>
      <c r="L629" s="123"/>
      <c r="M629" s="123"/>
      <c r="N629" s="123"/>
      <c r="O629" s="123"/>
      <c r="P629" s="121"/>
      <c r="Q629" s="121"/>
      <c r="R629" s="123"/>
      <c r="S629" s="123"/>
      <c r="T629" s="123"/>
      <c r="U629" s="123"/>
      <c r="V629" s="123"/>
      <c r="W629" s="123"/>
      <c r="X629" s="123"/>
      <c r="Y629" s="123"/>
      <c r="Z629" s="123"/>
      <c r="AA629" s="123"/>
      <c r="AB629" s="123"/>
      <c r="AC629" s="123"/>
      <c r="AD629" s="123"/>
      <c r="AE629" s="123"/>
      <c r="AF629" s="123"/>
      <c r="AG629" s="123"/>
      <c r="AH629" s="123"/>
      <c r="AI629" s="123"/>
      <c r="AJ629" s="87"/>
      <c r="AK629" s="87"/>
      <c r="AL629" s="87"/>
    </row>
    <row r="630">
      <c r="A630" s="90"/>
      <c r="B630" s="259"/>
      <c r="C630" s="259"/>
      <c r="D630" s="259"/>
      <c r="E630" s="102"/>
      <c r="F630" s="102"/>
      <c r="G630" s="102"/>
      <c r="H630" s="260"/>
      <c r="I630" s="259"/>
      <c r="J630" s="77"/>
      <c r="K630" s="115"/>
      <c r="L630" s="77"/>
      <c r="M630" s="77"/>
      <c r="N630" s="77"/>
      <c r="O630" s="77"/>
      <c r="P630" s="71"/>
      <c r="Q630" s="71"/>
      <c r="R630" s="77"/>
      <c r="S630" s="77"/>
      <c r="T630" s="77"/>
      <c r="U630" s="77"/>
      <c r="V630" s="115"/>
      <c r="W630" s="115"/>
      <c r="X630" s="115"/>
      <c r="Y630" s="115"/>
      <c r="Z630" s="115"/>
      <c r="AA630" s="115"/>
      <c r="AB630" s="261"/>
      <c r="AC630" s="77"/>
      <c r="AD630" s="115"/>
      <c r="AE630" s="77"/>
      <c r="AF630" s="77"/>
      <c r="AG630" s="77"/>
      <c r="AH630" s="77"/>
      <c r="AI630" s="77"/>
      <c r="AJ630" s="87"/>
      <c r="AK630" s="87"/>
      <c r="AL630" s="87"/>
    </row>
    <row r="631">
      <c r="A631" s="302"/>
      <c r="B631" s="123"/>
      <c r="C631" s="147"/>
      <c r="D631" s="265"/>
      <c r="E631" s="265"/>
      <c r="F631" s="265"/>
      <c r="G631" s="265"/>
      <c r="H631" s="266"/>
      <c r="I631" s="265"/>
      <c r="J631" s="123"/>
      <c r="K631" s="123"/>
      <c r="L631" s="123"/>
      <c r="M631" s="123"/>
      <c r="N631" s="123"/>
      <c r="O631" s="123"/>
      <c r="P631" s="121"/>
      <c r="Q631" s="121"/>
      <c r="R631" s="123"/>
      <c r="S631" s="123"/>
      <c r="T631" s="123"/>
      <c r="U631" s="123"/>
      <c r="V631" s="123"/>
      <c r="W631" s="123"/>
      <c r="X631" s="123"/>
      <c r="Y631" s="123"/>
      <c r="Z631" s="123"/>
      <c r="AA631" s="123"/>
      <c r="AB631" s="123"/>
      <c r="AC631" s="123"/>
      <c r="AD631" s="123"/>
      <c r="AE631" s="123"/>
      <c r="AF631" s="123"/>
      <c r="AG631" s="123"/>
      <c r="AH631" s="123"/>
      <c r="AI631" s="123"/>
      <c r="AJ631" s="87"/>
      <c r="AK631" s="87"/>
      <c r="AL631" s="87"/>
    </row>
    <row r="632">
      <c r="A632" s="302"/>
      <c r="B632" s="123"/>
      <c r="C632" s="147"/>
      <c r="D632" s="265"/>
      <c r="E632" s="265"/>
      <c r="F632" s="265"/>
      <c r="G632" s="265"/>
      <c r="H632" s="266"/>
      <c r="I632" s="265"/>
      <c r="J632" s="123"/>
      <c r="K632" s="123"/>
      <c r="L632" s="123"/>
      <c r="M632" s="123"/>
      <c r="N632" s="123"/>
      <c r="O632" s="123"/>
      <c r="P632" s="121"/>
      <c r="Q632" s="121"/>
      <c r="R632" s="123"/>
      <c r="S632" s="123"/>
      <c r="T632" s="123"/>
      <c r="U632" s="123"/>
      <c r="V632" s="123"/>
      <c r="W632" s="123"/>
      <c r="X632" s="123"/>
      <c r="Y632" s="123"/>
      <c r="Z632" s="123"/>
      <c r="AA632" s="123"/>
      <c r="AB632" s="123"/>
      <c r="AC632" s="123"/>
      <c r="AD632" s="123"/>
      <c r="AE632" s="123"/>
      <c r="AF632" s="123"/>
      <c r="AG632" s="123"/>
      <c r="AH632" s="123"/>
      <c r="AI632" s="123"/>
      <c r="AJ632" s="87"/>
      <c r="AK632" s="87"/>
      <c r="AL632" s="87"/>
    </row>
    <row r="633">
      <c r="A633" s="302"/>
      <c r="B633" s="123"/>
      <c r="C633" s="147"/>
      <c r="D633" s="265"/>
      <c r="E633" s="265"/>
      <c r="F633" s="265"/>
      <c r="G633" s="265"/>
      <c r="H633" s="266"/>
      <c r="I633" s="265"/>
      <c r="J633" s="123"/>
      <c r="K633" s="123"/>
      <c r="L633" s="123"/>
      <c r="M633" s="123"/>
      <c r="N633" s="123"/>
      <c r="O633" s="123"/>
      <c r="P633" s="121"/>
      <c r="Q633" s="121"/>
      <c r="R633" s="123"/>
      <c r="S633" s="123"/>
      <c r="T633" s="123"/>
      <c r="U633" s="123"/>
      <c r="V633" s="123"/>
      <c r="W633" s="123"/>
      <c r="X633" s="123"/>
      <c r="Y633" s="123"/>
      <c r="Z633" s="123"/>
      <c r="AA633" s="123"/>
      <c r="AB633" s="123"/>
      <c r="AC633" s="123"/>
      <c r="AD633" s="123"/>
      <c r="AE633" s="123"/>
      <c r="AF633" s="123"/>
      <c r="AG633" s="123"/>
      <c r="AH633" s="123"/>
      <c r="AI633" s="123"/>
      <c r="AJ633" s="87"/>
      <c r="AK633" s="87"/>
      <c r="AL633" s="87"/>
    </row>
    <row r="634">
      <c r="A634" s="302"/>
      <c r="B634" s="123"/>
      <c r="C634" s="147"/>
      <c r="D634" s="265"/>
      <c r="E634" s="265"/>
      <c r="F634" s="265"/>
      <c r="G634" s="265"/>
      <c r="H634" s="266"/>
      <c r="I634" s="265"/>
      <c r="J634" s="123"/>
      <c r="K634" s="123"/>
      <c r="L634" s="123"/>
      <c r="M634" s="123"/>
      <c r="N634" s="123"/>
      <c r="O634" s="123"/>
      <c r="P634" s="121"/>
      <c r="Q634" s="121"/>
      <c r="R634" s="123"/>
      <c r="S634" s="123"/>
      <c r="T634" s="123"/>
      <c r="U634" s="123"/>
      <c r="V634" s="123"/>
      <c r="W634" s="123"/>
      <c r="X634" s="123"/>
      <c r="Y634" s="123"/>
      <c r="Z634" s="123"/>
      <c r="AA634" s="123"/>
      <c r="AB634" s="123"/>
      <c r="AC634" s="123"/>
      <c r="AD634" s="123"/>
      <c r="AE634" s="123"/>
      <c r="AF634" s="123"/>
      <c r="AG634" s="123"/>
      <c r="AH634" s="123"/>
      <c r="AI634" s="123"/>
      <c r="AJ634" s="87"/>
      <c r="AK634" s="87"/>
      <c r="AL634" s="87"/>
    </row>
    <row r="635">
      <c r="A635" s="302"/>
      <c r="B635" s="123"/>
      <c r="C635" s="147"/>
      <c r="D635" s="265"/>
      <c r="E635" s="265"/>
      <c r="F635" s="265"/>
      <c r="G635" s="265"/>
      <c r="H635" s="266"/>
      <c r="I635" s="265"/>
      <c r="J635" s="123"/>
      <c r="K635" s="123"/>
      <c r="L635" s="123"/>
      <c r="M635" s="123"/>
      <c r="N635" s="123"/>
      <c r="O635" s="123"/>
      <c r="P635" s="121"/>
      <c r="Q635" s="121"/>
      <c r="R635" s="123"/>
      <c r="S635" s="123"/>
      <c r="T635" s="123"/>
      <c r="U635" s="123"/>
      <c r="V635" s="123"/>
      <c r="W635" s="123"/>
      <c r="X635" s="123"/>
      <c r="Y635" s="123"/>
      <c r="Z635" s="123"/>
      <c r="AA635" s="123"/>
      <c r="AB635" s="123"/>
      <c r="AC635" s="123"/>
      <c r="AD635" s="123"/>
      <c r="AE635" s="123"/>
      <c r="AF635" s="123"/>
      <c r="AG635" s="123"/>
      <c r="AH635" s="123"/>
      <c r="AI635" s="123"/>
      <c r="AJ635" s="87"/>
      <c r="AK635" s="87"/>
      <c r="AL635" s="87"/>
    </row>
    <row r="636">
      <c r="A636" s="302"/>
      <c r="B636" s="123"/>
      <c r="C636" s="147"/>
      <c r="D636" s="265"/>
      <c r="E636" s="265"/>
      <c r="F636" s="265"/>
      <c r="G636" s="265"/>
      <c r="H636" s="266"/>
      <c r="I636" s="265"/>
      <c r="J636" s="123"/>
      <c r="K636" s="123"/>
      <c r="L636" s="123"/>
      <c r="M636" s="123"/>
      <c r="N636" s="123"/>
      <c r="O636" s="123"/>
      <c r="P636" s="121"/>
      <c r="Q636" s="121"/>
      <c r="R636" s="123"/>
      <c r="S636" s="123"/>
      <c r="T636" s="123"/>
      <c r="U636" s="123"/>
      <c r="V636" s="123"/>
      <c r="W636" s="123"/>
      <c r="X636" s="123"/>
      <c r="Y636" s="123"/>
      <c r="Z636" s="123"/>
      <c r="AA636" s="123"/>
      <c r="AB636" s="123"/>
      <c r="AC636" s="123"/>
      <c r="AD636" s="123"/>
      <c r="AE636" s="123"/>
      <c r="AF636" s="123"/>
      <c r="AG636" s="123"/>
      <c r="AH636" s="123"/>
      <c r="AI636" s="123"/>
      <c r="AJ636" s="87"/>
      <c r="AK636" s="87"/>
      <c r="AL636" s="87"/>
    </row>
    <row r="637">
      <c r="A637" s="302"/>
      <c r="B637" s="123"/>
      <c r="C637" s="147"/>
      <c r="D637" s="265"/>
      <c r="E637" s="265"/>
      <c r="F637" s="265"/>
      <c r="G637" s="265"/>
      <c r="H637" s="266"/>
      <c r="I637" s="265"/>
      <c r="J637" s="123"/>
      <c r="K637" s="123"/>
      <c r="L637" s="123"/>
      <c r="M637" s="123"/>
      <c r="N637" s="123"/>
      <c r="O637" s="123"/>
      <c r="P637" s="121"/>
      <c r="Q637" s="121"/>
      <c r="R637" s="123"/>
      <c r="S637" s="123"/>
      <c r="T637" s="123"/>
      <c r="U637" s="123"/>
      <c r="V637" s="123"/>
      <c r="W637" s="123"/>
      <c r="X637" s="123"/>
      <c r="Y637" s="123"/>
      <c r="Z637" s="123"/>
      <c r="AA637" s="123"/>
      <c r="AB637" s="123"/>
      <c r="AC637" s="123"/>
      <c r="AD637" s="123"/>
      <c r="AE637" s="123"/>
      <c r="AF637" s="123"/>
      <c r="AG637" s="123"/>
      <c r="AH637" s="123"/>
      <c r="AI637" s="123"/>
      <c r="AJ637" s="87"/>
      <c r="AK637" s="87"/>
      <c r="AL637" s="87"/>
    </row>
    <row r="638">
      <c r="A638" s="302"/>
      <c r="B638" s="123"/>
      <c r="C638" s="147"/>
      <c r="D638" s="265"/>
      <c r="E638" s="265"/>
      <c r="F638" s="265"/>
      <c r="G638" s="265"/>
      <c r="H638" s="266"/>
      <c r="I638" s="265"/>
      <c r="J638" s="123"/>
      <c r="K638" s="123"/>
      <c r="L638" s="123"/>
      <c r="M638" s="123"/>
      <c r="N638" s="123"/>
      <c r="O638" s="123"/>
      <c r="P638" s="121"/>
      <c r="Q638" s="121"/>
      <c r="R638" s="123"/>
      <c r="S638" s="123"/>
      <c r="T638" s="123"/>
      <c r="U638" s="123"/>
      <c r="V638" s="123"/>
      <c r="W638" s="123"/>
      <c r="X638" s="123"/>
      <c r="Y638" s="123"/>
      <c r="Z638" s="123"/>
      <c r="AA638" s="123"/>
      <c r="AB638" s="123"/>
      <c r="AC638" s="123"/>
      <c r="AD638" s="123"/>
      <c r="AE638" s="123"/>
      <c r="AF638" s="123"/>
      <c r="AG638" s="123"/>
      <c r="AH638" s="123"/>
      <c r="AI638" s="123"/>
      <c r="AJ638" s="87"/>
      <c r="AK638" s="87"/>
      <c r="AL638" s="87"/>
    </row>
    <row r="639">
      <c r="A639" s="302"/>
      <c r="B639" s="123"/>
      <c r="C639" s="147"/>
      <c r="D639" s="265"/>
      <c r="E639" s="265"/>
      <c r="F639" s="265"/>
      <c r="G639" s="265"/>
      <c r="H639" s="266"/>
      <c r="I639" s="265"/>
      <c r="J639" s="123"/>
      <c r="K639" s="123"/>
      <c r="L639" s="123"/>
      <c r="M639" s="123"/>
      <c r="N639" s="123"/>
      <c r="O639" s="123"/>
      <c r="P639" s="121"/>
      <c r="Q639" s="121"/>
      <c r="R639" s="123"/>
      <c r="S639" s="123"/>
      <c r="T639" s="123"/>
      <c r="U639" s="123"/>
      <c r="V639" s="123"/>
      <c r="W639" s="123"/>
      <c r="X639" s="123"/>
      <c r="Y639" s="123"/>
      <c r="Z639" s="123"/>
      <c r="AA639" s="123"/>
      <c r="AB639" s="123"/>
      <c r="AC639" s="123"/>
      <c r="AD639" s="123"/>
      <c r="AE639" s="123"/>
      <c r="AF639" s="123"/>
      <c r="AG639" s="123"/>
      <c r="AH639" s="123"/>
      <c r="AI639" s="123"/>
      <c r="AJ639" s="87"/>
      <c r="AK639" s="87"/>
      <c r="AL639" s="87"/>
    </row>
    <row r="640">
      <c r="A640" s="302"/>
      <c r="B640" s="123"/>
      <c r="C640" s="147"/>
      <c r="D640" s="265"/>
      <c r="E640" s="265"/>
      <c r="F640" s="265"/>
      <c r="G640" s="265"/>
      <c r="H640" s="266"/>
      <c r="I640" s="265"/>
      <c r="J640" s="123"/>
      <c r="K640" s="123"/>
      <c r="L640" s="123"/>
      <c r="M640" s="123"/>
      <c r="N640" s="123"/>
      <c r="O640" s="123"/>
      <c r="P640" s="121"/>
      <c r="Q640" s="121"/>
      <c r="R640" s="123"/>
      <c r="S640" s="123"/>
      <c r="T640" s="123"/>
      <c r="U640" s="123"/>
      <c r="V640" s="123"/>
      <c r="W640" s="123"/>
      <c r="X640" s="123"/>
      <c r="Y640" s="123"/>
      <c r="Z640" s="123"/>
      <c r="AA640" s="123"/>
      <c r="AB640" s="123"/>
      <c r="AC640" s="123"/>
      <c r="AD640" s="123"/>
      <c r="AE640" s="123"/>
      <c r="AF640" s="123"/>
      <c r="AG640" s="123"/>
      <c r="AH640" s="123"/>
      <c r="AI640" s="123"/>
      <c r="AJ640" s="87"/>
      <c r="AK640" s="87"/>
      <c r="AL640" s="87"/>
    </row>
    <row r="641">
      <c r="A641" s="302"/>
      <c r="B641" s="123"/>
      <c r="C641" s="147"/>
      <c r="D641" s="265"/>
      <c r="E641" s="265"/>
      <c r="F641" s="265"/>
      <c r="G641" s="265"/>
      <c r="H641" s="266"/>
      <c r="I641" s="265"/>
      <c r="J641" s="123"/>
      <c r="K641" s="123"/>
      <c r="L641" s="123"/>
      <c r="M641" s="123"/>
      <c r="N641" s="123"/>
      <c r="O641" s="123"/>
      <c r="P641" s="121"/>
      <c r="Q641" s="121"/>
      <c r="R641" s="123"/>
      <c r="S641" s="123"/>
      <c r="T641" s="123"/>
      <c r="U641" s="123"/>
      <c r="V641" s="123"/>
      <c r="W641" s="123"/>
      <c r="X641" s="123"/>
      <c r="Y641" s="123"/>
      <c r="Z641" s="123"/>
      <c r="AA641" s="123"/>
      <c r="AB641" s="123"/>
      <c r="AC641" s="123"/>
      <c r="AD641" s="123"/>
      <c r="AE641" s="123"/>
      <c r="AF641" s="123"/>
      <c r="AG641" s="123"/>
      <c r="AH641" s="123"/>
      <c r="AI641" s="123"/>
      <c r="AJ641" s="87"/>
      <c r="AK641" s="87"/>
      <c r="AL641" s="87"/>
    </row>
    <row r="642">
      <c r="A642" s="302"/>
      <c r="B642" s="123"/>
      <c r="C642" s="147"/>
      <c r="D642" s="265"/>
      <c r="E642" s="265"/>
      <c r="F642" s="265"/>
      <c r="G642" s="265"/>
      <c r="H642" s="266"/>
      <c r="I642" s="265"/>
      <c r="J642" s="123"/>
      <c r="K642" s="123"/>
      <c r="L642" s="123"/>
      <c r="M642" s="123"/>
      <c r="N642" s="123"/>
      <c r="O642" s="123"/>
      <c r="P642" s="121"/>
      <c r="Q642" s="121"/>
      <c r="R642" s="123"/>
      <c r="S642" s="123"/>
      <c r="T642" s="123"/>
      <c r="U642" s="123"/>
      <c r="V642" s="123"/>
      <c r="W642" s="123"/>
      <c r="X642" s="123"/>
      <c r="Y642" s="123"/>
      <c r="Z642" s="123"/>
      <c r="AA642" s="123"/>
      <c r="AB642" s="123"/>
      <c r="AC642" s="123"/>
      <c r="AD642" s="123"/>
      <c r="AE642" s="123"/>
      <c r="AF642" s="123"/>
      <c r="AG642" s="123"/>
      <c r="AH642" s="123"/>
      <c r="AI642" s="123"/>
      <c r="AJ642" s="87"/>
      <c r="AK642" s="87"/>
      <c r="AL642" s="87"/>
    </row>
    <row r="643">
      <c r="A643" s="302"/>
      <c r="B643" s="123"/>
      <c r="C643" s="147"/>
      <c r="D643" s="265"/>
      <c r="E643" s="265"/>
      <c r="F643" s="265"/>
      <c r="G643" s="265"/>
      <c r="H643" s="266"/>
      <c r="I643" s="265"/>
      <c r="J643" s="123"/>
      <c r="K643" s="123"/>
      <c r="L643" s="123"/>
      <c r="M643" s="123"/>
      <c r="N643" s="123"/>
      <c r="O643" s="123"/>
      <c r="P643" s="121"/>
      <c r="Q643" s="121"/>
      <c r="R643" s="123"/>
      <c r="S643" s="123"/>
      <c r="T643" s="123"/>
      <c r="U643" s="123"/>
      <c r="V643" s="123"/>
      <c r="W643" s="123"/>
      <c r="X643" s="123"/>
      <c r="Y643" s="123"/>
      <c r="Z643" s="123"/>
      <c r="AA643" s="123"/>
      <c r="AB643" s="123"/>
      <c r="AC643" s="123"/>
      <c r="AD643" s="123"/>
      <c r="AE643" s="123"/>
      <c r="AF643" s="123"/>
      <c r="AG643" s="123"/>
      <c r="AH643" s="123"/>
      <c r="AI643" s="123"/>
      <c r="AJ643" s="87"/>
      <c r="AK643" s="87"/>
      <c r="AL643" s="87"/>
    </row>
    <row r="644">
      <c r="A644" s="302"/>
      <c r="B644" s="123"/>
      <c r="C644" s="147"/>
      <c r="D644" s="265"/>
      <c r="E644" s="265"/>
      <c r="F644" s="265"/>
      <c r="G644" s="265"/>
      <c r="H644" s="266"/>
      <c r="I644" s="265"/>
      <c r="J644" s="123"/>
      <c r="K644" s="123"/>
      <c r="L644" s="123"/>
      <c r="M644" s="123"/>
      <c r="N644" s="123"/>
      <c r="O644" s="123"/>
      <c r="P644" s="121"/>
      <c r="Q644" s="121"/>
      <c r="R644" s="123"/>
      <c r="S644" s="123"/>
      <c r="T644" s="123"/>
      <c r="U644" s="123"/>
      <c r="V644" s="123"/>
      <c r="W644" s="123"/>
      <c r="X644" s="123"/>
      <c r="Y644" s="123"/>
      <c r="Z644" s="123"/>
      <c r="AA644" s="123"/>
      <c r="AB644" s="123"/>
      <c r="AC644" s="123"/>
      <c r="AD644" s="123"/>
      <c r="AE644" s="123"/>
      <c r="AF644" s="123"/>
      <c r="AG644" s="123"/>
      <c r="AH644" s="123"/>
      <c r="AI644" s="123"/>
      <c r="AJ644" s="87"/>
      <c r="AK644" s="87"/>
      <c r="AL644" s="87"/>
    </row>
    <row r="645">
      <c r="A645" s="302"/>
      <c r="B645" s="123"/>
      <c r="C645" s="147"/>
      <c r="D645" s="265"/>
      <c r="E645" s="265"/>
      <c r="F645" s="265"/>
      <c r="G645" s="265"/>
      <c r="H645" s="266"/>
      <c r="I645" s="265"/>
      <c r="J645" s="123"/>
      <c r="K645" s="123"/>
      <c r="L645" s="123"/>
      <c r="M645" s="123"/>
      <c r="N645" s="123"/>
      <c r="O645" s="123"/>
      <c r="P645" s="121"/>
      <c r="Q645" s="121"/>
      <c r="R645" s="123"/>
      <c r="S645" s="123"/>
      <c r="T645" s="123"/>
      <c r="U645" s="123"/>
      <c r="V645" s="123"/>
      <c r="W645" s="123"/>
      <c r="X645" s="123"/>
      <c r="Y645" s="123"/>
      <c r="Z645" s="123"/>
      <c r="AA645" s="123"/>
      <c r="AB645" s="123"/>
      <c r="AC645" s="123"/>
      <c r="AD645" s="123"/>
      <c r="AE645" s="123"/>
      <c r="AF645" s="123"/>
      <c r="AG645" s="123"/>
      <c r="AH645" s="123"/>
      <c r="AI645" s="123"/>
      <c r="AJ645" s="87"/>
      <c r="AK645" s="87"/>
      <c r="AL645" s="87"/>
    </row>
    <row r="646">
      <c r="A646" s="90"/>
      <c r="B646" s="259"/>
      <c r="C646" s="259"/>
      <c r="D646" s="259"/>
      <c r="E646" s="102"/>
      <c r="F646" s="102"/>
      <c r="G646" s="102"/>
      <c r="H646" s="260"/>
      <c r="I646" s="259"/>
      <c r="J646" s="77"/>
      <c r="K646" s="115"/>
      <c r="L646" s="77"/>
      <c r="M646" s="77"/>
      <c r="N646" s="77"/>
      <c r="O646" s="77"/>
      <c r="P646" s="71"/>
      <c r="Q646" s="71"/>
      <c r="R646" s="77"/>
      <c r="S646" s="77"/>
      <c r="T646" s="77"/>
      <c r="U646" s="77"/>
      <c r="V646" s="115"/>
      <c r="W646" s="115"/>
      <c r="X646" s="115"/>
      <c r="Y646" s="115"/>
      <c r="Z646" s="115"/>
      <c r="AA646" s="115"/>
      <c r="AB646" s="261"/>
      <c r="AC646" s="77"/>
      <c r="AD646" s="115"/>
      <c r="AE646" s="77"/>
      <c r="AF646" s="77"/>
      <c r="AG646" s="77"/>
      <c r="AH646" s="77"/>
      <c r="AI646" s="77"/>
      <c r="AJ646" s="87"/>
      <c r="AK646" s="87"/>
      <c r="AL646" s="87"/>
    </row>
    <row r="647">
      <c r="A647" s="147"/>
      <c r="B647" s="123"/>
      <c r="C647" s="147"/>
      <c r="D647" s="265"/>
      <c r="E647" s="265"/>
      <c r="F647" s="265"/>
      <c r="G647" s="265"/>
      <c r="H647" s="266"/>
      <c r="I647" s="265"/>
      <c r="J647" s="123"/>
      <c r="K647" s="123"/>
      <c r="L647" s="123"/>
      <c r="M647" s="123"/>
      <c r="N647" s="123"/>
      <c r="O647" s="123"/>
      <c r="P647" s="121"/>
      <c r="Q647" s="121"/>
      <c r="R647" s="123"/>
      <c r="S647" s="123"/>
      <c r="T647" s="123"/>
      <c r="U647" s="123"/>
      <c r="V647" s="123"/>
      <c r="W647" s="123"/>
      <c r="X647" s="123"/>
      <c r="Y647" s="123"/>
      <c r="Z647" s="123"/>
      <c r="AA647" s="123"/>
      <c r="AB647" s="123"/>
      <c r="AC647" s="123"/>
      <c r="AD647" s="123"/>
      <c r="AE647" s="123"/>
      <c r="AF647" s="123"/>
      <c r="AG647" s="123"/>
      <c r="AH647" s="123"/>
      <c r="AI647" s="123"/>
      <c r="AJ647" s="87"/>
      <c r="AK647" s="87"/>
      <c r="AL647" s="87"/>
    </row>
    <row r="648">
      <c r="A648" s="147"/>
      <c r="B648" s="123"/>
      <c r="C648" s="147"/>
      <c r="D648" s="265"/>
      <c r="E648" s="265"/>
      <c r="F648" s="265"/>
      <c r="G648" s="265"/>
      <c r="H648" s="266"/>
      <c r="I648" s="265"/>
      <c r="J648" s="123"/>
      <c r="K648" s="123"/>
      <c r="L648" s="123"/>
      <c r="M648" s="123"/>
      <c r="N648" s="123"/>
      <c r="O648" s="123"/>
      <c r="P648" s="121"/>
      <c r="Q648" s="121"/>
      <c r="R648" s="123"/>
      <c r="S648" s="123"/>
      <c r="T648" s="123"/>
      <c r="U648" s="123"/>
      <c r="V648" s="123"/>
      <c r="W648" s="123"/>
      <c r="X648" s="123"/>
      <c r="Y648" s="123"/>
      <c r="Z648" s="123"/>
      <c r="AA648" s="123"/>
      <c r="AB648" s="123"/>
      <c r="AC648" s="123"/>
      <c r="AD648" s="123"/>
      <c r="AE648" s="123"/>
      <c r="AF648" s="123"/>
      <c r="AG648" s="123"/>
      <c r="AH648" s="123"/>
      <c r="AI648" s="123"/>
      <c r="AJ648" s="87"/>
      <c r="AK648" s="87"/>
      <c r="AL648" s="87"/>
    </row>
    <row r="649">
      <c r="A649" s="147"/>
      <c r="B649" s="123"/>
      <c r="C649" s="147"/>
      <c r="D649" s="265"/>
      <c r="E649" s="265"/>
      <c r="F649" s="265"/>
      <c r="G649" s="265"/>
      <c r="H649" s="266"/>
      <c r="I649" s="265"/>
      <c r="J649" s="123"/>
      <c r="K649" s="123"/>
      <c r="L649" s="123"/>
      <c r="M649" s="123"/>
      <c r="N649" s="123"/>
      <c r="O649" s="123"/>
      <c r="P649" s="121"/>
      <c r="Q649" s="121"/>
      <c r="R649" s="123"/>
      <c r="S649" s="123"/>
      <c r="T649" s="123"/>
      <c r="U649" s="123"/>
      <c r="V649" s="123"/>
      <c r="W649" s="123"/>
      <c r="X649" s="123"/>
      <c r="Y649" s="123"/>
      <c r="Z649" s="123"/>
      <c r="AA649" s="123"/>
      <c r="AB649" s="123"/>
      <c r="AC649" s="123"/>
      <c r="AD649" s="123"/>
      <c r="AE649" s="123"/>
      <c r="AF649" s="123"/>
      <c r="AG649" s="123"/>
      <c r="AH649" s="123"/>
      <c r="AI649" s="123"/>
      <c r="AJ649" s="87"/>
      <c r="AK649" s="87"/>
      <c r="AL649" s="87"/>
    </row>
    <row r="650">
      <c r="A650" s="147"/>
      <c r="B650" s="123"/>
      <c r="C650" s="147"/>
      <c r="D650" s="265"/>
      <c r="E650" s="265"/>
      <c r="F650" s="265"/>
      <c r="G650" s="265"/>
      <c r="H650" s="266"/>
      <c r="I650" s="265"/>
      <c r="J650" s="123"/>
      <c r="K650" s="123"/>
      <c r="L650" s="123"/>
      <c r="M650" s="123"/>
      <c r="N650" s="123"/>
      <c r="O650" s="123"/>
      <c r="P650" s="121"/>
      <c r="Q650" s="121"/>
      <c r="R650" s="123"/>
      <c r="S650" s="123"/>
      <c r="T650" s="123"/>
      <c r="U650" s="123"/>
      <c r="V650" s="123"/>
      <c r="W650" s="123"/>
      <c r="X650" s="123"/>
      <c r="Y650" s="123"/>
      <c r="Z650" s="123"/>
      <c r="AA650" s="123"/>
      <c r="AB650" s="123"/>
      <c r="AC650" s="123"/>
      <c r="AD650" s="123"/>
      <c r="AE650" s="123"/>
      <c r="AF650" s="123"/>
      <c r="AG650" s="123"/>
      <c r="AH650" s="123"/>
      <c r="AI650" s="123"/>
      <c r="AJ650" s="87"/>
      <c r="AK650" s="87"/>
      <c r="AL650" s="87"/>
    </row>
    <row r="651">
      <c r="A651" s="147"/>
      <c r="B651" s="123"/>
      <c r="C651" s="147"/>
      <c r="D651" s="265"/>
      <c r="E651" s="265"/>
      <c r="F651" s="265"/>
      <c r="G651" s="265"/>
      <c r="H651" s="266"/>
      <c r="I651" s="265"/>
      <c r="J651" s="123"/>
      <c r="K651" s="123"/>
      <c r="L651" s="123"/>
      <c r="M651" s="123"/>
      <c r="N651" s="123"/>
      <c r="O651" s="123"/>
      <c r="P651" s="121"/>
      <c r="Q651" s="121"/>
      <c r="R651" s="123"/>
      <c r="S651" s="123"/>
      <c r="T651" s="123"/>
      <c r="U651" s="123"/>
      <c r="V651" s="123"/>
      <c r="W651" s="123"/>
      <c r="X651" s="123"/>
      <c r="Y651" s="123"/>
      <c r="Z651" s="123"/>
      <c r="AA651" s="123"/>
      <c r="AB651" s="123"/>
      <c r="AC651" s="123"/>
      <c r="AD651" s="123"/>
      <c r="AE651" s="123"/>
      <c r="AF651" s="123"/>
      <c r="AG651" s="123"/>
      <c r="AH651" s="123"/>
      <c r="AI651" s="123"/>
      <c r="AJ651" s="87"/>
      <c r="AK651" s="87"/>
      <c r="AL651" s="87"/>
    </row>
    <row r="652">
      <c r="A652" s="147"/>
      <c r="B652" s="123"/>
      <c r="C652" s="147"/>
      <c r="D652" s="265"/>
      <c r="E652" s="265"/>
      <c r="F652" s="265"/>
      <c r="G652" s="265"/>
      <c r="H652" s="266"/>
      <c r="I652" s="265"/>
      <c r="J652" s="123"/>
      <c r="K652" s="123"/>
      <c r="L652" s="123"/>
      <c r="M652" s="123"/>
      <c r="N652" s="123"/>
      <c r="O652" s="123"/>
      <c r="P652" s="121"/>
      <c r="Q652" s="121"/>
      <c r="R652" s="123"/>
      <c r="S652" s="123"/>
      <c r="T652" s="123"/>
      <c r="U652" s="123"/>
      <c r="V652" s="123"/>
      <c r="W652" s="123"/>
      <c r="X652" s="123"/>
      <c r="Y652" s="123"/>
      <c r="Z652" s="123"/>
      <c r="AA652" s="123"/>
      <c r="AB652" s="123"/>
      <c r="AC652" s="123"/>
      <c r="AD652" s="123"/>
      <c r="AE652" s="123"/>
      <c r="AF652" s="123"/>
      <c r="AG652" s="123"/>
      <c r="AH652" s="123"/>
      <c r="AI652" s="123"/>
      <c r="AJ652" s="87"/>
      <c r="AK652" s="87"/>
      <c r="AL652" s="87"/>
    </row>
    <row r="653">
      <c r="A653" s="147"/>
      <c r="B653" s="123"/>
      <c r="C653" s="147"/>
      <c r="D653" s="265"/>
      <c r="E653" s="265"/>
      <c r="F653" s="265"/>
      <c r="G653" s="265"/>
      <c r="H653" s="266"/>
      <c r="I653" s="265"/>
      <c r="J653" s="123"/>
      <c r="K653" s="123"/>
      <c r="L653" s="123"/>
      <c r="M653" s="123"/>
      <c r="N653" s="123"/>
      <c r="O653" s="123"/>
      <c r="P653" s="121"/>
      <c r="Q653" s="121"/>
      <c r="R653" s="123"/>
      <c r="S653" s="123"/>
      <c r="T653" s="123"/>
      <c r="U653" s="123"/>
      <c r="V653" s="123"/>
      <c r="W653" s="123"/>
      <c r="X653" s="123"/>
      <c r="Y653" s="123"/>
      <c r="Z653" s="123"/>
      <c r="AA653" s="123"/>
      <c r="AB653" s="123"/>
      <c r="AC653" s="123"/>
      <c r="AD653" s="123"/>
      <c r="AE653" s="123"/>
      <c r="AF653" s="123"/>
      <c r="AG653" s="123"/>
      <c r="AH653" s="123"/>
      <c r="AI653" s="123"/>
      <c r="AJ653" s="87"/>
      <c r="AK653" s="87"/>
      <c r="AL653" s="87"/>
    </row>
    <row r="654">
      <c r="A654" s="147"/>
      <c r="B654" s="123"/>
      <c r="C654" s="147"/>
      <c r="D654" s="265"/>
      <c r="E654" s="265"/>
      <c r="F654" s="265"/>
      <c r="G654" s="265"/>
      <c r="H654" s="266"/>
      <c r="I654" s="265"/>
      <c r="J654" s="123"/>
      <c r="K654" s="123"/>
      <c r="L654" s="123"/>
      <c r="M654" s="123"/>
      <c r="N654" s="123"/>
      <c r="O654" s="123"/>
      <c r="P654" s="121"/>
      <c r="Q654" s="121"/>
      <c r="R654" s="123"/>
      <c r="S654" s="123"/>
      <c r="T654" s="123"/>
      <c r="U654" s="123"/>
      <c r="V654" s="123"/>
      <c r="W654" s="123"/>
      <c r="X654" s="123"/>
      <c r="Y654" s="123"/>
      <c r="Z654" s="123"/>
      <c r="AA654" s="123"/>
      <c r="AB654" s="123"/>
      <c r="AC654" s="123"/>
      <c r="AD654" s="123"/>
      <c r="AE654" s="123"/>
      <c r="AF654" s="123"/>
      <c r="AG654" s="123"/>
      <c r="AH654" s="123"/>
      <c r="AI654" s="123"/>
      <c r="AJ654" s="87"/>
      <c r="AK654" s="87"/>
      <c r="AL654" s="87"/>
    </row>
    <row r="655">
      <c r="A655" s="147"/>
      <c r="B655" s="123"/>
      <c r="C655" s="147"/>
      <c r="D655" s="265"/>
      <c r="E655" s="265"/>
      <c r="F655" s="265"/>
      <c r="G655" s="265"/>
      <c r="H655" s="266"/>
      <c r="I655" s="265"/>
      <c r="J655" s="123"/>
      <c r="K655" s="123"/>
      <c r="L655" s="123"/>
      <c r="M655" s="123"/>
      <c r="N655" s="123"/>
      <c r="O655" s="123"/>
      <c r="P655" s="121"/>
      <c r="Q655" s="121"/>
      <c r="R655" s="123"/>
      <c r="S655" s="123"/>
      <c r="T655" s="123"/>
      <c r="U655" s="123"/>
      <c r="V655" s="123"/>
      <c r="W655" s="123"/>
      <c r="X655" s="123"/>
      <c r="Y655" s="123"/>
      <c r="Z655" s="123"/>
      <c r="AA655" s="123"/>
      <c r="AB655" s="123"/>
      <c r="AC655" s="123"/>
      <c r="AD655" s="123"/>
      <c r="AE655" s="123"/>
      <c r="AF655" s="123"/>
      <c r="AG655" s="123"/>
      <c r="AH655" s="123"/>
      <c r="AI655" s="123"/>
      <c r="AJ655" s="87"/>
      <c r="AK655" s="87"/>
      <c r="AL655" s="87"/>
    </row>
    <row r="656">
      <c r="A656" s="147"/>
      <c r="B656" s="123"/>
      <c r="C656" s="147"/>
      <c r="D656" s="265"/>
      <c r="E656" s="265"/>
      <c r="F656" s="265"/>
      <c r="G656" s="265"/>
      <c r="H656" s="266"/>
      <c r="I656" s="265"/>
      <c r="J656" s="123"/>
      <c r="K656" s="123"/>
      <c r="L656" s="123"/>
      <c r="M656" s="123"/>
      <c r="N656" s="123"/>
      <c r="O656" s="123"/>
      <c r="P656" s="121"/>
      <c r="Q656" s="121"/>
      <c r="R656" s="123"/>
      <c r="S656" s="123"/>
      <c r="T656" s="123"/>
      <c r="U656" s="123"/>
      <c r="V656" s="123"/>
      <c r="W656" s="123"/>
      <c r="X656" s="123"/>
      <c r="Y656" s="123"/>
      <c r="Z656" s="123"/>
      <c r="AA656" s="123"/>
      <c r="AB656" s="123"/>
      <c r="AC656" s="123"/>
      <c r="AD656" s="123"/>
      <c r="AE656" s="123"/>
      <c r="AF656" s="123"/>
      <c r="AG656" s="123"/>
      <c r="AH656" s="123"/>
      <c r="AI656" s="123"/>
      <c r="AJ656" s="87"/>
      <c r="AK656" s="87"/>
      <c r="AL656" s="87"/>
    </row>
    <row r="657">
      <c r="A657" s="147"/>
      <c r="B657" s="123"/>
      <c r="C657" s="147"/>
      <c r="D657" s="265"/>
      <c r="E657" s="265"/>
      <c r="F657" s="265"/>
      <c r="G657" s="265"/>
      <c r="H657" s="266"/>
      <c r="I657" s="265"/>
      <c r="J657" s="123"/>
      <c r="K657" s="123"/>
      <c r="L657" s="123"/>
      <c r="M657" s="123"/>
      <c r="N657" s="123"/>
      <c r="O657" s="123"/>
      <c r="P657" s="121"/>
      <c r="Q657" s="121"/>
      <c r="R657" s="123"/>
      <c r="S657" s="123"/>
      <c r="T657" s="123"/>
      <c r="U657" s="123"/>
      <c r="V657" s="123"/>
      <c r="W657" s="123"/>
      <c r="X657" s="123"/>
      <c r="Y657" s="123"/>
      <c r="Z657" s="123"/>
      <c r="AA657" s="123"/>
      <c r="AB657" s="123"/>
      <c r="AC657" s="123"/>
      <c r="AD657" s="123"/>
      <c r="AE657" s="123"/>
      <c r="AF657" s="123"/>
      <c r="AG657" s="123"/>
      <c r="AH657" s="123"/>
      <c r="AI657" s="123"/>
      <c r="AJ657" s="87"/>
      <c r="AK657" s="87"/>
      <c r="AL657" s="87"/>
    </row>
    <row r="658">
      <c r="A658" s="147"/>
      <c r="B658" s="123"/>
      <c r="C658" s="147"/>
      <c r="D658" s="265"/>
      <c r="E658" s="265"/>
      <c r="F658" s="265"/>
      <c r="G658" s="265"/>
      <c r="H658" s="266"/>
      <c r="I658" s="265"/>
      <c r="J658" s="123"/>
      <c r="K658" s="123"/>
      <c r="L658" s="123"/>
      <c r="M658" s="123"/>
      <c r="N658" s="123"/>
      <c r="O658" s="123"/>
      <c r="P658" s="121"/>
      <c r="Q658" s="121"/>
      <c r="R658" s="123"/>
      <c r="S658" s="123"/>
      <c r="T658" s="123"/>
      <c r="U658" s="123"/>
      <c r="V658" s="123"/>
      <c r="W658" s="123"/>
      <c r="X658" s="123"/>
      <c r="Y658" s="123"/>
      <c r="Z658" s="123"/>
      <c r="AA658" s="123"/>
      <c r="AB658" s="123"/>
      <c r="AC658" s="123"/>
      <c r="AD658" s="123"/>
      <c r="AE658" s="123"/>
      <c r="AF658" s="123"/>
      <c r="AG658" s="123"/>
      <c r="AH658" s="123"/>
      <c r="AI658" s="123"/>
      <c r="AJ658" s="87"/>
      <c r="AK658" s="87"/>
      <c r="AL658" s="87"/>
    </row>
    <row r="659">
      <c r="A659" s="147"/>
      <c r="B659" s="123"/>
      <c r="C659" s="147"/>
      <c r="D659" s="265"/>
      <c r="E659" s="265"/>
      <c r="F659" s="265"/>
      <c r="G659" s="265"/>
      <c r="H659" s="266"/>
      <c r="I659" s="265"/>
      <c r="J659" s="123"/>
      <c r="K659" s="123"/>
      <c r="L659" s="123"/>
      <c r="M659" s="123"/>
      <c r="N659" s="123"/>
      <c r="O659" s="123"/>
      <c r="P659" s="121"/>
      <c r="Q659" s="121"/>
      <c r="R659" s="123"/>
      <c r="S659" s="123"/>
      <c r="T659" s="123"/>
      <c r="U659" s="123"/>
      <c r="V659" s="123"/>
      <c r="W659" s="123"/>
      <c r="X659" s="123"/>
      <c r="Y659" s="123"/>
      <c r="Z659" s="123"/>
      <c r="AA659" s="123"/>
      <c r="AB659" s="123"/>
      <c r="AC659" s="123"/>
      <c r="AD659" s="123"/>
      <c r="AE659" s="123"/>
      <c r="AF659" s="123"/>
      <c r="AG659" s="123"/>
      <c r="AH659" s="123"/>
      <c r="AI659" s="123"/>
      <c r="AJ659" s="87"/>
      <c r="AK659" s="87"/>
      <c r="AL659" s="87"/>
    </row>
    <row r="660">
      <c r="A660" s="147"/>
      <c r="B660" s="123"/>
      <c r="C660" s="147"/>
      <c r="D660" s="265"/>
      <c r="E660" s="265"/>
      <c r="F660" s="265"/>
      <c r="G660" s="265"/>
      <c r="H660" s="266"/>
      <c r="I660" s="265"/>
      <c r="J660" s="123"/>
      <c r="K660" s="123"/>
      <c r="L660" s="123"/>
      <c r="M660" s="123"/>
      <c r="N660" s="123"/>
      <c r="O660" s="123"/>
      <c r="P660" s="121"/>
      <c r="Q660" s="121"/>
      <c r="R660" s="123"/>
      <c r="S660" s="123"/>
      <c r="T660" s="123"/>
      <c r="U660" s="123"/>
      <c r="V660" s="123"/>
      <c r="W660" s="123"/>
      <c r="X660" s="123"/>
      <c r="Y660" s="123"/>
      <c r="Z660" s="123"/>
      <c r="AA660" s="123"/>
      <c r="AB660" s="123"/>
      <c r="AC660" s="123"/>
      <c r="AD660" s="123"/>
      <c r="AE660" s="123"/>
      <c r="AF660" s="123"/>
      <c r="AG660" s="123"/>
      <c r="AH660" s="123"/>
      <c r="AI660" s="123"/>
      <c r="AJ660" s="87"/>
      <c r="AK660" s="87"/>
      <c r="AL660" s="87"/>
    </row>
    <row r="661">
      <c r="A661" s="147"/>
      <c r="B661" s="123"/>
      <c r="C661" s="147"/>
      <c r="D661" s="265"/>
      <c r="E661" s="265"/>
      <c r="F661" s="265"/>
      <c r="G661" s="265"/>
      <c r="H661" s="266"/>
      <c r="I661" s="265"/>
      <c r="J661" s="123"/>
      <c r="K661" s="123"/>
      <c r="L661" s="123"/>
      <c r="M661" s="123"/>
      <c r="N661" s="123"/>
      <c r="O661" s="123"/>
      <c r="P661" s="121"/>
      <c r="Q661" s="121"/>
      <c r="R661" s="123"/>
      <c r="S661" s="123"/>
      <c r="T661" s="123"/>
      <c r="U661" s="123"/>
      <c r="V661" s="123"/>
      <c r="W661" s="123"/>
      <c r="X661" s="123"/>
      <c r="Y661" s="123"/>
      <c r="Z661" s="123"/>
      <c r="AA661" s="123"/>
      <c r="AB661" s="123"/>
      <c r="AC661" s="123"/>
      <c r="AD661" s="123"/>
      <c r="AE661" s="123"/>
      <c r="AF661" s="123"/>
      <c r="AG661" s="123"/>
      <c r="AH661" s="123"/>
      <c r="AI661" s="123"/>
      <c r="AJ661" s="87"/>
      <c r="AK661" s="87"/>
      <c r="AL661" s="87"/>
    </row>
    <row r="662">
      <c r="A662" s="90"/>
      <c r="B662" s="259"/>
      <c r="C662" s="259"/>
      <c r="D662" s="259"/>
      <c r="E662" s="102"/>
      <c r="F662" s="102"/>
      <c r="G662" s="102"/>
      <c r="H662" s="260"/>
      <c r="I662" s="259"/>
      <c r="J662" s="77"/>
      <c r="K662" s="115"/>
      <c r="L662" s="77"/>
      <c r="M662" s="115"/>
      <c r="N662" s="77"/>
      <c r="O662" s="77"/>
      <c r="P662" s="71"/>
      <c r="Q662" s="71"/>
      <c r="R662" s="77"/>
      <c r="S662" s="77"/>
      <c r="T662" s="77"/>
      <c r="U662" s="77"/>
      <c r="V662" s="115"/>
      <c r="W662" s="115"/>
      <c r="X662" s="115"/>
      <c r="Y662" s="115"/>
      <c r="Z662" s="115"/>
      <c r="AA662" s="115"/>
      <c r="AB662" s="261"/>
      <c r="AC662" s="77"/>
      <c r="AD662" s="115"/>
      <c r="AE662" s="77"/>
      <c r="AF662" s="77"/>
      <c r="AG662" s="77"/>
      <c r="AH662" s="77"/>
      <c r="AI662" s="77"/>
      <c r="AJ662" s="87"/>
      <c r="AK662" s="87"/>
      <c r="AL662" s="87"/>
    </row>
    <row r="663">
      <c r="A663" s="302"/>
      <c r="B663" s="265"/>
      <c r="C663" s="147"/>
      <c r="D663" s="265"/>
      <c r="E663" s="265"/>
      <c r="F663" s="265"/>
      <c r="G663" s="265"/>
      <c r="H663" s="266"/>
      <c r="I663" s="265"/>
      <c r="J663" s="123"/>
      <c r="K663" s="123"/>
      <c r="L663" s="123"/>
      <c r="M663" s="123"/>
      <c r="N663" s="123"/>
      <c r="O663" s="123"/>
      <c r="P663" s="121"/>
      <c r="Q663" s="121"/>
      <c r="R663" s="123"/>
      <c r="S663" s="123"/>
      <c r="T663" s="123"/>
      <c r="U663" s="123"/>
      <c r="V663" s="123"/>
      <c r="W663" s="123"/>
      <c r="X663" s="123"/>
      <c r="Y663" s="123"/>
      <c r="Z663" s="123"/>
      <c r="AA663" s="123"/>
      <c r="AB663" s="123"/>
      <c r="AC663" s="123"/>
      <c r="AD663" s="123"/>
      <c r="AE663" s="123"/>
      <c r="AF663" s="123"/>
      <c r="AG663" s="123"/>
      <c r="AH663" s="123"/>
      <c r="AI663" s="123"/>
      <c r="AJ663" s="87"/>
      <c r="AK663" s="87"/>
      <c r="AL663" s="87"/>
    </row>
    <row r="664">
      <c r="A664" s="302"/>
      <c r="B664" s="265"/>
      <c r="C664" s="147"/>
      <c r="D664" s="265"/>
      <c r="E664" s="265"/>
      <c r="F664" s="265"/>
      <c r="G664" s="265"/>
      <c r="H664" s="266"/>
      <c r="I664" s="265"/>
      <c r="J664" s="123"/>
      <c r="K664" s="123"/>
      <c r="L664" s="123"/>
      <c r="M664" s="123"/>
      <c r="N664" s="123"/>
      <c r="O664" s="123"/>
      <c r="P664" s="121"/>
      <c r="Q664" s="121"/>
      <c r="R664" s="123"/>
      <c r="S664" s="123"/>
      <c r="T664" s="123"/>
      <c r="U664" s="123"/>
      <c r="V664" s="123"/>
      <c r="W664" s="123"/>
      <c r="X664" s="123"/>
      <c r="Y664" s="123"/>
      <c r="Z664" s="123"/>
      <c r="AA664" s="123"/>
      <c r="AB664" s="123"/>
      <c r="AC664" s="123"/>
      <c r="AD664" s="123"/>
      <c r="AE664" s="123"/>
      <c r="AF664" s="123"/>
      <c r="AG664" s="123"/>
      <c r="AH664" s="123"/>
      <c r="AI664" s="123"/>
      <c r="AJ664" s="87"/>
      <c r="AK664" s="87"/>
      <c r="AL664" s="87"/>
    </row>
    <row r="665">
      <c r="A665" s="302"/>
      <c r="B665" s="265"/>
      <c r="C665" s="147"/>
      <c r="D665" s="265"/>
      <c r="E665" s="265"/>
      <c r="F665" s="265"/>
      <c r="G665" s="265"/>
      <c r="H665" s="266"/>
      <c r="I665" s="265"/>
      <c r="J665" s="123"/>
      <c r="K665" s="123"/>
      <c r="L665" s="123"/>
      <c r="M665" s="123"/>
      <c r="N665" s="123"/>
      <c r="O665" s="123"/>
      <c r="P665" s="121"/>
      <c r="Q665" s="121"/>
      <c r="R665" s="123"/>
      <c r="S665" s="123"/>
      <c r="T665" s="123"/>
      <c r="U665" s="123"/>
      <c r="V665" s="123"/>
      <c r="W665" s="123"/>
      <c r="X665" s="123"/>
      <c r="Y665" s="123"/>
      <c r="Z665" s="123"/>
      <c r="AA665" s="123"/>
      <c r="AB665" s="123"/>
      <c r="AC665" s="123"/>
      <c r="AD665" s="123"/>
      <c r="AE665" s="123"/>
      <c r="AF665" s="123"/>
      <c r="AG665" s="123"/>
      <c r="AH665" s="123"/>
      <c r="AI665" s="123"/>
      <c r="AJ665" s="87"/>
      <c r="AK665" s="87"/>
      <c r="AL665" s="87"/>
    </row>
    <row r="666">
      <c r="A666" s="302"/>
      <c r="B666" s="265"/>
      <c r="C666" s="147"/>
      <c r="D666" s="265"/>
      <c r="E666" s="265"/>
      <c r="F666" s="265"/>
      <c r="G666" s="265"/>
      <c r="H666" s="266"/>
      <c r="I666" s="265"/>
      <c r="J666" s="123"/>
      <c r="K666" s="123"/>
      <c r="L666" s="123"/>
      <c r="M666" s="123"/>
      <c r="N666" s="123"/>
      <c r="O666" s="123"/>
      <c r="P666" s="121"/>
      <c r="Q666" s="121"/>
      <c r="R666" s="123"/>
      <c r="S666" s="123"/>
      <c r="T666" s="123"/>
      <c r="U666" s="123"/>
      <c r="V666" s="123"/>
      <c r="W666" s="123"/>
      <c r="X666" s="123"/>
      <c r="Y666" s="123"/>
      <c r="Z666" s="123"/>
      <c r="AA666" s="123"/>
      <c r="AB666" s="123"/>
      <c r="AC666" s="123"/>
      <c r="AD666" s="123"/>
      <c r="AE666" s="123"/>
      <c r="AF666" s="123"/>
      <c r="AG666" s="123"/>
      <c r="AH666" s="123"/>
      <c r="AI666" s="123"/>
      <c r="AJ666" s="87"/>
      <c r="AK666" s="87"/>
      <c r="AL666" s="87"/>
    </row>
    <row r="667">
      <c r="A667" s="302"/>
      <c r="B667" s="265"/>
      <c r="C667" s="147"/>
      <c r="D667" s="265"/>
      <c r="E667" s="265"/>
      <c r="F667" s="265"/>
      <c r="G667" s="265"/>
      <c r="H667" s="266"/>
      <c r="I667" s="265"/>
      <c r="J667" s="123"/>
      <c r="K667" s="123"/>
      <c r="L667" s="123"/>
      <c r="M667" s="123"/>
      <c r="N667" s="123"/>
      <c r="O667" s="123"/>
      <c r="P667" s="121"/>
      <c r="Q667" s="121"/>
      <c r="R667" s="123"/>
      <c r="S667" s="123"/>
      <c r="T667" s="123"/>
      <c r="U667" s="123"/>
      <c r="V667" s="123"/>
      <c r="W667" s="123"/>
      <c r="X667" s="123"/>
      <c r="Y667" s="123"/>
      <c r="Z667" s="123"/>
      <c r="AA667" s="123"/>
      <c r="AB667" s="123"/>
      <c r="AC667" s="123"/>
      <c r="AD667" s="123"/>
      <c r="AE667" s="123"/>
      <c r="AF667" s="123"/>
      <c r="AG667" s="123"/>
      <c r="AH667" s="123"/>
      <c r="AI667" s="123"/>
      <c r="AJ667" s="87"/>
      <c r="AK667" s="87"/>
      <c r="AL667" s="87"/>
    </row>
    <row r="668">
      <c r="A668" s="302"/>
      <c r="B668" s="265"/>
      <c r="C668" s="147"/>
      <c r="D668" s="265"/>
      <c r="E668" s="265"/>
      <c r="F668" s="265"/>
      <c r="G668" s="265"/>
      <c r="H668" s="266"/>
      <c r="I668" s="265"/>
      <c r="J668" s="123"/>
      <c r="K668" s="123"/>
      <c r="L668" s="123"/>
      <c r="M668" s="123"/>
      <c r="N668" s="123"/>
      <c r="O668" s="123"/>
      <c r="P668" s="121"/>
      <c r="Q668" s="121"/>
      <c r="R668" s="123"/>
      <c r="S668" s="123"/>
      <c r="T668" s="123"/>
      <c r="U668" s="123"/>
      <c r="V668" s="123"/>
      <c r="W668" s="123"/>
      <c r="X668" s="123"/>
      <c r="Y668" s="123"/>
      <c r="Z668" s="123"/>
      <c r="AA668" s="123"/>
      <c r="AB668" s="123"/>
      <c r="AC668" s="123"/>
      <c r="AD668" s="123"/>
      <c r="AE668" s="123"/>
      <c r="AF668" s="123"/>
      <c r="AG668" s="123"/>
      <c r="AH668" s="123"/>
      <c r="AI668" s="123"/>
      <c r="AJ668" s="87"/>
      <c r="AK668" s="87"/>
      <c r="AL668" s="87"/>
    </row>
    <row r="669">
      <c r="A669" s="302"/>
      <c r="B669" s="265"/>
      <c r="C669" s="147"/>
      <c r="D669" s="265"/>
      <c r="E669" s="265"/>
      <c r="F669" s="265"/>
      <c r="G669" s="265"/>
      <c r="H669" s="266"/>
      <c r="I669" s="265"/>
      <c r="J669" s="123"/>
      <c r="K669" s="123"/>
      <c r="L669" s="123"/>
      <c r="M669" s="123"/>
      <c r="N669" s="123"/>
      <c r="O669" s="123"/>
      <c r="P669" s="121"/>
      <c r="Q669" s="121"/>
      <c r="R669" s="123"/>
      <c r="S669" s="123"/>
      <c r="T669" s="123"/>
      <c r="U669" s="123"/>
      <c r="V669" s="123"/>
      <c r="W669" s="123"/>
      <c r="X669" s="123"/>
      <c r="Y669" s="123"/>
      <c r="Z669" s="123"/>
      <c r="AA669" s="123"/>
      <c r="AB669" s="123"/>
      <c r="AC669" s="123"/>
      <c r="AD669" s="123"/>
      <c r="AE669" s="123"/>
      <c r="AF669" s="123"/>
      <c r="AG669" s="123"/>
      <c r="AH669" s="123"/>
      <c r="AI669" s="123"/>
      <c r="AJ669" s="87"/>
      <c r="AK669" s="87"/>
      <c r="AL669" s="87"/>
    </row>
    <row r="670">
      <c r="A670" s="302"/>
      <c r="B670" s="265"/>
      <c r="C670" s="147"/>
      <c r="D670" s="265"/>
      <c r="E670" s="265"/>
      <c r="F670" s="265"/>
      <c r="G670" s="265"/>
      <c r="H670" s="266"/>
      <c r="I670" s="265"/>
      <c r="J670" s="123"/>
      <c r="K670" s="123"/>
      <c r="L670" s="123"/>
      <c r="M670" s="123"/>
      <c r="N670" s="123"/>
      <c r="O670" s="123"/>
      <c r="P670" s="121"/>
      <c r="Q670" s="121"/>
      <c r="R670" s="123"/>
      <c r="S670" s="123"/>
      <c r="T670" s="123"/>
      <c r="U670" s="123"/>
      <c r="V670" s="123"/>
      <c r="W670" s="123"/>
      <c r="X670" s="123"/>
      <c r="Y670" s="123"/>
      <c r="Z670" s="123"/>
      <c r="AA670" s="123"/>
      <c r="AB670" s="123"/>
      <c r="AC670" s="123"/>
      <c r="AD670" s="123"/>
      <c r="AE670" s="123"/>
      <c r="AF670" s="123"/>
      <c r="AG670" s="123"/>
      <c r="AH670" s="123"/>
      <c r="AI670" s="123"/>
      <c r="AJ670" s="87"/>
      <c r="AK670" s="87"/>
      <c r="AL670" s="87"/>
    </row>
    <row r="671">
      <c r="A671" s="302"/>
      <c r="B671" s="265"/>
      <c r="C671" s="147"/>
      <c r="D671" s="265"/>
      <c r="E671" s="265"/>
      <c r="F671" s="265"/>
      <c r="G671" s="265"/>
      <c r="H671" s="266"/>
      <c r="I671" s="265"/>
      <c r="J671" s="123"/>
      <c r="K671" s="123"/>
      <c r="L671" s="123"/>
      <c r="M671" s="123"/>
      <c r="N671" s="123"/>
      <c r="O671" s="123"/>
      <c r="P671" s="121"/>
      <c r="Q671" s="121"/>
      <c r="R671" s="123"/>
      <c r="S671" s="123"/>
      <c r="T671" s="123"/>
      <c r="U671" s="123"/>
      <c r="V671" s="123"/>
      <c r="W671" s="123"/>
      <c r="X671" s="123"/>
      <c r="Y671" s="123"/>
      <c r="Z671" s="123"/>
      <c r="AA671" s="123"/>
      <c r="AB671" s="123"/>
      <c r="AC671" s="123"/>
      <c r="AD671" s="123"/>
      <c r="AE671" s="123"/>
      <c r="AF671" s="123"/>
      <c r="AG671" s="123"/>
      <c r="AH671" s="123"/>
      <c r="AI671" s="123"/>
      <c r="AJ671" s="87"/>
      <c r="AK671" s="87"/>
      <c r="AL671" s="87"/>
    </row>
    <row r="672">
      <c r="A672" s="302"/>
      <c r="B672" s="265"/>
      <c r="C672" s="147"/>
      <c r="D672" s="265"/>
      <c r="E672" s="265"/>
      <c r="F672" s="265"/>
      <c r="G672" s="265"/>
      <c r="H672" s="266"/>
      <c r="I672" s="265"/>
      <c r="J672" s="123"/>
      <c r="K672" s="123"/>
      <c r="L672" s="123"/>
      <c r="M672" s="123"/>
      <c r="N672" s="123"/>
      <c r="O672" s="123"/>
      <c r="P672" s="121"/>
      <c r="Q672" s="121"/>
      <c r="R672" s="123"/>
      <c r="S672" s="123"/>
      <c r="T672" s="123"/>
      <c r="U672" s="123"/>
      <c r="V672" s="123"/>
      <c r="W672" s="123"/>
      <c r="X672" s="123"/>
      <c r="Y672" s="123"/>
      <c r="Z672" s="123"/>
      <c r="AA672" s="123"/>
      <c r="AB672" s="123"/>
      <c r="AC672" s="123"/>
      <c r="AD672" s="123"/>
      <c r="AE672" s="123"/>
      <c r="AF672" s="123"/>
      <c r="AG672" s="123"/>
      <c r="AH672" s="123"/>
      <c r="AI672" s="123"/>
      <c r="AJ672" s="87"/>
      <c r="AK672" s="87"/>
      <c r="AL672" s="87"/>
    </row>
    <row r="673">
      <c r="A673" s="302"/>
      <c r="B673" s="265"/>
      <c r="C673" s="147"/>
      <c r="D673" s="265"/>
      <c r="E673" s="265"/>
      <c r="F673" s="265"/>
      <c r="G673" s="265"/>
      <c r="H673" s="266"/>
      <c r="I673" s="265"/>
      <c r="J673" s="123"/>
      <c r="K673" s="123"/>
      <c r="L673" s="123"/>
      <c r="M673" s="123"/>
      <c r="N673" s="123"/>
      <c r="O673" s="123"/>
      <c r="P673" s="121"/>
      <c r="Q673" s="121"/>
      <c r="R673" s="123"/>
      <c r="S673" s="123"/>
      <c r="T673" s="123"/>
      <c r="U673" s="123"/>
      <c r="V673" s="123"/>
      <c r="W673" s="123"/>
      <c r="X673" s="123"/>
      <c r="Y673" s="123"/>
      <c r="Z673" s="123"/>
      <c r="AA673" s="123"/>
      <c r="AB673" s="123"/>
      <c r="AC673" s="123"/>
      <c r="AD673" s="123"/>
      <c r="AE673" s="123"/>
      <c r="AF673" s="123"/>
      <c r="AG673" s="123"/>
      <c r="AH673" s="123"/>
      <c r="AI673" s="123"/>
      <c r="AJ673" s="87"/>
      <c r="AK673" s="87"/>
      <c r="AL673" s="87"/>
    </row>
    <row r="674">
      <c r="A674" s="302"/>
      <c r="B674" s="265"/>
      <c r="C674" s="147"/>
      <c r="D674" s="265"/>
      <c r="E674" s="265"/>
      <c r="F674" s="265"/>
      <c r="G674" s="265"/>
      <c r="H674" s="266"/>
      <c r="I674" s="265"/>
      <c r="J674" s="123"/>
      <c r="K674" s="123"/>
      <c r="L674" s="123"/>
      <c r="M674" s="123"/>
      <c r="N674" s="123"/>
      <c r="O674" s="123"/>
      <c r="P674" s="121"/>
      <c r="Q674" s="121"/>
      <c r="R674" s="123"/>
      <c r="S674" s="123"/>
      <c r="T674" s="123"/>
      <c r="U674" s="123"/>
      <c r="V674" s="123"/>
      <c r="W674" s="123"/>
      <c r="X674" s="123"/>
      <c r="Y674" s="123"/>
      <c r="Z674" s="123"/>
      <c r="AA674" s="123"/>
      <c r="AB674" s="123"/>
      <c r="AC674" s="123"/>
      <c r="AD674" s="123"/>
      <c r="AE674" s="123"/>
      <c r="AF674" s="123"/>
      <c r="AG674" s="123"/>
      <c r="AH674" s="123"/>
      <c r="AI674" s="123"/>
      <c r="AJ674" s="87"/>
      <c r="AK674" s="87"/>
      <c r="AL674" s="87"/>
    </row>
    <row r="675">
      <c r="A675" s="302"/>
      <c r="B675" s="265"/>
      <c r="C675" s="147"/>
      <c r="D675" s="265"/>
      <c r="E675" s="265"/>
      <c r="F675" s="265"/>
      <c r="G675" s="265"/>
      <c r="H675" s="266"/>
      <c r="I675" s="265"/>
      <c r="J675" s="123"/>
      <c r="K675" s="123"/>
      <c r="L675" s="123"/>
      <c r="M675" s="123"/>
      <c r="N675" s="123"/>
      <c r="O675" s="123"/>
      <c r="P675" s="121"/>
      <c r="Q675" s="121"/>
      <c r="R675" s="123"/>
      <c r="S675" s="123"/>
      <c r="T675" s="123"/>
      <c r="U675" s="123"/>
      <c r="V675" s="123"/>
      <c r="W675" s="123"/>
      <c r="X675" s="123"/>
      <c r="Y675" s="123"/>
      <c r="Z675" s="123"/>
      <c r="AA675" s="123"/>
      <c r="AB675" s="123"/>
      <c r="AC675" s="123"/>
      <c r="AD675" s="123"/>
      <c r="AE675" s="123"/>
      <c r="AF675" s="123"/>
      <c r="AG675" s="123"/>
      <c r="AH675" s="123"/>
      <c r="AI675" s="123"/>
      <c r="AJ675" s="87"/>
      <c r="AK675" s="87"/>
      <c r="AL675" s="87"/>
    </row>
    <row r="676">
      <c r="A676" s="302"/>
      <c r="B676" s="265"/>
      <c r="C676" s="147"/>
      <c r="D676" s="265"/>
      <c r="E676" s="265"/>
      <c r="F676" s="265"/>
      <c r="G676" s="265"/>
      <c r="H676" s="266"/>
      <c r="I676" s="265"/>
      <c r="J676" s="123"/>
      <c r="K676" s="123"/>
      <c r="L676" s="123"/>
      <c r="M676" s="123"/>
      <c r="N676" s="123"/>
      <c r="O676" s="123"/>
      <c r="P676" s="121"/>
      <c r="Q676" s="121"/>
      <c r="R676" s="123"/>
      <c r="S676" s="123"/>
      <c r="T676" s="123"/>
      <c r="U676" s="123"/>
      <c r="V676" s="123"/>
      <c r="W676" s="123"/>
      <c r="X676" s="123"/>
      <c r="Y676" s="123"/>
      <c r="Z676" s="123"/>
      <c r="AA676" s="123"/>
      <c r="AB676" s="123"/>
      <c r="AC676" s="123"/>
      <c r="AD676" s="123"/>
      <c r="AE676" s="123"/>
      <c r="AF676" s="123"/>
      <c r="AG676" s="123"/>
      <c r="AH676" s="123"/>
      <c r="AI676" s="123"/>
      <c r="AJ676" s="87"/>
      <c r="AK676" s="87"/>
      <c r="AL676" s="87"/>
    </row>
    <row r="677">
      <c r="A677" s="302"/>
      <c r="B677" s="265"/>
      <c r="C677" s="147"/>
      <c r="D677" s="265"/>
      <c r="E677" s="265"/>
      <c r="F677" s="265"/>
      <c r="G677" s="265"/>
      <c r="H677" s="266"/>
      <c r="I677" s="265"/>
      <c r="J677" s="123"/>
      <c r="K677" s="123"/>
      <c r="L677" s="123"/>
      <c r="M677" s="123"/>
      <c r="N677" s="123"/>
      <c r="O677" s="123"/>
      <c r="P677" s="121"/>
      <c r="Q677" s="121"/>
      <c r="R677" s="123"/>
      <c r="S677" s="123"/>
      <c r="T677" s="123"/>
      <c r="U677" s="123"/>
      <c r="V677" s="123"/>
      <c r="W677" s="123"/>
      <c r="X677" s="123"/>
      <c r="Y677" s="123"/>
      <c r="Z677" s="123"/>
      <c r="AA677" s="123"/>
      <c r="AB677" s="123"/>
      <c r="AC677" s="123"/>
      <c r="AD677" s="123"/>
      <c r="AE677" s="123"/>
      <c r="AF677" s="123"/>
      <c r="AG677" s="123"/>
      <c r="AH677" s="123"/>
      <c r="AI677" s="123"/>
      <c r="AJ677" s="87"/>
      <c r="AK677" s="87"/>
      <c r="AL677" s="87"/>
    </row>
    <row r="678">
      <c r="A678" s="302"/>
      <c r="B678" s="265"/>
      <c r="C678" s="147"/>
      <c r="D678" s="265"/>
      <c r="E678" s="265"/>
      <c r="F678" s="265"/>
      <c r="G678" s="265"/>
      <c r="H678" s="266"/>
      <c r="I678" s="265"/>
      <c r="J678" s="123"/>
      <c r="K678" s="123"/>
      <c r="L678" s="123"/>
      <c r="M678" s="123"/>
      <c r="N678" s="123"/>
      <c r="O678" s="123"/>
      <c r="P678" s="121"/>
      <c r="Q678" s="121"/>
      <c r="R678" s="123"/>
      <c r="S678" s="123"/>
      <c r="T678" s="123"/>
      <c r="U678" s="123"/>
      <c r="V678" s="123"/>
      <c r="W678" s="123"/>
      <c r="X678" s="123"/>
      <c r="Y678" s="123"/>
      <c r="Z678" s="123"/>
      <c r="AA678" s="123"/>
      <c r="AB678" s="123"/>
      <c r="AC678" s="123"/>
      <c r="AD678" s="123"/>
      <c r="AE678" s="123"/>
      <c r="AF678" s="123"/>
      <c r="AG678" s="123"/>
      <c r="AH678" s="123"/>
      <c r="AI678" s="123"/>
      <c r="AJ678" s="87"/>
      <c r="AK678" s="87"/>
      <c r="AL678" s="87"/>
    </row>
    <row r="679">
      <c r="A679" s="302"/>
      <c r="B679" s="265"/>
      <c r="C679" s="147"/>
      <c r="D679" s="265"/>
      <c r="E679" s="265"/>
      <c r="F679" s="265"/>
      <c r="G679" s="265"/>
      <c r="H679" s="266"/>
      <c r="I679" s="265"/>
      <c r="J679" s="123"/>
      <c r="K679" s="123"/>
      <c r="L679" s="123"/>
      <c r="M679" s="123"/>
      <c r="N679" s="123"/>
      <c r="O679" s="123"/>
      <c r="P679" s="121"/>
      <c r="Q679" s="121"/>
      <c r="R679" s="123"/>
      <c r="S679" s="123"/>
      <c r="T679" s="123"/>
      <c r="U679" s="123"/>
      <c r="V679" s="123"/>
      <c r="W679" s="123"/>
      <c r="X679" s="123"/>
      <c r="Y679" s="123"/>
      <c r="Z679" s="123"/>
      <c r="AA679" s="123"/>
      <c r="AB679" s="123"/>
      <c r="AC679" s="123"/>
      <c r="AD679" s="123"/>
      <c r="AE679" s="123"/>
      <c r="AF679" s="123"/>
      <c r="AG679" s="123"/>
      <c r="AH679" s="123"/>
      <c r="AI679" s="123"/>
      <c r="AJ679" s="87"/>
      <c r="AK679" s="87"/>
      <c r="AL679" s="87"/>
    </row>
    <row r="680">
      <c r="A680" s="302"/>
      <c r="B680" s="265"/>
      <c r="C680" s="147"/>
      <c r="D680" s="265"/>
      <c r="E680" s="265"/>
      <c r="F680" s="265"/>
      <c r="G680" s="265"/>
      <c r="H680" s="266"/>
      <c r="I680" s="265"/>
      <c r="J680" s="123"/>
      <c r="K680" s="123"/>
      <c r="L680" s="123"/>
      <c r="M680" s="123"/>
      <c r="N680" s="123"/>
      <c r="O680" s="123"/>
      <c r="P680" s="121"/>
      <c r="Q680" s="121"/>
      <c r="R680" s="123"/>
      <c r="S680" s="123"/>
      <c r="T680" s="123"/>
      <c r="U680" s="123"/>
      <c r="V680" s="123"/>
      <c r="W680" s="123"/>
      <c r="X680" s="123"/>
      <c r="Y680" s="123"/>
      <c r="Z680" s="123"/>
      <c r="AA680" s="123"/>
      <c r="AB680" s="123"/>
      <c r="AC680" s="123"/>
      <c r="AD680" s="123"/>
      <c r="AE680" s="123"/>
      <c r="AF680" s="123"/>
      <c r="AG680" s="123"/>
      <c r="AH680" s="123"/>
      <c r="AI680" s="123"/>
      <c r="AJ680" s="87"/>
      <c r="AK680" s="87"/>
      <c r="AL680" s="87"/>
    </row>
    <row r="681">
      <c r="A681" s="302"/>
      <c r="B681" s="265"/>
      <c r="C681" s="147"/>
      <c r="D681" s="265"/>
      <c r="E681" s="265"/>
      <c r="F681" s="265"/>
      <c r="G681" s="265"/>
      <c r="H681" s="266"/>
      <c r="I681" s="265"/>
      <c r="J681" s="123"/>
      <c r="K681" s="123"/>
      <c r="L681" s="123"/>
      <c r="M681" s="123"/>
      <c r="N681" s="123"/>
      <c r="O681" s="123"/>
      <c r="P681" s="121"/>
      <c r="Q681" s="121"/>
      <c r="R681" s="123"/>
      <c r="S681" s="123"/>
      <c r="T681" s="123"/>
      <c r="U681" s="123"/>
      <c r="V681" s="123"/>
      <c r="W681" s="123"/>
      <c r="X681" s="123"/>
      <c r="Y681" s="123"/>
      <c r="Z681" s="123"/>
      <c r="AA681" s="123"/>
      <c r="AB681" s="123"/>
      <c r="AC681" s="123"/>
      <c r="AD681" s="123"/>
      <c r="AE681" s="123"/>
      <c r="AF681" s="123"/>
      <c r="AG681" s="123"/>
      <c r="AH681" s="123"/>
      <c r="AI681" s="123"/>
      <c r="AJ681" s="87"/>
      <c r="AK681" s="87"/>
      <c r="AL681" s="87"/>
    </row>
    <row r="682">
      <c r="A682" s="302"/>
      <c r="B682" s="265"/>
      <c r="C682" s="147"/>
      <c r="D682" s="265"/>
      <c r="E682" s="265"/>
      <c r="F682" s="265"/>
      <c r="G682" s="265"/>
      <c r="H682" s="266"/>
      <c r="I682" s="265"/>
      <c r="J682" s="123"/>
      <c r="K682" s="123"/>
      <c r="L682" s="123"/>
      <c r="M682" s="123"/>
      <c r="N682" s="123"/>
      <c r="O682" s="123"/>
      <c r="P682" s="121"/>
      <c r="Q682" s="121"/>
      <c r="R682" s="123"/>
      <c r="S682" s="123"/>
      <c r="T682" s="123"/>
      <c r="U682" s="123"/>
      <c r="V682" s="123"/>
      <c r="W682" s="123"/>
      <c r="X682" s="123"/>
      <c r="Y682" s="123"/>
      <c r="Z682" s="123"/>
      <c r="AA682" s="123"/>
      <c r="AB682" s="123"/>
      <c r="AC682" s="123"/>
      <c r="AD682" s="123"/>
      <c r="AE682" s="123"/>
      <c r="AF682" s="123"/>
      <c r="AG682" s="123"/>
      <c r="AH682" s="123"/>
      <c r="AI682" s="123"/>
      <c r="AJ682" s="87"/>
      <c r="AK682" s="87"/>
      <c r="AL682" s="87"/>
    </row>
    <row r="683">
      <c r="A683" s="302"/>
      <c r="B683" s="265"/>
      <c r="C683" s="147"/>
      <c r="D683" s="265"/>
      <c r="E683" s="265"/>
      <c r="F683" s="265"/>
      <c r="G683" s="265"/>
      <c r="H683" s="266"/>
      <c r="I683" s="265"/>
      <c r="J683" s="123"/>
      <c r="K683" s="123"/>
      <c r="L683" s="123"/>
      <c r="M683" s="123"/>
      <c r="N683" s="123"/>
      <c r="O683" s="123"/>
      <c r="P683" s="121"/>
      <c r="Q683" s="121"/>
      <c r="R683" s="123"/>
      <c r="S683" s="123"/>
      <c r="T683" s="123"/>
      <c r="U683" s="123"/>
      <c r="V683" s="123"/>
      <c r="W683" s="123"/>
      <c r="X683" s="123"/>
      <c r="Y683" s="123"/>
      <c r="Z683" s="123"/>
      <c r="AA683" s="123"/>
      <c r="AB683" s="123"/>
      <c r="AC683" s="123"/>
      <c r="AD683" s="123"/>
      <c r="AE683" s="123"/>
      <c r="AF683" s="123"/>
      <c r="AG683" s="123"/>
      <c r="AH683" s="123"/>
      <c r="AI683" s="123"/>
      <c r="AJ683" s="87"/>
      <c r="AK683" s="87"/>
      <c r="AL683" s="87"/>
    </row>
    <row r="684">
      <c r="A684" s="302"/>
      <c r="B684" s="265"/>
      <c r="C684" s="147"/>
      <c r="D684" s="265"/>
      <c r="E684" s="265"/>
      <c r="F684" s="265"/>
      <c r="G684" s="265"/>
      <c r="H684" s="266"/>
      <c r="I684" s="265"/>
      <c r="J684" s="123"/>
      <c r="K684" s="123"/>
      <c r="L684" s="123"/>
      <c r="M684" s="123"/>
      <c r="N684" s="123"/>
      <c r="O684" s="123"/>
      <c r="P684" s="121"/>
      <c r="Q684" s="121"/>
      <c r="R684" s="123"/>
      <c r="S684" s="123"/>
      <c r="T684" s="123"/>
      <c r="U684" s="123"/>
      <c r="V684" s="123"/>
      <c r="W684" s="123"/>
      <c r="X684" s="123"/>
      <c r="Y684" s="123"/>
      <c r="Z684" s="123"/>
      <c r="AA684" s="123"/>
      <c r="AB684" s="123"/>
      <c r="AC684" s="123"/>
      <c r="AD684" s="123"/>
      <c r="AE684" s="123"/>
      <c r="AF684" s="123"/>
      <c r="AG684" s="123"/>
      <c r="AH684" s="123"/>
      <c r="AI684" s="123"/>
      <c r="AJ684" s="87"/>
      <c r="AK684" s="87"/>
      <c r="AL684" s="87"/>
    </row>
    <row r="685">
      <c r="A685" s="302"/>
      <c r="B685" s="265"/>
      <c r="C685" s="147"/>
      <c r="D685" s="265"/>
      <c r="E685" s="265"/>
      <c r="F685" s="265"/>
      <c r="G685" s="265"/>
      <c r="H685" s="266"/>
      <c r="I685" s="265"/>
      <c r="J685" s="123"/>
      <c r="K685" s="123"/>
      <c r="L685" s="123"/>
      <c r="M685" s="123"/>
      <c r="N685" s="123"/>
      <c r="O685" s="123"/>
      <c r="P685" s="121"/>
      <c r="Q685" s="121"/>
      <c r="R685" s="123"/>
      <c r="S685" s="123"/>
      <c r="T685" s="123"/>
      <c r="U685" s="123"/>
      <c r="V685" s="123"/>
      <c r="W685" s="123"/>
      <c r="X685" s="123"/>
      <c r="Y685" s="123"/>
      <c r="Z685" s="123"/>
      <c r="AA685" s="123"/>
      <c r="AB685" s="123"/>
      <c r="AC685" s="123"/>
      <c r="AD685" s="123"/>
      <c r="AE685" s="123"/>
      <c r="AF685" s="123"/>
      <c r="AG685" s="123"/>
      <c r="AH685" s="123"/>
      <c r="AI685" s="123"/>
      <c r="AJ685" s="87"/>
      <c r="AK685" s="87"/>
      <c r="AL685" s="87"/>
    </row>
    <row r="686">
      <c r="A686" s="302"/>
      <c r="B686" s="265"/>
      <c r="C686" s="147"/>
      <c r="D686" s="265"/>
      <c r="E686" s="265"/>
      <c r="F686" s="265"/>
      <c r="G686" s="265"/>
      <c r="H686" s="266"/>
      <c r="I686" s="265"/>
      <c r="J686" s="123"/>
      <c r="K686" s="123"/>
      <c r="L686" s="123"/>
      <c r="M686" s="123"/>
      <c r="N686" s="123"/>
      <c r="O686" s="123"/>
      <c r="P686" s="121"/>
      <c r="Q686" s="121"/>
      <c r="R686" s="123"/>
      <c r="S686" s="123"/>
      <c r="T686" s="123"/>
      <c r="U686" s="123"/>
      <c r="V686" s="123"/>
      <c r="W686" s="123"/>
      <c r="X686" s="123"/>
      <c r="Y686" s="123"/>
      <c r="Z686" s="123"/>
      <c r="AA686" s="123"/>
      <c r="AB686" s="123"/>
      <c r="AC686" s="123"/>
      <c r="AD686" s="123"/>
      <c r="AE686" s="123"/>
      <c r="AF686" s="123"/>
      <c r="AG686" s="123"/>
      <c r="AH686" s="123"/>
      <c r="AI686" s="123"/>
      <c r="AJ686" s="87"/>
      <c r="AK686" s="87"/>
      <c r="AL686" s="87"/>
    </row>
    <row r="687">
      <c r="A687" s="302"/>
      <c r="B687" s="265"/>
      <c r="C687" s="147"/>
      <c r="D687" s="265"/>
      <c r="E687" s="265"/>
      <c r="F687" s="265"/>
      <c r="G687" s="265"/>
      <c r="H687" s="266"/>
      <c r="I687" s="265"/>
      <c r="J687" s="123"/>
      <c r="K687" s="123"/>
      <c r="L687" s="123"/>
      <c r="M687" s="123"/>
      <c r="N687" s="123"/>
      <c r="O687" s="123"/>
      <c r="P687" s="121"/>
      <c r="Q687" s="121"/>
      <c r="R687" s="123"/>
      <c r="S687" s="123"/>
      <c r="T687" s="123"/>
      <c r="U687" s="123"/>
      <c r="V687" s="123"/>
      <c r="W687" s="123"/>
      <c r="X687" s="123"/>
      <c r="Y687" s="123"/>
      <c r="Z687" s="123"/>
      <c r="AA687" s="123"/>
      <c r="AB687" s="123"/>
      <c r="AC687" s="123"/>
      <c r="AD687" s="123"/>
      <c r="AE687" s="123"/>
      <c r="AF687" s="123"/>
      <c r="AG687" s="123"/>
      <c r="AH687" s="123"/>
      <c r="AI687" s="123"/>
      <c r="AJ687" s="87"/>
      <c r="AK687" s="87"/>
      <c r="AL687" s="87"/>
    </row>
    <row r="688">
      <c r="A688" s="302"/>
      <c r="B688" s="265"/>
      <c r="C688" s="147"/>
      <c r="D688" s="265"/>
      <c r="E688" s="265"/>
      <c r="F688" s="265"/>
      <c r="G688" s="265"/>
      <c r="H688" s="266"/>
      <c r="I688" s="265"/>
      <c r="J688" s="123"/>
      <c r="K688" s="123"/>
      <c r="L688" s="123"/>
      <c r="M688" s="123"/>
      <c r="N688" s="123"/>
      <c r="O688" s="123"/>
      <c r="P688" s="121"/>
      <c r="Q688" s="121"/>
      <c r="R688" s="123"/>
      <c r="S688" s="123"/>
      <c r="T688" s="123"/>
      <c r="U688" s="123"/>
      <c r="V688" s="123"/>
      <c r="W688" s="123"/>
      <c r="X688" s="123"/>
      <c r="Y688" s="123"/>
      <c r="Z688" s="123"/>
      <c r="AA688" s="123"/>
      <c r="AB688" s="123"/>
      <c r="AC688" s="123"/>
      <c r="AD688" s="123"/>
      <c r="AE688" s="123"/>
      <c r="AF688" s="123"/>
      <c r="AG688" s="123"/>
      <c r="AH688" s="123"/>
      <c r="AI688" s="123"/>
      <c r="AJ688" s="87"/>
      <c r="AK688" s="87"/>
      <c r="AL688" s="87"/>
    </row>
    <row r="689">
      <c r="A689" s="302"/>
      <c r="B689" s="265"/>
      <c r="C689" s="147"/>
      <c r="D689" s="265"/>
      <c r="E689" s="265"/>
      <c r="F689" s="265"/>
      <c r="G689" s="265"/>
      <c r="H689" s="266"/>
      <c r="I689" s="265"/>
      <c r="J689" s="123"/>
      <c r="K689" s="123"/>
      <c r="L689" s="123"/>
      <c r="M689" s="123"/>
      <c r="N689" s="123"/>
      <c r="O689" s="123"/>
      <c r="P689" s="121"/>
      <c r="Q689" s="121"/>
      <c r="R689" s="123"/>
      <c r="S689" s="123"/>
      <c r="T689" s="123"/>
      <c r="U689" s="123"/>
      <c r="V689" s="123"/>
      <c r="W689" s="123"/>
      <c r="X689" s="123"/>
      <c r="Y689" s="123"/>
      <c r="Z689" s="123"/>
      <c r="AA689" s="123"/>
      <c r="AB689" s="123"/>
      <c r="AC689" s="123"/>
      <c r="AD689" s="123"/>
      <c r="AE689" s="123"/>
      <c r="AF689" s="123"/>
      <c r="AG689" s="123"/>
      <c r="AH689" s="123"/>
      <c r="AI689" s="123"/>
      <c r="AJ689" s="87"/>
      <c r="AK689" s="87"/>
      <c r="AL689" s="87"/>
    </row>
    <row r="690">
      <c r="A690" s="302"/>
      <c r="B690" s="265"/>
      <c r="C690" s="147"/>
      <c r="D690" s="265"/>
      <c r="E690" s="265"/>
      <c r="F690" s="265"/>
      <c r="G690" s="265"/>
      <c r="H690" s="266"/>
      <c r="I690" s="265"/>
      <c r="J690" s="123"/>
      <c r="K690" s="123"/>
      <c r="L690" s="123"/>
      <c r="M690" s="123"/>
      <c r="N690" s="123"/>
      <c r="O690" s="123"/>
      <c r="P690" s="121"/>
      <c r="Q690" s="121"/>
      <c r="R690" s="123"/>
      <c r="S690" s="123"/>
      <c r="T690" s="123"/>
      <c r="U690" s="123"/>
      <c r="V690" s="123"/>
      <c r="W690" s="123"/>
      <c r="X690" s="123"/>
      <c r="Y690" s="123"/>
      <c r="Z690" s="123"/>
      <c r="AA690" s="123"/>
      <c r="AB690" s="123"/>
      <c r="AC690" s="123"/>
      <c r="AD690" s="123"/>
      <c r="AE690" s="123"/>
      <c r="AF690" s="123"/>
      <c r="AG690" s="123"/>
      <c r="AH690" s="123"/>
      <c r="AI690" s="123"/>
      <c r="AJ690" s="87"/>
      <c r="AK690" s="87"/>
      <c r="AL690" s="87"/>
    </row>
    <row r="691">
      <c r="A691" s="302"/>
      <c r="B691" s="265"/>
      <c r="C691" s="147"/>
      <c r="D691" s="265"/>
      <c r="E691" s="265"/>
      <c r="F691" s="265"/>
      <c r="G691" s="265"/>
      <c r="H691" s="266"/>
      <c r="I691" s="265"/>
      <c r="J691" s="123"/>
      <c r="K691" s="123"/>
      <c r="L691" s="123"/>
      <c r="M691" s="123"/>
      <c r="N691" s="123"/>
      <c r="O691" s="123"/>
      <c r="P691" s="121"/>
      <c r="Q691" s="121"/>
      <c r="R691" s="123"/>
      <c r="S691" s="123"/>
      <c r="T691" s="123"/>
      <c r="U691" s="123"/>
      <c r="V691" s="123"/>
      <c r="W691" s="123"/>
      <c r="X691" s="123"/>
      <c r="Y691" s="123"/>
      <c r="Z691" s="123"/>
      <c r="AA691" s="123"/>
      <c r="AB691" s="123"/>
      <c r="AC691" s="123"/>
      <c r="AD691" s="123"/>
      <c r="AE691" s="123"/>
      <c r="AF691" s="123"/>
      <c r="AG691" s="123"/>
      <c r="AH691" s="123"/>
      <c r="AI691" s="123"/>
      <c r="AJ691" s="87"/>
      <c r="AK691" s="87"/>
      <c r="AL691" s="87"/>
    </row>
    <row r="692">
      <c r="A692" s="90"/>
      <c r="B692" s="259"/>
      <c r="C692" s="259"/>
      <c r="D692" s="259"/>
      <c r="E692" s="259"/>
      <c r="F692" s="102"/>
      <c r="G692" s="102"/>
      <c r="H692" s="260"/>
      <c r="I692" s="259"/>
      <c r="J692" s="77"/>
      <c r="K692" s="115"/>
      <c r="L692" s="77"/>
      <c r="M692" s="77"/>
      <c r="N692" s="77"/>
      <c r="O692" s="77"/>
      <c r="P692" s="71"/>
      <c r="Q692" s="71"/>
      <c r="R692" s="77"/>
      <c r="S692" s="77"/>
      <c r="T692" s="77"/>
      <c r="U692" s="77"/>
      <c r="V692" s="115"/>
      <c r="W692" s="115"/>
      <c r="X692" s="115"/>
      <c r="Y692" s="115"/>
      <c r="Z692" s="115"/>
      <c r="AA692" s="115"/>
      <c r="AB692" s="261"/>
      <c r="AC692" s="77"/>
      <c r="AD692" s="115"/>
      <c r="AE692" s="77"/>
      <c r="AF692" s="77"/>
      <c r="AG692" s="77"/>
      <c r="AH692" s="77"/>
      <c r="AI692" s="77"/>
      <c r="AJ692" s="87"/>
      <c r="AK692" s="87"/>
      <c r="AL692" s="87"/>
    </row>
    <row r="693">
      <c r="A693" s="147"/>
      <c r="B693" s="123"/>
      <c r="C693" s="147"/>
      <c r="D693" s="265"/>
      <c r="E693" s="265"/>
      <c r="F693" s="265"/>
      <c r="G693" s="265"/>
      <c r="H693" s="266"/>
      <c r="I693" s="265"/>
      <c r="J693" s="123"/>
      <c r="K693" s="123"/>
      <c r="L693" s="123"/>
      <c r="M693" s="123"/>
      <c r="N693" s="123"/>
      <c r="O693" s="123"/>
      <c r="P693" s="121"/>
      <c r="Q693" s="121"/>
      <c r="R693" s="123"/>
      <c r="S693" s="123"/>
      <c r="T693" s="123"/>
      <c r="U693" s="123"/>
      <c r="V693" s="123"/>
      <c r="W693" s="123"/>
      <c r="X693" s="123"/>
      <c r="Y693" s="123"/>
      <c r="Z693" s="123"/>
      <c r="AA693" s="123"/>
      <c r="AB693" s="123"/>
      <c r="AC693" s="123"/>
      <c r="AD693" s="123"/>
      <c r="AE693" s="123"/>
      <c r="AF693" s="123"/>
      <c r="AG693" s="123"/>
      <c r="AH693" s="123"/>
      <c r="AI693" s="123"/>
      <c r="AJ693" s="87"/>
      <c r="AK693" s="87"/>
      <c r="AL693" s="87"/>
    </row>
    <row r="694">
      <c r="A694" s="147"/>
      <c r="B694" s="123"/>
      <c r="C694" s="147"/>
      <c r="D694" s="265"/>
      <c r="E694" s="265"/>
      <c r="F694" s="265"/>
      <c r="G694" s="265"/>
      <c r="H694" s="266"/>
      <c r="I694" s="265"/>
      <c r="J694" s="123"/>
      <c r="K694" s="123"/>
      <c r="L694" s="123"/>
      <c r="M694" s="123"/>
      <c r="N694" s="123"/>
      <c r="O694" s="123"/>
      <c r="P694" s="121"/>
      <c r="Q694" s="121"/>
      <c r="R694" s="123"/>
      <c r="S694" s="123"/>
      <c r="T694" s="123"/>
      <c r="U694" s="123"/>
      <c r="V694" s="123"/>
      <c r="W694" s="123"/>
      <c r="X694" s="123"/>
      <c r="Y694" s="123"/>
      <c r="Z694" s="123"/>
      <c r="AA694" s="123"/>
      <c r="AB694" s="123"/>
      <c r="AC694" s="123"/>
      <c r="AD694" s="123"/>
      <c r="AE694" s="123"/>
      <c r="AF694" s="123"/>
      <c r="AG694" s="123"/>
      <c r="AH694" s="123"/>
      <c r="AI694" s="123"/>
      <c r="AJ694" s="87"/>
      <c r="AK694" s="87"/>
      <c r="AL694" s="87"/>
    </row>
    <row r="695">
      <c r="A695" s="147"/>
      <c r="B695" s="123"/>
      <c r="C695" s="147"/>
      <c r="D695" s="265"/>
      <c r="E695" s="265"/>
      <c r="F695" s="265"/>
      <c r="G695" s="265"/>
      <c r="H695" s="266"/>
      <c r="I695" s="265"/>
      <c r="J695" s="123"/>
      <c r="K695" s="123"/>
      <c r="L695" s="123"/>
      <c r="M695" s="123"/>
      <c r="N695" s="123"/>
      <c r="O695" s="123"/>
      <c r="P695" s="121"/>
      <c r="Q695" s="121"/>
      <c r="R695" s="123"/>
      <c r="S695" s="123"/>
      <c r="T695" s="123"/>
      <c r="U695" s="123"/>
      <c r="V695" s="123"/>
      <c r="W695" s="123"/>
      <c r="X695" s="123"/>
      <c r="Y695" s="123"/>
      <c r="Z695" s="123"/>
      <c r="AA695" s="123"/>
      <c r="AB695" s="123"/>
      <c r="AC695" s="123"/>
      <c r="AD695" s="123"/>
      <c r="AE695" s="123"/>
      <c r="AF695" s="123"/>
      <c r="AG695" s="123"/>
      <c r="AH695" s="123"/>
      <c r="AI695" s="123"/>
      <c r="AJ695" s="87"/>
      <c r="AK695" s="87"/>
      <c r="AL695" s="87"/>
    </row>
    <row r="696">
      <c r="A696" s="147"/>
      <c r="B696" s="123"/>
      <c r="C696" s="147"/>
      <c r="D696" s="265"/>
      <c r="E696" s="265"/>
      <c r="F696" s="265"/>
      <c r="G696" s="265"/>
      <c r="H696" s="266"/>
      <c r="I696" s="265"/>
      <c r="J696" s="123"/>
      <c r="K696" s="123"/>
      <c r="L696" s="123"/>
      <c r="M696" s="123"/>
      <c r="N696" s="123"/>
      <c r="O696" s="123"/>
      <c r="P696" s="121"/>
      <c r="Q696" s="121"/>
      <c r="R696" s="123"/>
      <c r="S696" s="123"/>
      <c r="T696" s="123"/>
      <c r="U696" s="123"/>
      <c r="V696" s="123"/>
      <c r="W696" s="123"/>
      <c r="X696" s="123"/>
      <c r="Y696" s="123"/>
      <c r="Z696" s="123"/>
      <c r="AA696" s="123"/>
      <c r="AB696" s="123"/>
      <c r="AC696" s="123"/>
      <c r="AD696" s="123"/>
      <c r="AE696" s="123"/>
      <c r="AF696" s="123"/>
      <c r="AG696" s="123"/>
      <c r="AH696" s="123"/>
      <c r="AI696" s="123"/>
      <c r="AJ696" s="87"/>
      <c r="AK696" s="87"/>
      <c r="AL696" s="87"/>
    </row>
    <row r="697">
      <c r="A697" s="147"/>
      <c r="B697" s="123"/>
      <c r="C697" s="147"/>
      <c r="D697" s="265"/>
      <c r="E697" s="265"/>
      <c r="F697" s="265"/>
      <c r="G697" s="265"/>
      <c r="H697" s="266"/>
      <c r="I697" s="265"/>
      <c r="J697" s="123"/>
      <c r="K697" s="123"/>
      <c r="L697" s="123"/>
      <c r="M697" s="123"/>
      <c r="N697" s="123"/>
      <c r="O697" s="123"/>
      <c r="P697" s="121"/>
      <c r="Q697" s="121"/>
      <c r="R697" s="123"/>
      <c r="S697" s="123"/>
      <c r="T697" s="123"/>
      <c r="U697" s="123"/>
      <c r="V697" s="123"/>
      <c r="W697" s="123"/>
      <c r="X697" s="123"/>
      <c r="Y697" s="123"/>
      <c r="Z697" s="123"/>
      <c r="AA697" s="123"/>
      <c r="AB697" s="123"/>
      <c r="AC697" s="123"/>
      <c r="AD697" s="123"/>
      <c r="AE697" s="123"/>
      <c r="AF697" s="123"/>
      <c r="AG697" s="123"/>
      <c r="AH697" s="123"/>
      <c r="AI697" s="123"/>
      <c r="AJ697" s="87"/>
      <c r="AK697" s="87"/>
      <c r="AL697" s="87"/>
    </row>
    <row r="698">
      <c r="A698" s="147"/>
      <c r="B698" s="123"/>
      <c r="C698" s="147"/>
      <c r="D698" s="265"/>
      <c r="E698" s="265"/>
      <c r="F698" s="265"/>
      <c r="G698" s="265"/>
      <c r="H698" s="266"/>
      <c r="I698" s="265"/>
      <c r="J698" s="123"/>
      <c r="K698" s="123"/>
      <c r="L698" s="123"/>
      <c r="M698" s="123"/>
      <c r="N698" s="123"/>
      <c r="O698" s="123"/>
      <c r="P698" s="121"/>
      <c r="Q698" s="121"/>
      <c r="R698" s="123"/>
      <c r="S698" s="123"/>
      <c r="T698" s="123"/>
      <c r="U698" s="123"/>
      <c r="V698" s="123"/>
      <c r="W698" s="123"/>
      <c r="X698" s="123"/>
      <c r="Y698" s="123"/>
      <c r="Z698" s="123"/>
      <c r="AA698" s="123"/>
      <c r="AB698" s="123"/>
      <c r="AC698" s="123"/>
      <c r="AD698" s="123"/>
      <c r="AE698" s="123"/>
      <c r="AF698" s="123"/>
      <c r="AG698" s="123"/>
      <c r="AH698" s="123"/>
      <c r="AI698" s="123"/>
      <c r="AJ698" s="87"/>
      <c r="AK698" s="87"/>
      <c r="AL698" s="87"/>
    </row>
    <row r="699">
      <c r="A699" s="147"/>
      <c r="B699" s="123"/>
      <c r="C699" s="147"/>
      <c r="D699" s="265"/>
      <c r="E699" s="265"/>
      <c r="F699" s="265"/>
      <c r="G699" s="265"/>
      <c r="H699" s="266"/>
      <c r="I699" s="265"/>
      <c r="J699" s="123"/>
      <c r="K699" s="123"/>
      <c r="L699" s="123"/>
      <c r="M699" s="123"/>
      <c r="N699" s="123"/>
      <c r="O699" s="123"/>
      <c r="P699" s="121"/>
      <c r="Q699" s="121"/>
      <c r="R699" s="123"/>
      <c r="S699" s="123"/>
      <c r="T699" s="123"/>
      <c r="U699" s="123"/>
      <c r="V699" s="123"/>
      <c r="W699" s="123"/>
      <c r="X699" s="123"/>
      <c r="Y699" s="123"/>
      <c r="Z699" s="123"/>
      <c r="AA699" s="123"/>
      <c r="AB699" s="123"/>
      <c r="AC699" s="123"/>
      <c r="AD699" s="123"/>
      <c r="AE699" s="123"/>
      <c r="AF699" s="123"/>
      <c r="AG699" s="123"/>
      <c r="AH699" s="123"/>
      <c r="AI699" s="123"/>
      <c r="AJ699" s="87"/>
      <c r="AK699" s="87"/>
      <c r="AL699" s="87"/>
    </row>
    <row r="700">
      <c r="A700" s="147"/>
      <c r="B700" s="123"/>
      <c r="C700" s="147"/>
      <c r="D700" s="265"/>
      <c r="E700" s="265"/>
      <c r="F700" s="265"/>
      <c r="G700" s="265"/>
      <c r="H700" s="266"/>
      <c r="I700" s="265"/>
      <c r="J700" s="123"/>
      <c r="K700" s="123"/>
      <c r="L700" s="123"/>
      <c r="M700" s="123"/>
      <c r="N700" s="123"/>
      <c r="O700" s="123"/>
      <c r="P700" s="121"/>
      <c r="Q700" s="121"/>
      <c r="R700" s="123"/>
      <c r="S700" s="123"/>
      <c r="T700" s="123"/>
      <c r="U700" s="123"/>
      <c r="V700" s="123"/>
      <c r="W700" s="123"/>
      <c r="X700" s="123"/>
      <c r="Y700" s="123"/>
      <c r="Z700" s="123"/>
      <c r="AA700" s="123"/>
      <c r="AB700" s="123"/>
      <c r="AC700" s="123"/>
      <c r="AD700" s="123"/>
      <c r="AE700" s="123"/>
      <c r="AF700" s="123"/>
      <c r="AG700" s="123"/>
      <c r="AH700" s="123"/>
      <c r="AI700" s="123"/>
      <c r="AJ700" s="87"/>
      <c r="AK700" s="87"/>
      <c r="AL700" s="87"/>
    </row>
    <row r="701">
      <c r="A701" s="147"/>
      <c r="B701" s="123"/>
      <c r="C701" s="147"/>
      <c r="D701" s="265"/>
      <c r="E701" s="265"/>
      <c r="F701" s="265"/>
      <c r="G701" s="265"/>
      <c r="H701" s="266"/>
      <c r="I701" s="265"/>
      <c r="J701" s="123"/>
      <c r="K701" s="123"/>
      <c r="L701" s="123"/>
      <c r="M701" s="123"/>
      <c r="N701" s="123"/>
      <c r="O701" s="123"/>
      <c r="P701" s="121"/>
      <c r="Q701" s="121"/>
      <c r="R701" s="123"/>
      <c r="S701" s="123"/>
      <c r="T701" s="123"/>
      <c r="U701" s="123"/>
      <c r="V701" s="123"/>
      <c r="W701" s="123"/>
      <c r="X701" s="123"/>
      <c r="Y701" s="123"/>
      <c r="Z701" s="123"/>
      <c r="AA701" s="123"/>
      <c r="AB701" s="123"/>
      <c r="AC701" s="123"/>
      <c r="AD701" s="123"/>
      <c r="AE701" s="123"/>
      <c r="AF701" s="123"/>
      <c r="AG701" s="123"/>
      <c r="AH701" s="123"/>
      <c r="AI701" s="123"/>
      <c r="AJ701" s="87"/>
      <c r="AK701" s="87"/>
      <c r="AL701" s="87"/>
    </row>
    <row r="702">
      <c r="A702" s="147"/>
      <c r="B702" s="123"/>
      <c r="C702" s="147"/>
      <c r="D702" s="265"/>
      <c r="E702" s="265"/>
      <c r="F702" s="265"/>
      <c r="G702" s="265"/>
      <c r="H702" s="266"/>
      <c r="I702" s="265"/>
      <c r="J702" s="123"/>
      <c r="K702" s="123"/>
      <c r="L702" s="123"/>
      <c r="M702" s="123"/>
      <c r="N702" s="123"/>
      <c r="O702" s="123"/>
      <c r="P702" s="121"/>
      <c r="Q702" s="121"/>
      <c r="R702" s="123"/>
      <c r="S702" s="123"/>
      <c r="T702" s="123"/>
      <c r="U702" s="123"/>
      <c r="V702" s="123"/>
      <c r="W702" s="123"/>
      <c r="X702" s="123"/>
      <c r="Y702" s="123"/>
      <c r="Z702" s="123"/>
      <c r="AA702" s="123"/>
      <c r="AB702" s="123"/>
      <c r="AC702" s="123"/>
      <c r="AD702" s="123"/>
      <c r="AE702" s="123"/>
      <c r="AF702" s="123"/>
      <c r="AG702" s="123"/>
      <c r="AH702" s="123"/>
      <c r="AI702" s="123"/>
      <c r="AJ702" s="87"/>
      <c r="AK702" s="87"/>
      <c r="AL702" s="87"/>
    </row>
    <row r="703">
      <c r="A703" s="147"/>
      <c r="B703" s="123"/>
      <c r="C703" s="147"/>
      <c r="D703" s="265"/>
      <c r="E703" s="265"/>
      <c r="F703" s="265"/>
      <c r="G703" s="265"/>
      <c r="H703" s="266"/>
      <c r="I703" s="265"/>
      <c r="J703" s="123"/>
      <c r="K703" s="123"/>
      <c r="L703" s="123"/>
      <c r="M703" s="123"/>
      <c r="N703" s="123"/>
      <c r="O703" s="123"/>
      <c r="P703" s="121"/>
      <c r="Q703" s="121"/>
      <c r="R703" s="123"/>
      <c r="S703" s="123"/>
      <c r="T703" s="123"/>
      <c r="U703" s="123"/>
      <c r="V703" s="123"/>
      <c r="W703" s="123"/>
      <c r="X703" s="123"/>
      <c r="Y703" s="123"/>
      <c r="Z703" s="123"/>
      <c r="AA703" s="123"/>
      <c r="AB703" s="123"/>
      <c r="AC703" s="123"/>
      <c r="AD703" s="123"/>
      <c r="AE703" s="123"/>
      <c r="AF703" s="123"/>
      <c r="AG703" s="123"/>
      <c r="AH703" s="123"/>
      <c r="AI703" s="123"/>
      <c r="AJ703" s="87"/>
      <c r="AK703" s="87"/>
      <c r="AL703" s="87"/>
    </row>
    <row r="704">
      <c r="A704" s="147"/>
      <c r="B704" s="123"/>
      <c r="C704" s="147"/>
      <c r="D704" s="265"/>
      <c r="E704" s="265"/>
      <c r="F704" s="265"/>
      <c r="G704" s="265"/>
      <c r="H704" s="266"/>
      <c r="I704" s="265"/>
      <c r="J704" s="123"/>
      <c r="K704" s="123"/>
      <c r="L704" s="123"/>
      <c r="M704" s="123"/>
      <c r="N704" s="123"/>
      <c r="O704" s="123"/>
      <c r="P704" s="121"/>
      <c r="Q704" s="121"/>
      <c r="R704" s="123"/>
      <c r="S704" s="123"/>
      <c r="T704" s="123"/>
      <c r="U704" s="123"/>
      <c r="V704" s="123"/>
      <c r="W704" s="123"/>
      <c r="X704" s="123"/>
      <c r="Y704" s="123"/>
      <c r="Z704" s="123"/>
      <c r="AA704" s="123"/>
      <c r="AB704" s="123"/>
      <c r="AC704" s="123"/>
      <c r="AD704" s="123"/>
      <c r="AE704" s="123"/>
      <c r="AF704" s="123"/>
      <c r="AG704" s="123"/>
      <c r="AH704" s="123"/>
      <c r="AI704" s="123"/>
      <c r="AJ704" s="87"/>
      <c r="AK704" s="87"/>
      <c r="AL704" s="87"/>
    </row>
    <row r="705">
      <c r="A705" s="147"/>
      <c r="B705" s="123"/>
      <c r="C705" s="147"/>
      <c r="D705" s="265"/>
      <c r="E705" s="265"/>
      <c r="F705" s="265"/>
      <c r="G705" s="265"/>
      <c r="H705" s="266"/>
      <c r="I705" s="265"/>
      <c r="J705" s="123"/>
      <c r="K705" s="123"/>
      <c r="L705" s="123"/>
      <c r="M705" s="123"/>
      <c r="N705" s="123"/>
      <c r="O705" s="123"/>
      <c r="P705" s="121"/>
      <c r="Q705" s="121"/>
      <c r="R705" s="123"/>
      <c r="S705" s="123"/>
      <c r="T705" s="123"/>
      <c r="U705" s="123"/>
      <c r="V705" s="123"/>
      <c r="W705" s="123"/>
      <c r="X705" s="123"/>
      <c r="Y705" s="123"/>
      <c r="Z705" s="123"/>
      <c r="AA705" s="123"/>
      <c r="AB705" s="123"/>
      <c r="AC705" s="123"/>
      <c r="AD705" s="123"/>
      <c r="AE705" s="123"/>
      <c r="AF705" s="123"/>
      <c r="AG705" s="123"/>
      <c r="AH705" s="123"/>
      <c r="AI705" s="123"/>
      <c r="AJ705" s="87"/>
      <c r="AK705" s="87"/>
      <c r="AL705" s="87"/>
    </row>
    <row r="706">
      <c r="A706" s="147"/>
      <c r="B706" s="123"/>
      <c r="C706" s="147"/>
      <c r="D706" s="265"/>
      <c r="E706" s="265"/>
      <c r="F706" s="265"/>
      <c r="G706" s="265"/>
      <c r="H706" s="266"/>
      <c r="I706" s="265"/>
      <c r="J706" s="123"/>
      <c r="K706" s="123"/>
      <c r="L706" s="123"/>
      <c r="M706" s="123"/>
      <c r="N706" s="123"/>
      <c r="O706" s="123"/>
      <c r="P706" s="121"/>
      <c r="Q706" s="121"/>
      <c r="R706" s="123"/>
      <c r="S706" s="123"/>
      <c r="T706" s="123"/>
      <c r="U706" s="123"/>
      <c r="V706" s="123"/>
      <c r="W706" s="123"/>
      <c r="X706" s="123"/>
      <c r="Y706" s="123"/>
      <c r="Z706" s="123"/>
      <c r="AA706" s="123"/>
      <c r="AB706" s="123"/>
      <c r="AC706" s="123"/>
      <c r="AD706" s="123"/>
      <c r="AE706" s="123"/>
      <c r="AF706" s="123"/>
      <c r="AG706" s="123"/>
      <c r="AH706" s="123"/>
      <c r="AI706" s="123"/>
      <c r="AJ706" s="87"/>
      <c r="AK706" s="87"/>
      <c r="AL706" s="87"/>
    </row>
    <row r="707">
      <c r="A707" s="147"/>
      <c r="B707" s="123"/>
      <c r="C707" s="147"/>
      <c r="D707" s="265"/>
      <c r="E707" s="265"/>
      <c r="F707" s="265"/>
      <c r="G707" s="265"/>
      <c r="H707" s="266"/>
      <c r="I707" s="265"/>
      <c r="J707" s="123"/>
      <c r="K707" s="123"/>
      <c r="L707" s="123"/>
      <c r="M707" s="123"/>
      <c r="N707" s="123"/>
      <c r="O707" s="123"/>
      <c r="P707" s="121"/>
      <c r="Q707" s="121"/>
      <c r="R707" s="123"/>
      <c r="S707" s="123"/>
      <c r="T707" s="123"/>
      <c r="U707" s="123"/>
      <c r="V707" s="123"/>
      <c r="W707" s="123"/>
      <c r="X707" s="123"/>
      <c r="Y707" s="123"/>
      <c r="Z707" s="123"/>
      <c r="AA707" s="123"/>
      <c r="AB707" s="123"/>
      <c r="AC707" s="123"/>
      <c r="AD707" s="123"/>
      <c r="AE707" s="123"/>
      <c r="AF707" s="123"/>
      <c r="AG707" s="123"/>
      <c r="AH707" s="123"/>
      <c r="AI707" s="123"/>
      <c r="AJ707" s="87"/>
      <c r="AK707" s="87"/>
      <c r="AL707" s="87"/>
    </row>
    <row r="708">
      <c r="A708" s="90"/>
      <c r="B708" s="259"/>
      <c r="C708" s="259"/>
      <c r="D708" s="259"/>
      <c r="E708" s="77"/>
      <c r="F708" s="102"/>
      <c r="G708" s="102"/>
      <c r="H708" s="260"/>
      <c r="I708" s="102"/>
      <c r="J708" s="77"/>
      <c r="K708" s="115"/>
      <c r="L708" s="77"/>
      <c r="M708" s="77"/>
      <c r="N708" s="77"/>
      <c r="O708" s="77"/>
      <c r="P708" s="71"/>
      <c r="Q708" s="71"/>
      <c r="R708" s="77"/>
      <c r="S708" s="77"/>
      <c r="T708" s="77"/>
      <c r="U708" s="77"/>
      <c r="V708" s="115"/>
      <c r="W708" s="115"/>
      <c r="X708" s="115"/>
      <c r="Y708" s="115"/>
      <c r="Z708" s="115"/>
      <c r="AA708" s="115"/>
      <c r="AB708" s="261"/>
      <c r="AC708" s="77"/>
      <c r="AD708" s="259"/>
      <c r="AE708" s="77"/>
      <c r="AF708" s="77"/>
      <c r="AG708" s="77"/>
      <c r="AH708" s="77"/>
      <c r="AI708" s="77"/>
      <c r="AJ708" s="87"/>
      <c r="AK708" s="87"/>
      <c r="AL708" s="87"/>
    </row>
    <row r="709">
      <c r="A709" s="302"/>
      <c r="B709" s="123"/>
      <c r="C709" s="147"/>
      <c r="D709" s="265"/>
      <c r="E709" s="123"/>
      <c r="F709" s="265"/>
      <c r="G709" s="265"/>
      <c r="H709" s="266"/>
      <c r="I709" s="265"/>
      <c r="J709" s="123"/>
      <c r="K709" s="123"/>
      <c r="L709" s="123"/>
      <c r="M709" s="123"/>
      <c r="N709" s="123"/>
      <c r="O709" s="123"/>
      <c r="P709" s="121"/>
      <c r="Q709" s="121"/>
      <c r="R709" s="123"/>
      <c r="S709" s="123"/>
      <c r="T709" s="123"/>
      <c r="U709" s="123"/>
      <c r="V709" s="123"/>
      <c r="W709" s="123"/>
      <c r="X709" s="123"/>
      <c r="Y709" s="123"/>
      <c r="Z709" s="123"/>
      <c r="AA709" s="123"/>
      <c r="AB709" s="123"/>
      <c r="AC709" s="123"/>
      <c r="AD709" s="265"/>
      <c r="AE709" s="123"/>
      <c r="AF709" s="123"/>
      <c r="AG709" s="123"/>
      <c r="AH709" s="123"/>
      <c r="AI709" s="123"/>
      <c r="AJ709" s="87"/>
      <c r="AK709" s="87"/>
      <c r="AL709" s="87"/>
    </row>
    <row r="710">
      <c r="A710" s="302"/>
      <c r="B710" s="123"/>
      <c r="C710" s="147"/>
      <c r="D710" s="265"/>
      <c r="E710" s="123"/>
      <c r="F710" s="265"/>
      <c r="G710" s="265"/>
      <c r="H710" s="266"/>
      <c r="I710" s="265"/>
      <c r="J710" s="123"/>
      <c r="K710" s="123"/>
      <c r="L710" s="123"/>
      <c r="M710" s="123"/>
      <c r="N710" s="123"/>
      <c r="O710" s="123"/>
      <c r="P710" s="121"/>
      <c r="Q710" s="121"/>
      <c r="R710" s="123"/>
      <c r="S710" s="123"/>
      <c r="T710" s="123"/>
      <c r="U710" s="123"/>
      <c r="V710" s="123"/>
      <c r="W710" s="123"/>
      <c r="X710" s="123"/>
      <c r="Y710" s="123"/>
      <c r="Z710" s="123"/>
      <c r="AA710" s="123"/>
      <c r="AB710" s="123"/>
      <c r="AC710" s="123"/>
      <c r="AD710" s="265"/>
      <c r="AE710" s="123"/>
      <c r="AF710" s="123"/>
      <c r="AG710" s="123"/>
      <c r="AH710" s="123"/>
      <c r="AI710" s="123"/>
      <c r="AJ710" s="87"/>
      <c r="AK710" s="87"/>
      <c r="AL710" s="87"/>
    </row>
    <row r="711">
      <c r="A711" s="302"/>
      <c r="B711" s="123"/>
      <c r="C711" s="147"/>
      <c r="D711" s="265"/>
      <c r="E711" s="123"/>
      <c r="F711" s="265"/>
      <c r="G711" s="265"/>
      <c r="H711" s="266"/>
      <c r="I711" s="265"/>
      <c r="J711" s="123"/>
      <c r="K711" s="123"/>
      <c r="L711" s="123"/>
      <c r="M711" s="123"/>
      <c r="N711" s="123"/>
      <c r="O711" s="123"/>
      <c r="P711" s="121"/>
      <c r="Q711" s="121"/>
      <c r="R711" s="123"/>
      <c r="S711" s="123"/>
      <c r="T711" s="123"/>
      <c r="U711" s="123"/>
      <c r="V711" s="123"/>
      <c r="W711" s="123"/>
      <c r="X711" s="123"/>
      <c r="Y711" s="123"/>
      <c r="Z711" s="123"/>
      <c r="AA711" s="123"/>
      <c r="AB711" s="123"/>
      <c r="AC711" s="123"/>
      <c r="AD711" s="265"/>
      <c r="AE711" s="123"/>
      <c r="AF711" s="123"/>
      <c r="AG711" s="123"/>
      <c r="AH711" s="123"/>
      <c r="AI711" s="123"/>
      <c r="AJ711" s="87"/>
      <c r="AK711" s="87"/>
      <c r="AL711" s="87"/>
    </row>
    <row r="712">
      <c r="A712" s="302"/>
      <c r="B712" s="123"/>
      <c r="C712" s="147"/>
      <c r="D712" s="265"/>
      <c r="E712" s="123"/>
      <c r="F712" s="265"/>
      <c r="G712" s="265"/>
      <c r="H712" s="266"/>
      <c r="I712" s="265"/>
      <c r="J712" s="123"/>
      <c r="K712" s="123"/>
      <c r="L712" s="123"/>
      <c r="M712" s="123"/>
      <c r="N712" s="123"/>
      <c r="O712" s="123"/>
      <c r="P712" s="121"/>
      <c r="Q712" s="121"/>
      <c r="R712" s="123"/>
      <c r="S712" s="123"/>
      <c r="T712" s="123"/>
      <c r="U712" s="123"/>
      <c r="V712" s="123"/>
      <c r="W712" s="123"/>
      <c r="X712" s="123"/>
      <c r="Y712" s="123"/>
      <c r="Z712" s="123"/>
      <c r="AA712" s="123"/>
      <c r="AB712" s="123"/>
      <c r="AC712" s="123"/>
      <c r="AD712" s="265"/>
      <c r="AE712" s="123"/>
      <c r="AF712" s="123"/>
      <c r="AG712" s="123"/>
      <c r="AH712" s="123"/>
      <c r="AI712" s="123"/>
      <c r="AJ712" s="87"/>
      <c r="AK712" s="87"/>
      <c r="AL712" s="87"/>
    </row>
    <row r="713">
      <c r="A713" s="302"/>
      <c r="B713" s="123"/>
      <c r="C713" s="147"/>
      <c r="D713" s="265"/>
      <c r="E713" s="123"/>
      <c r="F713" s="265"/>
      <c r="G713" s="265"/>
      <c r="H713" s="266"/>
      <c r="I713" s="265"/>
      <c r="J713" s="123"/>
      <c r="K713" s="123"/>
      <c r="L713" s="123"/>
      <c r="M713" s="123"/>
      <c r="N713" s="123"/>
      <c r="O713" s="123"/>
      <c r="P713" s="121"/>
      <c r="Q713" s="121"/>
      <c r="R713" s="123"/>
      <c r="S713" s="123"/>
      <c r="T713" s="123"/>
      <c r="U713" s="123"/>
      <c r="V713" s="123"/>
      <c r="W713" s="123"/>
      <c r="X713" s="123"/>
      <c r="Y713" s="123"/>
      <c r="Z713" s="123"/>
      <c r="AA713" s="123"/>
      <c r="AB713" s="123"/>
      <c r="AC713" s="123"/>
      <c r="AD713" s="265"/>
      <c r="AE713" s="123"/>
      <c r="AF713" s="123"/>
      <c r="AG713" s="123"/>
      <c r="AH713" s="123"/>
      <c r="AI713" s="123"/>
      <c r="AJ713" s="87"/>
      <c r="AK713" s="87"/>
      <c r="AL713" s="87"/>
    </row>
    <row r="714">
      <c r="A714" s="302"/>
      <c r="B714" s="123"/>
      <c r="C714" s="147"/>
      <c r="D714" s="265"/>
      <c r="E714" s="123"/>
      <c r="F714" s="265"/>
      <c r="G714" s="265"/>
      <c r="H714" s="266"/>
      <c r="I714" s="265"/>
      <c r="J714" s="123"/>
      <c r="K714" s="123"/>
      <c r="L714" s="123"/>
      <c r="M714" s="123"/>
      <c r="N714" s="123"/>
      <c r="O714" s="123"/>
      <c r="P714" s="121"/>
      <c r="Q714" s="121"/>
      <c r="R714" s="123"/>
      <c r="S714" s="123"/>
      <c r="T714" s="123"/>
      <c r="U714" s="123"/>
      <c r="V714" s="123"/>
      <c r="W714" s="123"/>
      <c r="X714" s="123"/>
      <c r="Y714" s="123"/>
      <c r="Z714" s="123"/>
      <c r="AA714" s="123"/>
      <c r="AB714" s="123"/>
      <c r="AC714" s="123"/>
      <c r="AD714" s="265"/>
      <c r="AE714" s="123"/>
      <c r="AF714" s="123"/>
      <c r="AG714" s="123"/>
      <c r="AH714" s="123"/>
      <c r="AI714" s="123"/>
      <c r="AJ714" s="87"/>
      <c r="AK714" s="87"/>
      <c r="AL714" s="87"/>
    </row>
    <row r="715">
      <c r="A715" s="302"/>
      <c r="B715" s="123"/>
      <c r="C715" s="147"/>
      <c r="D715" s="265"/>
      <c r="E715" s="123"/>
      <c r="F715" s="265"/>
      <c r="G715" s="265"/>
      <c r="H715" s="266"/>
      <c r="I715" s="265"/>
      <c r="J715" s="123"/>
      <c r="K715" s="123"/>
      <c r="L715" s="123"/>
      <c r="M715" s="123"/>
      <c r="N715" s="123"/>
      <c r="O715" s="123"/>
      <c r="P715" s="121"/>
      <c r="Q715" s="121"/>
      <c r="R715" s="123"/>
      <c r="S715" s="123"/>
      <c r="T715" s="123"/>
      <c r="U715" s="123"/>
      <c r="V715" s="123"/>
      <c r="W715" s="123"/>
      <c r="X715" s="123"/>
      <c r="Y715" s="123"/>
      <c r="Z715" s="123"/>
      <c r="AA715" s="123"/>
      <c r="AB715" s="123"/>
      <c r="AC715" s="123"/>
      <c r="AD715" s="265"/>
      <c r="AE715" s="123"/>
      <c r="AF715" s="123"/>
      <c r="AG715" s="123"/>
      <c r="AH715" s="123"/>
      <c r="AI715" s="123"/>
      <c r="AJ715" s="87"/>
      <c r="AK715" s="87"/>
      <c r="AL715" s="87"/>
    </row>
    <row r="716">
      <c r="A716" s="302"/>
      <c r="B716" s="123"/>
      <c r="C716" s="147"/>
      <c r="D716" s="265"/>
      <c r="E716" s="123"/>
      <c r="F716" s="265"/>
      <c r="G716" s="265"/>
      <c r="H716" s="266"/>
      <c r="I716" s="265"/>
      <c r="J716" s="123"/>
      <c r="K716" s="123"/>
      <c r="L716" s="123"/>
      <c r="M716" s="123"/>
      <c r="N716" s="123"/>
      <c r="O716" s="123"/>
      <c r="P716" s="121"/>
      <c r="Q716" s="121"/>
      <c r="R716" s="123"/>
      <c r="S716" s="123"/>
      <c r="T716" s="123"/>
      <c r="U716" s="123"/>
      <c r="V716" s="123"/>
      <c r="W716" s="123"/>
      <c r="X716" s="123"/>
      <c r="Y716" s="123"/>
      <c r="Z716" s="123"/>
      <c r="AA716" s="123"/>
      <c r="AB716" s="123"/>
      <c r="AC716" s="123"/>
      <c r="AD716" s="265"/>
      <c r="AE716" s="123"/>
      <c r="AF716" s="123"/>
      <c r="AG716" s="123"/>
      <c r="AH716" s="123"/>
      <c r="AI716" s="123"/>
      <c r="AJ716" s="87"/>
      <c r="AK716" s="87"/>
      <c r="AL716" s="87"/>
    </row>
    <row r="717">
      <c r="A717" s="302"/>
      <c r="B717" s="123"/>
      <c r="C717" s="147"/>
      <c r="D717" s="265"/>
      <c r="E717" s="123"/>
      <c r="F717" s="265"/>
      <c r="G717" s="265"/>
      <c r="H717" s="266"/>
      <c r="I717" s="265"/>
      <c r="J717" s="123"/>
      <c r="K717" s="123"/>
      <c r="L717" s="123"/>
      <c r="M717" s="123"/>
      <c r="N717" s="123"/>
      <c r="O717" s="123"/>
      <c r="P717" s="121"/>
      <c r="Q717" s="121"/>
      <c r="R717" s="123"/>
      <c r="S717" s="123"/>
      <c r="T717" s="123"/>
      <c r="U717" s="123"/>
      <c r="V717" s="123"/>
      <c r="W717" s="123"/>
      <c r="X717" s="123"/>
      <c r="Y717" s="123"/>
      <c r="Z717" s="123"/>
      <c r="AA717" s="123"/>
      <c r="AB717" s="123"/>
      <c r="AC717" s="123"/>
      <c r="AD717" s="265"/>
      <c r="AE717" s="123"/>
      <c r="AF717" s="123"/>
      <c r="AG717" s="123"/>
      <c r="AH717" s="123"/>
      <c r="AI717" s="123"/>
      <c r="AJ717" s="87"/>
      <c r="AK717" s="87"/>
      <c r="AL717" s="87"/>
    </row>
    <row r="718">
      <c r="A718" s="302"/>
      <c r="B718" s="123"/>
      <c r="C718" s="147"/>
      <c r="D718" s="265"/>
      <c r="E718" s="123"/>
      <c r="F718" s="265"/>
      <c r="G718" s="265"/>
      <c r="H718" s="266"/>
      <c r="I718" s="265"/>
      <c r="J718" s="123"/>
      <c r="K718" s="123"/>
      <c r="L718" s="123"/>
      <c r="M718" s="123"/>
      <c r="N718" s="123"/>
      <c r="O718" s="123"/>
      <c r="P718" s="121"/>
      <c r="Q718" s="121"/>
      <c r="R718" s="123"/>
      <c r="S718" s="123"/>
      <c r="T718" s="123"/>
      <c r="U718" s="123"/>
      <c r="V718" s="123"/>
      <c r="W718" s="123"/>
      <c r="X718" s="123"/>
      <c r="Y718" s="123"/>
      <c r="Z718" s="123"/>
      <c r="AA718" s="123"/>
      <c r="AB718" s="123"/>
      <c r="AC718" s="123"/>
      <c r="AD718" s="265"/>
      <c r="AE718" s="123"/>
      <c r="AF718" s="123"/>
      <c r="AG718" s="123"/>
      <c r="AH718" s="123"/>
      <c r="AI718" s="123"/>
      <c r="AJ718" s="87"/>
      <c r="AK718" s="87"/>
      <c r="AL718" s="87"/>
    </row>
    <row r="719">
      <c r="A719" s="302"/>
      <c r="B719" s="123"/>
      <c r="C719" s="147"/>
      <c r="D719" s="265"/>
      <c r="E719" s="123"/>
      <c r="F719" s="265"/>
      <c r="G719" s="265"/>
      <c r="H719" s="266"/>
      <c r="I719" s="265"/>
      <c r="J719" s="123"/>
      <c r="K719" s="123"/>
      <c r="L719" s="123"/>
      <c r="M719" s="123"/>
      <c r="N719" s="123"/>
      <c r="O719" s="123"/>
      <c r="P719" s="121"/>
      <c r="Q719" s="121"/>
      <c r="R719" s="123"/>
      <c r="S719" s="123"/>
      <c r="T719" s="123"/>
      <c r="U719" s="123"/>
      <c r="V719" s="123"/>
      <c r="W719" s="123"/>
      <c r="X719" s="123"/>
      <c r="Y719" s="123"/>
      <c r="Z719" s="123"/>
      <c r="AA719" s="123"/>
      <c r="AB719" s="123"/>
      <c r="AC719" s="123"/>
      <c r="AD719" s="265"/>
      <c r="AE719" s="123"/>
      <c r="AF719" s="123"/>
      <c r="AG719" s="123"/>
      <c r="AH719" s="123"/>
      <c r="AI719" s="123"/>
      <c r="AJ719" s="87"/>
      <c r="AK719" s="87"/>
      <c r="AL719" s="87"/>
    </row>
    <row r="720">
      <c r="A720" s="302"/>
      <c r="B720" s="123"/>
      <c r="C720" s="147"/>
      <c r="D720" s="265"/>
      <c r="E720" s="123"/>
      <c r="F720" s="265"/>
      <c r="G720" s="265"/>
      <c r="H720" s="266"/>
      <c r="I720" s="265"/>
      <c r="J720" s="123"/>
      <c r="K720" s="123"/>
      <c r="L720" s="123"/>
      <c r="M720" s="123"/>
      <c r="N720" s="123"/>
      <c r="O720" s="123"/>
      <c r="P720" s="121"/>
      <c r="Q720" s="121"/>
      <c r="R720" s="123"/>
      <c r="S720" s="123"/>
      <c r="T720" s="123"/>
      <c r="U720" s="123"/>
      <c r="V720" s="123"/>
      <c r="W720" s="123"/>
      <c r="X720" s="123"/>
      <c r="Y720" s="123"/>
      <c r="Z720" s="123"/>
      <c r="AA720" s="123"/>
      <c r="AB720" s="123"/>
      <c r="AC720" s="123"/>
      <c r="AD720" s="265"/>
      <c r="AE720" s="123"/>
      <c r="AF720" s="123"/>
      <c r="AG720" s="123"/>
      <c r="AH720" s="123"/>
      <c r="AI720" s="123"/>
      <c r="AJ720" s="87"/>
      <c r="AK720" s="87"/>
      <c r="AL720" s="87"/>
    </row>
    <row r="721">
      <c r="A721" s="302"/>
      <c r="B721" s="123"/>
      <c r="C721" s="147"/>
      <c r="D721" s="265"/>
      <c r="E721" s="123"/>
      <c r="F721" s="265"/>
      <c r="G721" s="265"/>
      <c r="H721" s="266"/>
      <c r="I721" s="265"/>
      <c r="J721" s="123"/>
      <c r="K721" s="123"/>
      <c r="L721" s="123"/>
      <c r="M721" s="123"/>
      <c r="N721" s="123"/>
      <c r="O721" s="123"/>
      <c r="P721" s="121"/>
      <c r="Q721" s="121"/>
      <c r="R721" s="123"/>
      <c r="S721" s="123"/>
      <c r="T721" s="123"/>
      <c r="U721" s="123"/>
      <c r="V721" s="123"/>
      <c r="W721" s="123"/>
      <c r="X721" s="123"/>
      <c r="Y721" s="123"/>
      <c r="Z721" s="123"/>
      <c r="AA721" s="123"/>
      <c r="AB721" s="123"/>
      <c r="AC721" s="123"/>
      <c r="AD721" s="265"/>
      <c r="AE721" s="123"/>
      <c r="AF721" s="123"/>
      <c r="AG721" s="123"/>
      <c r="AH721" s="123"/>
      <c r="AI721" s="123"/>
      <c r="AJ721" s="87"/>
      <c r="AK721" s="87"/>
      <c r="AL721" s="87"/>
    </row>
    <row r="722">
      <c r="A722" s="302"/>
      <c r="B722" s="123"/>
      <c r="C722" s="147"/>
      <c r="D722" s="265"/>
      <c r="E722" s="123"/>
      <c r="F722" s="265"/>
      <c r="G722" s="265"/>
      <c r="H722" s="266"/>
      <c r="I722" s="265"/>
      <c r="J722" s="123"/>
      <c r="K722" s="123"/>
      <c r="L722" s="123"/>
      <c r="M722" s="123"/>
      <c r="N722" s="123"/>
      <c r="O722" s="123"/>
      <c r="P722" s="121"/>
      <c r="Q722" s="121"/>
      <c r="R722" s="123"/>
      <c r="S722" s="123"/>
      <c r="T722" s="123"/>
      <c r="U722" s="123"/>
      <c r="V722" s="123"/>
      <c r="W722" s="123"/>
      <c r="X722" s="123"/>
      <c r="Y722" s="123"/>
      <c r="Z722" s="123"/>
      <c r="AA722" s="123"/>
      <c r="AB722" s="123"/>
      <c r="AC722" s="123"/>
      <c r="AD722" s="265"/>
      <c r="AE722" s="123"/>
      <c r="AF722" s="123"/>
      <c r="AG722" s="123"/>
      <c r="AH722" s="123"/>
      <c r="AI722" s="123"/>
      <c r="AJ722" s="87"/>
      <c r="AK722" s="87"/>
      <c r="AL722" s="87"/>
    </row>
    <row r="723">
      <c r="A723" s="302"/>
      <c r="B723" s="123"/>
      <c r="C723" s="147"/>
      <c r="D723" s="265"/>
      <c r="E723" s="123"/>
      <c r="F723" s="265"/>
      <c r="G723" s="265"/>
      <c r="H723" s="266"/>
      <c r="I723" s="265"/>
      <c r="J723" s="123"/>
      <c r="K723" s="123"/>
      <c r="L723" s="123"/>
      <c r="M723" s="123"/>
      <c r="N723" s="123"/>
      <c r="O723" s="123"/>
      <c r="P723" s="121"/>
      <c r="Q723" s="121"/>
      <c r="R723" s="123"/>
      <c r="S723" s="123"/>
      <c r="T723" s="123"/>
      <c r="U723" s="123"/>
      <c r="V723" s="123"/>
      <c r="W723" s="123"/>
      <c r="X723" s="123"/>
      <c r="Y723" s="123"/>
      <c r="Z723" s="123"/>
      <c r="AA723" s="123"/>
      <c r="AB723" s="123"/>
      <c r="AC723" s="123"/>
      <c r="AD723" s="265"/>
      <c r="AE723" s="123"/>
      <c r="AF723" s="123"/>
      <c r="AG723" s="123"/>
      <c r="AH723" s="123"/>
      <c r="AI723" s="123"/>
      <c r="AJ723" s="87"/>
      <c r="AK723" s="87"/>
      <c r="AL723" s="87"/>
    </row>
    <row r="724">
      <c r="A724" s="90"/>
      <c r="B724" s="259"/>
      <c r="C724" s="259"/>
      <c r="D724" s="259"/>
      <c r="E724" s="102"/>
      <c r="F724" s="102"/>
      <c r="G724" s="102"/>
      <c r="H724" s="260"/>
      <c r="I724" s="102"/>
      <c r="J724" s="77"/>
      <c r="K724" s="115"/>
      <c r="L724" s="77"/>
      <c r="M724" s="115"/>
      <c r="N724" s="115"/>
      <c r="O724" s="77"/>
      <c r="P724" s="71"/>
      <c r="Q724" s="71"/>
      <c r="R724" s="77"/>
      <c r="S724" s="77"/>
      <c r="T724" s="77"/>
      <c r="U724" s="77"/>
      <c r="V724" s="115"/>
      <c r="W724" s="115"/>
      <c r="X724" s="115"/>
      <c r="Y724" s="115"/>
      <c r="Z724" s="115"/>
      <c r="AA724" s="115"/>
      <c r="AB724" s="275"/>
      <c r="AC724" s="77"/>
      <c r="AD724" s="115"/>
      <c r="AE724" s="77"/>
      <c r="AF724" s="77"/>
      <c r="AG724" s="77"/>
      <c r="AH724" s="77"/>
      <c r="AI724" s="77"/>
      <c r="AJ724" s="87"/>
      <c r="AK724" s="87"/>
      <c r="AL724" s="87"/>
    </row>
    <row r="725">
      <c r="A725" s="147"/>
      <c r="B725" s="123"/>
      <c r="C725" s="147"/>
      <c r="D725" s="265"/>
      <c r="E725" s="265"/>
      <c r="F725" s="265"/>
      <c r="G725" s="265"/>
      <c r="H725" s="266"/>
      <c r="I725" s="265"/>
      <c r="J725" s="123"/>
      <c r="K725" s="123"/>
      <c r="L725" s="123"/>
      <c r="M725" s="123"/>
      <c r="N725" s="123"/>
      <c r="O725" s="123"/>
      <c r="P725" s="121"/>
      <c r="Q725" s="121"/>
      <c r="R725" s="123"/>
      <c r="S725" s="123"/>
      <c r="T725" s="123"/>
      <c r="U725" s="123"/>
      <c r="V725" s="123"/>
      <c r="W725" s="123"/>
      <c r="X725" s="123"/>
      <c r="Y725" s="123"/>
      <c r="Z725" s="123"/>
      <c r="AA725" s="123"/>
      <c r="AB725" s="123"/>
      <c r="AC725" s="123"/>
      <c r="AD725" s="123"/>
      <c r="AE725" s="123"/>
      <c r="AF725" s="123"/>
      <c r="AG725" s="123"/>
      <c r="AH725" s="123"/>
      <c r="AI725" s="123"/>
      <c r="AJ725" s="87"/>
      <c r="AK725" s="87"/>
      <c r="AL725" s="87"/>
    </row>
    <row r="726">
      <c r="A726" s="147"/>
      <c r="B726" s="123"/>
      <c r="C726" s="147"/>
      <c r="D726" s="265"/>
      <c r="E726" s="265"/>
      <c r="F726" s="265"/>
      <c r="G726" s="265"/>
      <c r="H726" s="266"/>
      <c r="I726" s="265"/>
      <c r="J726" s="123"/>
      <c r="K726" s="123"/>
      <c r="L726" s="123"/>
      <c r="M726" s="123"/>
      <c r="N726" s="123"/>
      <c r="O726" s="123"/>
      <c r="P726" s="121"/>
      <c r="Q726" s="121"/>
      <c r="R726" s="123"/>
      <c r="S726" s="123"/>
      <c r="T726" s="123"/>
      <c r="U726" s="123"/>
      <c r="V726" s="123"/>
      <c r="W726" s="123"/>
      <c r="X726" s="123"/>
      <c r="Y726" s="123"/>
      <c r="Z726" s="123"/>
      <c r="AA726" s="123"/>
      <c r="AB726" s="123"/>
      <c r="AC726" s="123"/>
      <c r="AD726" s="123"/>
      <c r="AE726" s="123"/>
      <c r="AF726" s="123"/>
      <c r="AG726" s="123"/>
      <c r="AH726" s="123"/>
      <c r="AI726" s="123"/>
      <c r="AJ726" s="87"/>
      <c r="AK726" s="87"/>
      <c r="AL726" s="87"/>
    </row>
    <row r="727">
      <c r="A727" s="147"/>
      <c r="B727" s="123"/>
      <c r="C727" s="147"/>
      <c r="D727" s="265"/>
      <c r="E727" s="265"/>
      <c r="F727" s="265"/>
      <c r="G727" s="265"/>
      <c r="H727" s="266"/>
      <c r="I727" s="265"/>
      <c r="J727" s="123"/>
      <c r="K727" s="123"/>
      <c r="L727" s="123"/>
      <c r="M727" s="123"/>
      <c r="N727" s="123"/>
      <c r="O727" s="123"/>
      <c r="P727" s="121"/>
      <c r="Q727" s="121"/>
      <c r="R727" s="123"/>
      <c r="S727" s="123"/>
      <c r="T727" s="123"/>
      <c r="U727" s="123"/>
      <c r="V727" s="123"/>
      <c r="W727" s="123"/>
      <c r="X727" s="123"/>
      <c r="Y727" s="123"/>
      <c r="Z727" s="123"/>
      <c r="AA727" s="123"/>
      <c r="AB727" s="123"/>
      <c r="AC727" s="123"/>
      <c r="AD727" s="123"/>
      <c r="AE727" s="123"/>
      <c r="AF727" s="123"/>
      <c r="AG727" s="123"/>
      <c r="AH727" s="123"/>
      <c r="AI727" s="123"/>
      <c r="AJ727" s="87"/>
      <c r="AK727" s="87"/>
      <c r="AL727" s="87"/>
    </row>
    <row r="728">
      <c r="A728" s="147"/>
      <c r="B728" s="123"/>
      <c r="C728" s="147"/>
      <c r="D728" s="265"/>
      <c r="E728" s="265"/>
      <c r="F728" s="265"/>
      <c r="G728" s="265"/>
      <c r="H728" s="266"/>
      <c r="I728" s="265"/>
      <c r="J728" s="123"/>
      <c r="K728" s="123"/>
      <c r="L728" s="123"/>
      <c r="M728" s="123"/>
      <c r="N728" s="123"/>
      <c r="O728" s="123"/>
      <c r="P728" s="121"/>
      <c r="Q728" s="121"/>
      <c r="R728" s="123"/>
      <c r="S728" s="123"/>
      <c r="T728" s="123"/>
      <c r="U728" s="123"/>
      <c r="V728" s="123"/>
      <c r="W728" s="123"/>
      <c r="X728" s="123"/>
      <c r="Y728" s="123"/>
      <c r="Z728" s="123"/>
      <c r="AA728" s="123"/>
      <c r="AB728" s="123"/>
      <c r="AC728" s="123"/>
      <c r="AD728" s="123"/>
      <c r="AE728" s="123"/>
      <c r="AF728" s="123"/>
      <c r="AG728" s="123"/>
      <c r="AH728" s="123"/>
      <c r="AI728" s="123"/>
      <c r="AJ728" s="87"/>
      <c r="AK728" s="87"/>
      <c r="AL728" s="87"/>
    </row>
    <row r="729">
      <c r="A729" s="147"/>
      <c r="B729" s="123"/>
      <c r="C729" s="147"/>
      <c r="D729" s="265"/>
      <c r="E729" s="265"/>
      <c r="F729" s="265"/>
      <c r="G729" s="265"/>
      <c r="H729" s="266"/>
      <c r="I729" s="265"/>
      <c r="J729" s="123"/>
      <c r="K729" s="123"/>
      <c r="L729" s="123"/>
      <c r="M729" s="123"/>
      <c r="N729" s="123"/>
      <c r="O729" s="123"/>
      <c r="P729" s="121"/>
      <c r="Q729" s="121"/>
      <c r="R729" s="123"/>
      <c r="S729" s="123"/>
      <c r="T729" s="123"/>
      <c r="U729" s="123"/>
      <c r="V729" s="123"/>
      <c r="W729" s="123"/>
      <c r="X729" s="123"/>
      <c r="Y729" s="123"/>
      <c r="Z729" s="123"/>
      <c r="AA729" s="123"/>
      <c r="AB729" s="123"/>
      <c r="AC729" s="123"/>
      <c r="AD729" s="123"/>
      <c r="AE729" s="123"/>
      <c r="AF729" s="123"/>
      <c r="AG729" s="123"/>
      <c r="AH729" s="123"/>
      <c r="AI729" s="123"/>
      <c r="AJ729" s="87"/>
      <c r="AK729" s="87"/>
      <c r="AL729" s="87"/>
    </row>
    <row r="730">
      <c r="A730" s="147"/>
      <c r="B730" s="123"/>
      <c r="C730" s="147"/>
      <c r="D730" s="265"/>
      <c r="E730" s="265"/>
      <c r="F730" s="265"/>
      <c r="G730" s="265"/>
      <c r="H730" s="266"/>
      <c r="I730" s="265"/>
      <c r="J730" s="123"/>
      <c r="K730" s="123"/>
      <c r="L730" s="123"/>
      <c r="M730" s="123"/>
      <c r="N730" s="123"/>
      <c r="O730" s="123"/>
      <c r="P730" s="121"/>
      <c r="Q730" s="121"/>
      <c r="R730" s="123"/>
      <c r="S730" s="123"/>
      <c r="T730" s="123"/>
      <c r="U730" s="123"/>
      <c r="V730" s="123"/>
      <c r="W730" s="123"/>
      <c r="X730" s="123"/>
      <c r="Y730" s="123"/>
      <c r="Z730" s="123"/>
      <c r="AA730" s="123"/>
      <c r="AB730" s="123"/>
      <c r="AC730" s="123"/>
      <c r="AD730" s="123"/>
      <c r="AE730" s="123"/>
      <c r="AF730" s="123"/>
      <c r="AG730" s="123"/>
      <c r="AH730" s="123"/>
      <c r="AI730" s="123"/>
      <c r="AJ730" s="87"/>
      <c r="AK730" s="87"/>
      <c r="AL730" s="87"/>
    </row>
    <row r="731">
      <c r="A731" s="147"/>
      <c r="B731" s="123"/>
      <c r="C731" s="147"/>
      <c r="D731" s="265"/>
      <c r="E731" s="265"/>
      <c r="F731" s="265"/>
      <c r="G731" s="265"/>
      <c r="H731" s="266"/>
      <c r="I731" s="265"/>
      <c r="J731" s="123"/>
      <c r="K731" s="123"/>
      <c r="L731" s="123"/>
      <c r="M731" s="123"/>
      <c r="N731" s="123"/>
      <c r="O731" s="123"/>
      <c r="P731" s="121"/>
      <c r="Q731" s="121"/>
      <c r="R731" s="123"/>
      <c r="S731" s="123"/>
      <c r="T731" s="123"/>
      <c r="U731" s="123"/>
      <c r="V731" s="123"/>
      <c r="W731" s="123"/>
      <c r="X731" s="123"/>
      <c r="Y731" s="123"/>
      <c r="Z731" s="123"/>
      <c r="AA731" s="123"/>
      <c r="AB731" s="123"/>
      <c r="AC731" s="123"/>
      <c r="AD731" s="123"/>
      <c r="AE731" s="123"/>
      <c r="AF731" s="123"/>
      <c r="AG731" s="123"/>
      <c r="AH731" s="123"/>
      <c r="AI731" s="123"/>
      <c r="AJ731" s="87"/>
      <c r="AK731" s="87"/>
      <c r="AL731" s="87"/>
    </row>
    <row r="732">
      <c r="A732" s="147"/>
      <c r="B732" s="123"/>
      <c r="C732" s="147"/>
      <c r="D732" s="265"/>
      <c r="E732" s="265"/>
      <c r="F732" s="265"/>
      <c r="G732" s="265"/>
      <c r="H732" s="266"/>
      <c r="I732" s="265"/>
      <c r="J732" s="123"/>
      <c r="K732" s="123"/>
      <c r="L732" s="123"/>
      <c r="M732" s="123"/>
      <c r="N732" s="123"/>
      <c r="O732" s="123"/>
      <c r="P732" s="121"/>
      <c r="Q732" s="121"/>
      <c r="R732" s="123"/>
      <c r="S732" s="123"/>
      <c r="T732" s="123"/>
      <c r="U732" s="123"/>
      <c r="V732" s="123"/>
      <c r="W732" s="123"/>
      <c r="X732" s="123"/>
      <c r="Y732" s="123"/>
      <c r="Z732" s="123"/>
      <c r="AA732" s="123"/>
      <c r="AB732" s="123"/>
      <c r="AC732" s="123"/>
      <c r="AD732" s="123"/>
      <c r="AE732" s="123"/>
      <c r="AF732" s="123"/>
      <c r="AG732" s="123"/>
      <c r="AH732" s="123"/>
      <c r="AI732" s="123"/>
      <c r="AJ732" s="267" t="s">
        <v>4</v>
      </c>
      <c r="AK732" s="267" t="s">
        <v>9</v>
      </c>
      <c r="AL732" s="267"/>
    </row>
    <row r="733">
      <c r="A733" s="147"/>
      <c r="B733" s="123"/>
      <c r="C733" s="147"/>
      <c r="D733" s="265"/>
      <c r="E733" s="265"/>
      <c r="F733" s="265"/>
      <c r="G733" s="265"/>
      <c r="H733" s="266"/>
      <c r="I733" s="265"/>
      <c r="J733" s="123"/>
      <c r="K733" s="123"/>
      <c r="L733" s="123"/>
      <c r="M733" s="123"/>
      <c r="N733" s="123"/>
      <c r="O733" s="123"/>
      <c r="P733" s="121"/>
      <c r="Q733" s="121"/>
      <c r="R733" s="123"/>
      <c r="S733" s="123"/>
      <c r="T733" s="123"/>
      <c r="U733" s="123"/>
      <c r="V733" s="123"/>
      <c r="W733" s="123"/>
      <c r="X733" s="123"/>
      <c r="Y733" s="123"/>
      <c r="Z733" s="123"/>
      <c r="AA733" s="123"/>
      <c r="AB733" s="123"/>
      <c r="AC733" s="123"/>
      <c r="AD733" s="123"/>
      <c r="AE733" s="123"/>
      <c r="AF733" s="123"/>
      <c r="AG733" s="123"/>
      <c r="AH733" s="123"/>
      <c r="AI733" s="123"/>
      <c r="AJ733" s="87"/>
      <c r="AK733" s="87"/>
      <c r="AL733" s="87"/>
    </row>
    <row r="734">
      <c r="A734" s="147"/>
      <c r="B734" s="123"/>
      <c r="C734" s="147"/>
      <c r="D734" s="265"/>
      <c r="E734" s="265"/>
      <c r="F734" s="265"/>
      <c r="G734" s="265"/>
      <c r="H734" s="266"/>
      <c r="I734" s="265"/>
      <c r="J734" s="123"/>
      <c r="K734" s="123"/>
      <c r="L734" s="123"/>
      <c r="M734" s="123"/>
      <c r="N734" s="123"/>
      <c r="O734" s="123"/>
      <c r="P734" s="121"/>
      <c r="Q734" s="121"/>
      <c r="R734" s="123"/>
      <c r="S734" s="123"/>
      <c r="T734" s="123"/>
      <c r="U734" s="123"/>
      <c r="V734" s="123"/>
      <c r="W734" s="123"/>
      <c r="X734" s="123"/>
      <c r="Y734" s="123"/>
      <c r="Z734" s="123"/>
      <c r="AA734" s="123"/>
      <c r="AB734" s="123"/>
      <c r="AC734" s="123"/>
      <c r="AD734" s="123"/>
      <c r="AE734" s="123"/>
      <c r="AF734" s="123"/>
      <c r="AG734" s="123"/>
      <c r="AH734" s="123"/>
      <c r="AI734" s="123"/>
      <c r="AJ734" s="87"/>
      <c r="AK734" s="319" t="s">
        <v>34</v>
      </c>
      <c r="AL734" s="267"/>
    </row>
    <row r="735">
      <c r="A735" s="147"/>
      <c r="B735" s="123"/>
      <c r="C735" s="147"/>
      <c r="D735" s="265"/>
      <c r="E735" s="265"/>
      <c r="F735" s="265"/>
      <c r="G735" s="265"/>
      <c r="H735" s="266"/>
      <c r="I735" s="265"/>
      <c r="J735" s="123"/>
      <c r="K735" s="123"/>
      <c r="L735" s="123"/>
      <c r="M735" s="123"/>
      <c r="N735" s="123"/>
      <c r="O735" s="123"/>
      <c r="P735" s="121"/>
      <c r="Q735" s="121"/>
      <c r="R735" s="123"/>
      <c r="S735" s="123"/>
      <c r="T735" s="123"/>
      <c r="U735" s="123"/>
      <c r="V735" s="123"/>
      <c r="W735" s="123"/>
      <c r="X735" s="123"/>
      <c r="Y735" s="123"/>
      <c r="Z735" s="123"/>
      <c r="AA735" s="123"/>
      <c r="AB735" s="123"/>
      <c r="AC735" s="123"/>
      <c r="AD735" s="123"/>
      <c r="AE735" s="123"/>
      <c r="AF735" s="123"/>
      <c r="AG735" s="123"/>
      <c r="AH735" s="123"/>
      <c r="AI735" s="123"/>
      <c r="AJ735" s="87"/>
      <c r="AK735" s="267"/>
      <c r="AL735" s="267"/>
    </row>
    <row r="736">
      <c r="A736" s="147"/>
      <c r="B736" s="123"/>
      <c r="C736" s="147"/>
      <c r="D736" s="265"/>
      <c r="E736" s="265"/>
      <c r="F736" s="265"/>
      <c r="G736" s="265"/>
      <c r="H736" s="266"/>
      <c r="I736" s="265"/>
      <c r="J736" s="123"/>
      <c r="K736" s="123"/>
      <c r="L736" s="123"/>
      <c r="M736" s="123"/>
      <c r="N736" s="123"/>
      <c r="O736" s="123"/>
      <c r="P736" s="121"/>
      <c r="Q736" s="121"/>
      <c r="R736" s="123"/>
      <c r="S736" s="123"/>
      <c r="T736" s="123"/>
      <c r="U736" s="123"/>
      <c r="V736" s="123"/>
      <c r="W736" s="123"/>
      <c r="X736" s="123"/>
      <c r="Y736" s="123"/>
      <c r="Z736" s="123"/>
      <c r="AA736" s="123"/>
      <c r="AB736" s="123"/>
      <c r="AC736" s="123"/>
      <c r="AD736" s="123"/>
      <c r="AE736" s="123"/>
      <c r="AF736" s="123"/>
      <c r="AG736" s="123"/>
      <c r="AH736" s="123"/>
      <c r="AI736" s="123"/>
      <c r="AJ736" s="267" t="s">
        <v>54</v>
      </c>
      <c r="AK736" s="267" t="s">
        <v>90</v>
      </c>
      <c r="AL736" s="267"/>
    </row>
    <row r="737">
      <c r="A737" s="147"/>
      <c r="B737" s="123"/>
      <c r="C737" s="147"/>
      <c r="D737" s="265"/>
      <c r="E737" s="265"/>
      <c r="F737" s="265"/>
      <c r="G737" s="265"/>
      <c r="H737" s="266"/>
      <c r="I737" s="265"/>
      <c r="J737" s="123"/>
      <c r="K737" s="123"/>
      <c r="L737" s="123"/>
      <c r="M737" s="123"/>
      <c r="N737" s="123"/>
      <c r="O737" s="123"/>
      <c r="P737" s="121"/>
      <c r="Q737" s="121"/>
      <c r="R737" s="123"/>
      <c r="S737" s="123"/>
      <c r="T737" s="123"/>
      <c r="U737" s="123"/>
      <c r="V737" s="123"/>
      <c r="W737" s="123"/>
      <c r="X737" s="123"/>
      <c r="Y737" s="123"/>
      <c r="Z737" s="123"/>
      <c r="AA737" s="123"/>
      <c r="AB737" s="123"/>
      <c r="AC737" s="123"/>
      <c r="AD737" s="123"/>
      <c r="AE737" s="123"/>
      <c r="AF737" s="123"/>
      <c r="AG737" s="123"/>
      <c r="AH737" s="123"/>
      <c r="AI737" s="123"/>
      <c r="AJ737" s="267">
        <v>4.73683865E8</v>
      </c>
      <c r="AK737" s="267"/>
      <c r="AL737" s="267"/>
    </row>
    <row r="738">
      <c r="A738" s="147"/>
      <c r="B738" s="123"/>
      <c r="C738" s="147"/>
      <c r="D738" s="265"/>
      <c r="E738" s="265"/>
      <c r="F738" s="265"/>
      <c r="G738" s="265"/>
      <c r="H738" s="266"/>
      <c r="I738" s="265"/>
      <c r="J738" s="123"/>
      <c r="K738" s="123"/>
      <c r="L738" s="123"/>
      <c r="M738" s="123"/>
      <c r="N738" s="123"/>
      <c r="O738" s="123"/>
      <c r="P738" s="121"/>
      <c r="Q738" s="121"/>
      <c r="R738" s="123"/>
      <c r="S738" s="123"/>
      <c r="T738" s="123"/>
      <c r="U738" s="123"/>
      <c r="V738" s="123"/>
      <c r="W738" s="123"/>
      <c r="X738" s="123"/>
      <c r="Y738" s="123"/>
      <c r="Z738" s="123"/>
      <c r="AA738" s="123"/>
      <c r="AB738" s="123"/>
      <c r="AC738" s="123"/>
      <c r="AD738" s="123"/>
      <c r="AE738" s="123"/>
      <c r="AF738" s="123"/>
      <c r="AG738" s="123"/>
      <c r="AH738" s="123"/>
      <c r="AI738" s="123"/>
      <c r="AJ738" s="267">
        <v>1.6368338E8</v>
      </c>
      <c r="AK738" s="267" t="s">
        <v>167</v>
      </c>
      <c r="AL738" s="267"/>
    </row>
    <row r="739">
      <c r="A739" s="147"/>
      <c r="B739" s="123"/>
      <c r="C739" s="147"/>
      <c r="D739" s="265"/>
      <c r="E739" s="265"/>
      <c r="F739" s="265"/>
      <c r="G739" s="265"/>
      <c r="H739" s="266"/>
      <c r="I739" s="265"/>
      <c r="J739" s="123"/>
      <c r="K739" s="123"/>
      <c r="L739" s="123"/>
      <c r="M739" s="123"/>
      <c r="N739" s="123"/>
      <c r="O739" s="123"/>
      <c r="P739" s="121"/>
      <c r="Q739" s="121"/>
      <c r="R739" s="123"/>
      <c r="S739" s="123"/>
      <c r="T739" s="123"/>
      <c r="U739" s="123"/>
      <c r="V739" s="123"/>
      <c r="W739" s="123"/>
      <c r="X739" s="123"/>
      <c r="Y739" s="123"/>
      <c r="Z739" s="123"/>
      <c r="AA739" s="123"/>
      <c r="AB739" s="123"/>
      <c r="AC739" s="123"/>
      <c r="AD739" s="123"/>
      <c r="AE739" s="123"/>
      <c r="AF739" s="123"/>
      <c r="AG739" s="123"/>
      <c r="AH739" s="123"/>
      <c r="AI739" s="123"/>
      <c r="AJ739" s="267">
        <v>1.63688556E8</v>
      </c>
      <c r="AK739" s="267" t="s">
        <v>167</v>
      </c>
      <c r="AL739" s="267"/>
    </row>
    <row r="740">
      <c r="A740" s="320"/>
      <c r="B740" s="77"/>
      <c r="C740" s="315"/>
      <c r="D740" s="265"/>
      <c r="E740" s="265"/>
      <c r="F740" s="265"/>
      <c r="G740" s="265"/>
      <c r="H740" s="266"/>
      <c r="I740" s="265"/>
      <c r="J740" s="123"/>
      <c r="K740" s="123"/>
      <c r="L740" s="123"/>
      <c r="M740" s="123"/>
      <c r="N740" s="123"/>
      <c r="O740" s="123"/>
      <c r="P740" s="121"/>
      <c r="Q740" s="121"/>
      <c r="R740" s="123"/>
      <c r="S740" s="123"/>
      <c r="T740" s="123"/>
      <c r="U740" s="123"/>
      <c r="V740" s="123"/>
      <c r="W740" s="123"/>
      <c r="X740" s="123"/>
      <c r="Y740" s="123"/>
      <c r="Z740" s="123"/>
      <c r="AA740" s="123"/>
      <c r="AB740" s="123"/>
      <c r="AC740" s="123"/>
      <c r="AD740" s="123"/>
      <c r="AE740" s="123"/>
      <c r="AF740" s="123"/>
      <c r="AG740" s="123"/>
      <c r="AH740" s="123"/>
      <c r="AI740" s="123"/>
      <c r="AJ740" s="267">
        <v>2.65523439E8</v>
      </c>
      <c r="AK740" s="267"/>
      <c r="AL740" s="267"/>
    </row>
    <row r="741">
      <c r="A741" s="320"/>
      <c r="B741" s="77"/>
      <c r="C741" s="315"/>
      <c r="D741" s="265"/>
      <c r="E741" s="265"/>
      <c r="F741" s="265"/>
      <c r="G741" s="265"/>
      <c r="H741" s="266"/>
      <c r="I741" s="265"/>
      <c r="J741" s="123"/>
      <c r="K741" s="123"/>
      <c r="L741" s="123"/>
      <c r="M741" s="123"/>
      <c r="N741" s="123"/>
      <c r="O741" s="123"/>
      <c r="P741" s="121"/>
      <c r="Q741" s="121"/>
      <c r="R741" s="123"/>
      <c r="S741" s="123"/>
      <c r="T741" s="123"/>
      <c r="U741" s="123"/>
      <c r="V741" s="123"/>
      <c r="W741" s="123"/>
      <c r="X741" s="123"/>
      <c r="Y741" s="123"/>
      <c r="Z741" s="123"/>
      <c r="AA741" s="123"/>
      <c r="AB741" s="123"/>
      <c r="AC741" s="123"/>
      <c r="AD741" s="123"/>
      <c r="AE741" s="123"/>
      <c r="AF741" s="123"/>
      <c r="AG741" s="123"/>
      <c r="AH741" s="123"/>
      <c r="AI741" s="123"/>
      <c r="AJ741" s="267">
        <v>1.50253274E8</v>
      </c>
      <c r="AK741" s="267" t="s">
        <v>167</v>
      </c>
      <c r="AL741" s="267"/>
    </row>
    <row r="742">
      <c r="A742" s="320"/>
      <c r="B742" s="77"/>
      <c r="C742" s="315"/>
      <c r="D742" s="265"/>
      <c r="E742" s="265"/>
      <c r="F742" s="265"/>
      <c r="G742" s="265"/>
      <c r="H742" s="266"/>
      <c r="I742" s="265"/>
      <c r="J742" s="123"/>
      <c r="K742" s="123"/>
      <c r="L742" s="123"/>
      <c r="M742" s="123"/>
      <c r="N742" s="123"/>
      <c r="O742" s="123"/>
      <c r="P742" s="121"/>
      <c r="Q742" s="121"/>
      <c r="R742" s="123"/>
      <c r="S742" s="123"/>
      <c r="T742" s="123"/>
      <c r="U742" s="123"/>
      <c r="V742" s="123"/>
      <c r="W742" s="123"/>
      <c r="X742" s="123"/>
      <c r="Y742" s="123"/>
      <c r="Z742" s="123"/>
      <c r="AA742" s="123"/>
      <c r="AB742" s="123"/>
      <c r="AC742" s="123"/>
      <c r="AD742" s="123"/>
      <c r="AE742" s="123"/>
      <c r="AF742" s="123"/>
      <c r="AG742" s="123"/>
      <c r="AH742" s="123"/>
      <c r="AI742" s="123"/>
      <c r="AJ742" s="267">
        <v>2.32468472E8</v>
      </c>
      <c r="AK742" s="267"/>
      <c r="AL742" s="267"/>
    </row>
    <row r="743">
      <c r="A743" s="320"/>
      <c r="B743" s="77"/>
      <c r="C743" s="315"/>
      <c r="D743" s="265"/>
      <c r="E743" s="265"/>
      <c r="F743" s="265"/>
      <c r="G743" s="265"/>
      <c r="H743" s="266"/>
      <c r="I743" s="265"/>
      <c r="J743" s="123"/>
      <c r="K743" s="123"/>
      <c r="L743" s="123"/>
      <c r="M743" s="123"/>
      <c r="N743" s="123"/>
      <c r="O743" s="123"/>
      <c r="P743" s="121"/>
      <c r="Q743" s="121"/>
      <c r="R743" s="123"/>
      <c r="S743" s="123"/>
      <c r="T743" s="123"/>
      <c r="U743" s="123"/>
      <c r="V743" s="123"/>
      <c r="W743" s="123"/>
      <c r="X743" s="123"/>
      <c r="Y743" s="123"/>
      <c r="Z743" s="123"/>
      <c r="AA743" s="123"/>
      <c r="AB743" s="123"/>
      <c r="AC743" s="123"/>
      <c r="AD743" s="123"/>
      <c r="AE743" s="123"/>
      <c r="AF743" s="123"/>
      <c r="AG743" s="123"/>
      <c r="AH743" s="123"/>
      <c r="AI743" s="123"/>
      <c r="AJ743" s="267">
        <v>1.50262548E8</v>
      </c>
      <c r="AK743" s="267" t="s">
        <v>167</v>
      </c>
      <c r="AL743" s="267"/>
    </row>
    <row r="744">
      <c r="A744" s="320"/>
      <c r="B744" s="77"/>
      <c r="C744" s="315"/>
      <c r="D744" s="265"/>
      <c r="E744" s="265"/>
      <c r="F744" s="265"/>
      <c r="G744" s="265"/>
      <c r="H744" s="266"/>
      <c r="I744" s="265"/>
      <c r="J744" s="123"/>
      <c r="K744" s="123"/>
      <c r="L744" s="123"/>
      <c r="M744" s="123"/>
      <c r="N744" s="123"/>
      <c r="O744" s="123"/>
      <c r="P744" s="121"/>
      <c r="Q744" s="121"/>
      <c r="R744" s="123"/>
      <c r="S744" s="123"/>
      <c r="T744" s="123"/>
      <c r="U744" s="123"/>
      <c r="V744" s="123"/>
      <c r="W744" s="123"/>
      <c r="X744" s="123"/>
      <c r="Y744" s="123"/>
      <c r="Z744" s="123"/>
      <c r="AA744" s="123"/>
      <c r="AB744" s="123"/>
      <c r="AC744" s="123"/>
      <c r="AD744" s="123"/>
      <c r="AE744" s="123"/>
      <c r="AF744" s="123"/>
      <c r="AG744" s="123"/>
      <c r="AH744" s="123"/>
      <c r="AI744" s="123"/>
      <c r="AJ744" s="267">
        <v>1.63687757E8</v>
      </c>
      <c r="AK744" s="267" t="s">
        <v>167</v>
      </c>
      <c r="AL744" s="267"/>
    </row>
    <row r="745">
      <c r="A745" s="90"/>
      <c r="B745" s="259"/>
      <c r="C745" s="259"/>
      <c r="D745" s="259"/>
      <c r="E745" s="259"/>
      <c r="F745" s="102"/>
      <c r="G745" s="102"/>
      <c r="H745" s="260"/>
      <c r="I745" s="259"/>
      <c r="J745" s="77"/>
      <c r="K745" s="321"/>
      <c r="L745" s="77"/>
      <c r="M745" s="77"/>
      <c r="N745" s="77"/>
      <c r="O745" s="77"/>
      <c r="P745" s="71"/>
      <c r="Q745" s="71"/>
      <c r="R745" s="77"/>
      <c r="S745" s="77"/>
      <c r="T745" s="77"/>
      <c r="U745" s="77"/>
      <c r="V745" s="115"/>
      <c r="W745" s="115"/>
      <c r="X745" s="115"/>
      <c r="Y745" s="77"/>
      <c r="Z745" s="115"/>
      <c r="AA745" s="77"/>
      <c r="AB745" s="77"/>
      <c r="AC745" s="77"/>
      <c r="AD745" s="77"/>
      <c r="AE745" s="77"/>
      <c r="AF745" s="77"/>
      <c r="AG745" s="77"/>
      <c r="AH745" s="77"/>
      <c r="AI745" s="77"/>
      <c r="AJ745" s="267">
        <v>2.32465954E8</v>
      </c>
      <c r="AK745" s="267"/>
      <c r="AL745" s="267"/>
    </row>
    <row r="746">
      <c r="A746" s="90"/>
      <c r="B746" s="259"/>
      <c r="C746" s="259"/>
      <c r="D746" s="259"/>
      <c r="E746" s="259"/>
      <c r="F746" s="102"/>
      <c r="G746" s="102"/>
      <c r="H746" s="260"/>
      <c r="I746" s="259"/>
      <c r="J746" s="77"/>
      <c r="K746" s="321"/>
      <c r="L746" s="77"/>
      <c r="M746" s="77"/>
      <c r="N746" s="77"/>
      <c r="O746" s="77"/>
      <c r="P746" s="71"/>
      <c r="Q746" s="71"/>
      <c r="R746" s="77"/>
      <c r="S746" s="77"/>
      <c r="T746" s="77"/>
      <c r="U746" s="77"/>
      <c r="V746" s="115"/>
      <c r="W746" s="115"/>
      <c r="X746" s="77"/>
      <c r="Y746" s="77"/>
      <c r="Z746" s="115"/>
      <c r="AA746" s="77"/>
      <c r="AB746" s="77"/>
      <c r="AC746" s="77"/>
      <c r="AD746" s="77"/>
      <c r="AE746" s="77"/>
      <c r="AF746" s="77"/>
      <c r="AG746" s="77"/>
      <c r="AH746" s="77"/>
      <c r="AI746" s="77"/>
      <c r="AJ746" s="267">
        <v>3.77788941E8</v>
      </c>
      <c r="AK746" s="267"/>
      <c r="AL746" s="267"/>
    </row>
    <row r="747">
      <c r="A747" s="90"/>
      <c r="B747" s="259"/>
      <c r="C747" s="259"/>
      <c r="D747" s="259"/>
      <c r="E747" s="259"/>
      <c r="F747" s="102"/>
      <c r="G747" s="102"/>
      <c r="H747" s="260"/>
      <c r="I747" s="259"/>
      <c r="J747" s="77"/>
      <c r="K747" s="321"/>
      <c r="L747" s="77"/>
      <c r="M747" s="77"/>
      <c r="N747" s="77"/>
      <c r="O747" s="77"/>
      <c r="P747" s="71"/>
      <c r="Q747" s="71"/>
      <c r="R747" s="77"/>
      <c r="S747" s="77"/>
      <c r="T747" s="77"/>
      <c r="U747" s="77"/>
      <c r="V747" s="115"/>
      <c r="W747" s="115"/>
      <c r="X747" s="77"/>
      <c r="Y747" s="77"/>
      <c r="Z747" s="115"/>
      <c r="AA747" s="77"/>
      <c r="AB747" s="77"/>
      <c r="AC747" s="77"/>
      <c r="AD747" s="77"/>
      <c r="AE747" s="77"/>
      <c r="AF747" s="77"/>
      <c r="AG747" s="77"/>
      <c r="AH747" s="77"/>
      <c r="AI747" s="77"/>
      <c r="AJ747" s="267">
        <v>4.49423638E8</v>
      </c>
      <c r="AK747" s="267"/>
      <c r="AL747" s="267"/>
    </row>
    <row r="748">
      <c r="A748" s="90"/>
      <c r="B748" s="259"/>
      <c r="C748" s="259"/>
      <c r="D748" s="315"/>
      <c r="E748" s="102"/>
      <c r="F748" s="102"/>
      <c r="G748" s="102"/>
      <c r="H748" s="260"/>
      <c r="I748" s="259"/>
      <c r="J748" s="77"/>
      <c r="K748" s="115"/>
      <c r="L748" s="77"/>
      <c r="M748" s="77"/>
      <c r="N748" s="77"/>
      <c r="O748" s="77"/>
      <c r="P748" s="71"/>
      <c r="Q748" s="71"/>
      <c r="R748" s="77"/>
      <c r="S748" s="77"/>
      <c r="T748" s="77"/>
      <c r="U748" s="77"/>
      <c r="V748" s="115"/>
      <c r="W748" s="115"/>
      <c r="X748" s="115"/>
      <c r="Y748" s="115"/>
      <c r="Z748" s="115"/>
      <c r="AA748" s="115"/>
      <c r="AB748" s="261"/>
      <c r="AC748" s="77"/>
      <c r="AD748" s="115"/>
      <c r="AE748" s="77"/>
      <c r="AF748" s="77"/>
      <c r="AG748" s="77"/>
      <c r="AH748" s="77"/>
      <c r="AI748" s="77"/>
      <c r="AJ748" s="267">
        <v>2.68884161E8</v>
      </c>
      <c r="AK748" s="267"/>
      <c r="AL748" s="267"/>
    </row>
    <row r="749">
      <c r="A749" s="90"/>
      <c r="B749" s="259"/>
      <c r="C749" s="259"/>
      <c r="D749" s="315"/>
      <c r="E749" s="102"/>
      <c r="F749" s="102"/>
      <c r="G749" s="102"/>
      <c r="H749" s="260"/>
      <c r="I749" s="259"/>
      <c r="J749" s="77"/>
      <c r="K749" s="115"/>
      <c r="L749" s="77"/>
      <c r="M749" s="77"/>
      <c r="N749" s="77"/>
      <c r="O749" s="77"/>
      <c r="P749" s="268"/>
      <c r="Q749" s="268"/>
      <c r="R749" s="77"/>
      <c r="S749" s="77"/>
      <c r="T749" s="77"/>
      <c r="U749" s="77"/>
      <c r="V749" s="115"/>
      <c r="W749" s="115"/>
      <c r="X749" s="115"/>
      <c r="Y749" s="115"/>
      <c r="Z749" s="115"/>
      <c r="AA749" s="115"/>
      <c r="AB749" s="261"/>
      <c r="AC749" s="77"/>
      <c r="AD749" s="115"/>
      <c r="AE749" s="77"/>
      <c r="AF749" s="77"/>
      <c r="AG749" s="77"/>
      <c r="AH749" s="87"/>
      <c r="AI749" s="87"/>
      <c r="AJ749" s="267">
        <v>4.32821274E8</v>
      </c>
      <c r="AK749" s="267"/>
      <c r="AL749" s="267"/>
    </row>
    <row r="750">
      <c r="A750" s="147"/>
      <c r="B750" s="123"/>
      <c r="C750" s="147"/>
      <c r="D750" s="123"/>
      <c r="E750" s="265"/>
      <c r="F750" s="265"/>
      <c r="G750" s="265"/>
      <c r="H750" s="266"/>
      <c r="I750" s="265"/>
      <c r="J750" s="123"/>
      <c r="K750" s="123"/>
      <c r="L750" s="123"/>
      <c r="M750" s="123"/>
      <c r="N750" s="123"/>
      <c r="O750" s="123"/>
      <c r="P750" s="121"/>
      <c r="Q750" s="121"/>
      <c r="R750" s="123"/>
      <c r="S750" s="123"/>
      <c r="T750" s="123"/>
      <c r="U750" s="123"/>
      <c r="V750" s="123"/>
      <c r="W750" s="123"/>
      <c r="X750" s="123"/>
      <c r="Y750" s="123"/>
      <c r="Z750" s="123"/>
      <c r="AA750" s="123"/>
      <c r="AB750" s="123"/>
      <c r="AC750" s="123"/>
      <c r="AD750" s="123"/>
      <c r="AE750" s="123"/>
      <c r="AF750" s="123"/>
      <c r="AG750" s="123"/>
      <c r="AH750" s="123"/>
      <c r="AI750" s="123"/>
      <c r="AJ750" s="267">
        <v>1.38757897E8</v>
      </c>
      <c r="AK750" s="267" t="s">
        <v>399</v>
      </c>
      <c r="AL750" s="267"/>
    </row>
    <row r="751">
      <c r="A751" s="147"/>
      <c r="B751" s="123"/>
      <c r="C751" s="147"/>
      <c r="D751" s="123"/>
      <c r="E751" s="265"/>
      <c r="F751" s="265"/>
      <c r="G751" s="265"/>
      <c r="H751" s="266"/>
      <c r="I751" s="265"/>
      <c r="J751" s="123"/>
      <c r="K751" s="123"/>
      <c r="L751" s="123"/>
      <c r="M751" s="123"/>
      <c r="N751" s="123"/>
      <c r="O751" s="123"/>
      <c r="P751" s="121"/>
      <c r="Q751" s="121"/>
      <c r="R751" s="123"/>
      <c r="S751" s="123"/>
      <c r="T751" s="123"/>
      <c r="U751" s="123"/>
      <c r="V751" s="123"/>
      <c r="W751" s="123"/>
      <c r="X751" s="123"/>
      <c r="Y751" s="123"/>
      <c r="Z751" s="123"/>
      <c r="AA751" s="123"/>
      <c r="AB751" s="123"/>
      <c r="AC751" s="123"/>
      <c r="AD751" s="123"/>
      <c r="AE751" s="123"/>
      <c r="AF751" s="123"/>
      <c r="AG751" s="123"/>
      <c r="AH751" s="123"/>
      <c r="AI751" s="123"/>
      <c r="AJ751" s="267">
        <v>2.93062934E8</v>
      </c>
      <c r="AK751" s="267"/>
      <c r="AL751" s="267"/>
    </row>
    <row r="752">
      <c r="A752" s="147"/>
      <c r="B752" s="123"/>
      <c r="C752" s="147"/>
      <c r="D752" s="123"/>
      <c r="E752" s="265"/>
      <c r="F752" s="265"/>
      <c r="G752" s="265"/>
      <c r="H752" s="266"/>
      <c r="I752" s="265"/>
      <c r="J752" s="123"/>
      <c r="K752" s="123"/>
      <c r="L752" s="123"/>
      <c r="M752" s="123"/>
      <c r="N752" s="123"/>
      <c r="O752" s="123"/>
      <c r="P752" s="121"/>
      <c r="Q752" s="121"/>
      <c r="R752" s="123"/>
      <c r="S752" s="123"/>
      <c r="T752" s="123"/>
      <c r="U752" s="123"/>
      <c r="V752" s="123"/>
      <c r="W752" s="123"/>
      <c r="X752" s="123"/>
      <c r="Y752" s="123"/>
      <c r="Z752" s="123"/>
      <c r="AA752" s="123"/>
      <c r="AB752" s="123"/>
      <c r="AC752" s="123"/>
      <c r="AD752" s="123"/>
      <c r="AE752" s="123"/>
      <c r="AF752" s="123"/>
      <c r="AG752" s="123"/>
      <c r="AH752" s="123"/>
      <c r="AI752" s="123"/>
      <c r="AJ752" s="267">
        <v>4.32841134E8</v>
      </c>
      <c r="AK752" s="267"/>
      <c r="AL752" s="267"/>
    </row>
    <row r="753">
      <c r="A753" s="147"/>
      <c r="B753" s="123"/>
      <c r="C753" s="147"/>
      <c r="D753" s="123"/>
      <c r="E753" s="265"/>
      <c r="F753" s="265"/>
      <c r="G753" s="265"/>
      <c r="H753" s="266"/>
      <c r="I753" s="265"/>
      <c r="J753" s="123"/>
      <c r="K753" s="123"/>
      <c r="L753" s="123"/>
      <c r="M753" s="123"/>
      <c r="N753" s="123"/>
      <c r="O753" s="123"/>
      <c r="P753" s="121"/>
      <c r="Q753" s="121"/>
      <c r="R753" s="123"/>
      <c r="S753" s="123"/>
      <c r="T753" s="123"/>
      <c r="U753" s="123"/>
      <c r="V753" s="123"/>
      <c r="W753" s="123"/>
      <c r="X753" s="123"/>
      <c r="Y753" s="123"/>
      <c r="Z753" s="123"/>
      <c r="AA753" s="123"/>
      <c r="AB753" s="123"/>
      <c r="AC753" s="123"/>
      <c r="AD753" s="123"/>
      <c r="AE753" s="123"/>
      <c r="AF753" s="123"/>
      <c r="AG753" s="123"/>
      <c r="AH753" s="123"/>
      <c r="AI753" s="123"/>
      <c r="AJ753" s="267">
        <v>3.0787453E8</v>
      </c>
      <c r="AK753" s="267"/>
      <c r="AL753" s="267"/>
    </row>
    <row r="754">
      <c r="A754" s="147"/>
      <c r="B754" s="123"/>
      <c r="C754" s="147"/>
      <c r="D754" s="123"/>
      <c r="E754" s="265"/>
      <c r="F754" s="265"/>
      <c r="G754" s="265"/>
      <c r="H754" s="266"/>
      <c r="I754" s="265"/>
      <c r="J754" s="123"/>
      <c r="K754" s="123"/>
      <c r="L754" s="123"/>
      <c r="M754" s="123"/>
      <c r="N754" s="123"/>
      <c r="O754" s="123"/>
      <c r="P754" s="121"/>
      <c r="Q754" s="121"/>
      <c r="R754" s="123"/>
      <c r="S754" s="123"/>
      <c r="T754" s="123"/>
      <c r="U754" s="123"/>
      <c r="V754" s="123"/>
      <c r="W754" s="123"/>
      <c r="X754" s="123"/>
      <c r="Y754" s="123"/>
      <c r="Z754" s="123"/>
      <c r="AA754" s="123"/>
      <c r="AB754" s="123"/>
      <c r="AC754" s="123"/>
      <c r="AD754" s="123"/>
      <c r="AE754" s="123"/>
      <c r="AF754" s="123"/>
      <c r="AG754" s="123"/>
      <c r="AH754" s="123"/>
      <c r="AI754" s="123"/>
      <c r="AJ754" s="267">
        <v>2.76247301E8</v>
      </c>
      <c r="AK754" s="267"/>
      <c r="AL754" s="267"/>
    </row>
    <row r="755">
      <c r="A755" s="147"/>
      <c r="B755" s="123"/>
      <c r="C755" s="147"/>
      <c r="D755" s="123"/>
      <c r="E755" s="265"/>
      <c r="F755" s="265"/>
      <c r="G755" s="265"/>
      <c r="H755" s="266"/>
      <c r="I755" s="265"/>
      <c r="J755" s="123"/>
      <c r="K755" s="123"/>
      <c r="L755" s="123"/>
      <c r="M755" s="123"/>
      <c r="N755" s="123"/>
      <c r="O755" s="123"/>
      <c r="P755" s="121"/>
      <c r="Q755" s="121"/>
      <c r="R755" s="123"/>
      <c r="S755" s="123"/>
      <c r="T755" s="123"/>
      <c r="U755" s="123"/>
      <c r="V755" s="123"/>
      <c r="W755" s="123"/>
      <c r="X755" s="123"/>
      <c r="Y755" s="123"/>
      <c r="Z755" s="123"/>
      <c r="AA755" s="123"/>
      <c r="AB755" s="123"/>
      <c r="AC755" s="123"/>
      <c r="AD755" s="123"/>
      <c r="AE755" s="123"/>
      <c r="AF755" s="123"/>
      <c r="AG755" s="123"/>
      <c r="AH755" s="123"/>
      <c r="AI755" s="123"/>
      <c r="AJ755" s="267">
        <v>1.98421782E8</v>
      </c>
      <c r="AK755" s="267"/>
      <c r="AL755" s="267"/>
    </row>
    <row r="756">
      <c r="A756" s="147"/>
      <c r="B756" s="123"/>
      <c r="C756" s="147"/>
      <c r="D756" s="123"/>
      <c r="E756" s="265"/>
      <c r="F756" s="265"/>
      <c r="G756" s="265"/>
      <c r="H756" s="266"/>
      <c r="I756" s="265"/>
      <c r="J756" s="123"/>
      <c r="K756" s="123"/>
      <c r="L756" s="123"/>
      <c r="M756" s="123"/>
      <c r="N756" s="123"/>
      <c r="O756" s="123"/>
      <c r="P756" s="121"/>
      <c r="Q756" s="121"/>
      <c r="R756" s="123"/>
      <c r="S756" s="123"/>
      <c r="T756" s="123"/>
      <c r="U756" s="123"/>
      <c r="V756" s="123"/>
      <c r="W756" s="123"/>
      <c r="X756" s="123"/>
      <c r="Y756" s="123"/>
      <c r="Z756" s="123"/>
      <c r="AA756" s="123"/>
      <c r="AB756" s="123"/>
      <c r="AC756" s="123"/>
      <c r="AD756" s="123"/>
      <c r="AE756" s="123"/>
      <c r="AF756" s="123"/>
      <c r="AG756" s="123"/>
      <c r="AH756" s="123"/>
      <c r="AI756" s="123"/>
      <c r="AJ756" s="267">
        <v>1.42963712E8</v>
      </c>
      <c r="AK756" s="267"/>
      <c r="AL756" s="267"/>
    </row>
    <row r="757">
      <c r="A757" s="147"/>
      <c r="B757" s="123"/>
      <c r="C757" s="147"/>
      <c r="D757" s="123"/>
      <c r="E757" s="265"/>
      <c r="F757" s="265"/>
      <c r="G757" s="265"/>
      <c r="H757" s="266"/>
      <c r="I757" s="265"/>
      <c r="J757" s="123"/>
      <c r="K757" s="123"/>
      <c r="L757" s="123"/>
      <c r="M757" s="123"/>
      <c r="N757" s="123"/>
      <c r="O757" s="123"/>
      <c r="P757" s="121"/>
      <c r="Q757" s="121"/>
      <c r="R757" s="123"/>
      <c r="S757" s="123"/>
      <c r="T757" s="123"/>
      <c r="U757" s="123"/>
      <c r="V757" s="123"/>
      <c r="W757" s="123"/>
      <c r="X757" s="123"/>
      <c r="Y757" s="123"/>
      <c r="Z757" s="123"/>
      <c r="AA757" s="123"/>
      <c r="AB757" s="123"/>
      <c r="AC757" s="123"/>
      <c r="AD757" s="123"/>
      <c r="AE757" s="123"/>
      <c r="AF757" s="123"/>
      <c r="AG757" s="123"/>
      <c r="AH757" s="123"/>
      <c r="AI757" s="123"/>
      <c r="AJ757" s="267">
        <v>1.67680087E8</v>
      </c>
      <c r="AK757" s="267"/>
      <c r="AL757" s="267"/>
    </row>
    <row r="758">
      <c r="A758" s="147"/>
      <c r="B758" s="123"/>
      <c r="C758" s="147"/>
      <c r="D758" s="123"/>
      <c r="E758" s="265"/>
      <c r="F758" s="265"/>
      <c r="G758" s="265"/>
      <c r="H758" s="266"/>
      <c r="I758" s="265"/>
      <c r="J758" s="123"/>
      <c r="K758" s="123"/>
      <c r="L758" s="123"/>
      <c r="M758" s="123"/>
      <c r="N758" s="123"/>
      <c r="O758" s="123"/>
      <c r="P758" s="121"/>
      <c r="Q758" s="121"/>
      <c r="R758" s="123"/>
      <c r="S758" s="123"/>
      <c r="T758" s="123"/>
      <c r="U758" s="123"/>
      <c r="V758" s="123"/>
      <c r="W758" s="123"/>
      <c r="X758" s="123"/>
      <c r="Y758" s="123"/>
      <c r="Z758" s="123"/>
      <c r="AA758" s="123"/>
      <c r="AB758" s="123"/>
      <c r="AC758" s="123"/>
      <c r="AD758" s="123"/>
      <c r="AE758" s="123"/>
      <c r="AF758" s="123"/>
      <c r="AG758" s="123"/>
      <c r="AH758" s="123"/>
      <c r="AI758" s="123"/>
      <c r="AJ758" s="267">
        <v>1.88493994E8</v>
      </c>
      <c r="AK758" s="267" t="s">
        <v>546</v>
      </c>
      <c r="AL758" s="267"/>
    </row>
    <row r="759">
      <c r="A759" s="147"/>
      <c r="B759" s="123"/>
      <c r="C759" s="147"/>
      <c r="D759" s="123"/>
      <c r="E759" s="265"/>
      <c r="F759" s="265"/>
      <c r="G759" s="265"/>
      <c r="H759" s="266"/>
      <c r="I759" s="265"/>
      <c r="J759" s="123"/>
      <c r="K759" s="123"/>
      <c r="L759" s="123"/>
      <c r="M759" s="123"/>
      <c r="N759" s="123"/>
      <c r="O759" s="123"/>
      <c r="P759" s="121"/>
      <c r="Q759" s="121"/>
      <c r="R759" s="123"/>
      <c r="S759" s="123"/>
      <c r="T759" s="123"/>
      <c r="U759" s="123"/>
      <c r="V759" s="123"/>
      <c r="W759" s="123"/>
      <c r="X759" s="123"/>
      <c r="Y759" s="123"/>
      <c r="Z759" s="123"/>
      <c r="AA759" s="123"/>
      <c r="AB759" s="123"/>
      <c r="AC759" s="123"/>
      <c r="AD759" s="123"/>
      <c r="AE759" s="123"/>
      <c r="AF759" s="123"/>
      <c r="AG759" s="123"/>
      <c r="AH759" s="123"/>
      <c r="AI759" s="123"/>
      <c r="AJ759" s="267">
        <v>1.8860269E8</v>
      </c>
      <c r="AK759" s="267" t="s">
        <v>560</v>
      </c>
      <c r="AL759" s="267"/>
    </row>
    <row r="760">
      <c r="A760" s="147"/>
      <c r="B760" s="123"/>
      <c r="C760" s="147"/>
      <c r="D760" s="123"/>
      <c r="E760" s="265"/>
      <c r="F760" s="265"/>
      <c r="G760" s="265"/>
      <c r="H760" s="266"/>
      <c r="I760" s="265"/>
      <c r="J760" s="123"/>
      <c r="K760" s="123"/>
      <c r="L760" s="123"/>
      <c r="M760" s="123"/>
      <c r="N760" s="123"/>
      <c r="O760" s="123"/>
      <c r="P760" s="121"/>
      <c r="Q760" s="121"/>
      <c r="R760" s="123"/>
      <c r="S760" s="123"/>
      <c r="T760" s="123"/>
      <c r="U760" s="123"/>
      <c r="V760" s="123"/>
      <c r="W760" s="123"/>
      <c r="X760" s="123"/>
      <c r="Y760" s="123"/>
      <c r="Z760" s="123"/>
      <c r="AA760" s="123"/>
      <c r="AB760" s="123"/>
      <c r="AC760" s="123"/>
      <c r="AD760" s="123"/>
      <c r="AE760" s="123"/>
      <c r="AF760" s="123"/>
      <c r="AG760" s="123"/>
      <c r="AH760" s="123"/>
      <c r="AI760" s="123"/>
      <c r="AJ760" s="267">
        <v>5.49551191E8</v>
      </c>
      <c r="AK760" s="267"/>
      <c r="AL760" s="267"/>
    </row>
    <row r="761">
      <c r="A761" s="147"/>
      <c r="B761" s="123"/>
      <c r="C761" s="147"/>
      <c r="D761" s="123"/>
      <c r="E761" s="265"/>
      <c r="F761" s="265"/>
      <c r="G761" s="265"/>
      <c r="H761" s="266"/>
      <c r="I761" s="265"/>
      <c r="J761" s="123"/>
      <c r="K761" s="123"/>
      <c r="L761" s="123"/>
      <c r="M761" s="123"/>
      <c r="N761" s="123"/>
      <c r="O761" s="123"/>
      <c r="P761" s="121"/>
      <c r="Q761" s="121"/>
      <c r="R761" s="123"/>
      <c r="S761" s="123"/>
      <c r="T761" s="123"/>
      <c r="U761" s="123"/>
      <c r="V761" s="123"/>
      <c r="W761" s="123"/>
      <c r="X761" s="123"/>
      <c r="Y761" s="123"/>
      <c r="Z761" s="123"/>
      <c r="AA761" s="123"/>
      <c r="AB761" s="123"/>
      <c r="AC761" s="123"/>
      <c r="AD761" s="123"/>
      <c r="AE761" s="123"/>
      <c r="AF761" s="123"/>
      <c r="AG761" s="123"/>
      <c r="AH761" s="123"/>
      <c r="AI761" s="123"/>
      <c r="AJ761" s="267">
        <v>5.49611709E8</v>
      </c>
      <c r="AK761" s="267"/>
      <c r="AL761" s="267"/>
    </row>
    <row r="762">
      <c r="A762" s="147"/>
      <c r="B762" s="123"/>
      <c r="C762" s="147"/>
      <c r="D762" s="123"/>
      <c r="E762" s="265"/>
      <c r="F762" s="265"/>
      <c r="G762" s="265"/>
      <c r="H762" s="266"/>
      <c r="I762" s="265"/>
      <c r="J762" s="123"/>
      <c r="K762" s="123"/>
      <c r="L762" s="123"/>
      <c r="M762" s="123"/>
      <c r="N762" s="123"/>
      <c r="O762" s="123"/>
      <c r="P762" s="121"/>
      <c r="Q762" s="121"/>
      <c r="R762" s="123"/>
      <c r="S762" s="123"/>
      <c r="T762" s="123"/>
      <c r="U762" s="123"/>
      <c r="V762" s="123"/>
      <c r="W762" s="123"/>
      <c r="X762" s="123"/>
      <c r="Y762" s="123"/>
      <c r="Z762" s="123"/>
      <c r="AA762" s="123"/>
      <c r="AB762" s="123"/>
      <c r="AC762" s="123"/>
      <c r="AD762" s="123"/>
      <c r="AE762" s="123"/>
      <c r="AF762" s="123"/>
      <c r="AG762" s="123"/>
      <c r="AH762" s="123"/>
      <c r="AI762" s="123"/>
      <c r="AJ762" s="267">
        <v>5.59173569E8</v>
      </c>
      <c r="AK762" s="267"/>
      <c r="AL762" s="267"/>
    </row>
    <row r="763">
      <c r="A763" s="147"/>
      <c r="B763" s="123"/>
      <c r="C763" s="147"/>
      <c r="D763" s="123"/>
      <c r="E763" s="265"/>
      <c r="F763" s="265"/>
      <c r="G763" s="265"/>
      <c r="H763" s="266"/>
      <c r="I763" s="265"/>
      <c r="J763" s="123"/>
      <c r="K763" s="123"/>
      <c r="L763" s="123"/>
      <c r="M763" s="123"/>
      <c r="N763" s="123"/>
      <c r="O763" s="123"/>
      <c r="P763" s="121"/>
      <c r="Q763" s="121"/>
      <c r="R763" s="123"/>
      <c r="S763" s="123"/>
      <c r="T763" s="123"/>
      <c r="U763" s="123"/>
      <c r="V763" s="123"/>
      <c r="W763" s="123"/>
      <c r="X763" s="123"/>
      <c r="Y763" s="123"/>
      <c r="Z763" s="123"/>
      <c r="AA763" s="123"/>
      <c r="AB763" s="123"/>
      <c r="AC763" s="123"/>
      <c r="AD763" s="123"/>
      <c r="AE763" s="123"/>
      <c r="AF763" s="123"/>
      <c r="AG763" s="123"/>
      <c r="AH763" s="123"/>
      <c r="AI763" s="123"/>
      <c r="AJ763" s="267">
        <v>5.5922502E8</v>
      </c>
      <c r="AK763" s="267"/>
      <c r="AL763" s="267"/>
    </row>
    <row r="764">
      <c r="A764" s="147"/>
      <c r="B764" s="123"/>
      <c r="C764" s="147"/>
      <c r="D764" s="123"/>
      <c r="E764" s="265"/>
      <c r="F764" s="265"/>
      <c r="G764" s="265"/>
      <c r="H764" s="266"/>
      <c r="I764" s="265"/>
      <c r="J764" s="123"/>
      <c r="K764" s="123"/>
      <c r="L764" s="123"/>
      <c r="M764" s="123"/>
      <c r="N764" s="123"/>
      <c r="O764" s="123"/>
      <c r="P764" s="121"/>
      <c r="Q764" s="121"/>
      <c r="R764" s="123"/>
      <c r="S764" s="123"/>
      <c r="T764" s="123"/>
      <c r="U764" s="123"/>
      <c r="V764" s="123"/>
      <c r="W764" s="123"/>
      <c r="X764" s="123"/>
      <c r="Y764" s="123"/>
      <c r="Z764" s="123"/>
      <c r="AA764" s="123"/>
      <c r="AB764" s="123"/>
      <c r="AC764" s="123"/>
      <c r="AD764" s="123"/>
      <c r="AE764" s="123"/>
      <c r="AF764" s="123"/>
      <c r="AG764" s="123"/>
      <c r="AH764" s="123"/>
      <c r="AI764" s="123"/>
      <c r="AJ764" s="267">
        <v>5.6866731E8</v>
      </c>
      <c r="AK764" s="267"/>
      <c r="AL764" s="267"/>
    </row>
    <row r="765">
      <c r="A765" s="90"/>
      <c r="B765" s="259"/>
      <c r="C765" s="259"/>
      <c r="D765" s="315"/>
      <c r="E765" s="102"/>
      <c r="F765" s="102"/>
      <c r="G765" s="102"/>
      <c r="H765" s="260"/>
      <c r="I765" s="259"/>
      <c r="J765" s="77"/>
      <c r="K765" s="115"/>
      <c r="L765" s="77"/>
      <c r="M765" s="77"/>
      <c r="N765" s="77"/>
      <c r="O765" s="77"/>
      <c r="P765" s="268"/>
      <c r="Q765" s="268"/>
      <c r="R765" s="77"/>
      <c r="S765" s="77"/>
      <c r="T765" s="77"/>
      <c r="U765" s="77"/>
      <c r="V765" s="115"/>
      <c r="W765" s="115"/>
      <c r="X765" s="115"/>
      <c r="Y765" s="115"/>
      <c r="Z765" s="115"/>
      <c r="AA765" s="115"/>
      <c r="AB765" s="261"/>
      <c r="AC765" s="77"/>
      <c r="AD765" s="115"/>
      <c r="AE765" s="77"/>
      <c r="AF765" s="77"/>
      <c r="AG765" s="77"/>
      <c r="AH765" s="87"/>
      <c r="AI765" s="87"/>
      <c r="AJ765" s="267">
        <v>5.88937927E8</v>
      </c>
      <c r="AK765" s="267"/>
      <c r="AL765" s="267"/>
    </row>
    <row r="766">
      <c r="A766" s="90"/>
      <c r="B766" s="259"/>
      <c r="C766" s="259"/>
      <c r="D766" s="315"/>
      <c r="E766" s="102"/>
      <c r="F766" s="102"/>
      <c r="G766" s="102"/>
      <c r="H766" s="260"/>
      <c r="I766" s="259"/>
      <c r="J766" s="77"/>
      <c r="K766" s="115"/>
      <c r="L766" s="77"/>
      <c r="M766" s="77"/>
      <c r="N766" s="77"/>
      <c r="O766" s="77"/>
      <c r="P766" s="71"/>
      <c r="Q766" s="71"/>
      <c r="R766" s="77"/>
      <c r="S766" s="77"/>
      <c r="T766" s="77"/>
      <c r="U766" s="77"/>
      <c r="V766" s="115"/>
      <c r="W766" s="115"/>
      <c r="X766" s="115"/>
      <c r="Y766" s="115"/>
      <c r="Z766" s="115"/>
      <c r="AA766" s="115"/>
      <c r="AB766" s="261"/>
      <c r="AC766" s="77"/>
      <c r="AD766" s="115"/>
      <c r="AE766" s="77"/>
      <c r="AF766" s="77"/>
      <c r="AG766" s="77"/>
      <c r="AH766" s="77"/>
      <c r="AI766" s="77"/>
      <c r="AJ766" s="267">
        <v>6.17717249E8</v>
      </c>
      <c r="AK766" s="267"/>
      <c r="AL766" s="267"/>
    </row>
    <row r="767">
      <c r="A767" s="147"/>
      <c r="B767" s="123"/>
      <c r="C767" s="147"/>
      <c r="D767" s="123"/>
      <c r="E767" s="265"/>
      <c r="F767" s="265"/>
      <c r="G767" s="265"/>
      <c r="H767" s="266"/>
      <c r="I767" s="265"/>
      <c r="J767" s="123"/>
      <c r="K767" s="123"/>
      <c r="L767" s="123"/>
      <c r="M767" s="123"/>
      <c r="N767" s="123"/>
      <c r="O767" s="123"/>
      <c r="P767" s="121"/>
      <c r="Q767" s="121"/>
      <c r="R767" s="123"/>
      <c r="S767" s="123"/>
      <c r="T767" s="123"/>
      <c r="U767" s="123"/>
      <c r="V767" s="123"/>
      <c r="W767" s="123"/>
      <c r="X767" s="123"/>
      <c r="Y767" s="123"/>
      <c r="Z767" s="123"/>
      <c r="AA767" s="123"/>
      <c r="AB767" s="123"/>
      <c r="AC767" s="123"/>
      <c r="AD767" s="123"/>
      <c r="AE767" s="123"/>
      <c r="AF767" s="123"/>
      <c r="AG767" s="123"/>
      <c r="AH767" s="123"/>
      <c r="AI767" s="123"/>
      <c r="AJ767" s="267">
        <v>1.65592674E8</v>
      </c>
      <c r="AK767" s="267"/>
      <c r="AL767" s="267"/>
    </row>
    <row r="768">
      <c r="A768" s="147"/>
      <c r="B768" s="123"/>
      <c r="C768" s="147"/>
      <c r="D768" s="123"/>
      <c r="E768" s="265"/>
      <c r="F768" s="265"/>
      <c r="G768" s="265"/>
      <c r="H768" s="266"/>
      <c r="I768" s="265"/>
      <c r="J768" s="123"/>
      <c r="K768" s="123"/>
      <c r="L768" s="123"/>
      <c r="M768" s="123"/>
      <c r="N768" s="123"/>
      <c r="O768" s="123"/>
      <c r="P768" s="121"/>
      <c r="Q768" s="121"/>
      <c r="R768" s="123"/>
      <c r="S768" s="123"/>
      <c r="T768" s="123"/>
      <c r="U768" s="123"/>
      <c r="V768" s="123"/>
      <c r="W768" s="123"/>
      <c r="X768" s="123"/>
      <c r="Y768" s="123"/>
      <c r="Z768" s="123"/>
      <c r="AA768" s="123"/>
      <c r="AB768" s="123"/>
      <c r="AC768" s="123"/>
      <c r="AD768" s="123"/>
      <c r="AE768" s="123"/>
      <c r="AF768" s="123"/>
      <c r="AG768" s="123"/>
      <c r="AH768" s="123"/>
      <c r="AI768" s="123"/>
      <c r="AJ768" s="267">
        <v>6.81199239E8</v>
      </c>
      <c r="AK768" s="267"/>
      <c r="AL768" s="267"/>
    </row>
    <row r="769">
      <c r="A769" s="147"/>
      <c r="B769" s="123"/>
      <c r="C769" s="147"/>
      <c r="D769" s="123"/>
      <c r="E769" s="265"/>
      <c r="F769" s="265"/>
      <c r="G769" s="265"/>
      <c r="H769" s="266"/>
      <c r="I769" s="265"/>
      <c r="J769" s="123"/>
      <c r="K769" s="123"/>
      <c r="L769" s="123"/>
      <c r="M769" s="123"/>
      <c r="N769" s="123"/>
      <c r="O769" s="123"/>
      <c r="P769" s="121"/>
      <c r="Q769" s="121"/>
      <c r="R769" s="123"/>
      <c r="S769" s="123"/>
      <c r="T769" s="123"/>
      <c r="U769" s="123"/>
      <c r="V769" s="123"/>
      <c r="W769" s="123"/>
      <c r="X769" s="123"/>
      <c r="Y769" s="123"/>
      <c r="Z769" s="123"/>
      <c r="AA769" s="123"/>
      <c r="AB769" s="123"/>
      <c r="AC769" s="123"/>
      <c r="AD769" s="123"/>
      <c r="AE769" s="123"/>
      <c r="AF769" s="123"/>
      <c r="AG769" s="123"/>
      <c r="AH769" s="123"/>
      <c r="AI769" s="123"/>
      <c r="AJ769" s="267">
        <v>6.87712933E8</v>
      </c>
      <c r="AK769" s="267"/>
      <c r="AL769" s="267"/>
    </row>
    <row r="770">
      <c r="A770" s="147"/>
      <c r="B770" s="123"/>
      <c r="C770" s="147"/>
      <c r="D770" s="123"/>
      <c r="E770" s="265"/>
      <c r="F770" s="265"/>
      <c r="G770" s="265"/>
      <c r="H770" s="266"/>
      <c r="I770" s="265"/>
      <c r="J770" s="123"/>
      <c r="K770" s="123"/>
      <c r="L770" s="123"/>
      <c r="M770" s="123"/>
      <c r="N770" s="123"/>
      <c r="O770" s="123"/>
      <c r="P770" s="121"/>
      <c r="Q770" s="121"/>
      <c r="R770" s="123"/>
      <c r="S770" s="123"/>
      <c r="T770" s="123"/>
      <c r="U770" s="123"/>
      <c r="V770" s="123"/>
      <c r="W770" s="123"/>
      <c r="X770" s="123"/>
      <c r="Y770" s="123"/>
      <c r="Z770" s="123"/>
      <c r="AA770" s="123"/>
      <c r="AB770" s="123"/>
      <c r="AC770" s="123"/>
      <c r="AD770" s="123"/>
      <c r="AE770" s="123"/>
      <c r="AF770" s="123"/>
      <c r="AG770" s="123"/>
      <c r="AH770" s="123"/>
      <c r="AI770" s="123"/>
      <c r="AJ770" s="267">
        <v>6.92599189E8</v>
      </c>
      <c r="AK770" s="267"/>
      <c r="AL770" s="267"/>
    </row>
    <row r="771">
      <c r="A771" s="147"/>
      <c r="B771" s="123"/>
      <c r="C771" s="147"/>
      <c r="D771" s="123"/>
      <c r="E771" s="265"/>
      <c r="F771" s="265"/>
      <c r="G771" s="265"/>
      <c r="H771" s="266"/>
      <c r="I771" s="265"/>
      <c r="J771" s="123"/>
      <c r="K771" s="123"/>
      <c r="L771" s="123"/>
      <c r="M771" s="123"/>
      <c r="N771" s="123"/>
      <c r="O771" s="123"/>
      <c r="P771" s="121"/>
      <c r="Q771" s="121"/>
      <c r="R771" s="123"/>
      <c r="S771" s="123"/>
      <c r="T771" s="123"/>
      <c r="U771" s="123"/>
      <c r="V771" s="123"/>
      <c r="W771" s="123"/>
      <c r="X771" s="123"/>
      <c r="Y771" s="123"/>
      <c r="Z771" s="123"/>
      <c r="AA771" s="123"/>
      <c r="AB771" s="123"/>
      <c r="AC771" s="123"/>
      <c r="AD771" s="123"/>
      <c r="AE771" s="123"/>
      <c r="AF771" s="123"/>
      <c r="AG771" s="123"/>
      <c r="AH771" s="123"/>
      <c r="AI771" s="123"/>
      <c r="AJ771" s="267">
        <v>3.11795896E8</v>
      </c>
      <c r="AK771" s="267"/>
      <c r="AL771" s="267"/>
    </row>
    <row r="772">
      <c r="A772" s="147"/>
      <c r="B772" s="123"/>
      <c r="C772" s="147"/>
      <c r="D772" s="123"/>
      <c r="E772" s="265"/>
      <c r="F772" s="265"/>
      <c r="G772" s="265"/>
      <c r="H772" s="266"/>
      <c r="I772" s="265"/>
      <c r="J772" s="123"/>
      <c r="K772" s="123"/>
      <c r="L772" s="123"/>
      <c r="M772" s="123"/>
      <c r="N772" s="123"/>
      <c r="O772" s="123"/>
      <c r="P772" s="121"/>
      <c r="Q772" s="121"/>
      <c r="R772" s="123"/>
      <c r="S772" s="123"/>
      <c r="T772" s="123"/>
      <c r="U772" s="123"/>
      <c r="V772" s="123"/>
      <c r="W772" s="123"/>
      <c r="X772" s="123"/>
      <c r="Y772" s="123"/>
      <c r="Z772" s="123"/>
      <c r="AA772" s="123"/>
      <c r="AB772" s="123"/>
      <c r="AC772" s="123"/>
      <c r="AD772" s="123"/>
      <c r="AE772" s="123"/>
      <c r="AF772" s="123"/>
      <c r="AG772" s="123"/>
      <c r="AH772" s="123"/>
      <c r="AI772" s="123"/>
      <c r="AJ772" s="267">
        <v>3.02436449E8</v>
      </c>
      <c r="AK772" s="267"/>
      <c r="AL772" s="267"/>
    </row>
    <row r="773">
      <c r="A773" s="147"/>
      <c r="B773" s="123"/>
      <c r="C773" s="147"/>
      <c r="D773" s="123"/>
      <c r="E773" s="265"/>
      <c r="F773" s="265"/>
      <c r="G773" s="265"/>
      <c r="H773" s="266"/>
      <c r="I773" s="265"/>
      <c r="J773" s="123"/>
      <c r="K773" s="123"/>
      <c r="L773" s="123"/>
      <c r="M773" s="123"/>
      <c r="N773" s="123"/>
      <c r="O773" s="123"/>
      <c r="P773" s="121"/>
      <c r="Q773" s="121"/>
      <c r="R773" s="123"/>
      <c r="S773" s="123"/>
      <c r="T773" s="123"/>
      <c r="U773" s="123"/>
      <c r="V773" s="123"/>
      <c r="W773" s="123"/>
      <c r="X773" s="123"/>
      <c r="Y773" s="123"/>
      <c r="Z773" s="123"/>
      <c r="AA773" s="123"/>
      <c r="AB773" s="123"/>
      <c r="AC773" s="123"/>
      <c r="AD773" s="123"/>
      <c r="AE773" s="123"/>
      <c r="AF773" s="123"/>
      <c r="AG773" s="123"/>
      <c r="AH773" s="123"/>
      <c r="AI773" s="123"/>
      <c r="AJ773" s="267">
        <v>3.37468231E8</v>
      </c>
      <c r="AK773" s="267"/>
      <c r="AL773" s="267"/>
    </row>
    <row r="774">
      <c r="A774" s="147"/>
      <c r="B774" s="123"/>
      <c r="C774" s="147"/>
      <c r="D774" s="123"/>
      <c r="E774" s="265"/>
      <c r="F774" s="265"/>
      <c r="G774" s="265"/>
      <c r="H774" s="266"/>
      <c r="I774" s="265"/>
      <c r="J774" s="123"/>
      <c r="K774" s="123"/>
      <c r="L774" s="123"/>
      <c r="M774" s="123"/>
      <c r="N774" s="123"/>
      <c r="O774" s="123"/>
      <c r="P774" s="121"/>
      <c r="Q774" s="121"/>
      <c r="R774" s="123"/>
      <c r="S774" s="123"/>
      <c r="T774" s="123"/>
      <c r="U774" s="123"/>
      <c r="V774" s="123"/>
      <c r="W774" s="123"/>
      <c r="X774" s="123"/>
      <c r="Y774" s="123"/>
      <c r="Z774" s="123"/>
      <c r="AA774" s="123"/>
      <c r="AB774" s="123"/>
      <c r="AC774" s="123"/>
      <c r="AD774" s="123"/>
      <c r="AE774" s="123"/>
      <c r="AF774" s="123"/>
      <c r="AG774" s="123"/>
      <c r="AH774" s="123"/>
      <c r="AI774" s="123"/>
      <c r="AJ774" s="267">
        <v>2.060201E8</v>
      </c>
      <c r="AK774" s="267"/>
      <c r="AL774" s="267"/>
    </row>
    <row r="775">
      <c r="A775" s="147"/>
      <c r="B775" s="123"/>
      <c r="C775" s="147"/>
      <c r="D775" s="123"/>
      <c r="E775" s="265"/>
      <c r="F775" s="265"/>
      <c r="G775" s="265"/>
      <c r="H775" s="266"/>
      <c r="I775" s="265"/>
      <c r="J775" s="123"/>
      <c r="K775" s="123"/>
      <c r="L775" s="123"/>
      <c r="M775" s="123"/>
      <c r="N775" s="123"/>
      <c r="O775" s="123"/>
      <c r="P775" s="121"/>
      <c r="Q775" s="121"/>
      <c r="R775" s="123"/>
      <c r="S775" s="123"/>
      <c r="T775" s="123"/>
      <c r="U775" s="123"/>
      <c r="V775" s="123"/>
      <c r="W775" s="123"/>
      <c r="X775" s="123"/>
      <c r="Y775" s="123"/>
      <c r="Z775" s="123"/>
      <c r="AA775" s="123"/>
      <c r="AB775" s="123"/>
      <c r="AC775" s="123"/>
      <c r="AD775" s="123"/>
      <c r="AE775" s="123"/>
      <c r="AF775" s="123"/>
      <c r="AG775" s="123"/>
      <c r="AH775" s="123"/>
      <c r="AI775" s="123"/>
      <c r="AJ775" s="267">
        <v>2.16488606E8</v>
      </c>
      <c r="AK775" s="267"/>
      <c r="AL775" s="267"/>
    </row>
    <row r="776">
      <c r="A776" s="147"/>
      <c r="B776" s="123"/>
      <c r="C776" s="147"/>
      <c r="D776" s="123"/>
      <c r="E776" s="265"/>
      <c r="F776" s="265"/>
      <c r="G776" s="265"/>
      <c r="H776" s="266"/>
      <c r="I776" s="265"/>
      <c r="J776" s="123"/>
      <c r="K776" s="123"/>
      <c r="L776" s="123"/>
      <c r="M776" s="123"/>
      <c r="N776" s="123"/>
      <c r="O776" s="123"/>
      <c r="P776" s="121"/>
      <c r="Q776" s="121"/>
      <c r="R776" s="123"/>
      <c r="S776" s="123"/>
      <c r="T776" s="123"/>
      <c r="U776" s="123"/>
      <c r="V776" s="123"/>
      <c r="W776" s="123"/>
      <c r="X776" s="123"/>
      <c r="Y776" s="123"/>
      <c r="Z776" s="123"/>
      <c r="AA776" s="123"/>
      <c r="AB776" s="123"/>
      <c r="AC776" s="123"/>
      <c r="AD776" s="123"/>
      <c r="AE776" s="123"/>
      <c r="AF776" s="123"/>
      <c r="AG776" s="123"/>
      <c r="AH776" s="123"/>
      <c r="AI776" s="123"/>
      <c r="AJ776" s="267">
        <v>9.1969061E7</v>
      </c>
      <c r="AK776" s="267" t="s">
        <v>850</v>
      </c>
      <c r="AL776" s="267"/>
    </row>
    <row r="777">
      <c r="A777" s="147"/>
      <c r="B777" s="123"/>
      <c r="C777" s="147"/>
      <c r="D777" s="123"/>
      <c r="E777" s="265"/>
      <c r="F777" s="265"/>
      <c r="G777" s="265"/>
      <c r="H777" s="266"/>
      <c r="I777" s="265"/>
      <c r="J777" s="123"/>
      <c r="K777" s="123"/>
      <c r="L777" s="123"/>
      <c r="M777" s="123"/>
      <c r="N777" s="123"/>
      <c r="O777" s="123"/>
      <c r="P777" s="121"/>
      <c r="Q777" s="121"/>
      <c r="R777" s="123"/>
      <c r="S777" s="123"/>
      <c r="T777" s="123"/>
      <c r="U777" s="123"/>
      <c r="V777" s="123"/>
      <c r="W777" s="123"/>
      <c r="X777" s="123"/>
      <c r="Y777" s="123"/>
      <c r="Z777" s="123"/>
      <c r="AA777" s="123"/>
      <c r="AB777" s="123"/>
      <c r="AC777" s="123"/>
      <c r="AD777" s="123"/>
      <c r="AE777" s="123"/>
      <c r="AF777" s="123"/>
      <c r="AG777" s="123"/>
      <c r="AH777" s="123"/>
      <c r="AI777" s="123"/>
      <c r="AJ777" s="267">
        <v>2.06027291E8</v>
      </c>
      <c r="AK777" s="267"/>
      <c r="AL777" s="267"/>
    </row>
    <row r="778">
      <c r="A778" s="147"/>
      <c r="B778" s="123"/>
      <c r="C778" s="147"/>
      <c r="D778" s="123"/>
      <c r="E778" s="265"/>
      <c r="F778" s="265"/>
      <c r="G778" s="265"/>
      <c r="H778" s="266"/>
      <c r="I778" s="265"/>
      <c r="J778" s="123"/>
      <c r="K778" s="123"/>
      <c r="L778" s="123"/>
      <c r="M778" s="123"/>
      <c r="N778" s="123"/>
      <c r="O778" s="123"/>
      <c r="P778" s="121"/>
      <c r="Q778" s="121"/>
      <c r="R778" s="123"/>
      <c r="S778" s="123"/>
      <c r="T778" s="123"/>
      <c r="U778" s="123"/>
      <c r="V778" s="123"/>
      <c r="W778" s="123"/>
      <c r="X778" s="123"/>
      <c r="Y778" s="123"/>
      <c r="Z778" s="123"/>
      <c r="AA778" s="123"/>
      <c r="AB778" s="123"/>
      <c r="AC778" s="123"/>
      <c r="AD778" s="123"/>
      <c r="AE778" s="123"/>
      <c r="AF778" s="123"/>
      <c r="AG778" s="123"/>
      <c r="AH778" s="123"/>
      <c r="AI778" s="123"/>
      <c r="AJ778" s="267">
        <v>9.0343752E7</v>
      </c>
      <c r="AK778" s="267" t="s">
        <v>883</v>
      </c>
      <c r="AL778" s="267"/>
    </row>
    <row r="779">
      <c r="A779" s="147"/>
      <c r="B779" s="123"/>
      <c r="C779" s="147"/>
      <c r="D779" s="123"/>
      <c r="E779" s="265"/>
      <c r="F779" s="265"/>
      <c r="G779" s="265"/>
      <c r="H779" s="266"/>
      <c r="I779" s="265"/>
      <c r="J779" s="123"/>
      <c r="K779" s="123"/>
      <c r="L779" s="123"/>
      <c r="M779" s="123"/>
      <c r="N779" s="123"/>
      <c r="O779" s="123"/>
      <c r="P779" s="121"/>
      <c r="Q779" s="121"/>
      <c r="R779" s="123"/>
      <c r="S779" s="123"/>
      <c r="T779" s="123"/>
      <c r="U779" s="123"/>
      <c r="V779" s="123"/>
      <c r="W779" s="123"/>
      <c r="X779" s="123"/>
      <c r="Y779" s="123"/>
      <c r="Z779" s="123"/>
      <c r="AA779" s="123"/>
      <c r="AB779" s="123"/>
      <c r="AC779" s="123"/>
      <c r="AD779" s="123"/>
      <c r="AE779" s="123"/>
      <c r="AF779" s="123"/>
      <c r="AG779" s="123"/>
      <c r="AH779" s="123"/>
      <c r="AI779" s="123"/>
      <c r="AJ779" s="267">
        <v>4.17262785E8</v>
      </c>
      <c r="AK779" s="267"/>
      <c r="AL779" s="267"/>
    </row>
    <row r="780">
      <c r="A780" s="147"/>
      <c r="B780" s="123"/>
      <c r="C780" s="147"/>
      <c r="D780" s="123"/>
      <c r="E780" s="265"/>
      <c r="F780" s="265"/>
      <c r="G780" s="265"/>
      <c r="H780" s="266"/>
      <c r="I780" s="265"/>
      <c r="J780" s="123"/>
      <c r="K780" s="123"/>
      <c r="L780" s="123"/>
      <c r="M780" s="123"/>
      <c r="N780" s="123"/>
      <c r="O780" s="123"/>
      <c r="P780" s="121"/>
      <c r="Q780" s="121"/>
      <c r="R780" s="123"/>
      <c r="S780" s="123"/>
      <c r="T780" s="123"/>
      <c r="U780" s="123"/>
      <c r="V780" s="123"/>
      <c r="W780" s="123"/>
      <c r="X780" s="123"/>
      <c r="Y780" s="123"/>
      <c r="Z780" s="123"/>
      <c r="AA780" s="123"/>
      <c r="AB780" s="123"/>
      <c r="AC780" s="123"/>
      <c r="AD780" s="123"/>
      <c r="AE780" s="123"/>
      <c r="AF780" s="123"/>
      <c r="AG780" s="123"/>
      <c r="AH780" s="123"/>
      <c r="AI780" s="123"/>
      <c r="AJ780" s="267">
        <v>2.66214623E8</v>
      </c>
      <c r="AK780" s="267"/>
      <c r="AL780" s="267"/>
    </row>
    <row r="781">
      <c r="A781" s="147"/>
      <c r="B781" s="123"/>
      <c r="C781" s="147"/>
      <c r="D781" s="123"/>
      <c r="E781" s="265"/>
      <c r="F781" s="265"/>
      <c r="G781" s="265"/>
      <c r="H781" s="266"/>
      <c r="I781" s="265"/>
      <c r="J781" s="123"/>
      <c r="K781" s="123"/>
      <c r="L781" s="123"/>
      <c r="M781" s="123"/>
      <c r="N781" s="123"/>
      <c r="O781" s="123"/>
      <c r="P781" s="121"/>
      <c r="Q781" s="121"/>
      <c r="R781" s="123"/>
      <c r="S781" s="123"/>
      <c r="T781" s="123"/>
      <c r="U781" s="123"/>
      <c r="V781" s="123"/>
      <c r="W781" s="123"/>
      <c r="X781" s="123"/>
      <c r="Y781" s="123"/>
      <c r="Z781" s="123"/>
      <c r="AA781" s="123"/>
      <c r="AB781" s="123"/>
      <c r="AC781" s="123"/>
      <c r="AD781" s="123"/>
      <c r="AE781" s="123"/>
      <c r="AF781" s="123"/>
      <c r="AG781" s="123"/>
      <c r="AH781" s="123"/>
      <c r="AI781" s="123"/>
      <c r="AJ781" s="267">
        <v>2.71680783E8</v>
      </c>
      <c r="AK781" s="267"/>
      <c r="AL781" s="267"/>
    </row>
    <row r="782">
      <c r="A782" s="90"/>
      <c r="B782" s="259"/>
      <c r="C782" s="259"/>
      <c r="D782" s="315"/>
      <c r="E782" s="102"/>
      <c r="F782" s="102"/>
      <c r="G782" s="102"/>
      <c r="H782" s="260"/>
      <c r="I782" s="259"/>
      <c r="J782" s="77"/>
      <c r="K782" s="115"/>
      <c r="L782" s="77"/>
      <c r="M782" s="77"/>
      <c r="N782" s="77"/>
      <c r="O782" s="77"/>
      <c r="P782" s="71"/>
      <c r="Q782" s="71"/>
      <c r="R782" s="77"/>
      <c r="S782" s="77"/>
      <c r="T782" s="77"/>
      <c r="U782" s="77"/>
      <c r="V782" s="115"/>
      <c r="W782" s="115"/>
      <c r="X782" s="115"/>
      <c r="Y782" s="115"/>
      <c r="Z782" s="115"/>
      <c r="AA782" s="115"/>
      <c r="AB782" s="261"/>
      <c r="AC782" s="77"/>
      <c r="AD782" s="259"/>
      <c r="AE782" s="77"/>
      <c r="AF782" s="77"/>
      <c r="AG782" s="77"/>
      <c r="AH782" s="77"/>
      <c r="AI782" s="77"/>
      <c r="AJ782" s="267">
        <v>9.196935E7</v>
      </c>
      <c r="AK782" s="267"/>
      <c r="AL782" s="267"/>
    </row>
    <row r="783">
      <c r="A783" s="305"/>
      <c r="B783" s="265"/>
      <c r="C783" s="289"/>
      <c r="D783" s="123"/>
      <c r="E783" s="265"/>
      <c r="F783" s="265"/>
      <c r="G783" s="265"/>
      <c r="H783" s="260"/>
      <c r="I783" s="265"/>
      <c r="J783" s="123"/>
      <c r="K783" s="123"/>
      <c r="L783" s="123"/>
      <c r="M783" s="123"/>
      <c r="N783" s="123"/>
      <c r="O783" s="123"/>
      <c r="P783" s="121"/>
      <c r="Q783" s="121"/>
      <c r="R783" s="123"/>
      <c r="S783" s="123"/>
      <c r="T783" s="123"/>
      <c r="U783" s="123"/>
      <c r="V783" s="123"/>
      <c r="W783" s="123"/>
      <c r="X783" s="123"/>
      <c r="Y783" s="123"/>
      <c r="Z783" s="123"/>
      <c r="AA783" s="123"/>
      <c r="AB783" s="123"/>
      <c r="AC783" s="123"/>
      <c r="AD783" s="265"/>
      <c r="AE783" s="123"/>
      <c r="AF783" s="123"/>
      <c r="AG783" s="123"/>
      <c r="AH783" s="123"/>
      <c r="AI783" s="123"/>
      <c r="AJ783" s="267">
        <v>1.9312388E8</v>
      </c>
      <c r="AK783" s="267"/>
      <c r="AL783" s="267"/>
    </row>
    <row r="784">
      <c r="A784" s="305"/>
      <c r="B784" s="265"/>
      <c r="C784" s="289"/>
      <c r="D784" s="123"/>
      <c r="E784" s="265"/>
      <c r="F784" s="265"/>
      <c r="G784" s="265"/>
      <c r="H784" s="260"/>
      <c r="I784" s="265"/>
      <c r="J784" s="123"/>
      <c r="K784" s="123"/>
      <c r="L784" s="123"/>
      <c r="M784" s="123"/>
      <c r="N784" s="123"/>
      <c r="O784" s="123"/>
      <c r="P784" s="121"/>
      <c r="Q784" s="121"/>
      <c r="R784" s="123"/>
      <c r="S784" s="123"/>
      <c r="T784" s="123"/>
      <c r="U784" s="123"/>
      <c r="V784" s="123"/>
      <c r="W784" s="123"/>
      <c r="X784" s="123"/>
      <c r="Y784" s="123"/>
      <c r="Z784" s="123"/>
      <c r="AA784" s="123"/>
      <c r="AB784" s="123"/>
      <c r="AC784" s="123"/>
      <c r="AD784" s="265"/>
      <c r="AE784" s="123"/>
      <c r="AF784" s="123"/>
      <c r="AG784" s="123"/>
      <c r="AH784" s="123"/>
      <c r="AI784" s="123"/>
      <c r="AJ784" s="267">
        <v>1.69963867E8</v>
      </c>
      <c r="AK784" s="267" t="s">
        <v>989</v>
      </c>
      <c r="AL784" s="267"/>
    </row>
    <row r="785">
      <c r="A785" s="305"/>
      <c r="B785" s="265"/>
      <c r="C785" s="289"/>
      <c r="D785" s="123"/>
      <c r="E785" s="265"/>
      <c r="F785" s="265"/>
      <c r="G785" s="265"/>
      <c r="H785" s="260"/>
      <c r="I785" s="265"/>
      <c r="J785" s="123"/>
      <c r="K785" s="123"/>
      <c r="L785" s="123"/>
      <c r="M785" s="123"/>
      <c r="N785" s="123"/>
      <c r="O785" s="123"/>
      <c r="P785" s="121"/>
      <c r="Q785" s="121"/>
      <c r="R785" s="123"/>
      <c r="S785" s="123"/>
      <c r="T785" s="123"/>
      <c r="U785" s="123"/>
      <c r="V785" s="123"/>
      <c r="W785" s="123"/>
      <c r="X785" s="123"/>
      <c r="Y785" s="123"/>
      <c r="Z785" s="123"/>
      <c r="AA785" s="123"/>
      <c r="AB785" s="123"/>
      <c r="AC785" s="123"/>
      <c r="AD785" s="265"/>
      <c r="AE785" s="123"/>
      <c r="AF785" s="123"/>
      <c r="AG785" s="123"/>
      <c r="AH785" s="123"/>
      <c r="AI785" s="123"/>
      <c r="AJ785" s="267">
        <v>1.61526543E8</v>
      </c>
      <c r="AK785" s="267" t="s">
        <v>1006</v>
      </c>
      <c r="AL785" s="267"/>
    </row>
    <row r="786">
      <c r="A786" s="305"/>
      <c r="B786" s="265"/>
      <c r="C786" s="289"/>
      <c r="D786" s="123"/>
      <c r="E786" s="265"/>
      <c r="F786" s="265"/>
      <c r="G786" s="265"/>
      <c r="H786" s="260"/>
      <c r="I786" s="265"/>
      <c r="J786" s="123"/>
      <c r="K786" s="123"/>
      <c r="L786" s="123"/>
      <c r="M786" s="123"/>
      <c r="N786" s="123"/>
      <c r="O786" s="123"/>
      <c r="P786" s="121"/>
      <c r="Q786" s="121"/>
      <c r="R786" s="123"/>
      <c r="S786" s="123"/>
      <c r="T786" s="123"/>
      <c r="U786" s="123"/>
      <c r="V786" s="123"/>
      <c r="W786" s="123"/>
      <c r="X786" s="123"/>
      <c r="Y786" s="123"/>
      <c r="Z786" s="123"/>
      <c r="AA786" s="123"/>
      <c r="AB786" s="123"/>
      <c r="AC786" s="123"/>
      <c r="AD786" s="265"/>
      <c r="AE786" s="123"/>
      <c r="AF786" s="123"/>
      <c r="AG786" s="123"/>
      <c r="AH786" s="123"/>
      <c r="AI786" s="123"/>
      <c r="AJ786" s="267">
        <v>4.94708852E8</v>
      </c>
      <c r="AK786" s="267"/>
      <c r="AL786" s="267"/>
    </row>
    <row r="787">
      <c r="A787" s="305"/>
      <c r="B787" s="265"/>
      <c r="C787" s="289"/>
      <c r="D787" s="123"/>
      <c r="E787" s="265"/>
      <c r="F787" s="265"/>
      <c r="G787" s="265"/>
      <c r="H787" s="260"/>
      <c r="I787" s="265"/>
      <c r="J787" s="123"/>
      <c r="K787" s="123"/>
      <c r="L787" s="123"/>
      <c r="M787" s="123"/>
      <c r="N787" s="123"/>
      <c r="O787" s="123"/>
      <c r="P787" s="121"/>
      <c r="Q787" s="121"/>
      <c r="R787" s="123"/>
      <c r="S787" s="123"/>
      <c r="T787" s="123"/>
      <c r="U787" s="123"/>
      <c r="V787" s="123"/>
      <c r="W787" s="123"/>
      <c r="X787" s="123"/>
      <c r="Y787" s="123"/>
      <c r="Z787" s="123"/>
      <c r="AA787" s="123"/>
      <c r="AB787" s="123"/>
      <c r="AC787" s="123"/>
      <c r="AD787" s="265"/>
      <c r="AE787" s="123"/>
      <c r="AF787" s="123"/>
      <c r="AG787" s="123"/>
      <c r="AH787" s="123"/>
      <c r="AI787" s="123"/>
      <c r="AJ787" s="267">
        <v>1.61948275E8</v>
      </c>
      <c r="AK787" s="267" t="s">
        <v>1044</v>
      </c>
      <c r="AL787" s="267"/>
    </row>
    <row r="788">
      <c r="A788" s="305"/>
      <c r="B788" s="265"/>
      <c r="C788" s="289"/>
      <c r="D788" s="123"/>
      <c r="E788" s="265"/>
      <c r="F788" s="265"/>
      <c r="G788" s="265"/>
      <c r="H788" s="260"/>
      <c r="I788" s="265"/>
      <c r="J788" s="123"/>
      <c r="K788" s="123"/>
      <c r="L788" s="123"/>
      <c r="M788" s="123"/>
      <c r="N788" s="123"/>
      <c r="O788" s="123"/>
      <c r="P788" s="121"/>
      <c r="Q788" s="121"/>
      <c r="R788" s="123"/>
      <c r="S788" s="123"/>
      <c r="T788" s="123"/>
      <c r="U788" s="123"/>
      <c r="V788" s="123"/>
      <c r="W788" s="123"/>
      <c r="X788" s="123"/>
      <c r="Y788" s="123"/>
      <c r="Z788" s="123"/>
      <c r="AA788" s="123"/>
      <c r="AB788" s="123"/>
      <c r="AC788" s="123"/>
      <c r="AD788" s="265"/>
      <c r="AE788" s="123"/>
      <c r="AF788" s="123"/>
      <c r="AG788" s="123"/>
      <c r="AH788" s="123"/>
      <c r="AI788" s="123"/>
      <c r="AJ788" s="267">
        <v>2.40166228E8</v>
      </c>
      <c r="AK788" s="267"/>
      <c r="AL788" s="267"/>
    </row>
    <row r="789">
      <c r="A789" s="305"/>
      <c r="B789" s="265"/>
      <c r="C789" s="289"/>
      <c r="D789" s="123"/>
      <c r="E789" s="265"/>
      <c r="F789" s="265"/>
      <c r="G789" s="265"/>
      <c r="H789" s="260"/>
      <c r="I789" s="265"/>
      <c r="J789" s="123"/>
      <c r="K789" s="123"/>
      <c r="L789" s="123"/>
      <c r="M789" s="123"/>
      <c r="N789" s="123"/>
      <c r="O789" s="123"/>
      <c r="P789" s="121"/>
      <c r="Q789" s="121"/>
      <c r="R789" s="123"/>
      <c r="S789" s="123"/>
      <c r="T789" s="123"/>
      <c r="U789" s="123"/>
      <c r="V789" s="123"/>
      <c r="W789" s="123"/>
      <c r="X789" s="123"/>
      <c r="Y789" s="123"/>
      <c r="Z789" s="123"/>
      <c r="AA789" s="123"/>
      <c r="AB789" s="123"/>
      <c r="AC789" s="123"/>
      <c r="AD789" s="265"/>
      <c r="AE789" s="123"/>
      <c r="AF789" s="123"/>
      <c r="AG789" s="123"/>
      <c r="AH789" s="123"/>
      <c r="AI789" s="123"/>
      <c r="AJ789" s="267">
        <v>2.28331343E8</v>
      </c>
      <c r="AK789" s="267"/>
      <c r="AL789" s="267"/>
    </row>
    <row r="790">
      <c r="A790" s="305"/>
      <c r="B790" s="265"/>
      <c r="C790" s="289"/>
      <c r="D790" s="123"/>
      <c r="E790" s="265"/>
      <c r="F790" s="265"/>
      <c r="G790" s="265"/>
      <c r="H790" s="260"/>
      <c r="I790" s="265"/>
      <c r="J790" s="123"/>
      <c r="K790" s="123"/>
      <c r="L790" s="123"/>
      <c r="M790" s="123"/>
      <c r="N790" s="123"/>
      <c r="O790" s="123"/>
      <c r="P790" s="121"/>
      <c r="Q790" s="121"/>
      <c r="R790" s="123"/>
      <c r="S790" s="123"/>
      <c r="T790" s="123"/>
      <c r="U790" s="123"/>
      <c r="V790" s="123"/>
      <c r="W790" s="123"/>
      <c r="X790" s="123"/>
      <c r="Y790" s="123"/>
      <c r="Z790" s="123"/>
      <c r="AA790" s="123"/>
      <c r="AB790" s="123"/>
      <c r="AC790" s="123"/>
      <c r="AD790" s="265"/>
      <c r="AE790" s="123"/>
      <c r="AF790" s="123"/>
      <c r="AG790" s="123"/>
      <c r="AH790" s="123"/>
      <c r="AI790" s="123"/>
      <c r="AJ790" s="267">
        <v>1.76110909E8</v>
      </c>
      <c r="AK790" s="267" t="s">
        <v>1099</v>
      </c>
      <c r="AL790" s="267"/>
    </row>
    <row r="791">
      <c r="A791" s="305"/>
      <c r="B791" s="265"/>
      <c r="C791" s="289"/>
      <c r="D791" s="123"/>
      <c r="E791" s="265"/>
      <c r="F791" s="265"/>
      <c r="G791" s="265"/>
      <c r="H791" s="260"/>
      <c r="I791" s="265"/>
      <c r="J791" s="123"/>
      <c r="K791" s="123"/>
      <c r="L791" s="123"/>
      <c r="M791" s="123"/>
      <c r="N791" s="123"/>
      <c r="O791" s="123"/>
      <c r="P791" s="121"/>
      <c r="Q791" s="121"/>
      <c r="R791" s="123"/>
      <c r="S791" s="123"/>
      <c r="T791" s="123"/>
      <c r="U791" s="123"/>
      <c r="V791" s="123"/>
      <c r="W791" s="123"/>
      <c r="X791" s="123"/>
      <c r="Y791" s="123"/>
      <c r="Z791" s="123"/>
      <c r="AA791" s="123"/>
      <c r="AB791" s="123"/>
      <c r="AC791" s="123"/>
      <c r="AD791" s="265"/>
      <c r="AE791" s="123"/>
      <c r="AF791" s="123"/>
      <c r="AG791" s="123"/>
      <c r="AH791" s="123"/>
      <c r="AI791" s="123"/>
      <c r="AJ791" s="267">
        <v>1.48382531E8</v>
      </c>
      <c r="AK791" s="267" t="s">
        <v>1117</v>
      </c>
      <c r="AL791" s="267"/>
    </row>
    <row r="792">
      <c r="A792" s="305"/>
      <c r="B792" s="265"/>
      <c r="C792" s="289"/>
      <c r="D792" s="123"/>
      <c r="E792" s="265"/>
      <c r="F792" s="265"/>
      <c r="G792" s="265"/>
      <c r="H792" s="260"/>
      <c r="I792" s="265"/>
      <c r="J792" s="123"/>
      <c r="K792" s="123"/>
      <c r="L792" s="123"/>
      <c r="M792" s="123"/>
      <c r="N792" s="123"/>
      <c r="O792" s="123"/>
      <c r="P792" s="121"/>
      <c r="Q792" s="121"/>
      <c r="R792" s="123"/>
      <c r="S792" s="123"/>
      <c r="T792" s="123"/>
      <c r="U792" s="123"/>
      <c r="V792" s="123"/>
      <c r="W792" s="123"/>
      <c r="X792" s="123"/>
      <c r="Y792" s="123"/>
      <c r="Z792" s="123"/>
      <c r="AA792" s="123"/>
      <c r="AB792" s="123"/>
      <c r="AC792" s="123"/>
      <c r="AD792" s="265"/>
      <c r="AE792" s="123"/>
      <c r="AF792" s="123"/>
      <c r="AG792" s="123"/>
      <c r="AH792" s="123"/>
      <c r="AI792" s="123"/>
      <c r="AJ792" s="267">
        <v>1.57382017E8</v>
      </c>
      <c r="AK792" s="267" t="s">
        <v>1138</v>
      </c>
      <c r="AL792" s="267"/>
    </row>
    <row r="793">
      <c r="A793" s="90"/>
      <c r="B793" s="259"/>
      <c r="C793" s="259"/>
      <c r="D793" s="315"/>
      <c r="E793" s="102"/>
      <c r="F793" s="102"/>
      <c r="G793" s="102"/>
      <c r="H793" s="260"/>
      <c r="I793" s="259"/>
      <c r="J793" s="77"/>
      <c r="K793" s="115"/>
      <c r="L793" s="77"/>
      <c r="M793" s="77"/>
      <c r="N793" s="77"/>
      <c r="O793" s="77"/>
      <c r="P793" s="268"/>
      <c r="Q793" s="268"/>
      <c r="R793" s="77"/>
      <c r="S793" s="77"/>
      <c r="T793" s="77"/>
      <c r="U793" s="77"/>
      <c r="V793" s="115"/>
      <c r="W793" s="115"/>
      <c r="X793" s="115"/>
      <c r="Y793" s="115"/>
      <c r="Z793" s="115"/>
      <c r="AA793" s="115"/>
      <c r="AB793" s="261"/>
      <c r="AC793" s="77"/>
      <c r="AD793" s="259"/>
      <c r="AE793" s="77"/>
      <c r="AF793" s="77"/>
      <c r="AG793" s="77"/>
      <c r="AH793" s="87"/>
      <c r="AI793" s="87"/>
      <c r="AJ793" s="267">
        <v>1.38758948E8</v>
      </c>
      <c r="AK793" s="267" t="s">
        <v>1153</v>
      </c>
      <c r="AL793" s="267"/>
    </row>
    <row r="794">
      <c r="A794" s="90"/>
      <c r="B794" s="259"/>
      <c r="C794" s="259"/>
      <c r="D794" s="315"/>
      <c r="E794" s="102"/>
      <c r="F794" s="102"/>
      <c r="G794" s="102"/>
      <c r="H794" s="260"/>
      <c r="I794" s="259"/>
      <c r="J794" s="77"/>
      <c r="K794" s="115"/>
      <c r="L794" s="77"/>
      <c r="M794" s="77"/>
      <c r="N794" s="77"/>
      <c r="O794" s="77"/>
      <c r="P794" s="268"/>
      <c r="Q794" s="268"/>
      <c r="R794" s="77"/>
      <c r="S794" s="77"/>
      <c r="T794" s="77"/>
      <c r="U794" s="77"/>
      <c r="V794" s="115"/>
      <c r="W794" s="115"/>
      <c r="X794" s="115"/>
      <c r="Y794" s="115"/>
      <c r="Z794" s="115"/>
      <c r="AA794" s="115"/>
      <c r="AB794" s="261"/>
      <c r="AC794" s="77"/>
      <c r="AD794" s="259"/>
      <c r="AE794" s="77"/>
      <c r="AF794" s="77"/>
      <c r="AG794" s="77"/>
      <c r="AH794" s="87"/>
      <c r="AI794" s="87"/>
      <c r="AJ794" s="267">
        <v>1.6525279E8</v>
      </c>
      <c r="AK794" s="267" t="s">
        <v>1044</v>
      </c>
      <c r="AL794" s="267"/>
    </row>
    <row r="795">
      <c r="A795" s="147"/>
      <c r="B795" s="123"/>
      <c r="C795" s="147"/>
      <c r="D795" s="123"/>
      <c r="E795" s="265"/>
      <c r="F795" s="265"/>
      <c r="G795" s="265"/>
      <c r="H795" s="266"/>
      <c r="I795" s="265"/>
      <c r="J795" s="123"/>
      <c r="K795" s="123"/>
      <c r="L795" s="123"/>
      <c r="M795" s="123"/>
      <c r="N795" s="123"/>
      <c r="O795" s="123"/>
      <c r="P795" s="121"/>
      <c r="Q795" s="121"/>
      <c r="R795" s="123"/>
      <c r="S795" s="123"/>
      <c r="T795" s="123"/>
      <c r="U795" s="123"/>
      <c r="V795" s="123"/>
      <c r="W795" s="123"/>
      <c r="X795" s="123"/>
      <c r="Y795" s="123"/>
      <c r="Z795" s="123"/>
      <c r="AA795" s="123"/>
      <c r="AB795" s="123"/>
      <c r="AC795" s="123"/>
      <c r="AD795" s="265"/>
      <c r="AE795" s="123"/>
      <c r="AF795" s="123"/>
      <c r="AG795" s="123"/>
      <c r="AH795" s="123"/>
      <c r="AI795" s="123"/>
      <c r="AJ795" s="267">
        <v>2.09196024E8</v>
      </c>
      <c r="AK795" s="267"/>
      <c r="AL795" s="267"/>
    </row>
    <row r="796">
      <c r="A796" s="147"/>
      <c r="B796" s="123"/>
      <c r="C796" s="147"/>
      <c r="D796" s="123"/>
      <c r="E796" s="265"/>
      <c r="F796" s="265"/>
      <c r="G796" s="265"/>
      <c r="H796" s="266"/>
      <c r="I796" s="265"/>
      <c r="J796" s="123"/>
      <c r="K796" s="123"/>
      <c r="L796" s="123"/>
      <c r="M796" s="123"/>
      <c r="N796" s="123"/>
      <c r="O796" s="123"/>
      <c r="P796" s="121"/>
      <c r="Q796" s="121"/>
      <c r="R796" s="123"/>
      <c r="S796" s="123"/>
      <c r="T796" s="123"/>
      <c r="U796" s="123"/>
      <c r="V796" s="123"/>
      <c r="W796" s="123"/>
      <c r="X796" s="123"/>
      <c r="Y796" s="123"/>
      <c r="Z796" s="123"/>
      <c r="AA796" s="123"/>
      <c r="AB796" s="123"/>
      <c r="AC796" s="123"/>
      <c r="AD796" s="265"/>
      <c r="AE796" s="123"/>
      <c r="AF796" s="123"/>
      <c r="AG796" s="123"/>
      <c r="AH796" s="123"/>
      <c r="AI796" s="123"/>
      <c r="AJ796" s="267">
        <v>1.96519115E8</v>
      </c>
      <c r="AK796" s="267"/>
      <c r="AL796" s="267"/>
    </row>
    <row r="797">
      <c r="A797" s="147"/>
      <c r="B797" s="123"/>
      <c r="C797" s="147"/>
      <c r="D797" s="123"/>
      <c r="E797" s="265"/>
      <c r="F797" s="265"/>
      <c r="G797" s="265"/>
      <c r="H797" s="266"/>
      <c r="I797" s="265"/>
      <c r="J797" s="123"/>
      <c r="K797" s="123"/>
      <c r="L797" s="123"/>
      <c r="M797" s="123"/>
      <c r="N797" s="123"/>
      <c r="O797" s="123"/>
      <c r="P797" s="121"/>
      <c r="Q797" s="121"/>
      <c r="R797" s="123"/>
      <c r="S797" s="123"/>
      <c r="T797" s="123"/>
      <c r="U797" s="123"/>
      <c r="V797" s="123"/>
      <c r="W797" s="123"/>
      <c r="X797" s="123"/>
      <c r="Y797" s="123"/>
      <c r="Z797" s="123"/>
      <c r="AA797" s="123"/>
      <c r="AB797" s="123"/>
      <c r="AC797" s="123"/>
      <c r="AD797" s="265"/>
      <c r="AE797" s="123"/>
      <c r="AF797" s="123"/>
      <c r="AG797" s="123"/>
      <c r="AH797" s="123"/>
      <c r="AI797" s="123"/>
      <c r="AJ797" s="267">
        <v>9.1969213E7</v>
      </c>
      <c r="AK797" s="267" t="s">
        <v>1218</v>
      </c>
      <c r="AL797" s="267"/>
    </row>
    <row r="798">
      <c r="A798" s="147"/>
      <c r="B798" s="123"/>
      <c r="C798" s="147"/>
      <c r="D798" s="123"/>
      <c r="E798" s="265"/>
      <c r="F798" s="265"/>
      <c r="G798" s="265"/>
      <c r="H798" s="266"/>
      <c r="I798" s="265"/>
      <c r="J798" s="123"/>
      <c r="K798" s="123"/>
      <c r="L798" s="123"/>
      <c r="M798" s="123"/>
      <c r="N798" s="123"/>
      <c r="O798" s="123"/>
      <c r="P798" s="121"/>
      <c r="Q798" s="121"/>
      <c r="R798" s="123"/>
      <c r="S798" s="123"/>
      <c r="T798" s="123"/>
      <c r="U798" s="123"/>
      <c r="V798" s="123"/>
      <c r="W798" s="123"/>
      <c r="X798" s="123"/>
      <c r="Y798" s="123"/>
      <c r="Z798" s="123"/>
      <c r="AA798" s="123"/>
      <c r="AB798" s="123"/>
      <c r="AC798" s="123"/>
      <c r="AD798" s="265"/>
      <c r="AE798" s="123"/>
      <c r="AF798" s="123"/>
      <c r="AG798" s="123"/>
      <c r="AH798" s="123"/>
      <c r="AI798" s="123"/>
      <c r="AJ798" s="267">
        <v>2.21232387E8</v>
      </c>
      <c r="AK798" s="267"/>
      <c r="AL798" s="267"/>
    </row>
    <row r="799">
      <c r="A799" s="147"/>
      <c r="B799" s="123"/>
      <c r="C799" s="147"/>
      <c r="D799" s="123"/>
      <c r="E799" s="265"/>
      <c r="F799" s="265"/>
      <c r="G799" s="265"/>
      <c r="H799" s="266"/>
      <c r="I799" s="265"/>
      <c r="J799" s="123"/>
      <c r="K799" s="123"/>
      <c r="L799" s="123"/>
      <c r="M799" s="123"/>
      <c r="N799" s="123"/>
      <c r="O799" s="123"/>
      <c r="P799" s="121"/>
      <c r="Q799" s="121"/>
      <c r="R799" s="123"/>
      <c r="S799" s="123"/>
      <c r="T799" s="123"/>
      <c r="U799" s="123"/>
      <c r="V799" s="123"/>
      <c r="W799" s="123"/>
      <c r="X799" s="123"/>
      <c r="Y799" s="123"/>
      <c r="Z799" s="123"/>
      <c r="AA799" s="123"/>
      <c r="AB799" s="123"/>
      <c r="AC799" s="123"/>
      <c r="AD799" s="265"/>
      <c r="AE799" s="123"/>
      <c r="AF799" s="123"/>
      <c r="AG799" s="123"/>
      <c r="AH799" s="123"/>
      <c r="AI799" s="123"/>
      <c r="AJ799" s="267">
        <v>2.32451654E8</v>
      </c>
      <c r="AK799" s="267"/>
      <c r="AL799" s="267"/>
    </row>
    <row r="800">
      <c r="A800" s="147"/>
      <c r="B800" s="123"/>
      <c r="C800" s="147"/>
      <c r="D800" s="123"/>
      <c r="E800" s="265"/>
      <c r="F800" s="265"/>
      <c r="G800" s="265"/>
      <c r="H800" s="266"/>
      <c r="I800" s="265"/>
      <c r="J800" s="123"/>
      <c r="K800" s="123"/>
      <c r="L800" s="123"/>
      <c r="M800" s="123"/>
      <c r="N800" s="123"/>
      <c r="O800" s="123"/>
      <c r="P800" s="121"/>
      <c r="Q800" s="121"/>
      <c r="R800" s="123"/>
      <c r="S800" s="123"/>
      <c r="T800" s="123"/>
      <c r="U800" s="123"/>
      <c r="V800" s="123"/>
      <c r="W800" s="123"/>
      <c r="X800" s="123"/>
      <c r="Y800" s="123"/>
      <c r="Z800" s="123"/>
      <c r="AA800" s="123"/>
      <c r="AB800" s="123"/>
      <c r="AC800" s="123"/>
      <c r="AD800" s="265"/>
      <c r="AE800" s="123"/>
      <c r="AF800" s="123"/>
      <c r="AG800" s="123"/>
      <c r="AH800" s="123"/>
      <c r="AI800" s="123"/>
      <c r="AJ800" s="267">
        <v>3.85728241E8</v>
      </c>
      <c r="AK800" s="267"/>
      <c r="AL800" s="267"/>
    </row>
    <row r="801">
      <c r="A801" s="147"/>
      <c r="B801" s="123"/>
      <c r="C801" s="147"/>
      <c r="D801" s="123"/>
      <c r="E801" s="265"/>
      <c r="F801" s="265"/>
      <c r="G801" s="265"/>
      <c r="H801" s="266"/>
      <c r="I801" s="265"/>
      <c r="J801" s="123"/>
      <c r="K801" s="123"/>
      <c r="L801" s="123"/>
      <c r="M801" s="123"/>
      <c r="N801" s="123"/>
      <c r="O801" s="123"/>
      <c r="P801" s="121"/>
      <c r="Q801" s="121"/>
      <c r="R801" s="123"/>
      <c r="S801" s="123"/>
      <c r="T801" s="123"/>
      <c r="U801" s="123"/>
      <c r="V801" s="123"/>
      <c r="W801" s="123"/>
      <c r="X801" s="123"/>
      <c r="Y801" s="123"/>
      <c r="Z801" s="123"/>
      <c r="AA801" s="123"/>
      <c r="AB801" s="123"/>
      <c r="AC801" s="123"/>
      <c r="AD801" s="265"/>
      <c r="AE801" s="123"/>
      <c r="AF801" s="123"/>
      <c r="AG801" s="123"/>
      <c r="AH801" s="123"/>
      <c r="AI801" s="123"/>
      <c r="AJ801" s="267">
        <v>2.28329542E8</v>
      </c>
      <c r="AK801" s="267"/>
      <c r="AL801" s="267"/>
    </row>
    <row r="802">
      <c r="A802" s="147"/>
      <c r="B802" s="123"/>
      <c r="C802" s="147"/>
      <c r="D802" s="123"/>
      <c r="E802" s="265"/>
      <c r="F802" s="265"/>
      <c r="G802" s="265"/>
      <c r="H802" s="266"/>
      <c r="I802" s="265"/>
      <c r="J802" s="123"/>
      <c r="K802" s="123"/>
      <c r="L802" s="123"/>
      <c r="M802" s="123"/>
      <c r="N802" s="123"/>
      <c r="O802" s="123"/>
      <c r="P802" s="121"/>
      <c r="Q802" s="121"/>
      <c r="R802" s="123"/>
      <c r="S802" s="123"/>
      <c r="T802" s="123"/>
      <c r="U802" s="123"/>
      <c r="V802" s="123"/>
      <c r="W802" s="123"/>
      <c r="X802" s="123"/>
      <c r="Y802" s="123"/>
      <c r="Z802" s="123"/>
      <c r="AA802" s="123"/>
      <c r="AB802" s="123"/>
      <c r="AC802" s="123"/>
      <c r="AD802" s="265"/>
      <c r="AE802" s="123"/>
      <c r="AF802" s="123"/>
      <c r="AG802" s="123"/>
      <c r="AH802" s="123"/>
      <c r="AI802" s="123"/>
      <c r="AJ802" s="267">
        <v>2.28329661E8</v>
      </c>
      <c r="AK802" s="267"/>
      <c r="AL802" s="267"/>
    </row>
    <row r="803">
      <c r="A803" s="147"/>
      <c r="B803" s="123"/>
      <c r="C803" s="147"/>
      <c r="D803" s="123"/>
      <c r="E803" s="265"/>
      <c r="F803" s="265"/>
      <c r="G803" s="265"/>
      <c r="H803" s="266"/>
      <c r="I803" s="265"/>
      <c r="J803" s="123"/>
      <c r="K803" s="123"/>
      <c r="L803" s="123"/>
      <c r="M803" s="123"/>
      <c r="N803" s="123"/>
      <c r="O803" s="123"/>
      <c r="P803" s="121"/>
      <c r="Q803" s="121"/>
      <c r="R803" s="123"/>
      <c r="S803" s="123"/>
      <c r="T803" s="123"/>
      <c r="U803" s="123"/>
      <c r="V803" s="123"/>
      <c r="W803" s="123"/>
      <c r="X803" s="123"/>
      <c r="Y803" s="123"/>
      <c r="Z803" s="123"/>
      <c r="AA803" s="123"/>
      <c r="AB803" s="123"/>
      <c r="AC803" s="123"/>
      <c r="AD803" s="265"/>
      <c r="AE803" s="123"/>
      <c r="AF803" s="123"/>
      <c r="AG803" s="123"/>
      <c r="AH803" s="123"/>
      <c r="AI803" s="123"/>
      <c r="AJ803" s="267">
        <v>9.0476399E7</v>
      </c>
      <c r="AK803" s="267" t="s">
        <v>1305</v>
      </c>
      <c r="AL803" s="267"/>
    </row>
    <row r="804">
      <c r="A804" s="147"/>
      <c r="B804" s="123"/>
      <c r="C804" s="147"/>
      <c r="D804" s="123"/>
      <c r="E804" s="265"/>
      <c r="F804" s="265"/>
      <c r="G804" s="265"/>
      <c r="H804" s="266"/>
      <c r="I804" s="265"/>
      <c r="J804" s="123"/>
      <c r="K804" s="123"/>
      <c r="L804" s="123"/>
      <c r="M804" s="123"/>
      <c r="N804" s="123"/>
      <c r="O804" s="123"/>
      <c r="P804" s="121"/>
      <c r="Q804" s="121"/>
      <c r="R804" s="123"/>
      <c r="S804" s="123"/>
      <c r="T804" s="123"/>
      <c r="U804" s="123"/>
      <c r="V804" s="123"/>
      <c r="W804" s="123"/>
      <c r="X804" s="123"/>
      <c r="Y804" s="123"/>
      <c r="Z804" s="123"/>
      <c r="AA804" s="123"/>
      <c r="AB804" s="123"/>
      <c r="AC804" s="123"/>
      <c r="AD804" s="265"/>
      <c r="AE804" s="123"/>
      <c r="AF804" s="123"/>
      <c r="AG804" s="123"/>
      <c r="AH804" s="123"/>
      <c r="AI804" s="123"/>
      <c r="AJ804" s="267">
        <v>2.28329662E8</v>
      </c>
      <c r="AK804" s="267"/>
      <c r="AL804" s="267"/>
    </row>
    <row r="805">
      <c r="A805" s="147"/>
      <c r="B805" s="123"/>
      <c r="C805" s="147"/>
      <c r="D805" s="123"/>
      <c r="E805" s="265"/>
      <c r="F805" s="265"/>
      <c r="G805" s="265"/>
      <c r="H805" s="266"/>
      <c r="I805" s="265"/>
      <c r="J805" s="123"/>
      <c r="K805" s="123"/>
      <c r="L805" s="123"/>
      <c r="M805" s="123"/>
      <c r="N805" s="123"/>
      <c r="O805" s="123"/>
      <c r="P805" s="121"/>
      <c r="Q805" s="121"/>
      <c r="R805" s="123"/>
      <c r="S805" s="123"/>
      <c r="T805" s="123"/>
      <c r="U805" s="123"/>
      <c r="V805" s="123"/>
      <c r="W805" s="123"/>
      <c r="X805" s="123"/>
      <c r="Y805" s="123"/>
      <c r="Z805" s="123"/>
      <c r="AA805" s="123"/>
      <c r="AB805" s="123"/>
      <c r="AC805" s="123"/>
      <c r="AD805" s="265"/>
      <c r="AE805" s="123"/>
      <c r="AF805" s="123"/>
      <c r="AG805" s="123"/>
      <c r="AH805" s="123"/>
      <c r="AI805" s="123"/>
      <c r="AJ805" s="267">
        <v>1.31852035E8</v>
      </c>
      <c r="AK805" s="267" t="s">
        <v>1330</v>
      </c>
      <c r="AL805" s="267"/>
    </row>
    <row r="806">
      <c r="A806" s="147"/>
      <c r="B806" s="123"/>
      <c r="C806" s="147"/>
      <c r="D806" s="123"/>
      <c r="E806" s="265"/>
      <c r="F806" s="265"/>
      <c r="G806" s="265"/>
      <c r="H806" s="266"/>
      <c r="I806" s="265"/>
      <c r="J806" s="123"/>
      <c r="K806" s="123"/>
      <c r="L806" s="123"/>
      <c r="M806" s="123"/>
      <c r="N806" s="123"/>
      <c r="O806" s="123"/>
      <c r="P806" s="121"/>
      <c r="Q806" s="121"/>
      <c r="R806" s="123"/>
      <c r="S806" s="123"/>
      <c r="T806" s="123"/>
      <c r="U806" s="123"/>
      <c r="V806" s="123"/>
      <c r="W806" s="123"/>
      <c r="X806" s="123"/>
      <c r="Y806" s="123"/>
      <c r="Z806" s="123"/>
      <c r="AA806" s="123"/>
      <c r="AB806" s="123"/>
      <c r="AC806" s="123"/>
      <c r="AD806" s="265"/>
      <c r="AE806" s="123"/>
      <c r="AF806" s="123"/>
      <c r="AG806" s="123"/>
      <c r="AH806" s="123"/>
      <c r="AI806" s="123"/>
      <c r="AJ806" s="267">
        <v>1.31852033E8</v>
      </c>
      <c r="AK806" s="267" t="s">
        <v>1330</v>
      </c>
      <c r="AL806" s="267"/>
    </row>
    <row r="807">
      <c r="A807" s="147"/>
      <c r="B807" s="123"/>
      <c r="C807" s="147"/>
      <c r="D807" s="123"/>
      <c r="E807" s="265"/>
      <c r="F807" s="265"/>
      <c r="G807" s="265"/>
      <c r="H807" s="266"/>
      <c r="I807" s="265"/>
      <c r="J807" s="123"/>
      <c r="K807" s="123"/>
      <c r="L807" s="123"/>
      <c r="M807" s="123"/>
      <c r="N807" s="123"/>
      <c r="O807" s="123"/>
      <c r="P807" s="121"/>
      <c r="Q807" s="121"/>
      <c r="R807" s="123"/>
      <c r="S807" s="123"/>
      <c r="T807" s="123"/>
      <c r="U807" s="123"/>
      <c r="V807" s="123"/>
      <c r="W807" s="123"/>
      <c r="X807" s="123"/>
      <c r="Y807" s="123"/>
      <c r="Z807" s="123"/>
      <c r="AA807" s="123"/>
      <c r="AB807" s="123"/>
      <c r="AC807" s="123"/>
      <c r="AD807" s="265"/>
      <c r="AE807" s="123"/>
      <c r="AF807" s="123"/>
      <c r="AG807" s="123"/>
      <c r="AH807" s="123"/>
      <c r="AI807" s="123"/>
      <c r="AJ807" s="267">
        <v>1.31852032E8</v>
      </c>
      <c r="AK807" s="267" t="s">
        <v>1330</v>
      </c>
      <c r="AL807" s="267"/>
    </row>
    <row r="808">
      <c r="A808" s="147"/>
      <c r="B808" s="123"/>
      <c r="C808" s="147"/>
      <c r="D808" s="123"/>
      <c r="E808" s="265"/>
      <c r="F808" s="265"/>
      <c r="G808" s="265"/>
      <c r="H808" s="266"/>
      <c r="I808" s="265"/>
      <c r="J808" s="123"/>
      <c r="K808" s="123"/>
      <c r="L808" s="123"/>
      <c r="M808" s="123"/>
      <c r="N808" s="123"/>
      <c r="O808" s="123"/>
      <c r="P808" s="121"/>
      <c r="Q808" s="121"/>
      <c r="R808" s="123"/>
      <c r="S808" s="123"/>
      <c r="T808" s="123"/>
      <c r="U808" s="123"/>
      <c r="V808" s="123"/>
      <c r="W808" s="123"/>
      <c r="X808" s="123"/>
      <c r="Y808" s="123"/>
      <c r="Z808" s="123"/>
      <c r="AA808" s="123"/>
      <c r="AB808" s="123"/>
      <c r="AC808" s="123"/>
      <c r="AD808" s="265"/>
      <c r="AE808" s="123"/>
      <c r="AF808" s="123"/>
      <c r="AG808" s="123"/>
      <c r="AH808" s="123"/>
      <c r="AI808" s="123"/>
      <c r="AJ808" s="267">
        <v>2.33855851E8</v>
      </c>
      <c r="AK808" s="267"/>
      <c r="AL808" s="267"/>
    </row>
    <row r="809">
      <c r="A809" s="147"/>
      <c r="B809" s="123"/>
      <c r="C809" s="147"/>
      <c r="D809" s="123"/>
      <c r="E809" s="265"/>
      <c r="F809" s="265"/>
      <c r="G809" s="265"/>
      <c r="H809" s="266"/>
      <c r="I809" s="265"/>
      <c r="J809" s="123"/>
      <c r="K809" s="123"/>
      <c r="L809" s="123"/>
      <c r="M809" s="123"/>
      <c r="N809" s="123"/>
      <c r="O809" s="123"/>
      <c r="P809" s="121"/>
      <c r="Q809" s="121"/>
      <c r="R809" s="123"/>
      <c r="S809" s="123"/>
      <c r="T809" s="123"/>
      <c r="U809" s="123"/>
      <c r="V809" s="123"/>
      <c r="W809" s="123"/>
      <c r="X809" s="123"/>
      <c r="Y809" s="123"/>
      <c r="Z809" s="123"/>
      <c r="AA809" s="123"/>
      <c r="AB809" s="123"/>
      <c r="AC809" s="123"/>
      <c r="AD809" s="265"/>
      <c r="AE809" s="123"/>
      <c r="AF809" s="123"/>
      <c r="AG809" s="123"/>
      <c r="AH809" s="123"/>
      <c r="AI809" s="123"/>
      <c r="AJ809" s="267">
        <v>2.33815804E8</v>
      </c>
      <c r="AK809" s="267"/>
      <c r="AL809" s="267"/>
    </row>
    <row r="810">
      <c r="A810" s="90"/>
      <c r="B810" s="259"/>
      <c r="C810" s="259"/>
      <c r="D810" s="315"/>
      <c r="E810" s="102"/>
      <c r="F810" s="102"/>
      <c r="G810" s="102"/>
      <c r="H810" s="260"/>
      <c r="I810" s="102"/>
      <c r="J810" s="77"/>
      <c r="K810" s="115"/>
      <c r="L810" s="77"/>
      <c r="M810" s="77"/>
      <c r="N810" s="77"/>
      <c r="O810" s="77"/>
      <c r="P810" s="268"/>
      <c r="Q810" s="268"/>
      <c r="R810" s="77"/>
      <c r="S810" s="77"/>
      <c r="T810" s="77"/>
      <c r="U810" s="77"/>
      <c r="V810" s="115"/>
      <c r="W810" s="115"/>
      <c r="X810" s="115"/>
      <c r="Y810" s="115"/>
      <c r="Z810" s="115"/>
      <c r="AA810" s="115"/>
      <c r="AB810" s="261"/>
      <c r="AC810" s="77"/>
      <c r="AD810" s="115"/>
      <c r="AE810" s="77"/>
      <c r="AF810" s="77"/>
      <c r="AG810" s="77"/>
      <c r="AH810" s="87"/>
      <c r="AI810" s="87"/>
      <c r="AJ810" s="267">
        <v>2.63835222E8</v>
      </c>
      <c r="AK810" s="267"/>
      <c r="AL810" s="267"/>
    </row>
    <row r="811">
      <c r="A811" s="122"/>
      <c r="B811" s="123"/>
      <c r="C811" s="147"/>
      <c r="D811" s="265"/>
      <c r="E811" s="265"/>
      <c r="F811" s="265"/>
      <c r="G811" s="265"/>
      <c r="H811" s="266"/>
      <c r="I811" s="265"/>
      <c r="J811" s="123"/>
      <c r="K811" s="123"/>
      <c r="L811" s="123"/>
      <c r="M811" s="123"/>
      <c r="N811" s="123"/>
      <c r="O811" s="123"/>
      <c r="P811" s="121"/>
      <c r="Q811" s="121"/>
      <c r="R811" s="123"/>
      <c r="S811" s="123"/>
      <c r="T811" s="123"/>
      <c r="U811" s="123"/>
      <c r="V811" s="123"/>
      <c r="W811" s="123"/>
      <c r="X811" s="123"/>
      <c r="Y811" s="123"/>
      <c r="Z811" s="123"/>
      <c r="AA811" s="123"/>
      <c r="AB811" s="123"/>
      <c r="AC811" s="123"/>
      <c r="AD811" s="123"/>
      <c r="AE811" s="123"/>
      <c r="AF811" s="123"/>
      <c r="AG811" s="123"/>
      <c r="AH811" s="123"/>
      <c r="AI811" s="123"/>
      <c r="AJ811" s="267">
        <v>2.63831566E8</v>
      </c>
      <c r="AK811" s="267"/>
      <c r="AL811" s="267"/>
    </row>
    <row r="812">
      <c r="A812" s="122"/>
      <c r="B812" s="123"/>
      <c r="C812" s="147"/>
      <c r="D812" s="265"/>
      <c r="E812" s="265"/>
      <c r="F812" s="265"/>
      <c r="G812" s="265"/>
      <c r="H812" s="266"/>
      <c r="I812" s="265"/>
      <c r="J812" s="123"/>
      <c r="K812" s="123"/>
      <c r="L812" s="123"/>
      <c r="M812" s="123"/>
      <c r="N812" s="123"/>
      <c r="O812" s="123"/>
      <c r="P812" s="121"/>
      <c r="Q812" s="121"/>
      <c r="R812" s="123"/>
      <c r="S812" s="123"/>
      <c r="T812" s="123"/>
      <c r="U812" s="123"/>
      <c r="V812" s="123"/>
      <c r="W812" s="123"/>
      <c r="X812" s="123"/>
      <c r="Y812" s="123"/>
      <c r="Z812" s="123"/>
      <c r="AA812" s="123"/>
      <c r="AB812" s="123"/>
      <c r="AC812" s="123"/>
      <c r="AD812" s="123"/>
      <c r="AE812" s="123"/>
      <c r="AF812" s="123"/>
      <c r="AG812" s="123"/>
      <c r="AH812" s="123"/>
      <c r="AI812" s="123"/>
      <c r="AJ812" s="267">
        <v>3.26154767E8</v>
      </c>
      <c r="AK812" s="267"/>
      <c r="AL812" s="267"/>
    </row>
    <row r="813">
      <c r="A813" s="122"/>
      <c r="B813" s="123"/>
      <c r="C813" s="147"/>
      <c r="D813" s="265"/>
      <c r="E813" s="265"/>
      <c r="F813" s="265"/>
      <c r="G813" s="265"/>
      <c r="H813" s="266"/>
      <c r="I813" s="265"/>
      <c r="J813" s="123"/>
      <c r="K813" s="123"/>
      <c r="L813" s="123"/>
      <c r="M813" s="123"/>
      <c r="N813" s="123"/>
      <c r="O813" s="123"/>
      <c r="P813" s="121"/>
      <c r="Q813" s="121"/>
      <c r="R813" s="123"/>
      <c r="S813" s="123"/>
      <c r="T813" s="123"/>
      <c r="U813" s="123"/>
      <c r="V813" s="123"/>
      <c r="W813" s="123"/>
      <c r="X813" s="123"/>
      <c r="Y813" s="123"/>
      <c r="Z813" s="123"/>
      <c r="AA813" s="123"/>
      <c r="AB813" s="123"/>
      <c r="AC813" s="123"/>
      <c r="AD813" s="123"/>
      <c r="AE813" s="123"/>
      <c r="AF813" s="123"/>
      <c r="AG813" s="123"/>
      <c r="AH813" s="123"/>
      <c r="AI813" s="123"/>
      <c r="AJ813" s="267">
        <v>4.1873348E8</v>
      </c>
      <c r="AK813" s="267"/>
      <c r="AL813" s="267"/>
    </row>
    <row r="814">
      <c r="A814" s="122"/>
      <c r="B814" s="123"/>
      <c r="C814" s="147"/>
      <c r="D814" s="265"/>
      <c r="E814" s="265"/>
      <c r="F814" s="265"/>
      <c r="G814" s="265"/>
      <c r="H814" s="266"/>
      <c r="I814" s="265"/>
      <c r="J814" s="123"/>
      <c r="K814" s="123"/>
      <c r="L814" s="123"/>
      <c r="M814" s="123"/>
      <c r="N814" s="123"/>
      <c r="O814" s="123"/>
      <c r="P814" s="121"/>
      <c r="Q814" s="121"/>
      <c r="R814" s="123"/>
      <c r="S814" s="123"/>
      <c r="T814" s="123"/>
      <c r="U814" s="123"/>
      <c r="V814" s="123"/>
      <c r="W814" s="123"/>
      <c r="X814" s="123"/>
      <c r="Y814" s="123"/>
      <c r="Z814" s="123"/>
      <c r="AA814" s="123"/>
      <c r="AB814" s="123"/>
      <c r="AC814" s="123"/>
      <c r="AD814" s="123"/>
      <c r="AE814" s="123"/>
      <c r="AF814" s="123"/>
      <c r="AG814" s="123"/>
      <c r="AH814" s="123"/>
      <c r="AI814" s="123"/>
      <c r="AJ814" s="267">
        <v>3.92028939E8</v>
      </c>
      <c r="AK814" s="267"/>
      <c r="AL814" s="267"/>
    </row>
    <row r="815">
      <c r="A815" s="122"/>
      <c r="B815" s="123"/>
      <c r="C815" s="147"/>
      <c r="D815" s="265"/>
      <c r="E815" s="265"/>
      <c r="F815" s="265"/>
      <c r="G815" s="265"/>
      <c r="H815" s="266"/>
      <c r="I815" s="265"/>
      <c r="J815" s="123"/>
      <c r="K815" s="123"/>
      <c r="L815" s="123"/>
      <c r="M815" s="123"/>
      <c r="N815" s="123"/>
      <c r="O815" s="123"/>
      <c r="P815" s="121"/>
      <c r="Q815" s="121"/>
      <c r="R815" s="123"/>
      <c r="S815" s="123"/>
      <c r="T815" s="123"/>
      <c r="U815" s="123"/>
      <c r="V815" s="123"/>
      <c r="W815" s="123"/>
      <c r="X815" s="123"/>
      <c r="Y815" s="123"/>
      <c r="Z815" s="123"/>
      <c r="AA815" s="123"/>
      <c r="AB815" s="123"/>
      <c r="AC815" s="123"/>
      <c r="AD815" s="123"/>
      <c r="AE815" s="123"/>
      <c r="AF815" s="123"/>
      <c r="AG815" s="123"/>
      <c r="AH815" s="123"/>
      <c r="AI815" s="123"/>
      <c r="AJ815" s="267">
        <v>4.84619244E8</v>
      </c>
      <c r="AK815" s="267"/>
      <c r="AL815" s="267"/>
    </row>
    <row r="816">
      <c r="A816" s="122"/>
      <c r="B816" s="123"/>
      <c r="C816" s="147"/>
      <c r="D816" s="265"/>
      <c r="E816" s="265"/>
      <c r="F816" s="265"/>
      <c r="G816" s="265"/>
      <c r="H816" s="266"/>
      <c r="I816" s="265"/>
      <c r="J816" s="123"/>
      <c r="K816" s="123"/>
      <c r="L816" s="123"/>
      <c r="M816" s="123"/>
      <c r="N816" s="123"/>
      <c r="O816" s="123"/>
      <c r="P816" s="121"/>
      <c r="Q816" s="121"/>
      <c r="R816" s="123"/>
      <c r="S816" s="123"/>
      <c r="T816" s="123"/>
      <c r="U816" s="123"/>
      <c r="V816" s="123"/>
      <c r="W816" s="123"/>
      <c r="X816" s="123"/>
      <c r="Y816" s="123"/>
      <c r="Z816" s="123"/>
      <c r="AA816" s="123"/>
      <c r="AB816" s="123"/>
      <c r="AC816" s="123"/>
      <c r="AD816" s="123"/>
      <c r="AE816" s="123"/>
      <c r="AF816" s="123"/>
      <c r="AG816" s="123"/>
      <c r="AH816" s="123"/>
      <c r="AI816" s="123"/>
      <c r="AJ816" s="267"/>
      <c r="AK816" s="267" t="s">
        <v>401</v>
      </c>
      <c r="AL816" s="267"/>
    </row>
    <row r="817">
      <c r="A817" s="122"/>
      <c r="B817" s="123"/>
      <c r="C817" s="147"/>
      <c r="D817" s="265"/>
      <c r="E817" s="265"/>
      <c r="F817" s="265"/>
      <c r="G817" s="265"/>
      <c r="H817" s="266"/>
      <c r="I817" s="265"/>
      <c r="J817" s="123"/>
      <c r="K817" s="123"/>
      <c r="L817" s="123"/>
      <c r="M817" s="123"/>
      <c r="N817" s="123"/>
      <c r="O817" s="123"/>
      <c r="P817" s="121"/>
      <c r="Q817" s="121"/>
      <c r="R817" s="123"/>
      <c r="S817" s="123"/>
      <c r="T817" s="123"/>
      <c r="U817" s="123"/>
      <c r="V817" s="123"/>
      <c r="W817" s="123"/>
      <c r="X817" s="123"/>
      <c r="Y817" s="123"/>
      <c r="Z817" s="123"/>
      <c r="AA817" s="123"/>
      <c r="AB817" s="123"/>
      <c r="AC817" s="123"/>
      <c r="AD817" s="123"/>
      <c r="AE817" s="123"/>
      <c r="AF817" s="123"/>
      <c r="AG817" s="123"/>
      <c r="AH817" s="123"/>
      <c r="AI817" s="123"/>
      <c r="AJ817" s="267">
        <v>3.81335309E8</v>
      </c>
      <c r="AK817" s="267"/>
      <c r="AL817" s="267"/>
    </row>
    <row r="818">
      <c r="A818" s="122"/>
      <c r="B818" s="123"/>
      <c r="C818" s="147"/>
      <c r="D818" s="265"/>
      <c r="E818" s="265"/>
      <c r="F818" s="265"/>
      <c r="G818" s="265"/>
      <c r="H818" s="266"/>
      <c r="I818" s="265"/>
      <c r="J818" s="123"/>
      <c r="K818" s="123"/>
      <c r="L818" s="123"/>
      <c r="M818" s="123"/>
      <c r="N818" s="123"/>
      <c r="O818" s="123"/>
      <c r="P818" s="121"/>
      <c r="Q818" s="121"/>
      <c r="R818" s="123"/>
      <c r="S818" s="123"/>
      <c r="T818" s="123"/>
      <c r="U818" s="123"/>
      <c r="V818" s="123"/>
      <c r="W818" s="123"/>
      <c r="X818" s="123"/>
      <c r="Y818" s="123"/>
      <c r="Z818" s="123"/>
      <c r="AA818" s="123"/>
      <c r="AB818" s="123"/>
      <c r="AC818" s="123"/>
      <c r="AD818" s="123"/>
      <c r="AE818" s="123"/>
      <c r="AF818" s="123"/>
      <c r="AG818" s="123"/>
      <c r="AH818" s="123"/>
      <c r="AI818" s="123"/>
      <c r="AJ818" s="267">
        <v>4.45333054E8</v>
      </c>
      <c r="AK818" s="267"/>
      <c r="AL818" s="267"/>
    </row>
    <row r="819">
      <c r="A819" s="122"/>
      <c r="B819" s="123"/>
      <c r="C819" s="147"/>
      <c r="D819" s="265"/>
      <c r="E819" s="265"/>
      <c r="F819" s="265"/>
      <c r="G819" s="265"/>
      <c r="H819" s="266"/>
      <c r="I819" s="265"/>
      <c r="J819" s="123"/>
      <c r="K819" s="123"/>
      <c r="L819" s="123"/>
      <c r="M819" s="123"/>
      <c r="N819" s="123"/>
      <c r="O819" s="123"/>
      <c r="P819" s="121"/>
      <c r="Q819" s="121"/>
      <c r="R819" s="123"/>
      <c r="S819" s="123"/>
      <c r="T819" s="123"/>
      <c r="U819" s="123"/>
      <c r="V819" s="123"/>
      <c r="W819" s="123"/>
      <c r="X819" s="123"/>
      <c r="Y819" s="123"/>
      <c r="Z819" s="123"/>
      <c r="AA819" s="123"/>
      <c r="AB819" s="123"/>
      <c r="AC819" s="123"/>
      <c r="AD819" s="123"/>
      <c r="AE819" s="123"/>
      <c r="AF819" s="123"/>
      <c r="AG819" s="123"/>
      <c r="AH819" s="123"/>
      <c r="AI819" s="123"/>
      <c r="AJ819" s="267">
        <v>2.40173672E8</v>
      </c>
      <c r="AK819" s="267"/>
      <c r="AL819" s="267"/>
    </row>
    <row r="820">
      <c r="A820" s="122"/>
      <c r="B820" s="123"/>
      <c r="C820" s="147"/>
      <c r="D820" s="265"/>
      <c r="E820" s="265"/>
      <c r="F820" s="265"/>
      <c r="G820" s="265"/>
      <c r="H820" s="266"/>
      <c r="I820" s="265"/>
      <c r="J820" s="123"/>
      <c r="K820" s="123"/>
      <c r="L820" s="123"/>
      <c r="M820" s="123"/>
      <c r="N820" s="123"/>
      <c r="O820" s="123"/>
      <c r="P820" s="121"/>
      <c r="Q820" s="121"/>
      <c r="R820" s="123"/>
      <c r="S820" s="123"/>
      <c r="T820" s="123"/>
      <c r="U820" s="123"/>
      <c r="V820" s="123"/>
      <c r="W820" s="123"/>
      <c r="X820" s="123"/>
      <c r="Y820" s="123"/>
      <c r="Z820" s="123"/>
      <c r="AA820" s="123"/>
      <c r="AB820" s="123"/>
      <c r="AC820" s="123"/>
      <c r="AD820" s="123"/>
      <c r="AE820" s="123"/>
      <c r="AF820" s="123"/>
      <c r="AG820" s="123"/>
      <c r="AH820" s="123"/>
      <c r="AI820" s="123"/>
      <c r="AJ820" s="267">
        <v>2.65543042E8</v>
      </c>
      <c r="AK820" s="267"/>
      <c r="AL820" s="267"/>
    </row>
    <row r="821">
      <c r="A821" s="90"/>
      <c r="B821" s="259"/>
      <c r="C821" s="259"/>
      <c r="D821" s="315"/>
      <c r="E821" s="102"/>
      <c r="F821" s="102"/>
      <c r="G821" s="102"/>
      <c r="H821" s="260"/>
      <c r="I821" s="102"/>
      <c r="J821" s="77"/>
      <c r="K821" s="115"/>
      <c r="L821" s="77"/>
      <c r="M821" s="77"/>
      <c r="N821" s="77"/>
      <c r="O821" s="77"/>
      <c r="P821" s="268"/>
      <c r="Q821" s="268"/>
      <c r="R821" s="77"/>
      <c r="S821" s="77"/>
      <c r="T821" s="77"/>
      <c r="U821" s="77"/>
      <c r="V821" s="115"/>
      <c r="W821" s="115"/>
      <c r="X821" s="115"/>
      <c r="Y821" s="115"/>
      <c r="Z821" s="115"/>
      <c r="AA821" s="115"/>
      <c r="AB821" s="261"/>
      <c r="AC821" s="77"/>
      <c r="AD821" s="115"/>
      <c r="AE821" s="77"/>
      <c r="AF821" s="77"/>
      <c r="AG821" s="77"/>
      <c r="AH821" s="87"/>
      <c r="AI821" s="87"/>
      <c r="AJ821" s="267">
        <v>1.69962249E8</v>
      </c>
      <c r="AK821" s="267" t="s">
        <v>1589</v>
      </c>
      <c r="AL821" s="267"/>
    </row>
    <row r="822">
      <c r="A822" s="90"/>
      <c r="B822" s="259"/>
      <c r="C822" s="259"/>
      <c r="D822" s="315"/>
      <c r="E822" s="102"/>
      <c r="F822" s="102"/>
      <c r="G822" s="102"/>
      <c r="H822" s="260"/>
      <c r="I822" s="259"/>
      <c r="J822" s="77"/>
      <c r="K822" s="115"/>
      <c r="L822" s="77"/>
      <c r="M822" s="77"/>
      <c r="N822" s="77"/>
      <c r="O822" s="115"/>
      <c r="P822" s="71"/>
      <c r="Q822" s="71"/>
      <c r="R822" s="77"/>
      <c r="S822" s="77"/>
      <c r="T822" s="77"/>
      <c r="U822" s="77"/>
      <c r="V822" s="315"/>
      <c r="W822" s="115"/>
      <c r="X822" s="115"/>
      <c r="Y822" s="115"/>
      <c r="Z822" s="115"/>
      <c r="AA822" s="115"/>
      <c r="AB822" s="261"/>
      <c r="AC822" s="77"/>
      <c r="AD822" s="115"/>
      <c r="AE822" s="77"/>
      <c r="AF822" s="77"/>
      <c r="AG822" s="77"/>
      <c r="AH822" s="77"/>
      <c r="AI822" s="77"/>
      <c r="AJ822" s="267">
        <v>1.5973404E8</v>
      </c>
      <c r="AK822" s="267" t="s">
        <v>1605</v>
      </c>
      <c r="AL822" s="267"/>
    </row>
    <row r="823">
      <c r="A823" s="305"/>
      <c r="B823" s="265"/>
      <c r="C823" s="289"/>
      <c r="D823" s="123"/>
      <c r="E823" s="265"/>
      <c r="F823" s="265"/>
      <c r="G823" s="265"/>
      <c r="H823" s="260"/>
      <c r="I823" s="265"/>
      <c r="J823" s="123"/>
      <c r="K823" s="123"/>
      <c r="L823" s="123"/>
      <c r="M823" s="123"/>
      <c r="N823" s="123"/>
      <c r="O823" s="123"/>
      <c r="P823" s="121"/>
      <c r="Q823" s="121"/>
      <c r="R823" s="123"/>
      <c r="S823" s="123"/>
      <c r="T823" s="123"/>
      <c r="U823" s="123"/>
      <c r="V823" s="123"/>
      <c r="W823" s="123"/>
      <c r="X823" s="123"/>
      <c r="Y823" s="123"/>
      <c r="Z823" s="123"/>
      <c r="AA823" s="123"/>
      <c r="AB823" s="123"/>
      <c r="AC823" s="123"/>
      <c r="AD823" s="123"/>
      <c r="AE823" s="123"/>
      <c r="AF823" s="123"/>
      <c r="AG823" s="123"/>
      <c r="AH823" s="123"/>
      <c r="AI823" s="123"/>
      <c r="AJ823" s="267">
        <v>2.3278502E8</v>
      </c>
      <c r="AK823" s="267"/>
      <c r="AL823" s="267"/>
    </row>
    <row r="824">
      <c r="A824" s="305"/>
      <c r="B824" s="265"/>
      <c r="C824" s="289"/>
      <c r="D824" s="123"/>
      <c r="E824" s="265"/>
      <c r="F824" s="265"/>
      <c r="G824" s="265"/>
      <c r="H824" s="260"/>
      <c r="I824" s="265"/>
      <c r="J824" s="123"/>
      <c r="K824" s="123"/>
      <c r="L824" s="123"/>
      <c r="M824" s="123"/>
      <c r="N824" s="123"/>
      <c r="O824" s="123"/>
      <c r="P824" s="121"/>
      <c r="Q824" s="121"/>
      <c r="R824" s="123"/>
      <c r="S824" s="123"/>
      <c r="T824" s="123"/>
      <c r="U824" s="123"/>
      <c r="V824" s="123"/>
      <c r="W824" s="123"/>
      <c r="X824" s="123"/>
      <c r="Y824" s="123"/>
      <c r="Z824" s="123"/>
      <c r="AA824" s="123"/>
      <c r="AB824" s="123"/>
      <c r="AC824" s="123"/>
      <c r="AD824" s="123"/>
      <c r="AE824" s="123"/>
      <c r="AF824" s="123"/>
      <c r="AG824" s="123"/>
      <c r="AH824" s="123"/>
      <c r="AI824" s="123"/>
      <c r="AJ824" s="267">
        <v>2.55209721E8</v>
      </c>
      <c r="AK824" s="267" t="s">
        <v>401</v>
      </c>
      <c r="AL824" s="267"/>
    </row>
    <row r="825">
      <c r="A825" s="305"/>
      <c r="B825" s="265"/>
      <c r="C825" s="289"/>
      <c r="D825" s="123"/>
      <c r="E825" s="265"/>
      <c r="F825" s="265"/>
      <c r="G825" s="265"/>
      <c r="H825" s="260"/>
      <c r="I825" s="265"/>
      <c r="J825" s="123"/>
      <c r="K825" s="123"/>
      <c r="L825" s="123"/>
      <c r="M825" s="123"/>
      <c r="N825" s="123"/>
      <c r="O825" s="123"/>
      <c r="P825" s="121"/>
      <c r="Q825" s="121"/>
      <c r="R825" s="123"/>
      <c r="S825" s="123"/>
      <c r="T825" s="123"/>
      <c r="U825" s="123"/>
      <c r="V825" s="123"/>
      <c r="W825" s="123"/>
      <c r="X825" s="123"/>
      <c r="Y825" s="123"/>
      <c r="Z825" s="123"/>
      <c r="AA825" s="123"/>
      <c r="AB825" s="123"/>
      <c r="AC825" s="123"/>
      <c r="AD825" s="123"/>
      <c r="AE825" s="123"/>
      <c r="AF825" s="123"/>
      <c r="AG825" s="123"/>
      <c r="AH825" s="123"/>
      <c r="AI825" s="123"/>
      <c r="AJ825" s="267">
        <v>4.00501943E8</v>
      </c>
      <c r="AK825" s="267"/>
      <c r="AL825" s="267"/>
    </row>
    <row r="826">
      <c r="A826" s="305"/>
      <c r="B826" s="265"/>
      <c r="C826" s="289"/>
      <c r="D826" s="123"/>
      <c r="E826" s="265"/>
      <c r="F826" s="265"/>
      <c r="G826" s="265"/>
      <c r="H826" s="260"/>
      <c r="I826" s="265"/>
      <c r="J826" s="123"/>
      <c r="K826" s="123"/>
      <c r="L826" s="123"/>
      <c r="M826" s="123"/>
      <c r="N826" s="123"/>
      <c r="O826" s="123"/>
      <c r="P826" s="121"/>
      <c r="Q826" s="121"/>
      <c r="R826" s="123"/>
      <c r="S826" s="123"/>
      <c r="T826" s="123"/>
      <c r="U826" s="123"/>
      <c r="V826" s="123"/>
      <c r="W826" s="123"/>
      <c r="X826" s="123"/>
      <c r="Y826" s="123"/>
      <c r="Z826" s="123"/>
      <c r="AA826" s="123"/>
      <c r="AB826" s="123"/>
      <c r="AC826" s="123"/>
      <c r="AD826" s="123"/>
      <c r="AE826" s="123"/>
      <c r="AF826" s="123"/>
      <c r="AG826" s="123"/>
      <c r="AH826" s="123"/>
      <c r="AI826" s="123"/>
      <c r="AJ826" s="267">
        <v>1.56995682E8</v>
      </c>
      <c r="AK826" s="267" t="s">
        <v>1682</v>
      </c>
      <c r="AL826" s="267"/>
    </row>
    <row r="827">
      <c r="A827" s="305"/>
      <c r="B827" s="265"/>
      <c r="C827" s="289"/>
      <c r="D827" s="123"/>
      <c r="E827" s="265"/>
      <c r="F827" s="265"/>
      <c r="G827" s="265"/>
      <c r="H827" s="260"/>
      <c r="I827" s="265"/>
      <c r="J827" s="123"/>
      <c r="K827" s="123"/>
      <c r="L827" s="123"/>
      <c r="M827" s="123"/>
      <c r="N827" s="123"/>
      <c r="O827" s="123"/>
      <c r="P827" s="121"/>
      <c r="Q827" s="121"/>
      <c r="R827" s="123"/>
      <c r="S827" s="123"/>
      <c r="T827" s="123"/>
      <c r="U827" s="123"/>
      <c r="V827" s="123"/>
      <c r="W827" s="123"/>
      <c r="X827" s="123"/>
      <c r="Y827" s="123"/>
      <c r="Z827" s="123"/>
      <c r="AA827" s="123"/>
      <c r="AB827" s="123"/>
      <c r="AC827" s="123"/>
      <c r="AD827" s="123"/>
      <c r="AE827" s="123"/>
      <c r="AF827" s="123"/>
      <c r="AG827" s="123"/>
      <c r="AH827" s="123"/>
      <c r="AI827" s="123"/>
      <c r="AJ827" s="267">
        <v>2.71462078E8</v>
      </c>
      <c r="AK827" s="267"/>
      <c r="AL827" s="267"/>
    </row>
    <row r="828">
      <c r="A828" s="305"/>
      <c r="B828" s="265"/>
      <c r="C828" s="289"/>
      <c r="D828" s="123"/>
      <c r="E828" s="265"/>
      <c r="F828" s="265"/>
      <c r="G828" s="265"/>
      <c r="H828" s="260"/>
      <c r="I828" s="265"/>
      <c r="J828" s="123"/>
      <c r="K828" s="123"/>
      <c r="L828" s="123"/>
      <c r="M828" s="123"/>
      <c r="N828" s="123"/>
      <c r="O828" s="123"/>
      <c r="P828" s="121"/>
      <c r="Q828" s="121"/>
      <c r="R828" s="123"/>
      <c r="S828" s="123"/>
      <c r="T828" s="123"/>
      <c r="U828" s="123"/>
      <c r="V828" s="123"/>
      <c r="W828" s="123"/>
      <c r="X828" s="123"/>
      <c r="Y828" s="123"/>
      <c r="Z828" s="123"/>
      <c r="AA828" s="123"/>
      <c r="AB828" s="123"/>
      <c r="AC828" s="123"/>
      <c r="AD828" s="123"/>
      <c r="AE828" s="123"/>
      <c r="AF828" s="123"/>
      <c r="AG828" s="123"/>
      <c r="AH828" s="123"/>
      <c r="AI828" s="123"/>
      <c r="AJ828" s="267">
        <v>1.65241082E8</v>
      </c>
      <c r="AK828" s="267" t="s">
        <v>1715</v>
      </c>
      <c r="AL828" s="267"/>
    </row>
    <row r="829">
      <c r="A829" s="305"/>
      <c r="B829" s="265"/>
      <c r="C829" s="289"/>
      <c r="D829" s="123"/>
      <c r="E829" s="265"/>
      <c r="F829" s="265"/>
      <c r="G829" s="265"/>
      <c r="H829" s="260"/>
      <c r="I829" s="265"/>
      <c r="J829" s="123"/>
      <c r="K829" s="123"/>
      <c r="L829" s="123"/>
      <c r="M829" s="123"/>
      <c r="N829" s="123"/>
      <c r="O829" s="123"/>
      <c r="P829" s="121"/>
      <c r="Q829" s="121"/>
      <c r="R829" s="123"/>
      <c r="S829" s="123"/>
      <c r="T829" s="123"/>
      <c r="U829" s="123"/>
      <c r="V829" s="123"/>
      <c r="W829" s="123"/>
      <c r="X829" s="123"/>
      <c r="Y829" s="123"/>
      <c r="Z829" s="123"/>
      <c r="AA829" s="123"/>
      <c r="AB829" s="123"/>
      <c r="AC829" s="123"/>
      <c r="AD829" s="123"/>
      <c r="AE829" s="123"/>
      <c r="AF829" s="123"/>
      <c r="AG829" s="123"/>
      <c r="AH829" s="123"/>
      <c r="AI829" s="123"/>
      <c r="AJ829" s="267">
        <v>1.58114551E8</v>
      </c>
      <c r="AK829" s="267" t="s">
        <v>1734</v>
      </c>
      <c r="AL829" s="267"/>
    </row>
    <row r="830">
      <c r="A830" s="305"/>
      <c r="B830" s="265"/>
      <c r="C830" s="289"/>
      <c r="D830" s="123"/>
      <c r="E830" s="265"/>
      <c r="F830" s="265"/>
      <c r="G830" s="265"/>
      <c r="H830" s="260"/>
      <c r="I830" s="265"/>
      <c r="J830" s="123"/>
      <c r="K830" s="123"/>
      <c r="L830" s="123"/>
      <c r="M830" s="123"/>
      <c r="N830" s="123"/>
      <c r="O830" s="123"/>
      <c r="P830" s="121"/>
      <c r="Q830" s="121"/>
      <c r="R830" s="123"/>
      <c r="S830" s="123"/>
      <c r="T830" s="123"/>
      <c r="U830" s="123"/>
      <c r="V830" s="123"/>
      <c r="W830" s="123"/>
      <c r="X830" s="123"/>
      <c r="Y830" s="123"/>
      <c r="Z830" s="123"/>
      <c r="AA830" s="123"/>
      <c r="AB830" s="123"/>
      <c r="AC830" s="123"/>
      <c r="AD830" s="123"/>
      <c r="AE830" s="123"/>
      <c r="AF830" s="123"/>
      <c r="AG830" s="123"/>
      <c r="AH830" s="123"/>
      <c r="AI830" s="123"/>
      <c r="AJ830" s="267">
        <v>2.70128827E8</v>
      </c>
      <c r="AK830" s="267"/>
      <c r="AL830" s="267"/>
    </row>
    <row r="831">
      <c r="A831" s="305"/>
      <c r="B831" s="265"/>
      <c r="C831" s="289"/>
      <c r="D831" s="123"/>
      <c r="E831" s="265"/>
      <c r="F831" s="265"/>
      <c r="G831" s="265"/>
      <c r="H831" s="260"/>
      <c r="I831" s="265"/>
      <c r="J831" s="123"/>
      <c r="K831" s="123"/>
      <c r="L831" s="123"/>
      <c r="M831" s="123"/>
      <c r="N831" s="123"/>
      <c r="O831" s="123"/>
      <c r="P831" s="121"/>
      <c r="Q831" s="121"/>
      <c r="R831" s="123"/>
      <c r="S831" s="123"/>
      <c r="T831" s="123"/>
      <c r="U831" s="123"/>
      <c r="V831" s="123"/>
      <c r="W831" s="123"/>
      <c r="X831" s="123"/>
      <c r="Y831" s="123"/>
      <c r="Z831" s="123"/>
      <c r="AA831" s="123"/>
      <c r="AB831" s="123"/>
      <c r="AC831" s="123"/>
      <c r="AD831" s="123"/>
      <c r="AE831" s="123"/>
      <c r="AF831" s="123"/>
      <c r="AG831" s="123"/>
      <c r="AH831" s="123"/>
      <c r="AI831" s="123"/>
      <c r="AJ831" s="267">
        <v>2.29246778E8</v>
      </c>
      <c r="AK831" s="267"/>
      <c r="AL831" s="267"/>
    </row>
    <row r="832">
      <c r="A832" s="305"/>
      <c r="B832" s="265"/>
      <c r="C832" s="289"/>
      <c r="D832" s="123"/>
      <c r="E832" s="265"/>
      <c r="F832" s="265"/>
      <c r="G832" s="265"/>
      <c r="H832" s="260"/>
      <c r="I832" s="265"/>
      <c r="J832" s="123"/>
      <c r="K832" s="123"/>
      <c r="L832" s="123"/>
      <c r="M832" s="123"/>
      <c r="N832" s="123"/>
      <c r="O832" s="123"/>
      <c r="P832" s="121"/>
      <c r="Q832" s="121"/>
      <c r="R832" s="123"/>
      <c r="S832" s="123"/>
      <c r="T832" s="123"/>
      <c r="U832" s="123"/>
      <c r="V832" s="123"/>
      <c r="W832" s="123"/>
      <c r="X832" s="123"/>
      <c r="Y832" s="123"/>
      <c r="Z832" s="123"/>
      <c r="AA832" s="123"/>
      <c r="AB832" s="123"/>
      <c r="AC832" s="123"/>
      <c r="AD832" s="123"/>
      <c r="AE832" s="123"/>
      <c r="AF832" s="123"/>
      <c r="AG832" s="123"/>
      <c r="AH832" s="123"/>
      <c r="AI832" s="123"/>
      <c r="AJ832" s="267">
        <v>2.70128828E8</v>
      </c>
      <c r="AK832" s="267"/>
      <c r="AL832" s="267"/>
    </row>
    <row r="833">
      <c r="A833" s="90"/>
      <c r="B833" s="259"/>
      <c r="C833" s="259"/>
      <c r="D833" s="315"/>
      <c r="E833" s="102"/>
      <c r="F833" s="102"/>
      <c r="G833" s="102"/>
      <c r="H833" s="260"/>
      <c r="I833" s="259"/>
      <c r="J833" s="77"/>
      <c r="K833" s="115"/>
      <c r="L833" s="77"/>
      <c r="M833" s="77"/>
      <c r="N833" s="77"/>
      <c r="O833" s="77"/>
      <c r="P833" s="71"/>
      <c r="Q833" s="71"/>
      <c r="R833" s="77"/>
      <c r="S833" s="77"/>
      <c r="T833" s="77"/>
      <c r="U833" s="77"/>
      <c r="V833" s="115"/>
      <c r="W833" s="115"/>
      <c r="X833" s="115"/>
      <c r="Y833" s="115"/>
      <c r="Z833" s="77"/>
      <c r="AA833" s="115"/>
      <c r="AB833" s="261"/>
      <c r="AC833" s="77"/>
      <c r="AD833" s="115"/>
      <c r="AE833" s="77"/>
      <c r="AF833" s="77"/>
      <c r="AG833" s="77"/>
      <c r="AH833" s="77"/>
      <c r="AI833" s="77"/>
      <c r="AJ833" s="267">
        <v>1.77867999E8</v>
      </c>
      <c r="AK833" s="267" t="s">
        <v>1793</v>
      </c>
      <c r="AL833" s="267"/>
    </row>
    <row r="834">
      <c r="A834" s="90"/>
      <c r="B834" s="259"/>
      <c r="C834" s="259"/>
      <c r="D834" s="315"/>
      <c r="E834" s="102"/>
      <c r="F834" s="102"/>
      <c r="G834" s="102"/>
      <c r="H834" s="260"/>
      <c r="I834" s="259"/>
      <c r="J834" s="77"/>
      <c r="K834" s="115"/>
      <c r="L834" s="77"/>
      <c r="M834" s="77"/>
      <c r="N834" s="77"/>
      <c r="O834" s="77"/>
      <c r="P834" s="268"/>
      <c r="Q834" s="268"/>
      <c r="R834" s="77"/>
      <c r="S834" s="77"/>
      <c r="T834" s="77"/>
      <c r="U834" s="77"/>
      <c r="V834" s="115"/>
      <c r="W834" s="115"/>
      <c r="X834" s="115"/>
      <c r="Y834" s="77"/>
      <c r="Z834" s="115"/>
      <c r="AA834" s="115"/>
      <c r="AB834" s="261"/>
      <c r="AC834" s="77"/>
      <c r="AD834" s="115"/>
      <c r="AE834" s="77"/>
      <c r="AF834" s="77"/>
      <c r="AG834" s="77"/>
      <c r="AH834" s="87"/>
      <c r="AI834" s="87"/>
      <c r="AJ834" s="267">
        <v>2.7036074E8</v>
      </c>
      <c r="AK834" s="267"/>
      <c r="AL834" s="267"/>
    </row>
    <row r="835">
      <c r="A835" s="322"/>
      <c r="B835" s="123"/>
      <c r="C835" s="322"/>
      <c r="D835" s="123"/>
      <c r="E835" s="265"/>
      <c r="F835" s="265"/>
      <c r="G835" s="265"/>
      <c r="H835" s="323"/>
      <c r="I835" s="265"/>
      <c r="J835" s="123"/>
      <c r="K835" s="123"/>
      <c r="L835" s="123"/>
      <c r="M835" s="123"/>
      <c r="N835" s="123"/>
      <c r="O835" s="123"/>
      <c r="P835" s="121"/>
      <c r="Q835" s="121"/>
      <c r="R835" s="123"/>
      <c r="S835" s="123"/>
      <c r="T835" s="123"/>
      <c r="U835" s="123"/>
      <c r="V835" s="123"/>
      <c r="W835" s="123"/>
      <c r="X835" s="123"/>
      <c r="Y835" s="123"/>
      <c r="Z835" s="123"/>
      <c r="AA835" s="123"/>
      <c r="AB835" s="123"/>
      <c r="AC835" s="123"/>
      <c r="AD835" s="123"/>
      <c r="AE835" s="123"/>
      <c r="AF835" s="123"/>
      <c r="AG835" s="123"/>
      <c r="AH835" s="123"/>
      <c r="AI835" s="123"/>
      <c r="AJ835" s="267">
        <v>2.4016933E8</v>
      </c>
      <c r="AK835" s="267"/>
      <c r="AL835" s="267"/>
    </row>
    <row r="836">
      <c r="A836" s="322"/>
      <c r="B836" s="123"/>
      <c r="C836" s="322"/>
      <c r="D836" s="123"/>
      <c r="E836" s="265"/>
      <c r="F836" s="265"/>
      <c r="G836" s="265"/>
      <c r="H836" s="323"/>
      <c r="I836" s="265"/>
      <c r="J836" s="123"/>
      <c r="K836" s="123"/>
      <c r="L836" s="123"/>
      <c r="M836" s="123"/>
      <c r="N836" s="123"/>
      <c r="O836" s="123"/>
      <c r="P836" s="121"/>
      <c r="Q836" s="121"/>
      <c r="R836" s="123"/>
      <c r="S836" s="123"/>
      <c r="T836" s="123"/>
      <c r="U836" s="123"/>
      <c r="V836" s="123"/>
      <c r="W836" s="123"/>
      <c r="X836" s="123"/>
      <c r="Y836" s="123"/>
      <c r="Z836" s="123"/>
      <c r="AA836" s="123"/>
      <c r="AB836" s="123"/>
      <c r="AC836" s="123"/>
      <c r="AD836" s="123"/>
      <c r="AE836" s="123"/>
      <c r="AF836" s="123"/>
      <c r="AG836" s="123"/>
      <c r="AH836" s="123"/>
      <c r="AI836" s="123"/>
      <c r="AJ836" s="267">
        <v>3.02419362E8</v>
      </c>
      <c r="AK836" s="267"/>
      <c r="AL836" s="267"/>
    </row>
    <row r="837">
      <c r="A837" s="322"/>
      <c r="B837" s="123"/>
      <c r="C837" s="322"/>
      <c r="D837" s="123"/>
      <c r="E837" s="265"/>
      <c r="F837" s="265"/>
      <c r="G837" s="265"/>
      <c r="H837" s="323"/>
      <c r="I837" s="265"/>
      <c r="J837" s="123"/>
      <c r="K837" s="123"/>
      <c r="L837" s="123"/>
      <c r="M837" s="123"/>
      <c r="N837" s="123"/>
      <c r="O837" s="123"/>
      <c r="P837" s="121"/>
      <c r="Q837" s="121"/>
      <c r="R837" s="123"/>
      <c r="S837" s="123"/>
      <c r="T837" s="123"/>
      <c r="U837" s="123"/>
      <c r="V837" s="123"/>
      <c r="W837" s="123"/>
      <c r="X837" s="123"/>
      <c r="Y837" s="123"/>
      <c r="Z837" s="123"/>
      <c r="AA837" s="123"/>
      <c r="AB837" s="123"/>
      <c r="AC837" s="123"/>
      <c r="AD837" s="123"/>
      <c r="AE837" s="123"/>
      <c r="AF837" s="123"/>
      <c r="AG837" s="123"/>
      <c r="AH837" s="123"/>
      <c r="AI837" s="123"/>
      <c r="AJ837" s="267">
        <v>3.25209184E8</v>
      </c>
      <c r="AK837" s="267"/>
      <c r="AL837" s="267"/>
    </row>
    <row r="838">
      <c r="A838" s="322"/>
      <c r="B838" s="123"/>
      <c r="C838" s="322"/>
      <c r="D838" s="123"/>
      <c r="E838" s="265"/>
      <c r="F838" s="265"/>
      <c r="G838" s="265"/>
      <c r="H838" s="323"/>
      <c r="I838" s="265"/>
      <c r="J838" s="123"/>
      <c r="K838" s="123"/>
      <c r="L838" s="123"/>
      <c r="M838" s="123"/>
      <c r="N838" s="123"/>
      <c r="O838" s="123"/>
      <c r="P838" s="121"/>
      <c r="Q838" s="121"/>
      <c r="R838" s="123"/>
      <c r="S838" s="123"/>
      <c r="T838" s="123"/>
      <c r="U838" s="123"/>
      <c r="V838" s="123"/>
      <c r="W838" s="123"/>
      <c r="X838" s="123"/>
      <c r="Y838" s="123"/>
      <c r="Z838" s="123"/>
      <c r="AA838" s="123"/>
      <c r="AB838" s="123"/>
      <c r="AC838" s="123"/>
      <c r="AD838" s="123"/>
      <c r="AE838" s="123"/>
      <c r="AF838" s="123"/>
      <c r="AG838" s="123"/>
      <c r="AH838" s="123"/>
      <c r="AI838" s="123"/>
      <c r="AJ838" s="267">
        <v>2.19926965E8</v>
      </c>
      <c r="AK838" s="267"/>
      <c r="AL838" s="267"/>
    </row>
    <row r="839">
      <c r="A839" s="322"/>
      <c r="B839" s="123"/>
      <c r="C839" s="322"/>
      <c r="D839" s="123"/>
      <c r="E839" s="265"/>
      <c r="F839" s="265"/>
      <c r="G839" s="265"/>
      <c r="H839" s="323"/>
      <c r="I839" s="265"/>
      <c r="J839" s="123"/>
      <c r="K839" s="123"/>
      <c r="L839" s="123"/>
      <c r="M839" s="123"/>
      <c r="N839" s="123"/>
      <c r="O839" s="123"/>
      <c r="P839" s="121"/>
      <c r="Q839" s="121"/>
      <c r="R839" s="123"/>
      <c r="S839" s="123"/>
      <c r="T839" s="123"/>
      <c r="U839" s="123"/>
      <c r="V839" s="123"/>
      <c r="W839" s="123"/>
      <c r="X839" s="123"/>
      <c r="Y839" s="123"/>
      <c r="Z839" s="123"/>
      <c r="AA839" s="123"/>
      <c r="AB839" s="123"/>
      <c r="AC839" s="123"/>
      <c r="AD839" s="123"/>
      <c r="AE839" s="123"/>
      <c r="AF839" s="123"/>
      <c r="AG839" s="123"/>
      <c r="AH839" s="123"/>
      <c r="AI839" s="123"/>
      <c r="AJ839" s="267">
        <v>3.25216323E8</v>
      </c>
      <c r="AK839" s="267"/>
      <c r="AL839" s="267"/>
    </row>
    <row r="840">
      <c r="A840" s="322"/>
      <c r="B840" s="123"/>
      <c r="C840" s="322"/>
      <c r="D840" s="123"/>
      <c r="E840" s="265"/>
      <c r="F840" s="265"/>
      <c r="G840" s="265"/>
      <c r="H840" s="323"/>
      <c r="I840" s="265"/>
      <c r="J840" s="123"/>
      <c r="K840" s="123"/>
      <c r="L840" s="123"/>
      <c r="M840" s="123"/>
      <c r="N840" s="123"/>
      <c r="O840" s="123"/>
      <c r="P840" s="121"/>
      <c r="Q840" s="121"/>
      <c r="R840" s="123"/>
      <c r="S840" s="123"/>
      <c r="T840" s="123"/>
      <c r="U840" s="123"/>
      <c r="V840" s="123"/>
      <c r="W840" s="123"/>
      <c r="X840" s="123"/>
      <c r="Y840" s="123"/>
      <c r="Z840" s="123"/>
      <c r="AA840" s="123"/>
      <c r="AB840" s="123"/>
      <c r="AC840" s="123"/>
      <c r="AD840" s="123"/>
      <c r="AE840" s="123"/>
      <c r="AF840" s="123"/>
      <c r="AG840" s="123"/>
      <c r="AH840" s="123"/>
      <c r="AI840" s="123"/>
      <c r="AJ840" s="267">
        <v>2.55212157E8</v>
      </c>
      <c r="AK840" s="267"/>
      <c r="AL840" s="267"/>
    </row>
    <row r="841">
      <c r="A841" s="322"/>
      <c r="B841" s="123"/>
      <c r="C841" s="322"/>
      <c r="D841" s="123"/>
      <c r="E841" s="265"/>
      <c r="F841" s="265"/>
      <c r="G841" s="265"/>
      <c r="H841" s="323"/>
      <c r="I841" s="265"/>
      <c r="J841" s="123"/>
      <c r="K841" s="123"/>
      <c r="L841" s="123"/>
      <c r="M841" s="123"/>
      <c r="N841" s="123"/>
      <c r="O841" s="123"/>
      <c r="P841" s="121"/>
      <c r="Q841" s="121"/>
      <c r="R841" s="123"/>
      <c r="S841" s="123"/>
      <c r="T841" s="123"/>
      <c r="U841" s="123"/>
      <c r="V841" s="123"/>
      <c r="W841" s="123"/>
      <c r="X841" s="123"/>
      <c r="Y841" s="123"/>
      <c r="Z841" s="123"/>
      <c r="AA841" s="123"/>
      <c r="AB841" s="123"/>
      <c r="AC841" s="123"/>
      <c r="AD841" s="123"/>
      <c r="AE841" s="123"/>
      <c r="AF841" s="123"/>
      <c r="AG841" s="123"/>
      <c r="AH841" s="123"/>
      <c r="AI841" s="123"/>
      <c r="AJ841" s="267">
        <v>2.32462E8</v>
      </c>
      <c r="AK841" s="267"/>
      <c r="AL841" s="267"/>
    </row>
    <row r="842">
      <c r="A842" s="322"/>
      <c r="B842" s="123"/>
      <c r="C842" s="322"/>
      <c r="D842" s="123"/>
      <c r="E842" s="265"/>
      <c r="F842" s="265"/>
      <c r="G842" s="265"/>
      <c r="H842" s="323"/>
      <c r="I842" s="265"/>
      <c r="J842" s="123"/>
      <c r="K842" s="123"/>
      <c r="L842" s="123"/>
      <c r="M842" s="123"/>
      <c r="N842" s="123"/>
      <c r="O842" s="123"/>
      <c r="P842" s="121"/>
      <c r="Q842" s="121"/>
      <c r="R842" s="123"/>
      <c r="S842" s="123"/>
      <c r="T842" s="123"/>
      <c r="U842" s="123"/>
      <c r="V842" s="123"/>
      <c r="W842" s="123"/>
      <c r="X842" s="123"/>
      <c r="Y842" s="123"/>
      <c r="Z842" s="123"/>
      <c r="AA842" s="123"/>
      <c r="AB842" s="123"/>
      <c r="AC842" s="123"/>
      <c r="AD842" s="123"/>
      <c r="AE842" s="123"/>
      <c r="AF842" s="123"/>
      <c r="AG842" s="123"/>
      <c r="AH842" s="123"/>
      <c r="AI842" s="123"/>
      <c r="AJ842" s="267">
        <v>2.94499466E8</v>
      </c>
      <c r="AK842" s="267"/>
      <c r="AL842" s="267"/>
    </row>
    <row r="843">
      <c r="A843" s="322"/>
      <c r="B843" s="123"/>
      <c r="C843" s="322"/>
      <c r="D843" s="123"/>
      <c r="E843" s="265"/>
      <c r="F843" s="265"/>
      <c r="G843" s="265"/>
      <c r="H843" s="323"/>
      <c r="I843" s="265"/>
      <c r="J843" s="123"/>
      <c r="K843" s="123"/>
      <c r="L843" s="123"/>
      <c r="M843" s="123"/>
      <c r="N843" s="123"/>
      <c r="O843" s="123"/>
      <c r="P843" s="121"/>
      <c r="Q843" s="121"/>
      <c r="R843" s="123"/>
      <c r="S843" s="123"/>
      <c r="T843" s="123"/>
      <c r="U843" s="123"/>
      <c r="V843" s="123"/>
      <c r="W843" s="123"/>
      <c r="X843" s="123"/>
      <c r="Y843" s="123"/>
      <c r="Z843" s="123"/>
      <c r="AA843" s="123"/>
      <c r="AB843" s="123"/>
      <c r="AC843" s="123"/>
      <c r="AD843" s="123"/>
      <c r="AE843" s="123"/>
      <c r="AF843" s="123"/>
      <c r="AG843" s="123"/>
      <c r="AH843" s="123"/>
      <c r="AI843" s="123"/>
      <c r="AJ843" s="267">
        <v>2.20091999E8</v>
      </c>
      <c r="AK843" s="267"/>
      <c r="AL843" s="267"/>
    </row>
    <row r="844">
      <c r="A844" s="322"/>
      <c r="B844" s="123"/>
      <c r="C844" s="322"/>
      <c r="D844" s="123"/>
      <c r="E844" s="265"/>
      <c r="F844" s="265"/>
      <c r="G844" s="265"/>
      <c r="H844" s="323"/>
      <c r="I844" s="265"/>
      <c r="J844" s="123"/>
      <c r="K844" s="123"/>
      <c r="L844" s="123"/>
      <c r="M844" s="123"/>
      <c r="N844" s="123"/>
      <c r="O844" s="123"/>
      <c r="P844" s="121"/>
      <c r="Q844" s="121"/>
      <c r="R844" s="123"/>
      <c r="S844" s="123"/>
      <c r="T844" s="123"/>
      <c r="U844" s="123"/>
      <c r="V844" s="123"/>
      <c r="W844" s="123"/>
      <c r="X844" s="123"/>
      <c r="Y844" s="123"/>
      <c r="Z844" s="123"/>
      <c r="AA844" s="123"/>
      <c r="AB844" s="123"/>
      <c r="AC844" s="123"/>
      <c r="AD844" s="123"/>
      <c r="AE844" s="123"/>
      <c r="AF844" s="123"/>
      <c r="AG844" s="123"/>
      <c r="AH844" s="123"/>
      <c r="AI844" s="123"/>
      <c r="AJ844" s="267">
        <v>1.28833711E8</v>
      </c>
      <c r="AK844" s="267" t="s">
        <v>1953</v>
      </c>
      <c r="AL844" s="267"/>
    </row>
    <row r="845">
      <c r="A845" s="312"/>
      <c r="B845" s="316"/>
      <c r="C845" s="316"/>
      <c r="D845" s="324"/>
      <c r="E845" s="313"/>
      <c r="F845" s="313"/>
      <c r="G845" s="313"/>
      <c r="H845" s="260"/>
      <c r="I845" s="316"/>
      <c r="J845" s="188"/>
      <c r="K845" s="317"/>
      <c r="L845" s="188"/>
      <c r="M845" s="188"/>
      <c r="N845" s="188"/>
      <c r="O845" s="188"/>
      <c r="P845" s="139"/>
      <c r="Q845" s="139"/>
      <c r="R845" s="188"/>
      <c r="S845" s="188"/>
      <c r="T845" s="188"/>
      <c r="U845" s="188"/>
      <c r="V845" s="317"/>
      <c r="W845" s="317"/>
      <c r="X845" s="317"/>
      <c r="Y845" s="317"/>
      <c r="Z845" s="317"/>
      <c r="AA845" s="317"/>
      <c r="AB845" s="325"/>
      <c r="AC845" s="188"/>
      <c r="AD845" s="317"/>
      <c r="AE845" s="188"/>
      <c r="AF845" s="188"/>
      <c r="AG845" s="188"/>
      <c r="AH845" s="188"/>
      <c r="AI845" s="188"/>
      <c r="AJ845" s="267">
        <v>1.70000477E8</v>
      </c>
      <c r="AK845" s="267" t="s">
        <v>1972</v>
      </c>
      <c r="AL845" s="267"/>
    </row>
    <row r="846">
      <c r="A846" s="90"/>
      <c r="B846" s="259"/>
      <c r="C846" s="259"/>
      <c r="D846" s="315"/>
      <c r="E846" s="102"/>
      <c r="F846" s="102"/>
      <c r="G846" s="102"/>
      <c r="H846" s="260"/>
      <c r="I846" s="102"/>
      <c r="J846" s="77"/>
      <c r="K846" s="115"/>
      <c r="L846" s="77"/>
      <c r="M846" s="77"/>
      <c r="N846" s="77"/>
      <c r="O846" s="77"/>
      <c r="P846" s="71"/>
      <c r="Q846" s="71"/>
      <c r="R846" s="77"/>
      <c r="S846" s="77"/>
      <c r="T846" s="77"/>
      <c r="U846" s="77"/>
      <c r="V846" s="115"/>
      <c r="W846" s="115"/>
      <c r="X846" s="115"/>
      <c r="Y846" s="115"/>
      <c r="Z846" s="115"/>
      <c r="AA846" s="115"/>
      <c r="AB846" s="261"/>
      <c r="AC846" s="77"/>
      <c r="AD846" s="115"/>
      <c r="AE846" s="77"/>
      <c r="AF846" s="77"/>
      <c r="AG846" s="77"/>
      <c r="AH846" s="77"/>
      <c r="AI846" s="77"/>
      <c r="AJ846" s="267">
        <v>1.86780052E8</v>
      </c>
      <c r="AK846" s="267" t="s">
        <v>1987</v>
      </c>
      <c r="AL846" s="267"/>
    </row>
    <row r="847">
      <c r="A847" s="90"/>
      <c r="B847" s="259"/>
      <c r="C847" s="259"/>
      <c r="D847" s="315"/>
      <c r="E847" s="102"/>
      <c r="F847" s="102"/>
      <c r="G847" s="102"/>
      <c r="H847" s="260"/>
      <c r="I847" s="259"/>
      <c r="J847" s="77"/>
      <c r="K847" s="115"/>
      <c r="L847" s="77"/>
      <c r="M847" s="77"/>
      <c r="N847" s="77"/>
      <c r="O847" s="77"/>
      <c r="P847" s="71"/>
      <c r="Q847" s="71"/>
      <c r="R847" s="77"/>
      <c r="S847" s="77"/>
      <c r="T847" s="77"/>
      <c r="U847" s="77"/>
      <c r="V847" s="115"/>
      <c r="W847" s="115"/>
      <c r="X847" s="115"/>
      <c r="Y847" s="115"/>
      <c r="Z847" s="115"/>
      <c r="AA847" s="115"/>
      <c r="AB847" s="261"/>
      <c r="AC847" s="77"/>
      <c r="AD847" s="115"/>
      <c r="AE847" s="77"/>
      <c r="AF847" s="77"/>
      <c r="AG847" s="77"/>
      <c r="AH847" s="77"/>
      <c r="AI847" s="77"/>
      <c r="AJ847" s="267">
        <v>1.33689253E8</v>
      </c>
      <c r="AK847" s="267" t="s">
        <v>2000</v>
      </c>
      <c r="AL847" s="267"/>
    </row>
    <row r="848">
      <c r="A848" s="90"/>
      <c r="B848" s="259"/>
      <c r="C848" s="259"/>
      <c r="D848" s="315"/>
      <c r="E848" s="102"/>
      <c r="F848" s="102"/>
      <c r="G848" s="102"/>
      <c r="H848" s="260"/>
      <c r="I848" s="259"/>
      <c r="J848" s="77"/>
      <c r="K848" s="115"/>
      <c r="L848" s="77"/>
      <c r="M848" s="77"/>
      <c r="N848" s="77"/>
      <c r="O848" s="77"/>
      <c r="P848" s="71"/>
      <c r="Q848" s="71"/>
      <c r="R848" s="77"/>
      <c r="S848" s="77"/>
      <c r="T848" s="77"/>
      <c r="U848" s="77"/>
      <c r="V848" s="115"/>
      <c r="W848" s="115"/>
      <c r="X848" s="115"/>
      <c r="Y848" s="115"/>
      <c r="Z848" s="115"/>
      <c r="AA848" s="115"/>
      <c r="AB848" s="261"/>
      <c r="AC848" s="77"/>
      <c r="AD848" s="115"/>
      <c r="AE848" s="77"/>
      <c r="AF848" s="77"/>
      <c r="AG848" s="77"/>
      <c r="AH848" s="77"/>
      <c r="AI848" s="77"/>
      <c r="AJ848" s="267">
        <v>1.67273376E8</v>
      </c>
      <c r="AK848" s="267" t="s">
        <v>2018</v>
      </c>
      <c r="AL848" s="267"/>
    </row>
    <row r="849">
      <c r="A849" s="90"/>
      <c r="B849" s="259"/>
      <c r="C849" s="259"/>
      <c r="D849" s="315"/>
      <c r="E849" s="102"/>
      <c r="F849" s="102"/>
      <c r="G849" s="102"/>
      <c r="H849" s="260"/>
      <c r="I849" s="102"/>
      <c r="J849" s="77"/>
      <c r="K849" s="115"/>
      <c r="L849" s="77"/>
      <c r="M849" s="77"/>
      <c r="N849" s="77"/>
      <c r="O849" s="77"/>
      <c r="P849" s="71"/>
      <c r="Q849" s="71"/>
      <c r="R849" s="77"/>
      <c r="S849" s="77"/>
      <c r="T849" s="77"/>
      <c r="U849" s="77"/>
      <c r="V849" s="115"/>
      <c r="W849" s="115"/>
      <c r="X849" s="115"/>
      <c r="Y849" s="115"/>
      <c r="Z849" s="115"/>
      <c r="AA849" s="115"/>
      <c r="AB849" s="261"/>
      <c r="AC849" s="77"/>
      <c r="AD849" s="115"/>
      <c r="AE849" s="77"/>
      <c r="AF849" s="77"/>
      <c r="AG849" s="77"/>
      <c r="AH849" s="77"/>
      <c r="AI849" s="77"/>
      <c r="AJ849" s="267">
        <v>1.86730528E8</v>
      </c>
      <c r="AK849" s="267" t="s">
        <v>2030</v>
      </c>
      <c r="AL849" s="267"/>
    </row>
    <row r="850">
      <c r="A850" s="90"/>
      <c r="B850" s="259"/>
      <c r="C850" s="259"/>
      <c r="D850" s="315"/>
      <c r="E850" s="102"/>
      <c r="F850" s="102"/>
      <c r="G850" s="102"/>
      <c r="H850" s="260"/>
      <c r="I850" s="259"/>
      <c r="J850" s="77"/>
      <c r="K850" s="115"/>
      <c r="L850" s="77"/>
      <c r="M850" s="77"/>
      <c r="N850" s="77"/>
      <c r="O850" s="77"/>
      <c r="P850" s="71"/>
      <c r="Q850" s="71"/>
      <c r="R850" s="77"/>
      <c r="S850" s="77"/>
      <c r="T850" s="77"/>
      <c r="U850" s="77"/>
      <c r="V850" s="115"/>
      <c r="W850" s="115"/>
      <c r="X850" s="115"/>
      <c r="Y850" s="115"/>
      <c r="Z850" s="115"/>
      <c r="AA850" s="115"/>
      <c r="AB850" s="261"/>
      <c r="AC850" s="77"/>
      <c r="AD850" s="115"/>
      <c r="AE850" s="77"/>
      <c r="AF850" s="77"/>
      <c r="AG850" s="77"/>
      <c r="AH850" s="77"/>
      <c r="AI850" s="77"/>
      <c r="AJ850" s="267">
        <v>1.57007801E8</v>
      </c>
      <c r="AK850" s="267" t="s">
        <v>2047</v>
      </c>
      <c r="AL850" s="267"/>
    </row>
    <row r="851">
      <c r="A851" s="259"/>
      <c r="B851" s="259"/>
      <c r="C851" s="259"/>
      <c r="D851" s="315"/>
      <c r="E851" s="102"/>
      <c r="F851" s="102"/>
      <c r="G851" s="102"/>
      <c r="H851" s="260"/>
      <c r="I851" s="102"/>
      <c r="J851" s="77"/>
      <c r="K851" s="115"/>
      <c r="L851" s="77"/>
      <c r="M851" s="77"/>
      <c r="N851" s="77"/>
      <c r="O851" s="77"/>
      <c r="P851" s="71"/>
      <c r="Q851" s="71"/>
      <c r="R851" s="77"/>
      <c r="S851" s="77"/>
      <c r="T851" s="77"/>
      <c r="U851" s="77"/>
      <c r="V851" s="115"/>
      <c r="W851" s="115"/>
      <c r="X851" s="115"/>
      <c r="Y851" s="115"/>
      <c r="Z851" s="115"/>
      <c r="AA851" s="115"/>
      <c r="AB851" s="261"/>
      <c r="AC851" s="77"/>
      <c r="AD851" s="115"/>
      <c r="AE851" s="77"/>
      <c r="AF851" s="77"/>
      <c r="AG851" s="77"/>
      <c r="AH851" s="77"/>
      <c r="AI851" s="77"/>
      <c r="AJ851" s="267">
        <v>2.94499169E8</v>
      </c>
      <c r="AK851" s="267"/>
      <c r="AL851" s="267"/>
    </row>
    <row r="852">
      <c r="A852" s="273"/>
      <c r="B852" s="273"/>
      <c r="C852" s="293"/>
      <c r="D852" s="192"/>
      <c r="E852" s="293"/>
      <c r="F852" s="293"/>
      <c r="G852" s="293"/>
      <c r="H852" s="260"/>
      <c r="I852" s="293"/>
      <c r="J852" s="192"/>
      <c r="K852" s="124"/>
      <c r="L852" s="192"/>
      <c r="M852" s="192"/>
      <c r="N852" s="192"/>
      <c r="O852" s="192"/>
      <c r="P852" s="128"/>
      <c r="Q852" s="128"/>
      <c r="R852" s="192"/>
      <c r="S852" s="192"/>
      <c r="T852" s="192"/>
      <c r="U852" s="192"/>
      <c r="V852" s="124"/>
      <c r="W852" s="124"/>
      <c r="X852" s="124"/>
      <c r="Y852" s="192"/>
      <c r="Z852" s="124"/>
      <c r="AA852" s="124"/>
      <c r="AB852" s="275"/>
      <c r="AC852" s="192"/>
      <c r="AD852" s="124"/>
      <c r="AE852" s="192"/>
      <c r="AF852" s="192"/>
      <c r="AG852" s="192"/>
      <c r="AH852" s="192"/>
      <c r="AI852" s="192"/>
      <c r="AJ852" s="267">
        <v>2.94499845E8</v>
      </c>
      <c r="AK852" s="267"/>
      <c r="AL852" s="267"/>
    </row>
    <row r="853">
      <c r="A853" s="102"/>
      <c r="B853" s="259"/>
      <c r="C853" s="77"/>
      <c r="D853" s="77"/>
      <c r="E853" s="102"/>
      <c r="F853" s="102"/>
      <c r="G853" s="102"/>
      <c r="H853" s="260"/>
      <c r="I853" s="102"/>
      <c r="J853" s="77"/>
      <c r="K853" s="77"/>
      <c r="L853" s="77"/>
      <c r="M853" s="77"/>
      <c r="N853" s="77"/>
      <c r="O853" s="77"/>
      <c r="P853" s="71"/>
      <c r="Q853" s="71"/>
      <c r="R853" s="77"/>
      <c r="S853" s="77"/>
      <c r="T853" s="77"/>
      <c r="U853" s="77"/>
      <c r="V853" s="77"/>
      <c r="W853" s="77"/>
      <c r="X853" s="77"/>
      <c r="Y853" s="77"/>
      <c r="Z853" s="115"/>
      <c r="AA853" s="115"/>
      <c r="AB853" s="261"/>
      <c r="AC853" s="77"/>
      <c r="AD853" s="115"/>
      <c r="AE853" s="77"/>
      <c r="AF853" s="77"/>
      <c r="AG853" s="77"/>
      <c r="AH853" s="77"/>
      <c r="AI853" s="77"/>
      <c r="AJ853" s="267">
        <v>1.33694038E8</v>
      </c>
      <c r="AK853" s="267" t="s">
        <v>2082</v>
      </c>
      <c r="AL853" s="267"/>
    </row>
    <row r="854">
      <c r="A854" s="259"/>
      <c r="B854" s="259"/>
      <c r="C854" s="259"/>
      <c r="D854" s="315"/>
      <c r="E854" s="102"/>
      <c r="F854" s="102"/>
      <c r="G854" s="102"/>
      <c r="H854" s="260"/>
      <c r="I854" s="102"/>
      <c r="J854" s="77"/>
      <c r="K854" s="115"/>
      <c r="L854" s="77"/>
      <c r="M854" s="115"/>
      <c r="N854" s="77"/>
      <c r="O854" s="77"/>
      <c r="P854" s="268"/>
      <c r="Q854" s="268"/>
      <c r="R854" s="77"/>
      <c r="S854" s="77"/>
      <c r="T854" s="77"/>
      <c r="U854" s="77"/>
      <c r="V854" s="115"/>
      <c r="W854" s="115"/>
      <c r="X854" s="115"/>
      <c r="Y854" s="115"/>
      <c r="Z854" s="115"/>
      <c r="AA854" s="115"/>
      <c r="AB854" s="261"/>
      <c r="AC854" s="77"/>
      <c r="AD854" s="115"/>
      <c r="AE854" s="77"/>
      <c r="AF854" s="77"/>
      <c r="AG854" s="77"/>
      <c r="AH854" s="87"/>
      <c r="AI854" s="87"/>
      <c r="AJ854" s="267">
        <v>1.38754901E8</v>
      </c>
      <c r="AK854" s="267" t="s">
        <v>2095</v>
      </c>
      <c r="AL854" s="267"/>
    </row>
    <row r="855">
      <c r="A855" s="259"/>
      <c r="B855" s="259"/>
      <c r="C855" s="259"/>
      <c r="D855" s="315"/>
      <c r="E855" s="102"/>
      <c r="F855" s="102"/>
      <c r="G855" s="102"/>
      <c r="H855" s="260"/>
      <c r="I855" s="102"/>
      <c r="J855" s="77"/>
      <c r="K855" s="115"/>
      <c r="L855" s="77"/>
      <c r="M855" s="77"/>
      <c r="N855" s="77"/>
      <c r="O855" s="77"/>
      <c r="P855" s="268"/>
      <c r="Q855" s="268"/>
      <c r="R855" s="77"/>
      <c r="S855" s="77"/>
      <c r="T855" s="77"/>
      <c r="U855" s="77"/>
      <c r="V855" s="115"/>
      <c r="W855" s="115"/>
      <c r="X855" s="115"/>
      <c r="Y855" s="77"/>
      <c r="Z855" s="115"/>
      <c r="AA855" s="115"/>
      <c r="AB855" s="261"/>
      <c r="AC855" s="77"/>
      <c r="AD855" s="115"/>
      <c r="AE855" s="77"/>
      <c r="AF855" s="77"/>
      <c r="AG855" s="77"/>
      <c r="AH855" s="87"/>
      <c r="AI855" s="87"/>
      <c r="AJ855" s="267">
        <v>1.76110742E8</v>
      </c>
      <c r="AK855" s="267" t="s">
        <v>2108</v>
      </c>
      <c r="AL855" s="267"/>
    </row>
    <row r="856">
      <c r="A856" s="259"/>
      <c r="B856" s="259"/>
      <c r="C856" s="259"/>
      <c r="D856" s="315"/>
      <c r="E856" s="102"/>
      <c r="F856" s="102"/>
      <c r="G856" s="102"/>
      <c r="H856" s="260"/>
      <c r="I856" s="102"/>
      <c r="J856" s="77"/>
      <c r="K856" s="115"/>
      <c r="L856" s="77"/>
      <c r="M856" s="77"/>
      <c r="N856" s="77"/>
      <c r="O856" s="77"/>
      <c r="P856" s="268"/>
      <c r="Q856" s="268"/>
      <c r="R856" s="77"/>
      <c r="S856" s="77"/>
      <c r="T856" s="77"/>
      <c r="U856" s="77"/>
      <c r="V856" s="115"/>
      <c r="W856" s="115"/>
      <c r="X856" s="115"/>
      <c r="Y856" s="77"/>
      <c r="Z856" s="115"/>
      <c r="AA856" s="115"/>
      <c r="AB856" s="115"/>
      <c r="AC856" s="77"/>
      <c r="AD856" s="259"/>
      <c r="AE856" s="77"/>
      <c r="AF856" s="77"/>
      <c r="AG856" s="77"/>
      <c r="AH856" s="87"/>
      <c r="AI856" s="87"/>
      <c r="AJ856" s="267">
        <v>1.86777993E8</v>
      </c>
      <c r="AK856" s="267" t="s">
        <v>2122</v>
      </c>
      <c r="AL856" s="267"/>
    </row>
    <row r="857">
      <c r="A857" s="259"/>
      <c r="B857" s="259"/>
      <c r="C857" s="259"/>
      <c r="D857" s="315"/>
      <c r="E857" s="102"/>
      <c r="F857" s="102"/>
      <c r="G857" s="102"/>
      <c r="H857" s="260"/>
      <c r="I857" s="102"/>
      <c r="J857" s="77"/>
      <c r="K857" s="115"/>
      <c r="L857" s="77"/>
      <c r="M857" s="77"/>
      <c r="N857" s="77"/>
      <c r="O857" s="77"/>
      <c r="P857" s="268"/>
      <c r="Q857" s="268"/>
      <c r="R857" s="77"/>
      <c r="S857" s="77"/>
      <c r="T857" s="77"/>
      <c r="U857" s="77"/>
      <c r="V857" s="115"/>
      <c r="W857" s="115"/>
      <c r="X857" s="115"/>
      <c r="Y857" s="77"/>
      <c r="Z857" s="115"/>
      <c r="AA857" s="115"/>
      <c r="AB857" s="261"/>
      <c r="AC857" s="77"/>
      <c r="AD857" s="115"/>
      <c r="AE857" s="77"/>
      <c r="AF857" s="77"/>
      <c r="AG857" s="77"/>
      <c r="AH857" s="87"/>
      <c r="AI857" s="87"/>
      <c r="AJ857" s="267">
        <v>2.2917784E8</v>
      </c>
      <c r="AK857" s="267"/>
      <c r="AL857" s="267"/>
    </row>
    <row r="858">
      <c r="A858" s="259"/>
      <c r="B858" s="259"/>
      <c r="C858" s="259"/>
      <c r="D858" s="315"/>
      <c r="E858" s="102"/>
      <c r="F858" s="102"/>
      <c r="G858" s="102"/>
      <c r="H858" s="260"/>
      <c r="I858" s="102"/>
      <c r="J858" s="77"/>
      <c r="K858" s="115"/>
      <c r="L858" s="77"/>
      <c r="M858" s="77"/>
      <c r="N858" s="77"/>
      <c r="O858" s="77"/>
      <c r="P858" s="268"/>
      <c r="Q858" s="268"/>
      <c r="R858" s="77"/>
      <c r="S858" s="77"/>
      <c r="T858" s="77"/>
      <c r="U858" s="77"/>
      <c r="V858" s="115"/>
      <c r="W858" s="115"/>
      <c r="X858" s="115"/>
      <c r="Y858" s="115"/>
      <c r="Z858" s="115"/>
      <c r="AA858" s="115"/>
      <c r="AB858" s="261"/>
      <c r="AC858" s="77"/>
      <c r="AD858" s="115"/>
      <c r="AE858" s="77"/>
      <c r="AF858" s="77"/>
      <c r="AG858" s="77"/>
      <c r="AH858" s="87"/>
      <c r="AI858" s="87"/>
      <c r="AJ858" s="267">
        <v>1.61355809E8</v>
      </c>
      <c r="AK858" s="267"/>
      <c r="AL858" s="267"/>
    </row>
    <row r="859">
      <c r="A859" s="259"/>
      <c r="B859" s="259"/>
      <c r="C859" s="259"/>
      <c r="D859" s="315"/>
      <c r="E859" s="102"/>
      <c r="F859" s="102"/>
      <c r="G859" s="102"/>
      <c r="H859" s="260"/>
      <c r="I859" s="259"/>
      <c r="J859" s="77"/>
      <c r="K859" s="115"/>
      <c r="L859" s="77"/>
      <c r="M859" s="77"/>
      <c r="N859" s="77"/>
      <c r="O859" s="77"/>
      <c r="P859" s="268"/>
      <c r="Q859" s="268"/>
      <c r="R859" s="77"/>
      <c r="S859" s="77"/>
      <c r="T859" s="77"/>
      <c r="U859" s="77"/>
      <c r="V859" s="115"/>
      <c r="W859" s="115"/>
      <c r="X859" s="115"/>
      <c r="Y859" s="77"/>
      <c r="Z859" s="115"/>
      <c r="AA859" s="115"/>
      <c r="AB859" s="261"/>
      <c r="AC859" s="77"/>
      <c r="AD859" s="115"/>
      <c r="AE859" s="77"/>
      <c r="AF859" s="77"/>
      <c r="AG859" s="77"/>
      <c r="AH859" s="87"/>
      <c r="AI859" s="87"/>
      <c r="AJ859" s="267">
        <v>1.33851547E8</v>
      </c>
      <c r="AK859" s="267" t="s">
        <v>2156</v>
      </c>
      <c r="AL859" s="267"/>
    </row>
    <row r="860">
      <c r="A860" s="259"/>
      <c r="B860" s="259"/>
      <c r="C860" s="259"/>
      <c r="D860" s="315"/>
      <c r="E860" s="102"/>
      <c r="F860" s="102"/>
      <c r="G860" s="102"/>
      <c r="H860" s="260"/>
      <c r="I860" s="259"/>
      <c r="J860" s="77"/>
      <c r="K860" s="115"/>
      <c r="L860" s="77"/>
      <c r="M860" s="77"/>
      <c r="N860" s="77"/>
      <c r="O860" s="77"/>
      <c r="P860" s="268"/>
      <c r="Q860" s="268"/>
      <c r="R860" s="77"/>
      <c r="S860" s="77"/>
      <c r="T860" s="77"/>
      <c r="U860" s="77"/>
      <c r="V860" s="115"/>
      <c r="W860" s="115"/>
      <c r="X860" s="115"/>
      <c r="Y860" s="115"/>
      <c r="Z860" s="115"/>
      <c r="AA860" s="115"/>
      <c r="AB860" s="261"/>
      <c r="AC860" s="77"/>
      <c r="AD860" s="115"/>
      <c r="AE860" s="77"/>
      <c r="AF860" s="77"/>
      <c r="AG860" s="77"/>
      <c r="AH860" s="87"/>
      <c r="AI860" s="87"/>
      <c r="AJ860" s="267">
        <v>1.34150432E8</v>
      </c>
      <c r="AK860" s="267" t="s">
        <v>2168</v>
      </c>
      <c r="AL860" s="267"/>
    </row>
    <row r="861">
      <c r="A861" s="259"/>
      <c r="B861" s="259"/>
      <c r="C861" s="259"/>
      <c r="D861" s="315"/>
      <c r="E861" s="102"/>
      <c r="F861" s="102"/>
      <c r="G861" s="102"/>
      <c r="H861" s="300"/>
      <c r="I861" s="259"/>
      <c r="J861" s="77"/>
      <c r="K861" s="115"/>
      <c r="L861" s="77"/>
      <c r="M861" s="77"/>
      <c r="N861" s="77"/>
      <c r="O861" s="77"/>
      <c r="P861" s="268"/>
      <c r="Q861" s="268"/>
      <c r="R861" s="77"/>
      <c r="S861" s="77"/>
      <c r="T861" s="77"/>
      <c r="U861" s="77"/>
      <c r="V861" s="115"/>
      <c r="W861" s="115"/>
      <c r="X861" s="115"/>
      <c r="Y861" s="115"/>
      <c r="Z861" s="115"/>
      <c r="AA861" s="115"/>
      <c r="AB861" s="115"/>
      <c r="AC861" s="77"/>
      <c r="AD861" s="115"/>
      <c r="AE861" s="77"/>
      <c r="AF861" s="77"/>
      <c r="AG861" s="77"/>
      <c r="AH861" s="87"/>
      <c r="AI861" s="87"/>
      <c r="AJ861" s="267">
        <v>1.52169206E8</v>
      </c>
      <c r="AK861" s="267"/>
      <c r="AL861" s="267"/>
    </row>
    <row r="862">
      <c r="A862" s="259"/>
      <c r="B862" s="259"/>
      <c r="C862" s="259"/>
      <c r="D862" s="315"/>
      <c r="E862" s="102"/>
      <c r="F862" s="102"/>
      <c r="G862" s="102"/>
      <c r="H862" s="260"/>
      <c r="I862" s="102"/>
      <c r="J862" s="77"/>
      <c r="K862" s="115"/>
      <c r="L862" s="77"/>
      <c r="M862" s="77"/>
      <c r="N862" s="77"/>
      <c r="O862" s="77"/>
      <c r="P862" s="268"/>
      <c r="Q862" s="268"/>
      <c r="R862" s="77"/>
      <c r="S862" s="77"/>
      <c r="T862" s="77"/>
      <c r="U862" s="77"/>
      <c r="V862" s="115"/>
      <c r="W862" s="115"/>
      <c r="X862" s="77"/>
      <c r="Y862" s="77"/>
      <c r="Z862" s="115"/>
      <c r="AA862" s="115"/>
      <c r="AB862" s="261"/>
      <c r="AC862" s="77"/>
      <c r="AD862" s="115"/>
      <c r="AE862" s="77"/>
      <c r="AF862" s="77"/>
      <c r="AG862" s="77"/>
      <c r="AH862" s="87"/>
      <c r="AI862" s="87"/>
      <c r="AJ862" s="267">
        <v>9.196887E7</v>
      </c>
      <c r="AK862" s="267" t="s">
        <v>2190</v>
      </c>
      <c r="AL862" s="267"/>
    </row>
    <row r="863">
      <c r="A863" s="259"/>
      <c r="B863" s="259"/>
      <c r="C863" s="259"/>
      <c r="D863" s="315"/>
      <c r="E863" s="102"/>
      <c r="F863" s="102"/>
      <c r="G863" s="102"/>
      <c r="H863" s="260"/>
      <c r="I863" s="102"/>
      <c r="J863" s="77"/>
      <c r="K863" s="115"/>
      <c r="L863" s="77"/>
      <c r="M863" s="77"/>
      <c r="N863" s="77"/>
      <c r="O863" s="77"/>
      <c r="P863" s="268"/>
      <c r="Q863" s="268"/>
      <c r="R863" s="77"/>
      <c r="S863" s="77"/>
      <c r="T863" s="77"/>
      <c r="U863" s="77"/>
      <c r="V863" s="115"/>
      <c r="W863" s="115"/>
      <c r="X863" s="77"/>
      <c r="Y863" s="77"/>
      <c r="Z863" s="115"/>
      <c r="AA863" s="115"/>
      <c r="AB863" s="261"/>
      <c r="AC863" s="77"/>
      <c r="AD863" s="115"/>
      <c r="AE863" s="77"/>
      <c r="AF863" s="77"/>
      <c r="AG863" s="77"/>
      <c r="AH863" s="87"/>
      <c r="AI863" s="87"/>
      <c r="AJ863" s="267">
        <v>1.59980608E8</v>
      </c>
      <c r="AK863" s="267" t="s">
        <v>2190</v>
      </c>
      <c r="AL863" s="267"/>
    </row>
    <row r="864">
      <c r="A864" s="259"/>
      <c r="B864" s="259"/>
      <c r="C864" s="259"/>
      <c r="D864" s="315"/>
      <c r="E864" s="102"/>
      <c r="F864" s="102"/>
      <c r="G864" s="102"/>
      <c r="H864" s="260"/>
      <c r="I864" s="102"/>
      <c r="J864" s="77"/>
      <c r="K864" s="115"/>
      <c r="L864" s="77"/>
      <c r="M864" s="77"/>
      <c r="N864" s="77"/>
      <c r="O864" s="77"/>
      <c r="P864" s="268"/>
      <c r="Q864" s="268"/>
      <c r="R864" s="77"/>
      <c r="S864" s="77"/>
      <c r="T864" s="77"/>
      <c r="U864" s="77"/>
      <c r="V864" s="115"/>
      <c r="W864" s="115"/>
      <c r="X864" s="77"/>
      <c r="Y864" s="77"/>
      <c r="Z864" s="115"/>
      <c r="AA864" s="115"/>
      <c r="AB864" s="261"/>
      <c r="AC864" s="77"/>
      <c r="AD864" s="115"/>
      <c r="AE864" s="77"/>
      <c r="AF864" s="77"/>
      <c r="AG864" s="77"/>
      <c r="AH864" s="87"/>
      <c r="AI864" s="87"/>
      <c r="AJ864" s="267">
        <v>9.0382271E7</v>
      </c>
      <c r="AK864" s="267" t="s">
        <v>2216</v>
      </c>
      <c r="AL864" s="267"/>
    </row>
    <row r="865">
      <c r="A865" s="259"/>
      <c r="B865" s="259"/>
      <c r="C865" s="259"/>
      <c r="D865" s="315"/>
      <c r="E865" s="102"/>
      <c r="F865" s="102"/>
      <c r="G865" s="102"/>
      <c r="H865" s="260"/>
      <c r="I865" s="102"/>
      <c r="J865" s="77"/>
      <c r="K865" s="115"/>
      <c r="L865" s="77"/>
      <c r="M865" s="77"/>
      <c r="N865" s="77"/>
      <c r="O865" s="77"/>
      <c r="P865" s="268"/>
      <c r="Q865" s="268"/>
      <c r="R865" s="77"/>
      <c r="S865" s="77"/>
      <c r="T865" s="77"/>
      <c r="U865" s="77"/>
      <c r="V865" s="77"/>
      <c r="W865" s="77"/>
      <c r="X865" s="115"/>
      <c r="Y865" s="77"/>
      <c r="Z865" s="115"/>
      <c r="AA865" s="115"/>
      <c r="AB865" s="261"/>
      <c r="AC865" s="77"/>
      <c r="AD865" s="115"/>
      <c r="AE865" s="77"/>
      <c r="AF865" s="77"/>
      <c r="AG865" s="77"/>
      <c r="AH865" s="87"/>
      <c r="AI865" s="87"/>
      <c r="AJ865" s="267">
        <v>9.0471365E7</v>
      </c>
      <c r="AK865" s="267" t="s">
        <v>2229</v>
      </c>
      <c r="AL865" s="267"/>
    </row>
    <row r="866">
      <c r="A866" s="259"/>
      <c r="B866" s="259"/>
      <c r="C866" s="259"/>
      <c r="D866" s="259"/>
      <c r="E866" s="102"/>
      <c r="F866" s="102"/>
      <c r="G866" s="102"/>
      <c r="H866" s="260"/>
      <c r="I866" s="102"/>
      <c r="J866" s="77"/>
      <c r="K866" s="77"/>
      <c r="L866" s="77"/>
      <c r="M866" s="77"/>
      <c r="N866" s="77"/>
      <c r="O866" s="77"/>
      <c r="P866" s="268"/>
      <c r="Q866" s="268"/>
      <c r="R866" s="77"/>
      <c r="S866" s="77"/>
      <c r="T866" s="77"/>
      <c r="U866" s="77"/>
      <c r="V866" s="77"/>
      <c r="W866" s="77"/>
      <c r="X866" s="115"/>
      <c r="Y866" s="77"/>
      <c r="Z866" s="115"/>
      <c r="AA866" s="115"/>
      <c r="AB866" s="326"/>
      <c r="AC866" s="77"/>
      <c r="AD866" s="77"/>
      <c r="AE866" s="77"/>
      <c r="AF866" s="77"/>
      <c r="AG866" s="77"/>
      <c r="AH866" s="87"/>
      <c r="AI866" s="87"/>
      <c r="AJ866" s="267">
        <v>1.48386453E8</v>
      </c>
      <c r="AK866" s="267"/>
      <c r="AL866" s="267"/>
    </row>
    <row r="867">
      <c r="A867" s="259"/>
      <c r="B867" s="259"/>
      <c r="C867" s="259"/>
      <c r="D867" s="259"/>
      <c r="E867" s="102"/>
      <c r="F867" s="102"/>
      <c r="G867" s="102"/>
      <c r="H867" s="260"/>
      <c r="I867" s="102"/>
      <c r="J867" s="77"/>
      <c r="K867" s="77"/>
      <c r="L867" s="77"/>
      <c r="M867" s="77"/>
      <c r="N867" s="77"/>
      <c r="O867" s="77"/>
      <c r="P867" s="268"/>
      <c r="Q867" s="268"/>
      <c r="R867" s="77"/>
      <c r="S867" s="77"/>
      <c r="T867" s="77"/>
      <c r="U867" s="77"/>
      <c r="V867" s="77"/>
      <c r="W867" s="77"/>
      <c r="X867" s="115"/>
      <c r="Y867" s="77"/>
      <c r="Z867" s="115"/>
      <c r="AA867" s="115"/>
      <c r="AC867" s="77"/>
      <c r="AD867" s="77"/>
      <c r="AE867" s="77"/>
      <c r="AF867" s="77"/>
      <c r="AG867" s="77"/>
      <c r="AH867" s="87"/>
      <c r="AI867" s="87"/>
      <c r="AJ867" s="267">
        <v>1.45755886E8</v>
      </c>
      <c r="AK867" s="267"/>
      <c r="AL867" s="267"/>
    </row>
    <row r="868">
      <c r="A868" s="259"/>
      <c r="B868" s="259"/>
      <c r="C868" s="259"/>
      <c r="D868" s="259"/>
      <c r="E868" s="102"/>
      <c r="F868" s="102"/>
      <c r="G868" s="102"/>
      <c r="H868" s="260"/>
      <c r="I868" s="102"/>
      <c r="J868" s="77"/>
      <c r="K868" s="77"/>
      <c r="L868" s="77"/>
      <c r="M868" s="77"/>
      <c r="N868" s="77"/>
      <c r="O868" s="77"/>
      <c r="P868" s="268"/>
      <c r="Q868" s="268"/>
      <c r="R868" s="77"/>
      <c r="S868" s="77"/>
      <c r="T868" s="77"/>
      <c r="U868" s="77"/>
      <c r="V868" s="77"/>
      <c r="W868" s="77"/>
      <c r="X868" s="115"/>
      <c r="Y868" s="77"/>
      <c r="Z868" s="115"/>
      <c r="AA868" s="115"/>
      <c r="AC868" s="77"/>
      <c r="AD868" s="77"/>
      <c r="AE868" s="77"/>
      <c r="AF868" s="77"/>
      <c r="AG868" s="77"/>
      <c r="AH868" s="87"/>
      <c r="AI868" s="87"/>
      <c r="AJ868" s="267">
        <v>1.49730224E8</v>
      </c>
      <c r="AK868" s="267"/>
      <c r="AL868" s="267"/>
    </row>
    <row r="869">
      <c r="A869" s="77"/>
      <c r="B869" s="102"/>
      <c r="C869" s="102"/>
      <c r="D869" s="102"/>
      <c r="E869" s="102"/>
      <c r="F869" s="102"/>
      <c r="G869" s="102"/>
      <c r="H869" s="295"/>
      <c r="I869" s="102"/>
      <c r="J869" s="77"/>
      <c r="K869" s="77"/>
      <c r="L869" s="77"/>
      <c r="M869" s="77"/>
      <c r="N869" s="77"/>
      <c r="O869" s="77"/>
      <c r="P869" s="268"/>
      <c r="Q869" s="268"/>
      <c r="R869" s="77"/>
      <c r="S869" s="77"/>
      <c r="T869" s="77"/>
      <c r="U869" s="77"/>
      <c r="V869" s="77"/>
      <c r="W869" s="77"/>
      <c r="X869" s="77"/>
      <c r="Y869" s="77"/>
      <c r="Z869" s="77"/>
      <c r="AA869" s="77"/>
      <c r="AB869" s="77"/>
      <c r="AC869" s="77"/>
      <c r="AD869" s="77"/>
      <c r="AE869" s="77"/>
      <c r="AF869" s="77"/>
      <c r="AG869" s="77"/>
      <c r="AH869" s="87"/>
      <c r="AI869" s="87"/>
      <c r="AJ869" s="267">
        <v>1.70004552E8</v>
      </c>
      <c r="AK869" s="267"/>
      <c r="AL869" s="267"/>
    </row>
    <row r="870">
      <c r="A870" s="77"/>
      <c r="B870" s="102"/>
      <c r="C870" s="102"/>
      <c r="D870" s="102"/>
      <c r="E870" s="102"/>
      <c r="F870" s="102"/>
      <c r="G870" s="102"/>
      <c r="H870" s="295"/>
      <c r="I870" s="102"/>
      <c r="J870" s="77"/>
      <c r="K870" s="77"/>
      <c r="L870" s="77"/>
      <c r="M870" s="77"/>
      <c r="N870" s="77"/>
      <c r="O870" s="77"/>
      <c r="P870" s="268"/>
      <c r="Q870" s="268"/>
      <c r="R870" s="77"/>
      <c r="S870" s="77"/>
      <c r="T870" s="77"/>
      <c r="U870" s="77"/>
      <c r="V870" s="77"/>
      <c r="W870" s="77"/>
      <c r="X870" s="77"/>
      <c r="Y870" s="77"/>
      <c r="Z870" s="77"/>
      <c r="AA870" s="77"/>
      <c r="AB870" s="77"/>
      <c r="AC870" s="77"/>
      <c r="AD870" s="77"/>
      <c r="AE870" s="77"/>
      <c r="AF870" s="77"/>
      <c r="AG870" s="77"/>
      <c r="AH870" s="87"/>
      <c r="AI870" s="87"/>
      <c r="AJ870" s="267"/>
      <c r="AK870" s="267" t="s">
        <v>401</v>
      </c>
      <c r="AL870" s="267"/>
    </row>
    <row r="871">
      <c r="A871" s="77"/>
      <c r="B871" s="102"/>
      <c r="C871" s="102"/>
      <c r="D871" s="102"/>
      <c r="E871" s="102"/>
      <c r="F871" s="102"/>
      <c r="G871" s="102"/>
      <c r="H871" s="295"/>
      <c r="I871" s="102"/>
      <c r="J871" s="77"/>
      <c r="K871" s="77"/>
      <c r="L871" s="77"/>
      <c r="M871" s="77"/>
      <c r="N871" s="77"/>
      <c r="O871" s="77"/>
      <c r="P871" s="268"/>
      <c r="Q871" s="268"/>
      <c r="R871" s="77"/>
      <c r="S871" s="77"/>
      <c r="T871" s="77"/>
      <c r="U871" s="77"/>
      <c r="V871" s="77"/>
      <c r="W871" s="77"/>
      <c r="X871" s="77"/>
      <c r="Y871" s="77"/>
      <c r="Z871" s="77"/>
      <c r="AA871" s="77"/>
      <c r="AB871" s="77"/>
      <c r="AC871" s="77"/>
      <c r="AD871" s="77"/>
      <c r="AE871" s="77"/>
      <c r="AF871" s="77"/>
      <c r="AG871" s="77"/>
      <c r="AH871" s="87"/>
      <c r="AI871" s="87"/>
      <c r="AJ871" s="267">
        <v>1.6886755E8</v>
      </c>
      <c r="AK871" s="267" t="s">
        <v>2280</v>
      </c>
      <c r="AL871" s="267"/>
    </row>
    <row r="872">
      <c r="A872" s="77"/>
      <c r="B872" s="102"/>
      <c r="C872" s="102"/>
      <c r="D872" s="102"/>
      <c r="E872" s="102"/>
      <c r="F872" s="102"/>
      <c r="G872" s="102"/>
      <c r="H872" s="295"/>
      <c r="I872" s="102"/>
      <c r="J872" s="77"/>
      <c r="K872" s="77"/>
      <c r="L872" s="77"/>
      <c r="M872" s="77"/>
      <c r="N872" s="77"/>
      <c r="O872" s="77"/>
      <c r="P872" s="268"/>
      <c r="Q872" s="268"/>
      <c r="R872" s="77"/>
      <c r="S872" s="77"/>
      <c r="T872" s="77"/>
      <c r="U872" s="77"/>
      <c r="V872" s="77"/>
      <c r="W872" s="77"/>
      <c r="X872" s="77"/>
      <c r="Y872" s="77"/>
      <c r="Z872" s="77"/>
      <c r="AA872" s="77"/>
      <c r="AB872" s="77"/>
      <c r="AC872" s="77"/>
      <c r="AD872" s="77"/>
      <c r="AE872" s="77"/>
      <c r="AF872" s="77"/>
      <c r="AG872" s="77"/>
      <c r="AH872" s="87"/>
      <c r="AI872" s="87"/>
      <c r="AJ872" s="267">
        <v>1.23030751E8</v>
      </c>
      <c r="AK872" s="267" t="s">
        <v>2292</v>
      </c>
      <c r="AL872" s="267"/>
    </row>
    <row r="873">
      <c r="A873" s="77"/>
      <c r="B873" s="102"/>
      <c r="C873" s="102"/>
      <c r="D873" s="102"/>
      <c r="E873" s="102"/>
      <c r="F873" s="102"/>
      <c r="G873" s="102"/>
      <c r="H873" s="295"/>
      <c r="I873" s="102"/>
      <c r="J873" s="77"/>
      <c r="K873" s="77"/>
      <c r="L873" s="77"/>
      <c r="M873" s="77"/>
      <c r="N873" s="77"/>
      <c r="O873" s="77"/>
      <c r="P873" s="268"/>
      <c r="Q873" s="268"/>
      <c r="R873" s="77"/>
      <c r="S873" s="77"/>
      <c r="T873" s="77"/>
      <c r="U873" s="77"/>
      <c r="V873" s="77"/>
      <c r="W873" s="77"/>
      <c r="X873" s="77"/>
      <c r="Y873" s="77"/>
      <c r="Z873" s="77"/>
      <c r="AA873" s="77"/>
      <c r="AB873" s="77"/>
      <c r="AC873" s="77"/>
      <c r="AD873" s="77"/>
      <c r="AE873" s="77"/>
      <c r="AF873" s="77"/>
      <c r="AG873" s="77"/>
      <c r="AH873" s="87"/>
      <c r="AI873" s="87"/>
      <c r="AJ873" s="267">
        <v>2.93061661E8</v>
      </c>
      <c r="AK873" s="267"/>
      <c r="AL873" s="267"/>
    </row>
    <row r="874">
      <c r="A874" s="77"/>
      <c r="B874" s="102"/>
      <c r="C874" s="102"/>
      <c r="D874" s="102"/>
      <c r="E874" s="102"/>
      <c r="F874" s="102"/>
      <c r="G874" s="102"/>
      <c r="H874" s="295"/>
      <c r="I874" s="102"/>
      <c r="J874" s="77"/>
      <c r="K874" s="77"/>
      <c r="L874" s="77"/>
      <c r="M874" s="77"/>
      <c r="N874" s="77"/>
      <c r="O874" s="77"/>
      <c r="P874" s="268"/>
      <c r="Q874" s="268"/>
      <c r="R874" s="77"/>
      <c r="S874" s="77"/>
      <c r="T874" s="77"/>
      <c r="U874" s="77"/>
      <c r="V874" s="77"/>
      <c r="W874" s="77"/>
      <c r="X874" s="77"/>
      <c r="Y874" s="77"/>
      <c r="Z874" s="77"/>
      <c r="AA874" s="77"/>
      <c r="AB874" s="77"/>
      <c r="AC874" s="77"/>
      <c r="AD874" s="77"/>
      <c r="AE874" s="77"/>
      <c r="AF874" s="77"/>
      <c r="AG874" s="77"/>
      <c r="AH874" s="87"/>
      <c r="AI874" s="87"/>
      <c r="AJ874" s="267">
        <v>1.38313003E8</v>
      </c>
      <c r="AK874" s="267"/>
      <c r="AL874" s="267"/>
    </row>
    <row r="875">
      <c r="A875" s="77"/>
      <c r="B875" s="102"/>
      <c r="C875" s="102"/>
      <c r="D875" s="102"/>
      <c r="E875" s="102"/>
      <c r="F875" s="102"/>
      <c r="G875" s="102"/>
      <c r="H875" s="295"/>
      <c r="I875" s="102"/>
      <c r="J875" s="77"/>
      <c r="K875" s="77"/>
      <c r="L875" s="77"/>
      <c r="M875" s="77"/>
      <c r="N875" s="77"/>
      <c r="O875" s="77"/>
      <c r="P875" s="268"/>
      <c r="Q875" s="268"/>
      <c r="R875" s="77"/>
      <c r="S875" s="77"/>
      <c r="T875" s="77"/>
      <c r="U875" s="77"/>
      <c r="V875" s="77"/>
      <c r="W875" s="77"/>
      <c r="X875" s="77"/>
      <c r="Y875" s="77"/>
      <c r="Z875" s="77"/>
      <c r="AA875" s="77"/>
      <c r="AB875" s="77"/>
      <c r="AC875" s="77"/>
      <c r="AD875" s="77"/>
      <c r="AE875" s="77"/>
      <c r="AF875" s="77"/>
      <c r="AG875" s="77"/>
      <c r="AH875" s="87"/>
      <c r="AI875" s="87"/>
      <c r="AJ875" s="267">
        <v>1.48334501E8</v>
      </c>
      <c r="AK875" s="267"/>
      <c r="AL875" s="267"/>
    </row>
    <row r="876">
      <c r="A876" s="77"/>
      <c r="B876" s="102"/>
      <c r="C876" s="102"/>
      <c r="D876" s="102"/>
      <c r="E876" s="102"/>
      <c r="F876" s="102"/>
      <c r="G876" s="102"/>
      <c r="H876" s="295"/>
      <c r="I876" s="102"/>
      <c r="J876" s="77"/>
      <c r="K876" s="77"/>
      <c r="L876" s="77"/>
      <c r="M876" s="77"/>
      <c r="N876" s="77"/>
      <c r="O876" s="77"/>
      <c r="P876" s="268"/>
      <c r="Q876" s="268"/>
      <c r="R876" s="77"/>
      <c r="S876" s="77"/>
      <c r="T876" s="77"/>
      <c r="U876" s="77"/>
      <c r="V876" s="77"/>
      <c r="W876" s="77"/>
      <c r="X876" s="77"/>
      <c r="Y876" s="77"/>
      <c r="Z876" s="77"/>
      <c r="AA876" s="77"/>
      <c r="AB876" s="77"/>
      <c r="AC876" s="77"/>
      <c r="AD876" s="77"/>
      <c r="AE876" s="77"/>
      <c r="AF876" s="77"/>
      <c r="AG876" s="77"/>
      <c r="AH876" s="87"/>
      <c r="AI876" s="87"/>
      <c r="AJ876" s="267">
        <v>1.48312764E8</v>
      </c>
      <c r="AK876" s="267" t="s">
        <v>2335</v>
      </c>
      <c r="AL876" s="267"/>
    </row>
    <row r="877">
      <c r="A877" s="77"/>
      <c r="B877" s="102"/>
      <c r="C877" s="102"/>
      <c r="D877" s="102"/>
      <c r="E877" s="102"/>
      <c r="F877" s="102"/>
      <c r="G877" s="102"/>
      <c r="H877" s="295"/>
      <c r="I877" s="102"/>
      <c r="J877" s="77"/>
      <c r="K877" s="77"/>
      <c r="L877" s="77"/>
      <c r="M877" s="77"/>
      <c r="N877" s="77"/>
      <c r="O877" s="77"/>
      <c r="P877" s="268"/>
      <c r="Q877" s="268"/>
      <c r="R877" s="77"/>
      <c r="S877" s="77"/>
      <c r="T877" s="77"/>
      <c r="U877" s="77"/>
      <c r="V877" s="77"/>
      <c r="W877" s="77"/>
      <c r="X877" s="77"/>
      <c r="Y877" s="77"/>
      <c r="Z877" s="77"/>
      <c r="AA877" s="77"/>
      <c r="AB877" s="77"/>
      <c r="AC877" s="77"/>
      <c r="AD877" s="77"/>
      <c r="AE877" s="77"/>
      <c r="AF877" s="77"/>
      <c r="AG877" s="77"/>
      <c r="AH877" s="87"/>
      <c r="AI877" s="87"/>
      <c r="AJ877" s="267">
        <v>1.59632001E8</v>
      </c>
      <c r="AK877" s="267" t="s">
        <v>2350</v>
      </c>
      <c r="AL877" s="267"/>
    </row>
    <row r="878">
      <c r="A878" s="77"/>
      <c r="B878" s="102"/>
      <c r="C878" s="102"/>
      <c r="D878" s="102"/>
      <c r="E878" s="102"/>
      <c r="F878" s="102"/>
      <c r="G878" s="102"/>
      <c r="H878" s="295"/>
      <c r="I878" s="102"/>
      <c r="J878" s="77"/>
      <c r="K878" s="77"/>
      <c r="L878" s="77"/>
      <c r="M878" s="77"/>
      <c r="N878" s="77"/>
      <c r="O878" s="77"/>
      <c r="P878" s="268"/>
      <c r="Q878" s="268"/>
      <c r="R878" s="77"/>
      <c r="S878" s="77"/>
      <c r="T878" s="77"/>
      <c r="U878" s="77"/>
      <c r="V878" s="77"/>
      <c r="W878" s="77"/>
      <c r="X878" s="77"/>
      <c r="Y878" s="77"/>
      <c r="Z878" s="77"/>
      <c r="AA878" s="77"/>
      <c r="AB878" s="77"/>
      <c r="AC878" s="77"/>
      <c r="AD878" s="77"/>
      <c r="AE878" s="77"/>
      <c r="AF878" s="77"/>
      <c r="AG878" s="77"/>
      <c r="AH878" s="87"/>
      <c r="AI878" s="87"/>
      <c r="AJ878" s="267">
        <v>1.67680176E8</v>
      </c>
      <c r="AK878" s="267"/>
      <c r="AL878" s="267"/>
    </row>
    <row r="879">
      <c r="A879" s="77"/>
      <c r="B879" s="102"/>
      <c r="C879" s="102"/>
      <c r="D879" s="102"/>
      <c r="E879" s="102"/>
      <c r="F879" s="102"/>
      <c r="G879" s="102"/>
      <c r="H879" s="295"/>
      <c r="I879" s="102"/>
      <c r="J879" s="77"/>
      <c r="K879" s="77"/>
      <c r="L879" s="77"/>
      <c r="M879" s="77"/>
      <c r="N879" s="77"/>
      <c r="O879" s="77"/>
      <c r="P879" s="268"/>
      <c r="Q879" s="268"/>
      <c r="R879" s="77"/>
      <c r="S879" s="77"/>
      <c r="T879" s="77"/>
      <c r="U879" s="77"/>
      <c r="V879" s="77"/>
      <c r="W879" s="77"/>
      <c r="X879" s="77"/>
      <c r="Y879" s="77"/>
      <c r="Z879" s="77"/>
      <c r="AA879" s="77"/>
      <c r="AB879" s="77"/>
      <c r="AC879" s="77"/>
      <c r="AD879" s="77"/>
      <c r="AE879" s="77"/>
      <c r="AF879" s="77"/>
      <c r="AG879" s="77"/>
      <c r="AH879" s="87"/>
      <c r="AI879" s="87"/>
      <c r="AJ879" s="267">
        <v>1.88611559E8</v>
      </c>
      <c r="AK879" s="267" t="s">
        <v>2377</v>
      </c>
      <c r="AL879" s="267"/>
    </row>
    <row r="880">
      <c r="A880" s="77"/>
      <c r="B880" s="102"/>
      <c r="C880" s="102"/>
      <c r="D880" s="102"/>
      <c r="E880" s="102"/>
      <c r="F880" s="102"/>
      <c r="G880" s="102"/>
      <c r="H880" s="295"/>
      <c r="I880" s="102"/>
      <c r="J880" s="77"/>
      <c r="K880" s="77"/>
      <c r="L880" s="77"/>
      <c r="M880" s="77"/>
      <c r="N880" s="77"/>
      <c r="O880" s="77"/>
      <c r="P880" s="268"/>
      <c r="Q880" s="268"/>
      <c r="R880" s="77"/>
      <c r="S880" s="77"/>
      <c r="T880" s="77"/>
      <c r="U880" s="77"/>
      <c r="V880" s="77"/>
      <c r="W880" s="77"/>
      <c r="X880" s="77"/>
      <c r="Y880" s="77"/>
      <c r="Z880" s="77"/>
      <c r="AA880" s="77"/>
      <c r="AB880" s="77"/>
      <c r="AC880" s="77"/>
      <c r="AD880" s="77"/>
      <c r="AE880" s="77"/>
      <c r="AF880" s="77"/>
      <c r="AG880" s="77"/>
      <c r="AH880" s="87"/>
      <c r="AI880" s="87"/>
      <c r="AJ880" s="267">
        <v>1.59980276E8</v>
      </c>
      <c r="AK880" s="267" t="s">
        <v>2391</v>
      </c>
      <c r="AL880" s="267"/>
    </row>
    <row r="881">
      <c r="A881" s="77"/>
      <c r="B881" s="102"/>
      <c r="C881" s="102"/>
      <c r="D881" s="102"/>
      <c r="E881" s="102"/>
      <c r="F881" s="102"/>
      <c r="G881" s="102"/>
      <c r="H881" s="295"/>
      <c r="I881" s="102"/>
      <c r="J881" s="77"/>
      <c r="K881" s="77"/>
      <c r="L881" s="77"/>
      <c r="M881" s="77"/>
      <c r="N881" s="77"/>
      <c r="O881" s="77"/>
      <c r="P881" s="268"/>
      <c r="Q881" s="268"/>
      <c r="R881" s="77"/>
      <c r="S881" s="77"/>
      <c r="T881" s="77"/>
      <c r="U881" s="77"/>
      <c r="V881" s="77"/>
      <c r="W881" s="77"/>
      <c r="X881" s="77"/>
      <c r="Y881" s="77"/>
      <c r="Z881" s="77"/>
      <c r="AA881" s="77"/>
      <c r="AB881" s="77"/>
      <c r="AC881" s="77"/>
      <c r="AD881" s="77"/>
      <c r="AE881" s="77"/>
      <c r="AF881" s="77"/>
      <c r="AG881" s="77"/>
      <c r="AH881" s="87"/>
      <c r="AI881" s="87"/>
      <c r="AJ881" s="267">
        <v>1.57970824E8</v>
      </c>
      <c r="AK881" s="267" t="s">
        <v>2405</v>
      </c>
      <c r="AL881" s="267"/>
    </row>
    <row r="882">
      <c r="A882" s="77"/>
      <c r="B882" s="102"/>
      <c r="C882" s="102"/>
      <c r="D882" s="102"/>
      <c r="E882" s="102"/>
      <c r="F882" s="102"/>
      <c r="G882" s="102"/>
      <c r="H882" s="295"/>
      <c r="I882" s="102"/>
      <c r="J882" s="77"/>
      <c r="K882" s="77"/>
      <c r="L882" s="77"/>
      <c r="M882" s="77"/>
      <c r="N882" s="77"/>
      <c r="O882" s="77"/>
      <c r="P882" s="268"/>
      <c r="Q882" s="268"/>
      <c r="R882" s="77"/>
      <c r="S882" s="77"/>
      <c r="T882" s="77"/>
      <c r="U882" s="77"/>
      <c r="V882" s="77"/>
      <c r="W882" s="77"/>
      <c r="X882" s="77"/>
      <c r="Y882" s="77"/>
      <c r="Z882" s="77"/>
      <c r="AA882" s="77"/>
      <c r="AB882" s="77"/>
      <c r="AC882" s="77"/>
      <c r="AD882" s="77"/>
      <c r="AE882" s="77"/>
      <c r="AF882" s="77"/>
      <c r="AG882" s="77"/>
      <c r="AH882" s="87"/>
      <c r="AI882" s="87"/>
      <c r="AJ882" s="267">
        <v>1.58306407E8</v>
      </c>
      <c r="AK882" s="267" t="s">
        <v>2417</v>
      </c>
      <c r="AL882" s="267"/>
    </row>
    <row r="883">
      <c r="A883" s="77"/>
      <c r="B883" s="102"/>
      <c r="C883" s="102"/>
      <c r="D883" s="102"/>
      <c r="E883" s="102"/>
      <c r="F883" s="102"/>
      <c r="G883" s="102"/>
      <c r="H883" s="295"/>
      <c r="I883" s="102"/>
      <c r="J883" s="77"/>
      <c r="K883" s="77"/>
      <c r="L883" s="77"/>
      <c r="M883" s="77"/>
      <c r="N883" s="77"/>
      <c r="O883" s="77"/>
      <c r="P883" s="268"/>
      <c r="Q883" s="268"/>
      <c r="R883" s="77"/>
      <c r="S883" s="77"/>
      <c r="T883" s="77"/>
      <c r="U883" s="77"/>
      <c r="V883" s="77"/>
      <c r="W883" s="77"/>
      <c r="X883" s="77"/>
      <c r="Y883" s="77"/>
      <c r="Z883" s="77"/>
      <c r="AA883" s="77"/>
      <c r="AB883" s="77"/>
      <c r="AC883" s="77"/>
      <c r="AD883" s="77"/>
      <c r="AE883" s="77"/>
      <c r="AF883" s="77"/>
      <c r="AG883" s="77"/>
      <c r="AH883" s="87"/>
      <c r="AI883" s="87"/>
      <c r="AJ883" s="267">
        <v>1.63758027E8</v>
      </c>
      <c r="AK883" s="267" t="s">
        <v>2430</v>
      </c>
      <c r="AL883" s="267"/>
    </row>
    <row r="884">
      <c r="A884" s="77"/>
      <c r="B884" s="102"/>
      <c r="C884" s="102"/>
      <c r="D884" s="102"/>
      <c r="E884" s="102"/>
      <c r="F884" s="102"/>
      <c r="G884" s="102"/>
      <c r="H884" s="295"/>
      <c r="I884" s="102"/>
      <c r="J884" s="77"/>
      <c r="K884" s="77"/>
      <c r="L884" s="77"/>
      <c r="M884" s="77"/>
      <c r="N884" s="77"/>
      <c r="O884" s="77"/>
      <c r="P884" s="268"/>
      <c r="Q884" s="268"/>
      <c r="R884" s="77"/>
      <c r="S884" s="77"/>
      <c r="T884" s="77"/>
      <c r="U884" s="77"/>
      <c r="V884" s="77"/>
      <c r="W884" s="77"/>
      <c r="X884" s="77"/>
      <c r="Y884" s="77"/>
      <c r="Z884" s="77"/>
      <c r="AA884" s="77"/>
      <c r="AB884" s="77"/>
      <c r="AC884" s="77"/>
      <c r="AD884" s="77"/>
      <c r="AE884" s="77"/>
      <c r="AF884" s="77"/>
      <c r="AG884" s="77"/>
      <c r="AH884" s="87"/>
      <c r="AI884" s="87"/>
      <c r="AJ884" s="267">
        <v>1.59661866E8</v>
      </c>
      <c r="AK884" s="267" t="s">
        <v>2443</v>
      </c>
      <c r="AL884" s="267"/>
    </row>
    <row r="885">
      <c r="A885" s="77"/>
      <c r="B885" s="102"/>
      <c r="C885" s="102"/>
      <c r="D885" s="102"/>
      <c r="E885" s="102"/>
      <c r="F885" s="102"/>
      <c r="G885" s="102"/>
      <c r="H885" s="295"/>
      <c r="I885" s="102"/>
      <c r="J885" s="77"/>
      <c r="K885" s="77"/>
      <c r="L885" s="77"/>
      <c r="M885" s="77"/>
      <c r="N885" s="77"/>
      <c r="O885" s="77"/>
      <c r="P885" s="268"/>
      <c r="Q885" s="268"/>
      <c r="R885" s="77"/>
      <c r="S885" s="77"/>
      <c r="T885" s="77"/>
      <c r="U885" s="77"/>
      <c r="V885" s="77"/>
      <c r="W885" s="77"/>
      <c r="X885" s="77"/>
      <c r="Y885" s="77"/>
      <c r="Z885" s="77"/>
      <c r="AA885" s="77"/>
      <c r="AB885" s="77"/>
      <c r="AC885" s="77"/>
      <c r="AD885" s="77"/>
      <c r="AE885" s="77"/>
      <c r="AF885" s="77"/>
      <c r="AG885" s="77"/>
      <c r="AH885" s="87"/>
      <c r="AI885" s="87"/>
      <c r="AJ885" s="267">
        <v>9.038069E7</v>
      </c>
      <c r="AK885" s="267" t="s">
        <v>2458</v>
      </c>
      <c r="AL885" s="267"/>
    </row>
    <row r="886">
      <c r="A886" s="77"/>
      <c r="B886" s="102"/>
      <c r="C886" s="102"/>
      <c r="D886" s="102"/>
      <c r="E886" s="102"/>
      <c r="F886" s="102"/>
      <c r="G886" s="102"/>
      <c r="H886" s="295"/>
      <c r="I886" s="102"/>
      <c r="J886" s="77"/>
      <c r="K886" s="77"/>
      <c r="L886" s="77"/>
      <c r="M886" s="77"/>
      <c r="N886" s="77"/>
      <c r="O886" s="77"/>
      <c r="P886" s="268"/>
      <c r="Q886" s="268"/>
      <c r="R886" s="77"/>
      <c r="S886" s="77"/>
      <c r="T886" s="77"/>
      <c r="U886" s="77"/>
      <c r="V886" s="77"/>
      <c r="W886" s="77"/>
      <c r="X886" s="77"/>
      <c r="Y886" s="77"/>
      <c r="Z886" s="77"/>
      <c r="AA886" s="77"/>
      <c r="AB886" s="77"/>
      <c r="AC886" s="77"/>
      <c r="AD886" s="77"/>
      <c r="AE886" s="77"/>
      <c r="AF886" s="77"/>
      <c r="AG886" s="77"/>
      <c r="AH886" s="87"/>
      <c r="AI886" s="87"/>
      <c r="AJ886" s="267">
        <v>1.48387857E8</v>
      </c>
      <c r="AK886" s="267"/>
      <c r="AL886" s="267"/>
    </row>
    <row r="887">
      <c r="A887" s="77"/>
      <c r="B887" s="102"/>
      <c r="C887" s="102"/>
      <c r="D887" s="102"/>
      <c r="E887" s="102"/>
      <c r="F887" s="102"/>
      <c r="G887" s="102"/>
      <c r="H887" s="295"/>
      <c r="I887" s="102"/>
      <c r="J887" s="77"/>
      <c r="K887" s="77"/>
      <c r="L887" s="77"/>
      <c r="M887" s="77"/>
      <c r="N887" s="77"/>
      <c r="O887" s="77"/>
      <c r="P887" s="268"/>
      <c r="Q887" s="268"/>
      <c r="R887" s="77"/>
      <c r="S887" s="77"/>
      <c r="T887" s="77"/>
      <c r="U887" s="77"/>
      <c r="V887" s="77"/>
      <c r="W887" s="77"/>
      <c r="X887" s="77"/>
      <c r="Y887" s="77"/>
      <c r="Z887" s="77"/>
      <c r="AA887" s="77"/>
      <c r="AB887" s="77"/>
      <c r="AC887" s="77"/>
      <c r="AD887" s="77"/>
      <c r="AE887" s="77"/>
      <c r="AF887" s="77"/>
      <c r="AG887" s="77"/>
      <c r="AH887" s="87"/>
      <c r="AI887" s="87"/>
      <c r="AJ887" s="267">
        <v>1.65259041E8</v>
      </c>
      <c r="AK887" s="267" t="s">
        <v>2477</v>
      </c>
      <c r="AL887" s="267"/>
    </row>
    <row r="888">
      <c r="A888" s="77"/>
      <c r="B888" s="102"/>
      <c r="C888" s="102"/>
      <c r="D888" s="102"/>
      <c r="E888" s="102"/>
      <c r="F888" s="102"/>
      <c r="G888" s="102"/>
      <c r="H888" s="295"/>
      <c r="I888" s="102"/>
      <c r="J888" s="77"/>
      <c r="K888" s="77"/>
      <c r="L888" s="77"/>
      <c r="M888" s="77"/>
      <c r="N888" s="77"/>
      <c r="O888" s="77"/>
      <c r="P888" s="268"/>
      <c r="Q888" s="268"/>
      <c r="R888" s="77"/>
      <c r="S888" s="77"/>
      <c r="T888" s="77"/>
      <c r="U888" s="77"/>
      <c r="V888" s="77"/>
      <c r="W888" s="77"/>
      <c r="X888" s="77"/>
      <c r="Y888" s="77"/>
      <c r="Z888" s="77"/>
      <c r="AA888" s="77"/>
      <c r="AB888" s="77"/>
      <c r="AC888" s="77"/>
      <c r="AD888" s="77"/>
      <c r="AE888" s="77"/>
      <c r="AF888" s="77"/>
      <c r="AG888" s="77"/>
      <c r="AH888" s="87"/>
      <c r="AI888" s="87"/>
      <c r="AJ888" s="267">
        <v>1.67680829E8</v>
      </c>
      <c r="AK888" s="267"/>
      <c r="AL888" s="267"/>
    </row>
    <row r="889">
      <c r="A889" s="77"/>
      <c r="B889" s="102"/>
      <c r="C889" s="102"/>
      <c r="D889" s="102"/>
      <c r="E889" s="102"/>
      <c r="F889" s="102"/>
      <c r="G889" s="102"/>
      <c r="H889" s="295"/>
      <c r="I889" s="102"/>
      <c r="J889" s="77"/>
      <c r="K889" s="77"/>
      <c r="L889" s="77"/>
      <c r="M889" s="77"/>
      <c r="N889" s="77"/>
      <c r="O889" s="77"/>
      <c r="P889" s="268"/>
      <c r="Q889" s="268"/>
      <c r="R889" s="77"/>
      <c r="S889" s="77"/>
      <c r="T889" s="77"/>
      <c r="U889" s="77"/>
      <c r="V889" s="77"/>
      <c r="W889" s="77"/>
      <c r="X889" s="77"/>
      <c r="Y889" s="77"/>
      <c r="Z889" s="77"/>
      <c r="AA889" s="77"/>
      <c r="AB889" s="77"/>
      <c r="AC889" s="77"/>
      <c r="AD889" s="77"/>
      <c r="AE889" s="77"/>
      <c r="AF889" s="77"/>
      <c r="AG889" s="77"/>
      <c r="AH889" s="87"/>
      <c r="AI889" s="87"/>
      <c r="AJ889" s="267">
        <v>1.67680831E8</v>
      </c>
      <c r="AK889" s="267"/>
      <c r="AL889" s="267"/>
    </row>
    <row r="890">
      <c r="A890" s="77"/>
      <c r="B890" s="102"/>
      <c r="C890" s="102"/>
      <c r="D890" s="102"/>
      <c r="E890" s="102"/>
      <c r="F890" s="102"/>
      <c r="G890" s="102"/>
      <c r="H890" s="295"/>
      <c r="I890" s="102"/>
      <c r="J890" s="77"/>
      <c r="K890" s="77"/>
      <c r="L890" s="77"/>
      <c r="M890" s="77"/>
      <c r="N890" s="77"/>
      <c r="O890" s="77"/>
      <c r="P890" s="268"/>
      <c r="Q890" s="268"/>
      <c r="R890" s="77"/>
      <c r="S890" s="77"/>
      <c r="T890" s="77"/>
      <c r="U890" s="77"/>
      <c r="V890" s="77"/>
      <c r="W890" s="77"/>
      <c r="X890" s="77"/>
      <c r="Y890" s="77"/>
      <c r="Z890" s="77"/>
      <c r="AA890" s="77"/>
      <c r="AB890" s="77"/>
      <c r="AC890" s="77"/>
      <c r="AD890" s="77"/>
      <c r="AE890" s="77"/>
      <c r="AF890" s="77"/>
      <c r="AG890" s="77"/>
      <c r="AH890" s="87"/>
      <c r="AI890" s="87"/>
      <c r="AJ890" s="267">
        <v>1.67680833E8</v>
      </c>
      <c r="AK890" s="267"/>
      <c r="AL890" s="267"/>
    </row>
    <row r="891">
      <c r="A891" s="77"/>
      <c r="B891" s="102"/>
      <c r="C891" s="102"/>
      <c r="D891" s="102"/>
      <c r="E891" s="102"/>
      <c r="F891" s="102"/>
      <c r="G891" s="102"/>
      <c r="H891" s="295"/>
      <c r="I891" s="102"/>
      <c r="J891" s="77"/>
      <c r="K891" s="77"/>
      <c r="L891" s="77"/>
      <c r="M891" s="77"/>
      <c r="N891" s="77"/>
      <c r="O891" s="77"/>
      <c r="P891" s="268"/>
      <c r="Q891" s="268"/>
      <c r="R891" s="77"/>
      <c r="S891" s="77"/>
      <c r="T891" s="77"/>
      <c r="U891" s="77"/>
      <c r="V891" s="77"/>
      <c r="W891" s="77"/>
      <c r="X891" s="77"/>
      <c r="Y891" s="77"/>
      <c r="Z891" s="77"/>
      <c r="AA891" s="77"/>
      <c r="AB891" s="77"/>
      <c r="AC891" s="77"/>
      <c r="AD891" s="77"/>
      <c r="AE891" s="77"/>
      <c r="AF891" s="77"/>
      <c r="AG891" s="77"/>
      <c r="AH891" s="87"/>
      <c r="AI891" s="87"/>
      <c r="AJ891" s="267">
        <v>1.55928221E8</v>
      </c>
      <c r="AK891" s="267"/>
      <c r="AL891" s="267"/>
    </row>
    <row r="892">
      <c r="A892" s="77"/>
      <c r="B892" s="102"/>
      <c r="C892" s="102"/>
      <c r="D892" s="102"/>
      <c r="E892" s="102"/>
      <c r="F892" s="102"/>
      <c r="G892" s="102"/>
      <c r="H892" s="295"/>
      <c r="I892" s="102"/>
      <c r="J892" s="77"/>
      <c r="K892" s="77"/>
      <c r="L892" s="77"/>
      <c r="M892" s="77"/>
      <c r="N892" s="77"/>
      <c r="O892" s="77"/>
      <c r="P892" s="268"/>
      <c r="Q892" s="268"/>
      <c r="R892" s="77"/>
      <c r="S892" s="77"/>
      <c r="T892" s="77"/>
      <c r="U892" s="77"/>
      <c r="V892" s="77"/>
      <c r="W892" s="77"/>
      <c r="X892" s="77"/>
      <c r="Y892" s="77"/>
      <c r="Z892" s="77"/>
      <c r="AA892" s="77"/>
      <c r="AB892" s="77"/>
      <c r="AC892" s="77"/>
      <c r="AD892" s="77"/>
      <c r="AE892" s="77"/>
      <c r="AF892" s="77"/>
      <c r="AG892" s="77"/>
      <c r="AH892" s="87"/>
      <c r="AI892" s="87"/>
      <c r="AJ892" s="267"/>
      <c r="AK892" s="267" t="s">
        <v>401</v>
      </c>
      <c r="AL892" s="267"/>
    </row>
    <row r="893">
      <c r="A893" s="77"/>
      <c r="B893" s="102"/>
      <c r="C893" s="102"/>
      <c r="D893" s="102"/>
      <c r="E893" s="102"/>
      <c r="F893" s="102"/>
      <c r="G893" s="102"/>
      <c r="H893" s="295"/>
      <c r="I893" s="102"/>
      <c r="J893" s="77"/>
      <c r="K893" s="77"/>
      <c r="L893" s="77"/>
      <c r="M893" s="77"/>
      <c r="N893" s="77"/>
      <c r="O893" s="77"/>
      <c r="P893" s="268"/>
      <c r="Q893" s="268"/>
      <c r="R893" s="77"/>
      <c r="S893" s="77"/>
      <c r="T893" s="77"/>
      <c r="U893" s="77"/>
      <c r="V893" s="77"/>
      <c r="W893" s="77"/>
      <c r="X893" s="77"/>
      <c r="Y893" s="77"/>
      <c r="Z893" s="77"/>
      <c r="AA893" s="77"/>
      <c r="AB893" s="77"/>
      <c r="AC893" s="77"/>
      <c r="AD893" s="77"/>
      <c r="AE893" s="77"/>
      <c r="AF893" s="77"/>
      <c r="AG893" s="77"/>
      <c r="AH893" s="87"/>
      <c r="AI893" s="87"/>
      <c r="AJ893" s="267">
        <v>9.1969281E7</v>
      </c>
      <c r="AK893" s="267" t="s">
        <v>1044</v>
      </c>
      <c r="AL893" s="267"/>
    </row>
    <row r="894">
      <c r="A894" s="77"/>
      <c r="B894" s="102"/>
      <c r="C894" s="102"/>
      <c r="D894" s="102"/>
      <c r="E894" s="102"/>
      <c r="F894" s="102"/>
      <c r="G894" s="102"/>
      <c r="H894" s="295"/>
      <c r="I894" s="102"/>
      <c r="J894" s="77"/>
      <c r="K894" s="77"/>
      <c r="L894" s="77"/>
      <c r="M894" s="77"/>
      <c r="N894" s="77"/>
      <c r="O894" s="77"/>
      <c r="P894" s="268"/>
      <c r="Q894" s="268"/>
      <c r="R894" s="77"/>
      <c r="S894" s="77"/>
      <c r="T894" s="77"/>
      <c r="U894" s="77"/>
      <c r="V894" s="77"/>
      <c r="W894" s="77"/>
      <c r="X894" s="77"/>
      <c r="Y894" s="77"/>
      <c r="Z894" s="77"/>
      <c r="AA894" s="77"/>
      <c r="AB894" s="77"/>
      <c r="AC894" s="77"/>
      <c r="AD894" s="77"/>
      <c r="AE894" s="77"/>
      <c r="AF894" s="77"/>
      <c r="AG894" s="77"/>
      <c r="AH894" s="87"/>
      <c r="AI894" s="87"/>
      <c r="AJ894" s="267">
        <v>1.45755982E8</v>
      </c>
      <c r="AK894" s="267"/>
      <c r="AL894" s="267"/>
    </row>
    <row r="895">
      <c r="A895" s="77"/>
      <c r="B895" s="102"/>
      <c r="C895" s="102"/>
      <c r="D895" s="102"/>
      <c r="E895" s="102"/>
      <c r="F895" s="102"/>
      <c r="G895" s="102"/>
      <c r="H895" s="295"/>
      <c r="I895" s="102"/>
      <c r="J895" s="77"/>
      <c r="K895" s="77"/>
      <c r="L895" s="77"/>
      <c r="M895" s="77"/>
      <c r="N895" s="77"/>
      <c r="O895" s="77"/>
      <c r="P895" s="268"/>
      <c r="Q895" s="268"/>
      <c r="R895" s="77"/>
      <c r="S895" s="77"/>
      <c r="T895" s="77"/>
      <c r="U895" s="77"/>
      <c r="V895" s="77"/>
      <c r="W895" s="77"/>
      <c r="X895" s="77"/>
      <c r="Y895" s="77"/>
      <c r="Z895" s="77"/>
      <c r="AA895" s="77"/>
      <c r="AB895" s="77"/>
      <c r="AC895" s="77"/>
      <c r="AD895" s="77"/>
      <c r="AE895" s="77"/>
      <c r="AF895" s="77"/>
      <c r="AG895" s="77"/>
      <c r="AH895" s="87"/>
      <c r="AI895" s="87"/>
      <c r="AJ895" s="267">
        <v>1.59631114E8</v>
      </c>
      <c r="AK895" s="267" t="s">
        <v>2539</v>
      </c>
      <c r="AL895" s="267"/>
    </row>
    <row r="896">
      <c r="A896" s="77"/>
      <c r="B896" s="102"/>
      <c r="C896" s="102"/>
      <c r="D896" s="102"/>
      <c r="E896" s="102"/>
      <c r="F896" s="102"/>
      <c r="G896" s="102"/>
      <c r="H896" s="295"/>
      <c r="I896" s="102"/>
      <c r="J896" s="77"/>
      <c r="K896" s="77"/>
      <c r="L896" s="77"/>
      <c r="M896" s="77"/>
      <c r="N896" s="77"/>
      <c r="O896" s="77"/>
      <c r="P896" s="268"/>
      <c r="Q896" s="268"/>
      <c r="R896" s="77"/>
      <c r="S896" s="77"/>
      <c r="T896" s="77"/>
      <c r="U896" s="77"/>
      <c r="V896" s="77"/>
      <c r="W896" s="77"/>
      <c r="X896" s="77"/>
      <c r="Y896" s="77"/>
      <c r="Z896" s="77"/>
      <c r="AA896" s="77"/>
      <c r="AB896" s="77"/>
      <c r="AC896" s="77"/>
      <c r="AD896" s="77"/>
      <c r="AE896" s="77"/>
      <c r="AF896" s="77"/>
      <c r="AG896" s="77"/>
      <c r="AH896" s="87"/>
      <c r="AI896" s="87"/>
      <c r="AJ896" s="267">
        <v>1.74420257E8</v>
      </c>
      <c r="AK896" s="267" t="s">
        <v>2551</v>
      </c>
      <c r="AL896" s="267"/>
    </row>
    <row r="897">
      <c r="A897" s="77"/>
      <c r="B897" s="102"/>
      <c r="C897" s="102"/>
      <c r="D897" s="102"/>
      <c r="E897" s="102"/>
      <c r="F897" s="102"/>
      <c r="G897" s="102"/>
      <c r="H897" s="295"/>
      <c r="I897" s="102"/>
      <c r="J897" s="77"/>
      <c r="K897" s="77"/>
      <c r="L897" s="77"/>
      <c r="M897" s="77"/>
      <c r="N897" s="77"/>
      <c r="O897" s="77"/>
      <c r="P897" s="268"/>
      <c r="Q897" s="268"/>
      <c r="R897" s="77"/>
      <c r="S897" s="77"/>
      <c r="T897" s="77"/>
      <c r="U897" s="77"/>
      <c r="V897" s="77"/>
      <c r="W897" s="77"/>
      <c r="X897" s="77"/>
      <c r="Y897" s="77"/>
      <c r="Z897" s="77"/>
      <c r="AA897" s="77"/>
      <c r="AB897" s="77"/>
      <c r="AC897" s="77"/>
      <c r="AD897" s="77"/>
      <c r="AE897" s="77"/>
      <c r="AF897" s="77"/>
      <c r="AG897" s="77"/>
      <c r="AH897" s="87"/>
      <c r="AI897" s="87"/>
      <c r="AJ897" s="267">
        <v>1.4094636E8</v>
      </c>
      <c r="AK897" s="267" t="s">
        <v>2567</v>
      </c>
      <c r="AL897" s="267"/>
    </row>
    <row r="898">
      <c r="A898" s="77"/>
      <c r="B898" s="102"/>
      <c r="C898" s="102"/>
      <c r="D898" s="102"/>
      <c r="E898" s="102"/>
      <c r="F898" s="102"/>
      <c r="G898" s="102"/>
      <c r="H898" s="295"/>
      <c r="I898" s="102"/>
      <c r="J898" s="77"/>
      <c r="K898" s="77"/>
      <c r="L898" s="77"/>
      <c r="M898" s="77"/>
      <c r="N898" s="77"/>
      <c r="O898" s="77"/>
      <c r="P898" s="268"/>
      <c r="Q898" s="268"/>
      <c r="R898" s="77"/>
      <c r="S898" s="77"/>
      <c r="T898" s="77"/>
      <c r="U898" s="77"/>
      <c r="V898" s="77"/>
      <c r="W898" s="77"/>
      <c r="X898" s="77"/>
      <c r="Y898" s="77"/>
      <c r="Z898" s="77"/>
      <c r="AA898" s="77"/>
      <c r="AB898" s="77"/>
      <c r="AC898" s="77"/>
      <c r="AD898" s="77"/>
      <c r="AE898" s="77"/>
      <c r="AF898" s="77"/>
      <c r="AG898" s="77"/>
      <c r="AH898" s="87"/>
      <c r="AI898" s="87"/>
      <c r="AJ898" s="267">
        <v>1.48386282E8</v>
      </c>
      <c r="AK898" s="267"/>
      <c r="AL898" s="267"/>
    </row>
    <row r="899">
      <c r="A899" s="77"/>
      <c r="B899" s="102"/>
      <c r="C899" s="102"/>
      <c r="D899" s="102"/>
      <c r="E899" s="102"/>
      <c r="F899" s="102"/>
      <c r="G899" s="102"/>
      <c r="H899" s="295"/>
      <c r="I899" s="102"/>
      <c r="J899" s="77"/>
      <c r="K899" s="77"/>
      <c r="L899" s="77"/>
      <c r="M899" s="77"/>
      <c r="N899" s="77"/>
      <c r="O899" s="77"/>
      <c r="P899" s="268"/>
      <c r="Q899" s="268"/>
      <c r="R899" s="77"/>
      <c r="S899" s="77"/>
      <c r="T899" s="77"/>
      <c r="U899" s="77"/>
      <c r="V899" s="77"/>
      <c r="W899" s="77"/>
      <c r="X899" s="77"/>
      <c r="Y899" s="77"/>
      <c r="Z899" s="77"/>
      <c r="AA899" s="77"/>
      <c r="AB899" s="77"/>
      <c r="AC899" s="77"/>
      <c r="AD899" s="77"/>
      <c r="AE899" s="77"/>
      <c r="AF899" s="77"/>
      <c r="AG899" s="77"/>
      <c r="AH899" s="87"/>
      <c r="AI899" s="87"/>
      <c r="AJ899" s="267">
        <v>1.50847785E8</v>
      </c>
      <c r="AK899" s="267"/>
      <c r="AL899" s="267"/>
    </row>
    <row r="900">
      <c r="A900" s="77"/>
      <c r="B900" s="102"/>
      <c r="C900" s="102"/>
      <c r="D900" s="102"/>
      <c r="E900" s="102"/>
      <c r="F900" s="102"/>
      <c r="G900" s="102"/>
      <c r="H900" s="295"/>
      <c r="I900" s="102"/>
      <c r="J900" s="77"/>
      <c r="K900" s="77"/>
      <c r="L900" s="77"/>
      <c r="M900" s="77"/>
      <c r="N900" s="77"/>
      <c r="O900" s="77"/>
      <c r="P900" s="268"/>
      <c r="Q900" s="268"/>
      <c r="R900" s="77"/>
      <c r="S900" s="77"/>
      <c r="T900" s="77"/>
      <c r="U900" s="77"/>
      <c r="V900" s="77"/>
      <c r="W900" s="77"/>
      <c r="X900" s="77"/>
      <c r="Y900" s="77"/>
      <c r="Z900" s="77"/>
      <c r="AA900" s="77"/>
      <c r="AB900" s="77"/>
      <c r="AC900" s="77"/>
      <c r="AD900" s="77"/>
      <c r="AE900" s="77"/>
      <c r="AF900" s="77"/>
      <c r="AG900" s="77"/>
      <c r="AH900" s="87"/>
      <c r="AI900" s="87"/>
      <c r="AJ900" s="267">
        <v>1.91073458E8</v>
      </c>
      <c r="AK900" s="267" t="s">
        <v>2604</v>
      </c>
      <c r="AL900" s="267"/>
    </row>
    <row r="901">
      <c r="A901" s="77"/>
      <c r="B901" s="102"/>
      <c r="C901" s="102"/>
      <c r="D901" s="102"/>
      <c r="E901" s="102"/>
      <c r="F901" s="102"/>
      <c r="G901" s="102"/>
      <c r="H901" s="295"/>
      <c r="I901" s="102"/>
      <c r="J901" s="77"/>
      <c r="K901" s="77"/>
      <c r="L901" s="77"/>
      <c r="M901" s="77"/>
      <c r="N901" s="77"/>
      <c r="O901" s="77"/>
      <c r="P901" s="268"/>
      <c r="Q901" s="268"/>
      <c r="R901" s="77"/>
      <c r="S901" s="77"/>
      <c r="T901" s="77"/>
      <c r="U901" s="77"/>
      <c r="V901" s="77"/>
      <c r="W901" s="77"/>
      <c r="X901" s="77"/>
      <c r="Y901" s="77"/>
      <c r="Z901" s="77"/>
      <c r="AA901" s="77"/>
      <c r="AB901" s="77"/>
      <c r="AC901" s="77"/>
      <c r="AD901" s="77"/>
      <c r="AE901" s="77"/>
      <c r="AF901" s="77"/>
      <c r="AG901" s="77"/>
      <c r="AH901" s="87"/>
      <c r="AI901" s="87"/>
      <c r="AJ901" s="267">
        <v>1.40944929E8</v>
      </c>
      <c r="AK901" s="267" t="s">
        <v>2620</v>
      </c>
      <c r="AL901" s="267"/>
    </row>
    <row r="902">
      <c r="A902" s="77"/>
      <c r="B902" s="102"/>
      <c r="C902" s="102"/>
      <c r="D902" s="102"/>
      <c r="E902" s="102"/>
      <c r="F902" s="102"/>
      <c r="G902" s="102"/>
      <c r="H902" s="295"/>
      <c r="I902" s="102"/>
      <c r="J902" s="77"/>
      <c r="K902" s="77"/>
      <c r="L902" s="77"/>
      <c r="M902" s="77"/>
      <c r="N902" s="77"/>
      <c r="O902" s="77"/>
      <c r="P902" s="268"/>
      <c r="Q902" s="268"/>
      <c r="R902" s="77"/>
      <c r="S902" s="77"/>
      <c r="T902" s="77"/>
      <c r="U902" s="77"/>
      <c r="V902" s="77"/>
      <c r="W902" s="77"/>
      <c r="X902" s="77"/>
      <c r="Y902" s="77"/>
      <c r="Z902" s="77"/>
      <c r="AA902" s="77"/>
      <c r="AB902" s="77"/>
      <c r="AC902" s="77"/>
      <c r="AD902" s="77"/>
      <c r="AE902" s="77"/>
      <c r="AF902" s="77"/>
      <c r="AG902" s="77"/>
      <c r="AH902" s="87"/>
      <c r="AI902" s="87"/>
      <c r="AJ902" s="267">
        <v>1.67679765E8</v>
      </c>
      <c r="AK902" s="267"/>
      <c r="AL902" s="267"/>
    </row>
    <row r="903">
      <c r="A903" s="77"/>
      <c r="B903" s="102"/>
      <c r="C903" s="102"/>
      <c r="D903" s="102"/>
      <c r="E903" s="102"/>
      <c r="F903" s="102"/>
      <c r="G903" s="102"/>
      <c r="H903" s="295"/>
      <c r="I903" s="102"/>
      <c r="J903" s="77"/>
      <c r="K903" s="77"/>
      <c r="L903" s="77"/>
      <c r="M903" s="77"/>
      <c r="N903" s="77"/>
      <c r="O903" s="77"/>
      <c r="P903" s="268"/>
      <c r="Q903" s="268"/>
      <c r="R903" s="77"/>
      <c r="S903" s="77"/>
      <c r="T903" s="77"/>
      <c r="U903" s="77"/>
      <c r="V903" s="77"/>
      <c r="W903" s="77"/>
      <c r="X903" s="77"/>
      <c r="Y903" s="77"/>
      <c r="Z903" s="77"/>
      <c r="AA903" s="77"/>
      <c r="AB903" s="77"/>
      <c r="AC903" s="77"/>
      <c r="AD903" s="77"/>
      <c r="AE903" s="77"/>
      <c r="AF903" s="77"/>
      <c r="AG903" s="77"/>
      <c r="AH903" s="87"/>
      <c r="AI903" s="87"/>
      <c r="AJ903" s="267">
        <v>1.57011739E8</v>
      </c>
      <c r="AK903" s="267" t="s">
        <v>2643</v>
      </c>
      <c r="AL903" s="267"/>
    </row>
    <row r="904">
      <c r="A904" s="77"/>
      <c r="B904" s="102"/>
      <c r="C904" s="102"/>
      <c r="D904" s="102"/>
      <c r="E904" s="102"/>
      <c r="F904" s="102"/>
      <c r="G904" s="102"/>
      <c r="H904" s="295"/>
      <c r="I904" s="102"/>
      <c r="J904" s="77"/>
      <c r="K904" s="77"/>
      <c r="L904" s="77"/>
      <c r="M904" s="77"/>
      <c r="N904" s="77"/>
      <c r="O904" s="77"/>
      <c r="P904" s="268"/>
      <c r="Q904" s="268"/>
      <c r="R904" s="77"/>
      <c r="S904" s="77"/>
      <c r="T904" s="77"/>
      <c r="U904" s="77"/>
      <c r="V904" s="77"/>
      <c r="W904" s="77"/>
      <c r="X904" s="77"/>
      <c r="Y904" s="77"/>
      <c r="Z904" s="77"/>
      <c r="AA904" s="77"/>
      <c r="AB904" s="77"/>
      <c r="AC904" s="77"/>
      <c r="AD904" s="77"/>
      <c r="AE904" s="77"/>
      <c r="AF904" s="77"/>
      <c r="AG904" s="77"/>
      <c r="AH904" s="87"/>
      <c r="AI904" s="87"/>
      <c r="AJ904" s="267">
        <v>1.5998048E8</v>
      </c>
      <c r="AK904" s="267" t="s">
        <v>2658</v>
      </c>
      <c r="AL904" s="267"/>
    </row>
    <row r="905">
      <c r="A905" s="77"/>
      <c r="B905" s="102"/>
      <c r="C905" s="102"/>
      <c r="D905" s="102"/>
      <c r="E905" s="102"/>
      <c r="F905" s="102"/>
      <c r="G905" s="102"/>
      <c r="H905" s="295"/>
      <c r="I905" s="102"/>
      <c r="J905" s="77"/>
      <c r="K905" s="77"/>
      <c r="L905" s="77"/>
      <c r="M905" s="77"/>
      <c r="N905" s="77"/>
      <c r="O905" s="77"/>
      <c r="P905" s="268"/>
      <c r="Q905" s="268"/>
      <c r="R905" s="77"/>
      <c r="S905" s="77"/>
      <c r="T905" s="77"/>
      <c r="U905" s="77"/>
      <c r="V905" s="77"/>
      <c r="W905" s="77"/>
      <c r="X905" s="77"/>
      <c r="Y905" s="77"/>
      <c r="Z905" s="77"/>
      <c r="AA905" s="77"/>
      <c r="AB905" s="77"/>
      <c r="AC905" s="77"/>
      <c r="AD905" s="77"/>
      <c r="AE905" s="77"/>
      <c r="AF905" s="77"/>
      <c r="AG905" s="77"/>
      <c r="AH905" s="87"/>
      <c r="AI905" s="87"/>
      <c r="AJ905" s="87"/>
      <c r="AK905" s="87"/>
      <c r="AL905" s="87"/>
    </row>
    <row r="906">
      <c r="A906" s="77"/>
      <c r="B906" s="102"/>
      <c r="C906" s="102"/>
      <c r="D906" s="102"/>
      <c r="E906" s="102"/>
      <c r="F906" s="102"/>
      <c r="G906" s="102"/>
      <c r="H906" s="295"/>
      <c r="I906" s="102"/>
      <c r="J906" s="77"/>
      <c r="K906" s="77"/>
      <c r="L906" s="77"/>
      <c r="M906" s="77"/>
      <c r="N906" s="77"/>
      <c r="O906" s="77"/>
      <c r="P906" s="268"/>
      <c r="Q906" s="268"/>
      <c r="R906" s="77"/>
      <c r="S906" s="77"/>
      <c r="T906" s="77"/>
      <c r="U906" s="77"/>
      <c r="V906" s="77"/>
      <c r="W906" s="77"/>
      <c r="X906" s="77"/>
      <c r="Y906" s="77"/>
      <c r="Z906" s="77"/>
      <c r="AA906" s="77"/>
      <c r="AB906" s="77"/>
      <c r="AC906" s="77"/>
      <c r="AD906" s="77"/>
      <c r="AE906" s="77"/>
      <c r="AF906" s="77"/>
      <c r="AG906" s="77"/>
      <c r="AH906" s="87"/>
      <c r="AI906" s="87"/>
      <c r="AJ906" s="87"/>
      <c r="AK906" s="87"/>
      <c r="AL906" s="87"/>
    </row>
    <row r="907">
      <c r="A907" s="77"/>
      <c r="B907" s="102"/>
      <c r="C907" s="102"/>
      <c r="D907" s="102"/>
      <c r="E907" s="102"/>
      <c r="F907" s="102"/>
      <c r="G907" s="102"/>
      <c r="H907" s="295"/>
      <c r="I907" s="102"/>
      <c r="J907" s="77"/>
      <c r="K907" s="77"/>
      <c r="L907" s="77"/>
      <c r="M907" s="77"/>
      <c r="N907" s="77"/>
      <c r="O907" s="77"/>
      <c r="P907" s="268"/>
      <c r="Q907" s="268"/>
      <c r="R907" s="77"/>
      <c r="S907" s="77"/>
      <c r="T907" s="77"/>
      <c r="U907" s="77"/>
      <c r="V907" s="77"/>
      <c r="W907" s="77"/>
      <c r="X907" s="77"/>
      <c r="Y907" s="77"/>
      <c r="Z907" s="77"/>
      <c r="AA907" s="77"/>
      <c r="AB907" s="77"/>
      <c r="AC907" s="77"/>
      <c r="AD907" s="77"/>
      <c r="AE907" s="77"/>
      <c r="AF907" s="77"/>
      <c r="AG907" s="77"/>
      <c r="AH907" s="87"/>
      <c r="AI907" s="87"/>
      <c r="AJ907" s="87"/>
      <c r="AK907" s="87"/>
      <c r="AL907" s="87"/>
    </row>
    <row r="908">
      <c r="A908" s="77"/>
      <c r="B908" s="102"/>
      <c r="C908" s="102"/>
      <c r="D908" s="102"/>
      <c r="E908" s="102"/>
      <c r="F908" s="102"/>
      <c r="G908" s="102"/>
      <c r="H908" s="295"/>
      <c r="I908" s="102"/>
      <c r="J908" s="77"/>
      <c r="K908" s="77"/>
      <c r="L908" s="77"/>
      <c r="M908" s="77"/>
      <c r="N908" s="77"/>
      <c r="O908" s="77"/>
      <c r="P908" s="268"/>
      <c r="Q908" s="268"/>
      <c r="R908" s="77"/>
      <c r="S908" s="77"/>
      <c r="T908" s="77"/>
      <c r="U908" s="77"/>
      <c r="V908" s="77"/>
      <c r="W908" s="77"/>
      <c r="X908" s="77"/>
      <c r="Y908" s="77"/>
      <c r="Z908" s="77"/>
      <c r="AA908" s="77"/>
      <c r="AB908" s="77"/>
      <c r="AC908" s="77"/>
      <c r="AD908" s="77"/>
      <c r="AE908" s="77"/>
      <c r="AF908" s="77"/>
      <c r="AG908" s="77"/>
      <c r="AH908" s="87"/>
      <c r="AI908" s="87"/>
      <c r="AJ908" s="87"/>
      <c r="AK908" s="87"/>
      <c r="AL908" s="87"/>
    </row>
    <row r="909">
      <c r="A909" s="77"/>
      <c r="B909" s="102"/>
      <c r="C909" s="102"/>
      <c r="D909" s="102"/>
      <c r="E909" s="102"/>
      <c r="F909" s="102"/>
      <c r="G909" s="102"/>
      <c r="H909" s="295"/>
      <c r="I909" s="102"/>
      <c r="J909" s="77"/>
      <c r="K909" s="77"/>
      <c r="L909" s="77"/>
      <c r="M909" s="77"/>
      <c r="N909" s="77"/>
      <c r="O909" s="77"/>
      <c r="P909" s="268"/>
      <c r="Q909" s="268"/>
      <c r="R909" s="77"/>
      <c r="S909" s="77"/>
      <c r="T909" s="77"/>
      <c r="U909" s="77"/>
      <c r="V909" s="77"/>
      <c r="W909" s="77"/>
      <c r="X909" s="77"/>
      <c r="Y909" s="77"/>
      <c r="Z909" s="77"/>
      <c r="AA909" s="77"/>
      <c r="AB909" s="77"/>
      <c r="AC909" s="77"/>
      <c r="AD909" s="77"/>
      <c r="AE909" s="77"/>
      <c r="AF909" s="77"/>
      <c r="AG909" s="77"/>
      <c r="AH909" s="87"/>
      <c r="AI909" s="87"/>
      <c r="AJ909" s="87"/>
      <c r="AK909" s="87"/>
      <c r="AL909" s="87"/>
    </row>
    <row r="910">
      <c r="A910" s="77"/>
      <c r="B910" s="102"/>
      <c r="C910" s="102"/>
      <c r="D910" s="102"/>
      <c r="E910" s="102"/>
      <c r="F910" s="102"/>
      <c r="G910" s="102"/>
      <c r="H910" s="295"/>
      <c r="I910" s="102"/>
      <c r="J910" s="77"/>
      <c r="K910" s="77"/>
      <c r="L910" s="77"/>
      <c r="M910" s="77"/>
      <c r="N910" s="77"/>
      <c r="O910" s="77"/>
      <c r="P910" s="268"/>
      <c r="Q910" s="268"/>
      <c r="R910" s="77"/>
      <c r="S910" s="77"/>
      <c r="T910" s="77"/>
      <c r="U910" s="77"/>
      <c r="V910" s="77"/>
      <c r="W910" s="77"/>
      <c r="X910" s="77"/>
      <c r="Y910" s="77"/>
      <c r="Z910" s="77"/>
      <c r="AA910" s="77"/>
      <c r="AB910" s="77"/>
      <c r="AC910" s="77"/>
      <c r="AD910" s="77"/>
      <c r="AE910" s="77"/>
      <c r="AF910" s="77"/>
      <c r="AG910" s="77"/>
      <c r="AH910" s="87"/>
      <c r="AI910" s="87"/>
      <c r="AJ910" s="87"/>
      <c r="AK910" s="87"/>
      <c r="AL910" s="87"/>
    </row>
    <row r="911">
      <c r="A911" s="77"/>
      <c r="B911" s="102"/>
      <c r="C911" s="102"/>
      <c r="D911" s="102"/>
      <c r="E911" s="102"/>
      <c r="F911" s="102"/>
      <c r="G911" s="102"/>
      <c r="H911" s="295"/>
      <c r="I911" s="102"/>
      <c r="J911" s="77"/>
      <c r="K911" s="77"/>
      <c r="L911" s="77"/>
      <c r="M911" s="77"/>
      <c r="N911" s="77"/>
      <c r="O911" s="77"/>
      <c r="P911" s="268"/>
      <c r="Q911" s="268"/>
      <c r="R911" s="77"/>
      <c r="S911" s="77"/>
      <c r="T911" s="77"/>
      <c r="U911" s="77"/>
      <c r="V911" s="77"/>
      <c r="W911" s="77"/>
      <c r="X911" s="77"/>
      <c r="Y911" s="77"/>
      <c r="Z911" s="77"/>
      <c r="AA911" s="77"/>
      <c r="AB911" s="77"/>
      <c r="AC911" s="77"/>
      <c r="AD911" s="77"/>
      <c r="AE911" s="77"/>
      <c r="AF911" s="77"/>
      <c r="AG911" s="77"/>
      <c r="AH911" s="87"/>
      <c r="AI911" s="87"/>
      <c r="AJ911" s="87"/>
      <c r="AK911" s="87"/>
      <c r="AL911" s="87"/>
    </row>
    <row r="912">
      <c r="A912" s="77"/>
      <c r="B912" s="102"/>
      <c r="C912" s="102"/>
      <c r="D912" s="102"/>
      <c r="E912" s="102"/>
      <c r="F912" s="102"/>
      <c r="G912" s="102"/>
      <c r="H912" s="295"/>
      <c r="I912" s="102"/>
      <c r="J912" s="77"/>
      <c r="K912" s="77"/>
      <c r="L912" s="77"/>
      <c r="M912" s="77"/>
      <c r="N912" s="77"/>
      <c r="O912" s="77"/>
      <c r="P912" s="268"/>
      <c r="Q912" s="268"/>
      <c r="R912" s="77"/>
      <c r="S912" s="77"/>
      <c r="T912" s="77"/>
      <c r="U912" s="77"/>
      <c r="V912" s="77"/>
      <c r="W912" s="77"/>
      <c r="X912" s="77"/>
      <c r="Y912" s="77"/>
      <c r="Z912" s="77"/>
      <c r="AA912" s="77"/>
      <c r="AB912" s="77"/>
      <c r="AC912" s="77"/>
      <c r="AD912" s="77"/>
      <c r="AE912" s="77"/>
      <c r="AF912" s="77"/>
      <c r="AG912" s="77"/>
      <c r="AH912" s="87"/>
      <c r="AI912" s="87"/>
      <c r="AJ912" s="87"/>
      <c r="AK912" s="87"/>
      <c r="AL912" s="87"/>
    </row>
    <row r="913">
      <c r="A913" s="77"/>
      <c r="B913" s="102"/>
      <c r="C913" s="102"/>
      <c r="D913" s="102"/>
      <c r="E913" s="102"/>
      <c r="F913" s="102"/>
      <c r="G913" s="102"/>
      <c r="H913" s="295"/>
      <c r="I913" s="102"/>
      <c r="J913" s="77"/>
      <c r="K913" s="77"/>
      <c r="L913" s="77"/>
      <c r="M913" s="77"/>
      <c r="N913" s="77"/>
      <c r="O913" s="77"/>
      <c r="P913" s="268"/>
      <c r="Q913" s="268"/>
      <c r="R913" s="77"/>
      <c r="S913" s="77"/>
      <c r="T913" s="77"/>
      <c r="U913" s="77"/>
      <c r="V913" s="77"/>
      <c r="W913" s="77"/>
      <c r="X913" s="77"/>
      <c r="Y913" s="77"/>
      <c r="Z913" s="77"/>
      <c r="AA913" s="77"/>
      <c r="AB913" s="77"/>
      <c r="AC913" s="77"/>
      <c r="AD913" s="77"/>
      <c r="AE913" s="77"/>
      <c r="AF913" s="77"/>
      <c r="AG913" s="77"/>
      <c r="AH913" s="87"/>
      <c r="AI913" s="87"/>
      <c r="AJ913" s="87"/>
      <c r="AK913" s="87"/>
      <c r="AL913" s="87"/>
    </row>
    <row r="914">
      <c r="A914" s="77"/>
      <c r="B914" s="102"/>
      <c r="C914" s="102"/>
      <c r="D914" s="102"/>
      <c r="E914" s="102"/>
      <c r="F914" s="102"/>
      <c r="G914" s="102"/>
      <c r="H914" s="295"/>
      <c r="I914" s="102"/>
      <c r="J914" s="77"/>
      <c r="K914" s="77"/>
      <c r="L914" s="77"/>
      <c r="M914" s="77"/>
      <c r="N914" s="77"/>
      <c r="O914" s="77"/>
      <c r="P914" s="268"/>
      <c r="Q914" s="268"/>
      <c r="R914" s="77"/>
      <c r="S914" s="77"/>
      <c r="T914" s="77"/>
      <c r="U914" s="77"/>
      <c r="V914" s="77"/>
      <c r="W914" s="77"/>
      <c r="X914" s="77"/>
      <c r="Y914" s="77"/>
      <c r="Z914" s="77"/>
      <c r="AA914" s="77"/>
      <c r="AB914" s="77"/>
      <c r="AC914" s="77"/>
      <c r="AD914" s="77"/>
      <c r="AE914" s="77"/>
      <c r="AF914" s="77"/>
      <c r="AG914" s="77"/>
      <c r="AH914" s="87"/>
      <c r="AI914" s="87"/>
      <c r="AJ914" s="87"/>
      <c r="AK914" s="87"/>
      <c r="AL914" s="87"/>
    </row>
    <row r="915">
      <c r="A915" s="77"/>
      <c r="B915" s="102"/>
      <c r="C915" s="102"/>
      <c r="D915" s="102"/>
      <c r="E915" s="102"/>
      <c r="F915" s="102"/>
      <c r="G915" s="102"/>
      <c r="H915" s="295"/>
      <c r="I915" s="102"/>
      <c r="J915" s="77"/>
      <c r="K915" s="77"/>
      <c r="L915" s="77"/>
      <c r="M915" s="77"/>
      <c r="N915" s="77"/>
      <c r="O915" s="77"/>
      <c r="P915" s="268"/>
      <c r="Q915" s="268"/>
      <c r="R915" s="77"/>
      <c r="S915" s="77"/>
      <c r="T915" s="77"/>
      <c r="U915" s="77"/>
      <c r="V915" s="77"/>
      <c r="W915" s="77"/>
      <c r="X915" s="77"/>
      <c r="Y915" s="77"/>
      <c r="Z915" s="77"/>
      <c r="AA915" s="77"/>
      <c r="AB915" s="77"/>
      <c r="AC915" s="77"/>
      <c r="AD915" s="77"/>
      <c r="AE915" s="77"/>
      <c r="AF915" s="77"/>
      <c r="AG915" s="77"/>
      <c r="AH915" s="87"/>
      <c r="AI915" s="87"/>
      <c r="AJ915" s="87"/>
      <c r="AK915" s="87"/>
      <c r="AL915" s="87"/>
    </row>
    <row r="916">
      <c r="A916" s="77"/>
      <c r="B916" s="102"/>
      <c r="C916" s="102"/>
      <c r="D916" s="102"/>
      <c r="E916" s="102"/>
      <c r="F916" s="102"/>
      <c r="G916" s="102"/>
      <c r="H916" s="295"/>
      <c r="I916" s="102"/>
      <c r="J916" s="77"/>
      <c r="K916" s="77"/>
      <c r="L916" s="77"/>
      <c r="M916" s="77"/>
      <c r="N916" s="77"/>
      <c r="O916" s="77"/>
      <c r="P916" s="268"/>
      <c r="Q916" s="268"/>
      <c r="R916" s="77"/>
      <c r="S916" s="77"/>
      <c r="T916" s="77"/>
      <c r="U916" s="77"/>
      <c r="V916" s="77"/>
      <c r="W916" s="77"/>
      <c r="X916" s="77"/>
      <c r="Y916" s="77"/>
      <c r="Z916" s="77"/>
      <c r="AA916" s="77"/>
      <c r="AB916" s="77"/>
      <c r="AC916" s="77"/>
      <c r="AD916" s="77"/>
      <c r="AE916" s="77"/>
      <c r="AF916" s="77"/>
      <c r="AG916" s="77"/>
      <c r="AH916" s="87"/>
      <c r="AI916" s="87"/>
      <c r="AJ916" s="87"/>
      <c r="AK916" s="87"/>
      <c r="AL916" s="87"/>
    </row>
    <row r="917">
      <c r="A917" s="77"/>
      <c r="B917" s="102"/>
      <c r="C917" s="102"/>
      <c r="D917" s="102"/>
      <c r="E917" s="102"/>
      <c r="F917" s="102"/>
      <c r="G917" s="102"/>
      <c r="H917" s="295"/>
      <c r="I917" s="102"/>
      <c r="J917" s="77"/>
      <c r="K917" s="77"/>
      <c r="L917" s="77"/>
      <c r="M917" s="77"/>
      <c r="N917" s="77"/>
      <c r="O917" s="77"/>
      <c r="P917" s="268"/>
      <c r="Q917" s="268"/>
      <c r="R917" s="77"/>
      <c r="S917" s="77"/>
      <c r="T917" s="77"/>
      <c r="U917" s="77"/>
      <c r="V917" s="77"/>
      <c r="W917" s="77"/>
      <c r="X917" s="77"/>
      <c r="Y917" s="77"/>
      <c r="Z917" s="77"/>
      <c r="AA917" s="77"/>
      <c r="AB917" s="77"/>
      <c r="AC917" s="77"/>
      <c r="AD917" s="77"/>
      <c r="AE917" s="77"/>
      <c r="AF917" s="77"/>
      <c r="AG917" s="77"/>
      <c r="AH917" s="87"/>
      <c r="AI917" s="87"/>
      <c r="AJ917" s="87"/>
      <c r="AK917" s="87"/>
      <c r="AL917" s="87"/>
    </row>
    <row r="918">
      <c r="A918" s="77"/>
      <c r="B918" s="102"/>
      <c r="C918" s="102"/>
      <c r="D918" s="102"/>
      <c r="E918" s="102"/>
      <c r="F918" s="102"/>
      <c r="G918" s="102"/>
      <c r="H918" s="295"/>
      <c r="I918" s="102"/>
      <c r="J918" s="77"/>
      <c r="K918" s="77"/>
      <c r="L918" s="77"/>
      <c r="M918" s="77"/>
      <c r="N918" s="77"/>
      <c r="O918" s="77"/>
      <c r="P918" s="268"/>
      <c r="Q918" s="268"/>
      <c r="R918" s="77"/>
      <c r="S918" s="77"/>
      <c r="T918" s="77"/>
      <c r="U918" s="77"/>
      <c r="V918" s="77"/>
      <c r="W918" s="77"/>
      <c r="X918" s="77"/>
      <c r="Y918" s="77"/>
      <c r="Z918" s="77"/>
      <c r="AA918" s="77"/>
      <c r="AB918" s="77"/>
      <c r="AC918" s="77"/>
      <c r="AD918" s="77"/>
      <c r="AE918" s="77"/>
      <c r="AF918" s="77"/>
      <c r="AG918" s="77"/>
      <c r="AH918" s="87"/>
      <c r="AI918" s="87"/>
      <c r="AJ918" s="87"/>
      <c r="AK918" s="87"/>
      <c r="AL918" s="87"/>
    </row>
    <row r="919">
      <c r="A919" s="77"/>
      <c r="B919" s="102"/>
      <c r="C919" s="102"/>
      <c r="D919" s="102"/>
      <c r="E919" s="102"/>
      <c r="F919" s="102"/>
      <c r="G919" s="102"/>
      <c r="H919" s="295"/>
      <c r="I919" s="102"/>
      <c r="J919" s="77"/>
      <c r="K919" s="77"/>
      <c r="L919" s="77"/>
      <c r="M919" s="77"/>
      <c r="N919" s="77"/>
      <c r="O919" s="77"/>
      <c r="P919" s="268"/>
      <c r="Q919" s="268"/>
      <c r="R919" s="77"/>
      <c r="S919" s="77"/>
      <c r="T919" s="77"/>
      <c r="U919" s="77"/>
      <c r="V919" s="77"/>
      <c r="W919" s="77"/>
      <c r="X919" s="77"/>
      <c r="Y919" s="77"/>
      <c r="Z919" s="77"/>
      <c r="AA919" s="77"/>
      <c r="AB919" s="77"/>
      <c r="AC919" s="77"/>
      <c r="AD919" s="77"/>
      <c r="AE919" s="77"/>
      <c r="AF919" s="77"/>
      <c r="AG919" s="77"/>
      <c r="AH919" s="87"/>
      <c r="AI919" s="87"/>
      <c r="AJ919" s="87"/>
      <c r="AK919" s="87"/>
      <c r="AL919" s="87"/>
    </row>
    <row r="920">
      <c r="A920" s="77"/>
      <c r="B920" s="102"/>
      <c r="C920" s="102"/>
      <c r="D920" s="102"/>
      <c r="E920" s="102"/>
      <c r="F920" s="102"/>
      <c r="G920" s="102"/>
      <c r="H920" s="295"/>
      <c r="I920" s="102"/>
      <c r="J920" s="77"/>
      <c r="K920" s="77"/>
      <c r="L920" s="77"/>
      <c r="M920" s="77"/>
      <c r="N920" s="77"/>
      <c r="O920" s="77"/>
      <c r="P920" s="268"/>
      <c r="Q920" s="268"/>
      <c r="R920" s="77"/>
      <c r="S920" s="77"/>
      <c r="T920" s="77"/>
      <c r="U920" s="77"/>
      <c r="V920" s="77"/>
      <c r="W920" s="77"/>
      <c r="X920" s="77"/>
      <c r="Y920" s="77"/>
      <c r="Z920" s="77"/>
      <c r="AA920" s="77"/>
      <c r="AB920" s="77"/>
      <c r="AC920" s="77"/>
      <c r="AD920" s="77"/>
      <c r="AE920" s="77"/>
      <c r="AF920" s="77"/>
      <c r="AG920" s="77"/>
      <c r="AH920" s="87"/>
      <c r="AI920" s="87"/>
      <c r="AJ920" s="87"/>
      <c r="AK920" s="87"/>
      <c r="AL920" s="87"/>
    </row>
    <row r="921">
      <c r="A921" s="77"/>
      <c r="B921" s="102"/>
      <c r="C921" s="102"/>
      <c r="D921" s="102"/>
      <c r="E921" s="102"/>
      <c r="F921" s="102"/>
      <c r="G921" s="102"/>
      <c r="H921" s="295"/>
      <c r="I921" s="102"/>
      <c r="J921" s="77"/>
      <c r="K921" s="77"/>
      <c r="L921" s="77"/>
      <c r="M921" s="77"/>
      <c r="N921" s="77"/>
      <c r="O921" s="77"/>
      <c r="P921" s="268"/>
      <c r="Q921" s="268"/>
      <c r="R921" s="77"/>
      <c r="S921" s="77"/>
      <c r="T921" s="77"/>
      <c r="U921" s="77"/>
      <c r="V921" s="77"/>
      <c r="W921" s="77"/>
      <c r="X921" s="77"/>
      <c r="Y921" s="77"/>
      <c r="Z921" s="77"/>
      <c r="AA921" s="77"/>
      <c r="AB921" s="77"/>
      <c r="AC921" s="77"/>
      <c r="AD921" s="77"/>
      <c r="AE921" s="77"/>
      <c r="AF921" s="77"/>
      <c r="AG921" s="77"/>
      <c r="AH921" s="87"/>
      <c r="AI921" s="87"/>
      <c r="AJ921" s="87"/>
      <c r="AK921" s="87"/>
      <c r="AL921" s="87"/>
    </row>
    <row r="922">
      <c r="A922" s="77"/>
      <c r="B922" s="102"/>
      <c r="C922" s="102"/>
      <c r="D922" s="102"/>
      <c r="E922" s="102"/>
      <c r="F922" s="102"/>
      <c r="G922" s="102"/>
      <c r="H922" s="295"/>
      <c r="I922" s="102"/>
      <c r="J922" s="77"/>
      <c r="K922" s="77"/>
      <c r="L922" s="77"/>
      <c r="M922" s="77"/>
      <c r="N922" s="77"/>
      <c r="O922" s="77"/>
      <c r="P922" s="268"/>
      <c r="Q922" s="268"/>
      <c r="R922" s="77"/>
      <c r="S922" s="77"/>
      <c r="T922" s="77"/>
      <c r="U922" s="77"/>
      <c r="V922" s="77"/>
      <c r="W922" s="77"/>
      <c r="X922" s="77"/>
      <c r="Y922" s="77"/>
      <c r="Z922" s="77"/>
      <c r="AA922" s="77"/>
      <c r="AB922" s="77"/>
      <c r="AC922" s="77"/>
      <c r="AD922" s="77"/>
      <c r="AE922" s="77"/>
      <c r="AF922" s="77"/>
      <c r="AG922" s="77"/>
      <c r="AH922" s="87"/>
      <c r="AI922" s="87"/>
      <c r="AJ922" s="87"/>
      <c r="AK922" s="87"/>
      <c r="AL922" s="87"/>
    </row>
    <row r="923">
      <c r="A923" s="77"/>
      <c r="B923" s="102"/>
      <c r="C923" s="102"/>
      <c r="D923" s="102"/>
      <c r="E923" s="102"/>
      <c r="F923" s="102"/>
      <c r="G923" s="102"/>
      <c r="H923" s="295"/>
      <c r="I923" s="102"/>
      <c r="J923" s="77"/>
      <c r="K923" s="77"/>
      <c r="L923" s="77"/>
      <c r="M923" s="77"/>
      <c r="N923" s="77"/>
      <c r="O923" s="77"/>
      <c r="P923" s="268"/>
      <c r="Q923" s="268"/>
      <c r="R923" s="77"/>
      <c r="S923" s="77"/>
      <c r="T923" s="77"/>
      <c r="U923" s="77"/>
      <c r="V923" s="77"/>
      <c r="W923" s="77"/>
      <c r="X923" s="77"/>
      <c r="Y923" s="77"/>
      <c r="Z923" s="77"/>
      <c r="AA923" s="77"/>
      <c r="AB923" s="77"/>
      <c r="AC923" s="77"/>
      <c r="AD923" s="77"/>
      <c r="AE923" s="77"/>
      <c r="AF923" s="77"/>
      <c r="AG923" s="77"/>
      <c r="AH923" s="87"/>
      <c r="AI923" s="87"/>
      <c r="AJ923" s="87"/>
      <c r="AK923" s="87"/>
      <c r="AL923" s="87"/>
    </row>
    <row r="924">
      <c r="A924" s="77"/>
      <c r="B924" s="102"/>
      <c r="C924" s="102"/>
      <c r="D924" s="102"/>
      <c r="E924" s="102"/>
      <c r="F924" s="102"/>
      <c r="G924" s="102"/>
      <c r="H924" s="295"/>
      <c r="I924" s="102"/>
      <c r="J924" s="77"/>
      <c r="K924" s="77"/>
      <c r="L924" s="77"/>
      <c r="M924" s="77"/>
      <c r="N924" s="77"/>
      <c r="O924" s="77"/>
      <c r="P924" s="268"/>
      <c r="Q924" s="268"/>
      <c r="R924" s="77"/>
      <c r="S924" s="77"/>
      <c r="T924" s="77"/>
      <c r="U924" s="77"/>
      <c r="V924" s="77"/>
      <c r="W924" s="77"/>
      <c r="X924" s="77"/>
      <c r="Y924" s="77"/>
      <c r="Z924" s="77"/>
      <c r="AA924" s="77"/>
      <c r="AB924" s="77"/>
      <c r="AC924" s="77"/>
      <c r="AD924" s="77"/>
      <c r="AE924" s="77"/>
      <c r="AF924" s="77"/>
      <c r="AG924" s="77"/>
      <c r="AH924" s="87"/>
      <c r="AI924" s="87"/>
      <c r="AJ924" s="87"/>
      <c r="AK924" s="87"/>
      <c r="AL924" s="87"/>
    </row>
    <row r="925">
      <c r="A925" s="77"/>
      <c r="B925" s="102"/>
      <c r="C925" s="102"/>
      <c r="D925" s="102"/>
      <c r="E925" s="102"/>
      <c r="F925" s="102"/>
      <c r="G925" s="102"/>
      <c r="H925" s="295"/>
      <c r="I925" s="102"/>
      <c r="J925" s="77"/>
      <c r="K925" s="77"/>
      <c r="L925" s="77"/>
      <c r="M925" s="77"/>
      <c r="N925" s="77"/>
      <c r="O925" s="77"/>
      <c r="P925" s="268"/>
      <c r="Q925" s="268"/>
      <c r="R925" s="77"/>
      <c r="S925" s="77"/>
      <c r="T925" s="77"/>
      <c r="U925" s="77"/>
      <c r="V925" s="77"/>
      <c r="W925" s="77"/>
      <c r="X925" s="77"/>
      <c r="Y925" s="77"/>
      <c r="Z925" s="77"/>
      <c r="AA925" s="77"/>
      <c r="AB925" s="77"/>
      <c r="AC925" s="77"/>
      <c r="AD925" s="77"/>
      <c r="AE925" s="77"/>
      <c r="AF925" s="77"/>
      <c r="AG925" s="77"/>
      <c r="AH925" s="87"/>
      <c r="AI925" s="87"/>
      <c r="AJ925" s="87"/>
      <c r="AK925" s="87"/>
      <c r="AL925" s="87"/>
    </row>
    <row r="926">
      <c r="A926" s="77"/>
      <c r="B926" s="102"/>
      <c r="C926" s="102"/>
      <c r="D926" s="102"/>
      <c r="E926" s="102"/>
      <c r="F926" s="102"/>
      <c r="G926" s="102"/>
      <c r="H926" s="295"/>
      <c r="I926" s="102"/>
      <c r="J926" s="77"/>
      <c r="K926" s="77"/>
      <c r="L926" s="77"/>
      <c r="M926" s="77"/>
      <c r="N926" s="77"/>
      <c r="O926" s="77"/>
      <c r="P926" s="268"/>
      <c r="Q926" s="268"/>
      <c r="R926" s="77"/>
      <c r="S926" s="77"/>
      <c r="T926" s="77"/>
      <c r="U926" s="77"/>
      <c r="V926" s="77"/>
      <c r="W926" s="77"/>
      <c r="X926" s="77"/>
      <c r="Y926" s="77"/>
      <c r="Z926" s="77"/>
      <c r="AA926" s="77"/>
      <c r="AB926" s="77"/>
      <c r="AC926" s="77"/>
      <c r="AD926" s="77"/>
      <c r="AE926" s="77"/>
      <c r="AF926" s="77"/>
      <c r="AG926" s="77"/>
      <c r="AH926" s="87"/>
      <c r="AI926" s="87"/>
      <c r="AJ926" s="87"/>
      <c r="AK926" s="87"/>
      <c r="AL926" s="87"/>
    </row>
    <row r="927">
      <c r="A927" s="77"/>
      <c r="B927" s="102"/>
      <c r="C927" s="102"/>
      <c r="D927" s="102"/>
      <c r="E927" s="102"/>
      <c r="F927" s="102"/>
      <c r="G927" s="102"/>
      <c r="H927" s="295"/>
      <c r="I927" s="102"/>
      <c r="J927" s="77"/>
      <c r="K927" s="77"/>
      <c r="L927" s="77"/>
      <c r="M927" s="77"/>
      <c r="N927" s="77"/>
      <c r="O927" s="77"/>
      <c r="P927" s="268"/>
      <c r="Q927" s="268"/>
      <c r="R927" s="77"/>
      <c r="S927" s="77"/>
      <c r="T927" s="77"/>
      <c r="U927" s="77"/>
      <c r="V927" s="77"/>
      <c r="W927" s="77"/>
      <c r="X927" s="77"/>
      <c r="Y927" s="77"/>
      <c r="Z927" s="77"/>
      <c r="AA927" s="77"/>
      <c r="AB927" s="77"/>
      <c r="AC927" s="77"/>
      <c r="AD927" s="77"/>
      <c r="AE927" s="77"/>
      <c r="AF927" s="77"/>
      <c r="AG927" s="77"/>
      <c r="AH927" s="87"/>
      <c r="AI927" s="87"/>
      <c r="AJ927" s="87"/>
      <c r="AK927" s="87"/>
      <c r="AL927" s="87"/>
    </row>
    <row r="928">
      <c r="A928" s="77"/>
      <c r="B928" s="102"/>
      <c r="C928" s="102"/>
      <c r="D928" s="102"/>
      <c r="E928" s="102"/>
      <c r="F928" s="102"/>
      <c r="G928" s="102"/>
      <c r="H928" s="295"/>
      <c r="I928" s="102"/>
      <c r="J928" s="77"/>
      <c r="K928" s="77"/>
      <c r="L928" s="77"/>
      <c r="M928" s="77"/>
      <c r="N928" s="77"/>
      <c r="O928" s="77"/>
      <c r="P928" s="268"/>
      <c r="Q928" s="268"/>
      <c r="R928" s="77"/>
      <c r="S928" s="77"/>
      <c r="T928" s="77"/>
      <c r="U928" s="77"/>
      <c r="V928" s="77"/>
      <c r="W928" s="77"/>
      <c r="X928" s="77"/>
      <c r="Y928" s="77"/>
      <c r="Z928" s="77"/>
      <c r="AA928" s="77"/>
      <c r="AB928" s="77"/>
      <c r="AC928" s="77"/>
      <c r="AD928" s="77"/>
      <c r="AE928" s="77"/>
      <c r="AF928" s="77"/>
      <c r="AG928" s="77"/>
      <c r="AH928" s="87"/>
      <c r="AI928" s="87"/>
      <c r="AJ928" s="87"/>
      <c r="AK928" s="87"/>
      <c r="AL928" s="87"/>
    </row>
    <row r="929">
      <c r="A929" s="77"/>
      <c r="B929" s="102"/>
      <c r="C929" s="102"/>
      <c r="D929" s="102"/>
      <c r="E929" s="102"/>
      <c r="F929" s="102"/>
      <c r="G929" s="102"/>
      <c r="H929" s="295"/>
      <c r="I929" s="102"/>
      <c r="J929" s="77"/>
      <c r="K929" s="77"/>
      <c r="L929" s="77"/>
      <c r="M929" s="77"/>
      <c r="N929" s="77"/>
      <c r="O929" s="77"/>
      <c r="P929" s="268"/>
      <c r="Q929" s="268"/>
      <c r="R929" s="77"/>
      <c r="S929" s="77"/>
      <c r="T929" s="77"/>
      <c r="U929" s="77"/>
      <c r="V929" s="77"/>
      <c r="W929" s="77"/>
      <c r="X929" s="77"/>
      <c r="Y929" s="77"/>
      <c r="Z929" s="77"/>
      <c r="AA929" s="77"/>
      <c r="AB929" s="77"/>
      <c r="AC929" s="77"/>
      <c r="AD929" s="77"/>
      <c r="AE929" s="77"/>
      <c r="AF929" s="77"/>
      <c r="AG929" s="77"/>
      <c r="AH929" s="87"/>
      <c r="AI929" s="87"/>
      <c r="AJ929" s="87"/>
      <c r="AK929" s="87"/>
      <c r="AL929" s="87"/>
    </row>
    <row r="930">
      <c r="A930" s="77"/>
      <c r="B930" s="102"/>
      <c r="C930" s="102"/>
      <c r="D930" s="102"/>
      <c r="E930" s="102"/>
      <c r="F930" s="102"/>
      <c r="G930" s="102"/>
      <c r="H930" s="295"/>
      <c r="I930" s="102"/>
      <c r="J930" s="77"/>
      <c r="K930" s="77"/>
      <c r="L930" s="77"/>
      <c r="M930" s="77"/>
      <c r="N930" s="77"/>
      <c r="O930" s="77"/>
      <c r="P930" s="268"/>
      <c r="Q930" s="268"/>
      <c r="R930" s="77"/>
      <c r="S930" s="77"/>
      <c r="T930" s="77"/>
      <c r="U930" s="77"/>
      <c r="V930" s="77"/>
      <c r="W930" s="77"/>
      <c r="X930" s="77"/>
      <c r="Y930" s="77"/>
      <c r="Z930" s="77"/>
      <c r="AA930" s="77"/>
      <c r="AB930" s="77"/>
      <c r="AC930" s="77"/>
      <c r="AD930" s="77"/>
      <c r="AE930" s="77"/>
      <c r="AF930" s="77"/>
      <c r="AG930" s="77"/>
      <c r="AH930" s="87"/>
      <c r="AI930" s="87"/>
      <c r="AJ930" s="87"/>
      <c r="AK930" s="87"/>
      <c r="AL930" s="87"/>
    </row>
    <row r="931">
      <c r="A931" s="77"/>
      <c r="B931" s="102"/>
      <c r="C931" s="102"/>
      <c r="D931" s="102"/>
      <c r="E931" s="102"/>
      <c r="F931" s="102"/>
      <c r="G931" s="102"/>
      <c r="H931" s="295"/>
      <c r="I931" s="102"/>
      <c r="J931" s="77"/>
      <c r="K931" s="77"/>
      <c r="L931" s="77"/>
      <c r="M931" s="77"/>
      <c r="N931" s="77"/>
      <c r="O931" s="77"/>
      <c r="P931" s="268"/>
      <c r="Q931" s="268"/>
      <c r="R931" s="77"/>
      <c r="S931" s="77"/>
      <c r="T931" s="77"/>
      <c r="U931" s="77"/>
      <c r="V931" s="77"/>
      <c r="W931" s="77"/>
      <c r="X931" s="77"/>
      <c r="Y931" s="77"/>
      <c r="Z931" s="77"/>
      <c r="AA931" s="77"/>
      <c r="AB931" s="77"/>
      <c r="AC931" s="77"/>
      <c r="AD931" s="77"/>
      <c r="AE931" s="77"/>
      <c r="AF931" s="77"/>
      <c r="AG931" s="77"/>
      <c r="AH931" s="87"/>
      <c r="AI931" s="87"/>
      <c r="AJ931" s="87"/>
      <c r="AK931" s="87"/>
      <c r="AL931" s="87"/>
    </row>
    <row r="932">
      <c r="A932" s="77"/>
      <c r="B932" s="102"/>
      <c r="C932" s="102"/>
      <c r="D932" s="102"/>
      <c r="E932" s="102"/>
      <c r="F932" s="102"/>
      <c r="G932" s="102"/>
      <c r="H932" s="295"/>
      <c r="I932" s="102"/>
      <c r="J932" s="77"/>
      <c r="K932" s="77"/>
      <c r="L932" s="77"/>
      <c r="M932" s="77"/>
      <c r="N932" s="77"/>
      <c r="O932" s="77"/>
      <c r="P932" s="268"/>
      <c r="Q932" s="268"/>
      <c r="R932" s="77"/>
      <c r="S932" s="77"/>
      <c r="T932" s="77"/>
      <c r="U932" s="77"/>
      <c r="V932" s="77"/>
      <c r="W932" s="77"/>
      <c r="X932" s="77"/>
      <c r="Y932" s="77"/>
      <c r="Z932" s="77"/>
      <c r="AA932" s="77"/>
      <c r="AB932" s="77"/>
      <c r="AC932" s="77"/>
      <c r="AD932" s="77"/>
      <c r="AE932" s="77"/>
      <c r="AF932" s="77"/>
      <c r="AG932" s="77"/>
      <c r="AH932" s="87"/>
      <c r="AI932" s="87"/>
      <c r="AJ932" s="87"/>
      <c r="AK932" s="87"/>
      <c r="AL932" s="87"/>
    </row>
    <row r="933">
      <c r="A933" s="77"/>
      <c r="B933" s="102"/>
      <c r="C933" s="102"/>
      <c r="D933" s="102"/>
      <c r="E933" s="102"/>
      <c r="F933" s="102"/>
      <c r="G933" s="102"/>
      <c r="H933" s="295"/>
      <c r="I933" s="102"/>
      <c r="J933" s="77"/>
      <c r="K933" s="77"/>
      <c r="L933" s="77"/>
      <c r="M933" s="77"/>
      <c r="N933" s="77"/>
      <c r="O933" s="77"/>
      <c r="P933" s="268"/>
      <c r="Q933" s="268"/>
      <c r="R933" s="77"/>
      <c r="S933" s="77"/>
      <c r="T933" s="77"/>
      <c r="U933" s="77"/>
      <c r="V933" s="77"/>
      <c r="W933" s="77"/>
      <c r="X933" s="77"/>
      <c r="Y933" s="77"/>
      <c r="Z933" s="77"/>
      <c r="AA933" s="77"/>
      <c r="AB933" s="77"/>
      <c r="AC933" s="77"/>
      <c r="AD933" s="77"/>
      <c r="AE933" s="77"/>
      <c r="AF933" s="77"/>
      <c r="AG933" s="77"/>
      <c r="AH933" s="87"/>
      <c r="AI933" s="87"/>
      <c r="AJ933" s="87"/>
      <c r="AK933" s="87"/>
      <c r="AL933" s="87"/>
    </row>
    <row r="934">
      <c r="A934" s="77"/>
      <c r="B934" s="102"/>
      <c r="C934" s="102"/>
      <c r="D934" s="102"/>
      <c r="E934" s="102"/>
      <c r="F934" s="102"/>
      <c r="G934" s="102"/>
      <c r="H934" s="295"/>
      <c r="I934" s="102"/>
      <c r="J934" s="77"/>
      <c r="K934" s="77"/>
      <c r="L934" s="77"/>
      <c r="M934" s="77"/>
      <c r="N934" s="77"/>
      <c r="O934" s="77"/>
      <c r="P934" s="268"/>
      <c r="Q934" s="268"/>
      <c r="R934" s="77"/>
      <c r="S934" s="77"/>
      <c r="T934" s="77"/>
      <c r="U934" s="77"/>
      <c r="V934" s="77"/>
      <c r="W934" s="77"/>
      <c r="X934" s="77"/>
      <c r="Y934" s="77"/>
      <c r="Z934" s="77"/>
      <c r="AA934" s="77"/>
      <c r="AB934" s="77"/>
      <c r="AC934" s="77"/>
      <c r="AD934" s="77"/>
      <c r="AE934" s="77"/>
      <c r="AF934" s="77"/>
      <c r="AG934" s="77"/>
      <c r="AH934" s="87"/>
      <c r="AI934" s="87"/>
      <c r="AJ934" s="87"/>
      <c r="AK934" s="87"/>
      <c r="AL934" s="87"/>
    </row>
    <row r="935">
      <c r="A935" s="77"/>
      <c r="B935" s="102"/>
      <c r="C935" s="102"/>
      <c r="D935" s="102"/>
      <c r="E935" s="102"/>
      <c r="F935" s="102"/>
      <c r="G935" s="102"/>
      <c r="H935" s="295"/>
      <c r="I935" s="102"/>
      <c r="J935" s="77"/>
      <c r="K935" s="77"/>
      <c r="L935" s="77"/>
      <c r="M935" s="77"/>
      <c r="N935" s="77"/>
      <c r="O935" s="77"/>
      <c r="P935" s="268"/>
      <c r="Q935" s="268"/>
      <c r="R935" s="77"/>
      <c r="S935" s="77"/>
      <c r="T935" s="77"/>
      <c r="U935" s="77"/>
      <c r="V935" s="77"/>
      <c r="W935" s="77"/>
      <c r="X935" s="77"/>
      <c r="Y935" s="77"/>
      <c r="Z935" s="77"/>
      <c r="AA935" s="77"/>
      <c r="AB935" s="77"/>
      <c r="AC935" s="77"/>
      <c r="AD935" s="77"/>
      <c r="AE935" s="77"/>
      <c r="AF935" s="77"/>
      <c r="AG935" s="77"/>
      <c r="AH935" s="87"/>
      <c r="AI935" s="87"/>
      <c r="AJ935" s="87"/>
      <c r="AK935" s="87"/>
      <c r="AL935" s="87"/>
    </row>
    <row r="936">
      <c r="A936" s="77"/>
      <c r="B936" s="102"/>
      <c r="C936" s="102"/>
      <c r="D936" s="102"/>
      <c r="E936" s="102"/>
      <c r="F936" s="102"/>
      <c r="G936" s="102"/>
      <c r="H936" s="295"/>
      <c r="I936" s="102"/>
      <c r="J936" s="77"/>
      <c r="K936" s="77"/>
      <c r="L936" s="77"/>
      <c r="M936" s="77"/>
      <c r="N936" s="77"/>
      <c r="O936" s="77"/>
      <c r="P936" s="268"/>
      <c r="Q936" s="268"/>
      <c r="R936" s="77"/>
      <c r="S936" s="77"/>
      <c r="T936" s="77"/>
      <c r="U936" s="77"/>
      <c r="V936" s="77"/>
      <c r="W936" s="77"/>
      <c r="X936" s="77"/>
      <c r="Y936" s="77"/>
      <c r="Z936" s="77"/>
      <c r="AA936" s="77"/>
      <c r="AB936" s="77"/>
      <c r="AC936" s="77"/>
      <c r="AD936" s="77"/>
      <c r="AE936" s="77"/>
      <c r="AF936" s="77"/>
      <c r="AG936" s="77"/>
      <c r="AH936" s="87"/>
      <c r="AI936" s="87"/>
      <c r="AJ936" s="87"/>
      <c r="AK936" s="87"/>
      <c r="AL936" s="87"/>
    </row>
    <row r="937">
      <c r="A937" s="77"/>
      <c r="B937" s="102"/>
      <c r="C937" s="102"/>
      <c r="D937" s="102"/>
      <c r="E937" s="102"/>
      <c r="F937" s="102"/>
      <c r="G937" s="102"/>
      <c r="H937" s="295"/>
      <c r="I937" s="102"/>
      <c r="J937" s="77"/>
      <c r="K937" s="77"/>
      <c r="L937" s="77"/>
      <c r="M937" s="77"/>
      <c r="N937" s="77"/>
      <c r="O937" s="77"/>
      <c r="P937" s="268"/>
      <c r="Q937" s="268"/>
      <c r="R937" s="77"/>
      <c r="S937" s="77"/>
      <c r="T937" s="77"/>
      <c r="U937" s="77"/>
      <c r="V937" s="77"/>
      <c r="W937" s="77"/>
      <c r="X937" s="77"/>
      <c r="Y937" s="77"/>
      <c r="Z937" s="77"/>
      <c r="AA937" s="77"/>
      <c r="AB937" s="77"/>
      <c r="AC937" s="77"/>
      <c r="AD937" s="77"/>
      <c r="AE937" s="77"/>
      <c r="AF937" s="77"/>
      <c r="AG937" s="77"/>
      <c r="AH937" s="87"/>
      <c r="AI937" s="87"/>
      <c r="AJ937" s="87"/>
      <c r="AK937" s="87"/>
      <c r="AL937" s="87"/>
    </row>
    <row r="938">
      <c r="A938" s="77"/>
      <c r="B938" s="102"/>
      <c r="C938" s="102"/>
      <c r="D938" s="102"/>
      <c r="E938" s="102"/>
      <c r="F938" s="102"/>
      <c r="G938" s="102"/>
      <c r="H938" s="295"/>
      <c r="I938" s="102"/>
      <c r="J938" s="77"/>
      <c r="K938" s="77"/>
      <c r="L938" s="77"/>
      <c r="M938" s="77"/>
      <c r="N938" s="77"/>
      <c r="O938" s="77"/>
      <c r="P938" s="268"/>
      <c r="Q938" s="268"/>
      <c r="R938" s="77"/>
      <c r="S938" s="77"/>
      <c r="T938" s="77"/>
      <c r="U938" s="77"/>
      <c r="V938" s="77"/>
      <c r="W938" s="77"/>
      <c r="X938" s="77"/>
      <c r="Y938" s="77"/>
      <c r="Z938" s="77"/>
      <c r="AA938" s="77"/>
      <c r="AB938" s="77"/>
      <c r="AC938" s="77"/>
      <c r="AD938" s="77"/>
      <c r="AE938" s="77"/>
      <c r="AF938" s="77"/>
      <c r="AG938" s="77"/>
      <c r="AH938" s="87"/>
      <c r="AI938" s="87"/>
      <c r="AJ938" s="87"/>
      <c r="AK938" s="87"/>
      <c r="AL938" s="87"/>
    </row>
    <row r="939">
      <c r="A939" s="77"/>
      <c r="B939" s="102"/>
      <c r="C939" s="102"/>
      <c r="D939" s="102"/>
      <c r="E939" s="102"/>
      <c r="F939" s="102"/>
      <c r="G939" s="102"/>
      <c r="H939" s="295"/>
      <c r="I939" s="102"/>
      <c r="J939" s="77"/>
      <c r="K939" s="77"/>
      <c r="L939" s="77"/>
      <c r="M939" s="77"/>
      <c r="N939" s="77"/>
      <c r="O939" s="77"/>
      <c r="P939" s="268"/>
      <c r="Q939" s="268"/>
      <c r="R939" s="77"/>
      <c r="S939" s="77"/>
      <c r="T939" s="77"/>
      <c r="U939" s="77"/>
      <c r="V939" s="77"/>
      <c r="W939" s="77"/>
      <c r="X939" s="77"/>
      <c r="Y939" s="77"/>
      <c r="Z939" s="77"/>
      <c r="AA939" s="77"/>
      <c r="AB939" s="77"/>
      <c r="AC939" s="77"/>
      <c r="AD939" s="77"/>
      <c r="AE939" s="77"/>
      <c r="AF939" s="77"/>
      <c r="AG939" s="77"/>
      <c r="AH939" s="87"/>
      <c r="AI939" s="87"/>
      <c r="AJ939" s="87"/>
      <c r="AK939" s="87"/>
      <c r="AL939" s="87"/>
    </row>
    <row r="940">
      <c r="A940" s="77"/>
      <c r="B940" s="102"/>
      <c r="C940" s="102"/>
      <c r="D940" s="102"/>
      <c r="E940" s="102"/>
      <c r="F940" s="102"/>
      <c r="G940" s="102"/>
      <c r="H940" s="295"/>
      <c r="I940" s="102"/>
      <c r="J940" s="77"/>
      <c r="K940" s="77"/>
      <c r="L940" s="77"/>
      <c r="M940" s="77"/>
      <c r="N940" s="77"/>
      <c r="O940" s="77"/>
      <c r="P940" s="268"/>
      <c r="Q940" s="268"/>
      <c r="R940" s="77"/>
      <c r="S940" s="77"/>
      <c r="T940" s="77"/>
      <c r="U940" s="77"/>
      <c r="V940" s="77"/>
      <c r="W940" s="77"/>
      <c r="X940" s="77"/>
      <c r="Y940" s="77"/>
      <c r="Z940" s="77"/>
      <c r="AA940" s="77"/>
      <c r="AB940" s="77"/>
      <c r="AC940" s="77"/>
      <c r="AD940" s="77"/>
      <c r="AE940" s="77"/>
      <c r="AF940" s="77"/>
      <c r="AG940" s="77"/>
      <c r="AH940" s="87"/>
      <c r="AI940" s="87"/>
      <c r="AJ940" s="87"/>
      <c r="AK940" s="87"/>
      <c r="AL940" s="87"/>
    </row>
    <row r="941">
      <c r="A941" s="77"/>
      <c r="B941" s="102"/>
      <c r="C941" s="102"/>
      <c r="D941" s="102"/>
      <c r="E941" s="102"/>
      <c r="F941" s="102"/>
      <c r="G941" s="102"/>
      <c r="H941" s="295"/>
      <c r="I941" s="102"/>
      <c r="J941" s="77"/>
      <c r="K941" s="77"/>
      <c r="L941" s="77"/>
      <c r="M941" s="77"/>
      <c r="N941" s="77"/>
      <c r="O941" s="77"/>
      <c r="P941" s="268"/>
      <c r="Q941" s="268"/>
      <c r="R941" s="77"/>
      <c r="S941" s="77"/>
      <c r="T941" s="77"/>
      <c r="U941" s="77"/>
      <c r="V941" s="77"/>
      <c r="W941" s="77"/>
      <c r="X941" s="77"/>
      <c r="Y941" s="77"/>
      <c r="Z941" s="77"/>
      <c r="AA941" s="77"/>
      <c r="AB941" s="77"/>
      <c r="AC941" s="77"/>
      <c r="AD941" s="77"/>
      <c r="AE941" s="77"/>
      <c r="AF941" s="77"/>
      <c r="AG941" s="77"/>
      <c r="AH941" s="87"/>
      <c r="AI941" s="87"/>
      <c r="AJ941" s="87"/>
      <c r="AK941" s="87"/>
      <c r="AL941" s="87"/>
    </row>
    <row r="942">
      <c r="A942" s="77"/>
      <c r="B942" s="102"/>
      <c r="C942" s="102"/>
      <c r="D942" s="102"/>
      <c r="E942" s="102"/>
      <c r="F942" s="102"/>
      <c r="G942" s="102"/>
      <c r="H942" s="295"/>
      <c r="I942" s="102"/>
      <c r="J942" s="77"/>
      <c r="K942" s="77"/>
      <c r="L942" s="77"/>
      <c r="M942" s="77"/>
      <c r="N942" s="77"/>
      <c r="O942" s="77"/>
      <c r="P942" s="268"/>
      <c r="Q942" s="268"/>
      <c r="R942" s="77"/>
      <c r="S942" s="77"/>
      <c r="T942" s="77"/>
      <c r="U942" s="77"/>
      <c r="V942" s="77"/>
      <c r="W942" s="77"/>
      <c r="X942" s="77"/>
      <c r="Y942" s="77"/>
      <c r="Z942" s="77"/>
      <c r="AA942" s="77"/>
      <c r="AB942" s="77"/>
      <c r="AC942" s="77"/>
      <c r="AD942" s="77"/>
      <c r="AE942" s="77"/>
      <c r="AF942" s="77"/>
      <c r="AG942" s="77"/>
      <c r="AH942" s="87"/>
      <c r="AI942" s="87"/>
      <c r="AJ942" s="87"/>
      <c r="AK942" s="87"/>
      <c r="AL942" s="87"/>
    </row>
    <row r="943">
      <c r="A943" s="77"/>
      <c r="B943" s="102"/>
      <c r="C943" s="102"/>
      <c r="D943" s="102"/>
      <c r="E943" s="102"/>
      <c r="F943" s="102"/>
      <c r="G943" s="102"/>
      <c r="H943" s="295"/>
      <c r="I943" s="102"/>
      <c r="J943" s="77"/>
      <c r="K943" s="77"/>
      <c r="L943" s="77"/>
      <c r="M943" s="77"/>
      <c r="N943" s="77"/>
      <c r="O943" s="77"/>
      <c r="P943" s="268"/>
      <c r="Q943" s="268"/>
      <c r="R943" s="77"/>
      <c r="S943" s="77"/>
      <c r="T943" s="77"/>
      <c r="U943" s="77"/>
      <c r="V943" s="77"/>
      <c r="W943" s="77"/>
      <c r="X943" s="77"/>
      <c r="Y943" s="77"/>
      <c r="Z943" s="77"/>
      <c r="AA943" s="77"/>
      <c r="AB943" s="77"/>
      <c r="AC943" s="77"/>
      <c r="AD943" s="77"/>
      <c r="AE943" s="77"/>
      <c r="AF943" s="77"/>
      <c r="AG943" s="77"/>
      <c r="AH943" s="87"/>
      <c r="AI943" s="87"/>
      <c r="AJ943" s="87"/>
      <c r="AK943" s="87"/>
      <c r="AL943" s="87"/>
    </row>
    <row r="944">
      <c r="A944" s="77"/>
      <c r="B944" s="102"/>
      <c r="C944" s="102"/>
      <c r="D944" s="102"/>
      <c r="E944" s="102"/>
      <c r="F944" s="102"/>
      <c r="G944" s="102"/>
      <c r="H944" s="295"/>
      <c r="I944" s="102"/>
      <c r="J944" s="77"/>
      <c r="K944" s="77"/>
      <c r="L944" s="77"/>
      <c r="M944" s="77"/>
      <c r="N944" s="77"/>
      <c r="O944" s="77"/>
      <c r="P944" s="268"/>
      <c r="Q944" s="268"/>
      <c r="R944" s="77"/>
      <c r="S944" s="77"/>
      <c r="T944" s="77"/>
      <c r="U944" s="77"/>
      <c r="V944" s="77"/>
      <c r="W944" s="77"/>
      <c r="X944" s="77"/>
      <c r="Y944" s="77"/>
      <c r="Z944" s="77"/>
      <c r="AA944" s="77"/>
      <c r="AB944" s="77"/>
      <c r="AC944" s="77"/>
      <c r="AD944" s="77"/>
      <c r="AE944" s="77"/>
      <c r="AF944" s="77"/>
      <c r="AG944" s="77"/>
      <c r="AH944" s="87"/>
      <c r="AI944" s="87"/>
      <c r="AJ944" s="87"/>
      <c r="AK944" s="87"/>
      <c r="AL944" s="87"/>
    </row>
    <row r="945">
      <c r="A945" s="77"/>
      <c r="B945" s="102"/>
      <c r="C945" s="102"/>
      <c r="D945" s="102"/>
      <c r="E945" s="102"/>
      <c r="F945" s="102"/>
      <c r="G945" s="102"/>
      <c r="H945" s="295"/>
      <c r="I945" s="102"/>
      <c r="J945" s="77"/>
      <c r="K945" s="77"/>
      <c r="L945" s="77"/>
      <c r="M945" s="77"/>
      <c r="N945" s="77"/>
      <c r="O945" s="77"/>
      <c r="P945" s="268"/>
      <c r="Q945" s="268"/>
      <c r="R945" s="77"/>
      <c r="S945" s="77"/>
      <c r="T945" s="77"/>
      <c r="U945" s="77"/>
      <c r="V945" s="77"/>
      <c r="W945" s="77"/>
      <c r="X945" s="77"/>
      <c r="Y945" s="77"/>
      <c r="Z945" s="77"/>
      <c r="AA945" s="77"/>
      <c r="AB945" s="77"/>
      <c r="AC945" s="77"/>
      <c r="AD945" s="77"/>
      <c r="AE945" s="77"/>
      <c r="AF945" s="77"/>
      <c r="AG945" s="77"/>
      <c r="AH945" s="87"/>
      <c r="AI945" s="87"/>
      <c r="AJ945" s="87"/>
      <c r="AK945" s="87"/>
      <c r="AL945" s="87"/>
    </row>
    <row r="946">
      <c r="A946" s="77"/>
      <c r="B946" s="102"/>
      <c r="C946" s="102"/>
      <c r="D946" s="102"/>
      <c r="E946" s="102"/>
      <c r="F946" s="102"/>
      <c r="G946" s="102"/>
      <c r="H946" s="295"/>
      <c r="I946" s="102"/>
      <c r="J946" s="77"/>
      <c r="K946" s="77"/>
      <c r="L946" s="77"/>
      <c r="M946" s="77"/>
      <c r="N946" s="77"/>
      <c r="O946" s="77"/>
      <c r="P946" s="268"/>
      <c r="Q946" s="268"/>
      <c r="R946" s="77"/>
      <c r="S946" s="77"/>
      <c r="T946" s="77"/>
      <c r="U946" s="77"/>
      <c r="V946" s="77"/>
      <c r="W946" s="77"/>
      <c r="X946" s="77"/>
      <c r="Y946" s="77"/>
      <c r="Z946" s="77"/>
      <c r="AA946" s="77"/>
      <c r="AB946" s="77"/>
      <c r="AC946" s="77"/>
      <c r="AD946" s="77"/>
      <c r="AE946" s="77"/>
      <c r="AF946" s="77"/>
      <c r="AG946" s="77"/>
      <c r="AH946" s="87"/>
      <c r="AI946" s="87"/>
      <c r="AJ946" s="87"/>
      <c r="AK946" s="87"/>
      <c r="AL946" s="87"/>
    </row>
    <row r="947">
      <c r="A947" s="77"/>
      <c r="B947" s="102"/>
      <c r="C947" s="102"/>
      <c r="D947" s="102"/>
      <c r="E947" s="102"/>
      <c r="F947" s="102"/>
      <c r="G947" s="102"/>
      <c r="H947" s="295"/>
      <c r="I947" s="102"/>
      <c r="J947" s="77"/>
      <c r="K947" s="77"/>
      <c r="L947" s="77"/>
      <c r="M947" s="77"/>
      <c r="N947" s="77"/>
      <c r="O947" s="77"/>
      <c r="P947" s="268"/>
      <c r="Q947" s="268"/>
      <c r="R947" s="77"/>
      <c r="S947" s="77"/>
      <c r="T947" s="77"/>
      <c r="U947" s="77"/>
      <c r="V947" s="77"/>
      <c r="W947" s="77"/>
      <c r="X947" s="77"/>
      <c r="Y947" s="77"/>
      <c r="Z947" s="77"/>
      <c r="AA947" s="77"/>
      <c r="AB947" s="77"/>
      <c r="AC947" s="77"/>
      <c r="AD947" s="77"/>
      <c r="AE947" s="77"/>
      <c r="AF947" s="77"/>
      <c r="AG947" s="77"/>
      <c r="AH947" s="87"/>
      <c r="AI947" s="87"/>
      <c r="AJ947" s="87"/>
      <c r="AK947" s="87"/>
      <c r="AL947" s="87"/>
    </row>
    <row r="948">
      <c r="A948" s="77"/>
      <c r="B948" s="102"/>
      <c r="C948" s="102"/>
      <c r="D948" s="102"/>
      <c r="E948" s="102"/>
      <c r="F948" s="102"/>
      <c r="G948" s="102"/>
      <c r="H948" s="295"/>
      <c r="I948" s="102"/>
      <c r="J948" s="77"/>
      <c r="K948" s="77"/>
      <c r="L948" s="77"/>
      <c r="M948" s="77"/>
      <c r="N948" s="77"/>
      <c r="O948" s="77"/>
      <c r="P948" s="268"/>
      <c r="Q948" s="268"/>
      <c r="R948" s="77"/>
      <c r="S948" s="77"/>
      <c r="T948" s="77"/>
      <c r="U948" s="77"/>
      <c r="V948" s="77"/>
      <c r="W948" s="77"/>
      <c r="X948" s="77"/>
      <c r="Y948" s="77"/>
      <c r="Z948" s="77"/>
      <c r="AA948" s="77"/>
      <c r="AB948" s="77"/>
      <c r="AC948" s="77"/>
      <c r="AD948" s="77"/>
      <c r="AE948" s="77"/>
      <c r="AF948" s="77"/>
      <c r="AG948" s="77"/>
      <c r="AH948" s="87"/>
      <c r="AI948" s="87"/>
      <c r="AJ948" s="87"/>
      <c r="AK948" s="87"/>
      <c r="AL948" s="87"/>
    </row>
    <row r="949">
      <c r="A949" s="77"/>
      <c r="B949" s="102"/>
      <c r="C949" s="102"/>
      <c r="D949" s="102"/>
      <c r="E949" s="102"/>
      <c r="F949" s="102"/>
      <c r="G949" s="102"/>
      <c r="H949" s="295"/>
      <c r="I949" s="102"/>
      <c r="J949" s="77"/>
      <c r="K949" s="77"/>
      <c r="L949" s="77"/>
      <c r="M949" s="77"/>
      <c r="N949" s="77"/>
      <c r="O949" s="77"/>
      <c r="P949" s="268"/>
      <c r="Q949" s="268"/>
      <c r="R949" s="77"/>
      <c r="S949" s="77"/>
      <c r="T949" s="77"/>
      <c r="U949" s="77"/>
      <c r="V949" s="77"/>
      <c r="W949" s="77"/>
      <c r="X949" s="77"/>
      <c r="Y949" s="77"/>
      <c r="Z949" s="77"/>
      <c r="AA949" s="77"/>
      <c r="AB949" s="77"/>
      <c r="AC949" s="77"/>
      <c r="AD949" s="77"/>
      <c r="AE949" s="77"/>
      <c r="AF949" s="77"/>
      <c r="AG949" s="77"/>
      <c r="AH949" s="87"/>
      <c r="AI949" s="87"/>
      <c r="AJ949" s="87"/>
      <c r="AK949" s="87"/>
      <c r="AL949" s="87"/>
    </row>
    <row r="950">
      <c r="A950" s="77"/>
      <c r="B950" s="102"/>
      <c r="C950" s="102"/>
      <c r="D950" s="102"/>
      <c r="E950" s="102"/>
      <c r="F950" s="102"/>
      <c r="G950" s="102"/>
      <c r="H950" s="295"/>
      <c r="I950" s="102"/>
      <c r="J950" s="77"/>
      <c r="K950" s="77"/>
      <c r="L950" s="77"/>
      <c r="M950" s="77"/>
      <c r="N950" s="77"/>
      <c r="O950" s="77"/>
      <c r="P950" s="268"/>
      <c r="Q950" s="268"/>
      <c r="R950" s="77"/>
      <c r="S950" s="77"/>
      <c r="T950" s="77"/>
      <c r="U950" s="77"/>
      <c r="V950" s="77"/>
      <c r="W950" s="77"/>
      <c r="X950" s="77"/>
      <c r="Y950" s="77"/>
      <c r="Z950" s="77"/>
      <c r="AA950" s="77"/>
      <c r="AB950" s="77"/>
      <c r="AC950" s="77"/>
      <c r="AD950" s="77"/>
      <c r="AE950" s="77"/>
      <c r="AF950" s="77"/>
      <c r="AG950" s="77"/>
      <c r="AH950" s="87"/>
      <c r="AI950" s="87"/>
      <c r="AJ950" s="87"/>
      <c r="AK950" s="87"/>
      <c r="AL950" s="87"/>
    </row>
    <row r="951">
      <c r="A951" s="77"/>
      <c r="B951" s="102"/>
      <c r="C951" s="102"/>
      <c r="D951" s="102"/>
      <c r="E951" s="102"/>
      <c r="F951" s="102"/>
      <c r="G951" s="102"/>
      <c r="H951" s="295"/>
      <c r="I951" s="102"/>
      <c r="J951" s="77"/>
      <c r="K951" s="77"/>
      <c r="L951" s="77"/>
      <c r="M951" s="77"/>
      <c r="N951" s="77"/>
      <c r="O951" s="77"/>
      <c r="P951" s="268"/>
      <c r="Q951" s="268"/>
      <c r="R951" s="77"/>
      <c r="S951" s="77"/>
      <c r="T951" s="77"/>
      <c r="U951" s="77"/>
      <c r="V951" s="77"/>
      <c r="W951" s="77"/>
      <c r="X951" s="77"/>
      <c r="Y951" s="77"/>
      <c r="Z951" s="77"/>
      <c r="AA951" s="77"/>
      <c r="AB951" s="77"/>
      <c r="AC951" s="77"/>
      <c r="AD951" s="77"/>
      <c r="AE951" s="77"/>
      <c r="AF951" s="77"/>
      <c r="AG951" s="77"/>
      <c r="AH951" s="87"/>
      <c r="AI951" s="87"/>
      <c r="AJ951" s="87"/>
      <c r="AK951" s="87"/>
      <c r="AL951" s="87"/>
    </row>
    <row r="952">
      <c r="A952" s="77"/>
      <c r="B952" s="102"/>
      <c r="C952" s="102"/>
      <c r="D952" s="102"/>
      <c r="E952" s="102"/>
      <c r="F952" s="102"/>
      <c r="G952" s="102"/>
      <c r="H952" s="295"/>
      <c r="I952" s="102"/>
      <c r="J952" s="77"/>
      <c r="K952" s="77"/>
      <c r="L952" s="77"/>
      <c r="M952" s="77"/>
      <c r="N952" s="77"/>
      <c r="O952" s="77"/>
      <c r="P952" s="268"/>
      <c r="Q952" s="268"/>
      <c r="R952" s="77"/>
      <c r="S952" s="77"/>
      <c r="T952" s="77"/>
      <c r="U952" s="77"/>
      <c r="V952" s="77"/>
      <c r="W952" s="77"/>
      <c r="X952" s="77"/>
      <c r="Y952" s="77"/>
      <c r="Z952" s="77"/>
      <c r="AA952" s="77"/>
      <c r="AB952" s="77"/>
      <c r="AC952" s="77"/>
      <c r="AD952" s="77"/>
      <c r="AE952" s="77"/>
      <c r="AF952" s="77"/>
      <c r="AG952" s="77"/>
      <c r="AH952" s="87"/>
      <c r="AI952" s="87"/>
      <c r="AJ952" s="87"/>
      <c r="AK952" s="87"/>
      <c r="AL952" s="87"/>
    </row>
    <row r="953">
      <c r="A953" s="77"/>
      <c r="B953" s="102"/>
      <c r="C953" s="102"/>
      <c r="D953" s="102"/>
      <c r="E953" s="102"/>
      <c r="F953" s="102"/>
      <c r="G953" s="102"/>
      <c r="H953" s="295"/>
      <c r="I953" s="102"/>
      <c r="J953" s="77"/>
      <c r="K953" s="77"/>
      <c r="L953" s="77"/>
      <c r="M953" s="77"/>
      <c r="N953" s="77"/>
      <c r="O953" s="77"/>
      <c r="P953" s="268"/>
      <c r="Q953" s="268"/>
      <c r="R953" s="77"/>
      <c r="S953" s="77"/>
      <c r="T953" s="77"/>
      <c r="U953" s="77"/>
      <c r="V953" s="77"/>
      <c r="W953" s="77"/>
      <c r="X953" s="77"/>
      <c r="Y953" s="77"/>
      <c r="Z953" s="77"/>
      <c r="AA953" s="77"/>
      <c r="AB953" s="77"/>
      <c r="AC953" s="77"/>
      <c r="AD953" s="77"/>
      <c r="AE953" s="77"/>
      <c r="AF953" s="77"/>
      <c r="AG953" s="77"/>
      <c r="AH953" s="87"/>
      <c r="AI953" s="87"/>
      <c r="AJ953" s="87"/>
      <c r="AK953" s="87"/>
      <c r="AL953" s="87"/>
    </row>
    <row r="954">
      <c r="A954" s="77"/>
      <c r="B954" s="102"/>
      <c r="C954" s="102"/>
      <c r="D954" s="102"/>
      <c r="E954" s="102"/>
      <c r="F954" s="102"/>
      <c r="G954" s="102"/>
      <c r="H954" s="295"/>
      <c r="I954" s="102"/>
      <c r="J954" s="77"/>
      <c r="K954" s="77"/>
      <c r="L954" s="77"/>
      <c r="M954" s="77"/>
      <c r="N954" s="77"/>
      <c r="O954" s="77"/>
      <c r="P954" s="268"/>
      <c r="Q954" s="268"/>
      <c r="R954" s="77"/>
      <c r="S954" s="77"/>
      <c r="T954" s="77"/>
      <c r="U954" s="77"/>
      <c r="V954" s="77"/>
      <c r="W954" s="77"/>
      <c r="X954" s="77"/>
      <c r="Y954" s="77"/>
      <c r="Z954" s="77"/>
      <c r="AA954" s="77"/>
      <c r="AB954" s="77"/>
      <c r="AC954" s="77"/>
      <c r="AD954" s="77"/>
      <c r="AE954" s="77"/>
      <c r="AF954" s="77"/>
      <c r="AG954" s="77"/>
      <c r="AH954" s="87"/>
      <c r="AI954" s="87"/>
      <c r="AJ954" s="87"/>
      <c r="AK954" s="87"/>
      <c r="AL954" s="87"/>
    </row>
    <row r="955">
      <c r="A955" s="77"/>
      <c r="B955" s="102"/>
      <c r="C955" s="102"/>
      <c r="D955" s="102"/>
      <c r="E955" s="102"/>
      <c r="F955" s="102"/>
      <c r="G955" s="102"/>
      <c r="H955" s="295"/>
      <c r="I955" s="102"/>
      <c r="J955" s="77"/>
      <c r="K955" s="77"/>
      <c r="L955" s="77"/>
      <c r="M955" s="77"/>
      <c r="N955" s="77"/>
      <c r="O955" s="77"/>
      <c r="P955" s="268"/>
      <c r="Q955" s="268"/>
      <c r="R955" s="77"/>
      <c r="S955" s="77"/>
      <c r="T955" s="77"/>
      <c r="U955" s="77"/>
      <c r="V955" s="77"/>
      <c r="W955" s="77"/>
      <c r="X955" s="77"/>
      <c r="Y955" s="77"/>
      <c r="Z955" s="77"/>
      <c r="AA955" s="77"/>
      <c r="AB955" s="77"/>
      <c r="AC955" s="77"/>
      <c r="AD955" s="77"/>
      <c r="AE955" s="77"/>
      <c r="AF955" s="77"/>
      <c r="AG955" s="77"/>
      <c r="AH955" s="87"/>
      <c r="AI955" s="87"/>
      <c r="AJ955" s="87"/>
      <c r="AK955" s="87"/>
      <c r="AL955" s="87"/>
    </row>
    <row r="956">
      <c r="A956" s="77"/>
      <c r="B956" s="102"/>
      <c r="C956" s="102"/>
      <c r="D956" s="102"/>
      <c r="E956" s="102"/>
      <c r="F956" s="102"/>
      <c r="G956" s="102"/>
      <c r="H956" s="295"/>
      <c r="I956" s="102"/>
      <c r="J956" s="77"/>
      <c r="K956" s="77"/>
      <c r="L956" s="77"/>
      <c r="M956" s="77"/>
      <c r="N956" s="77"/>
      <c r="O956" s="77"/>
      <c r="P956" s="268"/>
      <c r="Q956" s="268"/>
      <c r="R956" s="77"/>
      <c r="S956" s="77"/>
      <c r="T956" s="77"/>
      <c r="U956" s="77"/>
      <c r="V956" s="77"/>
      <c r="W956" s="77"/>
      <c r="X956" s="77"/>
      <c r="Y956" s="77"/>
      <c r="Z956" s="77"/>
      <c r="AA956" s="77"/>
      <c r="AB956" s="77"/>
      <c r="AC956" s="77"/>
      <c r="AD956" s="77"/>
      <c r="AE956" s="77"/>
      <c r="AF956" s="77"/>
      <c r="AG956" s="77"/>
      <c r="AH956" s="87"/>
      <c r="AI956" s="87"/>
      <c r="AJ956" s="87"/>
      <c r="AK956" s="87"/>
      <c r="AL956" s="87"/>
    </row>
    <row r="957">
      <c r="A957" s="77"/>
      <c r="B957" s="102"/>
      <c r="C957" s="102"/>
      <c r="D957" s="102"/>
      <c r="E957" s="102"/>
      <c r="F957" s="102"/>
      <c r="G957" s="102"/>
      <c r="H957" s="295"/>
      <c r="I957" s="102"/>
      <c r="J957" s="77"/>
      <c r="K957" s="77"/>
      <c r="L957" s="77"/>
      <c r="M957" s="77"/>
      <c r="N957" s="77"/>
      <c r="O957" s="77"/>
      <c r="P957" s="268"/>
      <c r="Q957" s="268"/>
      <c r="R957" s="77"/>
      <c r="S957" s="77"/>
      <c r="T957" s="77"/>
      <c r="U957" s="77"/>
      <c r="V957" s="77"/>
      <c r="W957" s="77"/>
      <c r="X957" s="77"/>
      <c r="Y957" s="77"/>
      <c r="Z957" s="77"/>
      <c r="AA957" s="77"/>
      <c r="AB957" s="77"/>
      <c r="AC957" s="77"/>
      <c r="AD957" s="77"/>
      <c r="AE957" s="77"/>
      <c r="AF957" s="77"/>
      <c r="AG957" s="77"/>
      <c r="AH957" s="87"/>
      <c r="AI957" s="87"/>
      <c r="AJ957" s="87"/>
      <c r="AK957" s="87"/>
      <c r="AL957" s="87"/>
    </row>
    <row r="958">
      <c r="A958" s="77"/>
      <c r="B958" s="102"/>
      <c r="C958" s="102"/>
      <c r="D958" s="102"/>
      <c r="E958" s="102"/>
      <c r="F958" s="102"/>
      <c r="G958" s="102"/>
      <c r="H958" s="295"/>
      <c r="I958" s="102"/>
      <c r="J958" s="77"/>
      <c r="K958" s="77"/>
      <c r="L958" s="77"/>
      <c r="M958" s="77"/>
      <c r="N958" s="77"/>
      <c r="O958" s="77"/>
      <c r="P958" s="268"/>
      <c r="Q958" s="268"/>
      <c r="R958" s="77"/>
      <c r="S958" s="77"/>
      <c r="T958" s="77"/>
      <c r="U958" s="77"/>
      <c r="V958" s="77"/>
      <c r="W958" s="77"/>
      <c r="X958" s="77"/>
      <c r="Y958" s="77"/>
      <c r="Z958" s="77"/>
      <c r="AA958" s="77"/>
      <c r="AB958" s="77"/>
      <c r="AC958" s="77"/>
      <c r="AD958" s="77"/>
      <c r="AE958" s="77"/>
      <c r="AF958" s="77"/>
      <c r="AG958" s="77"/>
      <c r="AH958" s="87"/>
      <c r="AI958" s="87"/>
      <c r="AJ958" s="87"/>
      <c r="AK958" s="87"/>
      <c r="AL958" s="87"/>
    </row>
    <row r="959">
      <c r="A959" s="77"/>
      <c r="B959" s="102"/>
      <c r="C959" s="102"/>
      <c r="D959" s="102"/>
      <c r="E959" s="102"/>
      <c r="F959" s="102"/>
      <c r="G959" s="102"/>
      <c r="H959" s="295"/>
      <c r="I959" s="102"/>
      <c r="J959" s="77"/>
      <c r="K959" s="77"/>
      <c r="L959" s="77"/>
      <c r="M959" s="77"/>
      <c r="N959" s="77"/>
      <c r="O959" s="77"/>
      <c r="P959" s="268"/>
      <c r="Q959" s="268"/>
      <c r="R959" s="77"/>
      <c r="S959" s="77"/>
      <c r="T959" s="77"/>
      <c r="U959" s="77"/>
      <c r="V959" s="77"/>
      <c r="W959" s="77"/>
      <c r="X959" s="77"/>
      <c r="Y959" s="77"/>
      <c r="Z959" s="77"/>
      <c r="AA959" s="77"/>
      <c r="AB959" s="77"/>
      <c r="AC959" s="77"/>
      <c r="AD959" s="77"/>
      <c r="AE959" s="77"/>
      <c r="AF959" s="77"/>
      <c r="AG959" s="77"/>
      <c r="AH959" s="87"/>
      <c r="AI959" s="87"/>
      <c r="AJ959" s="87"/>
      <c r="AK959" s="87"/>
      <c r="AL959" s="87"/>
    </row>
    <row r="960">
      <c r="A960" s="77"/>
      <c r="B960" s="102"/>
      <c r="C960" s="102"/>
      <c r="D960" s="102"/>
      <c r="E960" s="102"/>
      <c r="F960" s="102"/>
      <c r="G960" s="102"/>
      <c r="H960" s="295"/>
      <c r="I960" s="102"/>
      <c r="J960" s="77"/>
      <c r="K960" s="77"/>
      <c r="L960" s="77"/>
      <c r="M960" s="77"/>
      <c r="N960" s="77"/>
      <c r="O960" s="77"/>
      <c r="P960" s="268"/>
      <c r="Q960" s="268"/>
      <c r="R960" s="77"/>
      <c r="S960" s="77"/>
      <c r="T960" s="77"/>
      <c r="U960" s="77"/>
      <c r="V960" s="77"/>
      <c r="W960" s="77"/>
      <c r="X960" s="77"/>
      <c r="Y960" s="77"/>
      <c r="Z960" s="77"/>
      <c r="AA960" s="77"/>
      <c r="AB960" s="77"/>
      <c r="AC960" s="77"/>
      <c r="AD960" s="77"/>
      <c r="AE960" s="77"/>
      <c r="AF960" s="77"/>
      <c r="AG960" s="77"/>
      <c r="AH960" s="87"/>
      <c r="AI960" s="87"/>
      <c r="AJ960" s="87"/>
      <c r="AK960" s="87"/>
      <c r="AL960" s="87"/>
    </row>
    <row r="961">
      <c r="A961" s="77"/>
      <c r="B961" s="102"/>
      <c r="C961" s="102"/>
      <c r="D961" s="102"/>
      <c r="E961" s="102"/>
      <c r="F961" s="102"/>
      <c r="G961" s="102"/>
      <c r="H961" s="295"/>
      <c r="I961" s="102"/>
      <c r="J961" s="77"/>
      <c r="K961" s="77"/>
      <c r="L961" s="77"/>
      <c r="M961" s="77"/>
      <c r="N961" s="77"/>
      <c r="O961" s="77"/>
      <c r="P961" s="268"/>
      <c r="Q961" s="268"/>
      <c r="R961" s="77"/>
      <c r="S961" s="77"/>
      <c r="T961" s="77"/>
      <c r="U961" s="77"/>
      <c r="V961" s="77"/>
      <c r="W961" s="77"/>
      <c r="X961" s="77"/>
      <c r="Y961" s="77"/>
      <c r="Z961" s="77"/>
      <c r="AA961" s="77"/>
      <c r="AB961" s="77"/>
      <c r="AC961" s="77"/>
      <c r="AD961" s="77"/>
      <c r="AE961" s="77"/>
      <c r="AF961" s="77"/>
      <c r="AG961" s="77"/>
      <c r="AH961" s="87"/>
      <c r="AI961" s="87"/>
      <c r="AJ961" s="87"/>
      <c r="AK961" s="87"/>
      <c r="AL961" s="87"/>
    </row>
    <row r="962">
      <c r="A962" s="77"/>
      <c r="B962" s="102"/>
      <c r="C962" s="102"/>
      <c r="D962" s="102"/>
      <c r="E962" s="102"/>
      <c r="F962" s="102"/>
      <c r="G962" s="102"/>
      <c r="H962" s="295"/>
      <c r="I962" s="102"/>
      <c r="J962" s="77"/>
      <c r="K962" s="77"/>
      <c r="L962" s="77"/>
      <c r="M962" s="77"/>
      <c r="N962" s="77"/>
      <c r="O962" s="77"/>
      <c r="P962" s="268"/>
      <c r="Q962" s="268"/>
      <c r="R962" s="77"/>
      <c r="S962" s="77"/>
      <c r="T962" s="77"/>
      <c r="U962" s="77"/>
      <c r="V962" s="77"/>
      <c r="W962" s="77"/>
      <c r="X962" s="77"/>
      <c r="Y962" s="77"/>
      <c r="Z962" s="77"/>
      <c r="AA962" s="77"/>
      <c r="AB962" s="77"/>
      <c r="AC962" s="77"/>
      <c r="AD962" s="77"/>
      <c r="AE962" s="77"/>
      <c r="AF962" s="77"/>
      <c r="AG962" s="77"/>
      <c r="AH962" s="87"/>
      <c r="AI962" s="87"/>
      <c r="AJ962" s="87"/>
      <c r="AK962" s="87"/>
      <c r="AL962" s="87"/>
    </row>
    <row r="963">
      <c r="A963" s="77"/>
      <c r="B963" s="102"/>
      <c r="C963" s="102"/>
      <c r="D963" s="102"/>
      <c r="E963" s="102"/>
      <c r="F963" s="102"/>
      <c r="G963" s="102"/>
      <c r="H963" s="295"/>
      <c r="I963" s="102"/>
      <c r="J963" s="77"/>
      <c r="K963" s="77"/>
      <c r="L963" s="77"/>
      <c r="M963" s="77"/>
      <c r="N963" s="77"/>
      <c r="O963" s="77"/>
      <c r="P963" s="268"/>
      <c r="Q963" s="268"/>
      <c r="R963" s="77"/>
      <c r="S963" s="77"/>
      <c r="T963" s="77"/>
      <c r="U963" s="77"/>
      <c r="V963" s="77"/>
      <c r="W963" s="77"/>
      <c r="X963" s="77"/>
      <c r="Y963" s="77"/>
      <c r="Z963" s="77"/>
      <c r="AA963" s="77"/>
      <c r="AB963" s="77"/>
      <c r="AC963" s="77"/>
      <c r="AD963" s="77"/>
      <c r="AE963" s="77"/>
      <c r="AF963" s="77"/>
      <c r="AG963" s="77"/>
      <c r="AH963" s="87"/>
      <c r="AI963" s="87"/>
      <c r="AJ963" s="87"/>
      <c r="AK963" s="87"/>
      <c r="AL963" s="87"/>
    </row>
    <row r="964">
      <c r="A964" s="77"/>
      <c r="B964" s="102"/>
      <c r="C964" s="102"/>
      <c r="D964" s="102"/>
      <c r="E964" s="102"/>
      <c r="F964" s="102"/>
      <c r="G964" s="102"/>
      <c r="H964" s="295"/>
      <c r="I964" s="102"/>
      <c r="J964" s="77"/>
      <c r="K964" s="77"/>
      <c r="L964" s="77"/>
      <c r="M964" s="77"/>
      <c r="N964" s="77"/>
      <c r="O964" s="77"/>
      <c r="P964" s="268"/>
      <c r="Q964" s="268"/>
      <c r="R964" s="77"/>
      <c r="S964" s="77"/>
      <c r="T964" s="77"/>
      <c r="U964" s="77"/>
      <c r="V964" s="77"/>
      <c r="W964" s="77"/>
      <c r="X964" s="77"/>
      <c r="Y964" s="77"/>
      <c r="Z964" s="77"/>
      <c r="AA964" s="77"/>
      <c r="AB964" s="77"/>
      <c r="AC964" s="77"/>
      <c r="AD964" s="77"/>
      <c r="AE964" s="77"/>
      <c r="AF964" s="77"/>
      <c r="AG964" s="77"/>
      <c r="AH964" s="87"/>
      <c r="AI964" s="87"/>
      <c r="AJ964" s="87"/>
      <c r="AK964" s="87"/>
      <c r="AL964" s="87"/>
    </row>
    <row r="965">
      <c r="A965" s="77"/>
      <c r="B965" s="102"/>
      <c r="C965" s="102"/>
      <c r="D965" s="102"/>
      <c r="E965" s="102"/>
      <c r="F965" s="102"/>
      <c r="G965" s="102"/>
      <c r="H965" s="295"/>
      <c r="I965" s="102"/>
      <c r="J965" s="77"/>
      <c r="K965" s="77"/>
      <c r="L965" s="77"/>
      <c r="M965" s="77"/>
      <c r="N965" s="77"/>
      <c r="O965" s="77"/>
      <c r="P965" s="268"/>
      <c r="Q965" s="268"/>
      <c r="R965" s="77"/>
      <c r="S965" s="77"/>
      <c r="T965" s="77"/>
      <c r="U965" s="77"/>
      <c r="V965" s="77"/>
      <c r="W965" s="77"/>
      <c r="X965" s="77"/>
      <c r="Y965" s="77"/>
      <c r="Z965" s="77"/>
      <c r="AA965" s="77"/>
      <c r="AB965" s="77"/>
      <c r="AC965" s="77"/>
      <c r="AD965" s="77"/>
      <c r="AE965" s="77"/>
      <c r="AF965" s="77"/>
      <c r="AG965" s="77"/>
      <c r="AH965" s="87"/>
      <c r="AI965" s="87"/>
      <c r="AJ965" s="87"/>
      <c r="AK965" s="87"/>
      <c r="AL965" s="87"/>
    </row>
    <row r="966">
      <c r="A966" s="77"/>
      <c r="B966" s="102"/>
      <c r="C966" s="102"/>
      <c r="D966" s="102"/>
      <c r="E966" s="102"/>
      <c r="F966" s="102"/>
      <c r="G966" s="102"/>
      <c r="H966" s="295"/>
      <c r="I966" s="102"/>
      <c r="J966" s="77"/>
      <c r="K966" s="77"/>
      <c r="L966" s="77"/>
      <c r="M966" s="77"/>
      <c r="N966" s="77"/>
      <c r="O966" s="77"/>
      <c r="P966" s="268"/>
      <c r="Q966" s="268"/>
      <c r="R966" s="77"/>
      <c r="S966" s="77"/>
      <c r="T966" s="77"/>
      <c r="U966" s="77"/>
      <c r="V966" s="77"/>
      <c r="W966" s="77"/>
      <c r="X966" s="77"/>
      <c r="Y966" s="77"/>
      <c r="Z966" s="77"/>
      <c r="AA966" s="77"/>
      <c r="AB966" s="77"/>
      <c r="AC966" s="77"/>
      <c r="AD966" s="77"/>
      <c r="AE966" s="77"/>
      <c r="AF966" s="77"/>
      <c r="AG966" s="77"/>
      <c r="AH966" s="87"/>
      <c r="AI966" s="87"/>
      <c r="AJ966" s="87"/>
      <c r="AK966" s="87"/>
      <c r="AL966" s="87"/>
    </row>
    <row r="967">
      <c r="A967" s="77"/>
      <c r="B967" s="102"/>
      <c r="C967" s="102"/>
      <c r="D967" s="102"/>
      <c r="E967" s="102"/>
      <c r="F967" s="102"/>
      <c r="G967" s="102"/>
      <c r="H967" s="295"/>
      <c r="I967" s="102"/>
      <c r="J967" s="77"/>
      <c r="K967" s="77"/>
      <c r="L967" s="77"/>
      <c r="M967" s="77"/>
      <c r="N967" s="77"/>
      <c r="O967" s="77"/>
      <c r="P967" s="268"/>
      <c r="Q967" s="268"/>
      <c r="R967" s="77"/>
      <c r="S967" s="77"/>
      <c r="T967" s="77"/>
      <c r="U967" s="77"/>
      <c r="V967" s="77"/>
      <c r="W967" s="77"/>
      <c r="X967" s="77"/>
      <c r="Y967" s="77"/>
      <c r="Z967" s="77"/>
      <c r="AA967" s="77"/>
      <c r="AB967" s="77"/>
      <c r="AC967" s="77"/>
      <c r="AD967" s="77"/>
      <c r="AE967" s="77"/>
      <c r="AF967" s="77"/>
      <c r="AG967" s="77"/>
      <c r="AH967" s="87"/>
      <c r="AI967" s="87"/>
      <c r="AJ967" s="87"/>
      <c r="AK967" s="87"/>
      <c r="AL967" s="87"/>
    </row>
    <row r="968">
      <c r="A968" s="77"/>
      <c r="B968" s="102"/>
      <c r="C968" s="102"/>
      <c r="D968" s="102"/>
      <c r="E968" s="102"/>
      <c r="F968" s="102"/>
      <c r="G968" s="102"/>
      <c r="H968" s="295"/>
      <c r="I968" s="102"/>
      <c r="J968" s="77"/>
      <c r="K968" s="77"/>
      <c r="L968" s="77"/>
      <c r="M968" s="77"/>
      <c r="N968" s="77"/>
      <c r="O968" s="77"/>
      <c r="P968" s="268"/>
      <c r="Q968" s="268"/>
      <c r="R968" s="77"/>
      <c r="S968" s="77"/>
      <c r="T968" s="77"/>
      <c r="U968" s="77"/>
      <c r="V968" s="77"/>
      <c r="W968" s="77"/>
      <c r="X968" s="77"/>
      <c r="Y968" s="77"/>
      <c r="Z968" s="77"/>
      <c r="AA968" s="77"/>
      <c r="AB968" s="77"/>
      <c r="AC968" s="77"/>
      <c r="AD968" s="77"/>
      <c r="AE968" s="77"/>
      <c r="AF968" s="77"/>
      <c r="AG968" s="77"/>
      <c r="AH968" s="87"/>
      <c r="AI968" s="87"/>
      <c r="AJ968" s="87"/>
      <c r="AK968" s="87"/>
      <c r="AL968" s="87"/>
    </row>
    <row r="969">
      <c r="A969" s="77"/>
      <c r="B969" s="102"/>
      <c r="C969" s="102"/>
      <c r="D969" s="102"/>
      <c r="E969" s="102"/>
      <c r="F969" s="102"/>
      <c r="G969" s="102"/>
      <c r="H969" s="295"/>
      <c r="I969" s="102"/>
      <c r="J969" s="77"/>
      <c r="K969" s="77"/>
      <c r="L969" s="77"/>
      <c r="M969" s="77"/>
      <c r="N969" s="77"/>
      <c r="O969" s="77"/>
      <c r="P969" s="268"/>
      <c r="Q969" s="268"/>
      <c r="R969" s="77"/>
      <c r="S969" s="77"/>
      <c r="T969" s="77"/>
      <c r="U969" s="77"/>
      <c r="V969" s="77"/>
      <c r="W969" s="77"/>
      <c r="X969" s="77"/>
      <c r="Y969" s="77"/>
      <c r="Z969" s="77"/>
      <c r="AA969" s="77"/>
      <c r="AB969" s="77"/>
      <c r="AC969" s="77"/>
      <c r="AD969" s="77"/>
      <c r="AE969" s="77"/>
      <c r="AF969" s="77"/>
      <c r="AG969" s="77"/>
      <c r="AH969" s="87"/>
      <c r="AI969" s="87"/>
      <c r="AJ969" s="87"/>
      <c r="AK969" s="87"/>
      <c r="AL969" s="87"/>
    </row>
    <row r="970">
      <c r="A970" s="77"/>
      <c r="B970" s="102"/>
      <c r="C970" s="102"/>
      <c r="D970" s="102"/>
      <c r="E970" s="102"/>
      <c r="F970" s="102"/>
      <c r="G970" s="102"/>
      <c r="H970" s="295"/>
      <c r="I970" s="102"/>
      <c r="J970" s="77"/>
      <c r="K970" s="77"/>
      <c r="L970" s="77"/>
      <c r="M970" s="77"/>
      <c r="N970" s="77"/>
      <c r="O970" s="77"/>
      <c r="P970" s="268"/>
      <c r="Q970" s="268"/>
      <c r="R970" s="77"/>
      <c r="S970" s="77"/>
      <c r="T970" s="77"/>
      <c r="U970" s="77"/>
      <c r="V970" s="77"/>
      <c r="W970" s="77"/>
      <c r="X970" s="77"/>
      <c r="Y970" s="77"/>
      <c r="Z970" s="77"/>
      <c r="AA970" s="77"/>
      <c r="AB970" s="77"/>
      <c r="AC970" s="77"/>
      <c r="AD970" s="77"/>
      <c r="AE970" s="77"/>
      <c r="AF970" s="77"/>
      <c r="AG970" s="77"/>
      <c r="AH970" s="87"/>
      <c r="AI970" s="87"/>
      <c r="AJ970" s="87"/>
      <c r="AK970" s="87"/>
      <c r="AL970" s="87"/>
    </row>
    <row r="971">
      <c r="A971" s="77"/>
      <c r="B971" s="102"/>
      <c r="C971" s="102"/>
      <c r="D971" s="102"/>
      <c r="E971" s="102"/>
      <c r="F971" s="102"/>
      <c r="G971" s="102"/>
      <c r="H971" s="295"/>
      <c r="I971" s="102"/>
      <c r="J971" s="77"/>
      <c r="K971" s="77"/>
      <c r="L971" s="77"/>
      <c r="M971" s="77"/>
      <c r="N971" s="77"/>
      <c r="O971" s="77"/>
      <c r="P971" s="268"/>
      <c r="Q971" s="268"/>
      <c r="R971" s="77"/>
      <c r="S971" s="77"/>
      <c r="T971" s="77"/>
      <c r="U971" s="77"/>
      <c r="V971" s="77"/>
      <c r="W971" s="77"/>
      <c r="X971" s="77"/>
      <c r="Y971" s="77"/>
      <c r="Z971" s="77"/>
      <c r="AA971" s="77"/>
      <c r="AB971" s="77"/>
      <c r="AC971" s="77"/>
      <c r="AD971" s="77"/>
      <c r="AE971" s="77"/>
      <c r="AF971" s="77"/>
      <c r="AG971" s="77"/>
      <c r="AH971" s="87"/>
      <c r="AI971" s="87"/>
      <c r="AJ971" s="87"/>
      <c r="AK971" s="87"/>
      <c r="AL971" s="87"/>
    </row>
    <row r="972">
      <c r="A972" s="77"/>
      <c r="B972" s="102"/>
      <c r="C972" s="102"/>
      <c r="D972" s="102"/>
      <c r="E972" s="102"/>
      <c r="F972" s="102"/>
      <c r="G972" s="102"/>
      <c r="H972" s="295"/>
      <c r="I972" s="102"/>
      <c r="J972" s="77"/>
      <c r="K972" s="77"/>
      <c r="L972" s="77"/>
      <c r="M972" s="77"/>
      <c r="N972" s="77"/>
      <c r="O972" s="77"/>
      <c r="P972" s="268"/>
      <c r="Q972" s="268"/>
      <c r="R972" s="77"/>
      <c r="S972" s="77"/>
      <c r="T972" s="77"/>
      <c r="U972" s="77"/>
      <c r="V972" s="77"/>
      <c r="W972" s="77"/>
      <c r="X972" s="77"/>
      <c r="Y972" s="77"/>
      <c r="Z972" s="77"/>
      <c r="AA972" s="77"/>
      <c r="AB972" s="77"/>
      <c r="AC972" s="77"/>
      <c r="AD972" s="77"/>
      <c r="AE972" s="77"/>
      <c r="AF972" s="77"/>
      <c r="AG972" s="77"/>
      <c r="AH972" s="87"/>
      <c r="AI972" s="87"/>
      <c r="AJ972" s="87"/>
      <c r="AK972" s="87"/>
      <c r="AL972" s="87"/>
    </row>
    <row r="973">
      <c r="A973" s="77"/>
      <c r="B973" s="102"/>
      <c r="C973" s="102"/>
      <c r="D973" s="102"/>
      <c r="E973" s="102"/>
      <c r="F973" s="102"/>
      <c r="G973" s="102"/>
      <c r="H973" s="295"/>
      <c r="I973" s="102"/>
      <c r="J973" s="77"/>
      <c r="K973" s="77"/>
      <c r="L973" s="77"/>
      <c r="M973" s="77"/>
      <c r="N973" s="77"/>
      <c r="O973" s="77"/>
      <c r="P973" s="268"/>
      <c r="Q973" s="268"/>
      <c r="R973" s="77"/>
      <c r="S973" s="77"/>
      <c r="T973" s="77"/>
      <c r="U973" s="77"/>
      <c r="V973" s="77"/>
      <c r="W973" s="77"/>
      <c r="X973" s="77"/>
      <c r="Y973" s="77"/>
      <c r="Z973" s="77"/>
      <c r="AA973" s="77"/>
      <c r="AB973" s="77"/>
      <c r="AC973" s="77"/>
      <c r="AD973" s="77"/>
      <c r="AE973" s="77"/>
      <c r="AF973" s="77"/>
      <c r="AG973" s="77"/>
      <c r="AH973" s="87"/>
      <c r="AI973" s="87"/>
      <c r="AJ973" s="87"/>
      <c r="AK973" s="87"/>
      <c r="AL973" s="87"/>
    </row>
    <row r="974">
      <c r="A974" s="77"/>
      <c r="B974" s="102"/>
      <c r="C974" s="102"/>
      <c r="D974" s="102"/>
      <c r="E974" s="102"/>
      <c r="F974" s="102"/>
      <c r="G974" s="102"/>
      <c r="H974" s="295"/>
      <c r="I974" s="102"/>
      <c r="J974" s="77"/>
      <c r="K974" s="77"/>
      <c r="L974" s="77"/>
      <c r="M974" s="77"/>
      <c r="N974" s="77"/>
      <c r="O974" s="77"/>
      <c r="P974" s="268"/>
      <c r="Q974" s="268"/>
      <c r="R974" s="77"/>
      <c r="S974" s="77"/>
      <c r="T974" s="77"/>
      <c r="U974" s="77"/>
      <c r="V974" s="77"/>
      <c r="W974" s="77"/>
      <c r="X974" s="77"/>
      <c r="Y974" s="77"/>
      <c r="Z974" s="77"/>
      <c r="AA974" s="77"/>
      <c r="AB974" s="77"/>
      <c r="AC974" s="77"/>
      <c r="AD974" s="77"/>
      <c r="AE974" s="77"/>
      <c r="AF974" s="77"/>
      <c r="AG974" s="77"/>
      <c r="AH974" s="87"/>
      <c r="AI974" s="87"/>
      <c r="AJ974" s="87"/>
      <c r="AK974" s="87"/>
      <c r="AL974" s="87"/>
    </row>
    <row r="975">
      <c r="A975" s="77"/>
      <c r="B975" s="102"/>
      <c r="C975" s="102"/>
      <c r="D975" s="102"/>
      <c r="E975" s="102"/>
      <c r="F975" s="102"/>
      <c r="G975" s="102"/>
      <c r="H975" s="295"/>
      <c r="I975" s="102"/>
      <c r="J975" s="77"/>
      <c r="K975" s="77"/>
      <c r="L975" s="77"/>
      <c r="M975" s="77"/>
      <c r="N975" s="77"/>
      <c r="O975" s="77"/>
      <c r="P975" s="268"/>
      <c r="Q975" s="268"/>
      <c r="R975" s="77"/>
      <c r="S975" s="77"/>
      <c r="T975" s="77"/>
      <c r="U975" s="77"/>
      <c r="V975" s="77"/>
      <c r="W975" s="77"/>
      <c r="X975" s="77"/>
      <c r="Y975" s="77"/>
      <c r="Z975" s="77"/>
      <c r="AA975" s="77"/>
      <c r="AB975" s="77"/>
      <c r="AC975" s="77"/>
      <c r="AD975" s="77"/>
      <c r="AE975" s="77"/>
      <c r="AF975" s="77"/>
      <c r="AG975" s="77"/>
      <c r="AH975" s="87"/>
      <c r="AI975" s="87"/>
      <c r="AJ975" s="87"/>
      <c r="AK975" s="87"/>
      <c r="AL975" s="87"/>
    </row>
    <row r="976">
      <c r="A976" s="77"/>
      <c r="B976" s="102"/>
      <c r="C976" s="102"/>
      <c r="D976" s="102"/>
      <c r="E976" s="102"/>
      <c r="F976" s="102"/>
      <c r="G976" s="102"/>
      <c r="H976" s="295"/>
      <c r="I976" s="102"/>
      <c r="J976" s="77"/>
      <c r="K976" s="77"/>
      <c r="L976" s="77"/>
      <c r="M976" s="77"/>
      <c r="N976" s="77"/>
      <c r="O976" s="77"/>
      <c r="P976" s="268"/>
      <c r="Q976" s="268"/>
      <c r="R976" s="77"/>
      <c r="S976" s="77"/>
      <c r="T976" s="77"/>
      <c r="U976" s="77"/>
      <c r="V976" s="77"/>
      <c r="W976" s="77"/>
      <c r="X976" s="77"/>
      <c r="Y976" s="77"/>
      <c r="Z976" s="77"/>
      <c r="AA976" s="77"/>
      <c r="AB976" s="77"/>
      <c r="AC976" s="77"/>
      <c r="AD976" s="77"/>
      <c r="AE976" s="77"/>
      <c r="AF976" s="77"/>
      <c r="AG976" s="77"/>
      <c r="AH976" s="87"/>
      <c r="AI976" s="87"/>
      <c r="AJ976" s="87"/>
      <c r="AK976" s="87"/>
      <c r="AL976" s="87"/>
    </row>
    <row r="977">
      <c r="A977" s="77"/>
      <c r="B977" s="102"/>
      <c r="C977" s="102"/>
      <c r="D977" s="102"/>
      <c r="E977" s="102"/>
      <c r="F977" s="102"/>
      <c r="G977" s="102"/>
      <c r="H977" s="295"/>
      <c r="I977" s="102"/>
      <c r="J977" s="77"/>
      <c r="K977" s="77"/>
      <c r="L977" s="77"/>
      <c r="M977" s="77"/>
      <c r="N977" s="77"/>
      <c r="O977" s="77"/>
      <c r="P977" s="268"/>
      <c r="Q977" s="268"/>
      <c r="R977" s="77"/>
      <c r="S977" s="77"/>
      <c r="T977" s="77"/>
      <c r="U977" s="77"/>
      <c r="V977" s="77"/>
      <c r="W977" s="77"/>
      <c r="X977" s="77"/>
      <c r="Y977" s="77"/>
      <c r="Z977" s="77"/>
      <c r="AA977" s="77"/>
      <c r="AB977" s="77"/>
      <c r="AC977" s="77"/>
      <c r="AD977" s="77"/>
      <c r="AE977" s="77"/>
      <c r="AF977" s="77"/>
      <c r="AG977" s="77"/>
      <c r="AH977" s="87"/>
      <c r="AI977" s="87"/>
      <c r="AJ977" s="87"/>
      <c r="AK977" s="87"/>
      <c r="AL977" s="87"/>
    </row>
    <row r="978">
      <c r="A978" s="77"/>
      <c r="B978" s="102"/>
      <c r="C978" s="102"/>
      <c r="D978" s="102"/>
      <c r="E978" s="102"/>
      <c r="F978" s="102"/>
      <c r="G978" s="102"/>
      <c r="H978" s="295"/>
      <c r="I978" s="102"/>
      <c r="J978" s="77"/>
      <c r="K978" s="77"/>
      <c r="L978" s="77"/>
      <c r="M978" s="77"/>
      <c r="N978" s="77"/>
      <c r="O978" s="77"/>
      <c r="P978" s="268"/>
      <c r="Q978" s="268"/>
      <c r="R978" s="77"/>
      <c r="S978" s="77"/>
      <c r="T978" s="77"/>
      <c r="U978" s="77"/>
      <c r="V978" s="77"/>
      <c r="W978" s="77"/>
      <c r="X978" s="77"/>
      <c r="Y978" s="77"/>
      <c r="Z978" s="77"/>
      <c r="AA978" s="77"/>
      <c r="AB978" s="77"/>
      <c r="AC978" s="77"/>
      <c r="AD978" s="77"/>
      <c r="AE978" s="77"/>
      <c r="AF978" s="77"/>
      <c r="AG978" s="77"/>
      <c r="AH978" s="87"/>
      <c r="AI978" s="87"/>
      <c r="AJ978" s="87"/>
      <c r="AK978" s="87"/>
      <c r="AL978" s="87"/>
    </row>
    <row r="979">
      <c r="A979" s="77"/>
      <c r="B979" s="102"/>
      <c r="C979" s="102"/>
      <c r="D979" s="102"/>
      <c r="E979" s="102"/>
      <c r="F979" s="102"/>
      <c r="G979" s="102"/>
      <c r="H979" s="295"/>
      <c r="I979" s="102"/>
      <c r="J979" s="77"/>
      <c r="K979" s="77"/>
      <c r="L979" s="77"/>
      <c r="M979" s="77"/>
      <c r="N979" s="77"/>
      <c r="O979" s="77"/>
      <c r="P979" s="268"/>
      <c r="Q979" s="268"/>
      <c r="R979" s="77"/>
      <c r="S979" s="77"/>
      <c r="T979" s="77"/>
      <c r="U979" s="77"/>
      <c r="V979" s="77"/>
      <c r="W979" s="77"/>
      <c r="X979" s="77"/>
      <c r="Y979" s="77"/>
      <c r="Z979" s="77"/>
      <c r="AA979" s="77"/>
      <c r="AB979" s="77"/>
      <c r="AC979" s="77"/>
      <c r="AD979" s="77"/>
      <c r="AE979" s="77"/>
      <c r="AF979" s="77"/>
      <c r="AG979" s="77"/>
      <c r="AH979" s="87"/>
      <c r="AI979" s="87"/>
      <c r="AJ979" s="87"/>
      <c r="AK979" s="87"/>
      <c r="AL979" s="87"/>
    </row>
    <row r="980">
      <c r="A980" s="77"/>
      <c r="B980" s="102"/>
      <c r="C980" s="102"/>
      <c r="D980" s="102"/>
      <c r="E980" s="102"/>
      <c r="F980" s="102"/>
      <c r="G980" s="102"/>
      <c r="H980" s="295"/>
      <c r="I980" s="102"/>
      <c r="J980" s="77"/>
      <c r="K980" s="77"/>
      <c r="L980" s="77"/>
      <c r="M980" s="77"/>
      <c r="N980" s="77"/>
      <c r="O980" s="77"/>
      <c r="P980" s="268"/>
      <c r="Q980" s="268"/>
      <c r="R980" s="77"/>
      <c r="S980" s="77"/>
      <c r="T980" s="77"/>
      <c r="U980" s="77"/>
      <c r="V980" s="77"/>
      <c r="W980" s="77"/>
      <c r="X980" s="77"/>
      <c r="Y980" s="77"/>
      <c r="Z980" s="77"/>
      <c r="AA980" s="77"/>
      <c r="AB980" s="77"/>
      <c r="AC980" s="77"/>
      <c r="AD980" s="77"/>
      <c r="AE980" s="77"/>
      <c r="AF980" s="77"/>
      <c r="AG980" s="77"/>
      <c r="AH980" s="87"/>
      <c r="AI980" s="87"/>
      <c r="AJ980" s="87"/>
      <c r="AK980" s="87"/>
      <c r="AL980" s="87"/>
    </row>
    <row r="981">
      <c r="A981" s="77"/>
      <c r="B981" s="102"/>
      <c r="C981" s="102"/>
      <c r="D981" s="102"/>
      <c r="E981" s="102"/>
      <c r="F981" s="102"/>
      <c r="G981" s="102"/>
      <c r="H981" s="295"/>
      <c r="I981" s="102"/>
      <c r="J981" s="77"/>
      <c r="K981" s="77"/>
      <c r="L981" s="77"/>
      <c r="M981" s="77"/>
      <c r="N981" s="77"/>
      <c r="O981" s="77"/>
      <c r="P981" s="268"/>
      <c r="Q981" s="268"/>
      <c r="R981" s="77"/>
      <c r="S981" s="77"/>
      <c r="T981" s="77"/>
      <c r="U981" s="77"/>
      <c r="V981" s="77"/>
      <c r="W981" s="77"/>
      <c r="X981" s="77"/>
      <c r="Y981" s="77"/>
      <c r="Z981" s="77"/>
      <c r="AA981" s="77"/>
      <c r="AB981" s="77"/>
      <c r="AC981" s="77"/>
      <c r="AD981" s="77"/>
      <c r="AE981" s="77"/>
      <c r="AF981" s="77"/>
      <c r="AG981" s="77"/>
      <c r="AH981" s="87"/>
      <c r="AI981" s="87"/>
      <c r="AJ981" s="87"/>
      <c r="AK981" s="87"/>
      <c r="AL981" s="87"/>
    </row>
    <row r="982">
      <c r="A982" s="77"/>
      <c r="B982" s="102"/>
      <c r="C982" s="102"/>
      <c r="D982" s="102"/>
      <c r="E982" s="102"/>
      <c r="F982" s="102"/>
      <c r="G982" s="102"/>
      <c r="H982" s="295"/>
      <c r="I982" s="102"/>
      <c r="J982" s="77"/>
      <c r="K982" s="77"/>
      <c r="L982" s="77"/>
      <c r="M982" s="77"/>
      <c r="N982" s="77"/>
      <c r="O982" s="77"/>
      <c r="P982" s="268"/>
      <c r="Q982" s="268"/>
      <c r="R982" s="77"/>
      <c r="S982" s="77"/>
      <c r="T982" s="77"/>
      <c r="U982" s="77"/>
      <c r="V982" s="77"/>
      <c r="W982" s="77"/>
      <c r="X982" s="77"/>
      <c r="Y982" s="77"/>
      <c r="Z982" s="77"/>
      <c r="AA982" s="77"/>
      <c r="AB982" s="77"/>
      <c r="AC982" s="77"/>
      <c r="AD982" s="77"/>
      <c r="AE982" s="77"/>
      <c r="AF982" s="77"/>
      <c r="AG982" s="77"/>
      <c r="AH982" s="87"/>
      <c r="AI982" s="87"/>
      <c r="AJ982" s="87"/>
      <c r="AK982" s="87"/>
      <c r="AL982" s="87"/>
    </row>
    <row r="983">
      <c r="A983" s="77"/>
      <c r="B983" s="102"/>
      <c r="C983" s="102"/>
      <c r="D983" s="102"/>
      <c r="E983" s="102"/>
      <c r="F983" s="102"/>
      <c r="G983" s="102"/>
      <c r="H983" s="295"/>
      <c r="I983" s="102"/>
      <c r="J983" s="77"/>
      <c r="K983" s="77"/>
      <c r="L983" s="77"/>
      <c r="M983" s="77"/>
      <c r="N983" s="77"/>
      <c r="O983" s="77"/>
      <c r="P983" s="268"/>
      <c r="Q983" s="268"/>
      <c r="R983" s="77"/>
      <c r="S983" s="77"/>
      <c r="T983" s="77"/>
      <c r="U983" s="77"/>
      <c r="V983" s="77"/>
      <c r="W983" s="77"/>
      <c r="X983" s="77"/>
      <c r="Y983" s="77"/>
      <c r="Z983" s="77"/>
      <c r="AA983" s="77"/>
      <c r="AB983" s="77"/>
      <c r="AC983" s="77"/>
      <c r="AD983" s="77"/>
      <c r="AE983" s="77"/>
      <c r="AF983" s="77"/>
      <c r="AG983" s="77"/>
      <c r="AH983" s="87"/>
      <c r="AI983" s="87"/>
      <c r="AJ983" s="87"/>
      <c r="AK983" s="87"/>
      <c r="AL983" s="87"/>
    </row>
    <row r="984">
      <c r="A984" s="77"/>
      <c r="B984" s="102"/>
      <c r="C984" s="102"/>
      <c r="D984" s="102"/>
      <c r="E984" s="102"/>
      <c r="F984" s="102"/>
      <c r="G984" s="102"/>
      <c r="H984" s="295"/>
      <c r="I984" s="102"/>
      <c r="J984" s="77"/>
      <c r="K984" s="77"/>
      <c r="L984" s="77"/>
      <c r="M984" s="77"/>
      <c r="N984" s="77"/>
      <c r="O984" s="77"/>
      <c r="P984" s="268"/>
      <c r="Q984" s="268"/>
      <c r="R984" s="77"/>
      <c r="S984" s="77"/>
      <c r="T984" s="77"/>
      <c r="U984" s="77"/>
      <c r="V984" s="77"/>
      <c r="W984" s="77"/>
      <c r="X984" s="77"/>
      <c r="Y984" s="77"/>
      <c r="Z984" s="77"/>
      <c r="AA984" s="77"/>
      <c r="AB984" s="77"/>
      <c r="AC984" s="77"/>
      <c r="AD984" s="77"/>
      <c r="AE984" s="77"/>
      <c r="AF984" s="77"/>
      <c r="AG984" s="77"/>
      <c r="AH984" s="87"/>
      <c r="AI984" s="87"/>
      <c r="AJ984" s="87"/>
      <c r="AK984" s="87"/>
      <c r="AL984" s="87"/>
    </row>
    <row r="985">
      <c r="A985" s="77"/>
      <c r="B985" s="102"/>
      <c r="C985" s="102"/>
      <c r="D985" s="102"/>
      <c r="E985" s="102"/>
      <c r="F985" s="102"/>
      <c r="G985" s="102"/>
      <c r="H985" s="295"/>
      <c r="I985" s="102"/>
      <c r="J985" s="77"/>
      <c r="K985" s="77"/>
      <c r="L985" s="77"/>
      <c r="M985" s="77"/>
      <c r="N985" s="77"/>
      <c r="O985" s="77"/>
      <c r="P985" s="268"/>
      <c r="Q985" s="268"/>
      <c r="R985" s="77"/>
      <c r="S985" s="77"/>
      <c r="T985" s="77"/>
      <c r="U985" s="77"/>
      <c r="V985" s="77"/>
      <c r="W985" s="77"/>
      <c r="X985" s="77"/>
      <c r="Y985" s="77"/>
      <c r="Z985" s="77"/>
      <c r="AA985" s="77"/>
      <c r="AB985" s="77"/>
      <c r="AC985" s="77"/>
      <c r="AD985" s="77"/>
      <c r="AE985" s="77"/>
      <c r="AF985" s="77"/>
      <c r="AG985" s="77"/>
      <c r="AH985" s="87"/>
      <c r="AI985" s="87"/>
      <c r="AJ985" s="87"/>
      <c r="AK985" s="87"/>
      <c r="AL985" s="87"/>
    </row>
    <row r="986">
      <c r="A986" s="77"/>
      <c r="B986" s="102"/>
      <c r="C986" s="102"/>
      <c r="D986" s="102"/>
      <c r="E986" s="102"/>
      <c r="F986" s="102"/>
      <c r="G986" s="102"/>
      <c r="H986" s="295"/>
      <c r="I986" s="102"/>
      <c r="J986" s="77"/>
      <c r="K986" s="77"/>
      <c r="L986" s="77"/>
      <c r="M986" s="77"/>
      <c r="N986" s="77"/>
      <c r="O986" s="77"/>
      <c r="P986" s="268"/>
      <c r="Q986" s="268"/>
      <c r="R986" s="77"/>
      <c r="S986" s="77"/>
      <c r="T986" s="77"/>
      <c r="U986" s="77"/>
      <c r="V986" s="77"/>
      <c r="W986" s="77"/>
      <c r="X986" s="77"/>
      <c r="Y986" s="77"/>
      <c r="Z986" s="77"/>
      <c r="AA986" s="77"/>
      <c r="AB986" s="77"/>
      <c r="AC986" s="77"/>
      <c r="AD986" s="77"/>
      <c r="AE986" s="77"/>
      <c r="AF986" s="77"/>
      <c r="AG986" s="77"/>
      <c r="AH986" s="87"/>
      <c r="AI986" s="87"/>
      <c r="AJ986" s="87"/>
      <c r="AK986" s="87"/>
      <c r="AL986" s="87"/>
    </row>
    <row r="987">
      <c r="A987" s="77"/>
      <c r="B987" s="102"/>
      <c r="C987" s="102"/>
      <c r="D987" s="102"/>
      <c r="E987" s="102"/>
      <c r="F987" s="102"/>
      <c r="G987" s="102"/>
      <c r="H987" s="295"/>
      <c r="I987" s="102"/>
      <c r="J987" s="77"/>
      <c r="K987" s="77"/>
      <c r="L987" s="77"/>
      <c r="M987" s="77"/>
      <c r="N987" s="77"/>
      <c r="O987" s="77"/>
      <c r="P987" s="268"/>
      <c r="Q987" s="268"/>
      <c r="R987" s="77"/>
      <c r="S987" s="77"/>
      <c r="T987" s="77"/>
      <c r="U987" s="77"/>
      <c r="V987" s="77"/>
      <c r="W987" s="77"/>
      <c r="X987" s="77"/>
      <c r="Y987" s="77"/>
      <c r="Z987" s="77"/>
      <c r="AA987" s="77"/>
      <c r="AB987" s="77"/>
      <c r="AC987" s="77"/>
      <c r="AD987" s="77"/>
      <c r="AE987" s="77"/>
      <c r="AF987" s="77"/>
      <c r="AG987" s="77"/>
      <c r="AH987" s="87"/>
      <c r="AI987" s="87"/>
      <c r="AJ987" s="87"/>
      <c r="AK987" s="87"/>
      <c r="AL987" s="87"/>
    </row>
    <row r="988">
      <c r="A988" s="77"/>
      <c r="B988" s="102"/>
      <c r="C988" s="102"/>
      <c r="D988" s="102"/>
      <c r="E988" s="102"/>
      <c r="F988" s="102"/>
      <c r="G988" s="102"/>
      <c r="H988" s="295"/>
      <c r="I988" s="102"/>
      <c r="J988" s="77"/>
      <c r="K988" s="77"/>
      <c r="L988" s="77"/>
      <c r="M988" s="77"/>
      <c r="N988" s="77"/>
      <c r="O988" s="77"/>
      <c r="P988" s="268"/>
      <c r="Q988" s="268"/>
      <c r="R988" s="77"/>
      <c r="S988" s="77"/>
      <c r="T988" s="77"/>
      <c r="U988" s="77"/>
      <c r="V988" s="77"/>
      <c r="W988" s="77"/>
      <c r="X988" s="77"/>
      <c r="Y988" s="77"/>
      <c r="Z988" s="77"/>
      <c r="AA988" s="77"/>
      <c r="AB988" s="77"/>
      <c r="AC988" s="77"/>
      <c r="AD988" s="77"/>
      <c r="AE988" s="77"/>
      <c r="AF988" s="77"/>
      <c r="AG988" s="77"/>
      <c r="AH988" s="87"/>
      <c r="AI988" s="87"/>
      <c r="AJ988" s="87"/>
      <c r="AK988" s="87"/>
      <c r="AL988" s="87"/>
    </row>
    <row r="989">
      <c r="A989" s="77"/>
      <c r="B989" s="102"/>
      <c r="C989" s="102"/>
      <c r="D989" s="102"/>
      <c r="E989" s="102"/>
      <c r="F989" s="102"/>
      <c r="G989" s="102"/>
      <c r="H989" s="295"/>
      <c r="I989" s="102"/>
      <c r="J989" s="77"/>
      <c r="K989" s="77"/>
      <c r="L989" s="77"/>
      <c r="M989" s="77"/>
      <c r="N989" s="77"/>
      <c r="O989" s="77"/>
      <c r="P989" s="268"/>
      <c r="Q989" s="268"/>
      <c r="R989" s="77"/>
      <c r="S989" s="77"/>
      <c r="T989" s="77"/>
      <c r="U989" s="77"/>
      <c r="V989" s="77"/>
      <c r="W989" s="77"/>
      <c r="X989" s="77"/>
      <c r="Y989" s="77"/>
      <c r="Z989" s="77"/>
      <c r="AA989" s="77"/>
      <c r="AB989" s="77"/>
      <c r="AC989" s="77"/>
      <c r="AD989" s="77"/>
      <c r="AE989" s="77"/>
      <c r="AF989" s="77"/>
      <c r="AG989" s="77"/>
      <c r="AH989" s="87"/>
      <c r="AI989" s="87"/>
      <c r="AJ989" s="87"/>
      <c r="AK989" s="87"/>
      <c r="AL989" s="87"/>
    </row>
    <row r="990">
      <c r="A990" s="77"/>
      <c r="B990" s="102"/>
      <c r="C990" s="102"/>
      <c r="D990" s="102"/>
      <c r="E990" s="102"/>
      <c r="F990" s="102"/>
      <c r="G990" s="102"/>
      <c r="H990" s="295"/>
      <c r="I990" s="102"/>
      <c r="J990" s="77"/>
      <c r="K990" s="77"/>
      <c r="L990" s="77"/>
      <c r="M990" s="77"/>
      <c r="N990" s="77"/>
      <c r="O990" s="77"/>
      <c r="P990" s="268"/>
      <c r="Q990" s="268"/>
      <c r="R990" s="77"/>
      <c r="S990" s="77"/>
      <c r="T990" s="77"/>
      <c r="U990" s="77"/>
      <c r="V990" s="77"/>
      <c r="W990" s="77"/>
      <c r="X990" s="77"/>
      <c r="Y990" s="77"/>
      <c r="Z990" s="77"/>
      <c r="AA990" s="77"/>
      <c r="AB990" s="77"/>
      <c r="AC990" s="77"/>
      <c r="AD990" s="77"/>
      <c r="AE990" s="77"/>
      <c r="AF990" s="77"/>
      <c r="AG990" s="77"/>
      <c r="AH990" s="87"/>
      <c r="AI990" s="87"/>
      <c r="AJ990" s="87"/>
      <c r="AK990" s="87"/>
      <c r="AL990" s="87"/>
    </row>
    <row r="991">
      <c r="A991" s="77"/>
      <c r="B991" s="102"/>
      <c r="C991" s="102"/>
      <c r="D991" s="102"/>
      <c r="E991" s="102"/>
      <c r="F991" s="102"/>
      <c r="G991" s="102"/>
      <c r="H991" s="295"/>
      <c r="I991" s="102"/>
      <c r="J991" s="77"/>
      <c r="K991" s="77"/>
      <c r="L991" s="77"/>
      <c r="M991" s="77"/>
      <c r="N991" s="77"/>
      <c r="O991" s="77"/>
      <c r="P991" s="268"/>
      <c r="Q991" s="268"/>
      <c r="R991" s="77"/>
      <c r="S991" s="77"/>
      <c r="T991" s="77"/>
      <c r="U991" s="77"/>
      <c r="V991" s="77"/>
      <c r="W991" s="77"/>
      <c r="X991" s="77"/>
      <c r="Y991" s="77"/>
      <c r="Z991" s="77"/>
      <c r="AA991" s="77"/>
      <c r="AB991" s="77"/>
      <c r="AC991" s="77"/>
      <c r="AD991" s="77"/>
      <c r="AE991" s="77"/>
      <c r="AF991" s="77"/>
      <c r="AG991" s="77"/>
      <c r="AH991" s="87"/>
      <c r="AI991" s="87"/>
      <c r="AJ991" s="87"/>
      <c r="AK991" s="87"/>
      <c r="AL991" s="87"/>
    </row>
    <row r="992">
      <c r="A992" s="77"/>
      <c r="B992" s="102"/>
      <c r="C992" s="102"/>
      <c r="D992" s="102"/>
      <c r="E992" s="102"/>
      <c r="F992" s="102"/>
      <c r="G992" s="102"/>
      <c r="H992" s="295"/>
      <c r="I992" s="102"/>
      <c r="J992" s="77"/>
      <c r="K992" s="77"/>
      <c r="L992" s="77"/>
      <c r="M992" s="77"/>
      <c r="N992" s="77"/>
      <c r="O992" s="77"/>
      <c r="P992" s="268"/>
      <c r="Q992" s="268"/>
      <c r="R992" s="77"/>
      <c r="S992" s="77"/>
      <c r="T992" s="77"/>
      <c r="U992" s="77"/>
      <c r="V992" s="77"/>
      <c r="W992" s="77"/>
      <c r="X992" s="77"/>
      <c r="Y992" s="77"/>
      <c r="Z992" s="77"/>
      <c r="AA992" s="77"/>
      <c r="AB992" s="77"/>
      <c r="AC992" s="77"/>
      <c r="AD992" s="77"/>
      <c r="AE992" s="77"/>
      <c r="AF992" s="77"/>
      <c r="AG992" s="77"/>
      <c r="AH992" s="87"/>
      <c r="AI992" s="87"/>
      <c r="AJ992" s="87"/>
      <c r="AK992" s="87"/>
      <c r="AL992" s="87"/>
    </row>
    <row r="993">
      <c r="A993" s="77"/>
      <c r="B993" s="102"/>
      <c r="C993" s="102"/>
      <c r="D993" s="102"/>
      <c r="E993" s="102"/>
      <c r="F993" s="102"/>
      <c r="G993" s="102"/>
      <c r="H993" s="295"/>
      <c r="I993" s="102"/>
      <c r="J993" s="77"/>
      <c r="K993" s="77"/>
      <c r="L993" s="77"/>
      <c r="M993" s="77"/>
      <c r="N993" s="77"/>
      <c r="O993" s="77"/>
      <c r="P993" s="268"/>
      <c r="Q993" s="268"/>
      <c r="R993" s="77"/>
      <c r="S993" s="77"/>
      <c r="T993" s="77"/>
      <c r="U993" s="77"/>
      <c r="V993" s="77"/>
      <c r="W993" s="77"/>
      <c r="X993" s="77"/>
      <c r="Y993" s="77"/>
      <c r="Z993" s="77"/>
      <c r="AA993" s="77"/>
      <c r="AB993" s="77"/>
      <c r="AC993" s="77"/>
      <c r="AD993" s="77"/>
      <c r="AE993" s="77"/>
      <c r="AF993" s="77"/>
      <c r="AG993" s="77"/>
      <c r="AH993" s="87"/>
      <c r="AI993" s="87"/>
      <c r="AJ993" s="87"/>
      <c r="AK993" s="87"/>
      <c r="AL993" s="87"/>
    </row>
    <row r="994">
      <c r="A994" s="77"/>
      <c r="B994" s="102"/>
      <c r="C994" s="102"/>
      <c r="D994" s="102"/>
      <c r="E994" s="102"/>
      <c r="F994" s="102"/>
      <c r="G994" s="102"/>
      <c r="H994" s="295"/>
      <c r="I994" s="102"/>
      <c r="J994" s="77"/>
      <c r="K994" s="77"/>
      <c r="L994" s="77"/>
      <c r="M994" s="77"/>
      <c r="N994" s="77"/>
      <c r="O994" s="77"/>
      <c r="P994" s="268"/>
      <c r="Q994" s="268"/>
      <c r="R994" s="77"/>
      <c r="S994" s="77"/>
      <c r="T994" s="77"/>
      <c r="U994" s="77"/>
      <c r="V994" s="77"/>
      <c r="W994" s="77"/>
      <c r="X994" s="77"/>
      <c r="Y994" s="77"/>
      <c r="Z994" s="77"/>
      <c r="AA994" s="77"/>
      <c r="AB994" s="77"/>
      <c r="AC994" s="77"/>
      <c r="AD994" s="77"/>
      <c r="AE994" s="77"/>
      <c r="AF994" s="77"/>
      <c r="AG994" s="77"/>
      <c r="AH994" s="87"/>
      <c r="AI994" s="87"/>
      <c r="AJ994" s="87"/>
      <c r="AK994" s="87"/>
      <c r="AL994" s="87"/>
    </row>
    <row r="995">
      <c r="A995" s="77"/>
      <c r="B995" s="102"/>
      <c r="C995" s="102"/>
      <c r="D995" s="102"/>
      <c r="E995" s="102"/>
      <c r="F995" s="102"/>
      <c r="G995" s="102"/>
      <c r="H995" s="295"/>
      <c r="I995" s="102"/>
      <c r="J995" s="77"/>
      <c r="K995" s="77"/>
      <c r="L995" s="77"/>
      <c r="M995" s="77"/>
      <c r="N995" s="77"/>
      <c r="O995" s="77"/>
      <c r="P995" s="268"/>
      <c r="Q995" s="268"/>
      <c r="R995" s="77"/>
      <c r="S995" s="77"/>
      <c r="T995" s="77"/>
      <c r="U995" s="77"/>
      <c r="V995" s="77"/>
      <c r="W995" s="77"/>
      <c r="X995" s="77"/>
      <c r="Y995" s="77"/>
      <c r="Z995" s="77"/>
      <c r="AA995" s="77"/>
      <c r="AB995" s="77"/>
      <c r="AC995" s="77"/>
      <c r="AD995" s="77"/>
      <c r="AE995" s="77"/>
      <c r="AF995" s="77"/>
      <c r="AG995" s="77"/>
      <c r="AH995" s="87"/>
      <c r="AI995" s="87"/>
      <c r="AJ995" s="87"/>
      <c r="AK995" s="87"/>
      <c r="AL995" s="87"/>
    </row>
    <row r="996">
      <c r="A996" s="77"/>
      <c r="B996" s="102"/>
      <c r="C996" s="102"/>
      <c r="D996" s="102"/>
      <c r="E996" s="102"/>
      <c r="F996" s="102"/>
      <c r="G996" s="102"/>
      <c r="H996" s="295"/>
      <c r="I996" s="102"/>
      <c r="J996" s="77"/>
      <c r="K996" s="77"/>
      <c r="L996" s="77"/>
      <c r="M996" s="77"/>
      <c r="N996" s="77"/>
      <c r="O996" s="77"/>
      <c r="P996" s="268"/>
      <c r="Q996" s="268"/>
      <c r="R996" s="77"/>
      <c r="S996" s="77"/>
      <c r="T996" s="77"/>
      <c r="U996" s="77"/>
      <c r="V996" s="77"/>
      <c r="W996" s="77"/>
      <c r="X996" s="77"/>
      <c r="Y996" s="77"/>
      <c r="Z996" s="77"/>
      <c r="AA996" s="77"/>
      <c r="AB996" s="77"/>
      <c r="AC996" s="77"/>
      <c r="AD996" s="77"/>
      <c r="AE996" s="77"/>
      <c r="AF996" s="77"/>
      <c r="AG996" s="77"/>
      <c r="AH996" s="87"/>
      <c r="AI996" s="87"/>
      <c r="AJ996" s="87"/>
      <c r="AK996" s="87"/>
      <c r="AL996" s="87"/>
    </row>
    <row r="997">
      <c r="A997" s="77"/>
      <c r="B997" s="102"/>
      <c r="C997" s="102"/>
      <c r="D997" s="102"/>
      <c r="E997" s="102"/>
      <c r="F997" s="102"/>
      <c r="G997" s="102"/>
      <c r="H997" s="295"/>
      <c r="I997" s="102"/>
      <c r="J997" s="77"/>
      <c r="K997" s="77"/>
      <c r="L997" s="77"/>
      <c r="M997" s="77"/>
      <c r="N997" s="77"/>
      <c r="O997" s="77"/>
      <c r="P997" s="268"/>
      <c r="Q997" s="268"/>
      <c r="R997" s="77"/>
      <c r="S997" s="77"/>
      <c r="T997" s="77"/>
      <c r="U997" s="77"/>
      <c r="V997" s="77"/>
      <c r="W997" s="77"/>
      <c r="X997" s="77"/>
      <c r="Y997" s="77"/>
      <c r="Z997" s="77"/>
      <c r="AA997" s="77"/>
      <c r="AB997" s="77"/>
      <c r="AC997" s="77"/>
      <c r="AD997" s="77"/>
      <c r="AE997" s="77"/>
      <c r="AF997" s="77"/>
      <c r="AG997" s="77"/>
      <c r="AH997" s="87"/>
      <c r="AI997" s="87"/>
      <c r="AJ997" s="87"/>
      <c r="AK997" s="87"/>
      <c r="AL997" s="87"/>
    </row>
    <row r="998">
      <c r="A998" s="77"/>
      <c r="B998" s="102"/>
      <c r="C998" s="102"/>
      <c r="D998" s="102"/>
      <c r="E998" s="102"/>
      <c r="F998" s="102"/>
      <c r="G998" s="102"/>
      <c r="H998" s="295"/>
      <c r="I998" s="102"/>
      <c r="J998" s="77"/>
      <c r="K998" s="77"/>
      <c r="L998" s="77"/>
      <c r="M998" s="77"/>
      <c r="N998" s="77"/>
      <c r="O998" s="77"/>
      <c r="P998" s="268"/>
      <c r="Q998" s="268"/>
      <c r="R998" s="77"/>
      <c r="S998" s="77"/>
      <c r="T998" s="77"/>
      <c r="U998" s="77"/>
      <c r="V998" s="77"/>
      <c r="W998" s="77"/>
      <c r="X998" s="77"/>
      <c r="Y998" s="77"/>
      <c r="Z998" s="77"/>
      <c r="AA998" s="77"/>
      <c r="AB998" s="77"/>
      <c r="AC998" s="77"/>
      <c r="AD998" s="77"/>
      <c r="AE998" s="77"/>
      <c r="AF998" s="77"/>
      <c r="AG998" s="77"/>
      <c r="AH998" s="87"/>
      <c r="AI998" s="87"/>
      <c r="AJ998" s="87"/>
      <c r="AK998" s="87"/>
      <c r="AL998" s="87"/>
    </row>
    <row r="999">
      <c r="A999" s="77"/>
      <c r="B999" s="102"/>
      <c r="C999" s="102"/>
      <c r="D999" s="102"/>
      <c r="E999" s="102"/>
      <c r="F999" s="102"/>
      <c r="G999" s="102"/>
      <c r="H999" s="295"/>
      <c r="I999" s="102"/>
      <c r="J999" s="77"/>
      <c r="K999" s="77"/>
      <c r="L999" s="77"/>
      <c r="M999" s="77"/>
      <c r="N999" s="77"/>
      <c r="O999" s="77"/>
      <c r="P999" s="268"/>
      <c r="Q999" s="268"/>
      <c r="R999" s="77"/>
      <c r="S999" s="77"/>
      <c r="T999" s="77"/>
      <c r="U999" s="77"/>
      <c r="V999" s="77"/>
      <c r="W999" s="77"/>
      <c r="X999" s="77"/>
      <c r="Y999" s="77"/>
      <c r="Z999" s="77"/>
      <c r="AA999" s="77"/>
      <c r="AB999" s="77"/>
      <c r="AC999" s="77"/>
      <c r="AD999" s="77"/>
      <c r="AE999" s="77"/>
      <c r="AF999" s="77"/>
      <c r="AG999" s="77"/>
      <c r="AH999" s="87"/>
      <c r="AI999" s="87"/>
      <c r="AJ999" s="87"/>
      <c r="AK999" s="87"/>
      <c r="AL999" s="87"/>
    </row>
    <row r="1000">
      <c r="A1000" s="77"/>
      <c r="B1000" s="102"/>
      <c r="C1000" s="102"/>
      <c r="D1000" s="102"/>
      <c r="E1000" s="102"/>
      <c r="F1000" s="102"/>
      <c r="G1000" s="102"/>
      <c r="H1000" s="295"/>
      <c r="I1000" s="102"/>
      <c r="J1000" s="77"/>
      <c r="K1000" s="77"/>
      <c r="L1000" s="77"/>
      <c r="M1000" s="77"/>
      <c r="N1000" s="77"/>
      <c r="O1000" s="77"/>
      <c r="P1000" s="268"/>
      <c r="Q1000" s="268"/>
      <c r="R1000" s="77"/>
      <c r="S1000" s="77"/>
      <c r="T1000" s="77"/>
      <c r="U1000" s="77"/>
      <c r="V1000" s="77"/>
      <c r="W1000" s="77"/>
      <c r="X1000" s="77"/>
      <c r="Y1000" s="77"/>
      <c r="Z1000" s="77"/>
      <c r="AA1000" s="77"/>
      <c r="AB1000" s="77"/>
      <c r="AC1000" s="77"/>
      <c r="AD1000" s="77"/>
      <c r="AE1000" s="77"/>
      <c r="AF1000" s="77"/>
      <c r="AG1000" s="77"/>
      <c r="AH1000" s="87"/>
      <c r="AI1000" s="87"/>
      <c r="AJ1000" s="87"/>
      <c r="AK1000" s="87"/>
      <c r="AL1000" s="87"/>
    </row>
    <row r="1001">
      <c r="A1001" s="77"/>
      <c r="B1001" s="102"/>
      <c r="C1001" s="102"/>
      <c r="D1001" s="102"/>
      <c r="E1001" s="102"/>
      <c r="F1001" s="102"/>
      <c r="G1001" s="102"/>
      <c r="H1001" s="295"/>
      <c r="I1001" s="102"/>
      <c r="J1001" s="77"/>
      <c r="K1001" s="77"/>
      <c r="L1001" s="77"/>
      <c r="M1001" s="77"/>
      <c r="N1001" s="77"/>
      <c r="O1001" s="77"/>
      <c r="P1001" s="268"/>
      <c r="Q1001" s="268"/>
      <c r="R1001" s="77"/>
      <c r="S1001" s="77"/>
      <c r="T1001" s="77"/>
      <c r="U1001" s="77"/>
      <c r="V1001" s="77"/>
      <c r="W1001" s="77"/>
      <c r="X1001" s="77"/>
      <c r="Y1001" s="77"/>
      <c r="Z1001" s="77"/>
      <c r="AA1001" s="77"/>
      <c r="AB1001" s="77"/>
      <c r="AC1001" s="77"/>
      <c r="AD1001" s="77"/>
      <c r="AE1001" s="77"/>
      <c r="AF1001" s="77"/>
      <c r="AG1001" s="77"/>
      <c r="AH1001" s="87"/>
      <c r="AI1001" s="87"/>
      <c r="AJ1001" s="87"/>
      <c r="AK1001" s="87"/>
      <c r="AL1001" s="87"/>
    </row>
    <row r="1002">
      <c r="A1002" s="77"/>
      <c r="B1002" s="102"/>
      <c r="C1002" s="102"/>
      <c r="D1002" s="102"/>
      <c r="E1002" s="102"/>
      <c r="F1002" s="102"/>
      <c r="G1002" s="102"/>
      <c r="H1002" s="295"/>
      <c r="I1002" s="102"/>
      <c r="J1002" s="77"/>
      <c r="K1002" s="77"/>
      <c r="L1002" s="77"/>
      <c r="M1002" s="77"/>
      <c r="N1002" s="77"/>
      <c r="O1002" s="77"/>
      <c r="P1002" s="268"/>
      <c r="Q1002" s="268"/>
      <c r="R1002" s="77"/>
      <c r="S1002" s="77"/>
      <c r="T1002" s="77"/>
      <c r="U1002" s="77"/>
      <c r="V1002" s="77"/>
      <c r="W1002" s="77"/>
      <c r="X1002" s="77"/>
      <c r="Y1002" s="77"/>
      <c r="Z1002" s="77"/>
      <c r="AA1002" s="77"/>
      <c r="AB1002" s="77"/>
      <c r="AC1002" s="77"/>
      <c r="AD1002" s="77"/>
      <c r="AE1002" s="77"/>
      <c r="AF1002" s="77"/>
      <c r="AG1002" s="77"/>
      <c r="AH1002" s="87"/>
      <c r="AI1002" s="87"/>
      <c r="AJ1002" s="87"/>
      <c r="AK1002" s="87"/>
      <c r="AL1002" s="87"/>
    </row>
    <row r="1003">
      <c r="A1003" s="77"/>
      <c r="B1003" s="102"/>
      <c r="C1003" s="102"/>
      <c r="D1003" s="102"/>
      <c r="E1003" s="102"/>
      <c r="F1003" s="102"/>
      <c r="G1003" s="102"/>
      <c r="H1003" s="295"/>
      <c r="I1003" s="102"/>
      <c r="J1003" s="77"/>
      <c r="K1003" s="77"/>
      <c r="L1003" s="77"/>
      <c r="M1003" s="77"/>
      <c r="N1003" s="77"/>
      <c r="O1003" s="77"/>
      <c r="P1003" s="268"/>
      <c r="Q1003" s="268"/>
      <c r="R1003" s="77"/>
      <c r="S1003" s="77"/>
      <c r="T1003" s="77"/>
      <c r="U1003" s="77"/>
      <c r="V1003" s="77"/>
      <c r="W1003" s="77"/>
      <c r="X1003" s="77"/>
      <c r="Y1003" s="77"/>
      <c r="Z1003" s="77"/>
      <c r="AA1003" s="77"/>
      <c r="AB1003" s="77"/>
      <c r="AC1003" s="77"/>
      <c r="AD1003" s="77"/>
      <c r="AE1003" s="77"/>
      <c r="AF1003" s="77"/>
      <c r="AG1003" s="77"/>
      <c r="AH1003" s="87"/>
      <c r="AI1003" s="87"/>
      <c r="AJ1003" s="87"/>
      <c r="AK1003" s="87"/>
      <c r="AL1003" s="87"/>
    </row>
    <row r="1004">
      <c r="A1004" s="77"/>
      <c r="B1004" s="102"/>
      <c r="C1004" s="102"/>
      <c r="D1004" s="102"/>
      <c r="E1004" s="102"/>
      <c r="F1004" s="102"/>
      <c r="G1004" s="102"/>
      <c r="H1004" s="295"/>
      <c r="I1004" s="102"/>
      <c r="J1004" s="77"/>
      <c r="K1004" s="77"/>
      <c r="L1004" s="77"/>
      <c r="M1004" s="77"/>
      <c r="N1004" s="77"/>
      <c r="O1004" s="77"/>
      <c r="P1004" s="268"/>
      <c r="Q1004" s="268"/>
      <c r="R1004" s="77"/>
      <c r="S1004" s="77"/>
      <c r="T1004" s="77"/>
      <c r="U1004" s="77"/>
      <c r="V1004" s="77"/>
      <c r="W1004" s="77"/>
      <c r="X1004" s="77"/>
      <c r="Y1004" s="77"/>
      <c r="Z1004" s="77"/>
      <c r="AA1004" s="77"/>
      <c r="AB1004" s="77"/>
      <c r="AC1004" s="77"/>
      <c r="AD1004" s="77"/>
      <c r="AE1004" s="77"/>
      <c r="AF1004" s="77"/>
      <c r="AG1004" s="77"/>
      <c r="AH1004" s="87"/>
      <c r="AI1004" s="87"/>
      <c r="AJ1004" s="87"/>
      <c r="AK1004" s="87"/>
      <c r="AL1004" s="87"/>
    </row>
    <row r="1005">
      <c r="A1005" s="77"/>
      <c r="B1005" s="102"/>
      <c r="C1005" s="102"/>
      <c r="D1005" s="102"/>
      <c r="E1005" s="102"/>
      <c r="F1005" s="102"/>
      <c r="G1005" s="102"/>
      <c r="H1005" s="295"/>
      <c r="I1005" s="102"/>
      <c r="J1005" s="77"/>
      <c r="K1005" s="77"/>
      <c r="L1005" s="77"/>
      <c r="M1005" s="77"/>
      <c r="N1005" s="77"/>
      <c r="O1005" s="77"/>
      <c r="P1005" s="268"/>
      <c r="Q1005" s="268"/>
      <c r="R1005" s="77"/>
      <c r="S1005" s="77"/>
      <c r="T1005" s="77"/>
      <c r="U1005" s="77"/>
      <c r="V1005" s="77"/>
      <c r="W1005" s="77"/>
      <c r="X1005" s="77"/>
      <c r="Y1005" s="77"/>
      <c r="Z1005" s="77"/>
      <c r="AA1005" s="77"/>
      <c r="AB1005" s="77"/>
      <c r="AC1005" s="77"/>
      <c r="AD1005" s="77"/>
      <c r="AE1005" s="77"/>
      <c r="AF1005" s="77"/>
      <c r="AG1005" s="77"/>
      <c r="AH1005" s="87"/>
      <c r="AI1005" s="87"/>
      <c r="AJ1005" s="87"/>
      <c r="AK1005" s="87"/>
      <c r="AL1005" s="87"/>
    </row>
    <row r="1006">
      <c r="A1006" s="77"/>
      <c r="B1006" s="102"/>
      <c r="C1006" s="102"/>
      <c r="D1006" s="102"/>
      <c r="E1006" s="102"/>
      <c r="F1006" s="102"/>
      <c r="G1006" s="102"/>
      <c r="H1006" s="295"/>
      <c r="I1006" s="102"/>
      <c r="J1006" s="77"/>
      <c r="K1006" s="77"/>
      <c r="L1006" s="77"/>
      <c r="M1006" s="77"/>
      <c r="N1006" s="77"/>
      <c r="O1006" s="77"/>
      <c r="P1006" s="268"/>
      <c r="Q1006" s="268"/>
      <c r="R1006" s="77"/>
      <c r="S1006" s="77"/>
      <c r="T1006" s="77"/>
      <c r="U1006" s="77"/>
      <c r="V1006" s="77"/>
      <c r="W1006" s="77"/>
      <c r="X1006" s="77"/>
      <c r="Y1006" s="77"/>
      <c r="Z1006" s="77"/>
      <c r="AA1006" s="77"/>
      <c r="AB1006" s="77"/>
      <c r="AC1006" s="77"/>
      <c r="AD1006" s="77"/>
      <c r="AE1006" s="77"/>
      <c r="AF1006" s="77"/>
      <c r="AG1006" s="77"/>
      <c r="AH1006" s="87"/>
      <c r="AI1006" s="87"/>
      <c r="AJ1006" s="87"/>
      <c r="AK1006" s="87"/>
      <c r="AL1006" s="87"/>
    </row>
    <row r="1007">
      <c r="A1007" s="77"/>
      <c r="B1007" s="102"/>
      <c r="C1007" s="102"/>
      <c r="D1007" s="102"/>
      <c r="E1007" s="102"/>
      <c r="F1007" s="102"/>
      <c r="G1007" s="102"/>
      <c r="H1007" s="295"/>
      <c r="I1007" s="102"/>
      <c r="J1007" s="77"/>
      <c r="K1007" s="77"/>
      <c r="L1007" s="77"/>
      <c r="M1007" s="77"/>
      <c r="N1007" s="77"/>
      <c r="O1007" s="77"/>
      <c r="P1007" s="268"/>
      <c r="Q1007" s="268"/>
      <c r="R1007" s="77"/>
      <c r="S1007" s="77"/>
      <c r="T1007" s="77"/>
      <c r="U1007" s="77"/>
      <c r="V1007" s="77"/>
      <c r="W1007" s="77"/>
      <c r="X1007" s="77"/>
      <c r="Y1007" s="77"/>
      <c r="Z1007" s="77"/>
      <c r="AA1007" s="77"/>
      <c r="AB1007" s="77"/>
      <c r="AC1007" s="77"/>
      <c r="AD1007" s="77"/>
      <c r="AE1007" s="77"/>
      <c r="AF1007" s="77"/>
      <c r="AG1007" s="77"/>
      <c r="AH1007" s="87"/>
      <c r="AI1007" s="87"/>
      <c r="AJ1007" s="87"/>
      <c r="AK1007" s="87"/>
      <c r="AL1007" s="87"/>
    </row>
    <row r="1008">
      <c r="A1008" s="77"/>
      <c r="B1008" s="102"/>
      <c r="C1008" s="102"/>
      <c r="D1008" s="102"/>
      <c r="E1008" s="102"/>
      <c r="F1008" s="102"/>
      <c r="G1008" s="102"/>
      <c r="H1008" s="295"/>
      <c r="I1008" s="102"/>
      <c r="J1008" s="77"/>
      <c r="K1008" s="77"/>
      <c r="L1008" s="77"/>
      <c r="M1008" s="77"/>
      <c r="N1008" s="77"/>
      <c r="O1008" s="77"/>
      <c r="P1008" s="268"/>
      <c r="Q1008" s="268"/>
      <c r="R1008" s="77"/>
      <c r="S1008" s="77"/>
      <c r="T1008" s="77"/>
      <c r="U1008" s="77"/>
      <c r="V1008" s="77"/>
      <c r="W1008" s="77"/>
      <c r="X1008" s="77"/>
      <c r="Y1008" s="77"/>
      <c r="Z1008" s="77"/>
      <c r="AA1008" s="77"/>
      <c r="AB1008" s="77"/>
      <c r="AC1008" s="77"/>
      <c r="AD1008" s="77"/>
      <c r="AE1008" s="77"/>
      <c r="AF1008" s="77"/>
      <c r="AG1008" s="77"/>
      <c r="AH1008" s="87"/>
      <c r="AI1008" s="87"/>
      <c r="AJ1008" s="87"/>
      <c r="AK1008" s="87"/>
      <c r="AL1008" s="87"/>
    </row>
    <row r="1009">
      <c r="A1009" s="77"/>
      <c r="B1009" s="102"/>
      <c r="C1009" s="102"/>
      <c r="D1009" s="102"/>
      <c r="E1009" s="102"/>
      <c r="F1009" s="102"/>
      <c r="G1009" s="102"/>
      <c r="H1009" s="295"/>
      <c r="I1009" s="102"/>
      <c r="J1009" s="77"/>
      <c r="K1009" s="77"/>
      <c r="L1009" s="77"/>
      <c r="M1009" s="77"/>
      <c r="N1009" s="77"/>
      <c r="O1009" s="77"/>
      <c r="P1009" s="268"/>
      <c r="Q1009" s="268"/>
      <c r="R1009" s="77"/>
      <c r="S1009" s="77"/>
      <c r="T1009" s="77"/>
      <c r="U1009" s="77"/>
      <c r="V1009" s="77"/>
      <c r="W1009" s="77"/>
      <c r="X1009" s="77"/>
      <c r="Y1009" s="77"/>
      <c r="Z1009" s="77"/>
      <c r="AA1009" s="77"/>
      <c r="AB1009" s="77"/>
      <c r="AC1009" s="77"/>
      <c r="AD1009" s="77"/>
      <c r="AE1009" s="77"/>
      <c r="AF1009" s="77"/>
      <c r="AG1009" s="77"/>
      <c r="AH1009" s="87"/>
      <c r="AI1009" s="87"/>
      <c r="AJ1009" s="87"/>
      <c r="AK1009" s="87"/>
      <c r="AL1009" s="87"/>
    </row>
    <row r="1010">
      <c r="A1010" s="77"/>
      <c r="B1010" s="102"/>
      <c r="C1010" s="102"/>
      <c r="D1010" s="102"/>
      <c r="E1010" s="102"/>
      <c r="F1010" s="102"/>
      <c r="G1010" s="102"/>
      <c r="H1010" s="295"/>
      <c r="I1010" s="102"/>
      <c r="J1010" s="77"/>
      <c r="K1010" s="77"/>
      <c r="L1010" s="77"/>
      <c r="M1010" s="77"/>
      <c r="N1010" s="77"/>
      <c r="O1010" s="77"/>
      <c r="P1010" s="268"/>
      <c r="Q1010" s="268"/>
      <c r="R1010" s="77"/>
      <c r="S1010" s="77"/>
      <c r="T1010" s="77"/>
      <c r="U1010" s="77"/>
      <c r="V1010" s="77"/>
      <c r="W1010" s="77"/>
      <c r="X1010" s="77"/>
      <c r="Y1010" s="77"/>
      <c r="Z1010" s="77"/>
      <c r="AA1010" s="77"/>
      <c r="AB1010" s="77"/>
      <c r="AC1010" s="77"/>
      <c r="AD1010" s="77"/>
      <c r="AE1010" s="77"/>
      <c r="AF1010" s="77"/>
      <c r="AG1010" s="77"/>
      <c r="AH1010" s="87"/>
      <c r="AI1010" s="87"/>
      <c r="AJ1010" s="87"/>
      <c r="AK1010" s="87"/>
      <c r="AL1010" s="87"/>
    </row>
    <row r="1011">
      <c r="A1011" s="77"/>
      <c r="B1011" s="102"/>
      <c r="C1011" s="102"/>
      <c r="D1011" s="102"/>
      <c r="E1011" s="102"/>
      <c r="F1011" s="102"/>
      <c r="G1011" s="102"/>
      <c r="H1011" s="295"/>
      <c r="I1011" s="102"/>
      <c r="J1011" s="77"/>
      <c r="K1011" s="77"/>
      <c r="L1011" s="77"/>
      <c r="M1011" s="77"/>
      <c r="N1011" s="77"/>
      <c r="O1011" s="77"/>
      <c r="P1011" s="268"/>
      <c r="Q1011" s="268"/>
      <c r="R1011" s="77"/>
      <c r="S1011" s="77"/>
      <c r="T1011" s="77"/>
      <c r="U1011" s="77"/>
      <c r="V1011" s="77"/>
      <c r="W1011" s="77"/>
      <c r="X1011" s="77"/>
      <c r="Y1011" s="77"/>
      <c r="Z1011" s="77"/>
      <c r="AA1011" s="77"/>
      <c r="AB1011" s="77"/>
      <c r="AC1011" s="77"/>
      <c r="AD1011" s="77"/>
      <c r="AE1011" s="77"/>
      <c r="AF1011" s="77"/>
      <c r="AG1011" s="77"/>
      <c r="AH1011" s="87"/>
      <c r="AI1011" s="87"/>
      <c r="AJ1011" s="87"/>
      <c r="AK1011" s="87"/>
      <c r="AL1011" s="87"/>
    </row>
    <row r="1012">
      <c r="A1012" s="77"/>
      <c r="B1012" s="102"/>
      <c r="C1012" s="102"/>
      <c r="D1012" s="102"/>
      <c r="E1012" s="102"/>
      <c r="F1012" s="102"/>
      <c r="G1012" s="102"/>
      <c r="H1012" s="295"/>
      <c r="I1012" s="102"/>
      <c r="J1012" s="77"/>
      <c r="K1012" s="77"/>
      <c r="L1012" s="77"/>
      <c r="M1012" s="77"/>
      <c r="N1012" s="77"/>
      <c r="O1012" s="77"/>
      <c r="P1012" s="268"/>
      <c r="Q1012" s="268"/>
      <c r="R1012" s="77"/>
      <c r="S1012" s="77"/>
      <c r="T1012" s="77"/>
      <c r="U1012" s="77"/>
      <c r="V1012" s="77"/>
      <c r="W1012" s="77"/>
      <c r="X1012" s="77"/>
      <c r="Y1012" s="77"/>
      <c r="Z1012" s="77"/>
      <c r="AA1012" s="77"/>
      <c r="AB1012" s="77"/>
      <c r="AC1012" s="77"/>
      <c r="AD1012" s="77"/>
      <c r="AE1012" s="77"/>
      <c r="AF1012" s="77"/>
      <c r="AG1012" s="77"/>
      <c r="AH1012" s="87"/>
      <c r="AI1012" s="87"/>
      <c r="AJ1012" s="87"/>
      <c r="AK1012" s="87"/>
      <c r="AL1012" s="87"/>
    </row>
    <row r="1013">
      <c r="A1013" s="77"/>
      <c r="B1013" s="102"/>
      <c r="C1013" s="102"/>
      <c r="D1013" s="102"/>
      <c r="E1013" s="102"/>
      <c r="F1013" s="102"/>
      <c r="G1013" s="102"/>
      <c r="H1013" s="295"/>
      <c r="I1013" s="102"/>
      <c r="J1013" s="77"/>
      <c r="K1013" s="77"/>
      <c r="L1013" s="77"/>
      <c r="M1013" s="77"/>
      <c r="N1013" s="77"/>
      <c r="O1013" s="77"/>
      <c r="P1013" s="268"/>
      <c r="Q1013" s="268"/>
      <c r="R1013" s="77"/>
      <c r="S1013" s="77"/>
      <c r="T1013" s="77"/>
      <c r="U1013" s="77"/>
      <c r="V1013" s="77"/>
      <c r="W1013" s="77"/>
      <c r="X1013" s="77"/>
      <c r="Y1013" s="77"/>
      <c r="Z1013" s="77"/>
      <c r="AA1013" s="77"/>
      <c r="AB1013" s="77"/>
      <c r="AC1013" s="77"/>
      <c r="AD1013" s="77"/>
      <c r="AE1013" s="77"/>
      <c r="AF1013" s="77"/>
      <c r="AG1013" s="77"/>
      <c r="AH1013" s="87"/>
      <c r="AI1013" s="87"/>
      <c r="AJ1013" s="87"/>
      <c r="AK1013" s="87"/>
      <c r="AL1013" s="87"/>
    </row>
    <row r="1014">
      <c r="A1014" s="77"/>
      <c r="B1014" s="102"/>
      <c r="C1014" s="102"/>
      <c r="D1014" s="102"/>
      <c r="E1014" s="102"/>
      <c r="F1014" s="102"/>
      <c r="G1014" s="102"/>
      <c r="H1014" s="295"/>
      <c r="I1014" s="102"/>
      <c r="J1014" s="77"/>
      <c r="K1014" s="77"/>
      <c r="L1014" s="77"/>
      <c r="M1014" s="77"/>
      <c r="N1014" s="77"/>
      <c r="O1014" s="77"/>
      <c r="P1014" s="268"/>
      <c r="Q1014" s="268"/>
      <c r="R1014" s="77"/>
      <c r="S1014" s="77"/>
      <c r="T1014" s="77"/>
      <c r="U1014" s="77"/>
      <c r="V1014" s="77"/>
      <c r="W1014" s="77"/>
      <c r="X1014" s="77"/>
      <c r="Y1014" s="77"/>
      <c r="Z1014" s="77"/>
      <c r="AA1014" s="77"/>
      <c r="AB1014" s="77"/>
      <c r="AC1014" s="77"/>
      <c r="AD1014" s="77"/>
      <c r="AE1014" s="77"/>
      <c r="AF1014" s="77"/>
      <c r="AG1014" s="77"/>
      <c r="AH1014" s="87"/>
      <c r="AI1014" s="87"/>
      <c r="AJ1014" s="87"/>
      <c r="AK1014" s="87"/>
      <c r="AL1014" s="87"/>
    </row>
    <row r="1015">
      <c r="A1015" s="77"/>
      <c r="B1015" s="102"/>
      <c r="C1015" s="102"/>
      <c r="D1015" s="102"/>
      <c r="E1015" s="102"/>
      <c r="F1015" s="102"/>
      <c r="G1015" s="102"/>
      <c r="H1015" s="295"/>
      <c r="I1015" s="102"/>
      <c r="J1015" s="77"/>
      <c r="K1015" s="77"/>
      <c r="L1015" s="77"/>
      <c r="M1015" s="77"/>
      <c r="N1015" s="77"/>
      <c r="O1015" s="77"/>
      <c r="P1015" s="268"/>
      <c r="Q1015" s="268"/>
      <c r="R1015" s="77"/>
      <c r="S1015" s="77"/>
      <c r="T1015" s="77"/>
      <c r="U1015" s="77"/>
      <c r="V1015" s="77"/>
      <c r="W1015" s="77"/>
      <c r="X1015" s="77"/>
      <c r="Y1015" s="77"/>
      <c r="Z1015" s="77"/>
      <c r="AA1015" s="77"/>
      <c r="AB1015" s="77"/>
      <c r="AC1015" s="77"/>
      <c r="AD1015" s="77"/>
      <c r="AE1015" s="77"/>
      <c r="AF1015" s="77"/>
      <c r="AG1015" s="77"/>
      <c r="AH1015" s="87"/>
      <c r="AI1015" s="87"/>
      <c r="AJ1015" s="87"/>
      <c r="AK1015" s="87"/>
      <c r="AL1015" s="87"/>
    </row>
    <row r="1016">
      <c r="A1016" s="77"/>
      <c r="B1016" s="102"/>
      <c r="C1016" s="102"/>
      <c r="D1016" s="102"/>
      <c r="E1016" s="102"/>
      <c r="F1016" s="102"/>
      <c r="G1016" s="102"/>
      <c r="H1016" s="295"/>
      <c r="I1016" s="102"/>
      <c r="J1016" s="77"/>
      <c r="K1016" s="77"/>
      <c r="L1016" s="77"/>
      <c r="M1016" s="77"/>
      <c r="N1016" s="77"/>
      <c r="O1016" s="77"/>
      <c r="P1016" s="268"/>
      <c r="Q1016" s="268"/>
      <c r="R1016" s="77"/>
      <c r="S1016" s="77"/>
      <c r="T1016" s="77"/>
      <c r="U1016" s="77"/>
      <c r="V1016" s="77"/>
      <c r="W1016" s="77"/>
      <c r="X1016" s="77"/>
      <c r="Y1016" s="77"/>
      <c r="Z1016" s="77"/>
      <c r="AA1016" s="77"/>
      <c r="AB1016" s="77"/>
      <c r="AC1016" s="77"/>
      <c r="AD1016" s="77"/>
      <c r="AE1016" s="77"/>
      <c r="AF1016" s="77"/>
      <c r="AG1016" s="77"/>
      <c r="AH1016" s="87"/>
      <c r="AI1016" s="87"/>
      <c r="AJ1016" s="87"/>
      <c r="AK1016" s="87"/>
      <c r="AL1016" s="87"/>
    </row>
    <row r="1017">
      <c r="A1017" s="77"/>
      <c r="B1017" s="102"/>
      <c r="C1017" s="102"/>
      <c r="D1017" s="102"/>
      <c r="E1017" s="102"/>
      <c r="F1017" s="102"/>
      <c r="G1017" s="102"/>
      <c r="H1017" s="295"/>
      <c r="I1017" s="102"/>
      <c r="J1017" s="77"/>
      <c r="K1017" s="77"/>
      <c r="L1017" s="77"/>
      <c r="M1017" s="77"/>
      <c r="N1017" s="77"/>
      <c r="O1017" s="77"/>
      <c r="P1017" s="268"/>
      <c r="Q1017" s="268"/>
      <c r="R1017" s="77"/>
      <c r="S1017" s="77"/>
      <c r="T1017" s="77"/>
      <c r="U1017" s="77"/>
      <c r="V1017" s="77"/>
      <c r="W1017" s="77"/>
      <c r="X1017" s="77"/>
      <c r="Y1017" s="77"/>
      <c r="Z1017" s="77"/>
      <c r="AA1017" s="77"/>
      <c r="AB1017" s="77"/>
      <c r="AC1017" s="77"/>
      <c r="AD1017" s="77"/>
      <c r="AE1017" s="77"/>
      <c r="AF1017" s="77"/>
      <c r="AG1017" s="77"/>
      <c r="AH1017" s="87"/>
      <c r="AI1017" s="87"/>
      <c r="AJ1017" s="87"/>
      <c r="AK1017" s="87"/>
      <c r="AL1017" s="87"/>
    </row>
    <row r="1018">
      <c r="A1018" s="77"/>
      <c r="B1018" s="102"/>
      <c r="C1018" s="102"/>
      <c r="D1018" s="102"/>
      <c r="E1018" s="102"/>
      <c r="F1018" s="102"/>
      <c r="G1018" s="102"/>
      <c r="H1018" s="295"/>
      <c r="I1018" s="102"/>
      <c r="J1018" s="77"/>
      <c r="K1018" s="77"/>
      <c r="L1018" s="77"/>
      <c r="M1018" s="77"/>
      <c r="N1018" s="77"/>
      <c r="O1018" s="77"/>
      <c r="P1018" s="268"/>
      <c r="Q1018" s="268"/>
      <c r="R1018" s="77"/>
      <c r="S1018" s="77"/>
      <c r="T1018" s="77"/>
      <c r="U1018" s="77"/>
      <c r="V1018" s="77"/>
      <c r="W1018" s="77"/>
      <c r="X1018" s="77"/>
      <c r="Y1018" s="77"/>
      <c r="Z1018" s="77"/>
      <c r="AA1018" s="77"/>
      <c r="AB1018" s="77"/>
      <c r="AC1018" s="77"/>
      <c r="AD1018" s="77"/>
      <c r="AE1018" s="77"/>
      <c r="AF1018" s="77"/>
      <c r="AG1018" s="77"/>
      <c r="AH1018" s="87"/>
      <c r="AI1018" s="87"/>
      <c r="AJ1018" s="87"/>
      <c r="AK1018" s="87"/>
      <c r="AL1018" s="87"/>
    </row>
    <row r="1019">
      <c r="A1019" s="77"/>
      <c r="B1019" s="102"/>
      <c r="C1019" s="102"/>
      <c r="D1019" s="102"/>
      <c r="E1019" s="102"/>
      <c r="F1019" s="102"/>
      <c r="G1019" s="102"/>
      <c r="H1019" s="295"/>
      <c r="I1019" s="102"/>
      <c r="J1019" s="77"/>
      <c r="K1019" s="77"/>
      <c r="L1019" s="77"/>
      <c r="M1019" s="77"/>
      <c r="N1019" s="77"/>
      <c r="O1019" s="77"/>
      <c r="P1019" s="268"/>
      <c r="Q1019" s="268"/>
      <c r="R1019" s="77"/>
      <c r="S1019" s="77"/>
      <c r="T1019" s="77"/>
      <c r="U1019" s="77"/>
      <c r="V1019" s="77"/>
      <c r="W1019" s="77"/>
      <c r="X1019" s="77"/>
      <c r="Y1019" s="77"/>
      <c r="Z1019" s="77"/>
      <c r="AA1019" s="77"/>
      <c r="AB1019" s="77"/>
      <c r="AC1019" s="77"/>
      <c r="AD1019" s="77"/>
      <c r="AE1019" s="77"/>
      <c r="AF1019" s="77"/>
      <c r="AG1019" s="77"/>
      <c r="AH1019" s="87"/>
      <c r="AI1019" s="87"/>
      <c r="AJ1019" s="87"/>
      <c r="AK1019" s="87"/>
      <c r="AL1019" s="87"/>
    </row>
    <row r="1020">
      <c r="A1020" s="77"/>
      <c r="B1020" s="102"/>
      <c r="C1020" s="102"/>
      <c r="D1020" s="102"/>
      <c r="E1020" s="102"/>
      <c r="F1020" s="102"/>
      <c r="G1020" s="102"/>
      <c r="H1020" s="295"/>
      <c r="I1020" s="102"/>
      <c r="J1020" s="77"/>
      <c r="K1020" s="77"/>
      <c r="L1020" s="77"/>
      <c r="M1020" s="77"/>
      <c r="N1020" s="77"/>
      <c r="O1020" s="77"/>
      <c r="P1020" s="268"/>
      <c r="Q1020" s="268"/>
      <c r="R1020" s="77"/>
      <c r="S1020" s="77"/>
      <c r="T1020" s="77"/>
      <c r="U1020" s="77"/>
      <c r="V1020" s="77"/>
      <c r="W1020" s="77"/>
      <c r="X1020" s="77"/>
      <c r="Y1020" s="77"/>
      <c r="Z1020" s="77"/>
      <c r="AA1020" s="77"/>
      <c r="AB1020" s="77"/>
      <c r="AC1020" s="77"/>
      <c r="AD1020" s="77"/>
      <c r="AE1020" s="77"/>
      <c r="AF1020" s="77"/>
      <c r="AG1020" s="77"/>
      <c r="AH1020" s="87"/>
      <c r="AI1020" s="87"/>
      <c r="AJ1020" s="87"/>
      <c r="AK1020" s="87"/>
      <c r="AL1020" s="87"/>
    </row>
    <row r="1021">
      <c r="A1021" s="77"/>
      <c r="B1021" s="102"/>
      <c r="C1021" s="102"/>
      <c r="D1021" s="102"/>
      <c r="E1021" s="102"/>
      <c r="F1021" s="102"/>
      <c r="G1021" s="102"/>
      <c r="H1021" s="295"/>
      <c r="I1021" s="102"/>
      <c r="J1021" s="77"/>
      <c r="K1021" s="77"/>
      <c r="L1021" s="77"/>
      <c r="M1021" s="77"/>
      <c r="N1021" s="77"/>
      <c r="O1021" s="77"/>
      <c r="P1021" s="268"/>
      <c r="Q1021" s="268"/>
      <c r="R1021" s="77"/>
      <c r="S1021" s="77"/>
      <c r="T1021" s="77"/>
      <c r="U1021" s="77"/>
      <c r="V1021" s="77"/>
      <c r="W1021" s="77"/>
      <c r="X1021" s="77"/>
      <c r="Y1021" s="77"/>
      <c r="Z1021" s="77"/>
      <c r="AA1021" s="77"/>
      <c r="AB1021" s="77"/>
      <c r="AC1021" s="77"/>
      <c r="AD1021" s="77"/>
      <c r="AE1021" s="77"/>
      <c r="AF1021" s="77"/>
      <c r="AG1021" s="77"/>
      <c r="AH1021" s="87"/>
      <c r="AI1021" s="87"/>
      <c r="AJ1021" s="87"/>
      <c r="AK1021" s="87"/>
      <c r="AL1021" s="87"/>
    </row>
    <row r="1022">
      <c r="A1022" s="77"/>
      <c r="B1022" s="102"/>
      <c r="C1022" s="102"/>
      <c r="D1022" s="102"/>
      <c r="E1022" s="102"/>
      <c r="F1022" s="102"/>
      <c r="G1022" s="102"/>
      <c r="H1022" s="295"/>
      <c r="I1022" s="102"/>
      <c r="J1022" s="77"/>
      <c r="K1022" s="77"/>
      <c r="L1022" s="77"/>
      <c r="M1022" s="77"/>
      <c r="N1022" s="77"/>
      <c r="O1022" s="77"/>
      <c r="P1022" s="268"/>
      <c r="Q1022" s="268"/>
      <c r="R1022" s="77"/>
      <c r="S1022" s="77"/>
      <c r="T1022" s="77"/>
      <c r="U1022" s="77"/>
      <c r="V1022" s="77"/>
      <c r="W1022" s="77"/>
      <c r="X1022" s="77"/>
      <c r="Y1022" s="77"/>
      <c r="Z1022" s="77"/>
      <c r="AA1022" s="77"/>
      <c r="AB1022" s="77"/>
      <c r="AC1022" s="77"/>
      <c r="AD1022" s="77"/>
      <c r="AE1022" s="77"/>
      <c r="AF1022" s="77"/>
      <c r="AG1022" s="77"/>
      <c r="AH1022" s="87"/>
      <c r="AI1022" s="87"/>
      <c r="AJ1022" s="87"/>
      <c r="AK1022" s="87"/>
      <c r="AL1022" s="87"/>
    </row>
    <row r="1023">
      <c r="A1023" s="77"/>
      <c r="B1023" s="102"/>
      <c r="C1023" s="102"/>
      <c r="D1023" s="102"/>
      <c r="E1023" s="102"/>
      <c r="F1023" s="102"/>
      <c r="G1023" s="102"/>
      <c r="H1023" s="295"/>
      <c r="I1023" s="102"/>
      <c r="J1023" s="77"/>
      <c r="K1023" s="77"/>
      <c r="L1023" s="77"/>
      <c r="M1023" s="77"/>
      <c r="N1023" s="77"/>
      <c r="O1023" s="77"/>
      <c r="P1023" s="268"/>
      <c r="Q1023" s="268"/>
      <c r="R1023" s="77"/>
      <c r="S1023" s="77"/>
      <c r="T1023" s="77"/>
      <c r="U1023" s="77"/>
      <c r="V1023" s="77"/>
      <c r="W1023" s="77"/>
      <c r="X1023" s="77"/>
      <c r="Y1023" s="77"/>
      <c r="Z1023" s="77"/>
      <c r="AA1023" s="77"/>
      <c r="AB1023" s="77"/>
      <c r="AC1023" s="77"/>
      <c r="AD1023" s="77"/>
      <c r="AE1023" s="77"/>
      <c r="AF1023" s="77"/>
      <c r="AG1023" s="77"/>
      <c r="AH1023" s="87"/>
      <c r="AI1023" s="87"/>
      <c r="AJ1023" s="87"/>
      <c r="AK1023" s="87"/>
      <c r="AL1023" s="87"/>
    </row>
    <row r="1024">
      <c r="A1024" s="77"/>
      <c r="B1024" s="102"/>
      <c r="C1024" s="102"/>
      <c r="D1024" s="102"/>
      <c r="E1024" s="102"/>
      <c r="F1024" s="102"/>
      <c r="G1024" s="102"/>
      <c r="H1024" s="295"/>
      <c r="I1024" s="102"/>
      <c r="J1024" s="77"/>
      <c r="K1024" s="77"/>
      <c r="L1024" s="77"/>
      <c r="M1024" s="77"/>
      <c r="N1024" s="77"/>
      <c r="O1024" s="77"/>
      <c r="P1024" s="268"/>
      <c r="Q1024" s="268"/>
      <c r="R1024" s="77"/>
      <c r="S1024" s="77"/>
      <c r="T1024" s="77"/>
      <c r="U1024" s="77"/>
      <c r="V1024" s="77"/>
      <c r="W1024" s="77"/>
      <c r="X1024" s="77"/>
      <c r="Y1024" s="77"/>
      <c r="Z1024" s="77"/>
      <c r="AA1024" s="77"/>
      <c r="AB1024" s="77"/>
      <c r="AC1024" s="77"/>
      <c r="AD1024" s="77"/>
      <c r="AE1024" s="77"/>
      <c r="AF1024" s="77"/>
      <c r="AG1024" s="77"/>
      <c r="AH1024" s="87"/>
      <c r="AI1024" s="87"/>
      <c r="AJ1024" s="87"/>
      <c r="AK1024" s="87"/>
      <c r="AL1024" s="87"/>
    </row>
    <row r="1025">
      <c r="A1025" s="77"/>
      <c r="B1025" s="102"/>
      <c r="C1025" s="102"/>
      <c r="D1025" s="102"/>
      <c r="E1025" s="102"/>
      <c r="F1025" s="102"/>
      <c r="G1025" s="102"/>
      <c r="H1025" s="295"/>
      <c r="I1025" s="102"/>
      <c r="J1025" s="77"/>
      <c r="K1025" s="77"/>
      <c r="L1025" s="77"/>
      <c r="M1025" s="77"/>
      <c r="N1025" s="77"/>
      <c r="O1025" s="77"/>
      <c r="P1025" s="268"/>
      <c r="Q1025" s="268"/>
      <c r="R1025" s="77"/>
      <c r="S1025" s="77"/>
      <c r="T1025" s="77"/>
      <c r="U1025" s="77"/>
      <c r="V1025" s="77"/>
      <c r="W1025" s="77"/>
      <c r="X1025" s="77"/>
      <c r="Y1025" s="77"/>
      <c r="Z1025" s="77"/>
      <c r="AA1025" s="77"/>
      <c r="AB1025" s="77"/>
      <c r="AC1025" s="77"/>
      <c r="AD1025" s="77"/>
      <c r="AE1025" s="77"/>
      <c r="AF1025" s="77"/>
      <c r="AG1025" s="77"/>
      <c r="AH1025" s="87"/>
      <c r="AI1025" s="87"/>
      <c r="AJ1025" s="87"/>
      <c r="AK1025" s="87"/>
      <c r="AL1025" s="87"/>
    </row>
    <row r="1026">
      <c r="A1026" s="77"/>
      <c r="B1026" s="102"/>
      <c r="C1026" s="102"/>
      <c r="D1026" s="102"/>
      <c r="E1026" s="102"/>
      <c r="F1026" s="102"/>
      <c r="G1026" s="102"/>
      <c r="H1026" s="295"/>
      <c r="I1026" s="102"/>
      <c r="J1026" s="77"/>
      <c r="K1026" s="77"/>
      <c r="L1026" s="77"/>
      <c r="M1026" s="77"/>
      <c r="N1026" s="77"/>
      <c r="O1026" s="77"/>
      <c r="P1026" s="268"/>
      <c r="Q1026" s="268"/>
      <c r="R1026" s="77"/>
      <c r="S1026" s="77"/>
      <c r="T1026" s="77"/>
      <c r="U1026" s="77"/>
      <c r="V1026" s="77"/>
      <c r="W1026" s="77"/>
      <c r="X1026" s="77"/>
      <c r="Y1026" s="77"/>
      <c r="Z1026" s="77"/>
      <c r="AA1026" s="77"/>
      <c r="AB1026" s="77"/>
      <c r="AC1026" s="77"/>
      <c r="AD1026" s="77"/>
      <c r="AE1026" s="77"/>
      <c r="AF1026" s="77"/>
      <c r="AG1026" s="77"/>
      <c r="AH1026" s="87"/>
      <c r="AI1026" s="87"/>
      <c r="AJ1026" s="87"/>
      <c r="AK1026" s="87"/>
      <c r="AL1026" s="87"/>
    </row>
    <row r="1027">
      <c r="A1027" s="77"/>
      <c r="B1027" s="102"/>
      <c r="C1027" s="102"/>
      <c r="D1027" s="102"/>
      <c r="E1027" s="102"/>
      <c r="F1027" s="102"/>
      <c r="G1027" s="102"/>
      <c r="H1027" s="295"/>
      <c r="I1027" s="102"/>
      <c r="J1027" s="77"/>
      <c r="K1027" s="77"/>
      <c r="L1027" s="77"/>
      <c r="M1027" s="77"/>
      <c r="N1027" s="77"/>
      <c r="O1027" s="77"/>
      <c r="P1027" s="268"/>
      <c r="Q1027" s="268"/>
      <c r="R1027" s="77"/>
      <c r="S1027" s="77"/>
      <c r="T1027" s="77"/>
      <c r="U1027" s="77"/>
      <c r="V1027" s="77"/>
      <c r="W1027" s="77"/>
      <c r="X1027" s="77"/>
      <c r="Y1027" s="77"/>
      <c r="Z1027" s="77"/>
      <c r="AA1027" s="77"/>
      <c r="AB1027" s="77"/>
      <c r="AC1027" s="77"/>
      <c r="AD1027" s="77"/>
      <c r="AE1027" s="77"/>
      <c r="AF1027" s="77"/>
      <c r="AG1027" s="77"/>
      <c r="AH1027" s="87"/>
      <c r="AI1027" s="87"/>
      <c r="AJ1027" s="87"/>
      <c r="AK1027" s="87"/>
      <c r="AL1027" s="87"/>
    </row>
    <row r="1028">
      <c r="A1028" s="77"/>
      <c r="B1028" s="102"/>
      <c r="C1028" s="102"/>
      <c r="D1028" s="102"/>
      <c r="E1028" s="102"/>
      <c r="F1028" s="102"/>
      <c r="G1028" s="102"/>
      <c r="H1028" s="295"/>
      <c r="I1028" s="102"/>
      <c r="J1028" s="77"/>
      <c r="K1028" s="77"/>
      <c r="L1028" s="77"/>
      <c r="M1028" s="77"/>
      <c r="N1028" s="77"/>
      <c r="O1028" s="77"/>
      <c r="P1028" s="268"/>
      <c r="Q1028" s="268"/>
      <c r="R1028" s="77"/>
      <c r="S1028" s="77"/>
      <c r="T1028" s="77"/>
      <c r="U1028" s="77"/>
      <c r="V1028" s="77"/>
      <c r="W1028" s="77"/>
      <c r="X1028" s="77"/>
      <c r="Y1028" s="77"/>
      <c r="Z1028" s="77"/>
      <c r="AA1028" s="77"/>
      <c r="AB1028" s="77"/>
      <c r="AC1028" s="77"/>
      <c r="AD1028" s="77"/>
      <c r="AE1028" s="77"/>
      <c r="AF1028" s="77"/>
      <c r="AG1028" s="77"/>
      <c r="AH1028" s="87"/>
      <c r="AI1028" s="87"/>
      <c r="AJ1028" s="87"/>
      <c r="AK1028" s="87"/>
      <c r="AL1028" s="87"/>
    </row>
    <row r="1029">
      <c r="A1029" s="77"/>
      <c r="B1029" s="102"/>
      <c r="C1029" s="102"/>
      <c r="D1029" s="102"/>
      <c r="E1029" s="102"/>
      <c r="F1029" s="102"/>
      <c r="G1029" s="102"/>
      <c r="H1029" s="295"/>
      <c r="I1029" s="102"/>
      <c r="J1029" s="77"/>
      <c r="K1029" s="77"/>
      <c r="L1029" s="77"/>
      <c r="M1029" s="77"/>
      <c r="N1029" s="77"/>
      <c r="O1029" s="77"/>
      <c r="P1029" s="268"/>
      <c r="Q1029" s="268"/>
      <c r="R1029" s="77"/>
      <c r="S1029" s="77"/>
      <c r="T1029" s="77"/>
      <c r="U1029" s="77"/>
      <c r="V1029" s="77"/>
      <c r="W1029" s="77"/>
      <c r="X1029" s="77"/>
      <c r="Y1029" s="77"/>
      <c r="Z1029" s="77"/>
      <c r="AA1029" s="77"/>
      <c r="AB1029" s="77"/>
      <c r="AC1029" s="77"/>
      <c r="AD1029" s="77"/>
      <c r="AE1029" s="77"/>
      <c r="AF1029" s="77"/>
      <c r="AG1029" s="77"/>
      <c r="AH1029" s="87"/>
      <c r="AI1029" s="87"/>
      <c r="AJ1029" s="87"/>
      <c r="AK1029" s="87"/>
      <c r="AL1029" s="87"/>
    </row>
    <row r="1030">
      <c r="A1030" s="77"/>
      <c r="B1030" s="102"/>
      <c r="C1030" s="102"/>
      <c r="D1030" s="102"/>
      <c r="E1030" s="102"/>
      <c r="F1030" s="102"/>
      <c r="G1030" s="102"/>
      <c r="H1030" s="295"/>
      <c r="I1030" s="102"/>
      <c r="J1030" s="77"/>
      <c r="K1030" s="77"/>
      <c r="L1030" s="77"/>
      <c r="M1030" s="77"/>
      <c r="N1030" s="77"/>
      <c r="O1030" s="77"/>
      <c r="P1030" s="268"/>
      <c r="Q1030" s="268"/>
      <c r="R1030" s="77"/>
      <c r="S1030" s="77"/>
      <c r="T1030" s="77"/>
      <c r="U1030" s="77"/>
      <c r="V1030" s="77"/>
      <c r="W1030" s="77"/>
      <c r="X1030" s="77"/>
      <c r="Y1030" s="77"/>
      <c r="Z1030" s="77"/>
      <c r="AA1030" s="77"/>
      <c r="AB1030" s="77"/>
      <c r="AC1030" s="77"/>
      <c r="AD1030" s="77"/>
      <c r="AE1030" s="77"/>
      <c r="AF1030" s="77"/>
      <c r="AG1030" s="77"/>
      <c r="AH1030" s="87"/>
      <c r="AI1030" s="87"/>
      <c r="AJ1030" s="87"/>
      <c r="AK1030" s="87"/>
      <c r="AL1030" s="87"/>
    </row>
    <row r="1031">
      <c r="A1031" s="77"/>
      <c r="B1031" s="102"/>
      <c r="C1031" s="102"/>
      <c r="D1031" s="102"/>
      <c r="E1031" s="102"/>
      <c r="F1031" s="102"/>
      <c r="G1031" s="102"/>
      <c r="H1031" s="295"/>
      <c r="I1031" s="102"/>
      <c r="J1031" s="77"/>
      <c r="K1031" s="77"/>
      <c r="L1031" s="77"/>
      <c r="M1031" s="77"/>
      <c r="N1031" s="77"/>
      <c r="O1031" s="77"/>
      <c r="P1031" s="268"/>
      <c r="Q1031" s="268"/>
      <c r="R1031" s="77"/>
      <c r="S1031" s="77"/>
      <c r="T1031" s="77"/>
      <c r="U1031" s="77"/>
      <c r="V1031" s="77"/>
      <c r="W1031" s="77"/>
      <c r="X1031" s="77"/>
      <c r="Y1031" s="77"/>
      <c r="Z1031" s="77"/>
      <c r="AA1031" s="77"/>
      <c r="AB1031" s="77"/>
      <c r="AC1031" s="77"/>
      <c r="AD1031" s="77"/>
      <c r="AE1031" s="77"/>
      <c r="AF1031" s="77"/>
      <c r="AG1031" s="77"/>
      <c r="AH1031" s="87"/>
      <c r="AI1031" s="87"/>
      <c r="AJ1031" s="87"/>
      <c r="AK1031" s="87"/>
      <c r="AL1031" s="87"/>
    </row>
    <row r="1032">
      <c r="A1032" s="77"/>
      <c r="B1032" s="102"/>
      <c r="C1032" s="102"/>
      <c r="D1032" s="102"/>
      <c r="E1032" s="102"/>
      <c r="F1032" s="102"/>
      <c r="G1032" s="102"/>
      <c r="H1032" s="295"/>
      <c r="I1032" s="102"/>
      <c r="J1032" s="77"/>
      <c r="K1032" s="77"/>
      <c r="L1032" s="77"/>
      <c r="M1032" s="77"/>
      <c r="N1032" s="77"/>
      <c r="O1032" s="77"/>
      <c r="P1032" s="268"/>
      <c r="Q1032" s="268"/>
      <c r="R1032" s="77"/>
      <c r="S1032" s="77"/>
      <c r="T1032" s="77"/>
      <c r="U1032" s="77"/>
      <c r="V1032" s="77"/>
      <c r="W1032" s="77"/>
      <c r="X1032" s="77"/>
      <c r="Y1032" s="77"/>
      <c r="Z1032" s="77"/>
      <c r="AA1032" s="77"/>
      <c r="AB1032" s="77"/>
      <c r="AC1032" s="77"/>
      <c r="AD1032" s="77"/>
      <c r="AE1032" s="77"/>
      <c r="AF1032" s="77"/>
      <c r="AG1032" s="77"/>
      <c r="AH1032" s="87"/>
      <c r="AI1032" s="87"/>
      <c r="AJ1032" s="87"/>
      <c r="AK1032" s="87"/>
      <c r="AL1032" s="87"/>
    </row>
    <row r="1033">
      <c r="A1033" s="77"/>
      <c r="B1033" s="102"/>
      <c r="C1033" s="102"/>
      <c r="D1033" s="102"/>
      <c r="E1033" s="102"/>
      <c r="F1033" s="102"/>
      <c r="G1033" s="102"/>
      <c r="H1033" s="295"/>
      <c r="I1033" s="102"/>
      <c r="J1033" s="77"/>
      <c r="K1033" s="77"/>
      <c r="L1033" s="77"/>
      <c r="M1033" s="77"/>
      <c r="N1033" s="77"/>
      <c r="O1033" s="77"/>
      <c r="P1033" s="268"/>
      <c r="Q1033" s="268"/>
      <c r="R1033" s="77"/>
      <c r="S1033" s="77"/>
      <c r="T1033" s="77"/>
      <c r="U1033" s="77"/>
      <c r="V1033" s="77"/>
      <c r="W1033" s="77"/>
      <c r="X1033" s="77"/>
      <c r="Y1033" s="77"/>
      <c r="Z1033" s="77"/>
      <c r="AA1033" s="77"/>
      <c r="AB1033" s="77"/>
      <c r="AC1033" s="77"/>
      <c r="AD1033" s="77"/>
      <c r="AE1033" s="77"/>
      <c r="AF1033" s="77"/>
      <c r="AG1033" s="77"/>
      <c r="AH1033" s="87"/>
      <c r="AI1033" s="87"/>
      <c r="AJ1033" s="87"/>
      <c r="AK1033" s="87"/>
      <c r="AL1033" s="87"/>
    </row>
    <row r="1034">
      <c r="A1034" s="77"/>
      <c r="B1034" s="102"/>
      <c r="C1034" s="102"/>
      <c r="D1034" s="102"/>
      <c r="E1034" s="102"/>
      <c r="F1034" s="102"/>
      <c r="G1034" s="102"/>
      <c r="H1034" s="295"/>
      <c r="I1034" s="102"/>
      <c r="J1034" s="77"/>
      <c r="K1034" s="77"/>
      <c r="L1034" s="77"/>
      <c r="M1034" s="77"/>
      <c r="N1034" s="77"/>
      <c r="O1034" s="77"/>
      <c r="P1034" s="268"/>
      <c r="Q1034" s="268"/>
      <c r="R1034" s="77"/>
      <c r="S1034" s="77"/>
      <c r="T1034" s="77"/>
      <c r="U1034" s="77"/>
      <c r="V1034" s="77"/>
      <c r="W1034" s="77"/>
      <c r="X1034" s="77"/>
      <c r="Y1034" s="77"/>
      <c r="Z1034" s="77"/>
      <c r="AA1034" s="77"/>
      <c r="AB1034" s="77"/>
      <c r="AC1034" s="77"/>
      <c r="AD1034" s="77"/>
      <c r="AE1034" s="77"/>
      <c r="AF1034" s="77"/>
      <c r="AG1034" s="77"/>
      <c r="AH1034" s="87"/>
      <c r="AI1034" s="87"/>
      <c r="AJ1034" s="87"/>
      <c r="AK1034" s="87"/>
      <c r="AL1034" s="87"/>
    </row>
    <row r="1035">
      <c r="A1035" s="77"/>
      <c r="B1035" s="102"/>
      <c r="C1035" s="102"/>
      <c r="D1035" s="102"/>
      <c r="E1035" s="102"/>
      <c r="F1035" s="102"/>
      <c r="G1035" s="102"/>
      <c r="H1035" s="295"/>
      <c r="I1035" s="102"/>
      <c r="J1035" s="77"/>
      <c r="K1035" s="77"/>
      <c r="L1035" s="77"/>
      <c r="M1035" s="77"/>
      <c r="N1035" s="77"/>
      <c r="O1035" s="77"/>
      <c r="P1035" s="268"/>
      <c r="Q1035" s="268"/>
      <c r="R1035" s="77"/>
      <c r="S1035" s="77"/>
      <c r="T1035" s="77"/>
      <c r="U1035" s="77"/>
      <c r="V1035" s="77"/>
      <c r="W1035" s="77"/>
      <c r="X1035" s="77"/>
      <c r="Y1035" s="77"/>
      <c r="Z1035" s="77"/>
      <c r="AA1035" s="77"/>
      <c r="AB1035" s="77"/>
      <c r="AC1035" s="77"/>
      <c r="AD1035" s="77"/>
      <c r="AE1035" s="77"/>
      <c r="AF1035" s="77"/>
      <c r="AG1035" s="77"/>
      <c r="AH1035" s="87"/>
      <c r="AI1035" s="87"/>
      <c r="AJ1035" s="87"/>
      <c r="AK1035" s="87"/>
      <c r="AL1035" s="87"/>
    </row>
    <row r="1036">
      <c r="A1036" s="77"/>
      <c r="B1036" s="102"/>
      <c r="C1036" s="102"/>
      <c r="D1036" s="102"/>
      <c r="E1036" s="102"/>
      <c r="F1036" s="102"/>
      <c r="G1036" s="102"/>
      <c r="H1036" s="295"/>
      <c r="I1036" s="102"/>
      <c r="J1036" s="77"/>
      <c r="K1036" s="77"/>
      <c r="L1036" s="77"/>
      <c r="M1036" s="77"/>
      <c r="N1036" s="77"/>
      <c r="O1036" s="77"/>
      <c r="P1036" s="268"/>
      <c r="Q1036" s="268"/>
      <c r="R1036" s="77"/>
      <c r="S1036" s="77"/>
      <c r="T1036" s="77"/>
      <c r="U1036" s="77"/>
      <c r="V1036" s="77"/>
      <c r="W1036" s="77"/>
      <c r="X1036" s="77"/>
      <c r="Y1036" s="77"/>
      <c r="Z1036" s="77"/>
      <c r="AA1036" s="77"/>
      <c r="AB1036" s="77"/>
      <c r="AC1036" s="77"/>
      <c r="AD1036" s="77"/>
      <c r="AE1036" s="77"/>
      <c r="AF1036" s="77"/>
      <c r="AG1036" s="77"/>
      <c r="AH1036" s="87"/>
      <c r="AI1036" s="87"/>
      <c r="AJ1036" s="87"/>
      <c r="AK1036" s="87"/>
      <c r="AL1036" s="87"/>
    </row>
    <row r="1037">
      <c r="A1037" s="77"/>
      <c r="B1037" s="102"/>
      <c r="C1037" s="102"/>
      <c r="D1037" s="102"/>
      <c r="E1037" s="102"/>
      <c r="F1037" s="102"/>
      <c r="G1037" s="102"/>
      <c r="H1037" s="295"/>
      <c r="I1037" s="102"/>
      <c r="J1037" s="77"/>
      <c r="K1037" s="77"/>
      <c r="L1037" s="77"/>
      <c r="M1037" s="77"/>
      <c r="N1037" s="77"/>
      <c r="O1037" s="77"/>
      <c r="P1037" s="268"/>
      <c r="Q1037" s="268"/>
      <c r="R1037" s="77"/>
      <c r="S1037" s="77"/>
      <c r="T1037" s="77"/>
      <c r="U1037" s="77"/>
      <c r="V1037" s="77"/>
      <c r="W1037" s="77"/>
      <c r="X1037" s="77"/>
      <c r="Y1037" s="77"/>
      <c r="Z1037" s="77"/>
      <c r="AA1037" s="77"/>
      <c r="AB1037" s="77"/>
      <c r="AC1037" s="77"/>
      <c r="AD1037" s="77"/>
      <c r="AE1037" s="77"/>
      <c r="AF1037" s="77"/>
      <c r="AG1037" s="77"/>
      <c r="AH1037" s="87"/>
      <c r="AI1037" s="87"/>
      <c r="AJ1037" s="87"/>
      <c r="AK1037" s="87"/>
      <c r="AL1037" s="87"/>
    </row>
    <row r="1038">
      <c r="A1038" s="77"/>
      <c r="B1038" s="102"/>
      <c r="C1038" s="102"/>
      <c r="D1038" s="102"/>
      <c r="E1038" s="102"/>
      <c r="F1038" s="102"/>
      <c r="G1038" s="102"/>
      <c r="H1038" s="295"/>
      <c r="I1038" s="102"/>
      <c r="J1038" s="77"/>
      <c r="K1038" s="77"/>
      <c r="L1038" s="77"/>
      <c r="M1038" s="77"/>
      <c r="N1038" s="77"/>
      <c r="O1038" s="77"/>
      <c r="P1038" s="268"/>
      <c r="Q1038" s="268"/>
      <c r="R1038" s="77"/>
      <c r="S1038" s="77"/>
      <c r="T1038" s="77"/>
      <c r="U1038" s="77"/>
      <c r="V1038" s="77"/>
      <c r="W1038" s="77"/>
      <c r="X1038" s="77"/>
      <c r="Y1038" s="77"/>
      <c r="Z1038" s="77"/>
      <c r="AA1038" s="77"/>
      <c r="AB1038" s="77"/>
      <c r="AC1038" s="77"/>
      <c r="AD1038" s="77"/>
      <c r="AE1038" s="77"/>
      <c r="AF1038" s="77"/>
      <c r="AG1038" s="77"/>
      <c r="AH1038" s="87"/>
      <c r="AI1038" s="87"/>
      <c r="AJ1038" s="87"/>
      <c r="AK1038" s="87"/>
      <c r="AL1038" s="87"/>
    </row>
    <row r="1039">
      <c r="A1039" s="77"/>
      <c r="B1039" s="102"/>
      <c r="C1039" s="102"/>
      <c r="D1039" s="102"/>
      <c r="E1039" s="102"/>
      <c r="F1039" s="102"/>
      <c r="G1039" s="102"/>
      <c r="H1039" s="295"/>
      <c r="I1039" s="102"/>
      <c r="J1039" s="77"/>
      <c r="K1039" s="77"/>
      <c r="L1039" s="77"/>
      <c r="M1039" s="77"/>
      <c r="N1039" s="77"/>
      <c r="O1039" s="77"/>
      <c r="P1039" s="268"/>
      <c r="Q1039" s="268"/>
      <c r="R1039" s="77"/>
      <c r="S1039" s="77"/>
      <c r="T1039" s="77"/>
      <c r="U1039" s="77"/>
      <c r="V1039" s="77"/>
      <c r="W1039" s="77"/>
      <c r="X1039" s="77"/>
      <c r="Y1039" s="77"/>
      <c r="Z1039" s="77"/>
      <c r="AA1039" s="77"/>
      <c r="AB1039" s="77"/>
      <c r="AC1039" s="77"/>
      <c r="AD1039" s="77"/>
      <c r="AE1039" s="77"/>
      <c r="AF1039" s="77"/>
      <c r="AG1039" s="77"/>
      <c r="AH1039" s="87"/>
      <c r="AI1039" s="87"/>
      <c r="AJ1039" s="87"/>
      <c r="AK1039" s="87"/>
      <c r="AL1039" s="87"/>
    </row>
    <row r="1040">
      <c r="A1040" s="77"/>
      <c r="B1040" s="102"/>
      <c r="C1040" s="102"/>
      <c r="D1040" s="102"/>
      <c r="E1040" s="102"/>
      <c r="F1040" s="102"/>
      <c r="G1040" s="102"/>
      <c r="H1040" s="295"/>
      <c r="I1040" s="102"/>
      <c r="J1040" s="77"/>
      <c r="K1040" s="77"/>
      <c r="L1040" s="77"/>
      <c r="M1040" s="77"/>
      <c r="N1040" s="77"/>
      <c r="O1040" s="77"/>
      <c r="P1040" s="268"/>
      <c r="Q1040" s="268"/>
      <c r="R1040" s="77"/>
      <c r="S1040" s="77"/>
      <c r="T1040" s="77"/>
      <c r="U1040" s="77"/>
      <c r="V1040" s="77"/>
      <c r="W1040" s="77"/>
      <c r="X1040" s="77"/>
      <c r="Y1040" s="77"/>
      <c r="Z1040" s="77"/>
      <c r="AA1040" s="77"/>
      <c r="AB1040" s="77"/>
      <c r="AC1040" s="77"/>
      <c r="AD1040" s="77"/>
      <c r="AE1040" s="77"/>
      <c r="AF1040" s="77"/>
      <c r="AG1040" s="77"/>
      <c r="AH1040" s="87"/>
      <c r="AI1040" s="87"/>
      <c r="AJ1040" s="87"/>
      <c r="AK1040" s="87"/>
      <c r="AL1040" s="87"/>
    </row>
    <row r="1041">
      <c r="A1041" s="77"/>
      <c r="B1041" s="102"/>
      <c r="C1041" s="102"/>
      <c r="D1041" s="102"/>
      <c r="E1041" s="102"/>
      <c r="F1041" s="102"/>
      <c r="G1041" s="102"/>
      <c r="H1041" s="295"/>
      <c r="I1041" s="102"/>
      <c r="J1041" s="77"/>
      <c r="K1041" s="77"/>
      <c r="L1041" s="77"/>
      <c r="M1041" s="77"/>
      <c r="N1041" s="77"/>
      <c r="O1041" s="77"/>
      <c r="P1041" s="268"/>
      <c r="Q1041" s="268"/>
      <c r="R1041" s="77"/>
      <c r="S1041" s="77"/>
      <c r="T1041" s="77"/>
      <c r="U1041" s="77"/>
      <c r="V1041" s="77"/>
      <c r="W1041" s="77"/>
      <c r="X1041" s="77"/>
      <c r="Y1041" s="77"/>
      <c r="Z1041" s="77"/>
      <c r="AA1041" s="77"/>
      <c r="AB1041" s="77"/>
      <c r="AC1041" s="77"/>
      <c r="AD1041" s="77"/>
      <c r="AE1041" s="77"/>
      <c r="AF1041" s="77"/>
      <c r="AG1041" s="77"/>
      <c r="AH1041" s="87"/>
      <c r="AI1041" s="87"/>
      <c r="AJ1041" s="87"/>
      <c r="AK1041" s="87"/>
      <c r="AL1041" s="87"/>
    </row>
    <row r="1042">
      <c r="A1042" s="77"/>
      <c r="B1042" s="102"/>
      <c r="C1042" s="102"/>
      <c r="D1042" s="102"/>
      <c r="E1042" s="102"/>
      <c r="F1042" s="102"/>
      <c r="G1042" s="102"/>
      <c r="H1042" s="295"/>
      <c r="I1042" s="102"/>
      <c r="J1042" s="77"/>
      <c r="K1042" s="77"/>
      <c r="L1042" s="77"/>
      <c r="M1042" s="77"/>
      <c r="N1042" s="77"/>
      <c r="O1042" s="77"/>
      <c r="P1042" s="268"/>
      <c r="Q1042" s="268"/>
      <c r="R1042" s="77"/>
      <c r="S1042" s="77"/>
      <c r="T1042" s="77"/>
      <c r="U1042" s="77"/>
      <c r="V1042" s="77"/>
      <c r="W1042" s="77"/>
      <c r="X1042" s="77"/>
      <c r="Y1042" s="77"/>
      <c r="Z1042" s="77"/>
      <c r="AA1042" s="77"/>
      <c r="AB1042" s="77"/>
      <c r="AC1042" s="77"/>
      <c r="AD1042" s="77"/>
      <c r="AE1042" s="77"/>
      <c r="AF1042" s="77"/>
      <c r="AG1042" s="77"/>
      <c r="AH1042" s="87"/>
      <c r="AI1042" s="87"/>
      <c r="AJ1042" s="87"/>
      <c r="AK1042" s="87"/>
      <c r="AL1042" s="87"/>
    </row>
    <row r="1043">
      <c r="A1043" s="77"/>
      <c r="B1043" s="102"/>
      <c r="C1043" s="102"/>
      <c r="D1043" s="102"/>
      <c r="E1043" s="102"/>
      <c r="F1043" s="102"/>
      <c r="G1043" s="102"/>
      <c r="H1043" s="295"/>
      <c r="I1043" s="102"/>
      <c r="J1043" s="77"/>
      <c r="K1043" s="77"/>
      <c r="L1043" s="77"/>
      <c r="M1043" s="77"/>
      <c r="N1043" s="77"/>
      <c r="O1043" s="77"/>
      <c r="P1043" s="268"/>
      <c r="Q1043" s="268"/>
      <c r="R1043" s="77"/>
      <c r="S1043" s="77"/>
      <c r="T1043" s="77"/>
      <c r="U1043" s="77"/>
      <c r="V1043" s="77"/>
      <c r="W1043" s="77"/>
      <c r="X1043" s="77"/>
      <c r="Y1043" s="77"/>
      <c r="Z1043" s="77"/>
      <c r="AA1043" s="77"/>
      <c r="AB1043" s="77"/>
      <c r="AC1043" s="77"/>
      <c r="AD1043" s="77"/>
      <c r="AE1043" s="77"/>
      <c r="AF1043" s="77"/>
      <c r="AG1043" s="77"/>
      <c r="AH1043" s="87"/>
      <c r="AI1043" s="87"/>
      <c r="AJ1043" s="87"/>
      <c r="AK1043" s="87"/>
      <c r="AL1043" s="87"/>
    </row>
    <row r="1044">
      <c r="A1044" s="77"/>
      <c r="B1044" s="102"/>
      <c r="C1044" s="102"/>
      <c r="D1044" s="102"/>
      <c r="E1044" s="102"/>
      <c r="F1044" s="102"/>
      <c r="G1044" s="102"/>
      <c r="H1044" s="295"/>
      <c r="I1044" s="102"/>
      <c r="J1044" s="77"/>
      <c r="K1044" s="77"/>
      <c r="L1044" s="77"/>
      <c r="M1044" s="77"/>
      <c r="N1044" s="77"/>
      <c r="O1044" s="77"/>
      <c r="P1044" s="268"/>
      <c r="Q1044" s="268"/>
      <c r="R1044" s="77"/>
      <c r="S1044" s="77"/>
      <c r="T1044" s="77"/>
      <c r="U1044" s="77"/>
      <c r="V1044" s="77"/>
      <c r="W1044" s="77"/>
      <c r="X1044" s="77"/>
      <c r="Y1044" s="77"/>
      <c r="Z1044" s="77"/>
      <c r="AA1044" s="77"/>
      <c r="AB1044" s="77"/>
      <c r="AC1044" s="77"/>
      <c r="AD1044" s="77"/>
      <c r="AE1044" s="77"/>
      <c r="AF1044" s="77"/>
      <c r="AG1044" s="77"/>
      <c r="AH1044" s="87"/>
      <c r="AI1044" s="87"/>
      <c r="AJ1044" s="87"/>
      <c r="AK1044" s="87"/>
      <c r="AL1044" s="87"/>
    </row>
    <row r="1045">
      <c r="A1045" s="77"/>
      <c r="B1045" s="102"/>
      <c r="C1045" s="102"/>
      <c r="D1045" s="102"/>
      <c r="E1045" s="102"/>
      <c r="F1045" s="102"/>
      <c r="G1045" s="102"/>
      <c r="H1045" s="295"/>
      <c r="I1045" s="102"/>
      <c r="J1045" s="77"/>
      <c r="K1045" s="77"/>
      <c r="L1045" s="77"/>
      <c r="M1045" s="77"/>
      <c r="N1045" s="77"/>
      <c r="O1045" s="77"/>
      <c r="P1045" s="268"/>
      <c r="Q1045" s="268"/>
      <c r="R1045" s="77"/>
      <c r="S1045" s="77"/>
      <c r="T1045" s="77"/>
      <c r="U1045" s="77"/>
      <c r="V1045" s="77"/>
      <c r="W1045" s="77"/>
      <c r="X1045" s="77"/>
      <c r="Y1045" s="77"/>
      <c r="Z1045" s="77"/>
      <c r="AA1045" s="77"/>
      <c r="AB1045" s="77"/>
      <c r="AC1045" s="77"/>
      <c r="AD1045" s="77"/>
      <c r="AE1045" s="77"/>
      <c r="AF1045" s="77"/>
      <c r="AG1045" s="77"/>
      <c r="AH1045" s="87"/>
      <c r="AI1045" s="87"/>
      <c r="AJ1045" s="87"/>
      <c r="AK1045" s="87"/>
      <c r="AL1045" s="87"/>
    </row>
    <row r="1046">
      <c r="A1046" s="77"/>
      <c r="B1046" s="102"/>
      <c r="C1046" s="102"/>
      <c r="D1046" s="102"/>
      <c r="E1046" s="102"/>
      <c r="F1046" s="102"/>
      <c r="G1046" s="102"/>
      <c r="H1046" s="295"/>
      <c r="I1046" s="102"/>
      <c r="J1046" s="77"/>
      <c r="K1046" s="77"/>
      <c r="L1046" s="77"/>
      <c r="M1046" s="77"/>
      <c r="N1046" s="77"/>
      <c r="O1046" s="77"/>
      <c r="P1046" s="268"/>
      <c r="Q1046" s="268"/>
      <c r="R1046" s="77"/>
      <c r="S1046" s="77"/>
      <c r="T1046" s="77"/>
      <c r="U1046" s="77"/>
      <c r="V1046" s="77"/>
      <c r="W1046" s="77"/>
      <c r="X1046" s="77"/>
      <c r="Y1046" s="77"/>
      <c r="Z1046" s="77"/>
      <c r="AA1046" s="77"/>
      <c r="AB1046" s="77"/>
      <c r="AC1046" s="77"/>
      <c r="AD1046" s="77"/>
      <c r="AE1046" s="77"/>
      <c r="AF1046" s="77"/>
      <c r="AG1046" s="77"/>
      <c r="AH1046" s="87"/>
      <c r="AI1046" s="87"/>
      <c r="AJ1046" s="87"/>
      <c r="AK1046" s="87"/>
      <c r="AL1046" s="87"/>
    </row>
    <row r="1047">
      <c r="A1047" s="77"/>
      <c r="B1047" s="102"/>
      <c r="C1047" s="102"/>
      <c r="D1047" s="102"/>
      <c r="E1047" s="102"/>
      <c r="F1047" s="102"/>
      <c r="G1047" s="102"/>
      <c r="H1047" s="295"/>
      <c r="I1047" s="102"/>
      <c r="J1047" s="77"/>
      <c r="K1047" s="77"/>
      <c r="L1047" s="77"/>
      <c r="M1047" s="77"/>
      <c r="N1047" s="77"/>
      <c r="O1047" s="77"/>
      <c r="P1047" s="268"/>
      <c r="Q1047" s="268"/>
      <c r="R1047" s="77"/>
      <c r="S1047" s="77"/>
      <c r="T1047" s="77"/>
      <c r="U1047" s="77"/>
      <c r="V1047" s="77"/>
      <c r="W1047" s="77"/>
      <c r="X1047" s="77"/>
      <c r="Y1047" s="77"/>
      <c r="Z1047" s="77"/>
      <c r="AA1047" s="77"/>
      <c r="AB1047" s="77"/>
      <c r="AC1047" s="77"/>
      <c r="AD1047" s="77"/>
      <c r="AE1047" s="77"/>
      <c r="AF1047" s="77"/>
      <c r="AG1047" s="77"/>
      <c r="AH1047" s="87"/>
      <c r="AI1047" s="87"/>
      <c r="AJ1047" s="87"/>
      <c r="AK1047" s="87"/>
      <c r="AL1047" s="87"/>
    </row>
    <row r="1048">
      <c r="A1048" s="77"/>
      <c r="B1048" s="102"/>
      <c r="C1048" s="102"/>
      <c r="D1048" s="102"/>
      <c r="E1048" s="102"/>
      <c r="F1048" s="102"/>
      <c r="G1048" s="102"/>
      <c r="H1048" s="295"/>
      <c r="I1048" s="102"/>
      <c r="J1048" s="77"/>
      <c r="K1048" s="77"/>
      <c r="L1048" s="77"/>
      <c r="M1048" s="77"/>
      <c r="N1048" s="77"/>
      <c r="O1048" s="77"/>
      <c r="P1048" s="268"/>
      <c r="Q1048" s="268"/>
      <c r="R1048" s="77"/>
      <c r="S1048" s="77"/>
      <c r="T1048" s="77"/>
      <c r="U1048" s="77"/>
      <c r="V1048" s="77"/>
      <c r="W1048" s="77"/>
      <c r="X1048" s="77"/>
      <c r="Y1048" s="77"/>
      <c r="Z1048" s="77"/>
      <c r="AA1048" s="77"/>
      <c r="AB1048" s="77"/>
      <c r="AC1048" s="77"/>
      <c r="AD1048" s="77"/>
      <c r="AE1048" s="77"/>
      <c r="AF1048" s="77"/>
      <c r="AG1048" s="77"/>
      <c r="AH1048" s="87"/>
      <c r="AI1048" s="87"/>
      <c r="AJ1048" s="87"/>
      <c r="AK1048" s="87"/>
      <c r="AL1048" s="87"/>
    </row>
    <row r="1049">
      <c r="A1049" s="77"/>
      <c r="B1049" s="102"/>
      <c r="C1049" s="102"/>
      <c r="D1049" s="102"/>
      <c r="E1049" s="102"/>
      <c r="F1049" s="102"/>
      <c r="G1049" s="102"/>
      <c r="H1049" s="295"/>
      <c r="I1049" s="102"/>
      <c r="J1049" s="77"/>
      <c r="K1049" s="77"/>
      <c r="L1049" s="77"/>
      <c r="M1049" s="77"/>
      <c r="N1049" s="77"/>
      <c r="O1049" s="77"/>
      <c r="P1049" s="268"/>
      <c r="Q1049" s="268"/>
      <c r="R1049" s="77"/>
      <c r="S1049" s="77"/>
      <c r="T1049" s="77"/>
      <c r="U1049" s="77"/>
      <c r="V1049" s="77"/>
      <c r="W1049" s="77"/>
      <c r="X1049" s="77"/>
      <c r="Y1049" s="77"/>
      <c r="Z1049" s="77"/>
      <c r="AA1049" s="77"/>
      <c r="AB1049" s="77"/>
      <c r="AC1049" s="77"/>
      <c r="AD1049" s="77"/>
      <c r="AE1049" s="77"/>
      <c r="AF1049" s="77"/>
      <c r="AG1049" s="77"/>
      <c r="AH1049" s="87"/>
      <c r="AI1049" s="87"/>
      <c r="AJ1049" s="87"/>
      <c r="AK1049" s="87"/>
      <c r="AL1049" s="87"/>
    </row>
    <row r="1050">
      <c r="A1050" s="77"/>
      <c r="B1050" s="102"/>
      <c r="C1050" s="102"/>
      <c r="D1050" s="102"/>
      <c r="E1050" s="102"/>
      <c r="F1050" s="102"/>
      <c r="G1050" s="102"/>
      <c r="H1050" s="295"/>
      <c r="I1050" s="102"/>
      <c r="J1050" s="77"/>
      <c r="K1050" s="77"/>
      <c r="L1050" s="77"/>
      <c r="M1050" s="77"/>
      <c r="N1050" s="77"/>
      <c r="O1050" s="77"/>
      <c r="P1050" s="268"/>
      <c r="Q1050" s="268"/>
      <c r="R1050" s="77"/>
      <c r="S1050" s="77"/>
      <c r="T1050" s="77"/>
      <c r="U1050" s="77"/>
      <c r="V1050" s="77"/>
      <c r="W1050" s="77"/>
      <c r="X1050" s="77"/>
      <c r="Y1050" s="77"/>
      <c r="Z1050" s="77"/>
      <c r="AA1050" s="77"/>
      <c r="AB1050" s="77"/>
      <c r="AC1050" s="77"/>
      <c r="AD1050" s="77"/>
      <c r="AE1050" s="77"/>
      <c r="AF1050" s="77"/>
      <c r="AG1050" s="77"/>
      <c r="AH1050" s="87"/>
      <c r="AI1050" s="87"/>
      <c r="AJ1050" s="87"/>
      <c r="AK1050" s="87"/>
      <c r="AL1050" s="87"/>
    </row>
    <row r="1051">
      <c r="A1051" s="77"/>
      <c r="B1051" s="102"/>
      <c r="C1051" s="102"/>
      <c r="D1051" s="102"/>
      <c r="E1051" s="102"/>
      <c r="F1051" s="102"/>
      <c r="G1051" s="102"/>
      <c r="H1051" s="295"/>
      <c r="I1051" s="102"/>
      <c r="J1051" s="77"/>
      <c r="K1051" s="77"/>
      <c r="L1051" s="77"/>
      <c r="M1051" s="77"/>
      <c r="N1051" s="77"/>
      <c r="O1051" s="77"/>
      <c r="P1051" s="268"/>
      <c r="Q1051" s="268"/>
      <c r="R1051" s="77"/>
      <c r="S1051" s="77"/>
      <c r="T1051" s="77"/>
      <c r="U1051" s="77"/>
      <c r="V1051" s="77"/>
      <c r="W1051" s="77"/>
      <c r="X1051" s="77"/>
      <c r="Y1051" s="77"/>
      <c r="Z1051" s="77"/>
      <c r="AA1051" s="77"/>
      <c r="AB1051" s="77"/>
      <c r="AC1051" s="77"/>
      <c r="AD1051" s="77"/>
      <c r="AE1051" s="77"/>
      <c r="AF1051" s="77"/>
      <c r="AG1051" s="77"/>
      <c r="AH1051" s="87"/>
      <c r="AI1051" s="87"/>
      <c r="AJ1051" s="87"/>
      <c r="AK1051" s="87"/>
      <c r="AL1051" s="87"/>
    </row>
    <row r="1052">
      <c r="A1052" s="77"/>
      <c r="B1052" s="102"/>
      <c r="C1052" s="102"/>
      <c r="D1052" s="102"/>
      <c r="E1052" s="102"/>
      <c r="F1052" s="102"/>
      <c r="G1052" s="102"/>
      <c r="H1052" s="295"/>
      <c r="I1052" s="102"/>
      <c r="J1052" s="77"/>
      <c r="K1052" s="77"/>
      <c r="L1052" s="77"/>
      <c r="M1052" s="77"/>
      <c r="N1052" s="77"/>
      <c r="O1052" s="77"/>
      <c r="P1052" s="268"/>
      <c r="Q1052" s="268"/>
      <c r="R1052" s="77"/>
      <c r="S1052" s="77"/>
      <c r="T1052" s="77"/>
      <c r="U1052" s="77"/>
      <c r="V1052" s="77"/>
      <c r="W1052" s="77"/>
      <c r="X1052" s="77"/>
      <c r="Y1052" s="77"/>
      <c r="Z1052" s="77"/>
      <c r="AA1052" s="77"/>
      <c r="AB1052" s="77"/>
      <c r="AC1052" s="77"/>
      <c r="AD1052" s="77"/>
      <c r="AE1052" s="77"/>
      <c r="AF1052" s="77"/>
      <c r="AG1052" s="77"/>
      <c r="AH1052" s="87"/>
      <c r="AI1052" s="87"/>
      <c r="AJ1052" s="87"/>
      <c r="AK1052" s="87"/>
      <c r="AL1052" s="87"/>
    </row>
    <row r="1053">
      <c r="A1053" s="77"/>
      <c r="B1053" s="102"/>
      <c r="C1053" s="102"/>
      <c r="D1053" s="102"/>
      <c r="E1053" s="102"/>
      <c r="F1053" s="102"/>
      <c r="G1053" s="102"/>
      <c r="H1053" s="295"/>
      <c r="I1053" s="102"/>
      <c r="J1053" s="77"/>
      <c r="K1053" s="77"/>
      <c r="L1053" s="77"/>
      <c r="M1053" s="77"/>
      <c r="N1053" s="77"/>
      <c r="O1053" s="77"/>
      <c r="P1053" s="268"/>
      <c r="Q1053" s="268"/>
      <c r="R1053" s="77"/>
      <c r="S1053" s="77"/>
      <c r="T1053" s="77"/>
      <c r="U1053" s="77"/>
      <c r="V1053" s="77"/>
      <c r="W1053" s="77"/>
      <c r="X1053" s="77"/>
      <c r="Y1053" s="77"/>
      <c r="Z1053" s="77"/>
      <c r="AA1053" s="77"/>
      <c r="AB1053" s="77"/>
      <c r="AC1053" s="77"/>
      <c r="AD1053" s="77"/>
      <c r="AE1053" s="77"/>
      <c r="AF1053" s="77"/>
      <c r="AG1053" s="77"/>
      <c r="AH1053" s="87"/>
      <c r="AI1053" s="87"/>
      <c r="AJ1053" s="87"/>
      <c r="AK1053" s="87"/>
      <c r="AL1053" s="87"/>
    </row>
    <row r="1054">
      <c r="A1054" s="77"/>
      <c r="B1054" s="102"/>
      <c r="C1054" s="102"/>
      <c r="D1054" s="102"/>
      <c r="E1054" s="102"/>
      <c r="F1054" s="102"/>
      <c r="G1054" s="102"/>
      <c r="H1054" s="295"/>
      <c r="I1054" s="102"/>
      <c r="J1054" s="77"/>
      <c r="K1054" s="77"/>
      <c r="L1054" s="77"/>
      <c r="M1054" s="77"/>
      <c r="N1054" s="77"/>
      <c r="O1054" s="77"/>
      <c r="P1054" s="268"/>
      <c r="Q1054" s="268"/>
      <c r="R1054" s="77"/>
      <c r="S1054" s="77"/>
      <c r="T1054" s="77"/>
      <c r="U1054" s="77"/>
      <c r="V1054" s="77"/>
      <c r="W1054" s="77"/>
      <c r="X1054" s="77"/>
      <c r="Y1054" s="77"/>
      <c r="Z1054" s="77"/>
      <c r="AA1054" s="77"/>
      <c r="AB1054" s="77"/>
      <c r="AC1054" s="77"/>
      <c r="AD1054" s="77"/>
      <c r="AE1054" s="77"/>
      <c r="AF1054" s="77"/>
      <c r="AG1054" s="77"/>
      <c r="AH1054" s="87"/>
      <c r="AI1054" s="87"/>
      <c r="AJ1054" s="87"/>
      <c r="AK1054" s="87"/>
      <c r="AL1054" s="87"/>
    </row>
    <row r="1055">
      <c r="A1055" s="77"/>
      <c r="B1055" s="102"/>
      <c r="C1055" s="102"/>
      <c r="D1055" s="102"/>
      <c r="E1055" s="102"/>
      <c r="F1055" s="102"/>
      <c r="G1055" s="102"/>
      <c r="H1055" s="295"/>
      <c r="I1055" s="102"/>
      <c r="J1055" s="77"/>
      <c r="K1055" s="77"/>
      <c r="L1055" s="77"/>
      <c r="M1055" s="77"/>
      <c r="N1055" s="77"/>
      <c r="O1055" s="77"/>
      <c r="P1055" s="268"/>
      <c r="Q1055" s="268"/>
      <c r="R1055" s="77"/>
      <c r="S1055" s="77"/>
      <c r="T1055" s="77"/>
      <c r="U1055" s="77"/>
      <c r="V1055" s="77"/>
      <c r="W1055" s="77"/>
      <c r="X1055" s="77"/>
      <c r="Y1055" s="77"/>
      <c r="Z1055" s="77"/>
      <c r="AA1055" s="77"/>
      <c r="AB1055" s="77"/>
      <c r="AC1055" s="77"/>
      <c r="AD1055" s="77"/>
      <c r="AE1055" s="77"/>
      <c r="AF1055" s="77"/>
      <c r="AG1055" s="77"/>
      <c r="AH1055" s="87"/>
      <c r="AI1055" s="87"/>
      <c r="AJ1055" s="87"/>
      <c r="AK1055" s="87"/>
      <c r="AL1055" s="87"/>
    </row>
    <row r="1056">
      <c r="A1056" s="77"/>
      <c r="B1056" s="102"/>
      <c r="C1056" s="102"/>
      <c r="D1056" s="102"/>
      <c r="E1056" s="102"/>
      <c r="F1056" s="102"/>
      <c r="G1056" s="102"/>
      <c r="H1056" s="295"/>
      <c r="I1056" s="102"/>
      <c r="J1056" s="77"/>
      <c r="K1056" s="77"/>
      <c r="L1056" s="77"/>
      <c r="M1056" s="77"/>
      <c r="N1056" s="77"/>
      <c r="O1056" s="77"/>
      <c r="P1056" s="268"/>
      <c r="Q1056" s="268"/>
      <c r="R1056" s="77"/>
      <c r="S1056" s="77"/>
      <c r="T1056" s="77"/>
      <c r="U1056" s="77"/>
      <c r="V1056" s="77"/>
      <c r="W1056" s="77"/>
      <c r="X1056" s="77"/>
      <c r="Y1056" s="77"/>
      <c r="Z1056" s="77"/>
      <c r="AA1056" s="77"/>
      <c r="AB1056" s="77"/>
      <c r="AC1056" s="77"/>
      <c r="AD1056" s="77"/>
      <c r="AE1056" s="77"/>
      <c r="AF1056" s="77"/>
      <c r="AG1056" s="77"/>
      <c r="AH1056" s="87"/>
      <c r="AI1056" s="87"/>
      <c r="AJ1056" s="87"/>
      <c r="AK1056" s="87"/>
      <c r="AL1056" s="87"/>
    </row>
    <row r="1057">
      <c r="A1057" s="77"/>
      <c r="B1057" s="102"/>
      <c r="C1057" s="102"/>
      <c r="D1057" s="102"/>
      <c r="E1057" s="102"/>
      <c r="F1057" s="102"/>
      <c r="G1057" s="102"/>
      <c r="H1057" s="295"/>
      <c r="I1057" s="102"/>
      <c r="J1057" s="77"/>
      <c r="K1057" s="77"/>
      <c r="L1057" s="77"/>
      <c r="M1057" s="77"/>
      <c r="N1057" s="77"/>
      <c r="O1057" s="77"/>
      <c r="P1057" s="268"/>
      <c r="Q1057" s="268"/>
      <c r="R1057" s="77"/>
      <c r="S1057" s="77"/>
      <c r="T1057" s="77"/>
      <c r="U1057" s="77"/>
      <c r="V1057" s="77"/>
      <c r="W1057" s="77"/>
      <c r="X1057" s="77"/>
      <c r="Y1057" s="77"/>
      <c r="Z1057" s="77"/>
      <c r="AA1057" s="77"/>
      <c r="AB1057" s="77"/>
      <c r="AC1057" s="77"/>
      <c r="AD1057" s="77"/>
      <c r="AE1057" s="77"/>
      <c r="AF1057" s="77"/>
      <c r="AG1057" s="77"/>
      <c r="AH1057" s="87"/>
      <c r="AI1057" s="87"/>
      <c r="AJ1057" s="87"/>
      <c r="AK1057" s="87"/>
      <c r="AL1057" s="87"/>
    </row>
    <row r="1058">
      <c r="A1058" s="77"/>
      <c r="B1058" s="102"/>
      <c r="C1058" s="102"/>
      <c r="D1058" s="102"/>
      <c r="E1058" s="102"/>
      <c r="F1058" s="102"/>
      <c r="G1058" s="102"/>
      <c r="H1058" s="295"/>
      <c r="I1058" s="102"/>
      <c r="J1058" s="77"/>
      <c r="K1058" s="77"/>
      <c r="L1058" s="77"/>
      <c r="M1058" s="77"/>
      <c r="N1058" s="77"/>
      <c r="O1058" s="77"/>
      <c r="P1058" s="268"/>
      <c r="Q1058" s="268"/>
      <c r="R1058" s="77"/>
      <c r="S1058" s="77"/>
      <c r="T1058" s="77"/>
      <c r="U1058" s="77"/>
      <c r="V1058" s="77"/>
      <c r="W1058" s="77"/>
      <c r="X1058" s="77"/>
      <c r="Y1058" s="77"/>
      <c r="Z1058" s="77"/>
      <c r="AA1058" s="77"/>
      <c r="AB1058" s="77"/>
      <c r="AC1058" s="77"/>
      <c r="AD1058" s="77"/>
      <c r="AE1058" s="77"/>
      <c r="AF1058" s="77"/>
      <c r="AG1058" s="77"/>
      <c r="AH1058" s="87"/>
      <c r="AI1058" s="87"/>
      <c r="AJ1058" s="87"/>
      <c r="AK1058" s="87"/>
      <c r="AL1058" s="87"/>
    </row>
    <row r="1059">
      <c r="A1059" s="77"/>
      <c r="B1059" s="102"/>
      <c r="C1059" s="102"/>
      <c r="D1059" s="102"/>
      <c r="E1059" s="102"/>
      <c r="F1059" s="102"/>
      <c r="G1059" s="102"/>
      <c r="H1059" s="295"/>
      <c r="I1059" s="102"/>
      <c r="J1059" s="77"/>
      <c r="K1059" s="77"/>
      <c r="L1059" s="77"/>
      <c r="M1059" s="77"/>
      <c r="N1059" s="77"/>
      <c r="O1059" s="77"/>
      <c r="P1059" s="268"/>
      <c r="Q1059" s="268"/>
      <c r="R1059" s="77"/>
      <c r="S1059" s="77"/>
      <c r="T1059" s="77"/>
      <c r="U1059" s="77"/>
      <c r="V1059" s="77"/>
      <c r="W1059" s="77"/>
      <c r="X1059" s="77"/>
      <c r="Y1059" s="77"/>
      <c r="Z1059" s="77"/>
      <c r="AA1059" s="77"/>
      <c r="AB1059" s="77"/>
      <c r="AC1059" s="77"/>
      <c r="AD1059" s="77"/>
      <c r="AE1059" s="77"/>
      <c r="AF1059" s="77"/>
      <c r="AG1059" s="77"/>
      <c r="AH1059" s="87"/>
      <c r="AI1059" s="87"/>
      <c r="AJ1059" s="87"/>
      <c r="AK1059" s="87"/>
      <c r="AL1059" s="87"/>
    </row>
    <row r="1060">
      <c r="A1060" s="77"/>
      <c r="B1060" s="102"/>
      <c r="C1060" s="102"/>
      <c r="D1060" s="102"/>
      <c r="E1060" s="102"/>
      <c r="F1060" s="102"/>
      <c r="G1060" s="102"/>
      <c r="H1060" s="295"/>
      <c r="I1060" s="102"/>
      <c r="J1060" s="77"/>
      <c r="K1060" s="77"/>
      <c r="L1060" s="77"/>
      <c r="M1060" s="77"/>
      <c r="N1060" s="77"/>
      <c r="O1060" s="77"/>
      <c r="P1060" s="268"/>
      <c r="Q1060" s="268"/>
      <c r="R1060" s="77"/>
      <c r="S1060" s="77"/>
      <c r="T1060" s="77"/>
      <c r="U1060" s="77"/>
      <c r="V1060" s="77"/>
      <c r="W1060" s="77"/>
      <c r="X1060" s="77"/>
      <c r="Y1060" s="77"/>
      <c r="Z1060" s="77"/>
      <c r="AA1060" s="77"/>
      <c r="AB1060" s="77"/>
      <c r="AC1060" s="77"/>
      <c r="AD1060" s="77"/>
      <c r="AE1060" s="77"/>
      <c r="AF1060" s="77"/>
      <c r="AG1060" s="77"/>
      <c r="AH1060" s="87"/>
      <c r="AI1060" s="87"/>
      <c r="AJ1060" s="87"/>
      <c r="AK1060" s="87"/>
      <c r="AL1060" s="87"/>
    </row>
    <row r="1061">
      <c r="A1061" s="77"/>
      <c r="B1061" s="102"/>
      <c r="C1061" s="102"/>
      <c r="D1061" s="102"/>
      <c r="E1061" s="102"/>
      <c r="F1061" s="102"/>
      <c r="G1061" s="102"/>
      <c r="H1061" s="295"/>
      <c r="I1061" s="102"/>
      <c r="J1061" s="77"/>
      <c r="K1061" s="77"/>
      <c r="L1061" s="77"/>
      <c r="M1061" s="77"/>
      <c r="N1061" s="77"/>
      <c r="O1061" s="77"/>
      <c r="P1061" s="268"/>
      <c r="Q1061" s="268"/>
      <c r="R1061" s="77"/>
      <c r="S1061" s="77"/>
      <c r="T1061" s="77"/>
      <c r="U1061" s="77"/>
      <c r="V1061" s="77"/>
      <c r="W1061" s="77"/>
      <c r="X1061" s="77"/>
      <c r="Y1061" s="77"/>
      <c r="Z1061" s="77"/>
      <c r="AA1061" s="77"/>
      <c r="AB1061" s="77"/>
      <c r="AC1061" s="77"/>
      <c r="AD1061" s="77"/>
      <c r="AE1061" s="77"/>
      <c r="AF1061" s="77"/>
      <c r="AG1061" s="77"/>
      <c r="AH1061" s="87"/>
      <c r="AI1061" s="87"/>
      <c r="AJ1061" s="87"/>
      <c r="AK1061" s="87"/>
      <c r="AL1061" s="87"/>
    </row>
    <row r="1062">
      <c r="A1062" s="77"/>
      <c r="B1062" s="102"/>
      <c r="C1062" s="102"/>
      <c r="D1062" s="102"/>
      <c r="E1062" s="102"/>
      <c r="F1062" s="102"/>
      <c r="G1062" s="102"/>
      <c r="H1062" s="295"/>
      <c r="I1062" s="102"/>
      <c r="J1062" s="77"/>
      <c r="K1062" s="77"/>
      <c r="L1062" s="77"/>
      <c r="M1062" s="77"/>
      <c r="N1062" s="77"/>
      <c r="O1062" s="77"/>
      <c r="P1062" s="268"/>
      <c r="Q1062" s="268"/>
      <c r="R1062" s="77"/>
      <c r="S1062" s="77"/>
      <c r="T1062" s="77"/>
      <c r="U1062" s="77"/>
      <c r="V1062" s="77"/>
      <c r="W1062" s="77"/>
      <c r="X1062" s="77"/>
      <c r="Y1062" s="77"/>
      <c r="Z1062" s="77"/>
      <c r="AA1062" s="77"/>
      <c r="AB1062" s="77"/>
      <c r="AC1062" s="77"/>
      <c r="AD1062" s="77"/>
      <c r="AE1062" s="77"/>
      <c r="AF1062" s="77"/>
      <c r="AG1062" s="77"/>
      <c r="AH1062" s="87"/>
      <c r="AI1062" s="87"/>
      <c r="AJ1062" s="87"/>
      <c r="AK1062" s="87"/>
      <c r="AL1062" s="87"/>
    </row>
    <row r="1063">
      <c r="A1063" s="77"/>
      <c r="B1063" s="102"/>
      <c r="C1063" s="102"/>
      <c r="D1063" s="102"/>
      <c r="E1063" s="102"/>
      <c r="F1063" s="102"/>
      <c r="G1063" s="102"/>
      <c r="H1063" s="295"/>
      <c r="I1063" s="102"/>
      <c r="J1063" s="77"/>
      <c r="K1063" s="77"/>
      <c r="L1063" s="77"/>
      <c r="M1063" s="77"/>
      <c r="N1063" s="77"/>
      <c r="O1063" s="77"/>
      <c r="P1063" s="268"/>
      <c r="Q1063" s="268"/>
      <c r="R1063" s="77"/>
      <c r="S1063" s="77"/>
      <c r="T1063" s="77"/>
      <c r="U1063" s="77"/>
      <c r="V1063" s="77"/>
      <c r="W1063" s="77"/>
      <c r="X1063" s="77"/>
      <c r="Y1063" s="77"/>
      <c r="Z1063" s="77"/>
      <c r="AA1063" s="77"/>
      <c r="AB1063" s="77"/>
      <c r="AC1063" s="77"/>
      <c r="AD1063" s="77"/>
      <c r="AE1063" s="77"/>
      <c r="AF1063" s="77"/>
      <c r="AG1063" s="77"/>
      <c r="AH1063" s="87"/>
      <c r="AI1063" s="87"/>
      <c r="AJ1063" s="87"/>
      <c r="AK1063" s="87"/>
      <c r="AL1063" s="87"/>
    </row>
    <row r="1064">
      <c r="A1064" s="77"/>
      <c r="B1064" s="102"/>
      <c r="C1064" s="102"/>
      <c r="D1064" s="102"/>
      <c r="E1064" s="102"/>
      <c r="F1064" s="102"/>
      <c r="G1064" s="102"/>
      <c r="H1064" s="295"/>
      <c r="I1064" s="102"/>
      <c r="J1064" s="77"/>
      <c r="K1064" s="77"/>
      <c r="L1064" s="77"/>
      <c r="M1064" s="77"/>
      <c r="N1064" s="77"/>
      <c r="O1064" s="77"/>
      <c r="P1064" s="268"/>
      <c r="Q1064" s="268"/>
      <c r="R1064" s="77"/>
      <c r="S1064" s="77"/>
      <c r="T1064" s="77"/>
      <c r="U1064" s="77"/>
      <c r="V1064" s="77"/>
      <c r="W1064" s="77"/>
      <c r="X1064" s="77"/>
      <c r="Y1064" s="77"/>
      <c r="Z1064" s="77"/>
      <c r="AA1064" s="77"/>
      <c r="AB1064" s="77"/>
      <c r="AC1064" s="77"/>
      <c r="AD1064" s="77"/>
      <c r="AE1064" s="77"/>
      <c r="AF1064" s="77"/>
      <c r="AG1064" s="77"/>
      <c r="AH1064" s="87"/>
      <c r="AI1064" s="87"/>
      <c r="AJ1064" s="87"/>
      <c r="AK1064" s="87"/>
      <c r="AL1064" s="87"/>
    </row>
    <row r="1065">
      <c r="A1065" s="77"/>
      <c r="B1065" s="102"/>
      <c r="C1065" s="102"/>
      <c r="D1065" s="102"/>
      <c r="E1065" s="102"/>
      <c r="F1065" s="102"/>
      <c r="G1065" s="102"/>
      <c r="H1065" s="295"/>
      <c r="I1065" s="102"/>
      <c r="J1065" s="77"/>
      <c r="K1065" s="77"/>
      <c r="L1065" s="77"/>
      <c r="M1065" s="77"/>
      <c r="N1065" s="77"/>
      <c r="O1065" s="77"/>
      <c r="P1065" s="268"/>
      <c r="Q1065" s="268"/>
      <c r="R1065" s="77"/>
      <c r="S1065" s="77"/>
      <c r="T1065" s="77"/>
      <c r="U1065" s="77"/>
      <c r="V1065" s="77"/>
      <c r="W1065" s="77"/>
      <c r="X1065" s="77"/>
      <c r="Y1065" s="77"/>
      <c r="Z1065" s="77"/>
      <c r="AA1065" s="77"/>
      <c r="AB1065" s="77"/>
      <c r="AC1065" s="77"/>
      <c r="AD1065" s="77"/>
      <c r="AE1065" s="77"/>
      <c r="AF1065" s="77"/>
      <c r="AG1065" s="77"/>
      <c r="AH1065" s="87"/>
      <c r="AI1065" s="87"/>
      <c r="AJ1065" s="87"/>
      <c r="AK1065" s="87"/>
      <c r="AL1065" s="87"/>
    </row>
    <row r="1066">
      <c r="A1066" s="77"/>
      <c r="B1066" s="102"/>
      <c r="C1066" s="102"/>
      <c r="D1066" s="102"/>
      <c r="E1066" s="102"/>
      <c r="F1066" s="102"/>
      <c r="G1066" s="102"/>
      <c r="H1066" s="295"/>
      <c r="I1066" s="102"/>
      <c r="J1066" s="77"/>
      <c r="K1066" s="77"/>
      <c r="L1066" s="77"/>
      <c r="M1066" s="77"/>
      <c r="N1066" s="77"/>
      <c r="O1066" s="77"/>
      <c r="P1066" s="268"/>
      <c r="Q1066" s="268"/>
      <c r="R1066" s="77"/>
      <c r="S1066" s="77"/>
      <c r="T1066" s="77"/>
      <c r="U1066" s="77"/>
      <c r="V1066" s="77"/>
      <c r="W1066" s="77"/>
      <c r="X1066" s="77"/>
      <c r="Y1066" s="77"/>
      <c r="Z1066" s="77"/>
      <c r="AA1066" s="77"/>
      <c r="AB1066" s="77"/>
      <c r="AC1066" s="77"/>
      <c r="AD1066" s="77"/>
      <c r="AE1066" s="77"/>
      <c r="AF1066" s="77"/>
      <c r="AG1066" s="77"/>
      <c r="AH1066" s="87"/>
      <c r="AI1066" s="87"/>
      <c r="AJ1066" s="87"/>
      <c r="AK1066" s="87"/>
      <c r="AL1066" s="87"/>
    </row>
    <row r="1067">
      <c r="A1067" s="77"/>
      <c r="B1067" s="102"/>
      <c r="C1067" s="102"/>
      <c r="D1067" s="102"/>
      <c r="E1067" s="102"/>
      <c r="F1067" s="102"/>
      <c r="G1067" s="102"/>
      <c r="H1067" s="295"/>
      <c r="I1067" s="102"/>
      <c r="J1067" s="77"/>
      <c r="K1067" s="77"/>
      <c r="L1067" s="77"/>
      <c r="M1067" s="77"/>
      <c r="N1067" s="77"/>
      <c r="O1067" s="77"/>
      <c r="P1067" s="268"/>
      <c r="Q1067" s="268"/>
      <c r="R1067" s="77"/>
      <c r="S1067" s="77"/>
      <c r="T1067" s="77"/>
      <c r="U1067" s="77"/>
      <c r="V1067" s="77"/>
      <c r="W1067" s="77"/>
      <c r="X1067" s="77"/>
      <c r="Y1067" s="77"/>
      <c r="Z1067" s="77"/>
      <c r="AA1067" s="77"/>
      <c r="AB1067" s="77"/>
      <c r="AC1067" s="77"/>
      <c r="AD1067" s="77"/>
      <c r="AE1067" s="77"/>
      <c r="AF1067" s="77"/>
      <c r="AG1067" s="77"/>
      <c r="AH1067" s="87"/>
      <c r="AI1067" s="87"/>
      <c r="AJ1067" s="87"/>
      <c r="AK1067" s="87"/>
      <c r="AL1067" s="87"/>
    </row>
    <row r="1068">
      <c r="A1068" s="77"/>
      <c r="B1068" s="102"/>
      <c r="C1068" s="102"/>
      <c r="D1068" s="102"/>
      <c r="E1068" s="102"/>
      <c r="F1068" s="102"/>
      <c r="G1068" s="102"/>
      <c r="H1068" s="295"/>
      <c r="I1068" s="102"/>
      <c r="J1068" s="77"/>
      <c r="K1068" s="77"/>
      <c r="L1068" s="77"/>
      <c r="M1068" s="77"/>
      <c r="N1068" s="77"/>
      <c r="O1068" s="77"/>
      <c r="P1068" s="268"/>
      <c r="Q1068" s="268"/>
      <c r="R1068" s="77"/>
      <c r="S1068" s="77"/>
      <c r="T1068" s="77"/>
      <c r="U1068" s="77"/>
      <c r="V1068" s="77"/>
      <c r="W1068" s="77"/>
      <c r="X1068" s="77"/>
      <c r="Y1068" s="77"/>
      <c r="Z1068" s="77"/>
      <c r="AA1068" s="77"/>
      <c r="AB1068" s="77"/>
      <c r="AC1068" s="77"/>
      <c r="AD1068" s="77"/>
      <c r="AE1068" s="77"/>
      <c r="AF1068" s="77"/>
      <c r="AG1068" s="77"/>
      <c r="AH1068" s="87"/>
      <c r="AI1068" s="87"/>
      <c r="AJ1068" s="87"/>
      <c r="AK1068" s="87"/>
      <c r="AL1068" s="87"/>
    </row>
    <row r="1069">
      <c r="A1069" s="77"/>
      <c r="B1069" s="102"/>
      <c r="C1069" s="102"/>
      <c r="D1069" s="102"/>
      <c r="E1069" s="102"/>
      <c r="F1069" s="102"/>
      <c r="G1069" s="102"/>
      <c r="H1069" s="295"/>
      <c r="I1069" s="102"/>
      <c r="J1069" s="77"/>
      <c r="K1069" s="77"/>
      <c r="L1069" s="77"/>
      <c r="M1069" s="77"/>
      <c r="N1069" s="77"/>
      <c r="O1069" s="77"/>
      <c r="P1069" s="268"/>
      <c r="Q1069" s="268"/>
      <c r="R1069" s="77"/>
      <c r="S1069" s="77"/>
      <c r="T1069" s="77"/>
      <c r="U1069" s="77"/>
      <c r="V1069" s="77"/>
      <c r="W1069" s="77"/>
      <c r="X1069" s="77"/>
      <c r="Y1069" s="77"/>
      <c r="Z1069" s="77"/>
      <c r="AA1069" s="77"/>
      <c r="AB1069" s="77"/>
      <c r="AC1069" s="77"/>
      <c r="AD1069" s="77"/>
      <c r="AE1069" s="77"/>
      <c r="AF1069" s="77"/>
      <c r="AG1069" s="77"/>
      <c r="AH1069" s="87"/>
      <c r="AI1069" s="87"/>
      <c r="AJ1069" s="87"/>
      <c r="AK1069" s="87"/>
      <c r="AL1069" s="87"/>
    </row>
    <row r="1070">
      <c r="A1070" s="77"/>
      <c r="B1070" s="102"/>
      <c r="C1070" s="102"/>
      <c r="D1070" s="102"/>
      <c r="E1070" s="102"/>
      <c r="F1070" s="102"/>
      <c r="G1070" s="102"/>
      <c r="H1070" s="295"/>
      <c r="I1070" s="102"/>
      <c r="J1070" s="77"/>
      <c r="K1070" s="77"/>
      <c r="L1070" s="77"/>
      <c r="M1070" s="77"/>
      <c r="N1070" s="77"/>
      <c r="O1070" s="77"/>
      <c r="P1070" s="268"/>
      <c r="Q1070" s="268"/>
      <c r="R1070" s="77"/>
      <c r="S1070" s="77"/>
      <c r="T1070" s="77"/>
      <c r="U1070" s="77"/>
      <c r="V1070" s="77"/>
      <c r="W1070" s="77"/>
      <c r="X1070" s="77"/>
      <c r="Y1070" s="77"/>
      <c r="Z1070" s="77"/>
      <c r="AA1070" s="77"/>
      <c r="AB1070" s="77"/>
      <c r="AC1070" s="77"/>
      <c r="AD1070" s="77"/>
      <c r="AE1070" s="77"/>
      <c r="AF1070" s="77"/>
      <c r="AG1070" s="77"/>
      <c r="AH1070" s="87"/>
      <c r="AI1070" s="87"/>
      <c r="AJ1070" s="87"/>
      <c r="AK1070" s="87"/>
      <c r="AL1070" s="87"/>
    </row>
    <row r="1071">
      <c r="A1071" s="77"/>
      <c r="B1071" s="102"/>
      <c r="C1071" s="102"/>
      <c r="D1071" s="102"/>
      <c r="E1071" s="102"/>
      <c r="F1071" s="102"/>
      <c r="G1071" s="102"/>
      <c r="H1071" s="295"/>
      <c r="I1071" s="102"/>
      <c r="J1071" s="77"/>
      <c r="K1071" s="77"/>
      <c r="L1071" s="77"/>
      <c r="M1071" s="77"/>
      <c r="N1071" s="77"/>
      <c r="O1071" s="77"/>
      <c r="P1071" s="268"/>
      <c r="Q1071" s="268"/>
      <c r="R1071" s="77"/>
      <c r="S1071" s="77"/>
      <c r="T1071" s="77"/>
      <c r="U1071" s="77"/>
      <c r="V1071" s="77"/>
      <c r="W1071" s="77"/>
      <c r="X1071" s="77"/>
      <c r="Y1071" s="77"/>
      <c r="Z1071" s="77"/>
      <c r="AA1071" s="77"/>
      <c r="AB1071" s="77"/>
      <c r="AC1071" s="77"/>
      <c r="AD1071" s="77"/>
      <c r="AE1071" s="77"/>
      <c r="AF1071" s="77"/>
      <c r="AG1071" s="77"/>
      <c r="AH1071" s="87"/>
      <c r="AI1071" s="87"/>
      <c r="AJ1071" s="87"/>
      <c r="AK1071" s="87"/>
      <c r="AL1071" s="87"/>
    </row>
    <row r="1072">
      <c r="A1072" s="77"/>
      <c r="B1072" s="102"/>
      <c r="C1072" s="102"/>
      <c r="D1072" s="102"/>
      <c r="E1072" s="102"/>
      <c r="F1072" s="102"/>
      <c r="G1072" s="102"/>
      <c r="H1072" s="295"/>
      <c r="I1072" s="102"/>
      <c r="J1072" s="77"/>
      <c r="K1072" s="77"/>
      <c r="L1072" s="77"/>
      <c r="M1072" s="77"/>
      <c r="N1072" s="77"/>
      <c r="O1072" s="77"/>
      <c r="P1072" s="268"/>
      <c r="Q1072" s="268"/>
      <c r="R1072" s="77"/>
      <c r="S1072" s="77"/>
      <c r="T1072" s="77"/>
      <c r="U1072" s="77"/>
      <c r="V1072" s="77"/>
      <c r="W1072" s="77"/>
      <c r="X1072" s="77"/>
      <c r="Y1072" s="77"/>
      <c r="Z1072" s="77"/>
      <c r="AA1072" s="77"/>
      <c r="AB1072" s="77"/>
      <c r="AC1072" s="77"/>
      <c r="AD1072" s="77"/>
      <c r="AE1072" s="77"/>
      <c r="AF1072" s="77"/>
      <c r="AG1072" s="77"/>
      <c r="AH1072" s="87"/>
      <c r="AI1072" s="87"/>
      <c r="AJ1072" s="87"/>
      <c r="AK1072" s="87"/>
      <c r="AL1072" s="87"/>
    </row>
    <row r="1073">
      <c r="A1073" s="77"/>
      <c r="B1073" s="102"/>
      <c r="C1073" s="102"/>
      <c r="D1073" s="102"/>
      <c r="E1073" s="102"/>
      <c r="F1073" s="102"/>
      <c r="G1073" s="102"/>
      <c r="H1073" s="295"/>
      <c r="I1073" s="102"/>
      <c r="J1073" s="77"/>
      <c r="K1073" s="77"/>
      <c r="L1073" s="77"/>
      <c r="M1073" s="77"/>
      <c r="N1073" s="77"/>
      <c r="O1073" s="77"/>
      <c r="P1073" s="268"/>
      <c r="Q1073" s="268"/>
      <c r="R1073" s="77"/>
      <c r="S1073" s="77"/>
      <c r="T1073" s="77"/>
      <c r="U1073" s="77"/>
      <c r="V1073" s="77"/>
      <c r="W1073" s="77"/>
      <c r="X1073" s="77"/>
      <c r="Y1073" s="77"/>
      <c r="Z1073" s="77"/>
      <c r="AA1073" s="77"/>
      <c r="AB1073" s="77"/>
      <c r="AC1073" s="77"/>
      <c r="AD1073" s="77"/>
      <c r="AE1073" s="77"/>
      <c r="AF1073" s="77"/>
      <c r="AG1073" s="77"/>
      <c r="AH1073" s="87"/>
      <c r="AI1073" s="87"/>
      <c r="AJ1073" s="87"/>
      <c r="AK1073" s="87"/>
      <c r="AL1073" s="87"/>
    </row>
    <row r="1074">
      <c r="A1074" s="77"/>
      <c r="B1074" s="102"/>
      <c r="C1074" s="102"/>
      <c r="D1074" s="102"/>
      <c r="E1074" s="102"/>
      <c r="F1074" s="102"/>
      <c r="G1074" s="102"/>
      <c r="H1074" s="295"/>
      <c r="I1074" s="102"/>
      <c r="J1074" s="77"/>
      <c r="K1074" s="77"/>
      <c r="L1074" s="77"/>
      <c r="M1074" s="77"/>
      <c r="N1074" s="77"/>
      <c r="O1074" s="77"/>
      <c r="P1074" s="268"/>
      <c r="Q1074" s="268"/>
      <c r="R1074" s="77"/>
      <c r="S1074" s="77"/>
      <c r="T1074" s="77"/>
      <c r="U1074" s="77"/>
      <c r="V1074" s="77"/>
      <c r="W1074" s="77"/>
      <c r="X1074" s="77"/>
      <c r="Y1074" s="77"/>
      <c r="Z1074" s="77"/>
      <c r="AA1074" s="77"/>
      <c r="AB1074" s="77"/>
      <c r="AC1074" s="77"/>
      <c r="AD1074" s="77"/>
      <c r="AE1074" s="77"/>
      <c r="AF1074" s="77"/>
      <c r="AG1074" s="77"/>
      <c r="AH1074" s="87"/>
      <c r="AI1074" s="87"/>
      <c r="AJ1074" s="87"/>
      <c r="AK1074" s="87"/>
      <c r="AL1074" s="87"/>
    </row>
    <row r="1075">
      <c r="A1075" s="77"/>
      <c r="B1075" s="102"/>
      <c r="C1075" s="102"/>
      <c r="D1075" s="102"/>
      <c r="E1075" s="102"/>
      <c r="F1075" s="102"/>
      <c r="G1075" s="102"/>
      <c r="H1075" s="295"/>
      <c r="I1075" s="102"/>
      <c r="J1075" s="77"/>
      <c r="K1075" s="77"/>
      <c r="L1075" s="77"/>
      <c r="M1075" s="77"/>
      <c r="N1075" s="77"/>
      <c r="O1075" s="77"/>
      <c r="P1075" s="268"/>
      <c r="Q1075" s="268"/>
      <c r="R1075" s="77"/>
      <c r="S1075" s="77"/>
      <c r="T1075" s="77"/>
      <c r="U1075" s="77"/>
      <c r="V1075" s="77"/>
      <c r="W1075" s="77"/>
      <c r="X1075" s="77"/>
      <c r="Y1075" s="77"/>
      <c r="Z1075" s="77"/>
      <c r="AA1075" s="77"/>
      <c r="AB1075" s="77"/>
      <c r="AC1075" s="77"/>
      <c r="AD1075" s="77"/>
      <c r="AE1075" s="77"/>
      <c r="AF1075" s="77"/>
      <c r="AG1075" s="77"/>
      <c r="AH1075" s="87"/>
      <c r="AI1075" s="87"/>
      <c r="AJ1075" s="87"/>
      <c r="AK1075" s="87"/>
      <c r="AL1075" s="87"/>
    </row>
    <row r="1076">
      <c r="A1076" s="77"/>
      <c r="B1076" s="102"/>
      <c r="C1076" s="102"/>
      <c r="D1076" s="102"/>
      <c r="E1076" s="102"/>
      <c r="F1076" s="102"/>
      <c r="G1076" s="102"/>
      <c r="H1076" s="295"/>
      <c r="I1076" s="102"/>
      <c r="J1076" s="77"/>
      <c r="K1076" s="77"/>
      <c r="L1076" s="77"/>
      <c r="M1076" s="77"/>
      <c r="N1076" s="77"/>
      <c r="O1076" s="77"/>
      <c r="P1076" s="268"/>
      <c r="Q1076" s="268"/>
      <c r="R1076" s="77"/>
      <c r="S1076" s="77"/>
      <c r="T1076" s="77"/>
      <c r="U1076" s="77"/>
      <c r="V1076" s="77"/>
      <c r="W1076" s="77"/>
      <c r="X1076" s="77"/>
      <c r="Y1076" s="77"/>
      <c r="Z1076" s="77"/>
      <c r="AA1076" s="77"/>
      <c r="AB1076" s="77"/>
      <c r="AC1076" s="77"/>
      <c r="AD1076" s="77"/>
      <c r="AE1076" s="77"/>
      <c r="AF1076" s="77"/>
      <c r="AG1076" s="77"/>
      <c r="AH1076" s="87"/>
      <c r="AI1076" s="87"/>
      <c r="AJ1076" s="87"/>
      <c r="AK1076" s="87"/>
      <c r="AL1076" s="87"/>
    </row>
    <row r="1077">
      <c r="A1077" s="77"/>
      <c r="B1077" s="102"/>
      <c r="C1077" s="102"/>
      <c r="D1077" s="102"/>
      <c r="E1077" s="102"/>
      <c r="F1077" s="102"/>
      <c r="G1077" s="102"/>
      <c r="H1077" s="295"/>
      <c r="I1077" s="102"/>
      <c r="J1077" s="77"/>
      <c r="K1077" s="77"/>
      <c r="L1077" s="77"/>
      <c r="M1077" s="77"/>
      <c r="N1077" s="77"/>
      <c r="O1077" s="77"/>
      <c r="P1077" s="268"/>
      <c r="Q1077" s="268"/>
      <c r="R1077" s="77"/>
      <c r="S1077" s="77"/>
      <c r="T1077" s="77"/>
      <c r="U1077" s="77"/>
      <c r="V1077" s="77"/>
      <c r="W1077" s="77"/>
      <c r="X1077" s="77"/>
      <c r="Y1077" s="77"/>
      <c r="Z1077" s="77"/>
      <c r="AA1077" s="77"/>
      <c r="AB1077" s="77"/>
      <c r="AC1077" s="77"/>
      <c r="AD1077" s="77"/>
      <c r="AE1077" s="77"/>
      <c r="AF1077" s="77"/>
      <c r="AG1077" s="77"/>
      <c r="AH1077" s="87"/>
      <c r="AI1077" s="87"/>
      <c r="AJ1077" s="87"/>
      <c r="AK1077" s="87"/>
      <c r="AL1077" s="87"/>
    </row>
    <row r="1078">
      <c r="A1078" s="77"/>
      <c r="B1078" s="102"/>
      <c r="C1078" s="102"/>
      <c r="D1078" s="102"/>
      <c r="E1078" s="102"/>
      <c r="F1078" s="102"/>
      <c r="G1078" s="102"/>
      <c r="H1078" s="295"/>
      <c r="I1078" s="102"/>
      <c r="J1078" s="77"/>
      <c r="K1078" s="77"/>
      <c r="L1078" s="77"/>
      <c r="M1078" s="77"/>
      <c r="N1078" s="77"/>
      <c r="O1078" s="77"/>
      <c r="P1078" s="268"/>
      <c r="Q1078" s="268"/>
      <c r="R1078" s="77"/>
      <c r="S1078" s="77"/>
      <c r="T1078" s="77"/>
      <c r="U1078" s="77"/>
      <c r="V1078" s="77"/>
      <c r="W1078" s="77"/>
      <c r="X1078" s="77"/>
      <c r="Y1078" s="77"/>
      <c r="Z1078" s="77"/>
      <c r="AA1078" s="77"/>
      <c r="AB1078" s="77"/>
      <c r="AC1078" s="77"/>
      <c r="AD1078" s="77"/>
      <c r="AE1078" s="77"/>
      <c r="AF1078" s="77"/>
      <c r="AG1078" s="77"/>
      <c r="AH1078" s="87"/>
      <c r="AI1078" s="87"/>
      <c r="AJ1078" s="87"/>
      <c r="AK1078" s="87"/>
      <c r="AL1078" s="87"/>
    </row>
    <row r="1079">
      <c r="A1079" s="77"/>
      <c r="B1079" s="102"/>
      <c r="C1079" s="102"/>
      <c r="D1079" s="102"/>
      <c r="E1079" s="102"/>
      <c r="F1079" s="102"/>
      <c r="G1079" s="102"/>
      <c r="H1079" s="295"/>
      <c r="I1079" s="102"/>
      <c r="J1079" s="77"/>
      <c r="K1079" s="77"/>
      <c r="L1079" s="77"/>
      <c r="M1079" s="77"/>
      <c r="N1079" s="77"/>
      <c r="O1079" s="77"/>
      <c r="P1079" s="268"/>
      <c r="Q1079" s="268"/>
      <c r="R1079" s="77"/>
      <c r="S1079" s="77"/>
      <c r="T1079" s="77"/>
      <c r="U1079" s="77"/>
      <c r="V1079" s="77"/>
      <c r="W1079" s="77"/>
      <c r="X1079" s="77"/>
      <c r="Y1079" s="77"/>
      <c r="Z1079" s="77"/>
      <c r="AA1079" s="77"/>
      <c r="AB1079" s="77"/>
      <c r="AC1079" s="77"/>
      <c r="AD1079" s="77"/>
      <c r="AE1079" s="77"/>
      <c r="AF1079" s="77"/>
      <c r="AG1079" s="77"/>
      <c r="AH1079" s="87"/>
      <c r="AI1079" s="87"/>
      <c r="AJ1079" s="87"/>
      <c r="AK1079" s="87"/>
      <c r="AL1079" s="87"/>
    </row>
    <row r="1080">
      <c r="A1080" s="77"/>
      <c r="B1080" s="102"/>
      <c r="C1080" s="102"/>
      <c r="D1080" s="102"/>
      <c r="E1080" s="102"/>
      <c r="F1080" s="102"/>
      <c r="G1080" s="102"/>
      <c r="H1080" s="295"/>
      <c r="I1080" s="102"/>
      <c r="J1080" s="77"/>
      <c r="K1080" s="77"/>
      <c r="L1080" s="77"/>
      <c r="M1080" s="77"/>
      <c r="N1080" s="77"/>
      <c r="O1080" s="77"/>
      <c r="P1080" s="268"/>
      <c r="Q1080" s="268"/>
      <c r="R1080" s="77"/>
      <c r="S1080" s="77"/>
      <c r="T1080" s="77"/>
      <c r="U1080" s="77"/>
      <c r="V1080" s="77"/>
      <c r="W1080" s="77"/>
      <c r="X1080" s="77"/>
      <c r="Y1080" s="77"/>
      <c r="Z1080" s="77"/>
      <c r="AA1080" s="77"/>
      <c r="AB1080" s="77"/>
      <c r="AC1080" s="77"/>
      <c r="AD1080" s="77"/>
      <c r="AE1080" s="77"/>
      <c r="AF1080" s="77"/>
      <c r="AG1080" s="77"/>
      <c r="AH1080" s="87"/>
      <c r="AI1080" s="87"/>
      <c r="AJ1080" s="87"/>
      <c r="AK1080" s="87"/>
      <c r="AL1080" s="87"/>
    </row>
    <row r="1081">
      <c r="A1081" s="77"/>
      <c r="B1081" s="102"/>
      <c r="C1081" s="102"/>
      <c r="D1081" s="102"/>
      <c r="E1081" s="102"/>
      <c r="F1081" s="102"/>
      <c r="G1081" s="102"/>
      <c r="H1081" s="295"/>
      <c r="I1081" s="102"/>
      <c r="J1081" s="77"/>
      <c r="K1081" s="77"/>
      <c r="L1081" s="77"/>
      <c r="M1081" s="77"/>
      <c r="N1081" s="77"/>
      <c r="O1081" s="77"/>
      <c r="P1081" s="268"/>
      <c r="Q1081" s="268"/>
      <c r="R1081" s="77"/>
      <c r="S1081" s="77"/>
      <c r="T1081" s="77"/>
      <c r="U1081" s="77"/>
      <c r="V1081" s="77"/>
      <c r="W1081" s="77"/>
      <c r="X1081" s="77"/>
      <c r="Y1081" s="77"/>
      <c r="Z1081" s="77"/>
      <c r="AA1081" s="77"/>
      <c r="AB1081" s="77"/>
      <c r="AC1081" s="77"/>
      <c r="AD1081" s="77"/>
      <c r="AE1081" s="77"/>
      <c r="AF1081" s="77"/>
      <c r="AG1081" s="77"/>
      <c r="AH1081" s="87"/>
      <c r="AI1081" s="87"/>
      <c r="AJ1081" s="87"/>
      <c r="AK1081" s="87"/>
      <c r="AL1081" s="87"/>
    </row>
    <row r="1082">
      <c r="A1082" s="77"/>
      <c r="B1082" s="102"/>
      <c r="C1082" s="102"/>
      <c r="D1082" s="102"/>
      <c r="E1082" s="102"/>
      <c r="F1082" s="102"/>
      <c r="G1082" s="102"/>
      <c r="H1082" s="295"/>
      <c r="I1082" s="102"/>
      <c r="J1082" s="77"/>
      <c r="K1082" s="77"/>
      <c r="L1082" s="77"/>
      <c r="M1082" s="77"/>
      <c r="N1082" s="77"/>
      <c r="O1082" s="77"/>
      <c r="P1082" s="268"/>
      <c r="Q1082" s="268"/>
      <c r="R1082" s="77"/>
      <c r="S1082" s="77"/>
      <c r="T1082" s="77"/>
      <c r="U1082" s="77"/>
      <c r="V1082" s="77"/>
      <c r="W1082" s="77"/>
      <c r="X1082" s="77"/>
      <c r="Y1082" s="77"/>
      <c r="Z1082" s="77"/>
      <c r="AA1082" s="77"/>
      <c r="AB1082" s="77"/>
      <c r="AC1082" s="77"/>
      <c r="AD1082" s="77"/>
      <c r="AE1082" s="77"/>
      <c r="AF1082" s="77"/>
      <c r="AG1082" s="77"/>
      <c r="AH1082" s="87"/>
      <c r="AI1082" s="87"/>
      <c r="AJ1082" s="87"/>
      <c r="AK1082" s="87"/>
      <c r="AL1082" s="87"/>
    </row>
    <row r="1083">
      <c r="A1083" s="77"/>
      <c r="B1083" s="102"/>
      <c r="C1083" s="102"/>
      <c r="D1083" s="102"/>
      <c r="E1083" s="102"/>
      <c r="F1083" s="102"/>
      <c r="G1083" s="102"/>
      <c r="H1083" s="295"/>
      <c r="I1083" s="102"/>
      <c r="J1083" s="77"/>
      <c r="K1083" s="77"/>
      <c r="L1083" s="77"/>
      <c r="M1083" s="77"/>
      <c r="N1083" s="77"/>
      <c r="O1083" s="77"/>
      <c r="P1083" s="268"/>
      <c r="Q1083" s="268"/>
      <c r="R1083" s="77"/>
      <c r="S1083" s="77"/>
      <c r="T1083" s="77"/>
      <c r="U1083" s="77"/>
      <c r="V1083" s="77"/>
      <c r="W1083" s="77"/>
      <c r="X1083" s="77"/>
      <c r="Y1083" s="77"/>
      <c r="Z1083" s="77"/>
      <c r="AA1083" s="77"/>
      <c r="AB1083" s="77"/>
      <c r="AC1083" s="77"/>
      <c r="AD1083" s="77"/>
      <c r="AE1083" s="77"/>
      <c r="AF1083" s="77"/>
      <c r="AG1083" s="77"/>
      <c r="AH1083" s="87"/>
      <c r="AI1083" s="87"/>
      <c r="AJ1083" s="87"/>
      <c r="AK1083" s="87"/>
      <c r="AL1083" s="87"/>
    </row>
    <row r="1084">
      <c r="A1084" s="77"/>
      <c r="B1084" s="102"/>
      <c r="C1084" s="102"/>
      <c r="D1084" s="102"/>
      <c r="E1084" s="102"/>
      <c r="F1084" s="102"/>
      <c r="G1084" s="102"/>
      <c r="H1084" s="295"/>
      <c r="I1084" s="102"/>
      <c r="J1084" s="77"/>
      <c r="K1084" s="77"/>
      <c r="L1084" s="77"/>
      <c r="M1084" s="77"/>
      <c r="N1084" s="77"/>
      <c r="O1084" s="77"/>
      <c r="P1084" s="268"/>
      <c r="Q1084" s="268"/>
      <c r="R1084" s="77"/>
      <c r="S1084" s="77"/>
      <c r="T1084" s="77"/>
      <c r="U1084" s="77"/>
      <c r="V1084" s="77"/>
      <c r="W1084" s="77"/>
      <c r="X1084" s="77"/>
      <c r="Y1084" s="77"/>
      <c r="Z1084" s="77"/>
      <c r="AA1084" s="77"/>
      <c r="AB1084" s="77"/>
      <c r="AC1084" s="77"/>
      <c r="AD1084" s="77"/>
      <c r="AE1084" s="77"/>
      <c r="AF1084" s="77"/>
      <c r="AG1084" s="77"/>
      <c r="AH1084" s="87"/>
      <c r="AI1084" s="87"/>
      <c r="AJ1084" s="87"/>
      <c r="AK1084" s="87"/>
      <c r="AL1084" s="87"/>
    </row>
    <row r="1085">
      <c r="A1085" s="77"/>
      <c r="B1085" s="102"/>
      <c r="C1085" s="102"/>
      <c r="D1085" s="102"/>
      <c r="E1085" s="102"/>
      <c r="F1085" s="102"/>
      <c r="G1085" s="102"/>
      <c r="H1085" s="295"/>
      <c r="I1085" s="102"/>
      <c r="J1085" s="77"/>
      <c r="K1085" s="77"/>
      <c r="L1085" s="77"/>
      <c r="M1085" s="77"/>
      <c r="N1085" s="77"/>
      <c r="O1085" s="77"/>
      <c r="P1085" s="268"/>
      <c r="Q1085" s="268"/>
      <c r="R1085" s="77"/>
      <c r="S1085" s="77"/>
      <c r="T1085" s="77"/>
      <c r="U1085" s="77"/>
      <c r="V1085" s="77"/>
      <c r="W1085" s="77"/>
      <c r="X1085" s="77"/>
      <c r="Y1085" s="77"/>
      <c r="Z1085" s="77"/>
      <c r="AA1085" s="77"/>
      <c r="AB1085" s="77"/>
      <c r="AC1085" s="77"/>
      <c r="AD1085" s="77"/>
      <c r="AE1085" s="77"/>
      <c r="AF1085" s="77"/>
      <c r="AG1085" s="77"/>
      <c r="AH1085" s="87"/>
      <c r="AI1085" s="87"/>
      <c r="AJ1085" s="87"/>
      <c r="AK1085" s="87"/>
      <c r="AL1085" s="87"/>
    </row>
    <row r="1086">
      <c r="A1086" s="77"/>
      <c r="B1086" s="102"/>
      <c r="C1086" s="102"/>
      <c r="D1086" s="102"/>
      <c r="E1086" s="102"/>
      <c r="F1086" s="102"/>
      <c r="G1086" s="102"/>
      <c r="H1086" s="295"/>
      <c r="I1086" s="102"/>
      <c r="J1086" s="77"/>
      <c r="K1086" s="77"/>
      <c r="L1086" s="77"/>
      <c r="M1086" s="77"/>
      <c r="N1086" s="77"/>
      <c r="O1086" s="77"/>
      <c r="P1086" s="268"/>
      <c r="Q1086" s="268"/>
      <c r="R1086" s="77"/>
      <c r="S1086" s="77"/>
      <c r="T1086" s="77"/>
      <c r="U1086" s="77"/>
      <c r="V1086" s="77"/>
      <c r="W1086" s="77"/>
      <c r="X1086" s="77"/>
      <c r="Y1086" s="77"/>
      <c r="Z1086" s="77"/>
      <c r="AA1086" s="77"/>
      <c r="AB1086" s="77"/>
      <c r="AC1086" s="77"/>
      <c r="AD1086" s="77"/>
      <c r="AE1086" s="77"/>
      <c r="AF1086" s="77"/>
      <c r="AG1086" s="77"/>
      <c r="AH1086" s="87"/>
      <c r="AI1086" s="87"/>
      <c r="AJ1086" s="87"/>
      <c r="AK1086" s="87"/>
      <c r="AL1086" s="87"/>
    </row>
    <row r="1087">
      <c r="A1087" s="77"/>
      <c r="B1087" s="102"/>
      <c r="C1087" s="102"/>
      <c r="D1087" s="102"/>
      <c r="E1087" s="102"/>
      <c r="F1087" s="102"/>
      <c r="G1087" s="102"/>
      <c r="H1087" s="295"/>
      <c r="I1087" s="102"/>
      <c r="J1087" s="77"/>
      <c r="K1087" s="77"/>
      <c r="L1087" s="77"/>
      <c r="M1087" s="77"/>
      <c r="N1087" s="77"/>
      <c r="O1087" s="77"/>
      <c r="P1087" s="268"/>
      <c r="Q1087" s="268"/>
      <c r="R1087" s="77"/>
      <c r="S1087" s="77"/>
      <c r="T1087" s="77"/>
      <c r="U1087" s="77"/>
      <c r="V1087" s="77"/>
      <c r="W1087" s="77"/>
      <c r="X1087" s="77"/>
      <c r="Y1087" s="77"/>
      <c r="Z1087" s="77"/>
      <c r="AA1087" s="77"/>
      <c r="AB1087" s="77"/>
      <c r="AC1087" s="77"/>
      <c r="AD1087" s="77"/>
      <c r="AE1087" s="77"/>
      <c r="AF1087" s="77"/>
      <c r="AG1087" s="77"/>
      <c r="AH1087" s="87"/>
      <c r="AI1087" s="87"/>
      <c r="AJ1087" s="87"/>
      <c r="AK1087" s="87"/>
      <c r="AL1087" s="87"/>
    </row>
    <row r="1088">
      <c r="A1088" s="77"/>
      <c r="B1088" s="102"/>
      <c r="C1088" s="102"/>
      <c r="D1088" s="102"/>
      <c r="E1088" s="102"/>
      <c r="F1088" s="102"/>
      <c r="G1088" s="102"/>
      <c r="H1088" s="295"/>
      <c r="I1088" s="102"/>
      <c r="J1088" s="77"/>
      <c r="K1088" s="77"/>
      <c r="L1088" s="77"/>
      <c r="M1088" s="77"/>
      <c r="N1088" s="77"/>
      <c r="O1088" s="77"/>
      <c r="P1088" s="268"/>
      <c r="Q1088" s="268"/>
      <c r="R1088" s="77"/>
      <c r="S1088" s="77"/>
      <c r="T1088" s="77"/>
      <c r="U1088" s="77"/>
      <c r="V1088" s="77"/>
      <c r="W1088" s="77"/>
      <c r="X1088" s="77"/>
      <c r="Y1088" s="77"/>
      <c r="Z1088" s="77"/>
      <c r="AA1088" s="77"/>
      <c r="AB1088" s="77"/>
      <c r="AC1088" s="77"/>
      <c r="AD1088" s="77"/>
      <c r="AE1088" s="77"/>
      <c r="AF1088" s="77"/>
      <c r="AG1088" s="77"/>
      <c r="AH1088" s="87"/>
      <c r="AI1088" s="87"/>
      <c r="AJ1088" s="87"/>
      <c r="AK1088" s="87"/>
      <c r="AL1088" s="87"/>
    </row>
    <row r="1089">
      <c r="A1089" s="77"/>
      <c r="B1089" s="102"/>
      <c r="C1089" s="102"/>
      <c r="D1089" s="102"/>
      <c r="E1089" s="102"/>
      <c r="F1089" s="102"/>
      <c r="G1089" s="102"/>
      <c r="H1089" s="295"/>
      <c r="I1089" s="102"/>
      <c r="J1089" s="77"/>
      <c r="K1089" s="77"/>
      <c r="L1089" s="77"/>
      <c r="M1089" s="77"/>
      <c r="N1089" s="77"/>
      <c r="O1089" s="77"/>
      <c r="P1089" s="268"/>
      <c r="Q1089" s="268"/>
      <c r="R1089" s="77"/>
      <c r="S1089" s="77"/>
      <c r="T1089" s="77"/>
      <c r="U1089" s="77"/>
      <c r="V1089" s="77"/>
      <c r="W1089" s="77"/>
      <c r="X1089" s="77"/>
      <c r="Y1089" s="77"/>
      <c r="Z1089" s="77"/>
      <c r="AA1089" s="77"/>
      <c r="AB1089" s="77"/>
      <c r="AC1089" s="77"/>
      <c r="AD1089" s="77"/>
      <c r="AE1089" s="77"/>
      <c r="AF1089" s="77"/>
      <c r="AG1089" s="77"/>
      <c r="AH1089" s="87"/>
      <c r="AI1089" s="87"/>
      <c r="AJ1089" s="87"/>
      <c r="AK1089" s="87"/>
      <c r="AL1089" s="87"/>
    </row>
    <row r="1090">
      <c r="A1090" s="77"/>
      <c r="B1090" s="102"/>
      <c r="C1090" s="102"/>
      <c r="D1090" s="102"/>
      <c r="E1090" s="102"/>
      <c r="F1090" s="102"/>
      <c r="G1090" s="102"/>
      <c r="H1090" s="295"/>
      <c r="I1090" s="102"/>
      <c r="J1090" s="77"/>
      <c r="K1090" s="77"/>
      <c r="L1090" s="77"/>
      <c r="M1090" s="77"/>
      <c r="N1090" s="77"/>
      <c r="O1090" s="77"/>
      <c r="P1090" s="268"/>
      <c r="Q1090" s="268"/>
      <c r="R1090" s="77"/>
      <c r="S1090" s="77"/>
      <c r="T1090" s="77"/>
      <c r="U1090" s="77"/>
      <c r="V1090" s="77"/>
      <c r="W1090" s="77"/>
      <c r="X1090" s="77"/>
      <c r="Y1090" s="77"/>
      <c r="Z1090" s="77"/>
      <c r="AA1090" s="77"/>
      <c r="AB1090" s="77"/>
      <c r="AC1090" s="77"/>
      <c r="AD1090" s="77"/>
      <c r="AE1090" s="77"/>
      <c r="AF1090" s="77"/>
      <c r="AG1090" s="77"/>
      <c r="AH1090" s="87"/>
      <c r="AI1090" s="87"/>
      <c r="AJ1090" s="87"/>
      <c r="AK1090" s="87"/>
      <c r="AL1090" s="87"/>
    </row>
    <row r="1091">
      <c r="A1091" s="77"/>
      <c r="B1091" s="102"/>
      <c r="C1091" s="102"/>
      <c r="D1091" s="102"/>
      <c r="E1091" s="102"/>
      <c r="F1091" s="102"/>
      <c r="G1091" s="102"/>
      <c r="H1091" s="295"/>
      <c r="I1091" s="102"/>
      <c r="J1091" s="77"/>
      <c r="K1091" s="77"/>
      <c r="L1091" s="77"/>
      <c r="M1091" s="77"/>
      <c r="N1091" s="77"/>
      <c r="O1091" s="77"/>
      <c r="P1091" s="268"/>
      <c r="Q1091" s="268"/>
      <c r="R1091" s="77"/>
      <c r="S1091" s="77"/>
      <c r="T1091" s="77"/>
      <c r="U1091" s="77"/>
      <c r="V1091" s="77"/>
      <c r="W1091" s="77"/>
      <c r="X1091" s="77"/>
      <c r="Y1091" s="77"/>
      <c r="Z1091" s="77"/>
      <c r="AA1091" s="77"/>
      <c r="AB1091" s="77"/>
      <c r="AC1091" s="77"/>
      <c r="AD1091" s="77"/>
      <c r="AE1091" s="77"/>
      <c r="AF1091" s="77"/>
      <c r="AG1091" s="77"/>
      <c r="AH1091" s="87"/>
      <c r="AI1091" s="87"/>
      <c r="AJ1091" s="87"/>
      <c r="AK1091" s="87"/>
      <c r="AL1091" s="87"/>
    </row>
    <row r="1092">
      <c r="A1092" s="77"/>
      <c r="B1092" s="102"/>
      <c r="C1092" s="102"/>
      <c r="D1092" s="102"/>
      <c r="E1092" s="102"/>
      <c r="F1092" s="102"/>
      <c r="G1092" s="102"/>
      <c r="H1092" s="295"/>
      <c r="I1092" s="102"/>
      <c r="J1092" s="77"/>
      <c r="K1092" s="77"/>
      <c r="L1092" s="77"/>
      <c r="M1092" s="77"/>
      <c r="N1092" s="77"/>
      <c r="O1092" s="77"/>
      <c r="P1092" s="268"/>
      <c r="Q1092" s="268"/>
      <c r="R1092" s="77"/>
      <c r="S1092" s="77"/>
      <c r="T1092" s="77"/>
      <c r="U1092" s="77"/>
      <c r="V1092" s="77"/>
      <c r="W1092" s="77"/>
      <c r="X1092" s="77"/>
      <c r="Y1092" s="77"/>
      <c r="Z1092" s="77"/>
      <c r="AA1092" s="77"/>
      <c r="AB1092" s="77"/>
      <c r="AC1092" s="77"/>
      <c r="AD1092" s="77"/>
      <c r="AE1092" s="77"/>
      <c r="AF1092" s="77"/>
      <c r="AG1092" s="77"/>
      <c r="AH1092" s="87"/>
      <c r="AI1092" s="87"/>
      <c r="AJ1092" s="87"/>
      <c r="AK1092" s="87"/>
      <c r="AL1092" s="87"/>
    </row>
    <row r="1093">
      <c r="A1093" s="77"/>
      <c r="B1093" s="102"/>
      <c r="C1093" s="102"/>
      <c r="D1093" s="102"/>
      <c r="E1093" s="102"/>
      <c r="F1093" s="102"/>
      <c r="G1093" s="102"/>
      <c r="H1093" s="295"/>
      <c r="I1093" s="102"/>
      <c r="J1093" s="77"/>
      <c r="K1093" s="77"/>
      <c r="L1093" s="77"/>
      <c r="M1093" s="77"/>
      <c r="N1093" s="77"/>
      <c r="O1093" s="77"/>
      <c r="P1093" s="268"/>
      <c r="Q1093" s="268"/>
      <c r="R1093" s="77"/>
      <c r="S1093" s="77"/>
      <c r="T1093" s="77"/>
      <c r="U1093" s="77"/>
      <c r="V1093" s="77"/>
      <c r="W1093" s="77"/>
      <c r="X1093" s="77"/>
      <c r="Y1093" s="77"/>
      <c r="Z1093" s="77"/>
      <c r="AA1093" s="77"/>
      <c r="AB1093" s="77"/>
      <c r="AC1093" s="77"/>
      <c r="AD1093" s="77"/>
      <c r="AE1093" s="77"/>
      <c r="AF1093" s="77"/>
      <c r="AG1093" s="77"/>
      <c r="AH1093" s="87"/>
      <c r="AI1093" s="87"/>
      <c r="AJ1093" s="87"/>
      <c r="AK1093" s="87"/>
      <c r="AL1093" s="87"/>
    </row>
    <row r="1094">
      <c r="A1094" s="77"/>
      <c r="B1094" s="102"/>
      <c r="C1094" s="102"/>
      <c r="D1094" s="102"/>
      <c r="E1094" s="102"/>
      <c r="F1094" s="102"/>
      <c r="G1094" s="102"/>
      <c r="H1094" s="295"/>
      <c r="I1094" s="102"/>
      <c r="J1094" s="77"/>
      <c r="K1094" s="77"/>
      <c r="L1094" s="77"/>
      <c r="M1094" s="77"/>
      <c r="N1094" s="77"/>
      <c r="O1094" s="77"/>
      <c r="P1094" s="268"/>
      <c r="Q1094" s="268"/>
      <c r="R1094" s="77"/>
      <c r="S1094" s="77"/>
      <c r="T1094" s="77"/>
      <c r="U1094" s="77"/>
      <c r="V1094" s="77"/>
      <c r="W1094" s="77"/>
      <c r="X1094" s="77"/>
      <c r="Y1094" s="77"/>
      <c r="Z1094" s="77"/>
      <c r="AA1094" s="77"/>
      <c r="AB1094" s="77"/>
      <c r="AC1094" s="77"/>
      <c r="AD1094" s="77"/>
      <c r="AE1094" s="77"/>
      <c r="AF1094" s="77"/>
      <c r="AG1094" s="77"/>
      <c r="AH1094" s="87"/>
      <c r="AI1094" s="87"/>
      <c r="AJ1094" s="87"/>
      <c r="AK1094" s="87"/>
      <c r="AL1094" s="87"/>
    </row>
    <row r="1095">
      <c r="A1095" s="77"/>
      <c r="B1095" s="102"/>
      <c r="C1095" s="102"/>
      <c r="D1095" s="102"/>
      <c r="E1095" s="102"/>
      <c r="F1095" s="102"/>
      <c r="G1095" s="102"/>
      <c r="H1095" s="295"/>
      <c r="I1095" s="102"/>
      <c r="J1095" s="77"/>
      <c r="K1095" s="77"/>
      <c r="L1095" s="77"/>
      <c r="M1095" s="77"/>
      <c r="N1095" s="77"/>
      <c r="O1095" s="77"/>
      <c r="P1095" s="268"/>
      <c r="Q1095" s="268"/>
      <c r="R1095" s="77"/>
      <c r="S1095" s="77"/>
      <c r="T1095" s="77"/>
      <c r="U1095" s="77"/>
      <c r="V1095" s="77"/>
      <c r="W1095" s="77"/>
      <c r="X1095" s="77"/>
      <c r="Y1095" s="77"/>
      <c r="Z1095" s="77"/>
      <c r="AA1095" s="77"/>
      <c r="AB1095" s="77"/>
      <c r="AC1095" s="77"/>
      <c r="AD1095" s="77"/>
      <c r="AE1095" s="77"/>
      <c r="AF1095" s="77"/>
      <c r="AG1095" s="77"/>
      <c r="AH1095" s="87"/>
      <c r="AI1095" s="87"/>
      <c r="AJ1095" s="87"/>
      <c r="AK1095" s="87"/>
      <c r="AL1095" s="87"/>
    </row>
    <row r="1096">
      <c r="A1096" s="77"/>
      <c r="B1096" s="102"/>
      <c r="C1096" s="102"/>
      <c r="D1096" s="102"/>
      <c r="E1096" s="102"/>
      <c r="F1096" s="102"/>
      <c r="G1096" s="102"/>
      <c r="H1096" s="295"/>
      <c r="I1096" s="102"/>
      <c r="J1096" s="77"/>
      <c r="K1096" s="77"/>
      <c r="L1096" s="77"/>
      <c r="M1096" s="77"/>
      <c r="N1096" s="77"/>
      <c r="O1096" s="77"/>
      <c r="P1096" s="268"/>
      <c r="Q1096" s="268"/>
      <c r="R1096" s="77"/>
      <c r="S1096" s="77"/>
      <c r="T1096" s="77"/>
      <c r="U1096" s="77"/>
      <c r="V1096" s="77"/>
      <c r="W1096" s="77"/>
      <c r="X1096" s="77"/>
      <c r="Y1096" s="77"/>
      <c r="Z1096" s="77"/>
      <c r="AA1096" s="77"/>
      <c r="AB1096" s="77"/>
      <c r="AC1096" s="77"/>
      <c r="AD1096" s="77"/>
      <c r="AE1096" s="77"/>
      <c r="AF1096" s="77"/>
      <c r="AG1096" s="77"/>
      <c r="AH1096" s="87"/>
      <c r="AI1096" s="87"/>
      <c r="AJ1096" s="87"/>
      <c r="AK1096" s="87"/>
      <c r="AL1096" s="87"/>
    </row>
    <row r="1097">
      <c r="A1097" s="77"/>
      <c r="B1097" s="102"/>
      <c r="C1097" s="102"/>
      <c r="D1097" s="102"/>
      <c r="E1097" s="102"/>
      <c r="F1097" s="102"/>
      <c r="G1097" s="102"/>
      <c r="H1097" s="295"/>
      <c r="I1097" s="102"/>
      <c r="J1097" s="77"/>
      <c r="K1097" s="77"/>
      <c r="L1097" s="77"/>
      <c r="M1097" s="77"/>
      <c r="N1097" s="77"/>
      <c r="O1097" s="77"/>
      <c r="P1097" s="268"/>
      <c r="Q1097" s="268"/>
      <c r="R1097" s="77"/>
      <c r="S1097" s="77"/>
      <c r="T1097" s="77"/>
      <c r="U1097" s="77"/>
      <c r="V1097" s="77"/>
      <c r="W1097" s="77"/>
      <c r="X1097" s="77"/>
      <c r="Y1097" s="77"/>
      <c r="Z1097" s="77"/>
      <c r="AA1097" s="77"/>
      <c r="AB1097" s="77"/>
      <c r="AC1097" s="77"/>
      <c r="AD1097" s="77"/>
      <c r="AE1097" s="77"/>
      <c r="AF1097" s="77"/>
      <c r="AG1097" s="77"/>
      <c r="AH1097" s="87"/>
      <c r="AI1097" s="87"/>
      <c r="AJ1097" s="87"/>
      <c r="AK1097" s="87"/>
      <c r="AL1097" s="87"/>
    </row>
    <row r="1098">
      <c r="A1098" s="77"/>
      <c r="B1098" s="102"/>
      <c r="C1098" s="102"/>
      <c r="D1098" s="102"/>
      <c r="E1098" s="102"/>
      <c r="F1098" s="102"/>
      <c r="G1098" s="102"/>
      <c r="H1098" s="295"/>
      <c r="I1098" s="102"/>
      <c r="J1098" s="77"/>
      <c r="K1098" s="77"/>
      <c r="L1098" s="77"/>
      <c r="M1098" s="77"/>
      <c r="N1098" s="77"/>
      <c r="O1098" s="77"/>
      <c r="P1098" s="268"/>
      <c r="Q1098" s="268"/>
      <c r="R1098" s="77"/>
      <c r="S1098" s="77"/>
      <c r="T1098" s="77"/>
      <c r="U1098" s="77"/>
      <c r="V1098" s="77"/>
      <c r="W1098" s="77"/>
      <c r="X1098" s="77"/>
      <c r="Y1098" s="77"/>
      <c r="Z1098" s="77"/>
      <c r="AA1098" s="77"/>
      <c r="AB1098" s="77"/>
      <c r="AC1098" s="77"/>
      <c r="AD1098" s="77"/>
      <c r="AE1098" s="77"/>
      <c r="AF1098" s="77"/>
      <c r="AG1098" s="77"/>
      <c r="AH1098" s="87"/>
      <c r="AI1098" s="87"/>
      <c r="AJ1098" s="87"/>
      <c r="AK1098" s="87"/>
      <c r="AL1098" s="87"/>
    </row>
    <row r="1099">
      <c r="A1099" s="77"/>
      <c r="B1099" s="102"/>
      <c r="C1099" s="102"/>
      <c r="D1099" s="102"/>
      <c r="E1099" s="102"/>
      <c r="F1099" s="102"/>
      <c r="G1099" s="102"/>
      <c r="H1099" s="295"/>
      <c r="I1099" s="102"/>
      <c r="J1099" s="77"/>
      <c r="K1099" s="77"/>
      <c r="L1099" s="77"/>
      <c r="M1099" s="77"/>
      <c r="N1099" s="77"/>
      <c r="O1099" s="77"/>
      <c r="P1099" s="268"/>
      <c r="Q1099" s="268"/>
      <c r="R1099" s="77"/>
      <c r="S1099" s="77"/>
      <c r="T1099" s="77"/>
      <c r="U1099" s="77"/>
      <c r="V1099" s="77"/>
      <c r="W1099" s="77"/>
      <c r="X1099" s="77"/>
      <c r="Y1099" s="77"/>
      <c r="Z1099" s="77"/>
      <c r="AA1099" s="77"/>
      <c r="AB1099" s="77"/>
      <c r="AC1099" s="77"/>
      <c r="AD1099" s="77"/>
      <c r="AE1099" s="77"/>
      <c r="AF1099" s="77"/>
      <c r="AG1099" s="77"/>
      <c r="AH1099" s="87"/>
      <c r="AI1099" s="87"/>
      <c r="AJ1099" s="87"/>
      <c r="AK1099" s="87"/>
      <c r="AL1099" s="87"/>
    </row>
    <row r="1100">
      <c r="A1100" s="77"/>
      <c r="B1100" s="102"/>
      <c r="C1100" s="102"/>
      <c r="D1100" s="102"/>
      <c r="E1100" s="102"/>
      <c r="F1100" s="102"/>
      <c r="G1100" s="102"/>
      <c r="H1100" s="295"/>
      <c r="I1100" s="102"/>
      <c r="J1100" s="77"/>
      <c r="K1100" s="77"/>
      <c r="L1100" s="77"/>
      <c r="M1100" s="77"/>
      <c r="N1100" s="77"/>
      <c r="O1100" s="77"/>
      <c r="P1100" s="268"/>
      <c r="Q1100" s="268"/>
      <c r="R1100" s="77"/>
      <c r="S1100" s="77"/>
      <c r="T1100" s="77"/>
      <c r="U1100" s="77"/>
      <c r="V1100" s="77"/>
      <c r="W1100" s="77"/>
      <c r="X1100" s="77"/>
      <c r="Y1100" s="77"/>
      <c r="Z1100" s="77"/>
      <c r="AA1100" s="77"/>
      <c r="AB1100" s="77"/>
      <c r="AC1100" s="77"/>
      <c r="AD1100" s="77"/>
      <c r="AE1100" s="77"/>
      <c r="AF1100" s="77"/>
      <c r="AG1100" s="77"/>
      <c r="AH1100" s="87"/>
      <c r="AI1100" s="87"/>
      <c r="AJ1100" s="87"/>
      <c r="AK1100" s="87"/>
      <c r="AL1100" s="87"/>
    </row>
    <row r="1101">
      <c r="A1101" s="77"/>
      <c r="B1101" s="102"/>
      <c r="C1101" s="102"/>
      <c r="D1101" s="102"/>
      <c r="E1101" s="102"/>
      <c r="F1101" s="102"/>
      <c r="G1101" s="102"/>
      <c r="H1101" s="295"/>
      <c r="I1101" s="102"/>
      <c r="J1101" s="77"/>
      <c r="K1101" s="77"/>
      <c r="L1101" s="77"/>
      <c r="M1101" s="77"/>
      <c r="N1101" s="77"/>
      <c r="O1101" s="77"/>
      <c r="P1101" s="268"/>
      <c r="Q1101" s="268"/>
      <c r="R1101" s="77"/>
      <c r="S1101" s="77"/>
      <c r="T1101" s="77"/>
      <c r="U1101" s="77"/>
      <c r="V1101" s="77"/>
      <c r="W1101" s="77"/>
      <c r="X1101" s="77"/>
      <c r="Y1101" s="77"/>
      <c r="Z1101" s="77"/>
      <c r="AA1101" s="77"/>
      <c r="AB1101" s="77"/>
      <c r="AC1101" s="77"/>
      <c r="AD1101" s="77"/>
      <c r="AE1101" s="77"/>
      <c r="AF1101" s="77"/>
      <c r="AG1101" s="77"/>
      <c r="AH1101" s="87"/>
      <c r="AI1101" s="87"/>
      <c r="AJ1101" s="87"/>
      <c r="AK1101" s="87"/>
      <c r="AL1101" s="87"/>
    </row>
    <row r="1102">
      <c r="A1102" s="77"/>
      <c r="B1102" s="102"/>
      <c r="C1102" s="102"/>
      <c r="D1102" s="102"/>
      <c r="E1102" s="102"/>
      <c r="F1102" s="102"/>
      <c r="G1102" s="102"/>
      <c r="H1102" s="295"/>
      <c r="I1102" s="102"/>
      <c r="J1102" s="77"/>
      <c r="K1102" s="77"/>
      <c r="L1102" s="77"/>
      <c r="M1102" s="77"/>
      <c r="N1102" s="77"/>
      <c r="O1102" s="77"/>
      <c r="P1102" s="268"/>
      <c r="Q1102" s="268"/>
      <c r="R1102" s="77"/>
      <c r="S1102" s="77"/>
      <c r="T1102" s="77"/>
      <c r="U1102" s="77"/>
      <c r="V1102" s="77"/>
      <c r="W1102" s="77"/>
      <c r="X1102" s="77"/>
      <c r="Y1102" s="77"/>
      <c r="Z1102" s="77"/>
      <c r="AA1102" s="77"/>
      <c r="AB1102" s="77"/>
      <c r="AC1102" s="77"/>
      <c r="AD1102" s="77"/>
      <c r="AE1102" s="77"/>
      <c r="AF1102" s="77"/>
      <c r="AG1102" s="77"/>
      <c r="AH1102" s="87"/>
      <c r="AI1102" s="87"/>
      <c r="AJ1102" s="87"/>
      <c r="AK1102" s="87"/>
      <c r="AL1102" s="87"/>
    </row>
    <row r="1103">
      <c r="A1103" s="77"/>
      <c r="B1103" s="102"/>
      <c r="C1103" s="102"/>
      <c r="D1103" s="102"/>
      <c r="E1103" s="102"/>
      <c r="F1103" s="102"/>
      <c r="G1103" s="102"/>
      <c r="H1103" s="295"/>
      <c r="I1103" s="102"/>
      <c r="J1103" s="77"/>
      <c r="K1103" s="77"/>
      <c r="L1103" s="77"/>
      <c r="M1103" s="77"/>
      <c r="N1103" s="77"/>
      <c r="O1103" s="77"/>
      <c r="P1103" s="268"/>
      <c r="Q1103" s="268"/>
      <c r="R1103" s="77"/>
      <c r="S1103" s="77"/>
      <c r="T1103" s="77"/>
      <c r="U1103" s="77"/>
      <c r="V1103" s="77"/>
      <c r="W1103" s="77"/>
      <c r="X1103" s="77"/>
      <c r="Y1103" s="77"/>
      <c r="Z1103" s="77"/>
      <c r="AA1103" s="77"/>
      <c r="AB1103" s="77"/>
      <c r="AC1103" s="77"/>
      <c r="AD1103" s="77"/>
      <c r="AE1103" s="77"/>
      <c r="AF1103" s="77"/>
      <c r="AG1103" s="77"/>
      <c r="AH1103" s="87"/>
      <c r="AI1103" s="87"/>
      <c r="AJ1103" s="87"/>
      <c r="AK1103" s="87"/>
      <c r="AL1103" s="87"/>
    </row>
    <row r="1104">
      <c r="A1104" s="77"/>
      <c r="B1104" s="102"/>
      <c r="C1104" s="102"/>
      <c r="D1104" s="102"/>
      <c r="E1104" s="102"/>
      <c r="F1104" s="102"/>
      <c r="G1104" s="102"/>
      <c r="H1104" s="295"/>
      <c r="I1104" s="102"/>
      <c r="J1104" s="77"/>
      <c r="K1104" s="77"/>
      <c r="L1104" s="77"/>
      <c r="M1104" s="77"/>
      <c r="N1104" s="77"/>
      <c r="O1104" s="77"/>
      <c r="P1104" s="268"/>
      <c r="Q1104" s="268"/>
      <c r="R1104" s="77"/>
      <c r="S1104" s="77"/>
      <c r="T1104" s="77"/>
      <c r="U1104" s="77"/>
      <c r="V1104" s="77"/>
      <c r="W1104" s="77"/>
      <c r="X1104" s="77"/>
      <c r="Y1104" s="77"/>
      <c r="Z1104" s="77"/>
      <c r="AA1104" s="77"/>
      <c r="AB1104" s="77"/>
      <c r="AC1104" s="77"/>
      <c r="AD1104" s="77"/>
      <c r="AE1104" s="77"/>
      <c r="AF1104" s="77"/>
      <c r="AG1104" s="77"/>
      <c r="AH1104" s="87"/>
      <c r="AI1104" s="87"/>
      <c r="AJ1104" s="87"/>
      <c r="AK1104" s="87"/>
      <c r="AL1104" s="87"/>
    </row>
    <row r="1105">
      <c r="A1105" s="77"/>
      <c r="B1105" s="102"/>
      <c r="C1105" s="102"/>
      <c r="D1105" s="102"/>
      <c r="E1105" s="102"/>
      <c r="F1105" s="102"/>
      <c r="G1105" s="102"/>
      <c r="H1105" s="295"/>
      <c r="I1105" s="102"/>
      <c r="J1105" s="77"/>
      <c r="K1105" s="77"/>
      <c r="L1105" s="77"/>
      <c r="M1105" s="77"/>
      <c r="N1105" s="77"/>
      <c r="O1105" s="77"/>
      <c r="P1105" s="268"/>
      <c r="Q1105" s="268"/>
      <c r="R1105" s="77"/>
      <c r="S1105" s="77"/>
      <c r="T1105" s="77"/>
      <c r="U1105" s="77"/>
      <c r="V1105" s="77"/>
      <c r="W1105" s="77"/>
      <c r="X1105" s="77"/>
      <c r="Y1105" s="77"/>
      <c r="Z1105" s="77"/>
      <c r="AA1105" s="77"/>
      <c r="AB1105" s="77"/>
      <c r="AC1105" s="77"/>
      <c r="AD1105" s="77"/>
      <c r="AE1105" s="77"/>
      <c r="AF1105" s="77"/>
      <c r="AG1105" s="77"/>
      <c r="AH1105" s="87"/>
      <c r="AI1105" s="87"/>
      <c r="AJ1105" s="87"/>
      <c r="AK1105" s="87"/>
      <c r="AL1105" s="87"/>
    </row>
    <row r="1106">
      <c r="A1106" s="77"/>
      <c r="B1106" s="102"/>
      <c r="C1106" s="102"/>
      <c r="D1106" s="102"/>
      <c r="E1106" s="102"/>
      <c r="F1106" s="102"/>
      <c r="G1106" s="102"/>
      <c r="H1106" s="295"/>
      <c r="I1106" s="102"/>
      <c r="J1106" s="77"/>
      <c r="K1106" s="77"/>
      <c r="L1106" s="77"/>
      <c r="M1106" s="77"/>
      <c r="N1106" s="77"/>
      <c r="O1106" s="77"/>
      <c r="P1106" s="268"/>
      <c r="Q1106" s="268"/>
      <c r="R1106" s="77"/>
      <c r="S1106" s="77"/>
      <c r="T1106" s="77"/>
      <c r="U1106" s="77"/>
      <c r="V1106" s="77"/>
      <c r="W1106" s="77"/>
      <c r="X1106" s="77"/>
      <c r="Y1106" s="77"/>
      <c r="Z1106" s="77"/>
      <c r="AA1106" s="77"/>
      <c r="AB1106" s="77"/>
      <c r="AC1106" s="77"/>
      <c r="AD1106" s="77"/>
      <c r="AE1106" s="77"/>
      <c r="AF1106" s="77"/>
      <c r="AG1106" s="77"/>
      <c r="AH1106" s="87"/>
      <c r="AI1106" s="87"/>
      <c r="AJ1106" s="87"/>
      <c r="AK1106" s="87"/>
      <c r="AL1106" s="87"/>
    </row>
    <row r="1107">
      <c r="A1107" s="77"/>
      <c r="B1107" s="102"/>
      <c r="C1107" s="102"/>
      <c r="D1107" s="102"/>
      <c r="E1107" s="102"/>
      <c r="F1107" s="102"/>
      <c r="G1107" s="102"/>
      <c r="H1107" s="295"/>
      <c r="I1107" s="102"/>
      <c r="J1107" s="77"/>
      <c r="K1107" s="77"/>
      <c r="L1107" s="77"/>
      <c r="M1107" s="77"/>
      <c r="N1107" s="77"/>
      <c r="O1107" s="77"/>
      <c r="P1107" s="268"/>
      <c r="Q1107" s="268"/>
      <c r="R1107" s="77"/>
      <c r="S1107" s="77"/>
      <c r="T1107" s="77"/>
      <c r="U1107" s="77"/>
      <c r="V1107" s="77"/>
      <c r="W1107" s="77"/>
      <c r="X1107" s="77"/>
      <c r="Y1107" s="77"/>
      <c r="Z1107" s="77"/>
      <c r="AA1107" s="77"/>
      <c r="AB1107" s="77"/>
      <c r="AC1107" s="77"/>
      <c r="AD1107" s="77"/>
      <c r="AE1107" s="77"/>
      <c r="AF1107" s="77"/>
      <c r="AG1107" s="77"/>
      <c r="AH1107" s="87"/>
      <c r="AI1107" s="87"/>
      <c r="AJ1107" s="87"/>
      <c r="AK1107" s="87"/>
      <c r="AL1107" s="87"/>
    </row>
    <row r="1108">
      <c r="A1108" s="77"/>
      <c r="B1108" s="102"/>
      <c r="C1108" s="102"/>
      <c r="D1108" s="102"/>
      <c r="E1108" s="102"/>
      <c r="F1108" s="102"/>
      <c r="G1108" s="102"/>
      <c r="H1108" s="295"/>
      <c r="I1108" s="102"/>
      <c r="J1108" s="77"/>
      <c r="K1108" s="77"/>
      <c r="L1108" s="77"/>
      <c r="M1108" s="77"/>
      <c r="N1108" s="77"/>
      <c r="O1108" s="77"/>
      <c r="P1108" s="268"/>
      <c r="Q1108" s="268"/>
      <c r="R1108" s="77"/>
      <c r="S1108" s="77"/>
      <c r="T1108" s="77"/>
      <c r="U1108" s="77"/>
      <c r="V1108" s="77"/>
      <c r="W1108" s="77"/>
      <c r="X1108" s="77"/>
      <c r="Y1108" s="77"/>
      <c r="Z1108" s="77"/>
      <c r="AA1108" s="77"/>
      <c r="AB1108" s="77"/>
      <c r="AC1108" s="77"/>
      <c r="AD1108" s="77"/>
      <c r="AE1108" s="77"/>
      <c r="AF1108" s="77"/>
      <c r="AG1108" s="77"/>
      <c r="AH1108" s="87"/>
      <c r="AI1108" s="87"/>
      <c r="AJ1108" s="87"/>
      <c r="AK1108" s="87"/>
      <c r="AL1108" s="87"/>
    </row>
    <row r="1109">
      <c r="A1109" s="77"/>
      <c r="B1109" s="102"/>
      <c r="C1109" s="102"/>
      <c r="D1109" s="102"/>
      <c r="E1109" s="102"/>
      <c r="F1109" s="102"/>
      <c r="G1109" s="102"/>
      <c r="H1109" s="295"/>
      <c r="I1109" s="102"/>
      <c r="J1109" s="77"/>
      <c r="K1109" s="77"/>
      <c r="L1109" s="77"/>
      <c r="M1109" s="77"/>
      <c r="N1109" s="77"/>
      <c r="O1109" s="77"/>
      <c r="P1109" s="268"/>
      <c r="Q1109" s="268"/>
      <c r="R1109" s="77"/>
      <c r="S1109" s="77"/>
      <c r="T1109" s="77"/>
      <c r="U1109" s="77"/>
      <c r="V1109" s="77"/>
      <c r="W1109" s="77"/>
      <c r="X1109" s="77"/>
      <c r="Y1109" s="77"/>
      <c r="Z1109" s="77"/>
      <c r="AA1109" s="77"/>
      <c r="AB1109" s="77"/>
      <c r="AC1109" s="77"/>
      <c r="AD1109" s="77"/>
      <c r="AE1109" s="77"/>
      <c r="AF1109" s="77"/>
      <c r="AG1109" s="77"/>
      <c r="AH1109" s="87"/>
      <c r="AI1109" s="87"/>
      <c r="AJ1109" s="87"/>
      <c r="AK1109" s="87"/>
      <c r="AL1109" s="87"/>
    </row>
    <row r="1110">
      <c r="A1110" s="77"/>
      <c r="B1110" s="102"/>
      <c r="C1110" s="102"/>
      <c r="D1110" s="102"/>
      <c r="E1110" s="102"/>
      <c r="F1110" s="102"/>
      <c r="G1110" s="102"/>
      <c r="H1110" s="295"/>
      <c r="I1110" s="102"/>
      <c r="J1110" s="77"/>
      <c r="K1110" s="77"/>
      <c r="L1110" s="77"/>
      <c r="M1110" s="77"/>
      <c r="N1110" s="77"/>
      <c r="O1110" s="77"/>
      <c r="P1110" s="268"/>
      <c r="Q1110" s="268"/>
      <c r="R1110" s="77"/>
      <c r="S1110" s="77"/>
      <c r="T1110" s="77"/>
      <c r="U1110" s="77"/>
      <c r="V1110" s="77"/>
      <c r="W1110" s="77"/>
      <c r="X1110" s="77"/>
      <c r="Y1110" s="77"/>
      <c r="Z1110" s="77"/>
      <c r="AA1110" s="77"/>
      <c r="AB1110" s="77"/>
      <c r="AC1110" s="77"/>
      <c r="AD1110" s="77"/>
      <c r="AE1110" s="77"/>
      <c r="AF1110" s="77"/>
      <c r="AG1110" s="77"/>
      <c r="AH1110" s="87"/>
      <c r="AI1110" s="87"/>
      <c r="AJ1110" s="87"/>
      <c r="AK1110" s="87"/>
      <c r="AL1110" s="87"/>
    </row>
    <row r="1111">
      <c r="A1111" s="77"/>
      <c r="B1111" s="102"/>
      <c r="C1111" s="102"/>
      <c r="D1111" s="102"/>
      <c r="E1111" s="102"/>
      <c r="F1111" s="102"/>
      <c r="G1111" s="102"/>
      <c r="H1111" s="295"/>
      <c r="I1111" s="102"/>
      <c r="J1111" s="77"/>
      <c r="K1111" s="77"/>
      <c r="L1111" s="77"/>
      <c r="M1111" s="77"/>
      <c r="N1111" s="77"/>
      <c r="O1111" s="77"/>
      <c r="P1111" s="268"/>
      <c r="Q1111" s="268"/>
      <c r="R1111" s="77"/>
      <c r="S1111" s="77"/>
      <c r="T1111" s="77"/>
      <c r="U1111" s="77"/>
      <c r="V1111" s="77"/>
      <c r="W1111" s="77"/>
      <c r="X1111" s="77"/>
      <c r="Y1111" s="77"/>
      <c r="Z1111" s="77"/>
      <c r="AA1111" s="77"/>
      <c r="AB1111" s="77"/>
      <c r="AC1111" s="77"/>
      <c r="AD1111" s="77"/>
      <c r="AE1111" s="77"/>
      <c r="AF1111" s="77"/>
      <c r="AG1111" s="77"/>
      <c r="AH1111" s="87"/>
      <c r="AI1111" s="87"/>
      <c r="AJ1111" s="87"/>
      <c r="AK1111" s="87"/>
      <c r="AL1111" s="87"/>
    </row>
    <row r="1112">
      <c r="A1112" s="77"/>
      <c r="B1112" s="102"/>
      <c r="C1112" s="102"/>
      <c r="D1112" s="102"/>
      <c r="E1112" s="102"/>
      <c r="F1112" s="102"/>
      <c r="G1112" s="102"/>
      <c r="H1112" s="295"/>
      <c r="I1112" s="102"/>
      <c r="J1112" s="77"/>
      <c r="K1112" s="77"/>
      <c r="L1112" s="77"/>
      <c r="M1112" s="77"/>
      <c r="N1112" s="77"/>
      <c r="O1112" s="77"/>
      <c r="P1112" s="268"/>
      <c r="Q1112" s="268"/>
      <c r="R1112" s="77"/>
      <c r="S1112" s="77"/>
      <c r="T1112" s="77"/>
      <c r="U1112" s="77"/>
      <c r="V1112" s="77"/>
      <c r="W1112" s="77"/>
      <c r="X1112" s="77"/>
      <c r="Y1112" s="77"/>
      <c r="Z1112" s="77"/>
      <c r="AA1112" s="77"/>
      <c r="AB1112" s="77"/>
      <c r="AC1112" s="77"/>
      <c r="AD1112" s="77"/>
      <c r="AE1112" s="77"/>
      <c r="AF1112" s="77"/>
      <c r="AG1112" s="77"/>
      <c r="AH1112" s="87"/>
      <c r="AI1112" s="87"/>
      <c r="AJ1112" s="87"/>
      <c r="AK1112" s="87"/>
      <c r="AL1112" s="87"/>
    </row>
    <row r="1113">
      <c r="A1113" s="77"/>
      <c r="B1113" s="102"/>
      <c r="C1113" s="102"/>
      <c r="D1113" s="102"/>
      <c r="E1113" s="102"/>
      <c r="F1113" s="102"/>
      <c r="G1113" s="102"/>
      <c r="H1113" s="295"/>
      <c r="I1113" s="102"/>
      <c r="J1113" s="77"/>
      <c r="K1113" s="77"/>
      <c r="L1113" s="77"/>
      <c r="M1113" s="77"/>
      <c r="N1113" s="77"/>
      <c r="O1113" s="77"/>
      <c r="P1113" s="268"/>
      <c r="Q1113" s="268"/>
      <c r="R1113" s="77"/>
      <c r="S1113" s="77"/>
      <c r="T1113" s="77"/>
      <c r="U1113" s="77"/>
      <c r="V1113" s="77"/>
      <c r="W1113" s="77"/>
      <c r="X1113" s="77"/>
      <c r="Y1113" s="77"/>
      <c r="Z1113" s="77"/>
      <c r="AA1113" s="77"/>
      <c r="AB1113" s="77"/>
      <c r="AC1113" s="77"/>
      <c r="AD1113" s="77"/>
      <c r="AE1113" s="77"/>
      <c r="AF1113" s="77"/>
      <c r="AG1113" s="77"/>
      <c r="AH1113" s="87"/>
      <c r="AI1113" s="87"/>
      <c r="AJ1113" s="87"/>
      <c r="AK1113" s="87"/>
      <c r="AL1113" s="87"/>
    </row>
    <row r="1114">
      <c r="A1114" s="77"/>
      <c r="B1114" s="102"/>
      <c r="C1114" s="102"/>
      <c r="D1114" s="102"/>
      <c r="E1114" s="102"/>
      <c r="F1114" s="102"/>
      <c r="G1114" s="102"/>
      <c r="H1114" s="295"/>
      <c r="I1114" s="102"/>
      <c r="J1114" s="77"/>
      <c r="K1114" s="77"/>
      <c r="L1114" s="77"/>
      <c r="M1114" s="77"/>
      <c r="N1114" s="77"/>
      <c r="O1114" s="77"/>
      <c r="P1114" s="268"/>
      <c r="Q1114" s="268"/>
      <c r="R1114" s="77"/>
      <c r="S1114" s="77"/>
      <c r="T1114" s="77"/>
      <c r="U1114" s="77"/>
      <c r="V1114" s="77"/>
      <c r="W1114" s="77"/>
      <c r="X1114" s="77"/>
      <c r="Y1114" s="77"/>
      <c r="Z1114" s="77"/>
      <c r="AA1114" s="77"/>
      <c r="AB1114" s="77"/>
      <c r="AC1114" s="77"/>
      <c r="AD1114" s="77"/>
      <c r="AE1114" s="77"/>
      <c r="AF1114" s="77"/>
      <c r="AG1114" s="77"/>
      <c r="AH1114" s="87"/>
      <c r="AI1114" s="87"/>
      <c r="AJ1114" s="87"/>
      <c r="AK1114" s="87"/>
      <c r="AL1114" s="87"/>
    </row>
    <row r="1115">
      <c r="A1115" s="77"/>
      <c r="B1115" s="102"/>
      <c r="C1115" s="102"/>
      <c r="D1115" s="102"/>
      <c r="E1115" s="102"/>
      <c r="F1115" s="102"/>
      <c r="G1115" s="102"/>
      <c r="H1115" s="295"/>
      <c r="I1115" s="102"/>
      <c r="J1115" s="77"/>
      <c r="K1115" s="77"/>
      <c r="L1115" s="77"/>
      <c r="M1115" s="77"/>
      <c r="N1115" s="77"/>
      <c r="O1115" s="77"/>
      <c r="P1115" s="268"/>
      <c r="Q1115" s="268"/>
      <c r="R1115" s="77"/>
      <c r="S1115" s="77"/>
      <c r="T1115" s="77"/>
      <c r="U1115" s="77"/>
      <c r="V1115" s="77"/>
      <c r="W1115" s="77"/>
      <c r="X1115" s="77"/>
      <c r="Y1115" s="77"/>
      <c r="Z1115" s="77"/>
      <c r="AA1115" s="77"/>
      <c r="AB1115" s="77"/>
      <c r="AC1115" s="77"/>
      <c r="AD1115" s="77"/>
      <c r="AE1115" s="77"/>
      <c r="AF1115" s="77"/>
      <c r="AG1115" s="77"/>
      <c r="AH1115" s="87"/>
      <c r="AI1115" s="87"/>
      <c r="AJ1115" s="87"/>
      <c r="AK1115" s="87"/>
      <c r="AL1115" s="87"/>
    </row>
    <row r="1116">
      <c r="A1116" s="77"/>
      <c r="B1116" s="102"/>
      <c r="C1116" s="102"/>
      <c r="D1116" s="102"/>
      <c r="E1116" s="102"/>
      <c r="F1116" s="102"/>
      <c r="G1116" s="102"/>
      <c r="H1116" s="295"/>
      <c r="I1116" s="102"/>
      <c r="J1116" s="77"/>
      <c r="K1116" s="77"/>
      <c r="L1116" s="77"/>
      <c r="M1116" s="77"/>
      <c r="N1116" s="77"/>
      <c r="O1116" s="77"/>
      <c r="P1116" s="268"/>
      <c r="Q1116" s="268"/>
      <c r="R1116" s="77"/>
      <c r="S1116" s="77"/>
      <c r="T1116" s="77"/>
      <c r="U1116" s="77"/>
      <c r="V1116" s="77"/>
      <c r="W1116" s="77"/>
      <c r="X1116" s="77"/>
      <c r="Y1116" s="77"/>
      <c r="Z1116" s="77"/>
      <c r="AA1116" s="77"/>
      <c r="AB1116" s="77"/>
      <c r="AC1116" s="77"/>
      <c r="AD1116" s="77"/>
      <c r="AE1116" s="77"/>
      <c r="AF1116" s="77"/>
      <c r="AG1116" s="77"/>
      <c r="AH1116" s="87"/>
      <c r="AI1116" s="87"/>
      <c r="AJ1116" s="87"/>
      <c r="AK1116" s="87"/>
      <c r="AL1116" s="87"/>
    </row>
    <row r="1117">
      <c r="A1117" s="77"/>
      <c r="B1117" s="102"/>
      <c r="C1117" s="102"/>
      <c r="D1117" s="102"/>
      <c r="E1117" s="102"/>
      <c r="F1117" s="102"/>
      <c r="G1117" s="102"/>
      <c r="H1117" s="295"/>
      <c r="I1117" s="102"/>
      <c r="J1117" s="77"/>
      <c r="K1117" s="77"/>
      <c r="L1117" s="77"/>
      <c r="M1117" s="77"/>
      <c r="N1117" s="77"/>
      <c r="O1117" s="77"/>
      <c r="P1117" s="268"/>
      <c r="Q1117" s="268"/>
      <c r="R1117" s="77"/>
      <c r="S1117" s="77"/>
      <c r="T1117" s="77"/>
      <c r="U1117" s="77"/>
      <c r="V1117" s="77"/>
      <c r="W1117" s="77"/>
      <c r="X1117" s="77"/>
      <c r="Y1117" s="77"/>
      <c r="Z1117" s="77"/>
      <c r="AA1117" s="77"/>
      <c r="AB1117" s="77"/>
      <c r="AC1117" s="77"/>
      <c r="AD1117" s="77"/>
      <c r="AE1117" s="77"/>
      <c r="AF1117" s="77"/>
      <c r="AG1117" s="77"/>
      <c r="AH1117" s="87"/>
      <c r="AI1117" s="87"/>
      <c r="AJ1117" s="87"/>
      <c r="AK1117" s="87"/>
      <c r="AL1117" s="87"/>
    </row>
    <row r="1118">
      <c r="A1118" s="77"/>
      <c r="B1118" s="102"/>
      <c r="C1118" s="102"/>
      <c r="D1118" s="102"/>
      <c r="E1118" s="102"/>
      <c r="F1118" s="102"/>
      <c r="G1118" s="102"/>
      <c r="H1118" s="295"/>
      <c r="I1118" s="102"/>
      <c r="J1118" s="77"/>
      <c r="K1118" s="77"/>
      <c r="L1118" s="77"/>
      <c r="M1118" s="77"/>
      <c r="N1118" s="77"/>
      <c r="O1118" s="77"/>
      <c r="P1118" s="268"/>
      <c r="Q1118" s="268"/>
      <c r="R1118" s="77"/>
      <c r="S1118" s="77"/>
      <c r="T1118" s="77"/>
      <c r="U1118" s="77"/>
      <c r="V1118" s="77"/>
      <c r="W1118" s="77"/>
      <c r="X1118" s="77"/>
      <c r="Y1118" s="77"/>
      <c r="Z1118" s="77"/>
      <c r="AA1118" s="77"/>
      <c r="AB1118" s="77"/>
      <c r="AC1118" s="77"/>
      <c r="AD1118" s="77"/>
      <c r="AE1118" s="77"/>
      <c r="AF1118" s="77"/>
      <c r="AG1118" s="77"/>
      <c r="AH1118" s="87"/>
      <c r="AI1118" s="87"/>
      <c r="AJ1118" s="87"/>
      <c r="AK1118" s="87"/>
      <c r="AL1118" s="87"/>
    </row>
    <row r="1119">
      <c r="A1119" s="77"/>
      <c r="B1119" s="102"/>
      <c r="C1119" s="102"/>
      <c r="D1119" s="102"/>
      <c r="E1119" s="102"/>
      <c r="F1119" s="102"/>
      <c r="G1119" s="102"/>
      <c r="H1119" s="295"/>
      <c r="I1119" s="102"/>
      <c r="J1119" s="77"/>
      <c r="K1119" s="77"/>
      <c r="L1119" s="77"/>
      <c r="M1119" s="77"/>
      <c r="N1119" s="77"/>
      <c r="O1119" s="77"/>
      <c r="P1119" s="268"/>
      <c r="Q1119" s="268"/>
      <c r="R1119" s="77"/>
      <c r="S1119" s="77"/>
      <c r="T1119" s="77"/>
      <c r="U1119" s="77"/>
      <c r="V1119" s="77"/>
      <c r="W1119" s="77"/>
      <c r="X1119" s="77"/>
      <c r="Y1119" s="77"/>
      <c r="Z1119" s="77"/>
      <c r="AA1119" s="77"/>
      <c r="AB1119" s="77"/>
      <c r="AC1119" s="77"/>
      <c r="AD1119" s="77"/>
      <c r="AE1119" s="77"/>
      <c r="AF1119" s="77"/>
      <c r="AG1119" s="77"/>
      <c r="AH1119" s="87"/>
      <c r="AI1119" s="87"/>
      <c r="AJ1119" s="87"/>
      <c r="AK1119" s="87"/>
      <c r="AL1119" s="87"/>
    </row>
    <row r="1120">
      <c r="A1120" s="77"/>
      <c r="B1120" s="102"/>
      <c r="C1120" s="102"/>
      <c r="D1120" s="102"/>
      <c r="E1120" s="102"/>
      <c r="F1120" s="102"/>
      <c r="G1120" s="102"/>
      <c r="H1120" s="295"/>
      <c r="I1120" s="102"/>
      <c r="J1120" s="77"/>
      <c r="K1120" s="77"/>
      <c r="L1120" s="77"/>
      <c r="M1120" s="77"/>
      <c r="N1120" s="77"/>
      <c r="O1120" s="77"/>
      <c r="P1120" s="268"/>
      <c r="Q1120" s="268"/>
      <c r="R1120" s="77"/>
      <c r="S1120" s="77"/>
      <c r="T1120" s="77"/>
      <c r="U1120" s="77"/>
      <c r="V1120" s="77"/>
      <c r="W1120" s="77"/>
      <c r="X1120" s="77"/>
      <c r="Y1120" s="77"/>
      <c r="Z1120" s="77"/>
      <c r="AA1120" s="77"/>
      <c r="AB1120" s="77"/>
      <c r="AC1120" s="77"/>
      <c r="AD1120" s="77"/>
      <c r="AE1120" s="77"/>
      <c r="AF1120" s="77"/>
      <c r="AG1120" s="77"/>
      <c r="AH1120" s="87"/>
      <c r="AI1120" s="87"/>
      <c r="AJ1120" s="87"/>
      <c r="AK1120" s="87"/>
      <c r="AL1120" s="87"/>
    </row>
    <row r="1121">
      <c r="A1121" s="77"/>
      <c r="B1121" s="102"/>
      <c r="C1121" s="102"/>
      <c r="D1121" s="102"/>
      <c r="E1121" s="102"/>
      <c r="F1121" s="102"/>
      <c r="G1121" s="102"/>
      <c r="H1121" s="295"/>
      <c r="I1121" s="102"/>
      <c r="J1121" s="77"/>
      <c r="K1121" s="77"/>
      <c r="L1121" s="77"/>
      <c r="M1121" s="77"/>
      <c r="N1121" s="77"/>
      <c r="O1121" s="77"/>
      <c r="P1121" s="268"/>
      <c r="Q1121" s="268"/>
      <c r="R1121" s="77"/>
      <c r="S1121" s="77"/>
      <c r="T1121" s="77"/>
      <c r="U1121" s="77"/>
      <c r="V1121" s="77"/>
      <c r="W1121" s="77"/>
      <c r="X1121" s="77"/>
      <c r="Y1121" s="77"/>
      <c r="Z1121" s="77"/>
      <c r="AA1121" s="77"/>
      <c r="AB1121" s="77"/>
      <c r="AC1121" s="77"/>
      <c r="AD1121" s="77"/>
      <c r="AE1121" s="77"/>
      <c r="AF1121" s="77"/>
      <c r="AG1121" s="77"/>
      <c r="AH1121" s="87"/>
      <c r="AI1121" s="87"/>
      <c r="AJ1121" s="87"/>
      <c r="AK1121" s="87"/>
      <c r="AL1121" s="87"/>
    </row>
    <row r="1122">
      <c r="A1122" s="77"/>
      <c r="B1122" s="102"/>
      <c r="C1122" s="102"/>
      <c r="D1122" s="102"/>
      <c r="E1122" s="102"/>
      <c r="F1122" s="102"/>
      <c r="G1122" s="102"/>
      <c r="H1122" s="295"/>
      <c r="I1122" s="102"/>
      <c r="J1122" s="77"/>
      <c r="K1122" s="77"/>
      <c r="L1122" s="77"/>
      <c r="M1122" s="77"/>
      <c r="N1122" s="77"/>
      <c r="O1122" s="77"/>
      <c r="P1122" s="268"/>
      <c r="Q1122" s="268"/>
      <c r="R1122" s="77"/>
      <c r="S1122" s="77"/>
      <c r="T1122" s="77"/>
      <c r="U1122" s="77"/>
      <c r="V1122" s="77"/>
      <c r="W1122" s="77"/>
      <c r="X1122" s="77"/>
      <c r="Y1122" s="77"/>
      <c r="Z1122" s="77"/>
      <c r="AA1122" s="77"/>
      <c r="AB1122" s="77"/>
      <c r="AC1122" s="77"/>
      <c r="AD1122" s="77"/>
      <c r="AE1122" s="77"/>
      <c r="AF1122" s="77"/>
      <c r="AG1122" s="77"/>
      <c r="AH1122" s="87"/>
      <c r="AI1122" s="87"/>
      <c r="AJ1122" s="87"/>
      <c r="AK1122" s="87"/>
      <c r="AL1122" s="87"/>
    </row>
    <row r="1123">
      <c r="A1123" s="77"/>
      <c r="B1123" s="102"/>
      <c r="C1123" s="102"/>
      <c r="D1123" s="102"/>
      <c r="E1123" s="102"/>
      <c r="F1123" s="102"/>
      <c r="G1123" s="102"/>
      <c r="H1123" s="295"/>
      <c r="I1123" s="102"/>
      <c r="J1123" s="77"/>
      <c r="K1123" s="77"/>
      <c r="L1123" s="77"/>
      <c r="M1123" s="77"/>
      <c r="N1123" s="77"/>
      <c r="O1123" s="77"/>
      <c r="P1123" s="268"/>
      <c r="Q1123" s="268"/>
      <c r="R1123" s="77"/>
      <c r="S1123" s="77"/>
      <c r="T1123" s="77"/>
      <c r="U1123" s="77"/>
      <c r="V1123" s="77"/>
      <c r="W1123" s="77"/>
      <c r="X1123" s="77"/>
      <c r="Y1123" s="77"/>
      <c r="Z1123" s="77"/>
      <c r="AA1123" s="77"/>
      <c r="AB1123" s="77"/>
      <c r="AC1123" s="77"/>
      <c r="AD1123" s="77"/>
      <c r="AE1123" s="77"/>
      <c r="AF1123" s="77"/>
      <c r="AG1123" s="77"/>
      <c r="AH1123" s="87"/>
      <c r="AI1123" s="87"/>
      <c r="AJ1123" s="87"/>
      <c r="AK1123" s="87"/>
      <c r="AL1123" s="87"/>
    </row>
    <row r="1124">
      <c r="A1124" s="77"/>
      <c r="B1124" s="102"/>
      <c r="C1124" s="102"/>
      <c r="D1124" s="102"/>
      <c r="E1124" s="102"/>
      <c r="F1124" s="102"/>
      <c r="G1124" s="102"/>
      <c r="H1124" s="295"/>
      <c r="I1124" s="102"/>
      <c r="J1124" s="77"/>
      <c r="K1124" s="77"/>
      <c r="L1124" s="77"/>
      <c r="M1124" s="77"/>
      <c r="N1124" s="77"/>
      <c r="O1124" s="77"/>
      <c r="P1124" s="268"/>
      <c r="Q1124" s="268"/>
      <c r="R1124" s="77"/>
      <c r="S1124" s="77"/>
      <c r="T1124" s="77"/>
      <c r="U1124" s="77"/>
      <c r="V1124" s="77"/>
      <c r="W1124" s="77"/>
      <c r="X1124" s="77"/>
      <c r="Y1124" s="77"/>
      <c r="Z1124" s="77"/>
      <c r="AA1124" s="77"/>
      <c r="AB1124" s="77"/>
      <c r="AC1124" s="77"/>
      <c r="AD1124" s="77"/>
      <c r="AE1124" s="77"/>
      <c r="AF1124" s="77"/>
      <c r="AG1124" s="77"/>
      <c r="AH1124" s="87"/>
      <c r="AI1124" s="87"/>
      <c r="AJ1124" s="87"/>
      <c r="AK1124" s="87"/>
      <c r="AL1124" s="87"/>
    </row>
    <row r="1125">
      <c r="A1125" s="77"/>
      <c r="B1125" s="102"/>
      <c r="C1125" s="102"/>
      <c r="D1125" s="102"/>
      <c r="E1125" s="102"/>
      <c r="F1125" s="102"/>
      <c r="G1125" s="102"/>
      <c r="H1125" s="295"/>
      <c r="I1125" s="102"/>
      <c r="J1125" s="77"/>
      <c r="K1125" s="77"/>
      <c r="L1125" s="77"/>
      <c r="M1125" s="77"/>
      <c r="N1125" s="77"/>
      <c r="O1125" s="77"/>
      <c r="P1125" s="268"/>
      <c r="Q1125" s="268"/>
      <c r="R1125" s="77"/>
      <c r="S1125" s="77"/>
      <c r="T1125" s="77"/>
      <c r="U1125" s="77"/>
      <c r="V1125" s="77"/>
      <c r="W1125" s="77"/>
      <c r="X1125" s="77"/>
      <c r="Y1125" s="77"/>
      <c r="Z1125" s="77"/>
      <c r="AA1125" s="77"/>
      <c r="AB1125" s="77"/>
      <c r="AC1125" s="77"/>
      <c r="AD1125" s="77"/>
      <c r="AE1125" s="77"/>
      <c r="AF1125" s="77"/>
      <c r="AG1125" s="77"/>
      <c r="AH1125" s="87"/>
      <c r="AI1125" s="87"/>
      <c r="AJ1125" s="87"/>
      <c r="AK1125" s="87"/>
      <c r="AL1125" s="87"/>
    </row>
    <row r="1126">
      <c r="A1126" s="77"/>
      <c r="B1126" s="102"/>
      <c r="C1126" s="102"/>
      <c r="D1126" s="102"/>
      <c r="E1126" s="102"/>
      <c r="F1126" s="102"/>
      <c r="G1126" s="102"/>
      <c r="H1126" s="295"/>
      <c r="I1126" s="102"/>
      <c r="J1126" s="77"/>
      <c r="K1126" s="77"/>
      <c r="L1126" s="77"/>
      <c r="M1126" s="77"/>
      <c r="N1126" s="77"/>
      <c r="O1126" s="77"/>
      <c r="P1126" s="268"/>
      <c r="Q1126" s="268"/>
      <c r="R1126" s="77"/>
      <c r="S1126" s="77"/>
      <c r="T1126" s="77"/>
      <c r="U1126" s="77"/>
      <c r="V1126" s="77"/>
      <c r="W1126" s="77"/>
      <c r="X1126" s="77"/>
      <c r="Y1126" s="77"/>
      <c r="Z1126" s="77"/>
      <c r="AA1126" s="77"/>
      <c r="AB1126" s="77"/>
      <c r="AC1126" s="77"/>
      <c r="AD1126" s="77"/>
      <c r="AE1126" s="77"/>
      <c r="AF1126" s="77"/>
      <c r="AG1126" s="77"/>
      <c r="AH1126" s="87"/>
      <c r="AI1126" s="87"/>
      <c r="AJ1126" s="87"/>
      <c r="AK1126" s="87"/>
      <c r="AL1126" s="87"/>
    </row>
    <row r="1127">
      <c r="A1127" s="77"/>
      <c r="B1127" s="102"/>
      <c r="C1127" s="102"/>
      <c r="D1127" s="102"/>
      <c r="E1127" s="102"/>
      <c r="F1127" s="102"/>
      <c r="G1127" s="102"/>
      <c r="H1127" s="295"/>
      <c r="I1127" s="102"/>
      <c r="J1127" s="77"/>
      <c r="K1127" s="77"/>
      <c r="L1127" s="77"/>
      <c r="M1127" s="77"/>
      <c r="N1127" s="77"/>
      <c r="O1127" s="77"/>
      <c r="P1127" s="268"/>
      <c r="Q1127" s="268"/>
      <c r="R1127" s="77"/>
      <c r="S1127" s="77"/>
      <c r="T1127" s="77"/>
      <c r="U1127" s="77"/>
      <c r="V1127" s="77"/>
      <c r="W1127" s="77"/>
      <c r="X1127" s="77"/>
      <c r="Y1127" s="77"/>
      <c r="Z1127" s="77"/>
      <c r="AA1127" s="77"/>
      <c r="AB1127" s="77"/>
      <c r="AC1127" s="77"/>
      <c r="AD1127" s="77"/>
      <c r="AE1127" s="77"/>
      <c r="AF1127" s="77"/>
      <c r="AG1127" s="77"/>
      <c r="AH1127" s="87"/>
      <c r="AI1127" s="87"/>
      <c r="AJ1127" s="87"/>
      <c r="AK1127" s="87"/>
      <c r="AL1127" s="87"/>
    </row>
    <row r="1128">
      <c r="A1128" s="77"/>
      <c r="B1128" s="102"/>
      <c r="C1128" s="102"/>
      <c r="D1128" s="102"/>
      <c r="E1128" s="102"/>
      <c r="F1128" s="102"/>
      <c r="G1128" s="102"/>
      <c r="H1128" s="295"/>
      <c r="I1128" s="102"/>
      <c r="J1128" s="77"/>
      <c r="K1128" s="77"/>
      <c r="L1128" s="77"/>
      <c r="M1128" s="77"/>
      <c r="N1128" s="77"/>
      <c r="O1128" s="77"/>
      <c r="P1128" s="268"/>
      <c r="Q1128" s="268"/>
      <c r="R1128" s="77"/>
      <c r="S1128" s="77"/>
      <c r="T1128" s="77"/>
      <c r="U1128" s="77"/>
      <c r="V1128" s="77"/>
      <c r="W1128" s="77"/>
      <c r="X1128" s="77"/>
      <c r="Y1128" s="77"/>
      <c r="Z1128" s="77"/>
      <c r="AA1128" s="77"/>
      <c r="AB1128" s="77"/>
      <c r="AC1128" s="77"/>
      <c r="AD1128" s="77"/>
      <c r="AE1128" s="77"/>
      <c r="AF1128" s="77"/>
      <c r="AG1128" s="77"/>
      <c r="AH1128" s="87"/>
      <c r="AI1128" s="87"/>
      <c r="AJ1128" s="87"/>
      <c r="AK1128" s="87"/>
      <c r="AL1128" s="87"/>
    </row>
    <row r="1129">
      <c r="A1129" s="77"/>
      <c r="B1129" s="102"/>
      <c r="C1129" s="102"/>
      <c r="D1129" s="102"/>
      <c r="E1129" s="102"/>
      <c r="F1129" s="102"/>
      <c r="G1129" s="102"/>
      <c r="H1129" s="295"/>
      <c r="I1129" s="102"/>
      <c r="J1129" s="77"/>
      <c r="K1129" s="77"/>
      <c r="L1129" s="77"/>
      <c r="M1129" s="77"/>
      <c r="N1129" s="77"/>
      <c r="O1129" s="77"/>
      <c r="P1129" s="268"/>
      <c r="Q1129" s="268"/>
      <c r="R1129" s="77"/>
      <c r="S1129" s="77"/>
      <c r="T1129" s="77"/>
      <c r="U1129" s="77"/>
      <c r="V1129" s="77"/>
      <c r="W1129" s="77"/>
      <c r="X1129" s="77"/>
      <c r="Y1129" s="77"/>
      <c r="Z1129" s="77"/>
      <c r="AA1129" s="77"/>
      <c r="AB1129" s="77"/>
      <c r="AC1129" s="77"/>
      <c r="AD1129" s="77"/>
      <c r="AE1129" s="77"/>
      <c r="AF1129" s="77"/>
      <c r="AG1129" s="77"/>
      <c r="AH1129" s="87"/>
      <c r="AI1129" s="87"/>
      <c r="AJ1129" s="87"/>
      <c r="AK1129" s="87"/>
      <c r="AL1129" s="87"/>
    </row>
    <row r="1130">
      <c r="A1130" s="77"/>
      <c r="B1130" s="102"/>
      <c r="C1130" s="102"/>
      <c r="D1130" s="102"/>
      <c r="E1130" s="102"/>
      <c r="F1130" s="102"/>
      <c r="G1130" s="102"/>
      <c r="H1130" s="295"/>
      <c r="I1130" s="102"/>
      <c r="J1130" s="77"/>
      <c r="K1130" s="77"/>
      <c r="L1130" s="77"/>
      <c r="M1130" s="77"/>
      <c r="N1130" s="77"/>
      <c r="O1130" s="77"/>
      <c r="P1130" s="268"/>
      <c r="Q1130" s="268"/>
      <c r="R1130" s="77"/>
      <c r="S1130" s="77"/>
      <c r="T1130" s="77"/>
      <c r="U1130" s="77"/>
      <c r="V1130" s="77"/>
      <c r="W1130" s="77"/>
      <c r="X1130" s="77"/>
      <c r="Y1130" s="77"/>
      <c r="Z1130" s="77"/>
      <c r="AA1130" s="77"/>
      <c r="AB1130" s="77"/>
      <c r="AC1130" s="77"/>
      <c r="AD1130" s="77"/>
      <c r="AE1130" s="77"/>
      <c r="AF1130" s="77"/>
      <c r="AG1130" s="77"/>
      <c r="AH1130" s="87"/>
      <c r="AI1130" s="87"/>
      <c r="AJ1130" s="87"/>
      <c r="AK1130" s="87"/>
      <c r="AL1130" s="87"/>
    </row>
    <row r="1131">
      <c r="A1131" s="77"/>
      <c r="B1131" s="102"/>
      <c r="C1131" s="102"/>
      <c r="D1131" s="102"/>
      <c r="E1131" s="102"/>
      <c r="F1131" s="102"/>
      <c r="G1131" s="102"/>
      <c r="H1131" s="295"/>
      <c r="I1131" s="102"/>
      <c r="J1131" s="77"/>
      <c r="K1131" s="77"/>
      <c r="L1131" s="77"/>
      <c r="M1131" s="77"/>
      <c r="N1131" s="77"/>
      <c r="O1131" s="77"/>
      <c r="P1131" s="268"/>
      <c r="Q1131" s="268"/>
      <c r="R1131" s="77"/>
      <c r="S1131" s="77"/>
      <c r="T1131" s="77"/>
      <c r="U1131" s="77"/>
      <c r="V1131" s="77"/>
      <c r="W1131" s="77"/>
      <c r="X1131" s="77"/>
      <c r="Y1131" s="77"/>
      <c r="Z1131" s="77"/>
      <c r="AA1131" s="77"/>
      <c r="AB1131" s="77"/>
      <c r="AC1131" s="77"/>
      <c r="AD1131" s="77"/>
      <c r="AE1131" s="77"/>
      <c r="AF1131" s="77"/>
      <c r="AG1131" s="77"/>
      <c r="AH1131" s="87"/>
      <c r="AI1131" s="87"/>
      <c r="AJ1131" s="87"/>
      <c r="AK1131" s="87"/>
      <c r="AL1131" s="87"/>
    </row>
    <row r="1132">
      <c r="A1132" s="77"/>
      <c r="B1132" s="102"/>
      <c r="C1132" s="102"/>
      <c r="D1132" s="102"/>
      <c r="E1132" s="102"/>
      <c r="F1132" s="102"/>
      <c r="G1132" s="102"/>
      <c r="H1132" s="295"/>
      <c r="I1132" s="102"/>
      <c r="J1132" s="77"/>
      <c r="K1132" s="77"/>
      <c r="L1132" s="77"/>
      <c r="M1132" s="77"/>
      <c r="N1132" s="77"/>
      <c r="O1132" s="77"/>
      <c r="P1132" s="268"/>
      <c r="Q1132" s="268"/>
      <c r="R1132" s="77"/>
      <c r="S1132" s="77"/>
      <c r="T1132" s="77"/>
      <c r="U1132" s="77"/>
      <c r="V1132" s="77"/>
      <c r="W1132" s="77"/>
      <c r="X1132" s="77"/>
      <c r="Y1132" s="77"/>
      <c r="Z1132" s="77"/>
      <c r="AA1132" s="77"/>
      <c r="AB1132" s="77"/>
      <c r="AC1132" s="77"/>
      <c r="AD1132" s="77"/>
      <c r="AE1132" s="77"/>
      <c r="AF1132" s="77"/>
      <c r="AG1132" s="77"/>
      <c r="AH1132" s="87"/>
      <c r="AI1132" s="87"/>
      <c r="AJ1132" s="87"/>
      <c r="AK1132" s="87"/>
      <c r="AL1132" s="87"/>
    </row>
    <row r="1133">
      <c r="A1133" s="77"/>
      <c r="B1133" s="102"/>
      <c r="C1133" s="102"/>
      <c r="D1133" s="102"/>
      <c r="E1133" s="102"/>
      <c r="F1133" s="102"/>
      <c r="G1133" s="102"/>
      <c r="H1133" s="295"/>
      <c r="I1133" s="102"/>
      <c r="J1133" s="77"/>
      <c r="K1133" s="77"/>
      <c r="L1133" s="77"/>
      <c r="M1133" s="77"/>
      <c r="N1133" s="77"/>
      <c r="O1133" s="77"/>
      <c r="P1133" s="268"/>
      <c r="Q1133" s="268"/>
      <c r="R1133" s="77"/>
      <c r="S1133" s="77"/>
      <c r="T1133" s="77"/>
      <c r="U1133" s="77"/>
      <c r="V1133" s="77"/>
      <c r="W1133" s="77"/>
      <c r="X1133" s="77"/>
      <c r="Y1133" s="77"/>
      <c r="Z1133" s="77"/>
      <c r="AA1133" s="77"/>
      <c r="AB1133" s="77"/>
      <c r="AC1133" s="77"/>
      <c r="AD1133" s="77"/>
      <c r="AE1133" s="77"/>
      <c r="AF1133" s="77"/>
      <c r="AG1133" s="77"/>
      <c r="AH1133" s="87"/>
      <c r="AI1133" s="87"/>
      <c r="AJ1133" s="87"/>
      <c r="AK1133" s="87"/>
      <c r="AL1133" s="87"/>
    </row>
    <row r="1134">
      <c r="A1134" s="77"/>
      <c r="B1134" s="102"/>
      <c r="C1134" s="102"/>
      <c r="D1134" s="102"/>
      <c r="E1134" s="102"/>
      <c r="F1134" s="102"/>
      <c r="G1134" s="102"/>
      <c r="H1134" s="295"/>
      <c r="I1134" s="102"/>
      <c r="J1134" s="77"/>
      <c r="K1134" s="77"/>
      <c r="L1134" s="77"/>
      <c r="M1134" s="77"/>
      <c r="N1134" s="77"/>
      <c r="O1134" s="77"/>
      <c r="P1134" s="268"/>
      <c r="Q1134" s="268"/>
      <c r="R1134" s="77"/>
      <c r="S1134" s="77"/>
      <c r="T1134" s="77"/>
      <c r="U1134" s="77"/>
      <c r="V1134" s="77"/>
      <c r="W1134" s="77"/>
      <c r="X1134" s="77"/>
      <c r="Y1134" s="77"/>
      <c r="Z1134" s="77"/>
      <c r="AA1134" s="77"/>
      <c r="AB1134" s="77"/>
      <c r="AC1134" s="77"/>
      <c r="AD1134" s="77"/>
      <c r="AE1134" s="77"/>
      <c r="AF1134" s="77"/>
      <c r="AG1134" s="77"/>
      <c r="AH1134" s="87"/>
      <c r="AI1134" s="87"/>
      <c r="AJ1134" s="87"/>
      <c r="AK1134" s="87"/>
      <c r="AL1134" s="87"/>
    </row>
    <row r="1135">
      <c r="A1135" s="77"/>
      <c r="B1135" s="102"/>
      <c r="C1135" s="102"/>
      <c r="D1135" s="102"/>
      <c r="E1135" s="102"/>
      <c r="F1135" s="102"/>
      <c r="G1135" s="102"/>
      <c r="H1135" s="295"/>
      <c r="I1135" s="102"/>
      <c r="J1135" s="77"/>
      <c r="K1135" s="77"/>
      <c r="L1135" s="77"/>
      <c r="M1135" s="77"/>
      <c r="N1135" s="77"/>
      <c r="O1135" s="77"/>
      <c r="P1135" s="268"/>
      <c r="Q1135" s="268"/>
      <c r="R1135" s="77"/>
      <c r="S1135" s="77"/>
      <c r="T1135" s="77"/>
      <c r="U1135" s="77"/>
      <c r="V1135" s="77"/>
      <c r="W1135" s="77"/>
      <c r="X1135" s="77"/>
      <c r="Y1135" s="77"/>
      <c r="Z1135" s="77"/>
      <c r="AA1135" s="77"/>
      <c r="AB1135" s="77"/>
      <c r="AC1135" s="77"/>
      <c r="AD1135" s="77"/>
      <c r="AE1135" s="77"/>
      <c r="AF1135" s="77"/>
      <c r="AG1135" s="77"/>
      <c r="AH1135" s="87"/>
      <c r="AI1135" s="87"/>
      <c r="AJ1135" s="87"/>
      <c r="AK1135" s="87"/>
      <c r="AL1135" s="87"/>
    </row>
    <row r="1136">
      <c r="A1136" s="77"/>
      <c r="B1136" s="102"/>
      <c r="C1136" s="102"/>
      <c r="D1136" s="102"/>
      <c r="E1136" s="102"/>
      <c r="F1136" s="102"/>
      <c r="G1136" s="102"/>
      <c r="H1136" s="295"/>
      <c r="I1136" s="102"/>
      <c r="J1136" s="77"/>
      <c r="K1136" s="77"/>
      <c r="L1136" s="77"/>
      <c r="M1136" s="77"/>
      <c r="N1136" s="77"/>
      <c r="O1136" s="77"/>
      <c r="P1136" s="268"/>
      <c r="Q1136" s="268"/>
      <c r="R1136" s="77"/>
      <c r="S1136" s="77"/>
      <c r="T1136" s="77"/>
      <c r="U1136" s="77"/>
      <c r="V1136" s="77"/>
      <c r="W1136" s="77"/>
      <c r="X1136" s="77"/>
      <c r="Y1136" s="77"/>
      <c r="Z1136" s="77"/>
      <c r="AA1136" s="77"/>
      <c r="AB1136" s="77"/>
      <c r="AC1136" s="77"/>
      <c r="AD1136" s="77"/>
      <c r="AE1136" s="77"/>
      <c r="AF1136" s="77"/>
      <c r="AG1136" s="77"/>
      <c r="AH1136" s="87"/>
      <c r="AI1136" s="87"/>
      <c r="AJ1136" s="87"/>
      <c r="AK1136" s="87"/>
      <c r="AL1136" s="87"/>
    </row>
    <row r="1137">
      <c r="A1137" s="77"/>
      <c r="B1137" s="102"/>
      <c r="C1137" s="102"/>
      <c r="D1137" s="102"/>
      <c r="E1137" s="102"/>
      <c r="F1137" s="102"/>
      <c r="G1137" s="102"/>
      <c r="H1137" s="295"/>
      <c r="I1137" s="102"/>
      <c r="J1137" s="77"/>
      <c r="K1137" s="77"/>
      <c r="L1137" s="77"/>
      <c r="M1137" s="77"/>
      <c r="N1137" s="77"/>
      <c r="O1137" s="77"/>
      <c r="P1137" s="268"/>
      <c r="Q1137" s="268"/>
      <c r="R1137" s="77"/>
      <c r="S1137" s="77"/>
      <c r="T1137" s="77"/>
      <c r="U1137" s="77"/>
      <c r="V1137" s="77"/>
      <c r="W1137" s="77"/>
      <c r="X1137" s="77"/>
      <c r="Y1137" s="77"/>
      <c r="Z1137" s="77"/>
      <c r="AA1137" s="77"/>
      <c r="AB1137" s="77"/>
      <c r="AC1137" s="77"/>
      <c r="AD1137" s="77"/>
      <c r="AE1137" s="77"/>
      <c r="AF1137" s="77"/>
      <c r="AG1137" s="77"/>
      <c r="AH1137" s="87"/>
      <c r="AI1137" s="87"/>
      <c r="AJ1137" s="87"/>
      <c r="AK1137" s="87"/>
      <c r="AL1137" s="87"/>
    </row>
    <row r="1138">
      <c r="A1138" s="77"/>
      <c r="B1138" s="102"/>
      <c r="C1138" s="102"/>
      <c r="D1138" s="102"/>
      <c r="E1138" s="102"/>
      <c r="F1138" s="102"/>
      <c r="G1138" s="102"/>
      <c r="H1138" s="295"/>
      <c r="I1138" s="102"/>
      <c r="J1138" s="77"/>
      <c r="K1138" s="77"/>
      <c r="L1138" s="77"/>
      <c r="M1138" s="77"/>
      <c r="N1138" s="77"/>
      <c r="O1138" s="77"/>
      <c r="P1138" s="268"/>
      <c r="Q1138" s="268"/>
      <c r="R1138" s="77"/>
      <c r="S1138" s="77"/>
      <c r="T1138" s="77"/>
      <c r="U1138" s="77"/>
      <c r="V1138" s="77"/>
      <c r="W1138" s="77"/>
      <c r="X1138" s="77"/>
      <c r="Y1138" s="77"/>
      <c r="Z1138" s="77"/>
      <c r="AA1138" s="77"/>
      <c r="AB1138" s="77"/>
      <c r="AC1138" s="77"/>
      <c r="AD1138" s="77"/>
      <c r="AE1138" s="77"/>
      <c r="AF1138" s="77"/>
      <c r="AG1138" s="77"/>
      <c r="AH1138" s="87"/>
      <c r="AI1138" s="87"/>
      <c r="AJ1138" s="87"/>
      <c r="AK1138" s="87"/>
      <c r="AL1138" s="87"/>
    </row>
    <row r="1139">
      <c r="A1139" s="77"/>
      <c r="B1139" s="102"/>
      <c r="C1139" s="102"/>
      <c r="D1139" s="102"/>
      <c r="E1139" s="102"/>
      <c r="F1139" s="102"/>
      <c r="G1139" s="102"/>
      <c r="H1139" s="295"/>
      <c r="I1139" s="102"/>
      <c r="J1139" s="77"/>
      <c r="K1139" s="77"/>
      <c r="L1139" s="77"/>
      <c r="M1139" s="77"/>
      <c r="N1139" s="77"/>
      <c r="O1139" s="77"/>
      <c r="P1139" s="268"/>
      <c r="Q1139" s="268"/>
      <c r="R1139" s="77"/>
      <c r="S1139" s="77"/>
      <c r="T1139" s="77"/>
      <c r="U1139" s="77"/>
      <c r="V1139" s="77"/>
      <c r="W1139" s="77"/>
      <c r="X1139" s="77"/>
      <c r="Y1139" s="77"/>
      <c r="Z1139" s="77"/>
      <c r="AA1139" s="77"/>
      <c r="AB1139" s="77"/>
      <c r="AC1139" s="77"/>
      <c r="AD1139" s="77"/>
      <c r="AE1139" s="77"/>
      <c r="AF1139" s="77"/>
      <c r="AG1139" s="77"/>
      <c r="AH1139" s="87"/>
      <c r="AI1139" s="87"/>
      <c r="AJ1139" s="87"/>
      <c r="AK1139" s="87"/>
      <c r="AL1139" s="87"/>
    </row>
    <row r="1140">
      <c r="A1140" s="77"/>
      <c r="B1140" s="102"/>
      <c r="C1140" s="102"/>
      <c r="D1140" s="102"/>
      <c r="E1140" s="102"/>
      <c r="F1140" s="102"/>
      <c r="G1140" s="102"/>
      <c r="H1140" s="295"/>
      <c r="I1140" s="102"/>
      <c r="J1140" s="77"/>
      <c r="K1140" s="77"/>
      <c r="L1140" s="77"/>
      <c r="M1140" s="77"/>
      <c r="N1140" s="77"/>
      <c r="O1140" s="77"/>
      <c r="P1140" s="268"/>
      <c r="Q1140" s="268"/>
      <c r="R1140" s="77"/>
      <c r="S1140" s="77"/>
      <c r="T1140" s="77"/>
      <c r="U1140" s="77"/>
      <c r="V1140" s="77"/>
      <c r="W1140" s="77"/>
      <c r="X1140" s="77"/>
      <c r="Y1140" s="77"/>
      <c r="Z1140" s="77"/>
      <c r="AA1140" s="77"/>
      <c r="AB1140" s="77"/>
      <c r="AC1140" s="77"/>
      <c r="AD1140" s="77"/>
      <c r="AE1140" s="77"/>
      <c r="AF1140" s="77"/>
      <c r="AG1140" s="77"/>
      <c r="AH1140" s="87"/>
      <c r="AI1140" s="87"/>
      <c r="AJ1140" s="87"/>
      <c r="AK1140" s="87"/>
      <c r="AL1140" s="87"/>
    </row>
    <row r="1141">
      <c r="A1141" s="77"/>
      <c r="B1141" s="102"/>
      <c r="C1141" s="102"/>
      <c r="D1141" s="102"/>
      <c r="E1141" s="102"/>
      <c r="F1141" s="102"/>
      <c r="G1141" s="102"/>
      <c r="H1141" s="295"/>
      <c r="I1141" s="102"/>
      <c r="J1141" s="77"/>
      <c r="K1141" s="77"/>
      <c r="L1141" s="77"/>
      <c r="M1141" s="77"/>
      <c r="N1141" s="77"/>
      <c r="O1141" s="77"/>
      <c r="P1141" s="268"/>
      <c r="Q1141" s="268"/>
      <c r="R1141" s="77"/>
      <c r="S1141" s="77"/>
      <c r="T1141" s="77"/>
      <c r="U1141" s="77"/>
      <c r="V1141" s="77"/>
      <c r="W1141" s="77"/>
      <c r="X1141" s="77"/>
      <c r="Y1141" s="77"/>
      <c r="Z1141" s="77"/>
      <c r="AA1141" s="77"/>
      <c r="AB1141" s="77"/>
      <c r="AC1141" s="77"/>
      <c r="AD1141" s="77"/>
      <c r="AE1141" s="77"/>
      <c r="AF1141" s="77"/>
      <c r="AG1141" s="77"/>
      <c r="AH1141" s="87"/>
      <c r="AI1141" s="87"/>
      <c r="AJ1141" s="87"/>
      <c r="AK1141" s="87"/>
      <c r="AL1141" s="87"/>
    </row>
    <row r="1142">
      <c r="A1142" s="77"/>
      <c r="B1142" s="102"/>
      <c r="C1142" s="102"/>
      <c r="D1142" s="102"/>
      <c r="E1142" s="102"/>
      <c r="F1142" s="102"/>
      <c r="G1142" s="102"/>
      <c r="H1142" s="295"/>
      <c r="I1142" s="102"/>
      <c r="J1142" s="77"/>
      <c r="K1142" s="77"/>
      <c r="L1142" s="77"/>
      <c r="M1142" s="77"/>
      <c r="N1142" s="77"/>
      <c r="O1142" s="77"/>
      <c r="P1142" s="268"/>
      <c r="Q1142" s="268"/>
      <c r="R1142" s="77"/>
      <c r="S1142" s="77"/>
      <c r="T1142" s="77"/>
      <c r="U1142" s="77"/>
      <c r="V1142" s="77"/>
      <c r="W1142" s="77"/>
      <c r="X1142" s="77"/>
      <c r="Y1142" s="77"/>
      <c r="Z1142" s="77"/>
      <c r="AA1142" s="77"/>
      <c r="AB1142" s="77"/>
      <c r="AC1142" s="77"/>
      <c r="AD1142" s="77"/>
      <c r="AE1142" s="77"/>
      <c r="AF1142" s="77"/>
      <c r="AG1142" s="77"/>
      <c r="AH1142" s="87"/>
      <c r="AI1142" s="87"/>
      <c r="AJ1142" s="87"/>
      <c r="AK1142" s="87"/>
      <c r="AL1142" s="87"/>
    </row>
    <row r="1143">
      <c r="A1143" s="77"/>
      <c r="B1143" s="102"/>
      <c r="C1143" s="102"/>
      <c r="D1143" s="102"/>
      <c r="E1143" s="102"/>
      <c r="F1143" s="102"/>
      <c r="G1143" s="102"/>
      <c r="H1143" s="295"/>
      <c r="I1143" s="102"/>
      <c r="J1143" s="77"/>
      <c r="K1143" s="77"/>
      <c r="L1143" s="77"/>
      <c r="M1143" s="77"/>
      <c r="N1143" s="77"/>
      <c r="O1143" s="77"/>
      <c r="P1143" s="268"/>
      <c r="Q1143" s="268"/>
      <c r="R1143" s="77"/>
      <c r="S1143" s="77"/>
      <c r="T1143" s="77"/>
      <c r="U1143" s="77"/>
      <c r="V1143" s="77"/>
      <c r="W1143" s="77"/>
      <c r="X1143" s="77"/>
      <c r="Y1143" s="77"/>
      <c r="Z1143" s="77"/>
      <c r="AA1143" s="77"/>
      <c r="AB1143" s="77"/>
      <c r="AC1143" s="77"/>
      <c r="AD1143" s="77"/>
      <c r="AE1143" s="77"/>
      <c r="AF1143" s="77"/>
      <c r="AG1143" s="77"/>
      <c r="AH1143" s="87"/>
      <c r="AI1143" s="87"/>
      <c r="AJ1143" s="87"/>
      <c r="AK1143" s="87"/>
      <c r="AL1143" s="87"/>
    </row>
    <row r="1144">
      <c r="A1144" s="77"/>
      <c r="B1144" s="102"/>
      <c r="C1144" s="102"/>
      <c r="D1144" s="102"/>
      <c r="E1144" s="102"/>
      <c r="F1144" s="102"/>
      <c r="G1144" s="102"/>
      <c r="H1144" s="295"/>
      <c r="I1144" s="102"/>
      <c r="J1144" s="77"/>
      <c r="K1144" s="77"/>
      <c r="L1144" s="77"/>
      <c r="M1144" s="77"/>
      <c r="N1144" s="77"/>
      <c r="O1144" s="77"/>
      <c r="P1144" s="268"/>
      <c r="Q1144" s="268"/>
      <c r="R1144" s="77"/>
      <c r="S1144" s="77"/>
      <c r="T1144" s="77"/>
      <c r="U1144" s="77"/>
      <c r="V1144" s="77"/>
      <c r="W1144" s="77"/>
      <c r="X1144" s="77"/>
      <c r="Y1144" s="77"/>
      <c r="Z1144" s="77"/>
      <c r="AA1144" s="77"/>
      <c r="AB1144" s="77"/>
      <c r="AC1144" s="77"/>
      <c r="AD1144" s="77"/>
      <c r="AE1144" s="77"/>
      <c r="AF1144" s="77"/>
      <c r="AG1144" s="77"/>
      <c r="AH1144" s="87"/>
      <c r="AI1144" s="87"/>
      <c r="AJ1144" s="87"/>
      <c r="AK1144" s="87"/>
      <c r="AL1144" s="87"/>
    </row>
    <row r="1145">
      <c r="A1145" s="77"/>
      <c r="B1145" s="102"/>
      <c r="C1145" s="102"/>
      <c r="D1145" s="102"/>
      <c r="E1145" s="102"/>
      <c r="F1145" s="102"/>
      <c r="G1145" s="102"/>
      <c r="H1145" s="295"/>
      <c r="I1145" s="102"/>
      <c r="J1145" s="77"/>
      <c r="K1145" s="77"/>
      <c r="L1145" s="77"/>
      <c r="M1145" s="77"/>
      <c r="N1145" s="77"/>
      <c r="O1145" s="77"/>
      <c r="P1145" s="268"/>
      <c r="Q1145" s="268"/>
      <c r="R1145" s="77"/>
      <c r="S1145" s="77"/>
      <c r="T1145" s="77"/>
      <c r="U1145" s="77"/>
      <c r="V1145" s="77"/>
      <c r="W1145" s="77"/>
      <c r="X1145" s="77"/>
      <c r="Y1145" s="77"/>
      <c r="Z1145" s="77"/>
      <c r="AA1145" s="77"/>
      <c r="AB1145" s="77"/>
      <c r="AC1145" s="77"/>
      <c r="AD1145" s="77"/>
      <c r="AE1145" s="77"/>
      <c r="AF1145" s="77"/>
      <c r="AG1145" s="77"/>
      <c r="AH1145" s="87"/>
      <c r="AI1145" s="87"/>
      <c r="AJ1145" s="87"/>
      <c r="AK1145" s="87"/>
      <c r="AL1145" s="87"/>
    </row>
    <row r="1146">
      <c r="A1146" s="77"/>
      <c r="B1146" s="102"/>
      <c r="C1146" s="102"/>
      <c r="D1146" s="102"/>
      <c r="E1146" s="102"/>
      <c r="F1146" s="102"/>
      <c r="G1146" s="102"/>
      <c r="H1146" s="295"/>
      <c r="I1146" s="102"/>
      <c r="J1146" s="77"/>
      <c r="K1146" s="77"/>
      <c r="L1146" s="77"/>
      <c r="M1146" s="77"/>
      <c r="N1146" s="77"/>
      <c r="O1146" s="77"/>
      <c r="P1146" s="268"/>
      <c r="Q1146" s="268"/>
      <c r="R1146" s="77"/>
      <c r="S1146" s="77"/>
      <c r="T1146" s="77"/>
      <c r="U1146" s="77"/>
      <c r="V1146" s="77"/>
      <c r="W1146" s="77"/>
      <c r="X1146" s="77"/>
      <c r="Y1146" s="77"/>
      <c r="Z1146" s="77"/>
      <c r="AA1146" s="77"/>
      <c r="AB1146" s="77"/>
      <c r="AC1146" s="77"/>
      <c r="AD1146" s="77"/>
      <c r="AE1146" s="77"/>
      <c r="AF1146" s="77"/>
      <c r="AG1146" s="77"/>
      <c r="AH1146" s="87"/>
      <c r="AI1146" s="87"/>
      <c r="AJ1146" s="87"/>
      <c r="AK1146" s="87"/>
      <c r="AL1146" s="87"/>
    </row>
    <row r="1147">
      <c r="A1147" s="77"/>
      <c r="B1147" s="102"/>
      <c r="C1147" s="102"/>
      <c r="D1147" s="102"/>
      <c r="E1147" s="102"/>
      <c r="F1147" s="102"/>
      <c r="G1147" s="102"/>
      <c r="H1147" s="295"/>
      <c r="I1147" s="102"/>
      <c r="J1147" s="77"/>
      <c r="K1147" s="77"/>
      <c r="L1147" s="77"/>
      <c r="M1147" s="77"/>
      <c r="N1147" s="77"/>
      <c r="O1147" s="77"/>
      <c r="P1147" s="268"/>
      <c r="Q1147" s="268"/>
      <c r="R1147" s="77"/>
      <c r="S1147" s="77"/>
      <c r="T1147" s="77"/>
      <c r="U1147" s="77"/>
      <c r="V1147" s="77"/>
      <c r="W1147" s="77"/>
      <c r="X1147" s="77"/>
      <c r="Y1147" s="77"/>
      <c r="Z1147" s="77"/>
      <c r="AA1147" s="77"/>
      <c r="AB1147" s="77"/>
      <c r="AC1147" s="77"/>
      <c r="AD1147" s="77"/>
      <c r="AE1147" s="77"/>
      <c r="AF1147" s="77"/>
      <c r="AG1147" s="77"/>
      <c r="AH1147" s="87"/>
      <c r="AI1147" s="87"/>
      <c r="AJ1147" s="87"/>
      <c r="AK1147" s="87"/>
      <c r="AL1147" s="87"/>
    </row>
    <row r="1148">
      <c r="A1148" s="77"/>
      <c r="B1148" s="102"/>
      <c r="C1148" s="102"/>
      <c r="D1148" s="102"/>
      <c r="E1148" s="102"/>
      <c r="F1148" s="102"/>
      <c r="G1148" s="102"/>
      <c r="H1148" s="295"/>
      <c r="I1148" s="102"/>
      <c r="J1148" s="77"/>
      <c r="K1148" s="77"/>
      <c r="L1148" s="77"/>
      <c r="M1148" s="77"/>
      <c r="N1148" s="77"/>
      <c r="O1148" s="77"/>
      <c r="P1148" s="268"/>
      <c r="Q1148" s="268"/>
      <c r="R1148" s="77"/>
      <c r="S1148" s="77"/>
      <c r="T1148" s="77"/>
      <c r="U1148" s="77"/>
      <c r="V1148" s="77"/>
      <c r="W1148" s="77"/>
      <c r="X1148" s="77"/>
      <c r="Y1148" s="77"/>
      <c r="Z1148" s="77"/>
      <c r="AA1148" s="77"/>
      <c r="AB1148" s="77"/>
      <c r="AC1148" s="77"/>
      <c r="AD1148" s="77"/>
      <c r="AE1148" s="77"/>
      <c r="AF1148" s="77"/>
      <c r="AG1148" s="77"/>
      <c r="AH1148" s="87"/>
      <c r="AI1148" s="87"/>
      <c r="AJ1148" s="87"/>
      <c r="AK1148" s="87"/>
      <c r="AL1148" s="87"/>
    </row>
    <row r="1149">
      <c r="A1149" s="77"/>
      <c r="B1149" s="102"/>
      <c r="C1149" s="102"/>
      <c r="D1149" s="102"/>
      <c r="E1149" s="102"/>
      <c r="F1149" s="102"/>
      <c r="G1149" s="102"/>
      <c r="H1149" s="295"/>
      <c r="I1149" s="102"/>
      <c r="J1149" s="77"/>
      <c r="K1149" s="77"/>
      <c r="L1149" s="77"/>
      <c r="M1149" s="77"/>
      <c r="N1149" s="77"/>
      <c r="O1149" s="77"/>
      <c r="P1149" s="268"/>
      <c r="Q1149" s="268"/>
      <c r="R1149" s="77"/>
      <c r="S1149" s="77"/>
      <c r="T1149" s="77"/>
      <c r="U1149" s="77"/>
      <c r="V1149" s="77"/>
      <c r="W1149" s="77"/>
      <c r="X1149" s="77"/>
      <c r="Y1149" s="77"/>
      <c r="Z1149" s="77"/>
      <c r="AA1149" s="77"/>
      <c r="AB1149" s="77"/>
      <c r="AC1149" s="77"/>
      <c r="AD1149" s="77"/>
      <c r="AE1149" s="77"/>
      <c r="AF1149" s="77"/>
      <c r="AG1149" s="77"/>
      <c r="AH1149" s="87"/>
      <c r="AI1149" s="87"/>
      <c r="AJ1149" s="87"/>
      <c r="AK1149" s="87"/>
      <c r="AL1149" s="87"/>
    </row>
    <row r="1150">
      <c r="A1150" s="77"/>
      <c r="B1150" s="102"/>
      <c r="C1150" s="102"/>
      <c r="D1150" s="102"/>
      <c r="E1150" s="102"/>
      <c r="F1150" s="102"/>
      <c r="G1150" s="102"/>
      <c r="H1150" s="295"/>
      <c r="I1150" s="102"/>
      <c r="J1150" s="77"/>
      <c r="K1150" s="77"/>
      <c r="L1150" s="77"/>
      <c r="M1150" s="77"/>
      <c r="N1150" s="77"/>
      <c r="O1150" s="77"/>
      <c r="P1150" s="268"/>
      <c r="Q1150" s="268"/>
      <c r="R1150" s="77"/>
      <c r="S1150" s="77"/>
      <c r="T1150" s="77"/>
      <c r="U1150" s="77"/>
      <c r="V1150" s="77"/>
      <c r="W1150" s="77"/>
      <c r="X1150" s="77"/>
      <c r="Y1150" s="77"/>
      <c r="Z1150" s="77"/>
      <c r="AA1150" s="77"/>
      <c r="AB1150" s="77"/>
      <c r="AC1150" s="77"/>
      <c r="AD1150" s="77"/>
      <c r="AE1150" s="77"/>
      <c r="AF1150" s="77"/>
      <c r="AG1150" s="77"/>
      <c r="AH1150" s="87"/>
      <c r="AI1150" s="87"/>
      <c r="AJ1150" s="87"/>
      <c r="AK1150" s="87"/>
      <c r="AL1150" s="87"/>
    </row>
    <row r="1151">
      <c r="A1151" s="77"/>
      <c r="B1151" s="102"/>
      <c r="C1151" s="102"/>
      <c r="D1151" s="102"/>
      <c r="E1151" s="102"/>
      <c r="F1151" s="102"/>
      <c r="G1151" s="102"/>
      <c r="H1151" s="295"/>
      <c r="I1151" s="102"/>
      <c r="J1151" s="77"/>
      <c r="K1151" s="77"/>
      <c r="L1151" s="77"/>
      <c r="M1151" s="77"/>
      <c r="N1151" s="77"/>
      <c r="O1151" s="77"/>
      <c r="P1151" s="268"/>
      <c r="Q1151" s="268"/>
      <c r="R1151" s="77"/>
      <c r="S1151" s="77"/>
      <c r="T1151" s="77"/>
      <c r="U1151" s="77"/>
      <c r="V1151" s="77"/>
      <c r="W1151" s="77"/>
      <c r="X1151" s="77"/>
      <c r="Y1151" s="77"/>
      <c r="Z1151" s="77"/>
      <c r="AA1151" s="77"/>
      <c r="AB1151" s="77"/>
      <c r="AC1151" s="77"/>
      <c r="AD1151" s="77"/>
      <c r="AE1151" s="77"/>
      <c r="AF1151" s="77"/>
      <c r="AG1151" s="77"/>
      <c r="AH1151" s="87"/>
      <c r="AI1151" s="87"/>
      <c r="AJ1151" s="87"/>
      <c r="AK1151" s="87"/>
      <c r="AL1151" s="87"/>
    </row>
    <row r="1152">
      <c r="A1152" s="77"/>
      <c r="B1152" s="102"/>
      <c r="C1152" s="102"/>
      <c r="D1152" s="102"/>
      <c r="E1152" s="102"/>
      <c r="F1152" s="102"/>
      <c r="G1152" s="102"/>
      <c r="H1152" s="295"/>
      <c r="I1152" s="102"/>
      <c r="J1152" s="77"/>
      <c r="K1152" s="77"/>
      <c r="L1152" s="77"/>
      <c r="M1152" s="77"/>
      <c r="N1152" s="77"/>
      <c r="O1152" s="77"/>
      <c r="P1152" s="268"/>
      <c r="Q1152" s="268"/>
      <c r="R1152" s="77"/>
      <c r="S1152" s="77"/>
      <c r="T1152" s="77"/>
      <c r="U1152" s="77"/>
      <c r="V1152" s="77"/>
      <c r="W1152" s="77"/>
      <c r="X1152" s="77"/>
      <c r="Y1152" s="77"/>
      <c r="Z1152" s="77"/>
      <c r="AA1152" s="77"/>
      <c r="AB1152" s="77"/>
      <c r="AC1152" s="77"/>
      <c r="AD1152" s="77"/>
      <c r="AE1152" s="77"/>
      <c r="AF1152" s="77"/>
      <c r="AG1152" s="77"/>
      <c r="AH1152" s="87"/>
      <c r="AI1152" s="87"/>
      <c r="AJ1152" s="87"/>
      <c r="AK1152" s="87"/>
      <c r="AL1152" s="87"/>
    </row>
    <row r="1153">
      <c r="A1153" s="77"/>
      <c r="B1153" s="102"/>
      <c r="C1153" s="102"/>
      <c r="D1153" s="102"/>
      <c r="E1153" s="102"/>
      <c r="F1153" s="102"/>
      <c r="G1153" s="102"/>
      <c r="H1153" s="295"/>
      <c r="I1153" s="102"/>
      <c r="J1153" s="77"/>
      <c r="K1153" s="77"/>
      <c r="L1153" s="77"/>
      <c r="M1153" s="77"/>
      <c r="N1153" s="77"/>
      <c r="O1153" s="77"/>
      <c r="P1153" s="268"/>
      <c r="Q1153" s="268"/>
      <c r="R1153" s="77"/>
      <c r="S1153" s="77"/>
      <c r="T1153" s="77"/>
      <c r="U1153" s="77"/>
      <c r="V1153" s="77"/>
      <c r="W1153" s="77"/>
      <c r="X1153" s="77"/>
      <c r="Y1153" s="77"/>
      <c r="Z1153" s="77"/>
      <c r="AA1153" s="77"/>
      <c r="AB1153" s="77"/>
      <c r="AC1153" s="77"/>
      <c r="AD1153" s="77"/>
      <c r="AE1153" s="77"/>
      <c r="AF1153" s="77"/>
      <c r="AG1153" s="77"/>
      <c r="AH1153" s="87"/>
      <c r="AI1153" s="87"/>
      <c r="AJ1153" s="87"/>
      <c r="AK1153" s="87"/>
      <c r="AL1153" s="87"/>
    </row>
    <row r="1154">
      <c r="A1154" s="77"/>
      <c r="B1154" s="102"/>
      <c r="C1154" s="102"/>
      <c r="D1154" s="102"/>
      <c r="E1154" s="102"/>
      <c r="F1154" s="102"/>
      <c r="G1154" s="102"/>
      <c r="H1154" s="295"/>
      <c r="I1154" s="102"/>
      <c r="J1154" s="77"/>
      <c r="K1154" s="77"/>
      <c r="L1154" s="77"/>
      <c r="M1154" s="77"/>
      <c r="N1154" s="77"/>
      <c r="O1154" s="77"/>
      <c r="P1154" s="268"/>
      <c r="Q1154" s="268"/>
      <c r="R1154" s="77"/>
      <c r="S1154" s="77"/>
      <c r="T1154" s="77"/>
      <c r="U1154" s="77"/>
      <c r="V1154" s="77"/>
      <c r="W1154" s="77"/>
      <c r="X1154" s="77"/>
      <c r="Y1154" s="77"/>
      <c r="Z1154" s="77"/>
      <c r="AA1154" s="77"/>
      <c r="AB1154" s="77"/>
      <c r="AC1154" s="77"/>
      <c r="AD1154" s="77"/>
      <c r="AE1154" s="77"/>
      <c r="AF1154" s="77"/>
      <c r="AG1154" s="77"/>
      <c r="AH1154" s="87"/>
      <c r="AI1154" s="87"/>
      <c r="AJ1154" s="87"/>
      <c r="AK1154" s="87"/>
      <c r="AL1154" s="87"/>
    </row>
    <row r="1155">
      <c r="A1155" s="77"/>
      <c r="B1155" s="102"/>
      <c r="C1155" s="102"/>
      <c r="D1155" s="102"/>
      <c r="E1155" s="102"/>
      <c r="F1155" s="102"/>
      <c r="G1155" s="102"/>
      <c r="H1155" s="295"/>
      <c r="I1155" s="102"/>
      <c r="J1155" s="77"/>
      <c r="K1155" s="77"/>
      <c r="L1155" s="77"/>
      <c r="M1155" s="77"/>
      <c r="N1155" s="77"/>
      <c r="O1155" s="77"/>
      <c r="P1155" s="268"/>
      <c r="Q1155" s="268"/>
      <c r="R1155" s="77"/>
      <c r="S1155" s="77"/>
      <c r="T1155" s="77"/>
      <c r="U1155" s="77"/>
      <c r="V1155" s="77"/>
      <c r="W1155" s="77"/>
      <c r="X1155" s="77"/>
      <c r="Y1155" s="77"/>
      <c r="Z1155" s="77"/>
      <c r="AA1155" s="77"/>
      <c r="AB1155" s="77"/>
      <c r="AC1155" s="77"/>
      <c r="AD1155" s="77"/>
      <c r="AE1155" s="77"/>
      <c r="AF1155" s="77"/>
      <c r="AG1155" s="77"/>
      <c r="AH1155" s="87"/>
      <c r="AI1155" s="87"/>
      <c r="AJ1155" s="87"/>
      <c r="AK1155" s="87"/>
      <c r="AL1155" s="87"/>
    </row>
    <row r="1156">
      <c r="A1156" s="77"/>
      <c r="B1156" s="102"/>
      <c r="C1156" s="102"/>
      <c r="D1156" s="102"/>
      <c r="E1156" s="102"/>
      <c r="F1156" s="102"/>
      <c r="G1156" s="102"/>
      <c r="H1156" s="295"/>
      <c r="I1156" s="102"/>
      <c r="J1156" s="77"/>
      <c r="K1156" s="77"/>
      <c r="L1156" s="77"/>
      <c r="M1156" s="77"/>
      <c r="N1156" s="77"/>
      <c r="O1156" s="77"/>
      <c r="P1156" s="268"/>
      <c r="Q1156" s="268"/>
      <c r="R1156" s="77"/>
      <c r="S1156" s="77"/>
      <c r="T1156" s="77"/>
      <c r="U1156" s="77"/>
      <c r="V1156" s="77"/>
      <c r="W1156" s="77"/>
      <c r="X1156" s="77"/>
      <c r="Y1156" s="77"/>
      <c r="Z1156" s="77"/>
      <c r="AA1156" s="77"/>
      <c r="AB1156" s="77"/>
      <c r="AC1156" s="77"/>
      <c r="AD1156" s="77"/>
      <c r="AE1156" s="77"/>
      <c r="AF1156" s="77"/>
      <c r="AG1156" s="77"/>
      <c r="AH1156" s="87"/>
      <c r="AI1156" s="87"/>
      <c r="AJ1156" s="87"/>
      <c r="AK1156" s="87"/>
      <c r="AL1156" s="87"/>
    </row>
    <row r="1157">
      <c r="A1157" s="77"/>
      <c r="B1157" s="102"/>
      <c r="C1157" s="102"/>
      <c r="D1157" s="102"/>
      <c r="E1157" s="102"/>
      <c r="F1157" s="102"/>
      <c r="G1157" s="102"/>
      <c r="H1157" s="295"/>
      <c r="I1157" s="102"/>
      <c r="J1157" s="77"/>
      <c r="K1157" s="77"/>
      <c r="L1157" s="77"/>
      <c r="M1157" s="77"/>
      <c r="N1157" s="77"/>
      <c r="O1157" s="77"/>
      <c r="P1157" s="268"/>
      <c r="Q1157" s="268"/>
      <c r="R1157" s="77"/>
      <c r="S1157" s="77"/>
      <c r="T1157" s="77"/>
      <c r="U1157" s="77"/>
      <c r="V1157" s="77"/>
      <c r="W1157" s="77"/>
      <c r="X1157" s="77"/>
      <c r="Y1157" s="77"/>
      <c r="Z1157" s="77"/>
      <c r="AA1157" s="77"/>
      <c r="AB1157" s="77"/>
      <c r="AC1157" s="77"/>
      <c r="AD1157" s="77"/>
      <c r="AE1157" s="77"/>
      <c r="AF1157" s="77"/>
      <c r="AG1157" s="77"/>
      <c r="AH1157" s="87"/>
      <c r="AI1157" s="87"/>
      <c r="AJ1157" s="87"/>
      <c r="AK1157" s="87"/>
      <c r="AL1157" s="87"/>
    </row>
    <row r="1158">
      <c r="A1158" s="77"/>
      <c r="B1158" s="102"/>
      <c r="C1158" s="102"/>
      <c r="D1158" s="102"/>
      <c r="E1158" s="102"/>
      <c r="F1158" s="102"/>
      <c r="G1158" s="102"/>
      <c r="H1158" s="295"/>
      <c r="I1158" s="102"/>
      <c r="J1158" s="77"/>
      <c r="K1158" s="77"/>
      <c r="L1158" s="77"/>
      <c r="M1158" s="77"/>
      <c r="N1158" s="77"/>
      <c r="O1158" s="77"/>
      <c r="P1158" s="268"/>
      <c r="Q1158" s="268"/>
      <c r="R1158" s="77"/>
      <c r="S1158" s="77"/>
      <c r="T1158" s="77"/>
      <c r="U1158" s="77"/>
      <c r="V1158" s="77"/>
      <c r="W1158" s="77"/>
      <c r="X1158" s="77"/>
      <c r="Y1158" s="77"/>
      <c r="Z1158" s="77"/>
      <c r="AA1158" s="77"/>
      <c r="AB1158" s="77"/>
      <c r="AC1158" s="77"/>
      <c r="AD1158" s="77"/>
      <c r="AE1158" s="77"/>
      <c r="AF1158" s="77"/>
      <c r="AG1158" s="77"/>
      <c r="AH1158" s="87"/>
      <c r="AI1158" s="87"/>
      <c r="AJ1158" s="87"/>
      <c r="AK1158" s="87"/>
      <c r="AL1158" s="87"/>
    </row>
    <row r="1159">
      <c r="A1159" s="77"/>
      <c r="B1159" s="102"/>
      <c r="C1159" s="102"/>
      <c r="D1159" s="102"/>
      <c r="E1159" s="102"/>
      <c r="F1159" s="102"/>
      <c r="G1159" s="102"/>
      <c r="H1159" s="295"/>
      <c r="I1159" s="102"/>
      <c r="J1159" s="77"/>
      <c r="K1159" s="77"/>
      <c r="L1159" s="77"/>
      <c r="M1159" s="77"/>
      <c r="N1159" s="77"/>
      <c r="O1159" s="77"/>
      <c r="P1159" s="268"/>
      <c r="Q1159" s="268"/>
      <c r="R1159" s="77"/>
      <c r="S1159" s="77"/>
      <c r="T1159" s="77"/>
      <c r="U1159" s="77"/>
      <c r="V1159" s="77"/>
      <c r="W1159" s="77"/>
      <c r="X1159" s="77"/>
      <c r="Y1159" s="77"/>
      <c r="Z1159" s="77"/>
      <c r="AA1159" s="77"/>
      <c r="AB1159" s="77"/>
      <c r="AC1159" s="77"/>
      <c r="AD1159" s="77"/>
      <c r="AE1159" s="77"/>
      <c r="AF1159" s="77"/>
      <c r="AG1159" s="77"/>
      <c r="AH1159" s="87"/>
      <c r="AI1159" s="87"/>
      <c r="AJ1159" s="87"/>
      <c r="AK1159" s="87"/>
      <c r="AL1159" s="87"/>
    </row>
    <row r="1160">
      <c r="A1160" s="77"/>
      <c r="B1160" s="102"/>
      <c r="C1160" s="102"/>
      <c r="D1160" s="102"/>
      <c r="E1160" s="102"/>
      <c r="F1160" s="102"/>
      <c r="G1160" s="102"/>
      <c r="H1160" s="295"/>
      <c r="I1160" s="102"/>
      <c r="J1160" s="77"/>
      <c r="K1160" s="77"/>
      <c r="L1160" s="77"/>
      <c r="M1160" s="77"/>
      <c r="N1160" s="77"/>
      <c r="O1160" s="77"/>
      <c r="P1160" s="268"/>
      <c r="Q1160" s="268"/>
      <c r="R1160" s="77"/>
      <c r="S1160" s="77"/>
      <c r="T1160" s="77"/>
      <c r="U1160" s="77"/>
      <c r="V1160" s="77"/>
      <c r="W1160" s="77"/>
      <c r="X1160" s="77"/>
      <c r="Y1160" s="77"/>
      <c r="Z1160" s="77"/>
      <c r="AA1160" s="77"/>
      <c r="AB1160" s="77"/>
      <c r="AC1160" s="77"/>
      <c r="AD1160" s="77"/>
      <c r="AE1160" s="77"/>
      <c r="AF1160" s="77"/>
      <c r="AG1160" s="77"/>
      <c r="AH1160" s="87"/>
      <c r="AI1160" s="87"/>
      <c r="AJ1160" s="87"/>
      <c r="AK1160" s="87"/>
      <c r="AL1160" s="87"/>
    </row>
    <row r="1161">
      <c r="A1161" s="77"/>
      <c r="B1161" s="102"/>
      <c r="C1161" s="102"/>
      <c r="D1161" s="102"/>
      <c r="E1161" s="102"/>
      <c r="F1161" s="102"/>
      <c r="G1161" s="102"/>
      <c r="H1161" s="295"/>
      <c r="I1161" s="102"/>
      <c r="J1161" s="77"/>
      <c r="K1161" s="77"/>
      <c r="L1161" s="77"/>
      <c r="M1161" s="77"/>
      <c r="N1161" s="77"/>
      <c r="O1161" s="77"/>
      <c r="P1161" s="268"/>
      <c r="Q1161" s="268"/>
      <c r="R1161" s="77"/>
      <c r="S1161" s="77"/>
      <c r="T1161" s="77"/>
      <c r="U1161" s="77"/>
      <c r="V1161" s="77"/>
      <c r="W1161" s="77"/>
      <c r="X1161" s="77"/>
      <c r="Y1161" s="77"/>
      <c r="Z1161" s="77"/>
      <c r="AA1161" s="77"/>
      <c r="AB1161" s="77"/>
      <c r="AC1161" s="77"/>
      <c r="AD1161" s="77"/>
      <c r="AE1161" s="77"/>
      <c r="AF1161" s="77"/>
      <c r="AG1161" s="77"/>
      <c r="AH1161" s="87"/>
      <c r="AI1161" s="87"/>
      <c r="AJ1161" s="87"/>
      <c r="AK1161" s="87"/>
      <c r="AL1161" s="87"/>
    </row>
    <row r="1162">
      <c r="A1162" s="77"/>
      <c r="B1162" s="102"/>
      <c r="C1162" s="102"/>
      <c r="D1162" s="102"/>
      <c r="E1162" s="102"/>
      <c r="F1162" s="102"/>
      <c r="G1162" s="102"/>
      <c r="H1162" s="295"/>
      <c r="I1162" s="102"/>
      <c r="J1162" s="77"/>
      <c r="K1162" s="77"/>
      <c r="L1162" s="77"/>
      <c r="M1162" s="77"/>
      <c r="N1162" s="77"/>
      <c r="O1162" s="77"/>
      <c r="P1162" s="268"/>
      <c r="Q1162" s="268"/>
      <c r="R1162" s="77"/>
      <c r="S1162" s="77"/>
      <c r="T1162" s="77"/>
      <c r="U1162" s="77"/>
      <c r="V1162" s="77"/>
      <c r="W1162" s="77"/>
      <c r="X1162" s="77"/>
      <c r="Y1162" s="77"/>
      <c r="Z1162" s="77"/>
      <c r="AA1162" s="77"/>
      <c r="AB1162" s="77"/>
      <c r="AC1162" s="77"/>
      <c r="AD1162" s="77"/>
      <c r="AE1162" s="77"/>
      <c r="AF1162" s="77"/>
      <c r="AG1162" s="77"/>
      <c r="AH1162" s="87"/>
      <c r="AI1162" s="87"/>
      <c r="AJ1162" s="87"/>
      <c r="AK1162" s="87"/>
      <c r="AL1162" s="87"/>
    </row>
    <row r="1163">
      <c r="A1163" s="77"/>
      <c r="B1163" s="102"/>
      <c r="C1163" s="102"/>
      <c r="D1163" s="102"/>
      <c r="E1163" s="102"/>
      <c r="F1163" s="102"/>
      <c r="G1163" s="102"/>
      <c r="H1163" s="295"/>
      <c r="I1163" s="102"/>
      <c r="J1163" s="77"/>
      <c r="K1163" s="77"/>
      <c r="L1163" s="77"/>
      <c r="M1163" s="77"/>
      <c r="N1163" s="77"/>
      <c r="O1163" s="77"/>
      <c r="P1163" s="268"/>
      <c r="Q1163" s="268"/>
      <c r="R1163" s="77"/>
      <c r="S1163" s="77"/>
      <c r="T1163" s="77"/>
      <c r="U1163" s="77"/>
      <c r="V1163" s="77"/>
      <c r="W1163" s="77"/>
      <c r="X1163" s="77"/>
      <c r="Y1163" s="77"/>
      <c r="Z1163" s="77"/>
      <c r="AA1163" s="77"/>
      <c r="AB1163" s="77"/>
      <c r="AC1163" s="77"/>
      <c r="AD1163" s="77"/>
      <c r="AE1163" s="77"/>
      <c r="AF1163" s="77"/>
      <c r="AG1163" s="77"/>
      <c r="AH1163" s="87"/>
      <c r="AI1163" s="87"/>
      <c r="AJ1163" s="87"/>
      <c r="AK1163" s="87"/>
      <c r="AL1163" s="87"/>
    </row>
    <row r="1164">
      <c r="A1164" s="77"/>
      <c r="B1164" s="102"/>
      <c r="C1164" s="102"/>
      <c r="D1164" s="102"/>
      <c r="E1164" s="102"/>
      <c r="F1164" s="102"/>
      <c r="G1164" s="102"/>
      <c r="H1164" s="295"/>
      <c r="I1164" s="102"/>
      <c r="J1164" s="77"/>
      <c r="K1164" s="77"/>
      <c r="L1164" s="77"/>
      <c r="M1164" s="77"/>
      <c r="N1164" s="77"/>
      <c r="O1164" s="77"/>
      <c r="P1164" s="268"/>
      <c r="Q1164" s="268"/>
      <c r="R1164" s="77"/>
      <c r="S1164" s="77"/>
      <c r="T1164" s="77"/>
      <c r="U1164" s="77"/>
      <c r="V1164" s="77"/>
      <c r="W1164" s="77"/>
      <c r="X1164" s="77"/>
      <c r="Y1164" s="77"/>
      <c r="Z1164" s="77"/>
      <c r="AA1164" s="77"/>
      <c r="AB1164" s="77"/>
      <c r="AC1164" s="77"/>
      <c r="AD1164" s="77"/>
      <c r="AE1164" s="77"/>
      <c r="AF1164" s="77"/>
      <c r="AG1164" s="77"/>
      <c r="AH1164" s="87"/>
      <c r="AI1164" s="87"/>
      <c r="AJ1164" s="87"/>
      <c r="AK1164" s="87"/>
      <c r="AL1164" s="87"/>
    </row>
    <row r="1165">
      <c r="A1165" s="77"/>
      <c r="B1165" s="102"/>
      <c r="C1165" s="102"/>
      <c r="D1165" s="102"/>
      <c r="E1165" s="102"/>
      <c r="F1165" s="102"/>
      <c r="G1165" s="102"/>
      <c r="H1165" s="295"/>
      <c r="I1165" s="102"/>
      <c r="J1165" s="77"/>
      <c r="K1165" s="77"/>
      <c r="L1165" s="77"/>
      <c r="M1165" s="77"/>
      <c r="N1165" s="77"/>
      <c r="O1165" s="77"/>
      <c r="P1165" s="268"/>
      <c r="Q1165" s="268"/>
      <c r="R1165" s="77"/>
      <c r="S1165" s="77"/>
      <c r="T1165" s="77"/>
      <c r="U1165" s="77"/>
      <c r="V1165" s="77"/>
      <c r="W1165" s="77"/>
      <c r="X1165" s="77"/>
      <c r="Y1165" s="77"/>
      <c r="Z1165" s="77"/>
      <c r="AA1165" s="77"/>
      <c r="AB1165" s="77"/>
      <c r="AC1165" s="77"/>
      <c r="AD1165" s="77"/>
      <c r="AE1165" s="77"/>
      <c r="AF1165" s="77"/>
      <c r="AG1165" s="77"/>
      <c r="AH1165" s="87"/>
      <c r="AI1165" s="87"/>
      <c r="AJ1165" s="87"/>
      <c r="AK1165" s="87"/>
      <c r="AL1165" s="87"/>
    </row>
    <row r="1166">
      <c r="A1166" s="77"/>
      <c r="B1166" s="102"/>
      <c r="C1166" s="102"/>
      <c r="D1166" s="102"/>
      <c r="E1166" s="102"/>
      <c r="F1166" s="102"/>
      <c r="G1166" s="102"/>
      <c r="H1166" s="295"/>
      <c r="I1166" s="102"/>
      <c r="J1166" s="77"/>
      <c r="K1166" s="77"/>
      <c r="L1166" s="77"/>
      <c r="M1166" s="77"/>
      <c r="N1166" s="77"/>
      <c r="O1166" s="77"/>
      <c r="P1166" s="268"/>
      <c r="Q1166" s="268"/>
      <c r="R1166" s="77"/>
      <c r="S1166" s="77"/>
      <c r="T1166" s="77"/>
      <c r="U1166" s="77"/>
      <c r="V1166" s="77"/>
      <c r="W1166" s="77"/>
      <c r="X1166" s="77"/>
      <c r="Y1166" s="77"/>
      <c r="Z1166" s="77"/>
      <c r="AA1166" s="77"/>
      <c r="AB1166" s="77"/>
      <c r="AC1166" s="77"/>
      <c r="AD1166" s="77"/>
      <c r="AE1166" s="77"/>
      <c r="AF1166" s="77"/>
      <c r="AG1166" s="77"/>
      <c r="AH1166" s="87"/>
      <c r="AI1166" s="87"/>
      <c r="AJ1166" s="87"/>
      <c r="AK1166" s="87"/>
      <c r="AL1166" s="87"/>
    </row>
    <row r="1167">
      <c r="A1167" s="77"/>
      <c r="B1167" s="102"/>
      <c r="C1167" s="102"/>
      <c r="D1167" s="102"/>
      <c r="E1167" s="102"/>
      <c r="F1167" s="102"/>
      <c r="G1167" s="102"/>
      <c r="H1167" s="295"/>
      <c r="I1167" s="102"/>
      <c r="J1167" s="77"/>
      <c r="K1167" s="77"/>
      <c r="L1167" s="77"/>
      <c r="M1167" s="77"/>
      <c r="N1167" s="77"/>
      <c r="O1167" s="77"/>
      <c r="P1167" s="268"/>
      <c r="Q1167" s="268"/>
      <c r="R1167" s="77"/>
      <c r="S1167" s="77"/>
      <c r="T1167" s="77"/>
      <c r="U1167" s="77"/>
      <c r="V1167" s="77"/>
      <c r="W1167" s="77"/>
      <c r="X1167" s="77"/>
      <c r="Y1167" s="77"/>
      <c r="Z1167" s="77"/>
      <c r="AA1167" s="77"/>
      <c r="AB1167" s="77"/>
      <c r="AC1167" s="77"/>
      <c r="AD1167" s="77"/>
      <c r="AE1167" s="77"/>
      <c r="AF1167" s="77"/>
      <c r="AG1167" s="77"/>
      <c r="AH1167" s="87"/>
      <c r="AI1167" s="87"/>
      <c r="AJ1167" s="87"/>
      <c r="AK1167" s="87"/>
      <c r="AL1167" s="87"/>
    </row>
    <row r="1168">
      <c r="A1168" s="77"/>
      <c r="B1168" s="102"/>
      <c r="C1168" s="102"/>
      <c r="D1168" s="102"/>
      <c r="E1168" s="102"/>
      <c r="F1168" s="102"/>
      <c r="G1168" s="102"/>
      <c r="H1168" s="295"/>
      <c r="I1168" s="102"/>
      <c r="J1168" s="77"/>
      <c r="K1168" s="77"/>
      <c r="L1168" s="77"/>
      <c r="M1168" s="77"/>
      <c r="N1168" s="77"/>
      <c r="O1168" s="77"/>
      <c r="P1168" s="268"/>
      <c r="Q1168" s="268"/>
      <c r="R1168" s="77"/>
      <c r="S1168" s="77"/>
      <c r="T1168" s="77"/>
      <c r="U1168" s="77"/>
      <c r="V1168" s="77"/>
      <c r="W1168" s="77"/>
      <c r="X1168" s="77"/>
      <c r="Y1168" s="77"/>
      <c r="Z1168" s="77"/>
      <c r="AA1168" s="77"/>
      <c r="AB1168" s="77"/>
      <c r="AC1168" s="77"/>
      <c r="AD1168" s="77"/>
      <c r="AE1168" s="77"/>
      <c r="AF1168" s="77"/>
      <c r="AG1168" s="77"/>
      <c r="AH1168" s="87"/>
      <c r="AI1168" s="87"/>
      <c r="AJ1168" s="87"/>
      <c r="AK1168" s="87"/>
      <c r="AL1168" s="87"/>
    </row>
    <row r="1169">
      <c r="A1169" s="77"/>
      <c r="B1169" s="102"/>
      <c r="C1169" s="102"/>
      <c r="D1169" s="102"/>
      <c r="E1169" s="102"/>
      <c r="F1169" s="102"/>
      <c r="G1169" s="102"/>
      <c r="H1169" s="295"/>
      <c r="I1169" s="102"/>
      <c r="J1169" s="77"/>
      <c r="K1169" s="77"/>
      <c r="L1169" s="77"/>
      <c r="M1169" s="77"/>
      <c r="N1169" s="77"/>
      <c r="O1169" s="77"/>
      <c r="P1169" s="268"/>
      <c r="Q1169" s="268"/>
      <c r="R1169" s="77"/>
      <c r="S1169" s="77"/>
      <c r="T1169" s="77"/>
      <c r="U1169" s="77"/>
      <c r="V1169" s="77"/>
      <c r="W1169" s="77"/>
      <c r="X1169" s="77"/>
      <c r="Y1169" s="77"/>
      <c r="Z1169" s="77"/>
      <c r="AA1169" s="77"/>
      <c r="AB1169" s="77"/>
      <c r="AC1169" s="77"/>
      <c r="AD1169" s="77"/>
      <c r="AE1169" s="77"/>
      <c r="AF1169" s="77"/>
      <c r="AG1169" s="77"/>
      <c r="AH1169" s="87"/>
      <c r="AI1169" s="87"/>
      <c r="AJ1169" s="87"/>
      <c r="AK1169" s="87"/>
      <c r="AL1169" s="87"/>
    </row>
    <row r="1170">
      <c r="A1170" s="77"/>
      <c r="B1170" s="102"/>
      <c r="C1170" s="102"/>
      <c r="D1170" s="102"/>
      <c r="E1170" s="102"/>
      <c r="F1170" s="102"/>
      <c r="G1170" s="102"/>
      <c r="H1170" s="295"/>
      <c r="I1170" s="102"/>
      <c r="J1170" s="77"/>
      <c r="K1170" s="77"/>
      <c r="L1170" s="77"/>
      <c r="M1170" s="77"/>
      <c r="N1170" s="77"/>
      <c r="O1170" s="77"/>
      <c r="P1170" s="268"/>
      <c r="Q1170" s="268"/>
      <c r="R1170" s="77"/>
      <c r="S1170" s="77"/>
      <c r="T1170" s="77"/>
      <c r="U1170" s="77"/>
      <c r="V1170" s="77"/>
      <c r="W1170" s="77"/>
      <c r="X1170" s="77"/>
      <c r="Y1170" s="77"/>
      <c r="Z1170" s="77"/>
      <c r="AA1170" s="77"/>
      <c r="AB1170" s="77"/>
      <c r="AC1170" s="77"/>
      <c r="AD1170" s="77"/>
      <c r="AE1170" s="77"/>
      <c r="AF1170" s="77"/>
      <c r="AG1170" s="77"/>
      <c r="AH1170" s="87"/>
      <c r="AI1170" s="87"/>
      <c r="AJ1170" s="87"/>
      <c r="AK1170" s="87"/>
      <c r="AL1170" s="87"/>
    </row>
    <row r="1171">
      <c r="A1171" s="77"/>
      <c r="B1171" s="102"/>
      <c r="C1171" s="102"/>
      <c r="D1171" s="102"/>
      <c r="E1171" s="102"/>
      <c r="F1171" s="102"/>
      <c r="G1171" s="102"/>
      <c r="H1171" s="295"/>
      <c r="I1171" s="102"/>
      <c r="J1171" s="77"/>
      <c r="K1171" s="77"/>
      <c r="L1171" s="77"/>
      <c r="M1171" s="77"/>
      <c r="N1171" s="77"/>
      <c r="O1171" s="77"/>
      <c r="P1171" s="268"/>
      <c r="Q1171" s="268"/>
      <c r="R1171" s="77"/>
      <c r="S1171" s="77"/>
      <c r="T1171" s="77"/>
      <c r="U1171" s="77"/>
      <c r="V1171" s="77"/>
      <c r="W1171" s="77"/>
      <c r="X1171" s="77"/>
      <c r="Y1171" s="77"/>
      <c r="Z1171" s="77"/>
      <c r="AA1171" s="77"/>
      <c r="AB1171" s="77"/>
      <c r="AC1171" s="77"/>
      <c r="AD1171" s="77"/>
      <c r="AE1171" s="77"/>
      <c r="AF1171" s="77"/>
      <c r="AG1171" s="77"/>
      <c r="AH1171" s="87"/>
      <c r="AI1171" s="87"/>
      <c r="AJ1171" s="87"/>
      <c r="AK1171" s="87"/>
      <c r="AL1171" s="87"/>
    </row>
    <row r="1172">
      <c r="A1172" s="77"/>
      <c r="B1172" s="102"/>
      <c r="C1172" s="102"/>
      <c r="D1172" s="102"/>
      <c r="E1172" s="102"/>
      <c r="F1172" s="102"/>
      <c r="G1172" s="102"/>
      <c r="H1172" s="295"/>
      <c r="I1172" s="102"/>
      <c r="J1172" s="77"/>
      <c r="K1172" s="77"/>
      <c r="L1172" s="77"/>
      <c r="M1172" s="77"/>
      <c r="N1172" s="77"/>
      <c r="O1172" s="77"/>
      <c r="P1172" s="268"/>
      <c r="Q1172" s="268"/>
      <c r="R1172" s="77"/>
      <c r="S1172" s="77"/>
      <c r="T1172" s="77"/>
      <c r="U1172" s="77"/>
      <c r="V1172" s="77"/>
      <c r="W1172" s="77"/>
      <c r="X1172" s="77"/>
      <c r="Y1172" s="77"/>
      <c r="Z1172" s="77"/>
      <c r="AA1172" s="77"/>
      <c r="AB1172" s="77"/>
      <c r="AC1172" s="77"/>
      <c r="AD1172" s="77"/>
      <c r="AE1172" s="77"/>
      <c r="AF1172" s="77"/>
      <c r="AG1172" s="77"/>
      <c r="AH1172" s="87"/>
      <c r="AI1172" s="87"/>
      <c r="AJ1172" s="87"/>
      <c r="AK1172" s="87"/>
      <c r="AL1172" s="87"/>
    </row>
    <row r="1173">
      <c r="A1173" s="77"/>
      <c r="B1173" s="102"/>
      <c r="C1173" s="102"/>
      <c r="D1173" s="102"/>
      <c r="E1173" s="102"/>
      <c r="F1173" s="102"/>
      <c r="G1173" s="102"/>
      <c r="H1173" s="295"/>
      <c r="I1173" s="102"/>
      <c r="J1173" s="77"/>
      <c r="K1173" s="77"/>
      <c r="L1173" s="77"/>
      <c r="M1173" s="77"/>
      <c r="N1173" s="77"/>
      <c r="O1173" s="77"/>
      <c r="P1173" s="268"/>
      <c r="Q1173" s="268"/>
      <c r="R1173" s="77"/>
      <c r="S1173" s="77"/>
      <c r="T1173" s="77"/>
      <c r="U1173" s="77"/>
      <c r="V1173" s="77"/>
      <c r="W1173" s="77"/>
      <c r="X1173" s="77"/>
      <c r="Y1173" s="77"/>
      <c r="Z1173" s="77"/>
      <c r="AA1173" s="77"/>
      <c r="AB1173" s="77"/>
      <c r="AC1173" s="77"/>
      <c r="AD1173" s="77"/>
      <c r="AE1173" s="77"/>
      <c r="AF1173" s="77"/>
      <c r="AG1173" s="77"/>
      <c r="AH1173" s="87"/>
      <c r="AI1173" s="87"/>
      <c r="AJ1173" s="87"/>
      <c r="AK1173" s="87"/>
      <c r="AL1173" s="87"/>
    </row>
    <row r="1174">
      <c r="A1174" s="77"/>
      <c r="B1174" s="102"/>
      <c r="C1174" s="102"/>
      <c r="D1174" s="102"/>
      <c r="E1174" s="102"/>
      <c r="F1174" s="102"/>
      <c r="G1174" s="102"/>
      <c r="H1174" s="295"/>
      <c r="I1174" s="102"/>
      <c r="J1174" s="77"/>
      <c r="K1174" s="77"/>
      <c r="L1174" s="77"/>
      <c r="M1174" s="77"/>
      <c r="N1174" s="77"/>
      <c r="O1174" s="77"/>
      <c r="P1174" s="268"/>
      <c r="Q1174" s="268"/>
      <c r="R1174" s="77"/>
      <c r="S1174" s="77"/>
      <c r="T1174" s="77"/>
      <c r="U1174" s="77"/>
      <c r="V1174" s="77"/>
      <c r="W1174" s="77"/>
      <c r="X1174" s="77"/>
      <c r="Y1174" s="77"/>
      <c r="Z1174" s="77"/>
      <c r="AA1174" s="77"/>
      <c r="AB1174" s="77"/>
      <c r="AC1174" s="77"/>
      <c r="AD1174" s="77"/>
      <c r="AE1174" s="77"/>
      <c r="AF1174" s="77"/>
      <c r="AG1174" s="77"/>
      <c r="AH1174" s="87"/>
      <c r="AI1174" s="87"/>
      <c r="AJ1174" s="87"/>
      <c r="AK1174" s="87"/>
      <c r="AL1174" s="87"/>
    </row>
    <row r="1175">
      <c r="A1175" s="77"/>
      <c r="B1175" s="102"/>
      <c r="C1175" s="102"/>
      <c r="D1175" s="102"/>
      <c r="E1175" s="102"/>
      <c r="F1175" s="102"/>
      <c r="G1175" s="102"/>
      <c r="H1175" s="295"/>
      <c r="I1175" s="102"/>
      <c r="J1175" s="77"/>
      <c r="K1175" s="77"/>
      <c r="L1175" s="77"/>
      <c r="M1175" s="77"/>
      <c r="N1175" s="77"/>
      <c r="O1175" s="77"/>
      <c r="P1175" s="268"/>
      <c r="Q1175" s="268"/>
      <c r="R1175" s="77"/>
      <c r="S1175" s="77"/>
      <c r="T1175" s="77"/>
      <c r="U1175" s="77"/>
      <c r="V1175" s="77"/>
      <c r="W1175" s="77"/>
      <c r="X1175" s="77"/>
      <c r="Y1175" s="77"/>
      <c r="Z1175" s="77"/>
      <c r="AA1175" s="77"/>
      <c r="AB1175" s="77"/>
      <c r="AC1175" s="77"/>
      <c r="AD1175" s="77"/>
      <c r="AE1175" s="77"/>
      <c r="AF1175" s="77"/>
      <c r="AG1175" s="77"/>
      <c r="AH1175" s="87"/>
      <c r="AI1175" s="87"/>
      <c r="AJ1175" s="87"/>
      <c r="AK1175" s="87"/>
      <c r="AL1175" s="87"/>
    </row>
    <row r="1176">
      <c r="A1176" s="77"/>
      <c r="B1176" s="102"/>
      <c r="C1176" s="102"/>
      <c r="D1176" s="102"/>
      <c r="E1176" s="102"/>
      <c r="F1176" s="102"/>
      <c r="G1176" s="102"/>
      <c r="H1176" s="295"/>
      <c r="I1176" s="102"/>
      <c r="J1176" s="77"/>
      <c r="K1176" s="77"/>
      <c r="L1176" s="77"/>
      <c r="M1176" s="77"/>
      <c r="N1176" s="77"/>
      <c r="O1176" s="77"/>
      <c r="P1176" s="268"/>
      <c r="Q1176" s="268"/>
      <c r="R1176" s="77"/>
      <c r="S1176" s="77"/>
      <c r="T1176" s="77"/>
      <c r="U1176" s="77"/>
      <c r="V1176" s="77"/>
      <c r="W1176" s="77"/>
      <c r="X1176" s="77"/>
      <c r="Y1176" s="77"/>
      <c r="Z1176" s="77"/>
      <c r="AA1176" s="77"/>
      <c r="AB1176" s="77"/>
      <c r="AC1176" s="77"/>
      <c r="AD1176" s="77"/>
      <c r="AE1176" s="77"/>
      <c r="AF1176" s="77"/>
      <c r="AG1176" s="77"/>
      <c r="AH1176" s="87"/>
      <c r="AI1176" s="87"/>
      <c r="AJ1176" s="87"/>
      <c r="AK1176" s="87"/>
      <c r="AL1176" s="87"/>
    </row>
    <row r="1177">
      <c r="A1177" s="77"/>
      <c r="B1177" s="102"/>
      <c r="C1177" s="102"/>
      <c r="D1177" s="102"/>
      <c r="E1177" s="102"/>
      <c r="F1177" s="102"/>
      <c r="G1177" s="102"/>
      <c r="H1177" s="295"/>
      <c r="I1177" s="102"/>
      <c r="J1177" s="77"/>
      <c r="K1177" s="77"/>
      <c r="L1177" s="77"/>
      <c r="M1177" s="77"/>
      <c r="N1177" s="77"/>
      <c r="O1177" s="77"/>
      <c r="P1177" s="268"/>
      <c r="Q1177" s="268"/>
      <c r="R1177" s="77"/>
      <c r="S1177" s="77"/>
      <c r="T1177" s="77"/>
      <c r="U1177" s="77"/>
      <c r="V1177" s="77"/>
      <c r="W1177" s="77"/>
      <c r="X1177" s="77"/>
      <c r="Y1177" s="77"/>
      <c r="Z1177" s="77"/>
      <c r="AA1177" s="77"/>
      <c r="AB1177" s="77"/>
      <c r="AC1177" s="77"/>
      <c r="AD1177" s="77"/>
      <c r="AE1177" s="77"/>
      <c r="AF1177" s="77"/>
      <c r="AG1177" s="77"/>
      <c r="AH1177" s="87"/>
      <c r="AI1177" s="87"/>
      <c r="AJ1177" s="87"/>
      <c r="AK1177" s="87"/>
      <c r="AL1177" s="87"/>
    </row>
    <row r="1178">
      <c r="A1178" s="77"/>
      <c r="B1178" s="102"/>
      <c r="C1178" s="102"/>
      <c r="D1178" s="102"/>
      <c r="E1178" s="102"/>
      <c r="F1178" s="102"/>
      <c r="G1178" s="102"/>
      <c r="H1178" s="295"/>
      <c r="I1178" s="102"/>
      <c r="J1178" s="77"/>
      <c r="K1178" s="77"/>
      <c r="L1178" s="77"/>
      <c r="M1178" s="77"/>
      <c r="N1178" s="77"/>
      <c r="O1178" s="77"/>
      <c r="P1178" s="268"/>
      <c r="Q1178" s="268"/>
      <c r="R1178" s="77"/>
      <c r="S1178" s="77"/>
      <c r="T1178" s="77"/>
      <c r="U1178" s="77"/>
      <c r="V1178" s="77"/>
      <c r="W1178" s="77"/>
      <c r="X1178" s="77"/>
      <c r="Y1178" s="77"/>
      <c r="Z1178" s="77"/>
      <c r="AA1178" s="77"/>
      <c r="AB1178" s="77"/>
      <c r="AC1178" s="77"/>
      <c r="AD1178" s="77"/>
      <c r="AE1178" s="77"/>
      <c r="AF1178" s="77"/>
      <c r="AG1178" s="77"/>
      <c r="AH1178" s="87"/>
      <c r="AI1178" s="87"/>
      <c r="AJ1178" s="87"/>
      <c r="AK1178" s="87"/>
      <c r="AL1178" s="87"/>
    </row>
    <row r="1179">
      <c r="A1179" s="77"/>
      <c r="B1179" s="102"/>
      <c r="C1179" s="102"/>
      <c r="D1179" s="102"/>
      <c r="E1179" s="102"/>
      <c r="F1179" s="102"/>
      <c r="G1179" s="102"/>
      <c r="H1179" s="295"/>
      <c r="I1179" s="102"/>
      <c r="J1179" s="77"/>
      <c r="K1179" s="77"/>
      <c r="L1179" s="77"/>
      <c r="M1179" s="77"/>
      <c r="N1179" s="77"/>
      <c r="O1179" s="77"/>
      <c r="P1179" s="268"/>
      <c r="Q1179" s="268"/>
      <c r="R1179" s="77"/>
      <c r="S1179" s="77"/>
      <c r="T1179" s="77"/>
      <c r="U1179" s="77"/>
      <c r="V1179" s="77"/>
      <c r="W1179" s="77"/>
      <c r="X1179" s="77"/>
      <c r="Y1179" s="77"/>
      <c r="Z1179" s="77"/>
      <c r="AA1179" s="77"/>
      <c r="AB1179" s="77"/>
      <c r="AC1179" s="77"/>
      <c r="AD1179" s="77"/>
      <c r="AE1179" s="77"/>
      <c r="AF1179" s="77"/>
      <c r="AG1179" s="77"/>
      <c r="AH1179" s="87"/>
      <c r="AI1179" s="87"/>
      <c r="AJ1179" s="87"/>
      <c r="AK1179" s="87"/>
      <c r="AL1179" s="87"/>
    </row>
    <row r="1180">
      <c r="A1180" s="77"/>
      <c r="B1180" s="102"/>
      <c r="C1180" s="102"/>
      <c r="D1180" s="102"/>
      <c r="E1180" s="102"/>
      <c r="F1180" s="102"/>
      <c r="G1180" s="102"/>
      <c r="H1180" s="295"/>
      <c r="I1180" s="102"/>
      <c r="J1180" s="77"/>
      <c r="K1180" s="77"/>
      <c r="L1180" s="77"/>
      <c r="M1180" s="77"/>
      <c r="N1180" s="77"/>
      <c r="O1180" s="77"/>
      <c r="P1180" s="268"/>
      <c r="Q1180" s="268"/>
      <c r="R1180" s="77"/>
      <c r="S1180" s="77"/>
      <c r="T1180" s="77"/>
      <c r="U1180" s="77"/>
      <c r="V1180" s="77"/>
      <c r="W1180" s="77"/>
      <c r="X1180" s="77"/>
      <c r="Y1180" s="77"/>
      <c r="Z1180" s="77"/>
      <c r="AA1180" s="77"/>
      <c r="AB1180" s="77"/>
      <c r="AC1180" s="77"/>
      <c r="AD1180" s="77"/>
      <c r="AE1180" s="77"/>
      <c r="AF1180" s="77"/>
      <c r="AG1180" s="77"/>
      <c r="AH1180" s="87"/>
      <c r="AI1180" s="87"/>
      <c r="AJ1180" s="87"/>
      <c r="AK1180" s="87"/>
      <c r="AL1180" s="87"/>
    </row>
    <row r="1181">
      <c r="A1181" s="77"/>
      <c r="B1181" s="102"/>
      <c r="C1181" s="102"/>
      <c r="D1181" s="102"/>
      <c r="E1181" s="102"/>
      <c r="F1181" s="102"/>
      <c r="G1181" s="102"/>
      <c r="H1181" s="295"/>
      <c r="I1181" s="102"/>
      <c r="J1181" s="77"/>
      <c r="K1181" s="77"/>
      <c r="L1181" s="77"/>
      <c r="M1181" s="77"/>
      <c r="N1181" s="77"/>
      <c r="O1181" s="77"/>
      <c r="P1181" s="268"/>
      <c r="Q1181" s="268"/>
      <c r="R1181" s="77"/>
      <c r="S1181" s="77"/>
      <c r="T1181" s="77"/>
      <c r="U1181" s="77"/>
      <c r="V1181" s="77"/>
      <c r="W1181" s="77"/>
      <c r="X1181" s="77"/>
      <c r="Y1181" s="77"/>
      <c r="Z1181" s="77"/>
      <c r="AA1181" s="77"/>
      <c r="AB1181" s="77"/>
      <c r="AC1181" s="77"/>
      <c r="AD1181" s="77"/>
      <c r="AE1181" s="77"/>
      <c r="AF1181" s="77"/>
      <c r="AG1181" s="77"/>
      <c r="AH1181" s="87"/>
      <c r="AI1181" s="87"/>
      <c r="AJ1181" s="87"/>
      <c r="AK1181" s="87"/>
      <c r="AL1181" s="87"/>
    </row>
    <row r="1182">
      <c r="A1182" s="77"/>
      <c r="B1182" s="102"/>
      <c r="C1182" s="102"/>
      <c r="D1182" s="102"/>
      <c r="E1182" s="102"/>
      <c r="F1182" s="102"/>
      <c r="G1182" s="102"/>
      <c r="H1182" s="295"/>
      <c r="I1182" s="102"/>
      <c r="J1182" s="77"/>
      <c r="K1182" s="77"/>
      <c r="L1182" s="77"/>
      <c r="M1182" s="77"/>
      <c r="N1182" s="77"/>
      <c r="O1182" s="77"/>
      <c r="P1182" s="268"/>
      <c r="Q1182" s="268"/>
      <c r="R1182" s="77"/>
      <c r="S1182" s="77"/>
      <c r="T1182" s="77"/>
      <c r="U1182" s="77"/>
      <c r="V1182" s="77"/>
      <c r="W1182" s="77"/>
      <c r="X1182" s="77"/>
      <c r="Y1182" s="77"/>
      <c r="Z1182" s="77"/>
      <c r="AA1182" s="77"/>
      <c r="AB1182" s="77"/>
      <c r="AC1182" s="77"/>
      <c r="AD1182" s="77"/>
      <c r="AE1182" s="77"/>
      <c r="AF1182" s="77"/>
      <c r="AG1182" s="77"/>
      <c r="AH1182" s="87"/>
      <c r="AI1182" s="87"/>
      <c r="AJ1182" s="87"/>
      <c r="AK1182" s="87"/>
      <c r="AL1182" s="87"/>
    </row>
    <row r="1183">
      <c r="A1183" s="77"/>
      <c r="B1183" s="102"/>
      <c r="C1183" s="102"/>
      <c r="D1183" s="102"/>
      <c r="E1183" s="102"/>
      <c r="F1183" s="102"/>
      <c r="G1183" s="102"/>
      <c r="H1183" s="295"/>
      <c r="I1183" s="102"/>
      <c r="J1183" s="77"/>
      <c r="K1183" s="77"/>
      <c r="L1183" s="77"/>
      <c r="M1183" s="77"/>
      <c r="N1183" s="77"/>
      <c r="O1183" s="77"/>
      <c r="P1183" s="268"/>
      <c r="Q1183" s="268"/>
      <c r="R1183" s="77"/>
      <c r="S1183" s="77"/>
      <c r="T1183" s="77"/>
      <c r="U1183" s="77"/>
      <c r="V1183" s="77"/>
      <c r="W1183" s="77"/>
      <c r="X1183" s="77"/>
      <c r="Y1183" s="77"/>
      <c r="Z1183" s="77"/>
      <c r="AA1183" s="77"/>
      <c r="AB1183" s="77"/>
      <c r="AC1183" s="77"/>
      <c r="AD1183" s="77"/>
      <c r="AE1183" s="77"/>
      <c r="AF1183" s="77"/>
      <c r="AG1183" s="77"/>
      <c r="AH1183" s="87"/>
      <c r="AI1183" s="87"/>
      <c r="AJ1183" s="87"/>
      <c r="AK1183" s="87"/>
      <c r="AL1183" s="87"/>
    </row>
    <row r="1184">
      <c r="A1184" s="77"/>
      <c r="B1184" s="102"/>
      <c r="C1184" s="102"/>
      <c r="D1184" s="102"/>
      <c r="E1184" s="102"/>
      <c r="F1184" s="102"/>
      <c r="G1184" s="102"/>
      <c r="H1184" s="295"/>
      <c r="I1184" s="102"/>
      <c r="J1184" s="77"/>
      <c r="K1184" s="77"/>
      <c r="L1184" s="77"/>
      <c r="M1184" s="77"/>
      <c r="N1184" s="77"/>
      <c r="O1184" s="77"/>
      <c r="P1184" s="268"/>
      <c r="Q1184" s="268"/>
      <c r="R1184" s="77"/>
      <c r="S1184" s="77"/>
      <c r="T1184" s="77"/>
      <c r="U1184" s="77"/>
      <c r="V1184" s="77"/>
      <c r="W1184" s="77"/>
      <c r="X1184" s="77"/>
      <c r="Y1184" s="77"/>
      <c r="Z1184" s="77"/>
      <c r="AA1184" s="77"/>
      <c r="AB1184" s="77"/>
      <c r="AC1184" s="77"/>
      <c r="AD1184" s="77"/>
      <c r="AE1184" s="77"/>
      <c r="AF1184" s="77"/>
      <c r="AG1184" s="77"/>
      <c r="AH1184" s="87"/>
      <c r="AI1184" s="87"/>
      <c r="AJ1184" s="87"/>
      <c r="AK1184" s="87"/>
      <c r="AL1184" s="87"/>
    </row>
    <row r="1185">
      <c r="A1185" s="77"/>
      <c r="B1185" s="102"/>
      <c r="C1185" s="102"/>
      <c r="D1185" s="102"/>
      <c r="E1185" s="102"/>
      <c r="F1185" s="102"/>
      <c r="G1185" s="102"/>
      <c r="H1185" s="295"/>
      <c r="I1185" s="102"/>
      <c r="J1185" s="77"/>
      <c r="K1185" s="77"/>
      <c r="L1185" s="77"/>
      <c r="M1185" s="77"/>
      <c r="N1185" s="77"/>
      <c r="O1185" s="77"/>
      <c r="P1185" s="268"/>
      <c r="Q1185" s="268"/>
      <c r="R1185" s="77"/>
      <c r="S1185" s="77"/>
      <c r="T1185" s="77"/>
      <c r="U1185" s="77"/>
      <c r="V1185" s="77"/>
      <c r="W1185" s="77"/>
      <c r="X1185" s="77"/>
      <c r="Y1185" s="77"/>
      <c r="Z1185" s="77"/>
      <c r="AA1185" s="77"/>
      <c r="AB1185" s="77"/>
      <c r="AC1185" s="77"/>
      <c r="AD1185" s="77"/>
      <c r="AE1185" s="77"/>
      <c r="AF1185" s="77"/>
      <c r="AG1185" s="77"/>
      <c r="AH1185" s="87"/>
      <c r="AI1185" s="87"/>
      <c r="AJ1185" s="87"/>
      <c r="AK1185" s="87"/>
      <c r="AL1185" s="87"/>
    </row>
    <row r="1186">
      <c r="A1186" s="77"/>
      <c r="B1186" s="102"/>
      <c r="C1186" s="102"/>
      <c r="D1186" s="102"/>
      <c r="E1186" s="102"/>
      <c r="F1186" s="102"/>
      <c r="G1186" s="102"/>
      <c r="H1186" s="295"/>
      <c r="I1186" s="102"/>
      <c r="J1186" s="77"/>
      <c r="K1186" s="77"/>
      <c r="L1186" s="77"/>
      <c r="M1186" s="77"/>
      <c r="N1186" s="77"/>
      <c r="O1186" s="77"/>
      <c r="P1186" s="268"/>
      <c r="Q1186" s="268"/>
      <c r="R1186" s="77"/>
      <c r="S1186" s="77"/>
      <c r="T1186" s="77"/>
      <c r="U1186" s="77"/>
      <c r="V1186" s="77"/>
      <c r="W1186" s="77"/>
      <c r="X1186" s="77"/>
      <c r="Y1186" s="77"/>
      <c r="Z1186" s="77"/>
      <c r="AA1186" s="77"/>
      <c r="AB1186" s="77"/>
      <c r="AC1186" s="77"/>
      <c r="AD1186" s="77"/>
      <c r="AE1186" s="77"/>
      <c r="AF1186" s="77"/>
      <c r="AG1186" s="77"/>
      <c r="AH1186" s="87"/>
      <c r="AI1186" s="87"/>
      <c r="AJ1186" s="87"/>
      <c r="AK1186" s="87"/>
      <c r="AL1186" s="87"/>
    </row>
    <row r="1187">
      <c r="A1187" s="77"/>
      <c r="B1187" s="102"/>
      <c r="C1187" s="102"/>
      <c r="D1187" s="102"/>
      <c r="E1187" s="102"/>
      <c r="F1187" s="102"/>
      <c r="G1187" s="102"/>
      <c r="H1187" s="295"/>
      <c r="I1187" s="102"/>
      <c r="J1187" s="77"/>
      <c r="K1187" s="77"/>
      <c r="L1187" s="77"/>
      <c r="M1187" s="77"/>
      <c r="N1187" s="77"/>
      <c r="O1187" s="77"/>
      <c r="P1187" s="268"/>
      <c r="Q1187" s="268"/>
      <c r="R1187" s="77"/>
      <c r="S1187" s="77"/>
      <c r="T1187" s="77"/>
      <c r="U1187" s="77"/>
      <c r="V1187" s="77"/>
      <c r="W1187" s="77"/>
      <c r="X1187" s="77"/>
      <c r="Y1187" s="77"/>
      <c r="Z1187" s="77"/>
      <c r="AA1187" s="77"/>
      <c r="AB1187" s="77"/>
      <c r="AC1187" s="77"/>
      <c r="AD1187" s="77"/>
      <c r="AE1187" s="77"/>
      <c r="AF1187" s="77"/>
      <c r="AG1187" s="77"/>
      <c r="AH1187" s="87"/>
      <c r="AI1187" s="87"/>
      <c r="AJ1187" s="87"/>
      <c r="AK1187" s="87"/>
      <c r="AL1187" s="87"/>
    </row>
    <row r="1188">
      <c r="A1188" s="77"/>
      <c r="B1188" s="102"/>
      <c r="C1188" s="102"/>
      <c r="D1188" s="102"/>
      <c r="E1188" s="102"/>
      <c r="F1188" s="102"/>
      <c r="G1188" s="102"/>
      <c r="H1188" s="295"/>
      <c r="I1188" s="102"/>
      <c r="J1188" s="77"/>
      <c r="K1188" s="77"/>
      <c r="L1188" s="77"/>
      <c r="M1188" s="77"/>
      <c r="N1188" s="77"/>
      <c r="O1188" s="77"/>
      <c r="P1188" s="268"/>
      <c r="Q1188" s="268"/>
      <c r="R1188" s="77"/>
      <c r="S1188" s="77"/>
      <c r="T1188" s="77"/>
      <c r="U1188" s="77"/>
      <c r="V1188" s="77"/>
      <c r="W1188" s="77"/>
      <c r="X1188" s="77"/>
      <c r="Y1188" s="77"/>
      <c r="Z1188" s="77"/>
      <c r="AA1188" s="77"/>
      <c r="AB1188" s="77"/>
      <c r="AC1188" s="77"/>
      <c r="AD1188" s="77"/>
      <c r="AE1188" s="77"/>
      <c r="AF1188" s="77"/>
      <c r="AG1188" s="77"/>
      <c r="AH1188" s="87"/>
      <c r="AI1188" s="87"/>
      <c r="AJ1188" s="87"/>
      <c r="AK1188" s="87"/>
      <c r="AL1188" s="87"/>
    </row>
    <row r="1189">
      <c r="A1189" s="77"/>
      <c r="B1189" s="102"/>
      <c r="C1189" s="102"/>
      <c r="D1189" s="102"/>
      <c r="E1189" s="102"/>
      <c r="F1189" s="102"/>
      <c r="G1189" s="102"/>
      <c r="H1189" s="295"/>
      <c r="I1189" s="102"/>
      <c r="J1189" s="77"/>
      <c r="K1189" s="77"/>
      <c r="L1189" s="77"/>
      <c r="M1189" s="77"/>
      <c r="N1189" s="77"/>
      <c r="O1189" s="77"/>
      <c r="P1189" s="268"/>
      <c r="Q1189" s="268"/>
      <c r="R1189" s="77"/>
      <c r="S1189" s="77"/>
      <c r="T1189" s="77"/>
      <c r="U1189" s="77"/>
      <c r="V1189" s="77"/>
      <c r="W1189" s="77"/>
      <c r="X1189" s="77"/>
      <c r="Y1189" s="77"/>
      <c r="Z1189" s="77"/>
      <c r="AA1189" s="77"/>
      <c r="AB1189" s="77"/>
      <c r="AC1189" s="77"/>
      <c r="AD1189" s="77"/>
      <c r="AE1189" s="77"/>
      <c r="AF1189" s="77"/>
      <c r="AG1189" s="77"/>
      <c r="AH1189" s="87"/>
      <c r="AI1189" s="87"/>
      <c r="AJ1189" s="87"/>
      <c r="AK1189" s="87"/>
      <c r="AL1189" s="87"/>
    </row>
    <row r="1190">
      <c r="A1190" s="77"/>
      <c r="B1190" s="102"/>
      <c r="C1190" s="102"/>
      <c r="D1190" s="102"/>
      <c r="E1190" s="102"/>
      <c r="F1190" s="102"/>
      <c r="G1190" s="102"/>
      <c r="H1190" s="295"/>
      <c r="I1190" s="102"/>
      <c r="J1190" s="77"/>
      <c r="K1190" s="77"/>
      <c r="L1190" s="77"/>
      <c r="M1190" s="77"/>
      <c r="N1190" s="77"/>
      <c r="O1190" s="77"/>
      <c r="P1190" s="268"/>
      <c r="Q1190" s="268"/>
      <c r="R1190" s="77"/>
      <c r="S1190" s="77"/>
      <c r="T1190" s="77"/>
      <c r="U1190" s="77"/>
      <c r="V1190" s="77"/>
      <c r="W1190" s="77"/>
      <c r="X1190" s="77"/>
      <c r="Y1190" s="77"/>
      <c r="Z1190" s="77"/>
      <c r="AA1190" s="77"/>
      <c r="AB1190" s="77"/>
      <c r="AC1190" s="77"/>
      <c r="AD1190" s="77"/>
      <c r="AE1190" s="77"/>
      <c r="AF1190" s="77"/>
      <c r="AG1190" s="77"/>
      <c r="AH1190" s="87"/>
      <c r="AI1190" s="87"/>
      <c r="AJ1190" s="87"/>
      <c r="AK1190" s="87"/>
      <c r="AL1190" s="87"/>
    </row>
    <row r="1191">
      <c r="A1191" s="77"/>
      <c r="B1191" s="102"/>
      <c r="C1191" s="102"/>
      <c r="D1191" s="102"/>
      <c r="E1191" s="102"/>
      <c r="F1191" s="102"/>
      <c r="G1191" s="102"/>
      <c r="H1191" s="295"/>
      <c r="I1191" s="102"/>
      <c r="J1191" s="77"/>
      <c r="K1191" s="77"/>
      <c r="L1191" s="77"/>
      <c r="M1191" s="77"/>
      <c r="N1191" s="77"/>
      <c r="O1191" s="77"/>
      <c r="P1191" s="268"/>
      <c r="Q1191" s="268"/>
      <c r="R1191" s="77"/>
      <c r="S1191" s="77"/>
      <c r="T1191" s="77"/>
      <c r="U1191" s="77"/>
      <c r="V1191" s="77"/>
      <c r="W1191" s="77"/>
      <c r="X1191" s="77"/>
      <c r="Y1191" s="77"/>
      <c r="Z1191" s="77"/>
      <c r="AA1191" s="77"/>
      <c r="AB1191" s="77"/>
      <c r="AC1191" s="77"/>
      <c r="AD1191" s="77"/>
      <c r="AE1191" s="77"/>
      <c r="AF1191" s="77"/>
      <c r="AG1191" s="77"/>
      <c r="AH1191" s="87"/>
      <c r="AI1191" s="87"/>
      <c r="AJ1191" s="87"/>
      <c r="AK1191" s="87"/>
      <c r="AL1191" s="87"/>
    </row>
    <row r="1192">
      <c r="A1192" s="77"/>
      <c r="B1192" s="102"/>
      <c r="C1192" s="102"/>
      <c r="D1192" s="102"/>
      <c r="E1192" s="102"/>
      <c r="F1192" s="102"/>
      <c r="G1192" s="102"/>
      <c r="H1192" s="295"/>
      <c r="I1192" s="102"/>
      <c r="J1192" s="77"/>
      <c r="K1192" s="77"/>
      <c r="L1192" s="77"/>
      <c r="M1192" s="77"/>
      <c r="N1192" s="77"/>
      <c r="O1192" s="77"/>
      <c r="P1192" s="268"/>
      <c r="Q1192" s="268"/>
      <c r="R1192" s="77"/>
      <c r="S1192" s="77"/>
      <c r="T1192" s="77"/>
      <c r="U1192" s="77"/>
      <c r="V1192" s="77"/>
      <c r="W1192" s="77"/>
      <c r="X1192" s="77"/>
      <c r="Y1192" s="77"/>
      <c r="Z1192" s="77"/>
      <c r="AA1192" s="77"/>
      <c r="AB1192" s="77"/>
      <c r="AC1192" s="77"/>
      <c r="AD1192" s="77"/>
      <c r="AE1192" s="77"/>
      <c r="AF1192" s="77"/>
      <c r="AG1192" s="77"/>
      <c r="AH1192" s="87"/>
      <c r="AI1192" s="87"/>
      <c r="AJ1192" s="87"/>
      <c r="AK1192" s="87"/>
      <c r="AL1192" s="87"/>
    </row>
    <row r="1193">
      <c r="A1193" s="77"/>
      <c r="B1193" s="102"/>
      <c r="C1193" s="102"/>
      <c r="D1193" s="102"/>
      <c r="E1193" s="102"/>
      <c r="F1193" s="102"/>
      <c r="G1193" s="102"/>
      <c r="H1193" s="295"/>
      <c r="I1193" s="102"/>
      <c r="J1193" s="77"/>
      <c r="K1193" s="77"/>
      <c r="L1193" s="77"/>
      <c r="M1193" s="77"/>
      <c r="N1193" s="77"/>
      <c r="O1193" s="77"/>
      <c r="P1193" s="268"/>
      <c r="Q1193" s="268"/>
      <c r="R1193" s="77"/>
      <c r="S1193" s="77"/>
      <c r="T1193" s="77"/>
      <c r="U1193" s="77"/>
      <c r="V1193" s="77"/>
      <c r="W1193" s="77"/>
      <c r="X1193" s="77"/>
      <c r="Y1193" s="77"/>
      <c r="Z1193" s="77"/>
      <c r="AA1193" s="77"/>
      <c r="AB1193" s="77"/>
      <c r="AC1193" s="77"/>
      <c r="AD1193" s="77"/>
      <c r="AE1193" s="77"/>
      <c r="AF1193" s="77"/>
      <c r="AG1193" s="77"/>
      <c r="AH1193" s="87"/>
      <c r="AI1193" s="87"/>
      <c r="AJ1193" s="87"/>
      <c r="AK1193" s="87"/>
      <c r="AL1193" s="87"/>
    </row>
    <row r="1194">
      <c r="A1194" s="77"/>
      <c r="B1194" s="102"/>
      <c r="C1194" s="102"/>
      <c r="D1194" s="102"/>
      <c r="E1194" s="102"/>
      <c r="F1194" s="102"/>
      <c r="G1194" s="102"/>
      <c r="H1194" s="295"/>
      <c r="I1194" s="102"/>
      <c r="J1194" s="77"/>
      <c r="K1194" s="77"/>
      <c r="L1194" s="77"/>
      <c r="M1194" s="77"/>
      <c r="N1194" s="77"/>
      <c r="O1194" s="77"/>
      <c r="P1194" s="268"/>
      <c r="Q1194" s="268"/>
      <c r="R1194" s="77"/>
      <c r="S1194" s="77"/>
      <c r="T1194" s="77"/>
      <c r="U1194" s="77"/>
      <c r="V1194" s="77"/>
      <c r="W1194" s="77"/>
      <c r="X1194" s="77"/>
      <c r="Y1194" s="77"/>
      <c r="Z1194" s="77"/>
      <c r="AA1194" s="77"/>
      <c r="AB1194" s="77"/>
      <c r="AC1194" s="77"/>
      <c r="AD1194" s="77"/>
      <c r="AE1194" s="77"/>
      <c r="AF1194" s="77"/>
      <c r="AG1194" s="77"/>
      <c r="AH1194" s="87"/>
      <c r="AI1194" s="87"/>
      <c r="AJ1194" s="87"/>
      <c r="AK1194" s="87"/>
      <c r="AL1194" s="87"/>
    </row>
    <row r="1195">
      <c r="A1195" s="77"/>
      <c r="B1195" s="102"/>
      <c r="C1195" s="102"/>
      <c r="D1195" s="102"/>
      <c r="E1195" s="102"/>
      <c r="F1195" s="102"/>
      <c r="G1195" s="102"/>
      <c r="H1195" s="295"/>
      <c r="I1195" s="102"/>
      <c r="J1195" s="77"/>
      <c r="K1195" s="77"/>
      <c r="L1195" s="77"/>
      <c r="M1195" s="77"/>
      <c r="N1195" s="77"/>
      <c r="O1195" s="77"/>
      <c r="P1195" s="268"/>
      <c r="Q1195" s="268"/>
      <c r="R1195" s="77"/>
      <c r="S1195" s="77"/>
      <c r="T1195" s="77"/>
      <c r="U1195" s="77"/>
      <c r="V1195" s="77"/>
      <c r="W1195" s="77"/>
      <c r="X1195" s="77"/>
      <c r="Y1195" s="77"/>
      <c r="Z1195" s="77"/>
      <c r="AA1195" s="77"/>
      <c r="AB1195" s="77"/>
      <c r="AC1195" s="77"/>
      <c r="AD1195" s="77"/>
      <c r="AE1195" s="77"/>
      <c r="AF1195" s="77"/>
      <c r="AG1195" s="77"/>
      <c r="AH1195" s="87"/>
      <c r="AI1195" s="87"/>
      <c r="AJ1195" s="87"/>
      <c r="AK1195" s="87"/>
      <c r="AL1195" s="87"/>
    </row>
    <row r="1196">
      <c r="A1196" s="77"/>
      <c r="B1196" s="102"/>
      <c r="C1196" s="102"/>
      <c r="D1196" s="102"/>
      <c r="E1196" s="102"/>
      <c r="F1196" s="102"/>
      <c r="G1196" s="102"/>
      <c r="H1196" s="295"/>
      <c r="I1196" s="102"/>
      <c r="J1196" s="77"/>
      <c r="K1196" s="77"/>
      <c r="L1196" s="77"/>
      <c r="M1196" s="77"/>
      <c r="N1196" s="77"/>
      <c r="O1196" s="77"/>
      <c r="P1196" s="268"/>
      <c r="Q1196" s="268"/>
      <c r="R1196" s="77"/>
      <c r="S1196" s="77"/>
      <c r="T1196" s="77"/>
      <c r="U1196" s="77"/>
      <c r="V1196" s="77"/>
      <c r="W1196" s="77"/>
      <c r="X1196" s="77"/>
      <c r="Y1196" s="77"/>
      <c r="Z1196" s="77"/>
      <c r="AA1196" s="77"/>
      <c r="AB1196" s="77"/>
      <c r="AC1196" s="77"/>
      <c r="AD1196" s="77"/>
      <c r="AE1196" s="77"/>
      <c r="AF1196" s="77"/>
      <c r="AG1196" s="77"/>
      <c r="AH1196" s="87"/>
      <c r="AI1196" s="87"/>
      <c r="AJ1196" s="87"/>
      <c r="AK1196" s="87"/>
      <c r="AL1196" s="87"/>
    </row>
    <row r="1197">
      <c r="A1197" s="77"/>
      <c r="B1197" s="102"/>
      <c r="C1197" s="102"/>
      <c r="D1197" s="102"/>
      <c r="E1197" s="102"/>
      <c r="F1197" s="102"/>
      <c r="G1197" s="102"/>
      <c r="H1197" s="295"/>
      <c r="I1197" s="102"/>
      <c r="J1197" s="77"/>
      <c r="K1197" s="77"/>
      <c r="L1197" s="77"/>
      <c r="M1197" s="77"/>
      <c r="N1197" s="77"/>
      <c r="O1197" s="77"/>
      <c r="P1197" s="268"/>
      <c r="Q1197" s="268"/>
      <c r="R1197" s="77"/>
      <c r="S1197" s="77"/>
      <c r="T1197" s="77"/>
      <c r="U1197" s="77"/>
      <c r="V1197" s="77"/>
      <c r="W1197" s="77"/>
      <c r="X1197" s="77"/>
      <c r="Y1197" s="77"/>
      <c r="Z1197" s="77"/>
      <c r="AA1197" s="77"/>
      <c r="AB1197" s="77"/>
      <c r="AC1197" s="77"/>
      <c r="AD1197" s="77"/>
      <c r="AE1197" s="77"/>
      <c r="AF1197" s="77"/>
      <c r="AG1197" s="77"/>
      <c r="AH1197" s="87"/>
      <c r="AI1197" s="87"/>
      <c r="AJ1197" s="87"/>
      <c r="AK1197" s="87"/>
      <c r="AL1197" s="87"/>
    </row>
    <row r="1198">
      <c r="A1198" s="77"/>
      <c r="B1198" s="102"/>
      <c r="C1198" s="102"/>
      <c r="D1198" s="102"/>
      <c r="E1198" s="102"/>
      <c r="F1198" s="102"/>
      <c r="G1198" s="102"/>
      <c r="H1198" s="295"/>
      <c r="I1198" s="102"/>
      <c r="J1198" s="77"/>
      <c r="K1198" s="77"/>
      <c r="L1198" s="77"/>
      <c r="M1198" s="77"/>
      <c r="N1198" s="77"/>
      <c r="O1198" s="77"/>
      <c r="P1198" s="268"/>
      <c r="Q1198" s="268"/>
      <c r="R1198" s="77"/>
      <c r="S1198" s="77"/>
      <c r="T1198" s="77"/>
      <c r="U1198" s="77"/>
      <c r="V1198" s="77"/>
      <c r="W1198" s="77"/>
      <c r="X1198" s="77"/>
      <c r="Y1198" s="77"/>
      <c r="Z1198" s="77"/>
      <c r="AA1198" s="77"/>
      <c r="AB1198" s="77"/>
      <c r="AC1198" s="77"/>
      <c r="AD1198" s="77"/>
      <c r="AE1198" s="77"/>
      <c r="AF1198" s="77"/>
      <c r="AG1198" s="77"/>
      <c r="AH1198" s="87"/>
      <c r="AI1198" s="87"/>
      <c r="AJ1198" s="87"/>
      <c r="AK1198" s="87"/>
      <c r="AL1198" s="87"/>
    </row>
    <row r="1199">
      <c r="A1199" s="77"/>
      <c r="B1199" s="102"/>
      <c r="C1199" s="102"/>
      <c r="D1199" s="102"/>
      <c r="E1199" s="102"/>
      <c r="F1199" s="102"/>
      <c r="G1199" s="102"/>
      <c r="H1199" s="295"/>
      <c r="I1199" s="102"/>
      <c r="J1199" s="77"/>
      <c r="K1199" s="77"/>
      <c r="L1199" s="77"/>
      <c r="M1199" s="77"/>
      <c r="N1199" s="77"/>
      <c r="O1199" s="77"/>
      <c r="P1199" s="268"/>
      <c r="Q1199" s="268"/>
      <c r="R1199" s="77"/>
      <c r="S1199" s="77"/>
      <c r="T1199" s="77"/>
      <c r="U1199" s="77"/>
      <c r="V1199" s="77"/>
      <c r="W1199" s="77"/>
      <c r="X1199" s="77"/>
      <c r="Y1199" s="77"/>
      <c r="Z1199" s="77"/>
      <c r="AA1199" s="77"/>
      <c r="AB1199" s="77"/>
      <c r="AC1199" s="77"/>
      <c r="AD1199" s="77"/>
      <c r="AE1199" s="77"/>
      <c r="AF1199" s="77"/>
      <c r="AG1199" s="77"/>
      <c r="AH1199" s="87"/>
      <c r="AI1199" s="87"/>
      <c r="AJ1199" s="87"/>
      <c r="AK1199" s="87"/>
      <c r="AL1199" s="87"/>
    </row>
    <row r="1200">
      <c r="A1200" s="77"/>
      <c r="B1200" s="102"/>
      <c r="C1200" s="102"/>
      <c r="D1200" s="102"/>
      <c r="E1200" s="102"/>
      <c r="F1200" s="102"/>
      <c r="G1200" s="102"/>
      <c r="H1200" s="295"/>
      <c r="I1200" s="102"/>
      <c r="J1200" s="77"/>
      <c r="K1200" s="77"/>
      <c r="L1200" s="77"/>
      <c r="M1200" s="77"/>
      <c r="N1200" s="77"/>
      <c r="O1200" s="77"/>
      <c r="P1200" s="268"/>
      <c r="Q1200" s="268"/>
      <c r="R1200" s="77"/>
      <c r="S1200" s="77"/>
      <c r="T1200" s="77"/>
      <c r="U1200" s="77"/>
      <c r="V1200" s="77"/>
      <c r="W1200" s="77"/>
      <c r="X1200" s="77"/>
      <c r="Y1200" s="77"/>
      <c r="Z1200" s="77"/>
      <c r="AA1200" s="77"/>
      <c r="AB1200" s="77"/>
      <c r="AC1200" s="77"/>
      <c r="AD1200" s="77"/>
      <c r="AE1200" s="77"/>
      <c r="AF1200" s="77"/>
      <c r="AG1200" s="77"/>
      <c r="AH1200" s="87"/>
      <c r="AI1200" s="87"/>
      <c r="AJ1200" s="87"/>
      <c r="AK1200" s="87"/>
      <c r="AL1200" s="87"/>
    </row>
    <row r="1201">
      <c r="A1201" s="77"/>
      <c r="B1201" s="102"/>
      <c r="C1201" s="102"/>
      <c r="D1201" s="102"/>
      <c r="E1201" s="102"/>
      <c r="F1201" s="102"/>
      <c r="G1201" s="102"/>
      <c r="H1201" s="295"/>
      <c r="I1201" s="102"/>
      <c r="J1201" s="77"/>
      <c r="K1201" s="77"/>
      <c r="L1201" s="77"/>
      <c r="M1201" s="77"/>
      <c r="N1201" s="77"/>
      <c r="O1201" s="77"/>
      <c r="P1201" s="268"/>
      <c r="Q1201" s="268"/>
      <c r="R1201" s="77"/>
      <c r="S1201" s="77"/>
      <c r="T1201" s="77"/>
      <c r="U1201" s="77"/>
      <c r="V1201" s="77"/>
      <c r="W1201" s="77"/>
      <c r="X1201" s="77"/>
      <c r="Y1201" s="77"/>
      <c r="Z1201" s="77"/>
      <c r="AA1201" s="77"/>
      <c r="AB1201" s="77"/>
      <c r="AC1201" s="77"/>
      <c r="AD1201" s="77"/>
      <c r="AE1201" s="77"/>
      <c r="AF1201" s="77"/>
      <c r="AG1201" s="77"/>
      <c r="AH1201" s="87"/>
      <c r="AI1201" s="87"/>
      <c r="AJ1201" s="87"/>
      <c r="AK1201" s="87"/>
      <c r="AL1201" s="87"/>
    </row>
    <row r="1202">
      <c r="A1202" s="77"/>
      <c r="B1202" s="102"/>
      <c r="C1202" s="102"/>
      <c r="D1202" s="102"/>
      <c r="E1202" s="102"/>
      <c r="F1202" s="102"/>
      <c r="G1202" s="102"/>
      <c r="H1202" s="295"/>
      <c r="I1202" s="102"/>
      <c r="J1202" s="77"/>
      <c r="K1202" s="77"/>
      <c r="L1202" s="77"/>
      <c r="M1202" s="77"/>
      <c r="N1202" s="77"/>
      <c r="O1202" s="77"/>
      <c r="P1202" s="268"/>
      <c r="Q1202" s="268"/>
      <c r="R1202" s="77"/>
      <c r="S1202" s="77"/>
      <c r="T1202" s="77"/>
      <c r="U1202" s="77"/>
      <c r="V1202" s="77"/>
      <c r="W1202" s="77"/>
      <c r="X1202" s="77"/>
      <c r="Y1202" s="77"/>
      <c r="Z1202" s="77"/>
      <c r="AA1202" s="77"/>
      <c r="AB1202" s="77"/>
      <c r="AC1202" s="77"/>
      <c r="AD1202" s="77"/>
      <c r="AE1202" s="77"/>
      <c r="AF1202" s="77"/>
      <c r="AG1202" s="77"/>
      <c r="AH1202" s="87"/>
      <c r="AI1202" s="87"/>
      <c r="AJ1202" s="87"/>
      <c r="AK1202" s="87"/>
      <c r="AL1202" s="87"/>
    </row>
    <row r="1203">
      <c r="A1203" s="77"/>
      <c r="B1203" s="102"/>
      <c r="C1203" s="102"/>
      <c r="D1203" s="102"/>
      <c r="E1203" s="102"/>
      <c r="F1203" s="102"/>
      <c r="G1203" s="102"/>
      <c r="H1203" s="295"/>
      <c r="I1203" s="102"/>
      <c r="J1203" s="77"/>
      <c r="K1203" s="77"/>
      <c r="L1203" s="77"/>
      <c r="M1203" s="77"/>
      <c r="N1203" s="77"/>
      <c r="O1203" s="77"/>
      <c r="P1203" s="268"/>
      <c r="Q1203" s="268"/>
      <c r="R1203" s="77"/>
      <c r="S1203" s="77"/>
      <c r="T1203" s="77"/>
      <c r="U1203" s="77"/>
      <c r="V1203" s="77"/>
      <c r="W1203" s="77"/>
      <c r="X1203" s="77"/>
      <c r="Y1203" s="77"/>
      <c r="Z1203" s="77"/>
      <c r="AA1203" s="77"/>
      <c r="AB1203" s="77"/>
      <c r="AC1203" s="77"/>
      <c r="AD1203" s="77"/>
      <c r="AE1203" s="77"/>
      <c r="AF1203" s="77"/>
      <c r="AG1203" s="77"/>
      <c r="AH1203" s="87"/>
      <c r="AI1203" s="87"/>
      <c r="AJ1203" s="87"/>
      <c r="AK1203" s="87"/>
      <c r="AL1203" s="87"/>
    </row>
    <row r="1204">
      <c r="A1204" s="77"/>
      <c r="B1204" s="102"/>
      <c r="C1204" s="102"/>
      <c r="D1204" s="102"/>
      <c r="E1204" s="102"/>
      <c r="F1204" s="102"/>
      <c r="G1204" s="102"/>
      <c r="H1204" s="295"/>
      <c r="I1204" s="102"/>
      <c r="J1204" s="77"/>
      <c r="K1204" s="77"/>
      <c r="L1204" s="77"/>
      <c r="M1204" s="77"/>
      <c r="N1204" s="77"/>
      <c r="O1204" s="77"/>
      <c r="P1204" s="268"/>
      <c r="Q1204" s="268"/>
      <c r="R1204" s="77"/>
      <c r="S1204" s="77"/>
      <c r="T1204" s="77"/>
      <c r="U1204" s="77"/>
      <c r="V1204" s="77"/>
      <c r="W1204" s="77"/>
      <c r="X1204" s="77"/>
      <c r="Y1204" s="77"/>
      <c r="Z1204" s="77"/>
      <c r="AA1204" s="77"/>
      <c r="AB1204" s="77"/>
      <c r="AC1204" s="77"/>
      <c r="AD1204" s="77"/>
      <c r="AE1204" s="77"/>
      <c r="AF1204" s="77"/>
      <c r="AG1204" s="77"/>
      <c r="AH1204" s="87"/>
      <c r="AI1204" s="87"/>
      <c r="AJ1204" s="87"/>
      <c r="AK1204" s="87"/>
      <c r="AL1204" s="87"/>
    </row>
    <row r="1205">
      <c r="A1205" s="77"/>
      <c r="B1205" s="102"/>
      <c r="C1205" s="102"/>
      <c r="D1205" s="102"/>
      <c r="E1205" s="102"/>
      <c r="F1205" s="102"/>
      <c r="G1205" s="102"/>
      <c r="H1205" s="295"/>
      <c r="I1205" s="102"/>
      <c r="J1205" s="77"/>
      <c r="K1205" s="77"/>
      <c r="L1205" s="77"/>
      <c r="M1205" s="77"/>
      <c r="N1205" s="77"/>
      <c r="O1205" s="77"/>
      <c r="P1205" s="268"/>
      <c r="Q1205" s="268"/>
      <c r="R1205" s="77"/>
      <c r="S1205" s="77"/>
      <c r="T1205" s="77"/>
      <c r="U1205" s="77"/>
      <c r="V1205" s="77"/>
      <c r="W1205" s="77"/>
      <c r="X1205" s="77"/>
      <c r="Y1205" s="77"/>
      <c r="Z1205" s="77"/>
      <c r="AA1205" s="77"/>
      <c r="AB1205" s="77"/>
      <c r="AC1205" s="77"/>
      <c r="AD1205" s="77"/>
      <c r="AE1205" s="77"/>
      <c r="AF1205" s="77"/>
      <c r="AG1205" s="77"/>
      <c r="AH1205" s="87"/>
      <c r="AI1205" s="87"/>
      <c r="AJ1205" s="87"/>
      <c r="AK1205" s="87"/>
      <c r="AL1205" s="87"/>
    </row>
    <row r="1206">
      <c r="A1206" s="77"/>
      <c r="B1206" s="102"/>
      <c r="C1206" s="102"/>
      <c r="D1206" s="102"/>
      <c r="E1206" s="102"/>
      <c r="F1206" s="102"/>
      <c r="G1206" s="102"/>
      <c r="H1206" s="295"/>
      <c r="I1206" s="102"/>
      <c r="J1206" s="77"/>
      <c r="K1206" s="77"/>
      <c r="L1206" s="77"/>
      <c r="M1206" s="77"/>
      <c r="N1206" s="77"/>
      <c r="O1206" s="77"/>
      <c r="P1206" s="268"/>
      <c r="Q1206" s="268"/>
      <c r="R1206" s="77"/>
      <c r="S1206" s="77"/>
      <c r="T1206" s="77"/>
      <c r="U1206" s="77"/>
      <c r="V1206" s="77"/>
      <c r="W1206" s="77"/>
      <c r="X1206" s="77"/>
      <c r="Y1206" s="77"/>
      <c r="Z1206" s="77"/>
      <c r="AA1206" s="77"/>
      <c r="AB1206" s="77"/>
      <c r="AC1206" s="77"/>
      <c r="AD1206" s="77"/>
      <c r="AE1206" s="77"/>
      <c r="AF1206" s="77"/>
      <c r="AG1206" s="77"/>
      <c r="AH1206" s="87"/>
      <c r="AI1206" s="87"/>
      <c r="AJ1206" s="87"/>
      <c r="AK1206" s="87"/>
      <c r="AL1206" s="87"/>
    </row>
    <row r="1207">
      <c r="A1207" s="77"/>
      <c r="B1207" s="102"/>
      <c r="C1207" s="102"/>
      <c r="D1207" s="102"/>
      <c r="E1207" s="102"/>
      <c r="F1207" s="102"/>
      <c r="G1207" s="102"/>
      <c r="H1207" s="295"/>
      <c r="I1207" s="102"/>
      <c r="J1207" s="77"/>
      <c r="K1207" s="77"/>
      <c r="L1207" s="77"/>
      <c r="M1207" s="77"/>
      <c r="N1207" s="77"/>
      <c r="O1207" s="77"/>
      <c r="P1207" s="268"/>
      <c r="Q1207" s="268"/>
      <c r="R1207" s="77"/>
      <c r="S1207" s="77"/>
      <c r="T1207" s="77"/>
      <c r="U1207" s="77"/>
      <c r="V1207" s="77"/>
      <c r="W1207" s="77"/>
      <c r="X1207" s="77"/>
      <c r="Y1207" s="77"/>
      <c r="Z1207" s="77"/>
      <c r="AA1207" s="77"/>
      <c r="AB1207" s="77"/>
      <c r="AC1207" s="77"/>
      <c r="AD1207" s="77"/>
      <c r="AE1207" s="77"/>
      <c r="AF1207" s="77"/>
      <c r="AG1207" s="77"/>
      <c r="AH1207" s="87"/>
      <c r="AI1207" s="87"/>
      <c r="AJ1207" s="87"/>
      <c r="AK1207" s="87"/>
      <c r="AL1207" s="87"/>
    </row>
    <row r="1208">
      <c r="A1208" s="77"/>
      <c r="B1208" s="102"/>
      <c r="C1208" s="102"/>
      <c r="D1208" s="102"/>
      <c r="E1208" s="102"/>
      <c r="F1208" s="102"/>
      <c r="G1208" s="102"/>
      <c r="H1208" s="295"/>
      <c r="I1208" s="102"/>
      <c r="J1208" s="77"/>
      <c r="K1208" s="77"/>
      <c r="L1208" s="77"/>
      <c r="M1208" s="77"/>
      <c r="N1208" s="77"/>
      <c r="O1208" s="77"/>
      <c r="P1208" s="268"/>
      <c r="Q1208" s="268"/>
      <c r="R1208" s="77"/>
      <c r="S1208" s="77"/>
      <c r="T1208" s="77"/>
      <c r="U1208" s="77"/>
      <c r="V1208" s="77"/>
      <c r="W1208" s="77"/>
      <c r="X1208" s="77"/>
      <c r="Y1208" s="77"/>
      <c r="Z1208" s="77"/>
      <c r="AA1208" s="77"/>
      <c r="AB1208" s="77"/>
      <c r="AC1208" s="77"/>
      <c r="AD1208" s="77"/>
      <c r="AE1208" s="77"/>
      <c r="AF1208" s="77"/>
      <c r="AG1208" s="77"/>
      <c r="AH1208" s="87"/>
      <c r="AI1208" s="87"/>
      <c r="AJ1208" s="87"/>
      <c r="AK1208" s="87"/>
      <c r="AL1208" s="87"/>
    </row>
    <row r="1209">
      <c r="A1209" s="77"/>
      <c r="B1209" s="102"/>
      <c r="C1209" s="102"/>
      <c r="D1209" s="102"/>
      <c r="E1209" s="102"/>
      <c r="F1209" s="102"/>
      <c r="G1209" s="102"/>
      <c r="H1209" s="295"/>
      <c r="I1209" s="102"/>
      <c r="J1209" s="77"/>
      <c r="K1209" s="77"/>
      <c r="L1209" s="77"/>
      <c r="M1209" s="77"/>
      <c r="N1209" s="77"/>
      <c r="O1209" s="77"/>
      <c r="P1209" s="268"/>
      <c r="Q1209" s="268"/>
      <c r="R1209" s="77"/>
      <c r="S1209" s="77"/>
      <c r="T1209" s="77"/>
      <c r="U1209" s="77"/>
      <c r="V1209" s="77"/>
      <c r="W1209" s="77"/>
      <c r="X1209" s="77"/>
      <c r="Y1209" s="77"/>
      <c r="Z1209" s="77"/>
      <c r="AA1209" s="77"/>
      <c r="AB1209" s="77"/>
      <c r="AC1209" s="77"/>
      <c r="AD1209" s="77"/>
      <c r="AE1209" s="77"/>
      <c r="AF1209" s="77"/>
      <c r="AG1209" s="77"/>
      <c r="AH1209" s="87"/>
      <c r="AI1209" s="87"/>
      <c r="AJ1209" s="87"/>
      <c r="AK1209" s="87"/>
      <c r="AL1209" s="87"/>
    </row>
    <row r="1210">
      <c r="A1210" s="77"/>
      <c r="B1210" s="102"/>
      <c r="C1210" s="102"/>
      <c r="D1210" s="102"/>
      <c r="E1210" s="102"/>
      <c r="F1210" s="102"/>
      <c r="G1210" s="102"/>
      <c r="H1210" s="295"/>
      <c r="I1210" s="102"/>
      <c r="J1210" s="77"/>
      <c r="K1210" s="77"/>
      <c r="L1210" s="77"/>
      <c r="M1210" s="77"/>
      <c r="N1210" s="77"/>
      <c r="O1210" s="77"/>
      <c r="P1210" s="268"/>
      <c r="Q1210" s="268"/>
      <c r="R1210" s="77"/>
      <c r="S1210" s="77"/>
      <c r="T1210" s="77"/>
      <c r="U1210" s="77"/>
      <c r="V1210" s="77"/>
      <c r="W1210" s="77"/>
      <c r="X1210" s="77"/>
      <c r="Y1210" s="77"/>
      <c r="Z1210" s="77"/>
      <c r="AA1210" s="77"/>
      <c r="AB1210" s="77"/>
      <c r="AC1210" s="77"/>
      <c r="AD1210" s="77"/>
      <c r="AE1210" s="77"/>
      <c r="AF1210" s="77"/>
      <c r="AG1210" s="77"/>
      <c r="AH1210" s="87"/>
      <c r="AI1210" s="87"/>
      <c r="AJ1210" s="87"/>
      <c r="AK1210" s="87"/>
      <c r="AL1210" s="87"/>
    </row>
    <row r="1211">
      <c r="A1211" s="77"/>
      <c r="B1211" s="102"/>
      <c r="C1211" s="102"/>
      <c r="D1211" s="102"/>
      <c r="E1211" s="102"/>
      <c r="F1211" s="102"/>
      <c r="G1211" s="102"/>
      <c r="H1211" s="295"/>
      <c r="I1211" s="102"/>
      <c r="J1211" s="77"/>
      <c r="K1211" s="77"/>
      <c r="L1211" s="77"/>
      <c r="M1211" s="77"/>
      <c r="N1211" s="77"/>
      <c r="O1211" s="77"/>
      <c r="P1211" s="268"/>
      <c r="Q1211" s="268"/>
      <c r="R1211" s="77"/>
      <c r="S1211" s="77"/>
      <c r="T1211" s="77"/>
      <c r="U1211" s="77"/>
      <c r="V1211" s="77"/>
      <c r="W1211" s="77"/>
      <c r="X1211" s="77"/>
      <c r="Y1211" s="77"/>
      <c r="Z1211" s="77"/>
      <c r="AA1211" s="77"/>
      <c r="AB1211" s="77"/>
      <c r="AC1211" s="77"/>
      <c r="AD1211" s="77"/>
      <c r="AE1211" s="77"/>
      <c r="AF1211" s="77"/>
      <c r="AG1211" s="77"/>
      <c r="AH1211" s="87"/>
      <c r="AI1211" s="87"/>
      <c r="AJ1211" s="87"/>
      <c r="AK1211" s="87"/>
      <c r="AL1211" s="87"/>
    </row>
    <row r="1212">
      <c r="A1212" s="77"/>
      <c r="B1212" s="102"/>
      <c r="C1212" s="102"/>
      <c r="D1212" s="102"/>
      <c r="E1212" s="102"/>
      <c r="F1212" s="102"/>
      <c r="G1212" s="102"/>
      <c r="H1212" s="295"/>
      <c r="I1212" s="102"/>
      <c r="J1212" s="77"/>
      <c r="K1212" s="77"/>
      <c r="L1212" s="77"/>
      <c r="M1212" s="77"/>
      <c r="N1212" s="77"/>
      <c r="O1212" s="77"/>
      <c r="P1212" s="268"/>
      <c r="Q1212" s="268"/>
      <c r="R1212" s="77"/>
      <c r="S1212" s="77"/>
      <c r="T1212" s="77"/>
      <c r="U1212" s="77"/>
      <c r="V1212" s="77"/>
      <c r="W1212" s="77"/>
      <c r="X1212" s="77"/>
      <c r="Y1212" s="77"/>
      <c r="Z1212" s="77"/>
      <c r="AA1212" s="77"/>
      <c r="AB1212" s="77"/>
      <c r="AC1212" s="77"/>
      <c r="AD1212" s="77"/>
      <c r="AE1212" s="77"/>
      <c r="AF1212" s="77"/>
      <c r="AG1212" s="77"/>
      <c r="AH1212" s="87"/>
      <c r="AI1212" s="87"/>
      <c r="AJ1212" s="87"/>
      <c r="AK1212" s="87"/>
      <c r="AL1212" s="87"/>
    </row>
    <row r="1213">
      <c r="A1213" s="77"/>
      <c r="B1213" s="102"/>
      <c r="C1213" s="102"/>
      <c r="D1213" s="102"/>
      <c r="E1213" s="102"/>
      <c r="F1213" s="102"/>
      <c r="G1213" s="102"/>
      <c r="H1213" s="295"/>
      <c r="I1213" s="102"/>
      <c r="J1213" s="77"/>
      <c r="K1213" s="77"/>
      <c r="L1213" s="77"/>
      <c r="M1213" s="77"/>
      <c r="N1213" s="77"/>
      <c r="O1213" s="77"/>
      <c r="P1213" s="268"/>
      <c r="Q1213" s="268"/>
      <c r="R1213" s="77"/>
      <c r="S1213" s="77"/>
      <c r="T1213" s="77"/>
      <c r="U1213" s="77"/>
      <c r="V1213" s="77"/>
      <c r="W1213" s="77"/>
      <c r="X1213" s="77"/>
      <c r="Y1213" s="77"/>
      <c r="Z1213" s="77"/>
      <c r="AA1213" s="77"/>
      <c r="AB1213" s="77"/>
      <c r="AC1213" s="77"/>
      <c r="AD1213" s="77"/>
      <c r="AE1213" s="77"/>
      <c r="AF1213" s="77"/>
      <c r="AG1213" s="77"/>
      <c r="AH1213" s="87"/>
      <c r="AI1213" s="87"/>
      <c r="AJ1213" s="87"/>
      <c r="AK1213" s="87"/>
      <c r="AL1213" s="87"/>
    </row>
    <row r="1214">
      <c r="A1214" s="77"/>
      <c r="B1214" s="102"/>
      <c r="C1214" s="102"/>
      <c r="D1214" s="102"/>
      <c r="E1214" s="102"/>
      <c r="F1214" s="102"/>
      <c r="G1214" s="102"/>
      <c r="H1214" s="295"/>
      <c r="I1214" s="102"/>
      <c r="J1214" s="77"/>
      <c r="K1214" s="77"/>
      <c r="L1214" s="77"/>
      <c r="M1214" s="77"/>
      <c r="N1214" s="77"/>
      <c r="O1214" s="77"/>
      <c r="P1214" s="268"/>
      <c r="Q1214" s="268"/>
      <c r="R1214" s="77"/>
      <c r="S1214" s="77"/>
      <c r="T1214" s="77"/>
      <c r="U1214" s="77"/>
      <c r="V1214" s="77"/>
      <c r="W1214" s="77"/>
      <c r="X1214" s="77"/>
      <c r="Y1214" s="77"/>
      <c r="Z1214" s="77"/>
      <c r="AA1214" s="77"/>
      <c r="AB1214" s="77"/>
      <c r="AC1214" s="77"/>
      <c r="AD1214" s="77"/>
      <c r="AE1214" s="77"/>
      <c r="AF1214" s="77"/>
      <c r="AG1214" s="77"/>
      <c r="AH1214" s="87"/>
      <c r="AI1214" s="87"/>
      <c r="AJ1214" s="87"/>
      <c r="AK1214" s="87"/>
      <c r="AL1214" s="87"/>
    </row>
    <row r="1215">
      <c r="A1215" s="77"/>
      <c r="B1215" s="102"/>
      <c r="C1215" s="102"/>
      <c r="D1215" s="102"/>
      <c r="E1215" s="102"/>
      <c r="F1215" s="102"/>
      <c r="G1215" s="102"/>
      <c r="H1215" s="295"/>
      <c r="I1215" s="102"/>
      <c r="J1215" s="77"/>
      <c r="K1215" s="77"/>
      <c r="L1215" s="77"/>
      <c r="M1215" s="77"/>
      <c r="N1215" s="77"/>
      <c r="O1215" s="77"/>
      <c r="P1215" s="268"/>
      <c r="Q1215" s="268"/>
      <c r="R1215" s="77"/>
      <c r="S1215" s="77"/>
      <c r="T1215" s="77"/>
      <c r="U1215" s="77"/>
      <c r="V1215" s="77"/>
      <c r="W1215" s="77"/>
      <c r="X1215" s="77"/>
      <c r="Y1215" s="77"/>
      <c r="Z1215" s="77"/>
      <c r="AA1215" s="77"/>
      <c r="AB1215" s="77"/>
      <c r="AC1215" s="77"/>
      <c r="AD1215" s="77"/>
      <c r="AE1215" s="77"/>
      <c r="AF1215" s="77"/>
      <c r="AG1215" s="77"/>
      <c r="AH1215" s="87"/>
      <c r="AI1215" s="87"/>
      <c r="AJ1215" s="87"/>
      <c r="AK1215" s="87"/>
      <c r="AL1215" s="87"/>
    </row>
    <row r="1216">
      <c r="A1216" s="77"/>
      <c r="B1216" s="102"/>
      <c r="C1216" s="102"/>
      <c r="D1216" s="102"/>
      <c r="E1216" s="102"/>
      <c r="F1216" s="102"/>
      <c r="G1216" s="102"/>
      <c r="H1216" s="295"/>
      <c r="I1216" s="102"/>
      <c r="J1216" s="77"/>
      <c r="K1216" s="77"/>
      <c r="L1216" s="77"/>
      <c r="M1216" s="77"/>
      <c r="N1216" s="77"/>
      <c r="O1216" s="77"/>
      <c r="P1216" s="268"/>
      <c r="Q1216" s="268"/>
      <c r="R1216" s="77"/>
      <c r="S1216" s="77"/>
      <c r="T1216" s="77"/>
      <c r="U1216" s="77"/>
      <c r="V1216" s="77"/>
      <c r="W1216" s="77"/>
      <c r="X1216" s="77"/>
      <c r="Y1216" s="77"/>
      <c r="Z1216" s="77"/>
      <c r="AA1216" s="77"/>
      <c r="AB1216" s="77"/>
      <c r="AC1216" s="77"/>
      <c r="AD1216" s="77"/>
      <c r="AE1216" s="77"/>
      <c r="AF1216" s="77"/>
      <c r="AG1216" s="77"/>
      <c r="AH1216" s="87"/>
      <c r="AI1216" s="87"/>
      <c r="AJ1216" s="87"/>
      <c r="AK1216" s="87"/>
      <c r="AL1216" s="87"/>
    </row>
    <row r="1217">
      <c r="A1217" s="77"/>
      <c r="B1217" s="102"/>
      <c r="C1217" s="102"/>
      <c r="D1217" s="102"/>
      <c r="E1217" s="102"/>
      <c r="F1217" s="102"/>
      <c r="G1217" s="102"/>
      <c r="H1217" s="295"/>
      <c r="I1217" s="102"/>
      <c r="J1217" s="77"/>
      <c r="K1217" s="77"/>
      <c r="L1217" s="77"/>
      <c r="M1217" s="77"/>
      <c r="N1217" s="77"/>
      <c r="O1217" s="77"/>
      <c r="P1217" s="268"/>
      <c r="Q1217" s="268"/>
      <c r="R1217" s="77"/>
      <c r="S1217" s="77"/>
      <c r="T1217" s="77"/>
      <c r="U1217" s="77"/>
      <c r="V1217" s="77"/>
      <c r="W1217" s="77"/>
      <c r="X1217" s="77"/>
      <c r="Y1217" s="77"/>
      <c r="Z1217" s="77"/>
      <c r="AA1217" s="77"/>
      <c r="AB1217" s="77"/>
      <c r="AC1217" s="77"/>
      <c r="AD1217" s="77"/>
      <c r="AE1217" s="77"/>
      <c r="AF1217" s="77"/>
      <c r="AG1217" s="77"/>
      <c r="AH1217" s="87"/>
      <c r="AI1217" s="87"/>
      <c r="AJ1217" s="87"/>
      <c r="AK1217" s="87"/>
      <c r="AL1217" s="87"/>
    </row>
    <row r="1218">
      <c r="A1218" s="77"/>
      <c r="B1218" s="102"/>
      <c r="C1218" s="102"/>
      <c r="D1218" s="102"/>
      <c r="E1218" s="102"/>
      <c r="F1218" s="102"/>
      <c r="G1218" s="102"/>
      <c r="H1218" s="295"/>
      <c r="I1218" s="102"/>
      <c r="J1218" s="77"/>
      <c r="K1218" s="77"/>
      <c r="L1218" s="77"/>
      <c r="M1218" s="77"/>
      <c r="N1218" s="77"/>
      <c r="O1218" s="77"/>
      <c r="P1218" s="268"/>
      <c r="Q1218" s="268"/>
      <c r="R1218" s="77"/>
      <c r="S1218" s="77"/>
      <c r="T1218" s="77"/>
      <c r="U1218" s="77"/>
      <c r="V1218" s="77"/>
      <c r="W1218" s="77"/>
      <c r="X1218" s="77"/>
      <c r="Y1218" s="77"/>
      <c r="Z1218" s="77"/>
      <c r="AA1218" s="77"/>
      <c r="AB1218" s="77"/>
      <c r="AC1218" s="77"/>
      <c r="AD1218" s="77"/>
      <c r="AE1218" s="77"/>
      <c r="AF1218" s="77"/>
      <c r="AG1218" s="77"/>
      <c r="AH1218" s="87"/>
      <c r="AI1218" s="87"/>
      <c r="AJ1218" s="87"/>
      <c r="AK1218" s="87"/>
      <c r="AL1218" s="87"/>
    </row>
    <row r="1219">
      <c r="A1219" s="77"/>
      <c r="B1219" s="102"/>
      <c r="C1219" s="102"/>
      <c r="D1219" s="102"/>
      <c r="E1219" s="102"/>
      <c r="F1219" s="102"/>
      <c r="G1219" s="102"/>
      <c r="H1219" s="295"/>
      <c r="I1219" s="102"/>
      <c r="J1219" s="77"/>
      <c r="K1219" s="77"/>
      <c r="L1219" s="77"/>
      <c r="M1219" s="77"/>
      <c r="N1219" s="77"/>
      <c r="O1219" s="77"/>
      <c r="P1219" s="268"/>
      <c r="Q1219" s="268"/>
      <c r="R1219" s="77"/>
      <c r="S1219" s="77"/>
      <c r="T1219" s="77"/>
      <c r="U1219" s="77"/>
      <c r="V1219" s="77"/>
      <c r="W1219" s="77"/>
      <c r="X1219" s="77"/>
      <c r="Y1219" s="77"/>
      <c r="Z1219" s="77"/>
      <c r="AA1219" s="77"/>
      <c r="AB1219" s="77"/>
      <c r="AC1219" s="77"/>
      <c r="AD1219" s="77"/>
      <c r="AE1219" s="77"/>
      <c r="AF1219" s="77"/>
      <c r="AG1219" s="77"/>
      <c r="AH1219" s="87"/>
      <c r="AI1219" s="87"/>
      <c r="AJ1219" s="87"/>
      <c r="AK1219" s="87"/>
      <c r="AL1219" s="87"/>
    </row>
    <row r="1220">
      <c r="A1220" s="77"/>
      <c r="B1220" s="102"/>
      <c r="C1220" s="102"/>
      <c r="D1220" s="102"/>
      <c r="E1220" s="102"/>
      <c r="F1220" s="102"/>
      <c r="G1220" s="102"/>
      <c r="H1220" s="295"/>
      <c r="I1220" s="102"/>
      <c r="J1220" s="77"/>
      <c r="K1220" s="77"/>
      <c r="L1220" s="77"/>
      <c r="M1220" s="77"/>
      <c r="N1220" s="77"/>
      <c r="O1220" s="77"/>
      <c r="P1220" s="268"/>
      <c r="Q1220" s="268"/>
      <c r="R1220" s="77"/>
      <c r="S1220" s="77"/>
      <c r="T1220" s="77"/>
      <c r="U1220" s="77"/>
      <c r="V1220" s="77"/>
      <c r="W1220" s="77"/>
      <c r="X1220" s="77"/>
      <c r="Y1220" s="77"/>
      <c r="Z1220" s="77"/>
      <c r="AA1220" s="77"/>
      <c r="AB1220" s="77"/>
      <c r="AC1220" s="77"/>
      <c r="AD1220" s="77"/>
      <c r="AE1220" s="77"/>
      <c r="AF1220" s="77"/>
      <c r="AG1220" s="77"/>
      <c r="AH1220" s="87"/>
      <c r="AI1220" s="87"/>
      <c r="AJ1220" s="87"/>
      <c r="AK1220" s="87"/>
      <c r="AL1220" s="87"/>
    </row>
    <row r="1221">
      <c r="A1221" s="77"/>
      <c r="B1221" s="102"/>
      <c r="C1221" s="102"/>
      <c r="D1221" s="102"/>
      <c r="E1221" s="102"/>
      <c r="F1221" s="102"/>
      <c r="G1221" s="102"/>
      <c r="H1221" s="295"/>
      <c r="I1221" s="102"/>
      <c r="J1221" s="77"/>
      <c r="K1221" s="77"/>
      <c r="L1221" s="77"/>
      <c r="M1221" s="77"/>
      <c r="N1221" s="77"/>
      <c r="O1221" s="77"/>
      <c r="P1221" s="268"/>
      <c r="Q1221" s="268"/>
      <c r="R1221" s="77"/>
      <c r="S1221" s="77"/>
      <c r="T1221" s="77"/>
      <c r="U1221" s="77"/>
      <c r="V1221" s="77"/>
      <c r="W1221" s="77"/>
      <c r="X1221" s="77"/>
      <c r="Y1221" s="77"/>
      <c r="Z1221" s="77"/>
      <c r="AA1221" s="77"/>
      <c r="AB1221" s="77"/>
      <c r="AC1221" s="77"/>
      <c r="AD1221" s="77"/>
      <c r="AE1221" s="77"/>
      <c r="AF1221" s="77"/>
      <c r="AG1221" s="77"/>
      <c r="AH1221" s="87"/>
      <c r="AI1221" s="87"/>
      <c r="AJ1221" s="87"/>
      <c r="AK1221" s="87"/>
      <c r="AL1221" s="87"/>
    </row>
    <row r="1222">
      <c r="A1222" s="77"/>
      <c r="B1222" s="102"/>
      <c r="C1222" s="102"/>
      <c r="D1222" s="102"/>
      <c r="E1222" s="102"/>
      <c r="F1222" s="102"/>
      <c r="G1222" s="102"/>
      <c r="H1222" s="295"/>
      <c r="I1222" s="102"/>
      <c r="J1222" s="77"/>
      <c r="K1222" s="77"/>
      <c r="L1222" s="77"/>
      <c r="M1222" s="77"/>
      <c r="N1222" s="77"/>
      <c r="O1222" s="77"/>
      <c r="P1222" s="268"/>
      <c r="Q1222" s="268"/>
      <c r="R1222" s="77"/>
      <c r="S1222" s="77"/>
      <c r="T1222" s="77"/>
      <c r="U1222" s="77"/>
      <c r="V1222" s="77"/>
      <c r="W1222" s="77"/>
      <c r="X1222" s="77"/>
      <c r="Y1222" s="77"/>
      <c r="Z1222" s="77"/>
      <c r="AA1222" s="77"/>
      <c r="AB1222" s="77"/>
      <c r="AC1222" s="77"/>
      <c r="AD1222" s="77"/>
      <c r="AE1222" s="77"/>
      <c r="AF1222" s="77"/>
      <c r="AG1222" s="77"/>
      <c r="AH1222" s="87"/>
      <c r="AI1222" s="87"/>
      <c r="AJ1222" s="87"/>
      <c r="AK1222" s="87"/>
      <c r="AL1222" s="87"/>
    </row>
    <row r="1223">
      <c r="A1223" s="77"/>
      <c r="B1223" s="102"/>
      <c r="C1223" s="102"/>
      <c r="D1223" s="102"/>
      <c r="E1223" s="102"/>
      <c r="F1223" s="102"/>
      <c r="G1223" s="102"/>
      <c r="H1223" s="295"/>
      <c r="I1223" s="102"/>
      <c r="J1223" s="77"/>
      <c r="K1223" s="77"/>
      <c r="L1223" s="77"/>
      <c r="M1223" s="77"/>
      <c r="N1223" s="77"/>
      <c r="O1223" s="77"/>
      <c r="P1223" s="268"/>
      <c r="Q1223" s="268"/>
      <c r="R1223" s="77"/>
      <c r="S1223" s="77"/>
      <c r="T1223" s="77"/>
      <c r="U1223" s="77"/>
      <c r="V1223" s="77"/>
      <c r="W1223" s="77"/>
      <c r="X1223" s="77"/>
      <c r="Y1223" s="77"/>
      <c r="Z1223" s="77"/>
      <c r="AA1223" s="77"/>
      <c r="AB1223" s="77"/>
      <c r="AC1223" s="77"/>
      <c r="AD1223" s="77"/>
      <c r="AE1223" s="77"/>
      <c r="AF1223" s="77"/>
      <c r="AG1223" s="77"/>
      <c r="AH1223" s="87"/>
      <c r="AI1223" s="87"/>
      <c r="AJ1223" s="87"/>
      <c r="AK1223" s="87"/>
      <c r="AL1223" s="87"/>
    </row>
    <row r="1224">
      <c r="A1224" s="77"/>
      <c r="B1224" s="102"/>
      <c r="C1224" s="102"/>
      <c r="D1224" s="102"/>
      <c r="E1224" s="102"/>
      <c r="F1224" s="102"/>
      <c r="G1224" s="102"/>
      <c r="H1224" s="295"/>
      <c r="I1224" s="102"/>
      <c r="J1224" s="77"/>
      <c r="K1224" s="77"/>
      <c r="L1224" s="77"/>
      <c r="M1224" s="77"/>
      <c r="N1224" s="77"/>
      <c r="O1224" s="77"/>
      <c r="P1224" s="268"/>
      <c r="Q1224" s="268"/>
      <c r="R1224" s="77"/>
      <c r="S1224" s="77"/>
      <c r="T1224" s="77"/>
      <c r="U1224" s="77"/>
      <c r="V1224" s="77"/>
      <c r="W1224" s="77"/>
      <c r="X1224" s="77"/>
      <c r="Y1224" s="77"/>
      <c r="Z1224" s="77"/>
      <c r="AA1224" s="77"/>
      <c r="AB1224" s="77"/>
      <c r="AC1224" s="77"/>
      <c r="AD1224" s="77"/>
      <c r="AE1224" s="77"/>
      <c r="AF1224" s="77"/>
      <c r="AG1224" s="77"/>
      <c r="AH1224" s="87"/>
      <c r="AI1224" s="87"/>
      <c r="AJ1224" s="87"/>
      <c r="AK1224" s="87"/>
      <c r="AL1224" s="87"/>
    </row>
    <row r="1225">
      <c r="A1225" s="77"/>
      <c r="B1225" s="102"/>
      <c r="C1225" s="102"/>
      <c r="D1225" s="102"/>
      <c r="E1225" s="102"/>
      <c r="F1225" s="102"/>
      <c r="G1225" s="102"/>
      <c r="H1225" s="295"/>
      <c r="I1225" s="102"/>
      <c r="J1225" s="77"/>
      <c r="K1225" s="77"/>
      <c r="L1225" s="77"/>
      <c r="M1225" s="77"/>
      <c r="N1225" s="77"/>
      <c r="O1225" s="77"/>
      <c r="P1225" s="268"/>
      <c r="Q1225" s="268"/>
      <c r="R1225" s="77"/>
      <c r="S1225" s="77"/>
      <c r="T1225" s="77"/>
      <c r="U1225" s="77"/>
      <c r="V1225" s="77"/>
      <c r="W1225" s="77"/>
      <c r="X1225" s="77"/>
      <c r="Y1225" s="77"/>
      <c r="Z1225" s="77"/>
      <c r="AA1225" s="77"/>
      <c r="AB1225" s="77"/>
      <c r="AC1225" s="77"/>
      <c r="AD1225" s="77"/>
      <c r="AE1225" s="77"/>
      <c r="AF1225" s="77"/>
      <c r="AG1225" s="77"/>
      <c r="AH1225" s="87"/>
      <c r="AI1225" s="87"/>
      <c r="AJ1225" s="87"/>
      <c r="AK1225" s="87"/>
      <c r="AL1225" s="87"/>
    </row>
    <row r="1226">
      <c r="A1226" s="77"/>
      <c r="B1226" s="102"/>
      <c r="C1226" s="102"/>
      <c r="D1226" s="102"/>
      <c r="E1226" s="102"/>
      <c r="F1226" s="102"/>
      <c r="G1226" s="102"/>
      <c r="H1226" s="295"/>
      <c r="I1226" s="102"/>
      <c r="J1226" s="77"/>
      <c r="K1226" s="77"/>
      <c r="L1226" s="77"/>
      <c r="M1226" s="77"/>
      <c r="N1226" s="77"/>
      <c r="O1226" s="77"/>
      <c r="P1226" s="268"/>
      <c r="Q1226" s="268"/>
      <c r="R1226" s="77"/>
      <c r="S1226" s="77"/>
      <c r="T1226" s="77"/>
      <c r="U1226" s="77"/>
      <c r="V1226" s="77"/>
      <c r="W1226" s="77"/>
      <c r="X1226" s="77"/>
      <c r="Y1226" s="77"/>
      <c r="Z1226" s="77"/>
      <c r="AA1226" s="77"/>
      <c r="AB1226" s="77"/>
      <c r="AC1226" s="77"/>
      <c r="AD1226" s="77"/>
      <c r="AE1226" s="77"/>
      <c r="AF1226" s="77"/>
      <c r="AG1226" s="77"/>
      <c r="AH1226" s="87"/>
      <c r="AI1226" s="87"/>
      <c r="AJ1226" s="87"/>
      <c r="AK1226" s="87"/>
      <c r="AL1226" s="87"/>
    </row>
    <row r="1227">
      <c r="A1227" s="77"/>
      <c r="B1227" s="102"/>
      <c r="C1227" s="102"/>
      <c r="D1227" s="102"/>
      <c r="E1227" s="102"/>
      <c r="F1227" s="102"/>
      <c r="G1227" s="102"/>
      <c r="H1227" s="295"/>
      <c r="I1227" s="102"/>
      <c r="J1227" s="77"/>
      <c r="K1227" s="77"/>
      <c r="L1227" s="77"/>
      <c r="M1227" s="77"/>
      <c r="N1227" s="77"/>
      <c r="O1227" s="77"/>
      <c r="P1227" s="268"/>
      <c r="Q1227" s="268"/>
      <c r="R1227" s="77"/>
      <c r="S1227" s="77"/>
      <c r="T1227" s="77"/>
      <c r="U1227" s="77"/>
      <c r="V1227" s="77"/>
      <c r="W1227" s="77"/>
      <c r="X1227" s="77"/>
      <c r="Y1227" s="77"/>
      <c r="Z1227" s="77"/>
      <c r="AA1227" s="77"/>
      <c r="AB1227" s="77"/>
      <c r="AC1227" s="77"/>
      <c r="AD1227" s="77"/>
      <c r="AE1227" s="77"/>
      <c r="AF1227" s="77"/>
      <c r="AG1227" s="77"/>
      <c r="AH1227" s="87"/>
      <c r="AI1227" s="87"/>
      <c r="AJ1227" s="87"/>
      <c r="AK1227" s="87"/>
      <c r="AL1227" s="87"/>
    </row>
    <row r="1228">
      <c r="A1228" s="77"/>
      <c r="B1228" s="102"/>
      <c r="C1228" s="102"/>
      <c r="D1228" s="102"/>
      <c r="E1228" s="102"/>
      <c r="F1228" s="102"/>
      <c r="G1228" s="102"/>
      <c r="H1228" s="295"/>
      <c r="I1228" s="102"/>
      <c r="J1228" s="77"/>
      <c r="K1228" s="77"/>
      <c r="L1228" s="77"/>
      <c r="M1228" s="77"/>
      <c r="N1228" s="77"/>
      <c r="O1228" s="77"/>
      <c r="P1228" s="268"/>
      <c r="Q1228" s="268"/>
      <c r="R1228" s="77"/>
      <c r="S1228" s="77"/>
      <c r="T1228" s="77"/>
      <c r="U1228" s="77"/>
      <c r="V1228" s="77"/>
      <c r="W1228" s="77"/>
      <c r="X1228" s="77"/>
      <c r="Y1228" s="77"/>
      <c r="Z1228" s="77"/>
      <c r="AA1228" s="77"/>
      <c r="AB1228" s="77"/>
      <c r="AC1228" s="77"/>
      <c r="AD1228" s="77"/>
      <c r="AE1228" s="77"/>
      <c r="AF1228" s="77"/>
      <c r="AG1228" s="77"/>
      <c r="AH1228" s="87"/>
      <c r="AI1228" s="87"/>
      <c r="AJ1228" s="87"/>
      <c r="AK1228" s="87"/>
      <c r="AL1228" s="87"/>
    </row>
    <row r="1229">
      <c r="A1229" s="77"/>
      <c r="B1229" s="102"/>
      <c r="C1229" s="102"/>
      <c r="D1229" s="102"/>
      <c r="E1229" s="102"/>
      <c r="F1229" s="102"/>
      <c r="G1229" s="102"/>
      <c r="H1229" s="295"/>
      <c r="I1229" s="102"/>
      <c r="J1229" s="77"/>
      <c r="K1229" s="77"/>
      <c r="L1229" s="77"/>
      <c r="M1229" s="77"/>
      <c r="N1229" s="77"/>
      <c r="O1229" s="77"/>
      <c r="P1229" s="268"/>
      <c r="Q1229" s="268"/>
      <c r="R1229" s="77"/>
      <c r="S1229" s="77"/>
      <c r="T1229" s="77"/>
      <c r="U1229" s="77"/>
      <c r="V1229" s="77"/>
      <c r="W1229" s="77"/>
      <c r="X1229" s="77"/>
      <c r="Y1229" s="77"/>
      <c r="Z1229" s="77"/>
      <c r="AA1229" s="77"/>
      <c r="AB1229" s="77"/>
      <c r="AC1229" s="77"/>
      <c r="AD1229" s="77"/>
      <c r="AE1229" s="77"/>
      <c r="AF1229" s="77"/>
      <c r="AG1229" s="77"/>
      <c r="AH1229" s="87"/>
      <c r="AI1229" s="87"/>
      <c r="AJ1229" s="87"/>
      <c r="AK1229" s="87"/>
      <c r="AL1229" s="87"/>
    </row>
    <row r="1230">
      <c r="A1230" s="77"/>
      <c r="B1230" s="102"/>
      <c r="C1230" s="102"/>
      <c r="D1230" s="102"/>
      <c r="E1230" s="102"/>
      <c r="F1230" s="102"/>
      <c r="G1230" s="102"/>
      <c r="H1230" s="295"/>
      <c r="I1230" s="102"/>
      <c r="J1230" s="77"/>
      <c r="K1230" s="77"/>
      <c r="L1230" s="77"/>
      <c r="M1230" s="77"/>
      <c r="N1230" s="77"/>
      <c r="O1230" s="77"/>
      <c r="P1230" s="268"/>
      <c r="Q1230" s="268"/>
      <c r="R1230" s="77"/>
      <c r="S1230" s="77"/>
      <c r="T1230" s="77"/>
      <c r="U1230" s="77"/>
      <c r="V1230" s="77"/>
      <c r="W1230" s="77"/>
      <c r="X1230" s="77"/>
      <c r="Y1230" s="77"/>
      <c r="Z1230" s="77"/>
      <c r="AA1230" s="77"/>
      <c r="AB1230" s="77"/>
      <c r="AC1230" s="77"/>
      <c r="AD1230" s="77"/>
      <c r="AE1230" s="77"/>
      <c r="AF1230" s="77"/>
      <c r="AG1230" s="77"/>
      <c r="AH1230" s="87"/>
      <c r="AI1230" s="87"/>
      <c r="AJ1230" s="87"/>
      <c r="AK1230" s="87"/>
      <c r="AL1230" s="87"/>
    </row>
    <row r="1231">
      <c r="A1231" s="77"/>
      <c r="B1231" s="102"/>
      <c r="C1231" s="102"/>
      <c r="D1231" s="102"/>
      <c r="E1231" s="102"/>
      <c r="F1231" s="102"/>
      <c r="G1231" s="102"/>
      <c r="H1231" s="295"/>
      <c r="I1231" s="102"/>
      <c r="J1231" s="77"/>
      <c r="K1231" s="77"/>
      <c r="L1231" s="77"/>
      <c r="M1231" s="77"/>
      <c r="N1231" s="77"/>
      <c r="O1231" s="77"/>
      <c r="P1231" s="268"/>
      <c r="Q1231" s="268"/>
      <c r="R1231" s="77"/>
      <c r="S1231" s="77"/>
      <c r="T1231" s="77"/>
      <c r="U1231" s="77"/>
      <c r="V1231" s="77"/>
      <c r="W1231" s="77"/>
      <c r="X1231" s="77"/>
      <c r="Y1231" s="77"/>
      <c r="Z1231" s="77"/>
      <c r="AA1231" s="77"/>
      <c r="AB1231" s="77"/>
      <c r="AC1231" s="77"/>
      <c r="AD1231" s="77"/>
      <c r="AE1231" s="77"/>
      <c r="AF1231" s="77"/>
      <c r="AG1231" s="77"/>
      <c r="AH1231" s="87"/>
      <c r="AI1231" s="87"/>
      <c r="AJ1231" s="87"/>
      <c r="AK1231" s="87"/>
      <c r="AL1231" s="87"/>
    </row>
    <row r="1232">
      <c r="A1232" s="77"/>
      <c r="B1232" s="102"/>
      <c r="C1232" s="102"/>
      <c r="D1232" s="102"/>
      <c r="E1232" s="102"/>
      <c r="F1232" s="102"/>
      <c r="G1232" s="102"/>
      <c r="H1232" s="295"/>
      <c r="I1232" s="102"/>
      <c r="J1232" s="77"/>
      <c r="K1232" s="77"/>
      <c r="L1232" s="77"/>
      <c r="M1232" s="77"/>
      <c r="N1232" s="77"/>
      <c r="O1232" s="77"/>
      <c r="P1232" s="268"/>
      <c r="Q1232" s="268"/>
      <c r="R1232" s="77"/>
      <c r="S1232" s="77"/>
      <c r="T1232" s="77"/>
      <c r="U1232" s="77"/>
      <c r="V1232" s="77"/>
      <c r="W1232" s="77"/>
      <c r="X1232" s="77"/>
      <c r="Y1232" s="77"/>
      <c r="Z1232" s="77"/>
      <c r="AA1232" s="77"/>
      <c r="AB1232" s="77"/>
      <c r="AC1232" s="77"/>
      <c r="AD1232" s="77"/>
      <c r="AE1232" s="77"/>
      <c r="AF1232" s="77"/>
      <c r="AG1232" s="77"/>
      <c r="AH1232" s="87"/>
      <c r="AI1232" s="87"/>
      <c r="AJ1232" s="87"/>
      <c r="AK1232" s="87"/>
      <c r="AL1232" s="87"/>
    </row>
    <row r="1233">
      <c r="A1233" s="77"/>
      <c r="B1233" s="102"/>
      <c r="C1233" s="102"/>
      <c r="D1233" s="102"/>
      <c r="E1233" s="102"/>
      <c r="F1233" s="102"/>
      <c r="G1233" s="102"/>
      <c r="H1233" s="295"/>
      <c r="I1233" s="102"/>
      <c r="J1233" s="77"/>
      <c r="K1233" s="77"/>
      <c r="L1233" s="77"/>
      <c r="M1233" s="77"/>
      <c r="N1233" s="77"/>
      <c r="O1233" s="77"/>
      <c r="P1233" s="268"/>
      <c r="Q1233" s="268"/>
      <c r="R1233" s="77"/>
      <c r="S1233" s="77"/>
      <c r="T1233" s="77"/>
      <c r="U1233" s="77"/>
      <c r="V1233" s="77"/>
      <c r="W1233" s="77"/>
      <c r="X1233" s="77"/>
      <c r="Y1233" s="77"/>
      <c r="Z1233" s="77"/>
      <c r="AA1233" s="77"/>
      <c r="AB1233" s="77"/>
      <c r="AC1233" s="77"/>
      <c r="AD1233" s="77"/>
      <c r="AE1233" s="77"/>
      <c r="AF1233" s="77"/>
      <c r="AG1233" s="77"/>
      <c r="AH1233" s="87"/>
      <c r="AI1233" s="87"/>
      <c r="AJ1233" s="87"/>
      <c r="AK1233" s="87"/>
      <c r="AL1233" s="87"/>
    </row>
    <row r="1234">
      <c r="A1234" s="77"/>
      <c r="B1234" s="102"/>
      <c r="C1234" s="102"/>
      <c r="D1234" s="102"/>
      <c r="E1234" s="102"/>
      <c r="F1234" s="102"/>
      <c r="G1234" s="102"/>
      <c r="H1234" s="295"/>
      <c r="I1234" s="102"/>
      <c r="J1234" s="77"/>
      <c r="K1234" s="77"/>
      <c r="L1234" s="77"/>
      <c r="M1234" s="77"/>
      <c r="N1234" s="77"/>
      <c r="O1234" s="77"/>
      <c r="P1234" s="268"/>
      <c r="Q1234" s="268"/>
      <c r="R1234" s="77"/>
      <c r="S1234" s="77"/>
      <c r="T1234" s="77"/>
      <c r="U1234" s="77"/>
      <c r="V1234" s="77"/>
      <c r="W1234" s="77"/>
      <c r="X1234" s="77"/>
      <c r="Y1234" s="77"/>
      <c r="Z1234" s="77"/>
      <c r="AA1234" s="77"/>
      <c r="AB1234" s="77"/>
      <c r="AC1234" s="77"/>
      <c r="AD1234" s="77"/>
      <c r="AE1234" s="77"/>
      <c r="AF1234" s="77"/>
      <c r="AG1234" s="77"/>
      <c r="AH1234" s="87"/>
      <c r="AI1234" s="87"/>
      <c r="AJ1234" s="87"/>
      <c r="AK1234" s="87"/>
      <c r="AL1234" s="87"/>
    </row>
    <row r="1235">
      <c r="A1235" s="77"/>
      <c r="B1235" s="102"/>
      <c r="C1235" s="102"/>
      <c r="D1235" s="102"/>
      <c r="E1235" s="102"/>
      <c r="F1235" s="102"/>
      <c r="G1235" s="102"/>
      <c r="H1235" s="295"/>
      <c r="I1235" s="102"/>
      <c r="J1235" s="77"/>
      <c r="K1235" s="77"/>
      <c r="L1235" s="77"/>
      <c r="M1235" s="77"/>
      <c r="N1235" s="77"/>
      <c r="O1235" s="77"/>
      <c r="P1235" s="268"/>
      <c r="Q1235" s="268"/>
      <c r="R1235" s="77"/>
      <c r="S1235" s="77"/>
      <c r="T1235" s="77"/>
      <c r="U1235" s="77"/>
      <c r="V1235" s="77"/>
      <c r="W1235" s="77"/>
      <c r="X1235" s="77"/>
      <c r="Y1235" s="77"/>
      <c r="Z1235" s="77"/>
      <c r="AA1235" s="77"/>
      <c r="AB1235" s="77"/>
      <c r="AC1235" s="77"/>
      <c r="AD1235" s="77"/>
      <c r="AE1235" s="77"/>
      <c r="AF1235" s="77"/>
      <c r="AG1235" s="77"/>
      <c r="AH1235" s="87"/>
      <c r="AI1235" s="87"/>
      <c r="AJ1235" s="87"/>
      <c r="AK1235" s="87"/>
      <c r="AL1235" s="87"/>
    </row>
    <row r="1236">
      <c r="A1236" s="77"/>
      <c r="B1236" s="102"/>
      <c r="C1236" s="102"/>
      <c r="D1236" s="102"/>
      <c r="E1236" s="102"/>
      <c r="F1236" s="102"/>
      <c r="G1236" s="102"/>
      <c r="H1236" s="295"/>
      <c r="I1236" s="102"/>
      <c r="J1236" s="77"/>
      <c r="K1236" s="77"/>
      <c r="L1236" s="77"/>
      <c r="M1236" s="77"/>
      <c r="N1236" s="77"/>
      <c r="O1236" s="77"/>
      <c r="P1236" s="268"/>
      <c r="Q1236" s="268"/>
      <c r="R1236" s="77"/>
      <c r="S1236" s="77"/>
      <c r="T1236" s="77"/>
      <c r="U1236" s="77"/>
      <c r="V1236" s="77"/>
      <c r="W1236" s="77"/>
      <c r="X1236" s="77"/>
      <c r="Y1236" s="77"/>
      <c r="Z1236" s="77"/>
      <c r="AA1236" s="77"/>
      <c r="AB1236" s="77"/>
      <c r="AC1236" s="77"/>
      <c r="AD1236" s="77"/>
      <c r="AE1236" s="77"/>
      <c r="AF1236" s="77"/>
      <c r="AG1236" s="77"/>
      <c r="AH1236" s="87"/>
      <c r="AI1236" s="87"/>
      <c r="AJ1236" s="87"/>
      <c r="AK1236" s="87"/>
      <c r="AL1236" s="87"/>
    </row>
    <row r="1237">
      <c r="A1237" s="77"/>
      <c r="B1237" s="102"/>
      <c r="C1237" s="102"/>
      <c r="D1237" s="102"/>
      <c r="E1237" s="102"/>
      <c r="F1237" s="102"/>
      <c r="G1237" s="102"/>
      <c r="H1237" s="295"/>
      <c r="I1237" s="102"/>
      <c r="J1237" s="77"/>
      <c r="K1237" s="77"/>
      <c r="L1237" s="77"/>
      <c r="M1237" s="77"/>
      <c r="N1237" s="77"/>
      <c r="O1237" s="77"/>
      <c r="P1237" s="268"/>
      <c r="Q1237" s="268"/>
      <c r="R1237" s="77"/>
      <c r="S1237" s="77"/>
      <c r="T1237" s="77"/>
      <c r="U1237" s="77"/>
      <c r="V1237" s="77"/>
      <c r="W1237" s="77"/>
      <c r="X1237" s="77"/>
      <c r="Y1237" s="77"/>
      <c r="Z1237" s="77"/>
      <c r="AA1237" s="77"/>
      <c r="AB1237" s="77"/>
      <c r="AC1237" s="77"/>
      <c r="AD1237" s="77"/>
      <c r="AE1237" s="77"/>
      <c r="AF1237" s="77"/>
      <c r="AG1237" s="77"/>
      <c r="AH1237" s="87"/>
      <c r="AI1237" s="87"/>
      <c r="AJ1237" s="87"/>
      <c r="AK1237" s="87"/>
      <c r="AL1237" s="87"/>
    </row>
    <row r="1238">
      <c r="A1238" s="77"/>
      <c r="B1238" s="102"/>
      <c r="C1238" s="102"/>
      <c r="D1238" s="102"/>
      <c r="E1238" s="102"/>
      <c r="F1238" s="102"/>
      <c r="G1238" s="102"/>
      <c r="H1238" s="295"/>
      <c r="I1238" s="102"/>
      <c r="J1238" s="77"/>
      <c r="K1238" s="77"/>
      <c r="L1238" s="77"/>
      <c r="M1238" s="77"/>
      <c r="N1238" s="77"/>
      <c r="O1238" s="77"/>
      <c r="P1238" s="268"/>
      <c r="Q1238" s="268"/>
      <c r="R1238" s="77"/>
      <c r="S1238" s="77"/>
      <c r="T1238" s="77"/>
      <c r="U1238" s="77"/>
      <c r="V1238" s="77"/>
      <c r="W1238" s="77"/>
      <c r="X1238" s="77"/>
      <c r="Y1238" s="77"/>
      <c r="Z1238" s="77"/>
      <c r="AA1238" s="77"/>
      <c r="AB1238" s="77"/>
      <c r="AC1238" s="77"/>
      <c r="AD1238" s="77"/>
      <c r="AE1238" s="77"/>
      <c r="AF1238" s="77"/>
      <c r="AG1238" s="77"/>
      <c r="AH1238" s="87"/>
      <c r="AI1238" s="87"/>
      <c r="AJ1238" s="87"/>
      <c r="AK1238" s="87"/>
      <c r="AL1238" s="87"/>
    </row>
    <row r="1239">
      <c r="A1239" s="77"/>
      <c r="B1239" s="102"/>
      <c r="C1239" s="102"/>
      <c r="D1239" s="102"/>
      <c r="E1239" s="102"/>
      <c r="F1239" s="102"/>
      <c r="G1239" s="102"/>
      <c r="H1239" s="295"/>
      <c r="I1239" s="102"/>
      <c r="J1239" s="77"/>
      <c r="K1239" s="77"/>
      <c r="L1239" s="77"/>
      <c r="M1239" s="77"/>
      <c r="N1239" s="77"/>
      <c r="O1239" s="77"/>
      <c r="P1239" s="268"/>
      <c r="Q1239" s="268"/>
      <c r="R1239" s="77"/>
      <c r="S1239" s="77"/>
      <c r="T1239" s="77"/>
      <c r="U1239" s="77"/>
      <c r="V1239" s="77"/>
      <c r="W1239" s="77"/>
      <c r="X1239" s="77"/>
      <c r="Y1239" s="77"/>
      <c r="Z1239" s="77"/>
      <c r="AA1239" s="77"/>
      <c r="AB1239" s="77"/>
      <c r="AC1239" s="77"/>
      <c r="AD1239" s="77"/>
      <c r="AE1239" s="77"/>
      <c r="AF1239" s="77"/>
      <c r="AG1239" s="77"/>
      <c r="AH1239" s="87"/>
      <c r="AI1239" s="87"/>
      <c r="AJ1239" s="87"/>
      <c r="AK1239" s="87"/>
      <c r="AL1239" s="87"/>
    </row>
    <row r="1240">
      <c r="A1240" s="77"/>
      <c r="B1240" s="102"/>
      <c r="C1240" s="102"/>
      <c r="D1240" s="102"/>
      <c r="E1240" s="102"/>
      <c r="F1240" s="102"/>
      <c r="G1240" s="102"/>
      <c r="H1240" s="295"/>
      <c r="I1240" s="102"/>
      <c r="J1240" s="77"/>
      <c r="K1240" s="77"/>
      <c r="L1240" s="77"/>
      <c r="M1240" s="77"/>
      <c r="N1240" s="77"/>
      <c r="O1240" s="77"/>
      <c r="P1240" s="268"/>
      <c r="Q1240" s="268"/>
      <c r="R1240" s="77"/>
      <c r="S1240" s="77"/>
      <c r="T1240" s="77"/>
      <c r="U1240" s="77"/>
      <c r="V1240" s="77"/>
      <c r="W1240" s="77"/>
      <c r="X1240" s="77"/>
      <c r="Y1240" s="77"/>
      <c r="Z1240" s="77"/>
      <c r="AA1240" s="77"/>
      <c r="AB1240" s="77"/>
      <c r="AC1240" s="77"/>
      <c r="AD1240" s="77"/>
      <c r="AE1240" s="77"/>
      <c r="AF1240" s="77"/>
      <c r="AG1240" s="77"/>
      <c r="AH1240" s="87"/>
      <c r="AI1240" s="87"/>
      <c r="AJ1240" s="87"/>
      <c r="AK1240" s="87"/>
      <c r="AL1240" s="87"/>
    </row>
    <row r="1241">
      <c r="A1241" s="77"/>
      <c r="B1241" s="102"/>
      <c r="C1241" s="102"/>
      <c r="D1241" s="102"/>
      <c r="E1241" s="102"/>
      <c r="F1241" s="102"/>
      <c r="G1241" s="102"/>
      <c r="H1241" s="295"/>
      <c r="I1241" s="102"/>
      <c r="J1241" s="77"/>
      <c r="K1241" s="77"/>
      <c r="L1241" s="77"/>
      <c r="M1241" s="77"/>
      <c r="N1241" s="77"/>
      <c r="O1241" s="77"/>
      <c r="P1241" s="268"/>
      <c r="Q1241" s="268"/>
      <c r="R1241" s="77"/>
      <c r="S1241" s="77"/>
      <c r="T1241" s="77"/>
      <c r="U1241" s="77"/>
      <c r="V1241" s="77"/>
      <c r="W1241" s="77"/>
      <c r="X1241" s="77"/>
      <c r="Y1241" s="77"/>
      <c r="Z1241" s="77"/>
      <c r="AA1241" s="77"/>
      <c r="AB1241" s="77"/>
      <c r="AC1241" s="77"/>
      <c r="AD1241" s="77"/>
      <c r="AE1241" s="77"/>
      <c r="AF1241" s="77"/>
      <c r="AG1241" s="77"/>
      <c r="AH1241" s="87"/>
      <c r="AI1241" s="87"/>
      <c r="AJ1241" s="87"/>
      <c r="AK1241" s="87"/>
      <c r="AL1241" s="87"/>
    </row>
    <row r="1242">
      <c r="A1242" s="77"/>
      <c r="B1242" s="102"/>
      <c r="C1242" s="102"/>
      <c r="D1242" s="102"/>
      <c r="E1242" s="102"/>
      <c r="F1242" s="102"/>
      <c r="G1242" s="102"/>
      <c r="H1242" s="295"/>
      <c r="I1242" s="102"/>
      <c r="J1242" s="77"/>
      <c r="K1242" s="77"/>
      <c r="L1242" s="77"/>
      <c r="M1242" s="77"/>
      <c r="N1242" s="77"/>
      <c r="O1242" s="77"/>
      <c r="P1242" s="268"/>
      <c r="Q1242" s="268"/>
      <c r="R1242" s="77"/>
      <c r="S1242" s="77"/>
      <c r="T1242" s="77"/>
      <c r="U1242" s="77"/>
      <c r="V1242" s="77"/>
      <c r="W1242" s="77"/>
      <c r="X1242" s="77"/>
      <c r="Y1242" s="77"/>
      <c r="Z1242" s="77"/>
      <c r="AA1242" s="77"/>
      <c r="AB1242" s="77"/>
      <c r="AC1242" s="77"/>
      <c r="AD1242" s="77"/>
      <c r="AE1242" s="77"/>
      <c r="AF1242" s="77"/>
      <c r="AG1242" s="77"/>
      <c r="AH1242" s="87"/>
      <c r="AI1242" s="87"/>
      <c r="AJ1242" s="87"/>
      <c r="AK1242" s="87"/>
      <c r="AL1242" s="87"/>
    </row>
    <row r="1243">
      <c r="A1243" s="77"/>
      <c r="B1243" s="102"/>
      <c r="C1243" s="102"/>
      <c r="D1243" s="102"/>
      <c r="E1243" s="102"/>
      <c r="F1243" s="102"/>
      <c r="G1243" s="102"/>
      <c r="H1243" s="295"/>
      <c r="I1243" s="102"/>
      <c r="J1243" s="77"/>
      <c r="K1243" s="77"/>
      <c r="L1243" s="77"/>
      <c r="M1243" s="77"/>
      <c r="N1243" s="77"/>
      <c r="O1243" s="77"/>
      <c r="P1243" s="268"/>
      <c r="Q1243" s="268"/>
      <c r="R1243" s="77"/>
      <c r="S1243" s="77"/>
      <c r="T1243" s="77"/>
      <c r="U1243" s="77"/>
      <c r="V1243" s="77"/>
      <c r="W1243" s="77"/>
      <c r="X1243" s="77"/>
      <c r="Y1243" s="77"/>
      <c r="Z1243" s="77"/>
      <c r="AA1243" s="77"/>
      <c r="AB1243" s="77"/>
      <c r="AC1243" s="77"/>
      <c r="AD1243" s="77"/>
      <c r="AE1243" s="77"/>
      <c r="AF1243" s="77"/>
      <c r="AG1243" s="77"/>
      <c r="AH1243" s="87"/>
      <c r="AI1243" s="87"/>
      <c r="AJ1243" s="87"/>
      <c r="AK1243" s="87"/>
      <c r="AL1243" s="87"/>
    </row>
    <row r="1244">
      <c r="A1244" s="77"/>
      <c r="B1244" s="102"/>
      <c r="C1244" s="102"/>
      <c r="D1244" s="102"/>
      <c r="E1244" s="102"/>
      <c r="F1244" s="102"/>
      <c r="G1244" s="102"/>
      <c r="H1244" s="295"/>
      <c r="I1244" s="102"/>
      <c r="J1244" s="77"/>
      <c r="K1244" s="77"/>
      <c r="L1244" s="77"/>
      <c r="M1244" s="77"/>
      <c r="N1244" s="77"/>
      <c r="O1244" s="77"/>
      <c r="P1244" s="268"/>
      <c r="Q1244" s="268"/>
      <c r="R1244" s="77"/>
      <c r="S1244" s="77"/>
      <c r="T1244" s="77"/>
      <c r="U1244" s="77"/>
      <c r="V1244" s="77"/>
      <c r="W1244" s="77"/>
      <c r="X1244" s="77"/>
      <c r="Y1244" s="77"/>
      <c r="Z1244" s="77"/>
      <c r="AA1244" s="77"/>
      <c r="AB1244" s="77"/>
      <c r="AC1244" s="77"/>
      <c r="AD1244" s="77"/>
      <c r="AE1244" s="77"/>
      <c r="AF1244" s="77"/>
      <c r="AG1244" s="77"/>
      <c r="AH1244" s="87"/>
      <c r="AI1244" s="87"/>
      <c r="AJ1244" s="87"/>
      <c r="AK1244" s="87"/>
      <c r="AL1244" s="87"/>
    </row>
    <row r="1245">
      <c r="A1245" s="77"/>
      <c r="B1245" s="102"/>
      <c r="C1245" s="102"/>
      <c r="D1245" s="102"/>
      <c r="E1245" s="102"/>
      <c r="F1245" s="102"/>
      <c r="G1245" s="102"/>
      <c r="H1245" s="295"/>
      <c r="I1245" s="102"/>
      <c r="J1245" s="77"/>
      <c r="K1245" s="77"/>
      <c r="L1245" s="77"/>
      <c r="M1245" s="77"/>
      <c r="N1245" s="77"/>
      <c r="O1245" s="77"/>
      <c r="P1245" s="268"/>
      <c r="Q1245" s="268"/>
      <c r="R1245" s="77"/>
      <c r="S1245" s="77"/>
      <c r="T1245" s="77"/>
      <c r="U1245" s="77"/>
      <c r="V1245" s="77"/>
      <c r="W1245" s="77"/>
      <c r="X1245" s="77"/>
      <c r="Y1245" s="77"/>
      <c r="Z1245" s="77"/>
      <c r="AA1245" s="77"/>
      <c r="AB1245" s="77"/>
      <c r="AC1245" s="77"/>
      <c r="AD1245" s="77"/>
      <c r="AE1245" s="77"/>
      <c r="AF1245" s="77"/>
      <c r="AG1245" s="77"/>
      <c r="AH1245" s="87"/>
      <c r="AI1245" s="87"/>
      <c r="AJ1245" s="87"/>
      <c r="AK1245" s="87"/>
      <c r="AL1245" s="87"/>
    </row>
    <row r="1246">
      <c r="A1246" s="77"/>
      <c r="B1246" s="102"/>
      <c r="C1246" s="102"/>
      <c r="D1246" s="102"/>
      <c r="E1246" s="102"/>
      <c r="F1246" s="102"/>
      <c r="G1246" s="102"/>
      <c r="H1246" s="295"/>
      <c r="I1246" s="102"/>
      <c r="J1246" s="77"/>
      <c r="K1246" s="77"/>
      <c r="L1246" s="77"/>
      <c r="M1246" s="77"/>
      <c r="N1246" s="77"/>
      <c r="O1246" s="77"/>
      <c r="P1246" s="268"/>
      <c r="Q1246" s="268"/>
      <c r="R1246" s="77"/>
      <c r="S1246" s="77"/>
      <c r="T1246" s="77"/>
      <c r="U1246" s="77"/>
      <c r="V1246" s="77"/>
      <c r="W1246" s="77"/>
      <c r="X1246" s="77"/>
      <c r="Y1246" s="77"/>
      <c r="Z1246" s="77"/>
      <c r="AA1246" s="77"/>
      <c r="AB1246" s="77"/>
      <c r="AC1246" s="77"/>
      <c r="AD1246" s="77"/>
      <c r="AE1246" s="77"/>
      <c r="AF1246" s="77"/>
      <c r="AG1246" s="77"/>
      <c r="AH1246" s="87"/>
      <c r="AI1246" s="87"/>
      <c r="AJ1246" s="87"/>
      <c r="AK1246" s="87"/>
      <c r="AL1246" s="87"/>
    </row>
    <row r="1247">
      <c r="A1247" s="77"/>
      <c r="B1247" s="102"/>
      <c r="C1247" s="102"/>
      <c r="D1247" s="102"/>
      <c r="E1247" s="102"/>
      <c r="F1247" s="102"/>
      <c r="G1247" s="102"/>
      <c r="H1247" s="295"/>
      <c r="I1247" s="102"/>
      <c r="J1247" s="77"/>
      <c r="K1247" s="77"/>
      <c r="L1247" s="77"/>
      <c r="M1247" s="77"/>
      <c r="N1247" s="77"/>
      <c r="O1247" s="77"/>
      <c r="P1247" s="268"/>
      <c r="Q1247" s="268"/>
      <c r="R1247" s="77"/>
      <c r="S1247" s="77"/>
      <c r="T1247" s="77"/>
      <c r="U1247" s="77"/>
      <c r="V1247" s="77"/>
      <c r="W1247" s="77"/>
      <c r="X1247" s="77"/>
      <c r="Y1247" s="77"/>
      <c r="Z1247" s="77"/>
      <c r="AA1247" s="77"/>
      <c r="AB1247" s="77"/>
      <c r="AC1247" s="77"/>
      <c r="AD1247" s="77"/>
      <c r="AE1247" s="77"/>
      <c r="AF1247" s="77"/>
      <c r="AG1247" s="77"/>
      <c r="AH1247" s="87"/>
      <c r="AI1247" s="87"/>
      <c r="AJ1247" s="87"/>
      <c r="AK1247" s="87"/>
      <c r="AL1247" s="87"/>
    </row>
    <row r="1248">
      <c r="A1248" s="77"/>
      <c r="B1248" s="102"/>
      <c r="C1248" s="102"/>
      <c r="D1248" s="102"/>
      <c r="E1248" s="102"/>
      <c r="F1248" s="102"/>
      <c r="G1248" s="102"/>
      <c r="H1248" s="295"/>
      <c r="I1248" s="102"/>
      <c r="J1248" s="77"/>
      <c r="K1248" s="77"/>
      <c r="L1248" s="77"/>
      <c r="M1248" s="77"/>
      <c r="N1248" s="77"/>
      <c r="O1248" s="77"/>
      <c r="P1248" s="268"/>
      <c r="Q1248" s="268"/>
      <c r="R1248" s="77"/>
      <c r="S1248" s="77"/>
      <c r="T1248" s="77"/>
      <c r="U1248" s="77"/>
      <c r="V1248" s="77"/>
      <c r="W1248" s="77"/>
      <c r="X1248" s="77"/>
      <c r="Y1248" s="77"/>
      <c r="Z1248" s="77"/>
      <c r="AA1248" s="77"/>
      <c r="AB1248" s="77"/>
      <c r="AC1248" s="77"/>
      <c r="AD1248" s="77"/>
      <c r="AE1248" s="77"/>
      <c r="AF1248" s="77"/>
      <c r="AG1248" s="77"/>
      <c r="AH1248" s="87"/>
      <c r="AI1248" s="87"/>
      <c r="AJ1248" s="87"/>
      <c r="AK1248" s="87"/>
      <c r="AL1248" s="87"/>
    </row>
    <row r="1249">
      <c r="A1249" s="77"/>
      <c r="B1249" s="102"/>
      <c r="C1249" s="102"/>
      <c r="D1249" s="102"/>
      <c r="E1249" s="102"/>
      <c r="F1249" s="102"/>
      <c r="G1249" s="102"/>
      <c r="H1249" s="295"/>
      <c r="I1249" s="102"/>
      <c r="J1249" s="77"/>
      <c r="K1249" s="77"/>
      <c r="L1249" s="77"/>
      <c r="M1249" s="77"/>
      <c r="N1249" s="77"/>
      <c r="O1249" s="77"/>
      <c r="P1249" s="268"/>
      <c r="Q1249" s="268"/>
      <c r="R1249" s="77"/>
      <c r="S1249" s="77"/>
      <c r="T1249" s="77"/>
      <c r="U1249" s="77"/>
      <c r="V1249" s="77"/>
      <c r="W1249" s="77"/>
      <c r="X1249" s="77"/>
      <c r="Y1249" s="77"/>
      <c r="Z1249" s="77"/>
      <c r="AA1249" s="77"/>
      <c r="AB1249" s="77"/>
      <c r="AC1249" s="77"/>
      <c r="AD1249" s="77"/>
      <c r="AE1249" s="77"/>
      <c r="AF1249" s="77"/>
      <c r="AG1249" s="77"/>
      <c r="AH1249" s="87"/>
      <c r="AI1249" s="87"/>
      <c r="AJ1249" s="87"/>
      <c r="AK1249" s="87"/>
      <c r="AL1249" s="87"/>
    </row>
    <row r="1250">
      <c r="A1250" s="77"/>
      <c r="B1250" s="102"/>
      <c r="C1250" s="102"/>
      <c r="D1250" s="102"/>
      <c r="E1250" s="102"/>
      <c r="F1250" s="102"/>
      <c r="G1250" s="102"/>
      <c r="H1250" s="295"/>
      <c r="I1250" s="102"/>
      <c r="J1250" s="77"/>
      <c r="K1250" s="77"/>
      <c r="L1250" s="77"/>
      <c r="M1250" s="77"/>
      <c r="N1250" s="77"/>
      <c r="O1250" s="77"/>
      <c r="P1250" s="268"/>
      <c r="Q1250" s="268"/>
      <c r="R1250" s="77"/>
      <c r="S1250" s="77"/>
      <c r="T1250" s="77"/>
      <c r="U1250" s="77"/>
      <c r="V1250" s="77"/>
      <c r="W1250" s="77"/>
      <c r="X1250" s="77"/>
      <c r="Y1250" s="77"/>
      <c r="Z1250" s="77"/>
      <c r="AA1250" s="77"/>
      <c r="AB1250" s="77"/>
      <c r="AC1250" s="77"/>
      <c r="AD1250" s="77"/>
      <c r="AE1250" s="77"/>
      <c r="AF1250" s="77"/>
      <c r="AG1250" s="77"/>
      <c r="AH1250" s="87"/>
      <c r="AI1250" s="87"/>
      <c r="AJ1250" s="87"/>
      <c r="AK1250" s="87"/>
      <c r="AL1250" s="87"/>
    </row>
    <row r="1251">
      <c r="A1251" s="77"/>
      <c r="B1251" s="102"/>
      <c r="C1251" s="102"/>
      <c r="D1251" s="102"/>
      <c r="E1251" s="102"/>
      <c r="F1251" s="102"/>
      <c r="G1251" s="102"/>
      <c r="H1251" s="295"/>
      <c r="I1251" s="102"/>
      <c r="J1251" s="77"/>
      <c r="K1251" s="77"/>
      <c r="L1251" s="77"/>
      <c r="M1251" s="77"/>
      <c r="N1251" s="77"/>
      <c r="O1251" s="77"/>
      <c r="P1251" s="268"/>
      <c r="Q1251" s="268"/>
      <c r="R1251" s="77"/>
      <c r="S1251" s="77"/>
      <c r="T1251" s="77"/>
      <c r="U1251" s="77"/>
      <c r="V1251" s="77"/>
      <c r="W1251" s="77"/>
      <c r="X1251" s="77"/>
      <c r="Y1251" s="77"/>
      <c r="Z1251" s="77"/>
      <c r="AA1251" s="77"/>
      <c r="AB1251" s="77"/>
      <c r="AC1251" s="77"/>
      <c r="AD1251" s="77"/>
      <c r="AE1251" s="77"/>
      <c r="AF1251" s="77"/>
      <c r="AG1251" s="77"/>
      <c r="AH1251" s="87"/>
      <c r="AI1251" s="87"/>
      <c r="AJ1251" s="87"/>
      <c r="AK1251" s="87"/>
      <c r="AL1251" s="87"/>
    </row>
    <row r="1252">
      <c r="A1252" s="77"/>
      <c r="B1252" s="102"/>
      <c r="C1252" s="102"/>
      <c r="D1252" s="102"/>
      <c r="E1252" s="102"/>
      <c r="F1252" s="102"/>
      <c r="G1252" s="102"/>
      <c r="H1252" s="295"/>
      <c r="I1252" s="102"/>
      <c r="J1252" s="77"/>
      <c r="K1252" s="77"/>
      <c r="L1252" s="77"/>
      <c r="M1252" s="77"/>
      <c r="N1252" s="77"/>
      <c r="O1252" s="77"/>
      <c r="P1252" s="268"/>
      <c r="Q1252" s="268"/>
      <c r="R1252" s="77"/>
      <c r="S1252" s="77"/>
      <c r="T1252" s="77"/>
      <c r="U1252" s="77"/>
      <c r="V1252" s="77"/>
      <c r="W1252" s="77"/>
      <c r="X1252" s="77"/>
      <c r="Y1252" s="77"/>
      <c r="Z1252" s="77"/>
      <c r="AA1252" s="77"/>
      <c r="AB1252" s="77"/>
      <c r="AC1252" s="77"/>
      <c r="AD1252" s="77"/>
      <c r="AE1252" s="77"/>
      <c r="AF1252" s="77"/>
      <c r="AG1252" s="77"/>
      <c r="AH1252" s="87"/>
      <c r="AI1252" s="87"/>
      <c r="AJ1252" s="87"/>
      <c r="AK1252" s="87"/>
      <c r="AL1252" s="87"/>
    </row>
    <row r="1253">
      <c r="A1253" s="77"/>
      <c r="B1253" s="102"/>
      <c r="C1253" s="102"/>
      <c r="D1253" s="102"/>
      <c r="E1253" s="102"/>
      <c r="F1253" s="102"/>
      <c r="G1253" s="102"/>
      <c r="H1253" s="295"/>
      <c r="I1253" s="102"/>
      <c r="J1253" s="77"/>
      <c r="K1253" s="77"/>
      <c r="L1253" s="77"/>
      <c r="M1253" s="77"/>
      <c r="N1253" s="77"/>
      <c r="O1253" s="77"/>
      <c r="P1253" s="268"/>
      <c r="Q1253" s="268"/>
      <c r="R1253" s="77"/>
      <c r="S1253" s="77"/>
      <c r="T1253" s="77"/>
      <c r="U1253" s="77"/>
      <c r="V1253" s="77"/>
      <c r="W1253" s="77"/>
      <c r="X1253" s="77"/>
      <c r="Y1253" s="77"/>
      <c r="Z1253" s="77"/>
      <c r="AA1253" s="77"/>
      <c r="AB1253" s="77"/>
      <c r="AC1253" s="77"/>
      <c r="AD1253" s="77"/>
      <c r="AE1253" s="77"/>
      <c r="AF1253" s="77"/>
      <c r="AG1253" s="77"/>
      <c r="AH1253" s="87"/>
      <c r="AI1253" s="87"/>
      <c r="AJ1253" s="87"/>
      <c r="AK1253" s="87"/>
      <c r="AL1253" s="87"/>
    </row>
    <row r="1254">
      <c r="A1254" s="77"/>
      <c r="B1254" s="102"/>
      <c r="C1254" s="102"/>
      <c r="D1254" s="102"/>
      <c r="E1254" s="102"/>
      <c r="F1254" s="102"/>
      <c r="G1254" s="102"/>
      <c r="H1254" s="295"/>
      <c r="I1254" s="102"/>
      <c r="J1254" s="77"/>
      <c r="K1254" s="77"/>
      <c r="L1254" s="77"/>
      <c r="M1254" s="77"/>
      <c r="N1254" s="77"/>
      <c r="O1254" s="77"/>
      <c r="P1254" s="268"/>
      <c r="Q1254" s="268"/>
      <c r="R1254" s="77"/>
      <c r="S1254" s="77"/>
      <c r="T1254" s="77"/>
      <c r="U1254" s="77"/>
      <c r="V1254" s="77"/>
      <c r="W1254" s="77"/>
      <c r="X1254" s="77"/>
      <c r="Y1254" s="77"/>
      <c r="Z1254" s="77"/>
      <c r="AA1254" s="77"/>
      <c r="AB1254" s="77"/>
      <c r="AC1254" s="77"/>
      <c r="AD1254" s="77"/>
      <c r="AE1254" s="77"/>
      <c r="AF1254" s="77"/>
      <c r="AG1254" s="77"/>
      <c r="AH1254" s="87"/>
      <c r="AI1254" s="87"/>
      <c r="AJ1254" s="87"/>
      <c r="AK1254" s="87"/>
      <c r="AL1254" s="87"/>
    </row>
    <row r="1255">
      <c r="A1255" s="77"/>
      <c r="B1255" s="102"/>
      <c r="C1255" s="102"/>
      <c r="D1255" s="102"/>
      <c r="E1255" s="102"/>
      <c r="F1255" s="102"/>
      <c r="G1255" s="102"/>
      <c r="H1255" s="295"/>
      <c r="I1255" s="102"/>
      <c r="J1255" s="77"/>
      <c r="K1255" s="77"/>
      <c r="L1255" s="77"/>
      <c r="M1255" s="77"/>
      <c r="N1255" s="77"/>
      <c r="O1255" s="77"/>
      <c r="P1255" s="268"/>
      <c r="Q1255" s="268"/>
      <c r="R1255" s="77"/>
      <c r="S1255" s="77"/>
      <c r="T1255" s="77"/>
      <c r="U1255" s="77"/>
      <c r="V1255" s="77"/>
      <c r="W1255" s="77"/>
      <c r="X1255" s="77"/>
      <c r="Y1255" s="77"/>
      <c r="Z1255" s="77"/>
      <c r="AA1255" s="77"/>
      <c r="AB1255" s="77"/>
      <c r="AC1255" s="77"/>
      <c r="AD1255" s="77"/>
      <c r="AE1255" s="77"/>
      <c r="AF1255" s="77"/>
      <c r="AG1255" s="77"/>
      <c r="AH1255" s="87"/>
      <c r="AI1255" s="87"/>
      <c r="AJ1255" s="87"/>
      <c r="AK1255" s="87"/>
      <c r="AL1255" s="87"/>
    </row>
    <row r="1256">
      <c r="A1256" s="77"/>
      <c r="B1256" s="102"/>
      <c r="C1256" s="102"/>
      <c r="D1256" s="102"/>
      <c r="E1256" s="102"/>
      <c r="F1256" s="102"/>
      <c r="G1256" s="102"/>
      <c r="H1256" s="295"/>
      <c r="I1256" s="102"/>
      <c r="J1256" s="77"/>
      <c r="K1256" s="77"/>
      <c r="L1256" s="77"/>
      <c r="M1256" s="77"/>
      <c r="N1256" s="77"/>
      <c r="O1256" s="77"/>
      <c r="P1256" s="268"/>
      <c r="Q1256" s="268"/>
      <c r="R1256" s="77"/>
      <c r="S1256" s="77"/>
      <c r="T1256" s="77"/>
      <c r="U1256" s="77"/>
      <c r="V1256" s="77"/>
      <c r="W1256" s="77"/>
      <c r="X1256" s="77"/>
      <c r="Y1256" s="77"/>
      <c r="Z1256" s="77"/>
      <c r="AA1256" s="77"/>
      <c r="AB1256" s="77"/>
      <c r="AC1256" s="77"/>
      <c r="AD1256" s="77"/>
      <c r="AE1256" s="77"/>
      <c r="AF1256" s="77"/>
      <c r="AG1256" s="77"/>
      <c r="AH1256" s="87"/>
      <c r="AI1256" s="87"/>
      <c r="AJ1256" s="87"/>
      <c r="AK1256" s="87"/>
      <c r="AL1256" s="87"/>
    </row>
    <row r="1257">
      <c r="A1257" s="77"/>
      <c r="B1257" s="102"/>
      <c r="C1257" s="102"/>
      <c r="D1257" s="102"/>
      <c r="E1257" s="102"/>
      <c r="F1257" s="102"/>
      <c r="G1257" s="102"/>
      <c r="H1257" s="295"/>
      <c r="I1257" s="102"/>
      <c r="J1257" s="77"/>
      <c r="K1257" s="77"/>
      <c r="L1257" s="77"/>
      <c r="M1257" s="77"/>
      <c r="N1257" s="77"/>
      <c r="O1257" s="77"/>
      <c r="P1257" s="268"/>
      <c r="Q1257" s="268"/>
      <c r="R1257" s="77"/>
      <c r="S1257" s="77"/>
      <c r="T1257" s="77"/>
      <c r="U1257" s="77"/>
      <c r="V1257" s="77"/>
      <c r="W1257" s="77"/>
      <c r="X1257" s="77"/>
      <c r="Y1257" s="77"/>
      <c r="Z1257" s="77"/>
      <c r="AA1257" s="77"/>
      <c r="AB1257" s="77"/>
      <c r="AC1257" s="77"/>
      <c r="AD1257" s="77"/>
      <c r="AE1257" s="77"/>
      <c r="AF1257" s="77"/>
      <c r="AG1257" s="77"/>
      <c r="AH1257" s="87"/>
      <c r="AI1257" s="87"/>
      <c r="AJ1257" s="87"/>
      <c r="AK1257" s="87"/>
      <c r="AL1257" s="87"/>
    </row>
    <row r="1258">
      <c r="A1258" s="77"/>
      <c r="B1258" s="102"/>
      <c r="C1258" s="102"/>
      <c r="D1258" s="102"/>
      <c r="E1258" s="102"/>
      <c r="F1258" s="102"/>
      <c r="G1258" s="102"/>
      <c r="H1258" s="295"/>
      <c r="I1258" s="102"/>
      <c r="J1258" s="77"/>
      <c r="K1258" s="77"/>
      <c r="L1258" s="77"/>
      <c r="M1258" s="77"/>
      <c r="N1258" s="77"/>
      <c r="O1258" s="77"/>
      <c r="P1258" s="268"/>
      <c r="Q1258" s="268"/>
      <c r="R1258" s="77"/>
      <c r="S1258" s="77"/>
      <c r="T1258" s="77"/>
      <c r="U1258" s="77"/>
      <c r="V1258" s="77"/>
      <c r="W1258" s="77"/>
      <c r="X1258" s="77"/>
      <c r="Y1258" s="77"/>
      <c r="Z1258" s="77"/>
      <c r="AA1258" s="77"/>
      <c r="AB1258" s="77"/>
      <c r="AC1258" s="77"/>
      <c r="AD1258" s="77"/>
      <c r="AE1258" s="77"/>
      <c r="AF1258" s="77"/>
      <c r="AG1258" s="77"/>
      <c r="AH1258" s="87"/>
      <c r="AI1258" s="87"/>
      <c r="AJ1258" s="87"/>
      <c r="AK1258" s="87"/>
      <c r="AL1258" s="87"/>
    </row>
    <row r="1259">
      <c r="A1259" s="77"/>
      <c r="B1259" s="102"/>
      <c r="C1259" s="102"/>
      <c r="D1259" s="102"/>
      <c r="E1259" s="102"/>
      <c r="F1259" s="102"/>
      <c r="G1259" s="102"/>
      <c r="H1259" s="295"/>
      <c r="I1259" s="102"/>
      <c r="J1259" s="77"/>
      <c r="K1259" s="77"/>
      <c r="L1259" s="77"/>
      <c r="M1259" s="77"/>
      <c r="N1259" s="77"/>
      <c r="O1259" s="77"/>
      <c r="P1259" s="268"/>
      <c r="Q1259" s="268"/>
      <c r="R1259" s="77"/>
      <c r="S1259" s="77"/>
      <c r="T1259" s="77"/>
      <c r="U1259" s="77"/>
      <c r="V1259" s="77"/>
      <c r="W1259" s="77"/>
      <c r="X1259" s="77"/>
      <c r="Y1259" s="77"/>
      <c r="Z1259" s="77"/>
      <c r="AA1259" s="77"/>
      <c r="AB1259" s="77"/>
      <c r="AC1259" s="77"/>
      <c r="AD1259" s="77"/>
      <c r="AE1259" s="77"/>
      <c r="AF1259" s="77"/>
      <c r="AG1259" s="77"/>
      <c r="AH1259" s="87"/>
      <c r="AI1259" s="87"/>
      <c r="AJ1259" s="87"/>
      <c r="AK1259" s="87"/>
      <c r="AL1259" s="87"/>
    </row>
    <row r="1260">
      <c r="A1260" s="77"/>
      <c r="B1260" s="102"/>
      <c r="C1260" s="102"/>
      <c r="D1260" s="102"/>
      <c r="E1260" s="102"/>
      <c r="F1260" s="102"/>
      <c r="G1260" s="102"/>
      <c r="H1260" s="295"/>
      <c r="I1260" s="102"/>
      <c r="J1260" s="77"/>
      <c r="K1260" s="77"/>
      <c r="L1260" s="77"/>
      <c r="M1260" s="77"/>
      <c r="N1260" s="77"/>
      <c r="O1260" s="77"/>
      <c r="P1260" s="268"/>
      <c r="Q1260" s="268"/>
      <c r="R1260" s="77"/>
      <c r="S1260" s="77"/>
      <c r="T1260" s="77"/>
      <c r="U1260" s="77"/>
      <c r="V1260" s="77"/>
      <c r="W1260" s="77"/>
      <c r="X1260" s="77"/>
      <c r="Y1260" s="77"/>
      <c r="Z1260" s="77"/>
      <c r="AA1260" s="77"/>
      <c r="AB1260" s="77"/>
      <c r="AC1260" s="77"/>
      <c r="AD1260" s="77"/>
      <c r="AE1260" s="77"/>
      <c r="AF1260" s="77"/>
      <c r="AG1260" s="77"/>
      <c r="AH1260" s="87"/>
      <c r="AI1260" s="87"/>
      <c r="AJ1260" s="87"/>
      <c r="AK1260" s="87"/>
      <c r="AL1260" s="87"/>
    </row>
    <row r="1261">
      <c r="A1261" s="77"/>
      <c r="B1261" s="102"/>
      <c r="C1261" s="102"/>
      <c r="D1261" s="102"/>
      <c r="E1261" s="102"/>
      <c r="F1261" s="102"/>
      <c r="G1261" s="102"/>
      <c r="H1261" s="295"/>
      <c r="I1261" s="102"/>
      <c r="J1261" s="77"/>
      <c r="K1261" s="77"/>
      <c r="L1261" s="77"/>
      <c r="M1261" s="77"/>
      <c r="N1261" s="77"/>
      <c r="O1261" s="77"/>
      <c r="P1261" s="268"/>
      <c r="Q1261" s="268"/>
      <c r="R1261" s="77"/>
      <c r="S1261" s="77"/>
      <c r="T1261" s="77"/>
      <c r="U1261" s="77"/>
      <c r="V1261" s="77"/>
      <c r="W1261" s="77"/>
      <c r="X1261" s="77"/>
      <c r="Y1261" s="77"/>
      <c r="Z1261" s="77"/>
      <c r="AA1261" s="77"/>
      <c r="AB1261" s="77"/>
      <c r="AC1261" s="77"/>
      <c r="AD1261" s="77"/>
      <c r="AE1261" s="77"/>
      <c r="AF1261" s="77"/>
      <c r="AG1261" s="77"/>
      <c r="AH1261" s="87"/>
      <c r="AI1261" s="87"/>
      <c r="AJ1261" s="87"/>
      <c r="AK1261" s="87"/>
      <c r="AL1261" s="87"/>
    </row>
    <row r="1262">
      <c r="A1262" s="77"/>
      <c r="B1262" s="102"/>
      <c r="C1262" s="102"/>
      <c r="D1262" s="102"/>
      <c r="E1262" s="102"/>
      <c r="F1262" s="102"/>
      <c r="G1262" s="102"/>
      <c r="H1262" s="295"/>
      <c r="I1262" s="102"/>
      <c r="J1262" s="77"/>
      <c r="K1262" s="77"/>
      <c r="L1262" s="77"/>
      <c r="M1262" s="77"/>
      <c r="N1262" s="77"/>
      <c r="O1262" s="77"/>
      <c r="P1262" s="268"/>
      <c r="Q1262" s="268"/>
      <c r="R1262" s="77"/>
      <c r="S1262" s="77"/>
      <c r="T1262" s="77"/>
      <c r="U1262" s="77"/>
      <c r="V1262" s="77"/>
      <c r="W1262" s="77"/>
      <c r="X1262" s="77"/>
      <c r="Y1262" s="77"/>
      <c r="Z1262" s="77"/>
      <c r="AA1262" s="77"/>
      <c r="AB1262" s="77"/>
      <c r="AC1262" s="77"/>
      <c r="AD1262" s="77"/>
      <c r="AE1262" s="77"/>
      <c r="AF1262" s="77"/>
      <c r="AG1262" s="77"/>
      <c r="AH1262" s="87"/>
      <c r="AI1262" s="87"/>
      <c r="AJ1262" s="87"/>
      <c r="AK1262" s="87"/>
      <c r="AL1262" s="87"/>
    </row>
    <row r="1263">
      <c r="A1263" s="77"/>
      <c r="B1263" s="102"/>
      <c r="C1263" s="102"/>
      <c r="D1263" s="102"/>
      <c r="E1263" s="102"/>
      <c r="F1263" s="102"/>
      <c r="G1263" s="102"/>
      <c r="H1263" s="295"/>
      <c r="I1263" s="102"/>
      <c r="J1263" s="77"/>
      <c r="K1263" s="77"/>
      <c r="L1263" s="77"/>
      <c r="M1263" s="77"/>
      <c r="N1263" s="77"/>
      <c r="O1263" s="77"/>
      <c r="P1263" s="268"/>
      <c r="Q1263" s="268"/>
      <c r="R1263" s="77"/>
      <c r="S1263" s="77"/>
      <c r="T1263" s="77"/>
      <c r="U1263" s="77"/>
      <c r="V1263" s="77"/>
      <c r="W1263" s="77"/>
      <c r="X1263" s="77"/>
      <c r="Y1263" s="77"/>
      <c r="Z1263" s="77"/>
      <c r="AA1263" s="77"/>
      <c r="AB1263" s="77"/>
      <c r="AC1263" s="77"/>
      <c r="AD1263" s="77"/>
      <c r="AE1263" s="77"/>
      <c r="AF1263" s="77"/>
      <c r="AG1263" s="77"/>
      <c r="AH1263" s="87"/>
      <c r="AI1263" s="87"/>
      <c r="AJ1263" s="87"/>
      <c r="AK1263" s="87"/>
      <c r="AL1263" s="87"/>
    </row>
    <row r="1264">
      <c r="A1264" s="77"/>
      <c r="B1264" s="102"/>
      <c r="C1264" s="102"/>
      <c r="D1264" s="102"/>
      <c r="E1264" s="102"/>
      <c r="F1264" s="102"/>
      <c r="G1264" s="102"/>
      <c r="H1264" s="295"/>
      <c r="I1264" s="102"/>
      <c r="J1264" s="77"/>
      <c r="K1264" s="77"/>
      <c r="L1264" s="77"/>
      <c r="M1264" s="77"/>
      <c r="N1264" s="77"/>
      <c r="O1264" s="77"/>
      <c r="P1264" s="268"/>
      <c r="Q1264" s="268"/>
      <c r="R1264" s="77"/>
      <c r="S1264" s="77"/>
      <c r="T1264" s="77"/>
      <c r="U1264" s="77"/>
      <c r="V1264" s="77"/>
      <c r="W1264" s="77"/>
      <c r="X1264" s="77"/>
      <c r="Y1264" s="77"/>
      <c r="Z1264" s="77"/>
      <c r="AA1264" s="77"/>
      <c r="AB1264" s="77"/>
      <c r="AC1264" s="77"/>
      <c r="AD1264" s="77"/>
      <c r="AE1264" s="77"/>
      <c r="AF1264" s="77"/>
      <c r="AG1264" s="77"/>
      <c r="AH1264" s="87"/>
      <c r="AI1264" s="87"/>
      <c r="AJ1264" s="87"/>
      <c r="AK1264" s="87"/>
      <c r="AL1264" s="87"/>
    </row>
    <row r="1265">
      <c r="A1265" s="77"/>
      <c r="B1265" s="102"/>
      <c r="C1265" s="102"/>
      <c r="D1265" s="102"/>
      <c r="E1265" s="102"/>
      <c r="F1265" s="102"/>
      <c r="G1265" s="102"/>
      <c r="H1265" s="295"/>
      <c r="I1265" s="102"/>
      <c r="J1265" s="77"/>
      <c r="K1265" s="77"/>
      <c r="L1265" s="77"/>
      <c r="M1265" s="77"/>
      <c r="N1265" s="77"/>
      <c r="O1265" s="77"/>
      <c r="P1265" s="268"/>
      <c r="Q1265" s="268"/>
      <c r="R1265" s="77"/>
      <c r="S1265" s="77"/>
      <c r="T1265" s="77"/>
      <c r="U1265" s="77"/>
      <c r="V1265" s="77"/>
      <c r="W1265" s="77"/>
      <c r="X1265" s="77"/>
      <c r="Y1265" s="77"/>
      <c r="Z1265" s="77"/>
      <c r="AA1265" s="77"/>
      <c r="AB1265" s="77"/>
      <c r="AC1265" s="77"/>
      <c r="AD1265" s="77"/>
      <c r="AE1265" s="77"/>
      <c r="AF1265" s="77"/>
      <c r="AG1265" s="77"/>
      <c r="AH1265" s="87"/>
      <c r="AI1265" s="87"/>
      <c r="AJ1265" s="87"/>
      <c r="AK1265" s="87"/>
      <c r="AL1265" s="87"/>
    </row>
    <row r="1266">
      <c r="A1266" s="77"/>
      <c r="B1266" s="102"/>
      <c r="C1266" s="102"/>
      <c r="D1266" s="102"/>
      <c r="E1266" s="102"/>
      <c r="F1266" s="102"/>
      <c r="G1266" s="102"/>
      <c r="H1266" s="295"/>
      <c r="I1266" s="102"/>
      <c r="J1266" s="77"/>
      <c r="K1266" s="77"/>
      <c r="L1266" s="77"/>
      <c r="M1266" s="77"/>
      <c r="N1266" s="77"/>
      <c r="O1266" s="77"/>
      <c r="P1266" s="268"/>
      <c r="Q1266" s="268"/>
      <c r="R1266" s="77"/>
      <c r="S1266" s="77"/>
      <c r="T1266" s="77"/>
      <c r="U1266" s="77"/>
      <c r="V1266" s="77"/>
      <c r="W1266" s="77"/>
      <c r="X1266" s="77"/>
      <c r="Y1266" s="77"/>
      <c r="Z1266" s="77"/>
      <c r="AA1266" s="77"/>
      <c r="AB1266" s="77"/>
      <c r="AC1266" s="77"/>
      <c r="AD1266" s="77"/>
      <c r="AE1266" s="77"/>
      <c r="AF1266" s="77"/>
      <c r="AG1266" s="77"/>
      <c r="AH1266" s="87"/>
      <c r="AI1266" s="87"/>
      <c r="AJ1266" s="87"/>
      <c r="AK1266" s="87"/>
      <c r="AL1266" s="87"/>
    </row>
    <row r="1267">
      <c r="A1267" s="77"/>
      <c r="B1267" s="102"/>
      <c r="C1267" s="102"/>
      <c r="D1267" s="102"/>
      <c r="E1267" s="102"/>
      <c r="F1267" s="102"/>
      <c r="G1267" s="102"/>
      <c r="H1267" s="295"/>
      <c r="I1267" s="102"/>
      <c r="J1267" s="77"/>
      <c r="K1267" s="77"/>
      <c r="L1267" s="77"/>
      <c r="M1267" s="77"/>
      <c r="N1267" s="77"/>
      <c r="O1267" s="77"/>
      <c r="P1267" s="268"/>
      <c r="Q1267" s="268"/>
      <c r="R1267" s="77"/>
      <c r="S1267" s="77"/>
      <c r="T1267" s="77"/>
      <c r="U1267" s="77"/>
      <c r="V1267" s="77"/>
      <c r="W1267" s="77"/>
      <c r="X1267" s="77"/>
      <c r="Y1267" s="77"/>
      <c r="Z1267" s="77"/>
      <c r="AA1267" s="77"/>
      <c r="AB1267" s="77"/>
      <c r="AC1267" s="77"/>
      <c r="AD1267" s="77"/>
      <c r="AE1267" s="77"/>
      <c r="AF1267" s="77"/>
      <c r="AG1267" s="77"/>
      <c r="AH1267" s="87"/>
      <c r="AI1267" s="87"/>
      <c r="AJ1267" s="87"/>
      <c r="AK1267" s="87"/>
      <c r="AL1267" s="87"/>
    </row>
    <row r="1268">
      <c r="A1268" s="77"/>
      <c r="B1268" s="102"/>
      <c r="C1268" s="102"/>
      <c r="D1268" s="102"/>
      <c r="E1268" s="102"/>
      <c r="F1268" s="102"/>
      <c r="G1268" s="102"/>
      <c r="H1268" s="295"/>
      <c r="I1268" s="102"/>
      <c r="J1268" s="77"/>
      <c r="K1268" s="77"/>
      <c r="L1268" s="77"/>
      <c r="M1268" s="77"/>
      <c r="N1268" s="77"/>
      <c r="O1268" s="77"/>
      <c r="P1268" s="268"/>
      <c r="Q1268" s="268"/>
      <c r="R1268" s="77"/>
      <c r="S1268" s="77"/>
      <c r="T1268" s="77"/>
      <c r="U1268" s="77"/>
      <c r="V1268" s="77"/>
      <c r="W1268" s="77"/>
      <c r="X1268" s="77"/>
      <c r="Y1268" s="77"/>
      <c r="Z1268" s="77"/>
      <c r="AA1268" s="77"/>
      <c r="AB1268" s="77"/>
      <c r="AC1268" s="77"/>
      <c r="AD1268" s="77"/>
      <c r="AE1268" s="77"/>
      <c r="AF1268" s="77"/>
      <c r="AG1268" s="77"/>
      <c r="AH1268" s="87"/>
      <c r="AI1268" s="87"/>
      <c r="AJ1268" s="87"/>
      <c r="AK1268" s="87"/>
      <c r="AL1268" s="87"/>
    </row>
    <row r="1269">
      <c r="A1269" s="77"/>
      <c r="B1269" s="102"/>
      <c r="C1269" s="102"/>
      <c r="D1269" s="102"/>
      <c r="E1269" s="102"/>
      <c r="F1269" s="102"/>
      <c r="G1269" s="102"/>
      <c r="H1269" s="295"/>
      <c r="I1269" s="102"/>
      <c r="J1269" s="77"/>
      <c r="K1269" s="77"/>
      <c r="L1269" s="77"/>
      <c r="M1269" s="77"/>
      <c r="N1269" s="77"/>
      <c r="O1269" s="77"/>
      <c r="P1269" s="268"/>
      <c r="Q1269" s="268"/>
      <c r="R1269" s="77"/>
      <c r="S1269" s="77"/>
      <c r="T1269" s="77"/>
      <c r="U1269" s="77"/>
      <c r="V1269" s="77"/>
      <c r="W1269" s="77"/>
      <c r="X1269" s="77"/>
      <c r="Y1269" s="77"/>
      <c r="Z1269" s="77"/>
      <c r="AA1269" s="77"/>
      <c r="AB1269" s="77"/>
      <c r="AC1269" s="77"/>
      <c r="AD1269" s="77"/>
      <c r="AE1269" s="77"/>
      <c r="AF1269" s="77"/>
      <c r="AG1269" s="77"/>
      <c r="AH1269" s="87"/>
      <c r="AI1269" s="87"/>
      <c r="AJ1269" s="87"/>
      <c r="AK1269" s="87"/>
      <c r="AL1269" s="87"/>
    </row>
    <row r="1270">
      <c r="A1270" s="77"/>
      <c r="B1270" s="102"/>
      <c r="C1270" s="102"/>
      <c r="D1270" s="102"/>
      <c r="E1270" s="102"/>
      <c r="F1270" s="102"/>
      <c r="G1270" s="102"/>
      <c r="H1270" s="295"/>
      <c r="I1270" s="102"/>
      <c r="J1270" s="77"/>
      <c r="K1270" s="77"/>
      <c r="L1270" s="77"/>
      <c r="M1270" s="77"/>
      <c r="N1270" s="77"/>
      <c r="O1270" s="77"/>
      <c r="P1270" s="268"/>
      <c r="Q1270" s="268"/>
      <c r="R1270" s="77"/>
      <c r="S1270" s="77"/>
      <c r="T1270" s="77"/>
      <c r="U1270" s="77"/>
      <c r="V1270" s="77"/>
      <c r="W1270" s="77"/>
      <c r="X1270" s="77"/>
      <c r="Y1270" s="77"/>
      <c r="Z1270" s="77"/>
      <c r="AA1270" s="77"/>
      <c r="AB1270" s="77"/>
      <c r="AC1270" s="77"/>
      <c r="AD1270" s="77"/>
      <c r="AE1270" s="77"/>
      <c r="AF1270" s="77"/>
      <c r="AG1270" s="77"/>
      <c r="AH1270" s="87"/>
      <c r="AI1270" s="87"/>
      <c r="AJ1270" s="87"/>
      <c r="AK1270" s="87"/>
      <c r="AL1270" s="87"/>
    </row>
    <row r="1271">
      <c r="A1271" s="77"/>
      <c r="B1271" s="102"/>
      <c r="C1271" s="102"/>
      <c r="D1271" s="102"/>
      <c r="E1271" s="102"/>
      <c r="F1271" s="102"/>
      <c r="G1271" s="102"/>
      <c r="H1271" s="295"/>
      <c r="I1271" s="102"/>
      <c r="J1271" s="77"/>
      <c r="K1271" s="77"/>
      <c r="L1271" s="77"/>
      <c r="M1271" s="77"/>
      <c r="N1271" s="77"/>
      <c r="O1271" s="77"/>
      <c r="P1271" s="268"/>
      <c r="Q1271" s="268"/>
      <c r="R1271" s="77"/>
      <c r="S1271" s="77"/>
      <c r="T1271" s="77"/>
      <c r="U1271" s="77"/>
      <c r="V1271" s="77"/>
      <c r="W1271" s="77"/>
      <c r="X1271" s="77"/>
      <c r="Y1271" s="77"/>
      <c r="Z1271" s="77"/>
      <c r="AA1271" s="77"/>
      <c r="AB1271" s="77"/>
      <c r="AC1271" s="77"/>
      <c r="AD1271" s="77"/>
      <c r="AE1271" s="77"/>
      <c r="AF1271" s="77"/>
      <c r="AG1271" s="77"/>
      <c r="AH1271" s="87"/>
      <c r="AI1271" s="87"/>
      <c r="AJ1271" s="87"/>
      <c r="AK1271" s="87"/>
      <c r="AL1271" s="87"/>
    </row>
    <row r="1272">
      <c r="A1272" s="77"/>
      <c r="B1272" s="102"/>
      <c r="C1272" s="102"/>
      <c r="D1272" s="102"/>
      <c r="E1272" s="102"/>
      <c r="F1272" s="102"/>
      <c r="G1272" s="102"/>
      <c r="H1272" s="295"/>
      <c r="I1272" s="102"/>
      <c r="J1272" s="77"/>
      <c r="K1272" s="77"/>
      <c r="L1272" s="77"/>
      <c r="M1272" s="77"/>
      <c r="N1272" s="77"/>
      <c r="O1272" s="77"/>
      <c r="P1272" s="268"/>
      <c r="Q1272" s="268"/>
      <c r="R1272" s="77"/>
      <c r="S1272" s="77"/>
      <c r="T1272" s="77"/>
      <c r="U1272" s="77"/>
      <c r="V1272" s="77"/>
      <c r="W1272" s="77"/>
      <c r="X1272" s="77"/>
      <c r="Y1272" s="77"/>
      <c r="Z1272" s="77"/>
      <c r="AA1272" s="77"/>
      <c r="AB1272" s="77"/>
      <c r="AC1272" s="77"/>
      <c r="AD1272" s="77"/>
      <c r="AE1272" s="77"/>
      <c r="AF1272" s="77"/>
      <c r="AG1272" s="77"/>
      <c r="AH1272" s="87"/>
      <c r="AI1272" s="87"/>
      <c r="AJ1272" s="87"/>
      <c r="AK1272" s="87"/>
      <c r="AL1272" s="87"/>
    </row>
    <row r="1273">
      <c r="A1273" s="77"/>
      <c r="B1273" s="102"/>
      <c r="C1273" s="102"/>
      <c r="D1273" s="102"/>
      <c r="E1273" s="102"/>
      <c r="F1273" s="102"/>
      <c r="G1273" s="102"/>
      <c r="H1273" s="295"/>
      <c r="I1273" s="102"/>
      <c r="J1273" s="77"/>
      <c r="K1273" s="77"/>
      <c r="L1273" s="77"/>
      <c r="M1273" s="77"/>
      <c r="N1273" s="77"/>
      <c r="O1273" s="77"/>
      <c r="P1273" s="268"/>
      <c r="Q1273" s="268"/>
      <c r="R1273" s="77"/>
      <c r="S1273" s="77"/>
      <c r="T1273" s="77"/>
      <c r="U1273" s="77"/>
      <c r="V1273" s="77"/>
      <c r="W1273" s="77"/>
      <c r="X1273" s="77"/>
      <c r="Y1273" s="77"/>
      <c r="Z1273" s="77"/>
      <c r="AA1273" s="77"/>
      <c r="AB1273" s="77"/>
      <c r="AC1273" s="77"/>
      <c r="AD1273" s="77"/>
      <c r="AE1273" s="77"/>
      <c r="AF1273" s="77"/>
      <c r="AG1273" s="77"/>
      <c r="AH1273" s="87"/>
      <c r="AI1273" s="87"/>
      <c r="AJ1273" s="87"/>
      <c r="AK1273" s="87"/>
      <c r="AL1273" s="87"/>
    </row>
    <row r="1274">
      <c r="A1274" s="77"/>
      <c r="B1274" s="102"/>
      <c r="C1274" s="102"/>
      <c r="D1274" s="102"/>
      <c r="E1274" s="102"/>
      <c r="F1274" s="102"/>
      <c r="G1274" s="102"/>
      <c r="H1274" s="295"/>
      <c r="I1274" s="102"/>
      <c r="J1274" s="77"/>
      <c r="K1274" s="77"/>
      <c r="L1274" s="77"/>
      <c r="M1274" s="77"/>
      <c r="N1274" s="77"/>
      <c r="O1274" s="77"/>
      <c r="P1274" s="268"/>
      <c r="Q1274" s="268"/>
      <c r="R1274" s="77"/>
      <c r="S1274" s="77"/>
      <c r="T1274" s="77"/>
      <c r="U1274" s="77"/>
      <c r="V1274" s="77"/>
      <c r="W1274" s="77"/>
      <c r="X1274" s="77"/>
      <c r="Y1274" s="77"/>
      <c r="Z1274" s="77"/>
      <c r="AA1274" s="77"/>
      <c r="AB1274" s="77"/>
      <c r="AC1274" s="77"/>
      <c r="AD1274" s="77"/>
      <c r="AE1274" s="77"/>
      <c r="AF1274" s="77"/>
      <c r="AG1274" s="77"/>
      <c r="AH1274" s="87"/>
      <c r="AI1274" s="87"/>
      <c r="AJ1274" s="87"/>
      <c r="AK1274" s="87"/>
      <c r="AL1274" s="87"/>
    </row>
    <row r="1275">
      <c r="A1275" s="77"/>
      <c r="B1275" s="102"/>
      <c r="C1275" s="102"/>
      <c r="D1275" s="102"/>
      <c r="E1275" s="102"/>
      <c r="F1275" s="102"/>
      <c r="G1275" s="102"/>
      <c r="H1275" s="295"/>
      <c r="I1275" s="102"/>
      <c r="J1275" s="77"/>
      <c r="K1275" s="77"/>
      <c r="L1275" s="77"/>
      <c r="M1275" s="77"/>
      <c r="N1275" s="77"/>
      <c r="O1275" s="77"/>
      <c r="P1275" s="268"/>
      <c r="Q1275" s="268"/>
      <c r="R1275" s="77"/>
      <c r="S1275" s="77"/>
      <c r="T1275" s="77"/>
      <c r="U1275" s="77"/>
      <c r="V1275" s="77"/>
      <c r="W1275" s="77"/>
      <c r="X1275" s="77"/>
      <c r="Y1275" s="77"/>
      <c r="Z1275" s="77"/>
      <c r="AA1275" s="77"/>
      <c r="AB1275" s="77"/>
      <c r="AC1275" s="77"/>
      <c r="AD1275" s="77"/>
      <c r="AE1275" s="77"/>
      <c r="AF1275" s="77"/>
      <c r="AG1275" s="77"/>
      <c r="AH1275" s="87"/>
      <c r="AI1275" s="87"/>
      <c r="AJ1275" s="87"/>
      <c r="AK1275" s="87"/>
      <c r="AL1275" s="87"/>
    </row>
    <row r="1276">
      <c r="A1276" s="77"/>
      <c r="B1276" s="102"/>
      <c r="C1276" s="102"/>
      <c r="D1276" s="102"/>
      <c r="E1276" s="102"/>
      <c r="F1276" s="102"/>
      <c r="G1276" s="102"/>
      <c r="H1276" s="295"/>
      <c r="I1276" s="102"/>
      <c r="J1276" s="77"/>
      <c r="K1276" s="77"/>
      <c r="L1276" s="77"/>
      <c r="M1276" s="77"/>
      <c r="N1276" s="77"/>
      <c r="O1276" s="77"/>
      <c r="P1276" s="268"/>
      <c r="Q1276" s="268"/>
      <c r="R1276" s="77"/>
      <c r="S1276" s="77"/>
      <c r="T1276" s="77"/>
      <c r="U1276" s="77"/>
      <c r="V1276" s="77"/>
      <c r="W1276" s="77"/>
      <c r="X1276" s="77"/>
      <c r="Y1276" s="77"/>
      <c r="Z1276" s="77"/>
      <c r="AA1276" s="77"/>
      <c r="AB1276" s="77"/>
      <c r="AC1276" s="77"/>
      <c r="AD1276" s="77"/>
      <c r="AE1276" s="77"/>
      <c r="AF1276" s="77"/>
      <c r="AG1276" s="77"/>
      <c r="AH1276" s="87"/>
      <c r="AI1276" s="87"/>
      <c r="AJ1276" s="87"/>
      <c r="AK1276" s="87"/>
      <c r="AL1276" s="87"/>
    </row>
    <row r="1277">
      <c r="A1277" s="77"/>
      <c r="B1277" s="102"/>
      <c r="C1277" s="102"/>
      <c r="D1277" s="102"/>
      <c r="E1277" s="102"/>
      <c r="F1277" s="102"/>
      <c r="G1277" s="102"/>
      <c r="H1277" s="295"/>
      <c r="I1277" s="102"/>
      <c r="J1277" s="77"/>
      <c r="K1277" s="77"/>
      <c r="L1277" s="77"/>
      <c r="M1277" s="77"/>
      <c r="N1277" s="77"/>
      <c r="O1277" s="77"/>
      <c r="P1277" s="268"/>
      <c r="Q1277" s="268"/>
      <c r="R1277" s="77"/>
      <c r="S1277" s="77"/>
      <c r="T1277" s="77"/>
      <c r="U1277" s="77"/>
      <c r="V1277" s="77"/>
      <c r="W1277" s="77"/>
      <c r="X1277" s="77"/>
      <c r="Y1277" s="77"/>
      <c r="Z1277" s="77"/>
      <c r="AA1277" s="77"/>
      <c r="AB1277" s="77"/>
      <c r="AC1277" s="77"/>
      <c r="AD1277" s="77"/>
      <c r="AE1277" s="77"/>
      <c r="AF1277" s="77"/>
      <c r="AG1277" s="77"/>
      <c r="AH1277" s="87"/>
      <c r="AI1277" s="87"/>
      <c r="AJ1277" s="87"/>
      <c r="AK1277" s="87"/>
      <c r="AL1277" s="87"/>
    </row>
    <row r="1278">
      <c r="A1278" s="77"/>
      <c r="B1278" s="102"/>
      <c r="C1278" s="102"/>
      <c r="D1278" s="102"/>
      <c r="E1278" s="102"/>
      <c r="F1278" s="102"/>
      <c r="G1278" s="102"/>
      <c r="H1278" s="295"/>
      <c r="I1278" s="102"/>
      <c r="J1278" s="77"/>
      <c r="K1278" s="77"/>
      <c r="L1278" s="77"/>
      <c r="M1278" s="77"/>
      <c r="N1278" s="77"/>
      <c r="O1278" s="77"/>
      <c r="P1278" s="268"/>
      <c r="Q1278" s="268"/>
      <c r="R1278" s="77"/>
      <c r="S1278" s="77"/>
      <c r="T1278" s="77"/>
      <c r="U1278" s="77"/>
      <c r="V1278" s="77"/>
      <c r="W1278" s="77"/>
      <c r="X1278" s="77"/>
      <c r="Y1278" s="77"/>
      <c r="Z1278" s="77"/>
      <c r="AA1278" s="77"/>
      <c r="AB1278" s="77"/>
      <c r="AC1278" s="77"/>
      <c r="AD1278" s="77"/>
      <c r="AE1278" s="77"/>
      <c r="AF1278" s="77"/>
      <c r="AG1278" s="77"/>
      <c r="AH1278" s="87"/>
      <c r="AI1278" s="87"/>
      <c r="AJ1278" s="87"/>
      <c r="AK1278" s="87"/>
      <c r="AL1278" s="87"/>
    </row>
    <row r="1279">
      <c r="A1279" s="77"/>
      <c r="B1279" s="102"/>
      <c r="C1279" s="102"/>
      <c r="D1279" s="102"/>
      <c r="E1279" s="102"/>
      <c r="F1279" s="102"/>
      <c r="G1279" s="102"/>
      <c r="H1279" s="295"/>
      <c r="I1279" s="102"/>
      <c r="J1279" s="77"/>
      <c r="K1279" s="77"/>
      <c r="L1279" s="77"/>
      <c r="M1279" s="77"/>
      <c r="N1279" s="77"/>
      <c r="O1279" s="77"/>
      <c r="P1279" s="268"/>
      <c r="Q1279" s="268"/>
      <c r="R1279" s="77"/>
      <c r="S1279" s="77"/>
      <c r="T1279" s="77"/>
      <c r="U1279" s="77"/>
      <c r="V1279" s="77"/>
      <c r="W1279" s="77"/>
      <c r="X1279" s="77"/>
      <c r="Y1279" s="77"/>
      <c r="Z1279" s="77"/>
      <c r="AA1279" s="77"/>
      <c r="AB1279" s="77"/>
      <c r="AC1279" s="77"/>
      <c r="AD1279" s="77"/>
      <c r="AE1279" s="77"/>
      <c r="AF1279" s="77"/>
      <c r="AG1279" s="77"/>
      <c r="AH1279" s="87"/>
      <c r="AI1279" s="87"/>
      <c r="AJ1279" s="87"/>
      <c r="AK1279" s="87"/>
      <c r="AL1279" s="87"/>
    </row>
    <row r="1280">
      <c r="A1280" s="77"/>
      <c r="B1280" s="102"/>
      <c r="C1280" s="102"/>
      <c r="D1280" s="102"/>
      <c r="E1280" s="102"/>
      <c r="F1280" s="102"/>
      <c r="G1280" s="102"/>
      <c r="H1280" s="295"/>
      <c r="I1280" s="102"/>
      <c r="J1280" s="77"/>
      <c r="K1280" s="77"/>
      <c r="L1280" s="77"/>
      <c r="M1280" s="77"/>
      <c r="N1280" s="77"/>
      <c r="O1280" s="77"/>
      <c r="P1280" s="268"/>
      <c r="Q1280" s="268"/>
      <c r="R1280" s="77"/>
      <c r="S1280" s="77"/>
      <c r="T1280" s="77"/>
      <c r="U1280" s="77"/>
      <c r="V1280" s="77"/>
      <c r="W1280" s="77"/>
      <c r="X1280" s="77"/>
      <c r="Y1280" s="77"/>
      <c r="Z1280" s="77"/>
      <c r="AA1280" s="77"/>
      <c r="AB1280" s="77"/>
      <c r="AC1280" s="77"/>
      <c r="AD1280" s="77"/>
      <c r="AE1280" s="77"/>
      <c r="AF1280" s="77"/>
      <c r="AG1280" s="77"/>
      <c r="AH1280" s="87"/>
      <c r="AI1280" s="87"/>
      <c r="AJ1280" s="87"/>
      <c r="AK1280" s="87"/>
      <c r="AL1280" s="87"/>
    </row>
    <row r="1281">
      <c r="A1281" s="77"/>
      <c r="B1281" s="102"/>
      <c r="C1281" s="102"/>
      <c r="D1281" s="102"/>
      <c r="E1281" s="102"/>
      <c r="F1281" s="102"/>
      <c r="G1281" s="102"/>
      <c r="H1281" s="295"/>
      <c r="I1281" s="102"/>
      <c r="J1281" s="77"/>
      <c r="K1281" s="77"/>
      <c r="L1281" s="77"/>
      <c r="M1281" s="77"/>
      <c r="N1281" s="77"/>
      <c r="O1281" s="77"/>
      <c r="P1281" s="268"/>
      <c r="Q1281" s="268"/>
      <c r="R1281" s="77"/>
      <c r="S1281" s="77"/>
      <c r="T1281" s="77"/>
      <c r="U1281" s="77"/>
      <c r="V1281" s="77"/>
      <c r="W1281" s="77"/>
      <c r="X1281" s="77"/>
      <c r="Y1281" s="77"/>
      <c r="Z1281" s="77"/>
      <c r="AA1281" s="77"/>
      <c r="AB1281" s="77"/>
      <c r="AC1281" s="77"/>
      <c r="AD1281" s="77"/>
      <c r="AE1281" s="77"/>
      <c r="AF1281" s="77"/>
      <c r="AG1281" s="77"/>
      <c r="AH1281" s="87"/>
      <c r="AI1281" s="87"/>
      <c r="AJ1281" s="87"/>
      <c r="AK1281" s="87"/>
      <c r="AL1281" s="87"/>
    </row>
    <row r="1282">
      <c r="A1282" s="77"/>
      <c r="B1282" s="102"/>
      <c r="C1282" s="102"/>
      <c r="D1282" s="102"/>
      <c r="E1282" s="102"/>
      <c r="F1282" s="102"/>
      <c r="G1282" s="102"/>
      <c r="H1282" s="295"/>
      <c r="I1282" s="102"/>
      <c r="J1282" s="77"/>
      <c r="K1282" s="77"/>
      <c r="L1282" s="77"/>
      <c r="M1282" s="77"/>
      <c r="N1282" s="77"/>
      <c r="O1282" s="77"/>
      <c r="P1282" s="268"/>
      <c r="Q1282" s="268"/>
      <c r="R1282" s="77"/>
      <c r="S1282" s="77"/>
      <c r="T1282" s="77"/>
      <c r="U1282" s="77"/>
      <c r="V1282" s="77"/>
      <c r="W1282" s="77"/>
      <c r="X1282" s="77"/>
      <c r="Y1282" s="77"/>
      <c r="Z1282" s="77"/>
      <c r="AA1282" s="77"/>
      <c r="AB1282" s="77"/>
      <c r="AC1282" s="77"/>
      <c r="AD1282" s="77"/>
      <c r="AE1282" s="77"/>
      <c r="AF1282" s="77"/>
      <c r="AG1282" s="77"/>
      <c r="AH1282" s="87"/>
      <c r="AI1282" s="87"/>
      <c r="AJ1282" s="87"/>
      <c r="AK1282" s="87"/>
      <c r="AL1282" s="87"/>
    </row>
    <row r="1283">
      <c r="A1283" s="77"/>
      <c r="B1283" s="102"/>
      <c r="C1283" s="102"/>
      <c r="D1283" s="102"/>
      <c r="E1283" s="102"/>
      <c r="F1283" s="102"/>
      <c r="G1283" s="102"/>
      <c r="H1283" s="295"/>
      <c r="I1283" s="102"/>
      <c r="J1283" s="77"/>
      <c r="K1283" s="77"/>
      <c r="L1283" s="77"/>
      <c r="M1283" s="77"/>
      <c r="N1283" s="77"/>
      <c r="O1283" s="77"/>
      <c r="P1283" s="268"/>
      <c r="Q1283" s="268"/>
      <c r="R1283" s="77"/>
      <c r="S1283" s="77"/>
      <c r="T1283" s="77"/>
      <c r="U1283" s="77"/>
      <c r="V1283" s="77"/>
      <c r="W1283" s="77"/>
      <c r="X1283" s="77"/>
      <c r="Y1283" s="77"/>
      <c r="Z1283" s="77"/>
      <c r="AA1283" s="77"/>
      <c r="AB1283" s="77"/>
      <c r="AC1283" s="77"/>
      <c r="AD1283" s="77"/>
      <c r="AE1283" s="77"/>
      <c r="AF1283" s="77"/>
      <c r="AG1283" s="77"/>
      <c r="AH1283" s="87"/>
      <c r="AI1283" s="87"/>
      <c r="AJ1283" s="87"/>
      <c r="AK1283" s="87"/>
      <c r="AL1283" s="87"/>
    </row>
    <row r="1284">
      <c r="A1284" s="77"/>
      <c r="B1284" s="102"/>
      <c r="C1284" s="102"/>
      <c r="D1284" s="102"/>
      <c r="E1284" s="102"/>
      <c r="F1284" s="102"/>
      <c r="G1284" s="102"/>
      <c r="H1284" s="295"/>
      <c r="I1284" s="102"/>
      <c r="J1284" s="77"/>
      <c r="K1284" s="77"/>
      <c r="L1284" s="77"/>
      <c r="M1284" s="77"/>
      <c r="N1284" s="77"/>
      <c r="O1284" s="77"/>
      <c r="P1284" s="268"/>
      <c r="Q1284" s="268"/>
      <c r="R1284" s="77"/>
      <c r="S1284" s="77"/>
      <c r="T1284" s="77"/>
      <c r="U1284" s="77"/>
      <c r="V1284" s="77"/>
      <c r="W1284" s="77"/>
      <c r="X1284" s="77"/>
      <c r="Y1284" s="77"/>
      <c r="Z1284" s="77"/>
      <c r="AA1284" s="77"/>
      <c r="AB1284" s="77"/>
      <c r="AC1284" s="77"/>
      <c r="AD1284" s="77"/>
      <c r="AE1284" s="77"/>
      <c r="AF1284" s="77"/>
      <c r="AG1284" s="77"/>
      <c r="AH1284" s="87"/>
      <c r="AI1284" s="87"/>
      <c r="AJ1284" s="87"/>
      <c r="AK1284" s="87"/>
      <c r="AL1284" s="87"/>
    </row>
    <row r="1285">
      <c r="A1285" s="77"/>
      <c r="B1285" s="102"/>
      <c r="C1285" s="102"/>
      <c r="D1285" s="102"/>
      <c r="E1285" s="102"/>
      <c r="F1285" s="102"/>
      <c r="G1285" s="102"/>
      <c r="H1285" s="295"/>
      <c r="I1285" s="102"/>
      <c r="J1285" s="77"/>
      <c r="K1285" s="77"/>
      <c r="L1285" s="77"/>
      <c r="M1285" s="77"/>
      <c r="N1285" s="77"/>
      <c r="O1285" s="77"/>
      <c r="P1285" s="268"/>
      <c r="Q1285" s="268"/>
      <c r="R1285" s="77"/>
      <c r="S1285" s="77"/>
      <c r="T1285" s="77"/>
      <c r="U1285" s="77"/>
      <c r="V1285" s="77"/>
      <c r="W1285" s="77"/>
      <c r="X1285" s="77"/>
      <c r="Y1285" s="77"/>
      <c r="Z1285" s="77"/>
      <c r="AA1285" s="77"/>
      <c r="AB1285" s="77"/>
      <c r="AC1285" s="77"/>
      <c r="AD1285" s="77"/>
      <c r="AE1285" s="77"/>
      <c r="AF1285" s="77"/>
      <c r="AG1285" s="77"/>
      <c r="AH1285" s="87"/>
      <c r="AI1285" s="87"/>
      <c r="AJ1285" s="87"/>
      <c r="AK1285" s="87"/>
      <c r="AL1285" s="87"/>
    </row>
    <row r="1286">
      <c r="A1286" s="77"/>
      <c r="B1286" s="102"/>
      <c r="C1286" s="102"/>
      <c r="D1286" s="102"/>
      <c r="E1286" s="102"/>
      <c r="F1286" s="102"/>
      <c r="G1286" s="102"/>
      <c r="H1286" s="295"/>
      <c r="I1286" s="102"/>
      <c r="J1286" s="77"/>
      <c r="K1286" s="77"/>
      <c r="L1286" s="77"/>
      <c r="M1286" s="77"/>
      <c r="N1286" s="77"/>
      <c r="O1286" s="77"/>
      <c r="P1286" s="268"/>
      <c r="Q1286" s="268"/>
      <c r="R1286" s="77"/>
      <c r="S1286" s="77"/>
      <c r="T1286" s="77"/>
      <c r="U1286" s="77"/>
      <c r="V1286" s="77"/>
      <c r="W1286" s="77"/>
      <c r="X1286" s="77"/>
      <c r="Y1286" s="77"/>
      <c r="Z1286" s="77"/>
      <c r="AA1286" s="77"/>
      <c r="AB1286" s="77"/>
      <c r="AC1286" s="77"/>
      <c r="AD1286" s="77"/>
      <c r="AE1286" s="77"/>
      <c r="AF1286" s="77"/>
      <c r="AG1286" s="77"/>
      <c r="AH1286" s="87"/>
      <c r="AI1286" s="87"/>
      <c r="AJ1286" s="87"/>
      <c r="AK1286" s="87"/>
      <c r="AL1286" s="87"/>
    </row>
    <row r="1287">
      <c r="A1287" s="77"/>
      <c r="B1287" s="102"/>
      <c r="C1287" s="102"/>
      <c r="D1287" s="102"/>
      <c r="E1287" s="102"/>
      <c r="F1287" s="102"/>
      <c r="G1287" s="102"/>
      <c r="H1287" s="295"/>
      <c r="I1287" s="102"/>
      <c r="J1287" s="77"/>
      <c r="K1287" s="77"/>
      <c r="L1287" s="77"/>
      <c r="M1287" s="77"/>
      <c r="N1287" s="77"/>
      <c r="O1287" s="77"/>
      <c r="P1287" s="268"/>
      <c r="Q1287" s="268"/>
      <c r="R1287" s="77"/>
      <c r="S1287" s="77"/>
      <c r="T1287" s="77"/>
      <c r="U1287" s="77"/>
      <c r="V1287" s="77"/>
      <c r="W1287" s="77"/>
      <c r="X1287" s="77"/>
      <c r="Y1287" s="77"/>
      <c r="Z1287" s="77"/>
      <c r="AA1287" s="77"/>
      <c r="AB1287" s="77"/>
      <c r="AC1287" s="77"/>
      <c r="AD1287" s="77"/>
      <c r="AE1287" s="77"/>
      <c r="AF1287" s="77"/>
      <c r="AG1287" s="77"/>
      <c r="AH1287" s="87"/>
      <c r="AI1287" s="87"/>
      <c r="AJ1287" s="87"/>
      <c r="AK1287" s="87"/>
      <c r="AL1287" s="87"/>
    </row>
    <row r="1288">
      <c r="A1288" s="77"/>
      <c r="B1288" s="102"/>
      <c r="C1288" s="102"/>
      <c r="D1288" s="102"/>
      <c r="E1288" s="102"/>
      <c r="F1288" s="102"/>
      <c r="G1288" s="102"/>
      <c r="H1288" s="295"/>
      <c r="I1288" s="102"/>
      <c r="J1288" s="77"/>
      <c r="K1288" s="77"/>
      <c r="L1288" s="77"/>
      <c r="M1288" s="77"/>
      <c r="N1288" s="77"/>
      <c r="O1288" s="77"/>
      <c r="P1288" s="268"/>
      <c r="Q1288" s="268"/>
      <c r="R1288" s="77"/>
      <c r="S1288" s="77"/>
      <c r="T1288" s="77"/>
      <c r="U1288" s="77"/>
      <c r="V1288" s="77"/>
      <c r="W1288" s="77"/>
      <c r="X1288" s="77"/>
      <c r="Y1288" s="77"/>
      <c r="Z1288" s="77"/>
      <c r="AA1288" s="77"/>
      <c r="AB1288" s="77"/>
      <c r="AC1288" s="77"/>
      <c r="AD1288" s="77"/>
      <c r="AE1288" s="77"/>
      <c r="AF1288" s="77"/>
      <c r="AG1288" s="77"/>
      <c r="AH1288" s="87"/>
      <c r="AI1288" s="87"/>
      <c r="AJ1288" s="87"/>
      <c r="AK1288" s="87"/>
      <c r="AL1288" s="87"/>
    </row>
    <row r="1289">
      <c r="A1289" s="77"/>
      <c r="B1289" s="102"/>
      <c r="C1289" s="102"/>
      <c r="D1289" s="102"/>
      <c r="E1289" s="102"/>
      <c r="F1289" s="102"/>
      <c r="G1289" s="102"/>
      <c r="H1289" s="295"/>
      <c r="I1289" s="102"/>
      <c r="J1289" s="77"/>
      <c r="K1289" s="77"/>
      <c r="L1289" s="77"/>
      <c r="M1289" s="77"/>
      <c r="N1289" s="77"/>
      <c r="O1289" s="77"/>
      <c r="P1289" s="268"/>
      <c r="Q1289" s="268"/>
      <c r="R1289" s="77"/>
      <c r="S1289" s="77"/>
      <c r="T1289" s="77"/>
      <c r="U1289" s="77"/>
      <c r="V1289" s="77"/>
      <c r="W1289" s="77"/>
      <c r="X1289" s="77"/>
      <c r="Y1289" s="77"/>
      <c r="Z1289" s="77"/>
      <c r="AA1289" s="77"/>
      <c r="AB1289" s="77"/>
      <c r="AC1289" s="77"/>
      <c r="AD1289" s="77"/>
      <c r="AE1289" s="77"/>
      <c r="AF1289" s="77"/>
      <c r="AG1289" s="77"/>
      <c r="AH1289" s="87"/>
      <c r="AI1289" s="87"/>
      <c r="AJ1289" s="87"/>
      <c r="AK1289" s="87"/>
      <c r="AL1289" s="87"/>
    </row>
    <row r="1290">
      <c r="A1290" s="77"/>
      <c r="B1290" s="102"/>
      <c r="C1290" s="102"/>
      <c r="D1290" s="102"/>
      <c r="E1290" s="102"/>
      <c r="F1290" s="102"/>
      <c r="G1290" s="102"/>
      <c r="H1290" s="295"/>
      <c r="I1290" s="102"/>
      <c r="J1290" s="77"/>
      <c r="K1290" s="77"/>
      <c r="L1290" s="77"/>
      <c r="M1290" s="77"/>
      <c r="N1290" s="77"/>
      <c r="O1290" s="77"/>
      <c r="P1290" s="268"/>
      <c r="Q1290" s="268"/>
      <c r="R1290" s="77"/>
      <c r="S1290" s="77"/>
      <c r="T1290" s="77"/>
      <c r="U1290" s="77"/>
      <c r="V1290" s="77"/>
      <c r="W1290" s="77"/>
      <c r="X1290" s="77"/>
      <c r="Y1290" s="77"/>
      <c r="Z1290" s="77"/>
      <c r="AA1290" s="77"/>
      <c r="AB1290" s="77"/>
      <c r="AC1290" s="77"/>
      <c r="AD1290" s="77"/>
      <c r="AE1290" s="77"/>
      <c r="AF1290" s="77"/>
      <c r="AG1290" s="77"/>
      <c r="AH1290" s="87"/>
      <c r="AI1290" s="87"/>
      <c r="AJ1290" s="87"/>
      <c r="AK1290" s="87"/>
      <c r="AL1290" s="87"/>
    </row>
    <row r="1291">
      <c r="A1291" s="77"/>
      <c r="B1291" s="102"/>
      <c r="C1291" s="102"/>
      <c r="D1291" s="102"/>
      <c r="E1291" s="102"/>
      <c r="F1291" s="102"/>
      <c r="G1291" s="102"/>
      <c r="H1291" s="295"/>
      <c r="I1291" s="102"/>
      <c r="J1291" s="77"/>
      <c r="K1291" s="77"/>
      <c r="L1291" s="77"/>
      <c r="M1291" s="77"/>
      <c r="N1291" s="77"/>
      <c r="O1291" s="77"/>
      <c r="P1291" s="268"/>
      <c r="Q1291" s="268"/>
      <c r="R1291" s="77"/>
      <c r="S1291" s="77"/>
      <c r="T1291" s="77"/>
      <c r="U1291" s="77"/>
      <c r="V1291" s="77"/>
      <c r="W1291" s="77"/>
      <c r="X1291" s="77"/>
      <c r="Y1291" s="77"/>
      <c r="Z1291" s="77"/>
      <c r="AA1291" s="77"/>
      <c r="AB1291" s="77"/>
      <c r="AC1291" s="77"/>
      <c r="AD1291" s="77"/>
      <c r="AE1291" s="77"/>
      <c r="AF1291" s="77"/>
      <c r="AG1291" s="77"/>
      <c r="AH1291" s="87"/>
      <c r="AI1291" s="87"/>
      <c r="AJ1291" s="87"/>
      <c r="AK1291" s="87"/>
      <c r="AL1291" s="87"/>
    </row>
    <row r="1292">
      <c r="A1292" s="77"/>
      <c r="B1292" s="102"/>
      <c r="C1292" s="102"/>
      <c r="D1292" s="102"/>
      <c r="E1292" s="102"/>
      <c r="F1292" s="102"/>
      <c r="G1292" s="102"/>
      <c r="H1292" s="295"/>
      <c r="I1292" s="102"/>
      <c r="J1292" s="77"/>
      <c r="K1292" s="77"/>
      <c r="L1292" s="77"/>
      <c r="M1292" s="77"/>
      <c r="N1292" s="77"/>
      <c r="O1292" s="77"/>
      <c r="P1292" s="268"/>
      <c r="Q1292" s="268"/>
      <c r="R1292" s="77"/>
      <c r="S1292" s="77"/>
      <c r="T1292" s="77"/>
      <c r="U1292" s="77"/>
      <c r="V1292" s="77"/>
      <c r="W1292" s="77"/>
      <c r="X1292" s="77"/>
      <c r="Y1292" s="77"/>
      <c r="Z1292" s="77"/>
      <c r="AA1292" s="77"/>
      <c r="AB1292" s="77"/>
      <c r="AC1292" s="77"/>
      <c r="AD1292" s="77"/>
      <c r="AE1292" s="77"/>
      <c r="AF1292" s="77"/>
      <c r="AG1292" s="77"/>
      <c r="AH1292" s="87"/>
      <c r="AI1292" s="87"/>
      <c r="AJ1292" s="87"/>
      <c r="AK1292" s="87"/>
      <c r="AL1292" s="87"/>
    </row>
    <row r="1293">
      <c r="A1293" s="77"/>
      <c r="B1293" s="102"/>
      <c r="C1293" s="102"/>
      <c r="D1293" s="102"/>
      <c r="E1293" s="102"/>
      <c r="F1293" s="102"/>
      <c r="G1293" s="102"/>
      <c r="H1293" s="295"/>
      <c r="I1293" s="102"/>
      <c r="J1293" s="77"/>
      <c r="K1293" s="77"/>
      <c r="L1293" s="77"/>
      <c r="M1293" s="77"/>
      <c r="N1293" s="77"/>
      <c r="O1293" s="77"/>
      <c r="P1293" s="268"/>
      <c r="Q1293" s="268"/>
      <c r="R1293" s="77"/>
      <c r="S1293" s="77"/>
      <c r="T1293" s="77"/>
      <c r="U1293" s="77"/>
      <c r="V1293" s="77"/>
      <c r="W1293" s="77"/>
      <c r="X1293" s="77"/>
      <c r="Y1293" s="77"/>
      <c r="Z1293" s="77"/>
      <c r="AA1293" s="77"/>
      <c r="AB1293" s="77"/>
      <c r="AC1293" s="77"/>
      <c r="AD1293" s="77"/>
      <c r="AE1293" s="77"/>
      <c r="AF1293" s="77"/>
      <c r="AG1293" s="77"/>
      <c r="AH1293" s="87"/>
      <c r="AI1293" s="87"/>
      <c r="AJ1293" s="87"/>
      <c r="AK1293" s="87"/>
      <c r="AL1293" s="87"/>
    </row>
    <row r="1294">
      <c r="A1294" s="77"/>
      <c r="B1294" s="102"/>
      <c r="C1294" s="102"/>
      <c r="D1294" s="102"/>
      <c r="E1294" s="102"/>
      <c r="F1294" s="102"/>
      <c r="G1294" s="102"/>
      <c r="H1294" s="295"/>
      <c r="I1294" s="102"/>
      <c r="J1294" s="77"/>
      <c r="K1294" s="77"/>
      <c r="L1294" s="77"/>
      <c r="M1294" s="77"/>
      <c r="N1294" s="77"/>
      <c r="O1294" s="77"/>
      <c r="P1294" s="268"/>
      <c r="Q1294" s="268"/>
      <c r="R1294" s="77"/>
      <c r="S1294" s="77"/>
      <c r="T1294" s="77"/>
      <c r="U1294" s="77"/>
      <c r="V1294" s="77"/>
      <c r="W1294" s="77"/>
      <c r="X1294" s="77"/>
      <c r="Y1294" s="77"/>
      <c r="Z1294" s="77"/>
      <c r="AA1294" s="77"/>
      <c r="AB1294" s="77"/>
      <c r="AC1294" s="77"/>
      <c r="AD1294" s="77"/>
      <c r="AE1294" s="77"/>
      <c r="AF1294" s="77"/>
      <c r="AG1294" s="77"/>
      <c r="AH1294" s="87"/>
      <c r="AI1294" s="87"/>
      <c r="AJ1294" s="87"/>
      <c r="AK1294" s="87"/>
      <c r="AL1294" s="87"/>
    </row>
    <row r="1295">
      <c r="A1295" s="77"/>
      <c r="B1295" s="102"/>
      <c r="C1295" s="102"/>
      <c r="D1295" s="102"/>
      <c r="E1295" s="102"/>
      <c r="F1295" s="102"/>
      <c r="G1295" s="102"/>
      <c r="H1295" s="295"/>
      <c r="I1295" s="102"/>
      <c r="J1295" s="77"/>
      <c r="K1295" s="77"/>
      <c r="L1295" s="77"/>
      <c r="M1295" s="77"/>
      <c r="N1295" s="77"/>
      <c r="O1295" s="77"/>
      <c r="P1295" s="268"/>
      <c r="Q1295" s="268"/>
      <c r="R1295" s="77"/>
      <c r="S1295" s="77"/>
      <c r="T1295" s="77"/>
      <c r="U1295" s="77"/>
      <c r="V1295" s="77"/>
      <c r="W1295" s="77"/>
      <c r="X1295" s="77"/>
      <c r="Y1295" s="77"/>
      <c r="Z1295" s="77"/>
      <c r="AA1295" s="77"/>
      <c r="AB1295" s="77"/>
      <c r="AC1295" s="77"/>
      <c r="AD1295" s="77"/>
      <c r="AE1295" s="77"/>
      <c r="AF1295" s="77"/>
      <c r="AG1295" s="77"/>
      <c r="AH1295" s="87"/>
      <c r="AI1295" s="87"/>
      <c r="AJ1295" s="87"/>
      <c r="AK1295" s="87"/>
      <c r="AL1295" s="87"/>
    </row>
    <row r="1296">
      <c r="A1296" s="77"/>
      <c r="B1296" s="102"/>
      <c r="C1296" s="102"/>
      <c r="D1296" s="102"/>
      <c r="E1296" s="102"/>
      <c r="F1296" s="102"/>
      <c r="G1296" s="102"/>
      <c r="H1296" s="295"/>
      <c r="I1296" s="102"/>
      <c r="J1296" s="77"/>
      <c r="K1296" s="77"/>
      <c r="L1296" s="77"/>
      <c r="M1296" s="77"/>
      <c r="N1296" s="77"/>
      <c r="O1296" s="77"/>
      <c r="P1296" s="268"/>
      <c r="Q1296" s="268"/>
      <c r="R1296" s="77"/>
      <c r="S1296" s="77"/>
      <c r="T1296" s="77"/>
      <c r="U1296" s="77"/>
      <c r="V1296" s="77"/>
      <c r="W1296" s="77"/>
      <c r="X1296" s="77"/>
      <c r="Y1296" s="77"/>
      <c r="Z1296" s="77"/>
      <c r="AA1296" s="77"/>
      <c r="AB1296" s="77"/>
      <c r="AC1296" s="77"/>
      <c r="AD1296" s="77"/>
      <c r="AE1296" s="77"/>
      <c r="AF1296" s="77"/>
      <c r="AG1296" s="77"/>
      <c r="AH1296" s="87"/>
      <c r="AI1296" s="87"/>
      <c r="AJ1296" s="87"/>
      <c r="AK1296" s="87"/>
      <c r="AL1296" s="87"/>
    </row>
    <row r="1297">
      <c r="A1297" s="77"/>
      <c r="B1297" s="102"/>
      <c r="C1297" s="102"/>
      <c r="D1297" s="102"/>
      <c r="E1297" s="102"/>
      <c r="F1297" s="102"/>
      <c r="G1297" s="102"/>
      <c r="H1297" s="295"/>
      <c r="I1297" s="102"/>
      <c r="J1297" s="77"/>
      <c r="K1297" s="77"/>
      <c r="L1297" s="77"/>
      <c r="M1297" s="77"/>
      <c r="N1297" s="77"/>
      <c r="O1297" s="77"/>
      <c r="P1297" s="268"/>
      <c r="Q1297" s="268"/>
      <c r="R1297" s="77"/>
      <c r="S1297" s="77"/>
      <c r="T1297" s="77"/>
      <c r="U1297" s="77"/>
      <c r="V1297" s="77"/>
      <c r="W1297" s="77"/>
      <c r="X1297" s="77"/>
      <c r="Y1297" s="77"/>
      <c r="Z1297" s="77"/>
      <c r="AA1297" s="77"/>
      <c r="AB1297" s="77"/>
      <c r="AC1297" s="77"/>
      <c r="AD1297" s="77"/>
      <c r="AE1297" s="77"/>
      <c r="AF1297" s="77"/>
      <c r="AG1297" s="77"/>
      <c r="AH1297" s="87"/>
      <c r="AI1297" s="87"/>
      <c r="AJ1297" s="87"/>
      <c r="AK1297" s="87"/>
      <c r="AL1297" s="87"/>
    </row>
    <row r="1298">
      <c r="A1298" s="77"/>
      <c r="B1298" s="102"/>
      <c r="C1298" s="102"/>
      <c r="D1298" s="102"/>
      <c r="E1298" s="102"/>
      <c r="F1298" s="102"/>
      <c r="G1298" s="102"/>
      <c r="H1298" s="295"/>
      <c r="I1298" s="102"/>
      <c r="J1298" s="77"/>
      <c r="K1298" s="77"/>
      <c r="L1298" s="77"/>
      <c r="M1298" s="77"/>
      <c r="N1298" s="77"/>
      <c r="O1298" s="77"/>
      <c r="P1298" s="268"/>
      <c r="Q1298" s="268"/>
      <c r="R1298" s="77"/>
      <c r="S1298" s="77"/>
      <c r="T1298" s="77"/>
      <c r="U1298" s="77"/>
      <c r="V1298" s="77"/>
      <c r="W1298" s="77"/>
      <c r="X1298" s="77"/>
      <c r="Y1298" s="77"/>
      <c r="Z1298" s="77"/>
      <c r="AA1298" s="77"/>
      <c r="AB1298" s="77"/>
      <c r="AC1298" s="77"/>
      <c r="AD1298" s="77"/>
      <c r="AE1298" s="77"/>
      <c r="AF1298" s="77"/>
      <c r="AG1298" s="77"/>
      <c r="AH1298" s="87"/>
      <c r="AI1298" s="87"/>
      <c r="AJ1298" s="87"/>
      <c r="AK1298" s="87"/>
      <c r="AL1298" s="87"/>
    </row>
    <row r="1299">
      <c r="A1299" s="77"/>
      <c r="B1299" s="102"/>
      <c r="C1299" s="102"/>
      <c r="D1299" s="102"/>
      <c r="E1299" s="102"/>
      <c r="F1299" s="102"/>
      <c r="G1299" s="102"/>
      <c r="H1299" s="295"/>
      <c r="I1299" s="102"/>
      <c r="J1299" s="77"/>
      <c r="K1299" s="77"/>
      <c r="L1299" s="77"/>
      <c r="M1299" s="77"/>
      <c r="N1299" s="77"/>
      <c r="O1299" s="77"/>
      <c r="P1299" s="268"/>
      <c r="Q1299" s="268"/>
      <c r="R1299" s="77"/>
      <c r="S1299" s="77"/>
      <c r="T1299" s="77"/>
      <c r="U1299" s="77"/>
      <c r="V1299" s="77"/>
      <c r="W1299" s="77"/>
      <c r="X1299" s="77"/>
      <c r="Y1299" s="77"/>
      <c r="Z1299" s="77"/>
      <c r="AA1299" s="77"/>
      <c r="AB1299" s="77"/>
      <c r="AC1299" s="77"/>
      <c r="AD1299" s="77"/>
      <c r="AE1299" s="77"/>
      <c r="AF1299" s="77"/>
      <c r="AG1299" s="77"/>
      <c r="AH1299" s="87"/>
      <c r="AI1299" s="87"/>
      <c r="AJ1299" s="87"/>
      <c r="AK1299" s="87"/>
      <c r="AL1299" s="87"/>
    </row>
    <row r="1300">
      <c r="A1300" s="77"/>
      <c r="B1300" s="102"/>
      <c r="C1300" s="102"/>
      <c r="D1300" s="102"/>
      <c r="E1300" s="102"/>
      <c r="F1300" s="102"/>
      <c r="G1300" s="102"/>
      <c r="H1300" s="295"/>
      <c r="I1300" s="102"/>
      <c r="J1300" s="77"/>
      <c r="K1300" s="77"/>
      <c r="L1300" s="77"/>
      <c r="M1300" s="77"/>
      <c r="N1300" s="77"/>
      <c r="O1300" s="77"/>
      <c r="P1300" s="268"/>
      <c r="Q1300" s="268"/>
      <c r="R1300" s="77"/>
      <c r="S1300" s="77"/>
      <c r="T1300" s="77"/>
      <c r="U1300" s="77"/>
      <c r="V1300" s="77"/>
      <c r="W1300" s="77"/>
      <c r="X1300" s="77"/>
      <c r="Y1300" s="77"/>
      <c r="Z1300" s="77"/>
      <c r="AA1300" s="77"/>
      <c r="AB1300" s="77"/>
      <c r="AC1300" s="77"/>
      <c r="AD1300" s="77"/>
      <c r="AE1300" s="77"/>
      <c r="AF1300" s="77"/>
      <c r="AG1300" s="77"/>
      <c r="AH1300" s="87"/>
      <c r="AI1300" s="87"/>
      <c r="AJ1300" s="87"/>
      <c r="AK1300" s="87"/>
      <c r="AL1300" s="87"/>
    </row>
    <row r="1301">
      <c r="A1301" s="77"/>
      <c r="B1301" s="102"/>
      <c r="C1301" s="102"/>
      <c r="D1301" s="102"/>
      <c r="E1301" s="102"/>
      <c r="F1301" s="102"/>
      <c r="G1301" s="102"/>
      <c r="H1301" s="295"/>
      <c r="I1301" s="102"/>
      <c r="J1301" s="77"/>
      <c r="K1301" s="77"/>
      <c r="L1301" s="77"/>
      <c r="M1301" s="77"/>
      <c r="N1301" s="77"/>
      <c r="O1301" s="77"/>
      <c r="P1301" s="268"/>
      <c r="Q1301" s="268"/>
      <c r="R1301" s="77"/>
      <c r="S1301" s="77"/>
      <c r="T1301" s="77"/>
      <c r="U1301" s="77"/>
      <c r="V1301" s="77"/>
      <c r="W1301" s="77"/>
      <c r="X1301" s="77"/>
      <c r="Y1301" s="77"/>
      <c r="Z1301" s="77"/>
      <c r="AA1301" s="77"/>
      <c r="AB1301" s="77"/>
      <c r="AC1301" s="77"/>
      <c r="AD1301" s="77"/>
      <c r="AE1301" s="77"/>
      <c r="AF1301" s="77"/>
      <c r="AG1301" s="77"/>
      <c r="AH1301" s="87"/>
      <c r="AI1301" s="87"/>
      <c r="AJ1301" s="87"/>
      <c r="AK1301" s="87"/>
      <c r="AL1301" s="87"/>
    </row>
    <row r="1302">
      <c r="A1302" s="77"/>
      <c r="B1302" s="102"/>
      <c r="C1302" s="102"/>
      <c r="D1302" s="102"/>
      <c r="E1302" s="102"/>
      <c r="F1302" s="102"/>
      <c r="G1302" s="102"/>
      <c r="H1302" s="295"/>
      <c r="I1302" s="102"/>
      <c r="J1302" s="77"/>
      <c r="K1302" s="77"/>
      <c r="L1302" s="77"/>
      <c r="M1302" s="77"/>
      <c r="N1302" s="77"/>
      <c r="O1302" s="77"/>
      <c r="P1302" s="268"/>
      <c r="Q1302" s="268"/>
      <c r="R1302" s="77"/>
      <c r="S1302" s="77"/>
      <c r="T1302" s="77"/>
      <c r="U1302" s="77"/>
      <c r="V1302" s="77"/>
      <c r="W1302" s="77"/>
      <c r="X1302" s="77"/>
      <c r="Y1302" s="77"/>
      <c r="Z1302" s="77"/>
      <c r="AA1302" s="77"/>
      <c r="AB1302" s="77"/>
      <c r="AC1302" s="77"/>
      <c r="AD1302" s="77"/>
      <c r="AE1302" s="77"/>
      <c r="AF1302" s="77"/>
      <c r="AG1302" s="77"/>
      <c r="AH1302" s="87"/>
      <c r="AI1302" s="87"/>
      <c r="AJ1302" s="87"/>
      <c r="AK1302" s="87"/>
      <c r="AL1302" s="87"/>
    </row>
    <row r="1303">
      <c r="A1303" s="77"/>
      <c r="B1303" s="102"/>
      <c r="C1303" s="102"/>
      <c r="D1303" s="102"/>
      <c r="E1303" s="102"/>
      <c r="F1303" s="102"/>
      <c r="G1303" s="102"/>
      <c r="H1303" s="295"/>
      <c r="I1303" s="102"/>
      <c r="J1303" s="77"/>
      <c r="K1303" s="77"/>
      <c r="L1303" s="77"/>
      <c r="M1303" s="77"/>
      <c r="N1303" s="77"/>
      <c r="O1303" s="77"/>
      <c r="P1303" s="268"/>
      <c r="Q1303" s="268"/>
      <c r="R1303" s="77"/>
      <c r="S1303" s="77"/>
      <c r="T1303" s="77"/>
      <c r="U1303" s="77"/>
      <c r="V1303" s="77"/>
      <c r="W1303" s="77"/>
      <c r="X1303" s="77"/>
      <c r="Y1303" s="77"/>
      <c r="Z1303" s="77"/>
      <c r="AA1303" s="77"/>
      <c r="AB1303" s="77"/>
      <c r="AC1303" s="77"/>
      <c r="AD1303" s="77"/>
      <c r="AE1303" s="77"/>
      <c r="AF1303" s="77"/>
      <c r="AG1303" s="77"/>
      <c r="AH1303" s="87"/>
      <c r="AI1303" s="87"/>
      <c r="AJ1303" s="87"/>
      <c r="AK1303" s="87"/>
      <c r="AL1303" s="87"/>
    </row>
    <row r="1304">
      <c r="A1304" s="77"/>
      <c r="B1304" s="102"/>
      <c r="C1304" s="102"/>
      <c r="D1304" s="102"/>
      <c r="E1304" s="102"/>
      <c r="F1304" s="102"/>
      <c r="G1304" s="102"/>
      <c r="H1304" s="295"/>
      <c r="I1304" s="102"/>
      <c r="J1304" s="77"/>
      <c r="K1304" s="77"/>
      <c r="L1304" s="77"/>
      <c r="M1304" s="77"/>
      <c r="N1304" s="77"/>
      <c r="O1304" s="77"/>
      <c r="P1304" s="268"/>
      <c r="Q1304" s="268"/>
      <c r="R1304" s="77"/>
      <c r="S1304" s="77"/>
      <c r="T1304" s="77"/>
      <c r="U1304" s="77"/>
      <c r="V1304" s="77"/>
      <c r="W1304" s="77"/>
      <c r="X1304" s="77"/>
      <c r="Y1304" s="77"/>
      <c r="Z1304" s="77"/>
      <c r="AA1304" s="77"/>
      <c r="AB1304" s="77"/>
      <c r="AC1304" s="77"/>
      <c r="AD1304" s="77"/>
      <c r="AE1304" s="77"/>
      <c r="AF1304" s="77"/>
      <c r="AG1304" s="77"/>
      <c r="AH1304" s="87"/>
      <c r="AI1304" s="87"/>
      <c r="AJ1304" s="87"/>
      <c r="AK1304" s="87"/>
      <c r="AL1304" s="87"/>
    </row>
    <row r="1305">
      <c r="A1305" s="77"/>
      <c r="B1305" s="102"/>
      <c r="C1305" s="102"/>
      <c r="D1305" s="102"/>
      <c r="E1305" s="102"/>
      <c r="F1305" s="102"/>
      <c r="G1305" s="102"/>
      <c r="H1305" s="295"/>
      <c r="I1305" s="102"/>
      <c r="J1305" s="77"/>
      <c r="K1305" s="77"/>
      <c r="L1305" s="77"/>
      <c r="M1305" s="77"/>
      <c r="N1305" s="77"/>
      <c r="O1305" s="77"/>
      <c r="P1305" s="268"/>
      <c r="Q1305" s="268"/>
      <c r="R1305" s="77"/>
      <c r="S1305" s="77"/>
      <c r="T1305" s="77"/>
      <c r="U1305" s="77"/>
      <c r="V1305" s="77"/>
      <c r="W1305" s="77"/>
      <c r="X1305" s="77"/>
      <c r="Y1305" s="77"/>
      <c r="Z1305" s="77"/>
      <c r="AA1305" s="77"/>
      <c r="AB1305" s="77"/>
      <c r="AC1305" s="77"/>
      <c r="AD1305" s="77"/>
      <c r="AE1305" s="77"/>
      <c r="AF1305" s="77"/>
      <c r="AG1305" s="77"/>
      <c r="AH1305" s="87"/>
      <c r="AI1305" s="87"/>
      <c r="AJ1305" s="87"/>
      <c r="AK1305" s="87"/>
      <c r="AL1305" s="87"/>
    </row>
    <row r="1306">
      <c r="A1306" s="77"/>
      <c r="B1306" s="102"/>
      <c r="C1306" s="102"/>
      <c r="D1306" s="102"/>
      <c r="E1306" s="102"/>
      <c r="F1306" s="102"/>
      <c r="G1306" s="102"/>
      <c r="H1306" s="295"/>
      <c r="I1306" s="102"/>
      <c r="J1306" s="77"/>
      <c r="K1306" s="77"/>
      <c r="L1306" s="77"/>
      <c r="M1306" s="77"/>
      <c r="N1306" s="77"/>
      <c r="O1306" s="77"/>
      <c r="P1306" s="268"/>
      <c r="Q1306" s="268"/>
      <c r="R1306" s="77"/>
      <c r="S1306" s="77"/>
      <c r="T1306" s="77"/>
      <c r="U1306" s="77"/>
      <c r="V1306" s="77"/>
      <c r="W1306" s="77"/>
      <c r="X1306" s="77"/>
      <c r="Y1306" s="77"/>
      <c r="Z1306" s="77"/>
      <c r="AA1306" s="77"/>
      <c r="AB1306" s="77"/>
      <c r="AC1306" s="77"/>
      <c r="AD1306" s="77"/>
      <c r="AE1306" s="77"/>
      <c r="AF1306" s="77"/>
      <c r="AG1306" s="77"/>
      <c r="AH1306" s="87"/>
      <c r="AI1306" s="87"/>
      <c r="AJ1306" s="87"/>
      <c r="AK1306" s="87"/>
      <c r="AL1306" s="87"/>
    </row>
    <row r="1307">
      <c r="A1307" s="77"/>
      <c r="B1307" s="102"/>
      <c r="C1307" s="102"/>
      <c r="D1307" s="102"/>
      <c r="E1307" s="102"/>
      <c r="F1307" s="102"/>
      <c r="G1307" s="102"/>
      <c r="H1307" s="295"/>
      <c r="I1307" s="102"/>
      <c r="J1307" s="77"/>
      <c r="K1307" s="77"/>
      <c r="L1307" s="77"/>
      <c r="M1307" s="77"/>
      <c r="N1307" s="77"/>
      <c r="O1307" s="77"/>
      <c r="P1307" s="268"/>
      <c r="Q1307" s="268"/>
      <c r="R1307" s="77"/>
      <c r="S1307" s="77"/>
      <c r="T1307" s="77"/>
      <c r="U1307" s="77"/>
      <c r="V1307" s="77"/>
      <c r="W1307" s="77"/>
      <c r="X1307" s="77"/>
      <c r="Y1307" s="77"/>
      <c r="Z1307" s="77"/>
      <c r="AA1307" s="77"/>
      <c r="AB1307" s="77"/>
      <c r="AC1307" s="77"/>
      <c r="AD1307" s="77"/>
      <c r="AE1307" s="77"/>
      <c r="AF1307" s="77"/>
      <c r="AG1307" s="77"/>
      <c r="AH1307" s="87"/>
      <c r="AI1307" s="87"/>
      <c r="AJ1307" s="87"/>
      <c r="AK1307" s="87"/>
      <c r="AL1307" s="87"/>
    </row>
    <row r="1308">
      <c r="A1308" s="77"/>
      <c r="B1308" s="102"/>
      <c r="C1308" s="102"/>
      <c r="D1308" s="102"/>
      <c r="E1308" s="102"/>
      <c r="F1308" s="102"/>
      <c r="G1308" s="102"/>
      <c r="H1308" s="295"/>
      <c r="I1308" s="102"/>
      <c r="J1308" s="77"/>
      <c r="K1308" s="77"/>
      <c r="L1308" s="77"/>
      <c r="M1308" s="77"/>
      <c r="N1308" s="77"/>
      <c r="O1308" s="77"/>
      <c r="P1308" s="268"/>
      <c r="Q1308" s="268"/>
      <c r="R1308" s="77"/>
      <c r="S1308" s="77"/>
      <c r="T1308" s="77"/>
      <c r="U1308" s="77"/>
      <c r="V1308" s="77"/>
      <c r="W1308" s="77"/>
      <c r="X1308" s="77"/>
      <c r="Y1308" s="77"/>
      <c r="Z1308" s="77"/>
      <c r="AA1308" s="77"/>
      <c r="AB1308" s="77"/>
      <c r="AC1308" s="77"/>
      <c r="AD1308" s="77"/>
      <c r="AE1308" s="77"/>
      <c r="AF1308" s="77"/>
      <c r="AG1308" s="77"/>
      <c r="AH1308" s="87"/>
      <c r="AI1308" s="87"/>
      <c r="AJ1308" s="87"/>
      <c r="AK1308" s="87"/>
      <c r="AL1308" s="87"/>
    </row>
    <row r="1309">
      <c r="A1309" s="77"/>
      <c r="B1309" s="102"/>
      <c r="C1309" s="102"/>
      <c r="D1309" s="102"/>
      <c r="E1309" s="102"/>
      <c r="F1309" s="102"/>
      <c r="G1309" s="102"/>
      <c r="H1309" s="295"/>
      <c r="I1309" s="102"/>
      <c r="J1309" s="77"/>
      <c r="K1309" s="77"/>
      <c r="L1309" s="77"/>
      <c r="M1309" s="77"/>
      <c r="N1309" s="77"/>
      <c r="O1309" s="77"/>
      <c r="P1309" s="268"/>
      <c r="Q1309" s="268"/>
      <c r="R1309" s="77"/>
      <c r="S1309" s="77"/>
      <c r="T1309" s="77"/>
      <c r="U1309" s="77"/>
      <c r="V1309" s="77"/>
      <c r="W1309" s="77"/>
      <c r="X1309" s="77"/>
      <c r="Y1309" s="77"/>
      <c r="Z1309" s="77"/>
      <c r="AA1309" s="77"/>
      <c r="AB1309" s="77"/>
      <c r="AC1309" s="77"/>
      <c r="AD1309" s="77"/>
      <c r="AE1309" s="77"/>
      <c r="AF1309" s="77"/>
      <c r="AG1309" s="77"/>
      <c r="AH1309" s="87"/>
      <c r="AI1309" s="87"/>
      <c r="AJ1309" s="87"/>
      <c r="AK1309" s="87"/>
      <c r="AL1309" s="87"/>
    </row>
    <row r="1310">
      <c r="A1310" s="77"/>
      <c r="B1310" s="102"/>
      <c r="C1310" s="102"/>
      <c r="D1310" s="102"/>
      <c r="E1310" s="102"/>
      <c r="F1310" s="102"/>
      <c r="G1310" s="102"/>
      <c r="H1310" s="295"/>
      <c r="I1310" s="102"/>
      <c r="J1310" s="77"/>
      <c r="K1310" s="77"/>
      <c r="L1310" s="77"/>
      <c r="M1310" s="77"/>
      <c r="N1310" s="77"/>
      <c r="O1310" s="77"/>
      <c r="P1310" s="268"/>
      <c r="Q1310" s="268"/>
      <c r="R1310" s="77"/>
      <c r="S1310" s="77"/>
      <c r="T1310" s="77"/>
      <c r="U1310" s="77"/>
      <c r="V1310" s="77"/>
      <c r="W1310" s="77"/>
      <c r="X1310" s="77"/>
      <c r="Y1310" s="77"/>
      <c r="Z1310" s="77"/>
      <c r="AA1310" s="77"/>
      <c r="AB1310" s="77"/>
      <c r="AC1310" s="77"/>
      <c r="AD1310" s="77"/>
      <c r="AE1310" s="77"/>
      <c r="AF1310" s="77"/>
      <c r="AG1310" s="77"/>
      <c r="AH1310" s="87"/>
      <c r="AI1310" s="87"/>
      <c r="AJ1310" s="87"/>
      <c r="AK1310" s="87"/>
      <c r="AL1310" s="87"/>
    </row>
    <row r="1311">
      <c r="A1311" s="77"/>
      <c r="B1311" s="102"/>
      <c r="C1311" s="102"/>
      <c r="D1311" s="102"/>
      <c r="E1311" s="102"/>
      <c r="F1311" s="102"/>
      <c r="G1311" s="102"/>
      <c r="H1311" s="295"/>
      <c r="I1311" s="102"/>
      <c r="J1311" s="77"/>
      <c r="K1311" s="77"/>
      <c r="L1311" s="77"/>
      <c r="M1311" s="77"/>
      <c r="N1311" s="77"/>
      <c r="O1311" s="77"/>
      <c r="P1311" s="268"/>
      <c r="Q1311" s="268"/>
      <c r="R1311" s="77"/>
      <c r="S1311" s="77"/>
      <c r="T1311" s="77"/>
      <c r="U1311" s="77"/>
      <c r="V1311" s="77"/>
      <c r="W1311" s="77"/>
      <c r="X1311" s="77"/>
      <c r="Y1311" s="77"/>
      <c r="Z1311" s="77"/>
      <c r="AA1311" s="77"/>
      <c r="AB1311" s="77"/>
      <c r="AC1311" s="77"/>
      <c r="AD1311" s="77"/>
      <c r="AE1311" s="77"/>
      <c r="AF1311" s="77"/>
      <c r="AG1311" s="77"/>
      <c r="AH1311" s="87"/>
      <c r="AI1311" s="87"/>
      <c r="AJ1311" s="87"/>
      <c r="AK1311" s="87"/>
      <c r="AL1311" s="87"/>
    </row>
    <row r="1312">
      <c r="A1312" s="77"/>
      <c r="B1312" s="102"/>
      <c r="C1312" s="102"/>
      <c r="D1312" s="102"/>
      <c r="E1312" s="102"/>
      <c r="F1312" s="102"/>
      <c r="G1312" s="102"/>
      <c r="H1312" s="295"/>
      <c r="I1312" s="102"/>
      <c r="J1312" s="77"/>
      <c r="K1312" s="77"/>
      <c r="L1312" s="77"/>
      <c r="M1312" s="77"/>
      <c r="N1312" s="77"/>
      <c r="O1312" s="77"/>
      <c r="P1312" s="268"/>
      <c r="Q1312" s="268"/>
      <c r="R1312" s="77"/>
      <c r="S1312" s="77"/>
      <c r="T1312" s="77"/>
      <c r="U1312" s="77"/>
      <c r="V1312" s="77"/>
      <c r="W1312" s="77"/>
      <c r="X1312" s="77"/>
      <c r="Y1312" s="77"/>
      <c r="Z1312" s="77"/>
      <c r="AA1312" s="77"/>
      <c r="AB1312" s="77"/>
      <c r="AC1312" s="77"/>
      <c r="AD1312" s="77"/>
      <c r="AE1312" s="77"/>
      <c r="AF1312" s="77"/>
      <c r="AG1312" s="77"/>
      <c r="AH1312" s="87"/>
      <c r="AI1312" s="87"/>
      <c r="AJ1312" s="87"/>
      <c r="AK1312" s="87"/>
      <c r="AL1312" s="87"/>
    </row>
    <row r="1313">
      <c r="A1313" s="77"/>
      <c r="B1313" s="102"/>
      <c r="C1313" s="102"/>
      <c r="D1313" s="102"/>
      <c r="E1313" s="102"/>
      <c r="F1313" s="102"/>
      <c r="G1313" s="102"/>
      <c r="H1313" s="295"/>
      <c r="I1313" s="102"/>
      <c r="J1313" s="77"/>
      <c r="K1313" s="77"/>
      <c r="L1313" s="77"/>
      <c r="M1313" s="77"/>
      <c r="N1313" s="77"/>
      <c r="O1313" s="77"/>
      <c r="P1313" s="268"/>
      <c r="Q1313" s="268"/>
      <c r="R1313" s="77"/>
      <c r="S1313" s="77"/>
      <c r="T1313" s="77"/>
      <c r="U1313" s="77"/>
      <c r="V1313" s="77"/>
      <c r="W1313" s="77"/>
      <c r="X1313" s="77"/>
      <c r="Y1313" s="77"/>
      <c r="Z1313" s="77"/>
      <c r="AA1313" s="77"/>
      <c r="AB1313" s="77"/>
      <c r="AC1313" s="77"/>
      <c r="AD1313" s="77"/>
      <c r="AE1313" s="77"/>
      <c r="AF1313" s="77"/>
      <c r="AG1313" s="77"/>
      <c r="AH1313" s="87"/>
      <c r="AI1313" s="87"/>
      <c r="AJ1313" s="87"/>
      <c r="AK1313" s="87"/>
      <c r="AL1313" s="87"/>
    </row>
    <row r="1314">
      <c r="A1314" s="77"/>
      <c r="B1314" s="102"/>
      <c r="C1314" s="102"/>
      <c r="D1314" s="102"/>
      <c r="E1314" s="102"/>
      <c r="F1314" s="102"/>
      <c r="G1314" s="102"/>
      <c r="H1314" s="295"/>
      <c r="I1314" s="102"/>
      <c r="J1314" s="77"/>
      <c r="K1314" s="77"/>
      <c r="L1314" s="77"/>
      <c r="M1314" s="77"/>
      <c r="N1314" s="77"/>
      <c r="O1314" s="77"/>
      <c r="P1314" s="268"/>
      <c r="Q1314" s="268"/>
      <c r="R1314" s="77"/>
      <c r="S1314" s="77"/>
      <c r="T1314" s="77"/>
      <c r="U1314" s="77"/>
      <c r="V1314" s="77"/>
      <c r="W1314" s="77"/>
      <c r="X1314" s="77"/>
      <c r="Y1314" s="77"/>
      <c r="Z1314" s="77"/>
      <c r="AA1314" s="77"/>
      <c r="AB1314" s="77"/>
      <c r="AC1314" s="77"/>
      <c r="AD1314" s="77"/>
      <c r="AE1314" s="77"/>
      <c r="AF1314" s="77"/>
      <c r="AG1314" s="77"/>
      <c r="AH1314" s="87"/>
      <c r="AI1314" s="87"/>
      <c r="AJ1314" s="87"/>
      <c r="AK1314" s="87"/>
      <c r="AL1314" s="87"/>
    </row>
    <row r="1315">
      <c r="A1315" s="77"/>
      <c r="B1315" s="102"/>
      <c r="C1315" s="102"/>
      <c r="D1315" s="102"/>
      <c r="E1315" s="102"/>
      <c r="F1315" s="102"/>
      <c r="G1315" s="102"/>
      <c r="H1315" s="295"/>
      <c r="I1315" s="102"/>
      <c r="J1315" s="77"/>
      <c r="K1315" s="77"/>
      <c r="L1315" s="77"/>
      <c r="M1315" s="77"/>
      <c r="N1315" s="77"/>
      <c r="O1315" s="77"/>
      <c r="P1315" s="268"/>
      <c r="Q1315" s="268"/>
      <c r="R1315" s="77"/>
      <c r="S1315" s="77"/>
      <c r="T1315" s="77"/>
      <c r="U1315" s="77"/>
      <c r="V1315" s="77"/>
      <c r="W1315" s="77"/>
      <c r="X1315" s="77"/>
      <c r="Y1315" s="77"/>
      <c r="Z1315" s="77"/>
      <c r="AA1315" s="77"/>
      <c r="AB1315" s="77"/>
      <c r="AC1315" s="77"/>
      <c r="AD1315" s="77"/>
      <c r="AE1315" s="77"/>
      <c r="AF1315" s="77"/>
      <c r="AG1315" s="77"/>
      <c r="AH1315" s="87"/>
      <c r="AI1315" s="87"/>
      <c r="AJ1315" s="87"/>
      <c r="AK1315" s="87"/>
      <c r="AL1315" s="87"/>
    </row>
    <row r="1316">
      <c r="A1316" s="77"/>
      <c r="B1316" s="102"/>
      <c r="C1316" s="102"/>
      <c r="D1316" s="102"/>
      <c r="E1316" s="102"/>
      <c r="F1316" s="102"/>
      <c r="G1316" s="102"/>
      <c r="H1316" s="295"/>
      <c r="I1316" s="102"/>
      <c r="J1316" s="77"/>
      <c r="K1316" s="77"/>
      <c r="L1316" s="77"/>
      <c r="M1316" s="77"/>
      <c r="N1316" s="77"/>
      <c r="O1316" s="77"/>
      <c r="P1316" s="268"/>
      <c r="Q1316" s="268"/>
      <c r="R1316" s="77"/>
      <c r="S1316" s="77"/>
      <c r="T1316" s="77"/>
      <c r="U1316" s="77"/>
      <c r="V1316" s="77"/>
      <c r="W1316" s="77"/>
      <c r="X1316" s="77"/>
      <c r="Y1316" s="77"/>
      <c r="Z1316" s="77"/>
      <c r="AA1316" s="77"/>
      <c r="AB1316" s="77"/>
      <c r="AC1316" s="77"/>
      <c r="AD1316" s="77"/>
      <c r="AE1316" s="77"/>
      <c r="AF1316" s="77"/>
      <c r="AG1316" s="77"/>
      <c r="AH1316" s="87"/>
      <c r="AI1316" s="87"/>
      <c r="AJ1316" s="87"/>
      <c r="AK1316" s="87"/>
      <c r="AL1316" s="87"/>
    </row>
    <row r="1317">
      <c r="A1317" s="77"/>
      <c r="B1317" s="102"/>
      <c r="C1317" s="102"/>
      <c r="D1317" s="102"/>
      <c r="E1317" s="102"/>
      <c r="F1317" s="102"/>
      <c r="G1317" s="102"/>
      <c r="H1317" s="295"/>
      <c r="I1317" s="102"/>
      <c r="J1317" s="77"/>
      <c r="K1317" s="77"/>
      <c r="L1317" s="77"/>
      <c r="M1317" s="77"/>
      <c r="N1317" s="77"/>
      <c r="O1317" s="77"/>
      <c r="P1317" s="268"/>
      <c r="Q1317" s="268"/>
      <c r="R1317" s="77"/>
      <c r="S1317" s="77"/>
      <c r="T1317" s="77"/>
      <c r="U1317" s="77"/>
      <c r="V1317" s="77"/>
      <c r="W1317" s="77"/>
      <c r="X1317" s="77"/>
      <c r="Y1317" s="77"/>
      <c r="Z1317" s="77"/>
      <c r="AA1317" s="77"/>
      <c r="AB1317" s="77"/>
      <c r="AC1317" s="77"/>
      <c r="AD1317" s="77"/>
      <c r="AE1317" s="77"/>
      <c r="AF1317" s="77"/>
      <c r="AG1317" s="77"/>
      <c r="AH1317" s="87"/>
      <c r="AI1317" s="87"/>
      <c r="AJ1317" s="87"/>
      <c r="AK1317" s="87"/>
      <c r="AL1317" s="87"/>
    </row>
    <row r="1318">
      <c r="A1318" s="77"/>
      <c r="B1318" s="102"/>
      <c r="C1318" s="102"/>
      <c r="D1318" s="102"/>
      <c r="E1318" s="102"/>
      <c r="F1318" s="102"/>
      <c r="G1318" s="102"/>
      <c r="H1318" s="295"/>
      <c r="I1318" s="102"/>
      <c r="J1318" s="77"/>
      <c r="K1318" s="77"/>
      <c r="L1318" s="77"/>
      <c r="M1318" s="77"/>
      <c r="N1318" s="77"/>
      <c r="O1318" s="77"/>
      <c r="P1318" s="268"/>
      <c r="Q1318" s="268"/>
      <c r="R1318" s="77"/>
      <c r="S1318" s="77"/>
      <c r="T1318" s="77"/>
      <c r="U1318" s="77"/>
      <c r="V1318" s="77"/>
      <c r="W1318" s="77"/>
      <c r="X1318" s="77"/>
      <c r="Y1318" s="77"/>
      <c r="Z1318" s="77"/>
      <c r="AA1318" s="77"/>
      <c r="AB1318" s="77"/>
      <c r="AC1318" s="77"/>
      <c r="AD1318" s="77"/>
      <c r="AE1318" s="77"/>
      <c r="AF1318" s="77"/>
      <c r="AG1318" s="77"/>
      <c r="AH1318" s="87"/>
      <c r="AI1318" s="87"/>
      <c r="AJ1318" s="87"/>
      <c r="AK1318" s="87"/>
      <c r="AL1318" s="87"/>
    </row>
    <row r="1319">
      <c r="A1319" s="77"/>
      <c r="B1319" s="102"/>
      <c r="C1319" s="102"/>
      <c r="D1319" s="102"/>
      <c r="E1319" s="102"/>
      <c r="F1319" s="102"/>
      <c r="G1319" s="102"/>
      <c r="H1319" s="295"/>
      <c r="I1319" s="102"/>
      <c r="J1319" s="77"/>
      <c r="K1319" s="77"/>
      <c r="L1319" s="77"/>
      <c r="M1319" s="77"/>
      <c r="N1319" s="77"/>
      <c r="O1319" s="77"/>
      <c r="P1319" s="268"/>
      <c r="Q1319" s="268"/>
      <c r="R1319" s="77"/>
      <c r="S1319" s="77"/>
      <c r="T1319" s="77"/>
      <c r="U1319" s="77"/>
      <c r="V1319" s="77"/>
      <c r="W1319" s="77"/>
      <c r="X1319" s="77"/>
      <c r="Y1319" s="77"/>
      <c r="Z1319" s="77"/>
      <c r="AA1319" s="77"/>
      <c r="AB1319" s="77"/>
      <c r="AC1319" s="77"/>
      <c r="AD1319" s="77"/>
      <c r="AE1319" s="77"/>
      <c r="AF1319" s="77"/>
      <c r="AG1319" s="77"/>
      <c r="AH1319" s="87"/>
      <c r="AI1319" s="87"/>
      <c r="AJ1319" s="87"/>
      <c r="AK1319" s="87"/>
      <c r="AL1319" s="87"/>
    </row>
    <row r="1320">
      <c r="A1320" s="77"/>
      <c r="B1320" s="102"/>
      <c r="C1320" s="102"/>
      <c r="D1320" s="102"/>
      <c r="E1320" s="102"/>
      <c r="F1320" s="102"/>
      <c r="G1320" s="102"/>
      <c r="H1320" s="295"/>
      <c r="I1320" s="102"/>
      <c r="J1320" s="77"/>
      <c r="K1320" s="77"/>
      <c r="L1320" s="77"/>
      <c r="M1320" s="77"/>
      <c r="N1320" s="77"/>
      <c r="O1320" s="77"/>
      <c r="P1320" s="268"/>
      <c r="Q1320" s="268"/>
      <c r="R1320" s="77"/>
      <c r="S1320" s="77"/>
      <c r="T1320" s="77"/>
      <c r="U1320" s="77"/>
      <c r="V1320" s="77"/>
      <c r="W1320" s="77"/>
      <c r="X1320" s="77"/>
      <c r="Y1320" s="77"/>
      <c r="Z1320" s="77"/>
      <c r="AA1320" s="77"/>
      <c r="AB1320" s="77"/>
      <c r="AC1320" s="77"/>
      <c r="AD1320" s="77"/>
      <c r="AE1320" s="77"/>
      <c r="AF1320" s="77"/>
      <c r="AG1320" s="77"/>
      <c r="AH1320" s="87"/>
      <c r="AI1320" s="87"/>
      <c r="AJ1320" s="87"/>
      <c r="AK1320" s="87"/>
      <c r="AL1320" s="87"/>
    </row>
    <row r="1321">
      <c r="A1321" s="77"/>
      <c r="B1321" s="102"/>
      <c r="C1321" s="102"/>
      <c r="D1321" s="102"/>
      <c r="E1321" s="102"/>
      <c r="F1321" s="102"/>
      <c r="G1321" s="102"/>
      <c r="H1321" s="295"/>
      <c r="I1321" s="102"/>
      <c r="J1321" s="77"/>
      <c r="K1321" s="77"/>
      <c r="L1321" s="77"/>
      <c r="M1321" s="77"/>
      <c r="N1321" s="77"/>
      <c r="O1321" s="77"/>
      <c r="P1321" s="268"/>
      <c r="Q1321" s="268"/>
      <c r="R1321" s="77"/>
      <c r="S1321" s="77"/>
      <c r="T1321" s="77"/>
      <c r="U1321" s="77"/>
      <c r="V1321" s="77"/>
      <c r="W1321" s="77"/>
      <c r="X1321" s="77"/>
      <c r="Y1321" s="77"/>
      <c r="Z1321" s="77"/>
      <c r="AA1321" s="77"/>
      <c r="AB1321" s="77"/>
      <c r="AC1321" s="77"/>
      <c r="AD1321" s="77"/>
      <c r="AE1321" s="77"/>
      <c r="AF1321" s="77"/>
      <c r="AG1321" s="77"/>
      <c r="AH1321" s="87"/>
      <c r="AI1321" s="87"/>
      <c r="AJ1321" s="87"/>
      <c r="AK1321" s="87"/>
      <c r="AL1321" s="87"/>
    </row>
    <row r="1322">
      <c r="A1322" s="77"/>
      <c r="B1322" s="102"/>
      <c r="C1322" s="102"/>
      <c r="D1322" s="102"/>
      <c r="E1322" s="102"/>
      <c r="F1322" s="102"/>
      <c r="G1322" s="102"/>
      <c r="H1322" s="295"/>
      <c r="I1322" s="102"/>
      <c r="J1322" s="77"/>
      <c r="K1322" s="77"/>
      <c r="L1322" s="77"/>
      <c r="M1322" s="77"/>
      <c r="N1322" s="77"/>
      <c r="O1322" s="77"/>
      <c r="P1322" s="268"/>
      <c r="Q1322" s="268"/>
      <c r="R1322" s="77"/>
      <c r="S1322" s="77"/>
      <c r="T1322" s="77"/>
      <c r="U1322" s="77"/>
      <c r="V1322" s="77"/>
      <c r="W1322" s="77"/>
      <c r="X1322" s="77"/>
      <c r="Y1322" s="77"/>
      <c r="Z1322" s="77"/>
      <c r="AA1322" s="77"/>
      <c r="AB1322" s="77"/>
      <c r="AC1322" s="77"/>
      <c r="AD1322" s="77"/>
      <c r="AE1322" s="77"/>
      <c r="AF1322" s="77"/>
      <c r="AG1322" s="77"/>
      <c r="AH1322" s="87"/>
      <c r="AI1322" s="87"/>
      <c r="AJ1322" s="87"/>
      <c r="AK1322" s="87"/>
      <c r="AL1322" s="87"/>
    </row>
    <row r="1323">
      <c r="A1323" s="77"/>
      <c r="B1323" s="102"/>
      <c r="C1323" s="102"/>
      <c r="D1323" s="102"/>
      <c r="E1323" s="102"/>
      <c r="F1323" s="102"/>
      <c r="G1323" s="102"/>
      <c r="H1323" s="295"/>
      <c r="I1323" s="102"/>
      <c r="J1323" s="77"/>
      <c r="K1323" s="77"/>
      <c r="L1323" s="77"/>
      <c r="M1323" s="77"/>
      <c r="N1323" s="77"/>
      <c r="O1323" s="77"/>
      <c r="P1323" s="268"/>
      <c r="Q1323" s="268"/>
      <c r="R1323" s="77"/>
      <c r="S1323" s="77"/>
      <c r="T1323" s="77"/>
      <c r="U1323" s="77"/>
      <c r="V1323" s="77"/>
      <c r="W1323" s="77"/>
      <c r="X1323" s="77"/>
      <c r="Y1323" s="77"/>
      <c r="Z1323" s="77"/>
      <c r="AA1323" s="77"/>
      <c r="AB1323" s="77"/>
      <c r="AC1323" s="77"/>
      <c r="AD1323" s="77"/>
      <c r="AE1323" s="77"/>
      <c r="AF1323" s="77"/>
      <c r="AG1323" s="77"/>
      <c r="AH1323" s="87"/>
      <c r="AI1323" s="87"/>
      <c r="AJ1323" s="87"/>
      <c r="AK1323" s="87"/>
      <c r="AL1323" s="87"/>
    </row>
    <row r="1324">
      <c r="A1324" s="77"/>
      <c r="B1324" s="102"/>
      <c r="C1324" s="102"/>
      <c r="D1324" s="102"/>
      <c r="E1324" s="102"/>
      <c r="F1324" s="102"/>
      <c r="G1324" s="102"/>
      <c r="H1324" s="295"/>
      <c r="I1324" s="102"/>
      <c r="J1324" s="77"/>
      <c r="K1324" s="77"/>
      <c r="L1324" s="77"/>
      <c r="M1324" s="77"/>
      <c r="N1324" s="77"/>
      <c r="O1324" s="77"/>
      <c r="P1324" s="268"/>
      <c r="Q1324" s="268"/>
      <c r="R1324" s="77"/>
      <c r="S1324" s="77"/>
      <c r="T1324" s="77"/>
      <c r="U1324" s="77"/>
      <c r="V1324" s="77"/>
      <c r="W1324" s="77"/>
      <c r="X1324" s="77"/>
      <c r="Y1324" s="77"/>
      <c r="Z1324" s="77"/>
      <c r="AA1324" s="77"/>
      <c r="AB1324" s="77"/>
      <c r="AC1324" s="77"/>
      <c r="AD1324" s="77"/>
      <c r="AE1324" s="77"/>
      <c r="AF1324" s="77"/>
      <c r="AG1324" s="77"/>
      <c r="AH1324" s="87"/>
      <c r="AI1324" s="87"/>
      <c r="AJ1324" s="87"/>
      <c r="AK1324" s="87"/>
      <c r="AL1324" s="87"/>
    </row>
    <row r="1325">
      <c r="A1325" s="77"/>
      <c r="B1325" s="102"/>
      <c r="C1325" s="102"/>
      <c r="D1325" s="102"/>
      <c r="E1325" s="102"/>
      <c r="F1325" s="102"/>
      <c r="G1325" s="102"/>
      <c r="H1325" s="295"/>
      <c r="I1325" s="102"/>
      <c r="J1325" s="77"/>
      <c r="K1325" s="77"/>
      <c r="L1325" s="77"/>
      <c r="M1325" s="77"/>
      <c r="N1325" s="77"/>
      <c r="O1325" s="77"/>
      <c r="P1325" s="268"/>
      <c r="Q1325" s="268"/>
      <c r="R1325" s="77"/>
      <c r="S1325" s="77"/>
      <c r="T1325" s="77"/>
      <c r="U1325" s="77"/>
      <c r="V1325" s="77"/>
      <c r="W1325" s="77"/>
      <c r="X1325" s="77"/>
      <c r="Y1325" s="77"/>
      <c r="Z1325" s="77"/>
      <c r="AA1325" s="77"/>
      <c r="AB1325" s="77"/>
      <c r="AC1325" s="77"/>
      <c r="AD1325" s="77"/>
      <c r="AE1325" s="77"/>
      <c r="AF1325" s="77"/>
      <c r="AG1325" s="77"/>
      <c r="AH1325" s="87"/>
      <c r="AI1325" s="87"/>
      <c r="AJ1325" s="87"/>
      <c r="AK1325" s="87"/>
      <c r="AL1325" s="87"/>
    </row>
    <row r="1326">
      <c r="A1326" s="77"/>
      <c r="B1326" s="102"/>
      <c r="C1326" s="102"/>
      <c r="D1326" s="102"/>
      <c r="E1326" s="102"/>
      <c r="F1326" s="102"/>
      <c r="G1326" s="102"/>
      <c r="H1326" s="295"/>
      <c r="I1326" s="102"/>
      <c r="J1326" s="77"/>
      <c r="K1326" s="77"/>
      <c r="L1326" s="77"/>
      <c r="M1326" s="77"/>
      <c r="N1326" s="77"/>
      <c r="O1326" s="77"/>
      <c r="P1326" s="268"/>
      <c r="Q1326" s="268"/>
      <c r="R1326" s="77"/>
      <c r="S1326" s="77"/>
      <c r="T1326" s="77"/>
      <c r="U1326" s="77"/>
      <c r="V1326" s="77"/>
      <c r="W1326" s="77"/>
      <c r="X1326" s="77"/>
      <c r="Y1326" s="77"/>
      <c r="Z1326" s="77"/>
      <c r="AA1326" s="77"/>
      <c r="AB1326" s="77"/>
      <c r="AC1326" s="77"/>
      <c r="AD1326" s="77"/>
      <c r="AE1326" s="77"/>
      <c r="AF1326" s="77"/>
      <c r="AG1326" s="77"/>
      <c r="AH1326" s="87"/>
      <c r="AI1326" s="87"/>
      <c r="AJ1326" s="87"/>
      <c r="AK1326" s="87"/>
      <c r="AL1326" s="87"/>
    </row>
    <row r="1327">
      <c r="A1327" s="77"/>
      <c r="B1327" s="102"/>
      <c r="C1327" s="102"/>
      <c r="D1327" s="102"/>
      <c r="E1327" s="102"/>
      <c r="F1327" s="102"/>
      <c r="G1327" s="102"/>
      <c r="H1327" s="295"/>
      <c r="I1327" s="102"/>
      <c r="J1327" s="77"/>
      <c r="K1327" s="77"/>
      <c r="L1327" s="77"/>
      <c r="M1327" s="77"/>
      <c r="N1327" s="77"/>
      <c r="O1327" s="77"/>
      <c r="P1327" s="268"/>
      <c r="Q1327" s="268"/>
      <c r="R1327" s="77"/>
      <c r="S1327" s="77"/>
      <c r="T1327" s="77"/>
      <c r="U1327" s="77"/>
      <c r="V1327" s="77"/>
      <c r="W1327" s="77"/>
      <c r="X1327" s="77"/>
      <c r="Y1327" s="77"/>
      <c r="Z1327" s="77"/>
      <c r="AA1327" s="77"/>
      <c r="AB1327" s="77"/>
      <c r="AC1327" s="77"/>
      <c r="AD1327" s="77"/>
      <c r="AE1327" s="77"/>
      <c r="AF1327" s="77"/>
      <c r="AG1327" s="77"/>
      <c r="AH1327" s="87"/>
      <c r="AI1327" s="87"/>
      <c r="AJ1327" s="87"/>
      <c r="AK1327" s="87"/>
      <c r="AL1327" s="87"/>
    </row>
    <row r="1328">
      <c r="A1328" s="77"/>
      <c r="B1328" s="102"/>
      <c r="C1328" s="102"/>
      <c r="D1328" s="102"/>
      <c r="E1328" s="102"/>
      <c r="F1328" s="102"/>
      <c r="G1328" s="102"/>
      <c r="H1328" s="295"/>
      <c r="I1328" s="102"/>
      <c r="J1328" s="77"/>
      <c r="K1328" s="77"/>
      <c r="L1328" s="77"/>
      <c r="M1328" s="77"/>
      <c r="N1328" s="77"/>
      <c r="O1328" s="77"/>
      <c r="P1328" s="268"/>
      <c r="Q1328" s="268"/>
      <c r="R1328" s="77"/>
      <c r="S1328" s="77"/>
      <c r="T1328" s="77"/>
      <c r="U1328" s="77"/>
      <c r="V1328" s="77"/>
      <c r="W1328" s="77"/>
      <c r="X1328" s="77"/>
      <c r="Y1328" s="77"/>
      <c r="Z1328" s="77"/>
      <c r="AA1328" s="77"/>
      <c r="AB1328" s="77"/>
      <c r="AC1328" s="77"/>
      <c r="AD1328" s="77"/>
      <c r="AE1328" s="77"/>
      <c r="AF1328" s="77"/>
      <c r="AG1328" s="77"/>
      <c r="AH1328" s="87"/>
      <c r="AI1328" s="87"/>
      <c r="AJ1328" s="87"/>
      <c r="AK1328" s="87"/>
      <c r="AL1328" s="87"/>
    </row>
    <row r="1329">
      <c r="A1329" s="77"/>
      <c r="B1329" s="102"/>
      <c r="C1329" s="102"/>
      <c r="D1329" s="102"/>
      <c r="E1329" s="102"/>
      <c r="F1329" s="102"/>
      <c r="G1329" s="102"/>
      <c r="H1329" s="295"/>
      <c r="I1329" s="102"/>
      <c r="J1329" s="77"/>
      <c r="K1329" s="77"/>
      <c r="L1329" s="77"/>
      <c r="M1329" s="77"/>
      <c r="N1329" s="77"/>
      <c r="O1329" s="77"/>
      <c r="P1329" s="268"/>
      <c r="Q1329" s="268"/>
      <c r="R1329" s="77"/>
      <c r="S1329" s="77"/>
      <c r="T1329" s="77"/>
      <c r="U1329" s="77"/>
      <c r="V1329" s="77"/>
      <c r="W1329" s="77"/>
      <c r="X1329" s="77"/>
      <c r="Y1329" s="77"/>
      <c r="Z1329" s="77"/>
      <c r="AA1329" s="77"/>
      <c r="AB1329" s="77"/>
      <c r="AC1329" s="77"/>
      <c r="AD1329" s="77"/>
      <c r="AE1329" s="77"/>
      <c r="AF1329" s="77"/>
      <c r="AG1329" s="77"/>
      <c r="AH1329" s="87"/>
      <c r="AI1329" s="87"/>
      <c r="AJ1329" s="87"/>
      <c r="AK1329" s="87"/>
      <c r="AL1329" s="87"/>
    </row>
    <row r="1330">
      <c r="A1330" s="77"/>
      <c r="B1330" s="102"/>
      <c r="C1330" s="102"/>
      <c r="D1330" s="102"/>
      <c r="E1330" s="102"/>
      <c r="F1330" s="102"/>
      <c r="G1330" s="102"/>
      <c r="H1330" s="295"/>
      <c r="I1330" s="102"/>
      <c r="J1330" s="77"/>
      <c r="K1330" s="77"/>
      <c r="L1330" s="77"/>
      <c r="M1330" s="77"/>
      <c r="N1330" s="77"/>
      <c r="O1330" s="77"/>
      <c r="P1330" s="268"/>
      <c r="Q1330" s="268"/>
      <c r="R1330" s="77"/>
      <c r="S1330" s="77"/>
      <c r="T1330" s="77"/>
      <c r="U1330" s="77"/>
      <c r="V1330" s="77"/>
      <c r="W1330" s="77"/>
      <c r="X1330" s="77"/>
      <c r="Y1330" s="77"/>
      <c r="Z1330" s="77"/>
      <c r="AA1330" s="77"/>
      <c r="AB1330" s="77"/>
      <c r="AC1330" s="77"/>
      <c r="AD1330" s="77"/>
      <c r="AE1330" s="77"/>
      <c r="AF1330" s="77"/>
      <c r="AG1330" s="77"/>
      <c r="AH1330" s="87"/>
      <c r="AI1330" s="87"/>
      <c r="AJ1330" s="87"/>
      <c r="AK1330" s="87"/>
      <c r="AL1330" s="87"/>
    </row>
    <row r="1331">
      <c r="A1331" s="77"/>
      <c r="B1331" s="102"/>
      <c r="C1331" s="102"/>
      <c r="D1331" s="102"/>
      <c r="E1331" s="102"/>
      <c r="F1331" s="102"/>
      <c r="G1331" s="102"/>
      <c r="H1331" s="295"/>
      <c r="I1331" s="102"/>
      <c r="J1331" s="77"/>
      <c r="K1331" s="77"/>
      <c r="L1331" s="77"/>
      <c r="M1331" s="77"/>
      <c r="N1331" s="77"/>
      <c r="O1331" s="77"/>
      <c r="P1331" s="268"/>
      <c r="Q1331" s="268"/>
      <c r="R1331" s="77"/>
      <c r="S1331" s="77"/>
      <c r="T1331" s="77"/>
      <c r="U1331" s="77"/>
      <c r="V1331" s="77"/>
      <c r="W1331" s="77"/>
      <c r="X1331" s="77"/>
      <c r="Y1331" s="77"/>
      <c r="Z1331" s="77"/>
      <c r="AA1331" s="77"/>
      <c r="AB1331" s="77"/>
      <c r="AC1331" s="77"/>
      <c r="AD1331" s="77"/>
      <c r="AE1331" s="77"/>
      <c r="AF1331" s="77"/>
      <c r="AG1331" s="77"/>
      <c r="AH1331" s="87"/>
      <c r="AI1331" s="87"/>
      <c r="AJ1331" s="87"/>
      <c r="AK1331" s="87"/>
      <c r="AL1331" s="87"/>
    </row>
    <row r="1332">
      <c r="A1332" s="77"/>
      <c r="B1332" s="102"/>
      <c r="C1332" s="102"/>
      <c r="D1332" s="102"/>
      <c r="E1332" s="102"/>
      <c r="F1332" s="102"/>
      <c r="G1332" s="102"/>
      <c r="H1332" s="295"/>
      <c r="I1332" s="102"/>
      <c r="J1332" s="77"/>
      <c r="K1332" s="77"/>
      <c r="L1332" s="77"/>
      <c r="M1332" s="77"/>
      <c r="N1332" s="77"/>
      <c r="O1332" s="77"/>
      <c r="P1332" s="268"/>
      <c r="Q1332" s="268"/>
      <c r="R1332" s="77"/>
      <c r="S1332" s="77"/>
      <c r="T1332" s="77"/>
      <c r="U1332" s="77"/>
      <c r="V1332" s="77"/>
      <c r="W1332" s="77"/>
      <c r="X1332" s="77"/>
      <c r="Y1332" s="77"/>
      <c r="Z1332" s="77"/>
      <c r="AA1332" s="77"/>
      <c r="AB1332" s="77"/>
      <c r="AC1332" s="77"/>
      <c r="AD1332" s="77"/>
      <c r="AE1332" s="77"/>
      <c r="AF1332" s="77"/>
      <c r="AG1332" s="77"/>
      <c r="AH1332" s="87"/>
      <c r="AI1332" s="87"/>
      <c r="AJ1332" s="87"/>
      <c r="AK1332" s="87"/>
      <c r="AL1332" s="87"/>
    </row>
    <row r="1333">
      <c r="A1333" s="77"/>
      <c r="B1333" s="102"/>
      <c r="C1333" s="102"/>
      <c r="D1333" s="102"/>
      <c r="E1333" s="102"/>
      <c r="F1333" s="102"/>
      <c r="G1333" s="102"/>
      <c r="H1333" s="295"/>
      <c r="I1333" s="102"/>
      <c r="J1333" s="77"/>
      <c r="K1333" s="77"/>
      <c r="L1333" s="77"/>
      <c r="M1333" s="77"/>
      <c r="N1333" s="77"/>
      <c r="O1333" s="77"/>
      <c r="P1333" s="268"/>
      <c r="Q1333" s="268"/>
      <c r="R1333" s="77"/>
      <c r="S1333" s="77"/>
      <c r="T1333" s="77"/>
      <c r="U1333" s="77"/>
      <c r="V1333" s="77"/>
      <c r="W1333" s="77"/>
      <c r="X1333" s="77"/>
      <c r="Y1333" s="77"/>
      <c r="Z1333" s="77"/>
      <c r="AA1333" s="77"/>
      <c r="AB1333" s="77"/>
      <c r="AC1333" s="77"/>
      <c r="AD1333" s="77"/>
      <c r="AE1333" s="77"/>
      <c r="AF1333" s="77"/>
      <c r="AG1333" s="77"/>
      <c r="AH1333" s="87"/>
      <c r="AI1333" s="87"/>
      <c r="AJ1333" s="87"/>
      <c r="AK1333" s="87"/>
      <c r="AL1333" s="87"/>
    </row>
    <row r="1334">
      <c r="A1334" s="77"/>
      <c r="B1334" s="102"/>
      <c r="C1334" s="102"/>
      <c r="D1334" s="102"/>
      <c r="E1334" s="102"/>
      <c r="F1334" s="102"/>
      <c r="G1334" s="102"/>
      <c r="H1334" s="295"/>
      <c r="I1334" s="102"/>
      <c r="J1334" s="77"/>
      <c r="K1334" s="77"/>
      <c r="L1334" s="77"/>
      <c r="M1334" s="77"/>
      <c r="N1334" s="77"/>
      <c r="O1334" s="77"/>
      <c r="P1334" s="268"/>
      <c r="Q1334" s="268"/>
      <c r="R1334" s="77"/>
      <c r="S1334" s="77"/>
      <c r="T1334" s="77"/>
      <c r="U1334" s="77"/>
      <c r="V1334" s="77"/>
      <c r="W1334" s="77"/>
      <c r="X1334" s="77"/>
      <c r="Y1334" s="77"/>
      <c r="Z1334" s="77"/>
      <c r="AA1334" s="77"/>
      <c r="AB1334" s="77"/>
      <c r="AC1334" s="77"/>
      <c r="AD1334" s="77"/>
      <c r="AE1334" s="77"/>
      <c r="AF1334" s="77"/>
      <c r="AG1334" s="77"/>
      <c r="AH1334" s="87"/>
      <c r="AI1334" s="87"/>
      <c r="AJ1334" s="87"/>
      <c r="AK1334" s="87"/>
      <c r="AL1334" s="87"/>
    </row>
    <row r="1335">
      <c r="A1335" s="77"/>
      <c r="B1335" s="102"/>
      <c r="C1335" s="102"/>
      <c r="D1335" s="102"/>
      <c r="E1335" s="102"/>
      <c r="F1335" s="102"/>
      <c r="G1335" s="102"/>
      <c r="H1335" s="295"/>
      <c r="I1335" s="102"/>
      <c r="J1335" s="77"/>
      <c r="K1335" s="77"/>
      <c r="L1335" s="77"/>
      <c r="M1335" s="77"/>
      <c r="N1335" s="77"/>
      <c r="O1335" s="77"/>
      <c r="P1335" s="268"/>
      <c r="Q1335" s="268"/>
      <c r="R1335" s="77"/>
      <c r="S1335" s="77"/>
      <c r="T1335" s="77"/>
      <c r="U1335" s="77"/>
      <c r="V1335" s="77"/>
      <c r="W1335" s="77"/>
      <c r="X1335" s="77"/>
      <c r="Y1335" s="77"/>
      <c r="Z1335" s="77"/>
      <c r="AA1335" s="77"/>
      <c r="AB1335" s="77"/>
      <c r="AC1335" s="77"/>
      <c r="AD1335" s="77"/>
      <c r="AE1335" s="77"/>
      <c r="AF1335" s="77"/>
      <c r="AG1335" s="77"/>
      <c r="AH1335" s="87"/>
      <c r="AI1335" s="87"/>
      <c r="AJ1335" s="87"/>
      <c r="AK1335" s="87"/>
      <c r="AL1335" s="87"/>
    </row>
    <row r="1336">
      <c r="A1336" s="77"/>
      <c r="B1336" s="102"/>
      <c r="C1336" s="102"/>
      <c r="D1336" s="102"/>
      <c r="E1336" s="102"/>
      <c r="F1336" s="102"/>
      <c r="G1336" s="102"/>
      <c r="H1336" s="295"/>
      <c r="I1336" s="102"/>
      <c r="J1336" s="77"/>
      <c r="K1336" s="77"/>
      <c r="L1336" s="77"/>
      <c r="M1336" s="77"/>
      <c r="N1336" s="77"/>
      <c r="O1336" s="77"/>
      <c r="P1336" s="268"/>
      <c r="Q1336" s="268"/>
      <c r="R1336" s="77"/>
      <c r="S1336" s="77"/>
      <c r="T1336" s="77"/>
      <c r="U1336" s="77"/>
      <c r="V1336" s="77"/>
      <c r="W1336" s="77"/>
      <c r="X1336" s="77"/>
      <c r="Y1336" s="77"/>
      <c r="Z1336" s="77"/>
      <c r="AA1336" s="77"/>
      <c r="AB1336" s="77"/>
      <c r="AC1336" s="77"/>
      <c r="AD1336" s="77"/>
      <c r="AE1336" s="77"/>
      <c r="AF1336" s="77"/>
      <c r="AG1336" s="77"/>
      <c r="AH1336" s="87"/>
      <c r="AI1336" s="87"/>
      <c r="AJ1336" s="87"/>
      <c r="AK1336" s="87"/>
      <c r="AL1336" s="87"/>
    </row>
    <row r="1337">
      <c r="A1337" s="77"/>
      <c r="B1337" s="102"/>
      <c r="C1337" s="102"/>
      <c r="D1337" s="102"/>
      <c r="E1337" s="102"/>
      <c r="F1337" s="102"/>
      <c r="G1337" s="102"/>
      <c r="H1337" s="295"/>
      <c r="I1337" s="102"/>
      <c r="J1337" s="77"/>
      <c r="K1337" s="77"/>
      <c r="L1337" s="77"/>
      <c r="M1337" s="77"/>
      <c r="N1337" s="77"/>
      <c r="O1337" s="77"/>
      <c r="P1337" s="268"/>
      <c r="Q1337" s="268"/>
      <c r="R1337" s="77"/>
      <c r="S1337" s="77"/>
      <c r="T1337" s="77"/>
      <c r="U1337" s="77"/>
      <c r="V1337" s="77"/>
      <c r="W1337" s="77"/>
      <c r="X1337" s="77"/>
      <c r="Y1337" s="77"/>
      <c r="Z1337" s="77"/>
      <c r="AA1337" s="77"/>
      <c r="AB1337" s="77"/>
      <c r="AC1337" s="77"/>
      <c r="AD1337" s="77"/>
      <c r="AE1337" s="77"/>
      <c r="AF1337" s="77"/>
      <c r="AG1337" s="77"/>
      <c r="AH1337" s="87"/>
      <c r="AI1337" s="87"/>
      <c r="AJ1337" s="87"/>
      <c r="AK1337" s="87"/>
      <c r="AL1337" s="87"/>
    </row>
    <row r="1338">
      <c r="A1338" s="77"/>
      <c r="B1338" s="102"/>
      <c r="C1338" s="102"/>
      <c r="D1338" s="102"/>
      <c r="E1338" s="102"/>
      <c r="F1338" s="102"/>
      <c r="G1338" s="102"/>
      <c r="H1338" s="295"/>
      <c r="I1338" s="102"/>
      <c r="J1338" s="77"/>
      <c r="K1338" s="77"/>
      <c r="L1338" s="77"/>
      <c r="M1338" s="77"/>
      <c r="N1338" s="77"/>
      <c r="O1338" s="77"/>
      <c r="P1338" s="268"/>
      <c r="Q1338" s="268"/>
      <c r="R1338" s="77"/>
      <c r="S1338" s="77"/>
      <c r="T1338" s="77"/>
      <c r="U1338" s="77"/>
      <c r="V1338" s="77"/>
      <c r="W1338" s="77"/>
      <c r="X1338" s="77"/>
      <c r="Y1338" s="77"/>
      <c r="Z1338" s="77"/>
      <c r="AA1338" s="77"/>
      <c r="AB1338" s="77"/>
      <c r="AC1338" s="77"/>
      <c r="AD1338" s="77"/>
      <c r="AE1338" s="77"/>
      <c r="AF1338" s="77"/>
      <c r="AG1338" s="77"/>
      <c r="AH1338" s="87"/>
      <c r="AI1338" s="87"/>
      <c r="AJ1338" s="87"/>
      <c r="AK1338" s="87"/>
      <c r="AL1338" s="87"/>
    </row>
    <row r="1339">
      <c r="A1339" s="77"/>
      <c r="B1339" s="102"/>
      <c r="C1339" s="102"/>
      <c r="D1339" s="102"/>
      <c r="E1339" s="102"/>
      <c r="F1339" s="102"/>
      <c r="G1339" s="102"/>
      <c r="H1339" s="295"/>
      <c r="I1339" s="102"/>
      <c r="J1339" s="77"/>
      <c r="K1339" s="77"/>
      <c r="L1339" s="77"/>
      <c r="M1339" s="77"/>
      <c r="N1339" s="77"/>
      <c r="O1339" s="77"/>
      <c r="P1339" s="268"/>
      <c r="Q1339" s="268"/>
      <c r="R1339" s="77"/>
      <c r="S1339" s="77"/>
      <c r="T1339" s="77"/>
      <c r="U1339" s="77"/>
      <c r="V1339" s="77"/>
      <c r="W1339" s="77"/>
      <c r="X1339" s="77"/>
      <c r="Y1339" s="77"/>
      <c r="Z1339" s="77"/>
      <c r="AA1339" s="77"/>
      <c r="AB1339" s="77"/>
      <c r="AC1339" s="77"/>
      <c r="AD1339" s="77"/>
      <c r="AE1339" s="77"/>
      <c r="AF1339" s="77"/>
      <c r="AG1339" s="77"/>
      <c r="AH1339" s="87"/>
      <c r="AI1339" s="87"/>
      <c r="AJ1339" s="87"/>
      <c r="AK1339" s="87"/>
      <c r="AL1339" s="87"/>
    </row>
    <row r="1340">
      <c r="A1340" s="77"/>
      <c r="B1340" s="102"/>
      <c r="C1340" s="102"/>
      <c r="D1340" s="102"/>
      <c r="E1340" s="102"/>
      <c r="F1340" s="102"/>
      <c r="G1340" s="102"/>
      <c r="H1340" s="295"/>
      <c r="I1340" s="102"/>
      <c r="J1340" s="77"/>
      <c r="K1340" s="77"/>
      <c r="L1340" s="77"/>
      <c r="M1340" s="77"/>
      <c r="N1340" s="77"/>
      <c r="O1340" s="77"/>
      <c r="P1340" s="268"/>
      <c r="Q1340" s="268"/>
      <c r="R1340" s="77"/>
      <c r="S1340" s="77"/>
      <c r="T1340" s="77"/>
      <c r="U1340" s="77"/>
      <c r="V1340" s="77"/>
      <c r="W1340" s="77"/>
      <c r="X1340" s="77"/>
      <c r="Y1340" s="77"/>
      <c r="Z1340" s="77"/>
      <c r="AA1340" s="77"/>
      <c r="AB1340" s="77"/>
      <c r="AC1340" s="77"/>
      <c r="AD1340" s="77"/>
      <c r="AE1340" s="77"/>
      <c r="AF1340" s="77"/>
      <c r="AG1340" s="77"/>
      <c r="AH1340" s="87"/>
      <c r="AI1340" s="87"/>
      <c r="AJ1340" s="87"/>
      <c r="AK1340" s="87"/>
      <c r="AL1340" s="87"/>
    </row>
    <row r="1341">
      <c r="A1341" s="77"/>
      <c r="B1341" s="102"/>
      <c r="C1341" s="102"/>
      <c r="D1341" s="102"/>
      <c r="E1341" s="102"/>
      <c r="F1341" s="102"/>
      <c r="G1341" s="102"/>
      <c r="H1341" s="295"/>
      <c r="I1341" s="102"/>
      <c r="J1341" s="77"/>
      <c r="K1341" s="77"/>
      <c r="L1341" s="77"/>
      <c r="M1341" s="77"/>
      <c r="N1341" s="77"/>
      <c r="O1341" s="77"/>
      <c r="P1341" s="268"/>
      <c r="Q1341" s="268"/>
      <c r="R1341" s="77"/>
      <c r="S1341" s="77"/>
      <c r="T1341" s="77"/>
      <c r="U1341" s="77"/>
      <c r="V1341" s="77"/>
      <c r="W1341" s="77"/>
      <c r="X1341" s="77"/>
      <c r="Y1341" s="77"/>
      <c r="Z1341" s="77"/>
      <c r="AA1341" s="77"/>
      <c r="AB1341" s="77"/>
      <c r="AC1341" s="77"/>
      <c r="AD1341" s="77"/>
      <c r="AE1341" s="77"/>
      <c r="AF1341" s="77"/>
      <c r="AG1341" s="77"/>
      <c r="AH1341" s="87"/>
      <c r="AI1341" s="87"/>
      <c r="AJ1341" s="87"/>
      <c r="AK1341" s="87"/>
      <c r="AL1341" s="87"/>
    </row>
    <row r="1342">
      <c r="A1342" s="77"/>
      <c r="B1342" s="102"/>
      <c r="C1342" s="102"/>
      <c r="D1342" s="102"/>
      <c r="E1342" s="102"/>
      <c r="F1342" s="102"/>
      <c r="G1342" s="102"/>
      <c r="H1342" s="295"/>
      <c r="I1342" s="102"/>
      <c r="J1342" s="77"/>
      <c r="K1342" s="77"/>
      <c r="L1342" s="77"/>
      <c r="M1342" s="77"/>
      <c r="N1342" s="77"/>
      <c r="O1342" s="77"/>
      <c r="P1342" s="268"/>
      <c r="Q1342" s="268"/>
      <c r="R1342" s="77"/>
      <c r="S1342" s="77"/>
      <c r="T1342" s="77"/>
      <c r="U1342" s="77"/>
      <c r="V1342" s="77"/>
      <c r="W1342" s="77"/>
      <c r="X1342" s="77"/>
      <c r="Y1342" s="77"/>
      <c r="Z1342" s="77"/>
      <c r="AA1342" s="77"/>
      <c r="AB1342" s="77"/>
      <c r="AC1342" s="77"/>
      <c r="AD1342" s="77"/>
      <c r="AE1342" s="77"/>
      <c r="AF1342" s="77"/>
      <c r="AG1342" s="77"/>
      <c r="AH1342" s="87"/>
      <c r="AI1342" s="87"/>
      <c r="AJ1342" s="87"/>
      <c r="AK1342" s="87"/>
      <c r="AL1342" s="87"/>
    </row>
    <row r="1343">
      <c r="A1343" s="77"/>
      <c r="B1343" s="102"/>
      <c r="C1343" s="102"/>
      <c r="D1343" s="102"/>
      <c r="E1343" s="102"/>
      <c r="F1343" s="102"/>
      <c r="G1343" s="102"/>
      <c r="H1343" s="295"/>
      <c r="I1343" s="102"/>
      <c r="J1343" s="77"/>
      <c r="K1343" s="77"/>
      <c r="L1343" s="77"/>
      <c r="M1343" s="77"/>
      <c r="N1343" s="77"/>
      <c r="O1343" s="77"/>
      <c r="P1343" s="268"/>
      <c r="Q1343" s="268"/>
      <c r="R1343" s="77"/>
      <c r="S1343" s="77"/>
      <c r="T1343" s="77"/>
      <c r="U1343" s="77"/>
      <c r="V1343" s="77"/>
      <c r="W1343" s="77"/>
      <c r="X1343" s="77"/>
      <c r="Y1343" s="77"/>
      <c r="Z1343" s="77"/>
      <c r="AA1343" s="77"/>
      <c r="AB1343" s="77"/>
      <c r="AC1343" s="77"/>
      <c r="AD1343" s="77"/>
      <c r="AE1343" s="77"/>
      <c r="AF1343" s="77"/>
      <c r="AG1343" s="77"/>
      <c r="AH1343" s="87"/>
      <c r="AI1343" s="87"/>
      <c r="AJ1343" s="87"/>
      <c r="AK1343" s="87"/>
      <c r="AL1343" s="87"/>
    </row>
    <row r="1344">
      <c r="A1344" s="77"/>
      <c r="B1344" s="102"/>
      <c r="C1344" s="102"/>
      <c r="D1344" s="102"/>
      <c r="E1344" s="102"/>
      <c r="F1344" s="102"/>
      <c r="G1344" s="102"/>
      <c r="H1344" s="295"/>
      <c r="I1344" s="102"/>
      <c r="J1344" s="77"/>
      <c r="K1344" s="77"/>
      <c r="L1344" s="77"/>
      <c r="M1344" s="77"/>
      <c r="N1344" s="77"/>
      <c r="O1344" s="77"/>
      <c r="P1344" s="268"/>
      <c r="Q1344" s="268"/>
      <c r="R1344" s="77"/>
      <c r="S1344" s="77"/>
      <c r="T1344" s="77"/>
      <c r="U1344" s="77"/>
      <c r="V1344" s="77"/>
      <c r="W1344" s="77"/>
      <c r="X1344" s="77"/>
      <c r="Y1344" s="77"/>
      <c r="Z1344" s="77"/>
      <c r="AA1344" s="77"/>
      <c r="AB1344" s="77"/>
      <c r="AC1344" s="77"/>
      <c r="AD1344" s="77"/>
      <c r="AE1344" s="77"/>
      <c r="AF1344" s="77"/>
      <c r="AG1344" s="77"/>
      <c r="AH1344" s="87"/>
      <c r="AI1344" s="87"/>
      <c r="AJ1344" s="87"/>
      <c r="AK1344" s="87"/>
      <c r="AL1344" s="87"/>
    </row>
    <row r="1345">
      <c r="A1345" s="77"/>
      <c r="B1345" s="102"/>
      <c r="C1345" s="102"/>
      <c r="D1345" s="102"/>
      <c r="E1345" s="102"/>
      <c r="F1345" s="102"/>
      <c r="G1345" s="102"/>
      <c r="H1345" s="295"/>
      <c r="I1345" s="102"/>
      <c r="J1345" s="77"/>
      <c r="K1345" s="77"/>
      <c r="L1345" s="77"/>
      <c r="M1345" s="77"/>
      <c r="N1345" s="77"/>
      <c r="O1345" s="77"/>
      <c r="P1345" s="268"/>
      <c r="Q1345" s="268"/>
      <c r="R1345" s="77"/>
      <c r="S1345" s="77"/>
      <c r="T1345" s="77"/>
      <c r="U1345" s="77"/>
      <c r="V1345" s="77"/>
      <c r="W1345" s="77"/>
      <c r="X1345" s="77"/>
      <c r="Y1345" s="77"/>
      <c r="Z1345" s="77"/>
      <c r="AA1345" s="77"/>
      <c r="AB1345" s="77"/>
      <c r="AC1345" s="77"/>
      <c r="AD1345" s="77"/>
      <c r="AE1345" s="77"/>
      <c r="AF1345" s="77"/>
      <c r="AG1345" s="77"/>
      <c r="AH1345" s="87"/>
      <c r="AI1345" s="87"/>
      <c r="AJ1345" s="87"/>
      <c r="AK1345" s="87"/>
      <c r="AL1345" s="87"/>
    </row>
    <row r="1346">
      <c r="A1346" s="77"/>
      <c r="B1346" s="102"/>
      <c r="C1346" s="102"/>
      <c r="D1346" s="102"/>
      <c r="E1346" s="102"/>
      <c r="F1346" s="102"/>
      <c r="G1346" s="102"/>
      <c r="H1346" s="295"/>
      <c r="I1346" s="102"/>
      <c r="J1346" s="77"/>
      <c r="K1346" s="77"/>
      <c r="L1346" s="77"/>
      <c r="M1346" s="77"/>
      <c r="N1346" s="77"/>
      <c r="O1346" s="77"/>
      <c r="P1346" s="268"/>
      <c r="Q1346" s="268"/>
      <c r="R1346" s="77"/>
      <c r="S1346" s="77"/>
      <c r="T1346" s="77"/>
      <c r="U1346" s="77"/>
      <c r="V1346" s="77"/>
      <c r="W1346" s="77"/>
      <c r="X1346" s="77"/>
      <c r="Y1346" s="77"/>
      <c r="Z1346" s="77"/>
      <c r="AA1346" s="77"/>
      <c r="AB1346" s="77"/>
      <c r="AC1346" s="77"/>
      <c r="AD1346" s="77"/>
      <c r="AE1346" s="77"/>
      <c r="AF1346" s="77"/>
      <c r="AG1346" s="77"/>
      <c r="AH1346" s="87"/>
      <c r="AI1346" s="87"/>
      <c r="AJ1346" s="87"/>
      <c r="AK1346" s="87"/>
      <c r="AL1346" s="87"/>
    </row>
    <row r="1347">
      <c r="A1347" s="77"/>
      <c r="B1347" s="102"/>
      <c r="C1347" s="102"/>
      <c r="D1347" s="102"/>
      <c r="E1347" s="102"/>
      <c r="F1347" s="102"/>
      <c r="G1347" s="102"/>
      <c r="H1347" s="295"/>
      <c r="I1347" s="102"/>
      <c r="J1347" s="77"/>
      <c r="K1347" s="77"/>
      <c r="L1347" s="77"/>
      <c r="M1347" s="77"/>
      <c r="N1347" s="77"/>
      <c r="O1347" s="77"/>
      <c r="P1347" s="268"/>
      <c r="Q1347" s="268"/>
      <c r="R1347" s="77"/>
      <c r="S1347" s="77"/>
      <c r="T1347" s="77"/>
      <c r="U1347" s="77"/>
      <c r="V1347" s="77"/>
      <c r="W1347" s="77"/>
      <c r="X1347" s="77"/>
      <c r="Y1347" s="77"/>
      <c r="Z1347" s="77"/>
      <c r="AA1347" s="77"/>
      <c r="AB1347" s="77"/>
      <c r="AC1347" s="77"/>
      <c r="AD1347" s="77"/>
      <c r="AE1347" s="77"/>
      <c r="AF1347" s="77"/>
      <c r="AG1347" s="77"/>
      <c r="AH1347" s="87"/>
      <c r="AI1347" s="87"/>
      <c r="AJ1347" s="87"/>
      <c r="AK1347" s="87"/>
      <c r="AL1347" s="87"/>
    </row>
    <row r="1348">
      <c r="A1348" s="77"/>
      <c r="B1348" s="102"/>
      <c r="C1348" s="102"/>
      <c r="D1348" s="102"/>
      <c r="E1348" s="102"/>
      <c r="F1348" s="102"/>
      <c r="G1348" s="102"/>
      <c r="H1348" s="295"/>
      <c r="I1348" s="102"/>
      <c r="J1348" s="77"/>
      <c r="K1348" s="77"/>
      <c r="L1348" s="77"/>
      <c r="M1348" s="77"/>
      <c r="N1348" s="77"/>
      <c r="O1348" s="77"/>
      <c r="P1348" s="268"/>
      <c r="Q1348" s="268"/>
      <c r="R1348" s="77"/>
      <c r="S1348" s="77"/>
      <c r="T1348" s="77"/>
      <c r="U1348" s="77"/>
      <c r="V1348" s="77"/>
      <c r="W1348" s="77"/>
      <c r="X1348" s="77"/>
      <c r="Y1348" s="77"/>
      <c r="Z1348" s="77"/>
      <c r="AA1348" s="77"/>
      <c r="AB1348" s="77"/>
      <c r="AC1348" s="77"/>
      <c r="AD1348" s="77"/>
      <c r="AE1348" s="77"/>
      <c r="AF1348" s="77"/>
      <c r="AG1348" s="77"/>
      <c r="AH1348" s="87"/>
      <c r="AI1348" s="87"/>
      <c r="AJ1348" s="87"/>
      <c r="AK1348" s="87"/>
      <c r="AL1348" s="87"/>
    </row>
    <row r="1349">
      <c r="A1349" s="77"/>
      <c r="B1349" s="102"/>
      <c r="C1349" s="102"/>
      <c r="D1349" s="102"/>
      <c r="E1349" s="102"/>
      <c r="F1349" s="102"/>
      <c r="G1349" s="102"/>
      <c r="H1349" s="295"/>
      <c r="I1349" s="102"/>
      <c r="J1349" s="77"/>
      <c r="K1349" s="77"/>
      <c r="L1349" s="77"/>
      <c r="M1349" s="77"/>
      <c r="N1349" s="77"/>
      <c r="O1349" s="77"/>
      <c r="P1349" s="268"/>
      <c r="Q1349" s="268"/>
      <c r="R1349" s="77"/>
      <c r="S1349" s="77"/>
      <c r="T1349" s="77"/>
      <c r="U1349" s="77"/>
      <c r="V1349" s="77"/>
      <c r="W1349" s="77"/>
      <c r="X1349" s="77"/>
      <c r="Y1349" s="77"/>
      <c r="Z1349" s="77"/>
      <c r="AA1349" s="77"/>
      <c r="AB1349" s="77"/>
      <c r="AC1349" s="77"/>
      <c r="AD1349" s="77"/>
      <c r="AE1349" s="77"/>
      <c r="AF1349" s="77"/>
      <c r="AG1349" s="77"/>
      <c r="AH1349" s="87"/>
      <c r="AI1349" s="87"/>
      <c r="AJ1349" s="87"/>
      <c r="AK1349" s="87"/>
      <c r="AL1349" s="87"/>
    </row>
    <row r="1350">
      <c r="A1350" s="77"/>
      <c r="B1350" s="102"/>
      <c r="C1350" s="102"/>
      <c r="D1350" s="102"/>
      <c r="E1350" s="102"/>
      <c r="F1350" s="102"/>
      <c r="G1350" s="102"/>
      <c r="H1350" s="295"/>
      <c r="I1350" s="102"/>
      <c r="J1350" s="77"/>
      <c r="K1350" s="77"/>
      <c r="L1350" s="77"/>
      <c r="M1350" s="77"/>
      <c r="N1350" s="77"/>
      <c r="O1350" s="77"/>
      <c r="P1350" s="268"/>
      <c r="Q1350" s="268"/>
      <c r="R1350" s="77"/>
      <c r="S1350" s="77"/>
      <c r="T1350" s="77"/>
      <c r="U1350" s="77"/>
      <c r="V1350" s="77"/>
      <c r="W1350" s="77"/>
      <c r="X1350" s="77"/>
      <c r="Y1350" s="77"/>
      <c r="Z1350" s="77"/>
      <c r="AA1350" s="77"/>
      <c r="AB1350" s="77"/>
      <c r="AC1350" s="77"/>
      <c r="AD1350" s="77"/>
      <c r="AE1350" s="77"/>
      <c r="AF1350" s="77"/>
      <c r="AG1350" s="77"/>
      <c r="AH1350" s="87"/>
      <c r="AI1350" s="87"/>
      <c r="AJ1350" s="87"/>
      <c r="AK1350" s="87"/>
      <c r="AL1350" s="87"/>
    </row>
    <row r="1351">
      <c r="A1351" s="77"/>
      <c r="B1351" s="102"/>
      <c r="C1351" s="102"/>
      <c r="D1351" s="102"/>
      <c r="E1351" s="102"/>
      <c r="F1351" s="102"/>
      <c r="G1351" s="102"/>
      <c r="H1351" s="295"/>
      <c r="I1351" s="102"/>
      <c r="J1351" s="77"/>
      <c r="K1351" s="77"/>
      <c r="L1351" s="77"/>
      <c r="M1351" s="77"/>
      <c r="N1351" s="77"/>
      <c r="O1351" s="77"/>
      <c r="P1351" s="268"/>
      <c r="Q1351" s="268"/>
      <c r="R1351" s="77"/>
      <c r="S1351" s="77"/>
      <c r="T1351" s="77"/>
      <c r="U1351" s="77"/>
      <c r="V1351" s="77"/>
      <c r="W1351" s="77"/>
      <c r="X1351" s="77"/>
      <c r="Y1351" s="77"/>
      <c r="Z1351" s="77"/>
      <c r="AA1351" s="77"/>
      <c r="AB1351" s="77"/>
      <c r="AC1351" s="77"/>
      <c r="AD1351" s="77"/>
      <c r="AE1351" s="77"/>
      <c r="AF1351" s="77"/>
      <c r="AG1351" s="77"/>
      <c r="AH1351" s="87"/>
      <c r="AI1351" s="87"/>
      <c r="AJ1351" s="87"/>
      <c r="AK1351" s="87"/>
      <c r="AL1351" s="87"/>
    </row>
    <row r="1352">
      <c r="A1352" s="77"/>
      <c r="B1352" s="102"/>
      <c r="C1352" s="102"/>
      <c r="D1352" s="102"/>
      <c r="E1352" s="102"/>
      <c r="F1352" s="102"/>
      <c r="G1352" s="102"/>
      <c r="H1352" s="295"/>
      <c r="I1352" s="102"/>
      <c r="J1352" s="77"/>
      <c r="K1352" s="77"/>
      <c r="L1352" s="77"/>
      <c r="M1352" s="77"/>
      <c r="N1352" s="77"/>
      <c r="O1352" s="77"/>
      <c r="P1352" s="268"/>
      <c r="Q1352" s="268"/>
      <c r="R1352" s="77"/>
      <c r="S1352" s="77"/>
      <c r="T1352" s="77"/>
      <c r="U1352" s="77"/>
      <c r="V1352" s="77"/>
      <c r="W1352" s="77"/>
      <c r="X1352" s="77"/>
      <c r="Y1352" s="77"/>
      <c r="Z1352" s="77"/>
      <c r="AA1352" s="77"/>
      <c r="AB1352" s="77"/>
      <c r="AC1352" s="77"/>
      <c r="AD1352" s="77"/>
      <c r="AE1352" s="77"/>
      <c r="AF1352" s="77"/>
      <c r="AG1352" s="77"/>
      <c r="AH1352" s="87"/>
      <c r="AI1352" s="87"/>
      <c r="AJ1352" s="87"/>
      <c r="AK1352" s="87"/>
      <c r="AL1352" s="87"/>
    </row>
    <row r="1353">
      <c r="A1353" s="77"/>
      <c r="B1353" s="102"/>
      <c r="C1353" s="102"/>
      <c r="D1353" s="102"/>
      <c r="E1353" s="102"/>
      <c r="F1353" s="102"/>
      <c r="G1353" s="102"/>
      <c r="H1353" s="295"/>
      <c r="I1353" s="102"/>
      <c r="J1353" s="77"/>
      <c r="K1353" s="77"/>
      <c r="L1353" s="77"/>
      <c r="M1353" s="77"/>
      <c r="N1353" s="77"/>
      <c r="O1353" s="77"/>
      <c r="P1353" s="268"/>
      <c r="Q1353" s="268"/>
      <c r="R1353" s="77"/>
      <c r="S1353" s="77"/>
      <c r="T1353" s="77"/>
      <c r="U1353" s="77"/>
      <c r="V1353" s="77"/>
      <c r="W1353" s="77"/>
      <c r="X1353" s="77"/>
      <c r="Y1353" s="77"/>
      <c r="Z1353" s="77"/>
      <c r="AA1353" s="77"/>
      <c r="AB1353" s="77"/>
      <c r="AC1353" s="77"/>
      <c r="AD1353" s="77"/>
      <c r="AE1353" s="77"/>
      <c r="AF1353" s="77"/>
      <c r="AG1353" s="77"/>
      <c r="AH1353" s="87"/>
      <c r="AI1353" s="87"/>
      <c r="AJ1353" s="87"/>
      <c r="AK1353" s="87"/>
      <c r="AL1353" s="87"/>
    </row>
    <row r="1354">
      <c r="A1354" s="77"/>
      <c r="B1354" s="102"/>
      <c r="C1354" s="102"/>
      <c r="D1354" s="102"/>
      <c r="E1354" s="102"/>
      <c r="F1354" s="102"/>
      <c r="G1354" s="102"/>
      <c r="H1354" s="295"/>
      <c r="I1354" s="102"/>
      <c r="J1354" s="77"/>
      <c r="K1354" s="77"/>
      <c r="L1354" s="77"/>
      <c r="M1354" s="77"/>
      <c r="N1354" s="77"/>
      <c r="O1354" s="77"/>
      <c r="P1354" s="268"/>
      <c r="Q1354" s="268"/>
      <c r="R1354" s="77"/>
      <c r="S1354" s="77"/>
      <c r="T1354" s="77"/>
      <c r="U1354" s="77"/>
      <c r="V1354" s="77"/>
      <c r="W1354" s="77"/>
      <c r="X1354" s="77"/>
      <c r="Y1354" s="77"/>
      <c r="Z1354" s="77"/>
      <c r="AA1354" s="77"/>
      <c r="AB1354" s="77"/>
      <c r="AC1354" s="77"/>
      <c r="AD1354" s="77"/>
      <c r="AE1354" s="77"/>
      <c r="AF1354" s="77"/>
      <c r="AG1354" s="77"/>
      <c r="AH1354" s="87"/>
      <c r="AI1354" s="87"/>
      <c r="AJ1354" s="87"/>
      <c r="AK1354" s="87"/>
      <c r="AL1354" s="87"/>
    </row>
    <row r="1355">
      <c r="A1355" s="77"/>
      <c r="B1355" s="102"/>
      <c r="C1355" s="102"/>
      <c r="D1355" s="102"/>
      <c r="E1355" s="102"/>
      <c r="F1355" s="102"/>
      <c r="G1355" s="102"/>
      <c r="H1355" s="295"/>
      <c r="I1355" s="102"/>
      <c r="J1355" s="77"/>
      <c r="K1355" s="77"/>
      <c r="L1355" s="77"/>
      <c r="M1355" s="77"/>
      <c r="N1355" s="77"/>
      <c r="O1355" s="77"/>
      <c r="P1355" s="268"/>
      <c r="Q1355" s="268"/>
      <c r="R1355" s="77"/>
      <c r="S1355" s="77"/>
      <c r="T1355" s="77"/>
      <c r="U1355" s="77"/>
      <c r="V1355" s="77"/>
      <c r="W1355" s="77"/>
      <c r="X1355" s="77"/>
      <c r="Y1355" s="77"/>
      <c r="Z1355" s="77"/>
      <c r="AA1355" s="77"/>
      <c r="AB1355" s="77"/>
      <c r="AC1355" s="77"/>
      <c r="AD1355" s="77"/>
      <c r="AE1355" s="77"/>
      <c r="AF1355" s="77"/>
      <c r="AG1355" s="77"/>
      <c r="AH1355" s="87"/>
      <c r="AI1355" s="87"/>
      <c r="AJ1355" s="87"/>
      <c r="AK1355" s="87"/>
      <c r="AL1355" s="87"/>
    </row>
    <row r="1356">
      <c r="A1356" s="77"/>
      <c r="B1356" s="102"/>
      <c r="C1356" s="102"/>
      <c r="D1356" s="102"/>
      <c r="E1356" s="102"/>
      <c r="F1356" s="102"/>
      <c r="G1356" s="102"/>
      <c r="H1356" s="295"/>
      <c r="I1356" s="102"/>
      <c r="J1356" s="77"/>
      <c r="K1356" s="77"/>
      <c r="L1356" s="77"/>
      <c r="M1356" s="77"/>
      <c r="N1356" s="77"/>
      <c r="O1356" s="77"/>
      <c r="P1356" s="268"/>
      <c r="Q1356" s="268"/>
      <c r="R1356" s="77"/>
      <c r="S1356" s="77"/>
      <c r="T1356" s="77"/>
      <c r="U1356" s="77"/>
      <c r="V1356" s="77"/>
      <c r="W1356" s="77"/>
      <c r="X1356" s="77"/>
      <c r="Y1356" s="77"/>
      <c r="Z1356" s="77"/>
      <c r="AA1356" s="77"/>
      <c r="AB1356" s="77"/>
      <c r="AC1356" s="77"/>
      <c r="AD1356" s="77"/>
      <c r="AE1356" s="77"/>
      <c r="AF1356" s="77"/>
      <c r="AG1356" s="77"/>
      <c r="AH1356" s="87"/>
      <c r="AI1356" s="87"/>
      <c r="AJ1356" s="87"/>
      <c r="AK1356" s="87"/>
      <c r="AL1356" s="87"/>
    </row>
    <row r="1357">
      <c r="A1357" s="77"/>
      <c r="B1357" s="102"/>
      <c r="C1357" s="102"/>
      <c r="D1357" s="102"/>
      <c r="E1357" s="102"/>
      <c r="F1357" s="102"/>
      <c r="G1357" s="102"/>
      <c r="H1357" s="295"/>
      <c r="I1357" s="102"/>
      <c r="J1357" s="77"/>
      <c r="K1357" s="77"/>
      <c r="L1357" s="77"/>
      <c r="M1357" s="77"/>
      <c r="N1357" s="77"/>
      <c r="O1357" s="77"/>
      <c r="P1357" s="268"/>
      <c r="Q1357" s="268"/>
      <c r="R1357" s="77"/>
      <c r="S1357" s="77"/>
      <c r="T1357" s="77"/>
      <c r="U1357" s="77"/>
      <c r="V1357" s="77"/>
      <c r="W1357" s="77"/>
      <c r="X1357" s="77"/>
      <c r="Y1357" s="77"/>
      <c r="Z1357" s="77"/>
      <c r="AA1357" s="77"/>
      <c r="AB1357" s="77"/>
      <c r="AC1357" s="77"/>
      <c r="AD1357" s="77"/>
      <c r="AE1357" s="77"/>
      <c r="AF1357" s="77"/>
      <c r="AG1357" s="77"/>
      <c r="AH1357" s="87"/>
      <c r="AI1357" s="87"/>
      <c r="AJ1357" s="87"/>
      <c r="AK1357" s="87"/>
      <c r="AL1357" s="87"/>
    </row>
    <row r="1358">
      <c r="A1358" s="77"/>
      <c r="B1358" s="102"/>
      <c r="C1358" s="102"/>
      <c r="D1358" s="102"/>
      <c r="E1358" s="102"/>
      <c r="F1358" s="102"/>
      <c r="G1358" s="102"/>
      <c r="H1358" s="295"/>
      <c r="I1358" s="102"/>
      <c r="J1358" s="77"/>
      <c r="K1358" s="77"/>
      <c r="L1358" s="77"/>
      <c r="M1358" s="77"/>
      <c r="N1358" s="77"/>
      <c r="O1358" s="77"/>
      <c r="P1358" s="268"/>
      <c r="Q1358" s="268"/>
      <c r="R1358" s="77"/>
      <c r="S1358" s="77"/>
      <c r="T1358" s="77"/>
      <c r="U1358" s="77"/>
      <c r="V1358" s="77"/>
      <c r="W1358" s="77"/>
      <c r="X1358" s="77"/>
      <c r="Y1358" s="77"/>
      <c r="Z1358" s="77"/>
      <c r="AA1358" s="77"/>
      <c r="AB1358" s="77"/>
      <c r="AC1358" s="77"/>
      <c r="AD1358" s="77"/>
      <c r="AE1358" s="77"/>
      <c r="AF1358" s="77"/>
      <c r="AG1358" s="77"/>
      <c r="AH1358" s="87"/>
      <c r="AI1358" s="87"/>
      <c r="AJ1358" s="87"/>
      <c r="AK1358" s="87"/>
      <c r="AL1358" s="87"/>
    </row>
    <row r="1359">
      <c r="A1359" s="77"/>
      <c r="B1359" s="102"/>
      <c r="C1359" s="102"/>
      <c r="D1359" s="102"/>
      <c r="E1359" s="102"/>
      <c r="F1359" s="102"/>
      <c r="G1359" s="102"/>
      <c r="H1359" s="295"/>
      <c r="I1359" s="102"/>
      <c r="J1359" s="77"/>
      <c r="K1359" s="77"/>
      <c r="L1359" s="77"/>
      <c r="M1359" s="77"/>
      <c r="N1359" s="77"/>
      <c r="O1359" s="77"/>
      <c r="P1359" s="268"/>
      <c r="Q1359" s="268"/>
      <c r="R1359" s="77"/>
      <c r="S1359" s="77"/>
      <c r="T1359" s="77"/>
      <c r="U1359" s="77"/>
      <c r="V1359" s="77"/>
      <c r="W1359" s="77"/>
      <c r="X1359" s="77"/>
      <c r="Y1359" s="77"/>
      <c r="Z1359" s="77"/>
      <c r="AA1359" s="77"/>
      <c r="AB1359" s="77"/>
      <c r="AC1359" s="77"/>
      <c r="AD1359" s="77"/>
      <c r="AE1359" s="77"/>
      <c r="AF1359" s="77"/>
      <c r="AG1359" s="77"/>
      <c r="AH1359" s="87"/>
      <c r="AI1359" s="87"/>
      <c r="AJ1359" s="87"/>
      <c r="AK1359" s="87"/>
      <c r="AL1359" s="87"/>
    </row>
    <row r="1360">
      <c r="A1360" s="77"/>
      <c r="B1360" s="102"/>
      <c r="C1360" s="102"/>
      <c r="D1360" s="102"/>
      <c r="E1360" s="102"/>
      <c r="F1360" s="102"/>
      <c r="G1360" s="102"/>
      <c r="H1360" s="295"/>
      <c r="I1360" s="102"/>
      <c r="J1360" s="77"/>
      <c r="K1360" s="77"/>
      <c r="L1360" s="77"/>
      <c r="M1360" s="77"/>
      <c r="N1360" s="77"/>
      <c r="O1360" s="77"/>
      <c r="P1360" s="268"/>
      <c r="Q1360" s="268"/>
      <c r="R1360" s="77"/>
      <c r="S1360" s="77"/>
      <c r="T1360" s="77"/>
      <c r="U1360" s="77"/>
      <c r="V1360" s="77"/>
      <c r="W1360" s="77"/>
      <c r="X1360" s="77"/>
      <c r="Y1360" s="77"/>
      <c r="Z1360" s="77"/>
      <c r="AA1360" s="77"/>
      <c r="AB1360" s="77"/>
      <c r="AC1360" s="77"/>
      <c r="AD1360" s="77"/>
      <c r="AE1360" s="77"/>
      <c r="AF1360" s="77"/>
      <c r="AG1360" s="77"/>
      <c r="AH1360" s="87"/>
      <c r="AI1360" s="87"/>
      <c r="AJ1360" s="87"/>
      <c r="AK1360" s="87"/>
      <c r="AL1360" s="87"/>
    </row>
    <row r="1361">
      <c r="A1361" s="77"/>
      <c r="B1361" s="102"/>
      <c r="C1361" s="102"/>
      <c r="D1361" s="102"/>
      <c r="E1361" s="102"/>
      <c r="F1361" s="102"/>
      <c r="G1361" s="102"/>
      <c r="H1361" s="295"/>
      <c r="I1361" s="102"/>
      <c r="J1361" s="77"/>
      <c r="K1361" s="77"/>
      <c r="L1361" s="77"/>
      <c r="M1361" s="77"/>
      <c r="N1361" s="77"/>
      <c r="O1361" s="77"/>
      <c r="P1361" s="268"/>
      <c r="Q1361" s="268"/>
      <c r="R1361" s="77"/>
      <c r="S1361" s="77"/>
      <c r="T1361" s="77"/>
      <c r="U1361" s="77"/>
      <c r="V1361" s="77"/>
      <c r="W1361" s="77"/>
      <c r="X1361" s="77"/>
      <c r="Y1361" s="77"/>
      <c r="Z1361" s="77"/>
      <c r="AA1361" s="77"/>
      <c r="AB1361" s="77"/>
      <c r="AC1361" s="77"/>
      <c r="AD1361" s="77"/>
      <c r="AE1361" s="77"/>
      <c r="AF1361" s="77"/>
      <c r="AG1361" s="77"/>
      <c r="AH1361" s="87"/>
      <c r="AI1361" s="87"/>
      <c r="AJ1361" s="87"/>
      <c r="AK1361" s="87"/>
      <c r="AL1361" s="87"/>
    </row>
    <row r="1362">
      <c r="A1362" s="77"/>
      <c r="B1362" s="102"/>
      <c r="C1362" s="102"/>
      <c r="D1362" s="102"/>
      <c r="E1362" s="102"/>
      <c r="F1362" s="102"/>
      <c r="G1362" s="102"/>
      <c r="H1362" s="295"/>
      <c r="I1362" s="102"/>
      <c r="J1362" s="77"/>
      <c r="K1362" s="77"/>
      <c r="L1362" s="77"/>
      <c r="M1362" s="77"/>
      <c r="N1362" s="77"/>
      <c r="O1362" s="77"/>
      <c r="P1362" s="268"/>
      <c r="Q1362" s="268"/>
      <c r="R1362" s="77"/>
      <c r="S1362" s="77"/>
      <c r="T1362" s="77"/>
      <c r="U1362" s="77"/>
      <c r="V1362" s="77"/>
      <c r="W1362" s="77"/>
      <c r="X1362" s="77"/>
      <c r="Y1362" s="77"/>
      <c r="Z1362" s="77"/>
      <c r="AA1362" s="77"/>
      <c r="AB1362" s="77"/>
      <c r="AC1362" s="77"/>
      <c r="AD1362" s="77"/>
      <c r="AE1362" s="77"/>
      <c r="AF1362" s="77"/>
      <c r="AG1362" s="77"/>
      <c r="AH1362" s="87"/>
      <c r="AI1362" s="87"/>
      <c r="AJ1362" s="87"/>
      <c r="AK1362" s="87"/>
      <c r="AL1362" s="87"/>
    </row>
    <row r="1363">
      <c r="A1363" s="77"/>
      <c r="B1363" s="102"/>
      <c r="C1363" s="102"/>
      <c r="D1363" s="102"/>
      <c r="E1363" s="102"/>
      <c r="F1363" s="102"/>
      <c r="G1363" s="102"/>
      <c r="H1363" s="295"/>
      <c r="I1363" s="102"/>
      <c r="J1363" s="77"/>
      <c r="K1363" s="77"/>
      <c r="L1363" s="77"/>
      <c r="M1363" s="77"/>
      <c r="N1363" s="77"/>
      <c r="O1363" s="77"/>
      <c r="P1363" s="268"/>
      <c r="Q1363" s="268"/>
      <c r="R1363" s="77"/>
      <c r="S1363" s="77"/>
      <c r="T1363" s="77"/>
      <c r="U1363" s="77"/>
      <c r="V1363" s="77"/>
      <c r="W1363" s="77"/>
      <c r="X1363" s="77"/>
      <c r="Y1363" s="77"/>
      <c r="Z1363" s="77"/>
      <c r="AA1363" s="77"/>
      <c r="AB1363" s="77"/>
      <c r="AC1363" s="77"/>
      <c r="AD1363" s="77"/>
      <c r="AE1363" s="77"/>
      <c r="AF1363" s="77"/>
      <c r="AG1363" s="77"/>
      <c r="AH1363" s="87"/>
      <c r="AI1363" s="87"/>
      <c r="AJ1363" s="87"/>
      <c r="AK1363" s="87"/>
      <c r="AL1363" s="87"/>
    </row>
    <row r="1364">
      <c r="A1364" s="77"/>
      <c r="B1364" s="102"/>
      <c r="C1364" s="102"/>
      <c r="D1364" s="102"/>
      <c r="E1364" s="102"/>
      <c r="F1364" s="102"/>
      <c r="G1364" s="102"/>
      <c r="H1364" s="295"/>
      <c r="I1364" s="102"/>
      <c r="J1364" s="77"/>
      <c r="K1364" s="77"/>
      <c r="L1364" s="77"/>
      <c r="M1364" s="77"/>
      <c r="N1364" s="77"/>
      <c r="O1364" s="77"/>
      <c r="P1364" s="268"/>
      <c r="Q1364" s="268"/>
      <c r="R1364" s="77"/>
      <c r="S1364" s="77"/>
      <c r="T1364" s="77"/>
      <c r="U1364" s="77"/>
      <c r="V1364" s="77"/>
      <c r="W1364" s="77"/>
      <c r="X1364" s="77"/>
      <c r="Y1364" s="77"/>
      <c r="Z1364" s="77"/>
      <c r="AA1364" s="77"/>
      <c r="AB1364" s="77"/>
      <c r="AC1364" s="77"/>
      <c r="AD1364" s="77"/>
      <c r="AE1364" s="77"/>
      <c r="AF1364" s="77"/>
      <c r="AG1364" s="77"/>
      <c r="AH1364" s="87"/>
      <c r="AI1364" s="87"/>
      <c r="AJ1364" s="87"/>
      <c r="AK1364" s="87"/>
      <c r="AL1364" s="87"/>
    </row>
    <row r="1365">
      <c r="A1365" s="77"/>
      <c r="B1365" s="102"/>
      <c r="C1365" s="102"/>
      <c r="D1365" s="102"/>
      <c r="E1365" s="102"/>
      <c r="F1365" s="102"/>
      <c r="G1365" s="102"/>
      <c r="H1365" s="295"/>
      <c r="I1365" s="102"/>
      <c r="J1365" s="77"/>
      <c r="K1365" s="77"/>
      <c r="L1365" s="77"/>
      <c r="M1365" s="77"/>
      <c r="N1365" s="77"/>
      <c r="O1365" s="77"/>
      <c r="P1365" s="268"/>
      <c r="Q1365" s="268"/>
      <c r="R1365" s="77"/>
      <c r="S1365" s="77"/>
      <c r="T1365" s="77"/>
      <c r="U1365" s="77"/>
      <c r="V1365" s="77"/>
      <c r="W1365" s="77"/>
      <c r="X1365" s="77"/>
      <c r="Y1365" s="77"/>
      <c r="Z1365" s="77"/>
      <c r="AA1365" s="77"/>
      <c r="AB1365" s="77"/>
      <c r="AC1365" s="77"/>
      <c r="AD1365" s="77"/>
      <c r="AE1365" s="77"/>
      <c r="AF1365" s="77"/>
      <c r="AG1365" s="77"/>
      <c r="AH1365" s="87"/>
      <c r="AI1365" s="87"/>
      <c r="AJ1365" s="87"/>
      <c r="AK1365" s="87"/>
      <c r="AL1365" s="87"/>
    </row>
    <row r="1366">
      <c r="A1366" s="77"/>
      <c r="B1366" s="102"/>
      <c r="C1366" s="102"/>
      <c r="D1366" s="102"/>
      <c r="E1366" s="102"/>
      <c r="F1366" s="102"/>
      <c r="G1366" s="102"/>
      <c r="H1366" s="295"/>
      <c r="I1366" s="102"/>
      <c r="J1366" s="77"/>
      <c r="K1366" s="77"/>
      <c r="L1366" s="77"/>
      <c r="M1366" s="77"/>
      <c r="N1366" s="77"/>
      <c r="O1366" s="77"/>
      <c r="P1366" s="268"/>
      <c r="Q1366" s="268"/>
      <c r="R1366" s="77"/>
      <c r="S1366" s="77"/>
      <c r="T1366" s="77"/>
      <c r="U1366" s="77"/>
      <c r="V1366" s="77"/>
      <c r="W1366" s="77"/>
      <c r="X1366" s="77"/>
      <c r="Y1366" s="77"/>
      <c r="Z1366" s="77"/>
      <c r="AA1366" s="77"/>
      <c r="AB1366" s="77"/>
      <c r="AC1366" s="77"/>
      <c r="AD1366" s="77"/>
      <c r="AE1366" s="77"/>
      <c r="AF1366" s="77"/>
      <c r="AG1366" s="77"/>
      <c r="AH1366" s="87"/>
      <c r="AI1366" s="87"/>
      <c r="AJ1366" s="87"/>
      <c r="AK1366" s="87"/>
      <c r="AL1366" s="87"/>
    </row>
    <row r="1367">
      <c r="A1367" s="77"/>
      <c r="B1367" s="102"/>
      <c r="C1367" s="102"/>
      <c r="D1367" s="102"/>
      <c r="E1367" s="102"/>
      <c r="F1367" s="102"/>
      <c r="G1367" s="102"/>
      <c r="H1367" s="295"/>
      <c r="I1367" s="102"/>
      <c r="J1367" s="77"/>
      <c r="K1367" s="77"/>
      <c r="L1367" s="77"/>
      <c r="M1367" s="77"/>
      <c r="N1367" s="77"/>
      <c r="O1367" s="77"/>
      <c r="P1367" s="268"/>
      <c r="Q1367" s="268"/>
      <c r="R1367" s="77"/>
      <c r="S1367" s="77"/>
      <c r="T1367" s="77"/>
      <c r="U1367" s="77"/>
      <c r="V1367" s="77"/>
      <c r="W1367" s="77"/>
      <c r="X1367" s="77"/>
      <c r="Y1367" s="77"/>
      <c r="Z1367" s="77"/>
      <c r="AA1367" s="77"/>
      <c r="AB1367" s="77"/>
      <c r="AC1367" s="77"/>
      <c r="AD1367" s="77"/>
      <c r="AE1367" s="77"/>
      <c r="AF1367" s="77"/>
      <c r="AG1367" s="77"/>
      <c r="AH1367" s="87"/>
      <c r="AI1367" s="87"/>
      <c r="AJ1367" s="87"/>
      <c r="AK1367" s="87"/>
      <c r="AL1367" s="87"/>
    </row>
    <row r="1368">
      <c r="A1368" s="77"/>
      <c r="B1368" s="102"/>
      <c r="C1368" s="102"/>
      <c r="D1368" s="102"/>
      <c r="E1368" s="102"/>
      <c r="F1368" s="102"/>
      <c r="G1368" s="102"/>
      <c r="H1368" s="295"/>
      <c r="I1368" s="102"/>
      <c r="J1368" s="77"/>
      <c r="K1368" s="77"/>
      <c r="L1368" s="77"/>
      <c r="M1368" s="77"/>
      <c r="N1368" s="77"/>
      <c r="O1368" s="77"/>
      <c r="P1368" s="268"/>
      <c r="Q1368" s="268"/>
      <c r="R1368" s="77"/>
      <c r="S1368" s="77"/>
      <c r="T1368" s="77"/>
      <c r="U1368" s="77"/>
      <c r="V1368" s="77"/>
      <c r="W1368" s="77"/>
      <c r="X1368" s="77"/>
      <c r="Y1368" s="77"/>
      <c r="Z1368" s="77"/>
      <c r="AA1368" s="77"/>
      <c r="AB1368" s="77"/>
      <c r="AC1368" s="77"/>
      <c r="AD1368" s="77"/>
      <c r="AE1368" s="77"/>
      <c r="AF1368" s="77"/>
      <c r="AG1368" s="77"/>
      <c r="AH1368" s="87"/>
      <c r="AI1368" s="87"/>
      <c r="AJ1368" s="87"/>
      <c r="AK1368" s="87"/>
      <c r="AL1368" s="87"/>
    </row>
    <row r="1369">
      <c r="A1369" s="77"/>
      <c r="B1369" s="102"/>
      <c r="C1369" s="102"/>
      <c r="D1369" s="102"/>
      <c r="E1369" s="102"/>
      <c r="F1369" s="102"/>
      <c r="G1369" s="102"/>
      <c r="H1369" s="295"/>
      <c r="I1369" s="102"/>
      <c r="J1369" s="77"/>
      <c r="K1369" s="77"/>
      <c r="L1369" s="77"/>
      <c r="M1369" s="77"/>
      <c r="N1369" s="77"/>
      <c r="O1369" s="77"/>
      <c r="P1369" s="268"/>
      <c r="Q1369" s="268"/>
      <c r="R1369" s="77"/>
      <c r="S1369" s="77"/>
      <c r="T1369" s="77"/>
      <c r="U1369" s="77"/>
      <c r="V1369" s="77"/>
      <c r="W1369" s="77"/>
      <c r="X1369" s="77"/>
      <c r="Y1369" s="77"/>
      <c r="Z1369" s="77"/>
      <c r="AA1369" s="77"/>
      <c r="AB1369" s="77"/>
      <c r="AC1369" s="77"/>
      <c r="AD1369" s="77"/>
      <c r="AE1369" s="77"/>
      <c r="AF1369" s="77"/>
      <c r="AG1369" s="77"/>
      <c r="AH1369" s="87"/>
      <c r="AI1369" s="87"/>
      <c r="AJ1369" s="87"/>
      <c r="AK1369" s="87"/>
      <c r="AL1369" s="87"/>
    </row>
    <row r="1370">
      <c r="A1370" s="77"/>
      <c r="B1370" s="102"/>
      <c r="C1370" s="102"/>
      <c r="D1370" s="102"/>
      <c r="E1370" s="102"/>
      <c r="F1370" s="102"/>
      <c r="G1370" s="102"/>
      <c r="H1370" s="295"/>
      <c r="I1370" s="102"/>
      <c r="J1370" s="77"/>
      <c r="K1370" s="77"/>
      <c r="L1370" s="77"/>
      <c r="M1370" s="77"/>
      <c r="N1370" s="77"/>
      <c r="O1370" s="77"/>
      <c r="P1370" s="268"/>
      <c r="Q1370" s="268"/>
      <c r="R1370" s="77"/>
      <c r="S1370" s="77"/>
      <c r="T1370" s="77"/>
      <c r="U1370" s="77"/>
      <c r="V1370" s="77"/>
      <c r="W1370" s="77"/>
      <c r="X1370" s="77"/>
      <c r="Y1370" s="77"/>
      <c r="Z1370" s="77"/>
      <c r="AA1370" s="77"/>
      <c r="AB1370" s="77"/>
      <c r="AC1370" s="77"/>
      <c r="AD1370" s="77"/>
      <c r="AE1370" s="77"/>
      <c r="AF1370" s="77"/>
      <c r="AG1370" s="77"/>
      <c r="AH1370" s="87"/>
      <c r="AI1370" s="87"/>
      <c r="AJ1370" s="87"/>
      <c r="AK1370" s="87"/>
      <c r="AL1370" s="87"/>
    </row>
    <row r="1371">
      <c r="A1371" s="77"/>
      <c r="B1371" s="102"/>
      <c r="C1371" s="102"/>
      <c r="D1371" s="102"/>
      <c r="E1371" s="102"/>
      <c r="F1371" s="102"/>
      <c r="G1371" s="102"/>
      <c r="H1371" s="295"/>
      <c r="I1371" s="102"/>
      <c r="J1371" s="77"/>
      <c r="K1371" s="77"/>
      <c r="L1371" s="77"/>
      <c r="M1371" s="77"/>
      <c r="N1371" s="77"/>
      <c r="O1371" s="77"/>
      <c r="P1371" s="268"/>
      <c r="Q1371" s="268"/>
      <c r="R1371" s="77"/>
      <c r="S1371" s="77"/>
      <c r="T1371" s="77"/>
      <c r="U1371" s="77"/>
      <c r="V1371" s="77"/>
      <c r="W1371" s="77"/>
      <c r="X1371" s="77"/>
      <c r="Y1371" s="77"/>
      <c r="Z1371" s="77"/>
      <c r="AA1371" s="77"/>
      <c r="AB1371" s="77"/>
      <c r="AC1371" s="77"/>
      <c r="AD1371" s="77"/>
      <c r="AE1371" s="77"/>
      <c r="AF1371" s="77"/>
      <c r="AG1371" s="77"/>
      <c r="AH1371" s="87"/>
      <c r="AI1371" s="87"/>
      <c r="AJ1371" s="87"/>
      <c r="AK1371" s="87"/>
      <c r="AL1371" s="87"/>
    </row>
    <row r="1372">
      <c r="A1372" s="77"/>
      <c r="B1372" s="102"/>
      <c r="C1372" s="102"/>
      <c r="D1372" s="102"/>
      <c r="E1372" s="102"/>
      <c r="F1372" s="102"/>
      <c r="G1372" s="102"/>
      <c r="H1372" s="295"/>
      <c r="I1372" s="102"/>
      <c r="J1372" s="77"/>
      <c r="K1372" s="77"/>
      <c r="L1372" s="77"/>
      <c r="M1372" s="77"/>
      <c r="N1372" s="77"/>
      <c r="O1372" s="77"/>
      <c r="P1372" s="268"/>
      <c r="Q1372" s="268"/>
      <c r="R1372" s="77"/>
      <c r="S1372" s="77"/>
      <c r="T1372" s="77"/>
      <c r="U1372" s="77"/>
      <c r="V1372" s="77"/>
      <c r="W1372" s="77"/>
      <c r="X1372" s="77"/>
      <c r="Y1372" s="77"/>
      <c r="Z1372" s="77"/>
      <c r="AA1372" s="77"/>
      <c r="AB1372" s="77"/>
      <c r="AC1372" s="77"/>
      <c r="AD1372" s="77"/>
      <c r="AE1372" s="77"/>
      <c r="AF1372" s="77"/>
      <c r="AG1372" s="77"/>
      <c r="AH1372" s="87"/>
      <c r="AI1372" s="87"/>
      <c r="AJ1372" s="87"/>
      <c r="AK1372" s="87"/>
      <c r="AL1372" s="87"/>
    </row>
    <row r="1373">
      <c r="A1373" s="77"/>
      <c r="B1373" s="102"/>
      <c r="C1373" s="102"/>
      <c r="D1373" s="102"/>
      <c r="E1373" s="102"/>
      <c r="F1373" s="102"/>
      <c r="G1373" s="102"/>
      <c r="H1373" s="295"/>
      <c r="I1373" s="102"/>
      <c r="J1373" s="77"/>
      <c r="K1373" s="77"/>
      <c r="L1373" s="77"/>
      <c r="M1373" s="77"/>
      <c r="N1373" s="77"/>
      <c r="O1373" s="77"/>
      <c r="P1373" s="268"/>
      <c r="Q1373" s="268"/>
      <c r="R1373" s="77"/>
      <c r="S1373" s="77"/>
      <c r="T1373" s="77"/>
      <c r="U1373" s="77"/>
      <c r="V1373" s="77"/>
      <c r="W1373" s="77"/>
      <c r="X1373" s="77"/>
      <c r="Y1373" s="77"/>
      <c r="Z1373" s="77"/>
      <c r="AA1373" s="77"/>
      <c r="AB1373" s="77"/>
      <c r="AC1373" s="77"/>
      <c r="AD1373" s="77"/>
      <c r="AE1373" s="77"/>
      <c r="AF1373" s="77"/>
      <c r="AG1373" s="77"/>
      <c r="AH1373" s="87"/>
      <c r="AI1373" s="87"/>
      <c r="AJ1373" s="87"/>
      <c r="AK1373" s="87"/>
      <c r="AL1373" s="87"/>
    </row>
    <row r="1374">
      <c r="A1374" s="77"/>
      <c r="B1374" s="102"/>
      <c r="C1374" s="102"/>
      <c r="D1374" s="102"/>
      <c r="E1374" s="102"/>
      <c r="F1374" s="102"/>
      <c r="G1374" s="102"/>
      <c r="H1374" s="295"/>
      <c r="I1374" s="102"/>
      <c r="J1374" s="77"/>
      <c r="K1374" s="77"/>
      <c r="L1374" s="77"/>
      <c r="M1374" s="77"/>
      <c r="N1374" s="77"/>
      <c r="O1374" s="77"/>
      <c r="P1374" s="268"/>
      <c r="Q1374" s="268"/>
      <c r="R1374" s="77"/>
      <c r="S1374" s="77"/>
      <c r="T1374" s="77"/>
      <c r="U1374" s="77"/>
      <c r="V1374" s="77"/>
      <c r="W1374" s="77"/>
      <c r="X1374" s="77"/>
      <c r="Y1374" s="77"/>
      <c r="Z1374" s="77"/>
      <c r="AA1374" s="77"/>
      <c r="AB1374" s="77"/>
      <c r="AC1374" s="77"/>
      <c r="AD1374" s="77"/>
      <c r="AE1374" s="77"/>
      <c r="AF1374" s="77"/>
      <c r="AG1374" s="77"/>
      <c r="AH1374" s="87"/>
      <c r="AI1374" s="87"/>
      <c r="AJ1374" s="87"/>
      <c r="AK1374" s="87"/>
      <c r="AL1374" s="87"/>
    </row>
    <row r="1375">
      <c r="A1375" s="77"/>
      <c r="B1375" s="102"/>
      <c r="C1375" s="102"/>
      <c r="D1375" s="102"/>
      <c r="E1375" s="102"/>
      <c r="F1375" s="102"/>
      <c r="G1375" s="102"/>
      <c r="H1375" s="295"/>
      <c r="I1375" s="102"/>
      <c r="J1375" s="77"/>
      <c r="K1375" s="77"/>
      <c r="L1375" s="77"/>
      <c r="M1375" s="77"/>
      <c r="N1375" s="77"/>
      <c r="O1375" s="77"/>
      <c r="P1375" s="268"/>
      <c r="Q1375" s="268"/>
      <c r="R1375" s="77"/>
      <c r="S1375" s="77"/>
      <c r="T1375" s="77"/>
      <c r="U1375" s="77"/>
      <c r="V1375" s="77"/>
      <c r="W1375" s="77"/>
      <c r="X1375" s="77"/>
      <c r="Y1375" s="77"/>
      <c r="Z1375" s="77"/>
      <c r="AA1375" s="77"/>
      <c r="AB1375" s="77"/>
      <c r="AC1375" s="77"/>
      <c r="AD1375" s="77"/>
      <c r="AE1375" s="77"/>
      <c r="AF1375" s="77"/>
      <c r="AG1375" s="77"/>
      <c r="AH1375" s="87"/>
      <c r="AI1375" s="87"/>
      <c r="AJ1375" s="87"/>
      <c r="AK1375" s="87"/>
      <c r="AL1375" s="87"/>
    </row>
    <row r="1376">
      <c r="A1376" s="77"/>
      <c r="B1376" s="102"/>
      <c r="C1376" s="102"/>
      <c r="D1376" s="102"/>
      <c r="E1376" s="102"/>
      <c r="F1376" s="102"/>
      <c r="G1376" s="102"/>
      <c r="H1376" s="295"/>
      <c r="I1376" s="102"/>
      <c r="J1376" s="77"/>
      <c r="K1376" s="77"/>
      <c r="L1376" s="77"/>
      <c r="M1376" s="77"/>
      <c r="N1376" s="77"/>
      <c r="O1376" s="77"/>
      <c r="P1376" s="268"/>
      <c r="Q1376" s="268"/>
      <c r="R1376" s="77"/>
      <c r="S1376" s="77"/>
      <c r="T1376" s="77"/>
      <c r="U1376" s="77"/>
      <c r="V1376" s="77"/>
      <c r="W1376" s="77"/>
      <c r="X1376" s="77"/>
      <c r="Y1376" s="77"/>
      <c r="Z1376" s="77"/>
      <c r="AA1376" s="77"/>
      <c r="AB1376" s="77"/>
      <c r="AC1376" s="77"/>
      <c r="AD1376" s="77"/>
      <c r="AE1376" s="77"/>
      <c r="AF1376" s="77"/>
      <c r="AG1376" s="77"/>
      <c r="AH1376" s="87"/>
      <c r="AI1376" s="87"/>
      <c r="AJ1376" s="87"/>
      <c r="AK1376" s="87"/>
      <c r="AL1376" s="87"/>
    </row>
    <row r="1377">
      <c r="A1377" s="77"/>
      <c r="B1377" s="102"/>
      <c r="C1377" s="102"/>
      <c r="D1377" s="102"/>
      <c r="E1377" s="102"/>
      <c r="F1377" s="102"/>
      <c r="G1377" s="102"/>
      <c r="H1377" s="295"/>
      <c r="I1377" s="102"/>
      <c r="J1377" s="77"/>
      <c r="K1377" s="77"/>
      <c r="L1377" s="77"/>
      <c r="M1377" s="77"/>
      <c r="N1377" s="77"/>
      <c r="O1377" s="77"/>
      <c r="P1377" s="268"/>
      <c r="Q1377" s="268"/>
      <c r="R1377" s="77"/>
      <c r="S1377" s="77"/>
      <c r="T1377" s="77"/>
      <c r="U1377" s="77"/>
      <c r="V1377" s="77"/>
      <c r="W1377" s="77"/>
      <c r="X1377" s="77"/>
      <c r="Y1377" s="77"/>
      <c r="Z1377" s="77"/>
      <c r="AA1377" s="77"/>
      <c r="AB1377" s="77"/>
      <c r="AC1377" s="77"/>
      <c r="AD1377" s="77"/>
      <c r="AE1377" s="77"/>
      <c r="AF1377" s="77"/>
      <c r="AG1377" s="77"/>
      <c r="AH1377" s="87"/>
      <c r="AI1377" s="87"/>
      <c r="AJ1377" s="87"/>
      <c r="AK1377" s="87"/>
      <c r="AL1377" s="87"/>
    </row>
    <row r="1378">
      <c r="A1378" s="77"/>
      <c r="B1378" s="102"/>
      <c r="C1378" s="102"/>
      <c r="D1378" s="102"/>
      <c r="E1378" s="102"/>
      <c r="F1378" s="102"/>
      <c r="G1378" s="102"/>
      <c r="H1378" s="295"/>
      <c r="I1378" s="102"/>
      <c r="J1378" s="77"/>
      <c r="K1378" s="77"/>
      <c r="L1378" s="77"/>
      <c r="M1378" s="77"/>
      <c r="N1378" s="77"/>
      <c r="O1378" s="77"/>
      <c r="P1378" s="268"/>
      <c r="Q1378" s="268"/>
      <c r="R1378" s="77"/>
      <c r="S1378" s="77"/>
      <c r="T1378" s="77"/>
      <c r="U1378" s="77"/>
      <c r="V1378" s="77"/>
      <c r="W1378" s="77"/>
      <c r="X1378" s="77"/>
      <c r="Y1378" s="77"/>
      <c r="Z1378" s="77"/>
      <c r="AA1378" s="77"/>
      <c r="AB1378" s="77"/>
      <c r="AC1378" s="77"/>
      <c r="AD1378" s="77"/>
      <c r="AE1378" s="77"/>
      <c r="AF1378" s="77"/>
      <c r="AG1378" s="77"/>
      <c r="AH1378" s="87"/>
      <c r="AI1378" s="87"/>
      <c r="AJ1378" s="87"/>
      <c r="AK1378" s="87"/>
      <c r="AL1378" s="87"/>
    </row>
    <row r="1379">
      <c r="A1379" s="77"/>
      <c r="B1379" s="102"/>
      <c r="C1379" s="102"/>
      <c r="D1379" s="102"/>
      <c r="E1379" s="102"/>
      <c r="F1379" s="102"/>
      <c r="G1379" s="102"/>
      <c r="H1379" s="295"/>
      <c r="I1379" s="102"/>
      <c r="J1379" s="77"/>
      <c r="K1379" s="77"/>
      <c r="L1379" s="77"/>
      <c r="M1379" s="77"/>
      <c r="N1379" s="77"/>
      <c r="O1379" s="77"/>
      <c r="P1379" s="268"/>
      <c r="Q1379" s="268"/>
      <c r="R1379" s="77"/>
      <c r="S1379" s="77"/>
      <c r="T1379" s="77"/>
      <c r="U1379" s="77"/>
      <c r="V1379" s="77"/>
      <c r="W1379" s="77"/>
      <c r="X1379" s="77"/>
      <c r="Y1379" s="77"/>
      <c r="Z1379" s="77"/>
      <c r="AA1379" s="77"/>
      <c r="AB1379" s="77"/>
      <c r="AC1379" s="77"/>
      <c r="AD1379" s="77"/>
      <c r="AE1379" s="77"/>
      <c r="AF1379" s="77"/>
      <c r="AG1379" s="77"/>
      <c r="AH1379" s="87"/>
      <c r="AI1379" s="87"/>
      <c r="AJ1379" s="87"/>
      <c r="AK1379" s="87"/>
      <c r="AL1379" s="87"/>
    </row>
    <row r="1380">
      <c r="A1380" s="77"/>
      <c r="B1380" s="102"/>
      <c r="C1380" s="102"/>
      <c r="D1380" s="102"/>
      <c r="E1380" s="102"/>
      <c r="F1380" s="102"/>
      <c r="G1380" s="102"/>
      <c r="H1380" s="295"/>
      <c r="I1380" s="102"/>
      <c r="J1380" s="77"/>
      <c r="K1380" s="77"/>
      <c r="L1380" s="77"/>
      <c r="M1380" s="77"/>
      <c r="N1380" s="77"/>
      <c r="O1380" s="77"/>
      <c r="P1380" s="268"/>
      <c r="Q1380" s="268"/>
      <c r="R1380" s="77"/>
      <c r="S1380" s="77"/>
      <c r="T1380" s="77"/>
      <c r="U1380" s="77"/>
      <c r="V1380" s="77"/>
      <c r="W1380" s="77"/>
      <c r="X1380" s="77"/>
      <c r="Y1380" s="77"/>
      <c r="Z1380" s="77"/>
      <c r="AA1380" s="77"/>
      <c r="AB1380" s="77"/>
      <c r="AC1380" s="77"/>
      <c r="AD1380" s="77"/>
      <c r="AE1380" s="77"/>
      <c r="AF1380" s="77"/>
      <c r="AG1380" s="77"/>
      <c r="AH1380" s="87"/>
      <c r="AI1380" s="87"/>
      <c r="AJ1380" s="87"/>
      <c r="AK1380" s="87"/>
      <c r="AL1380" s="87"/>
    </row>
    <row r="1381">
      <c r="A1381" s="77"/>
      <c r="B1381" s="102"/>
      <c r="C1381" s="102"/>
      <c r="D1381" s="102"/>
      <c r="E1381" s="102"/>
      <c r="F1381" s="102"/>
      <c r="G1381" s="102"/>
      <c r="H1381" s="295"/>
      <c r="I1381" s="102"/>
      <c r="J1381" s="77"/>
      <c r="K1381" s="77"/>
      <c r="L1381" s="77"/>
      <c r="M1381" s="77"/>
      <c r="N1381" s="77"/>
      <c r="O1381" s="77"/>
      <c r="P1381" s="268"/>
      <c r="Q1381" s="268"/>
      <c r="R1381" s="77"/>
      <c r="S1381" s="77"/>
      <c r="T1381" s="77"/>
      <c r="U1381" s="77"/>
      <c r="V1381" s="77"/>
      <c r="W1381" s="77"/>
      <c r="X1381" s="77"/>
      <c r="Y1381" s="77"/>
      <c r="Z1381" s="77"/>
      <c r="AA1381" s="77"/>
      <c r="AB1381" s="77"/>
      <c r="AC1381" s="77"/>
      <c r="AD1381" s="77"/>
      <c r="AE1381" s="77"/>
      <c r="AF1381" s="77"/>
      <c r="AG1381" s="77"/>
      <c r="AH1381" s="87"/>
      <c r="AI1381" s="87"/>
      <c r="AJ1381" s="87"/>
      <c r="AK1381" s="87"/>
      <c r="AL1381" s="87"/>
    </row>
    <row r="1382">
      <c r="A1382" s="77"/>
      <c r="B1382" s="102"/>
      <c r="C1382" s="102"/>
      <c r="D1382" s="102"/>
      <c r="E1382" s="102"/>
      <c r="F1382" s="102"/>
      <c r="G1382" s="102"/>
      <c r="H1382" s="295"/>
      <c r="I1382" s="102"/>
      <c r="J1382" s="77"/>
      <c r="K1382" s="77"/>
      <c r="L1382" s="77"/>
      <c r="M1382" s="77"/>
      <c r="N1382" s="77"/>
      <c r="O1382" s="77"/>
      <c r="P1382" s="268"/>
      <c r="Q1382" s="268"/>
      <c r="R1382" s="77"/>
      <c r="S1382" s="77"/>
      <c r="T1382" s="77"/>
      <c r="U1382" s="77"/>
      <c r="V1382" s="77"/>
      <c r="W1382" s="77"/>
      <c r="X1382" s="77"/>
      <c r="Y1382" s="77"/>
      <c r="Z1382" s="77"/>
      <c r="AA1382" s="77"/>
      <c r="AB1382" s="77"/>
      <c r="AC1382" s="77"/>
      <c r="AD1382" s="77"/>
      <c r="AE1382" s="77"/>
      <c r="AF1382" s="77"/>
      <c r="AG1382" s="77"/>
      <c r="AH1382" s="87"/>
      <c r="AI1382" s="87"/>
      <c r="AJ1382" s="87"/>
      <c r="AK1382" s="87"/>
      <c r="AL1382" s="87"/>
    </row>
    <row r="1383">
      <c r="A1383" s="77"/>
      <c r="B1383" s="102"/>
      <c r="C1383" s="102"/>
      <c r="D1383" s="102"/>
      <c r="E1383" s="102"/>
      <c r="F1383" s="102"/>
      <c r="G1383" s="102"/>
      <c r="H1383" s="295"/>
      <c r="I1383" s="102"/>
      <c r="J1383" s="77"/>
      <c r="K1383" s="77"/>
      <c r="L1383" s="77"/>
      <c r="M1383" s="77"/>
      <c r="N1383" s="77"/>
      <c r="O1383" s="77"/>
      <c r="P1383" s="268"/>
      <c r="Q1383" s="268"/>
      <c r="R1383" s="77"/>
      <c r="S1383" s="77"/>
      <c r="T1383" s="77"/>
      <c r="U1383" s="77"/>
      <c r="V1383" s="77"/>
      <c r="W1383" s="77"/>
      <c r="X1383" s="77"/>
      <c r="Y1383" s="77"/>
      <c r="Z1383" s="77"/>
      <c r="AA1383" s="77"/>
      <c r="AB1383" s="77"/>
      <c r="AC1383" s="77"/>
      <c r="AD1383" s="77"/>
      <c r="AE1383" s="77"/>
      <c r="AF1383" s="77"/>
      <c r="AG1383" s="77"/>
      <c r="AH1383" s="87"/>
      <c r="AI1383" s="87"/>
      <c r="AJ1383" s="87"/>
      <c r="AK1383" s="87"/>
      <c r="AL1383" s="87"/>
    </row>
    <row r="1384">
      <c r="A1384" s="77"/>
      <c r="B1384" s="102"/>
      <c r="C1384" s="102"/>
      <c r="D1384" s="102"/>
      <c r="E1384" s="102"/>
      <c r="F1384" s="102"/>
      <c r="G1384" s="102"/>
      <c r="H1384" s="295"/>
      <c r="I1384" s="102"/>
      <c r="J1384" s="77"/>
      <c r="K1384" s="77"/>
      <c r="L1384" s="77"/>
      <c r="M1384" s="77"/>
      <c r="N1384" s="77"/>
      <c r="O1384" s="77"/>
      <c r="P1384" s="268"/>
      <c r="Q1384" s="268"/>
      <c r="R1384" s="77"/>
      <c r="S1384" s="77"/>
      <c r="T1384" s="77"/>
      <c r="U1384" s="77"/>
      <c r="V1384" s="77"/>
      <c r="W1384" s="77"/>
      <c r="X1384" s="77"/>
      <c r="Y1384" s="77"/>
      <c r="Z1384" s="77"/>
      <c r="AA1384" s="77"/>
      <c r="AB1384" s="77"/>
      <c r="AC1384" s="77"/>
      <c r="AD1384" s="77"/>
      <c r="AE1384" s="77"/>
      <c r="AF1384" s="77"/>
      <c r="AG1384" s="77"/>
      <c r="AH1384" s="87"/>
      <c r="AI1384" s="87"/>
      <c r="AJ1384" s="87"/>
      <c r="AK1384" s="87"/>
      <c r="AL1384" s="87"/>
    </row>
    <row r="1385">
      <c r="A1385" s="77"/>
      <c r="B1385" s="102"/>
      <c r="C1385" s="102"/>
      <c r="D1385" s="102"/>
      <c r="E1385" s="102"/>
      <c r="F1385" s="102"/>
      <c r="G1385" s="102"/>
      <c r="H1385" s="295"/>
      <c r="I1385" s="102"/>
      <c r="J1385" s="77"/>
      <c r="K1385" s="77"/>
      <c r="L1385" s="77"/>
      <c r="M1385" s="77"/>
      <c r="N1385" s="77"/>
      <c r="O1385" s="77"/>
      <c r="P1385" s="268"/>
      <c r="Q1385" s="268"/>
      <c r="R1385" s="77"/>
      <c r="S1385" s="77"/>
      <c r="T1385" s="77"/>
      <c r="U1385" s="77"/>
      <c r="V1385" s="77"/>
      <c r="W1385" s="77"/>
      <c r="X1385" s="77"/>
      <c r="Y1385" s="77"/>
      <c r="Z1385" s="77"/>
      <c r="AA1385" s="77"/>
      <c r="AB1385" s="77"/>
      <c r="AC1385" s="77"/>
      <c r="AD1385" s="77"/>
      <c r="AE1385" s="77"/>
      <c r="AF1385" s="77"/>
      <c r="AG1385" s="77"/>
      <c r="AH1385" s="87"/>
      <c r="AI1385" s="87"/>
      <c r="AJ1385" s="87"/>
      <c r="AK1385" s="87"/>
      <c r="AL1385" s="87"/>
    </row>
    <row r="1386">
      <c r="A1386" s="77"/>
      <c r="B1386" s="102"/>
      <c r="C1386" s="102"/>
      <c r="D1386" s="102"/>
      <c r="E1386" s="102"/>
      <c r="F1386" s="102"/>
      <c r="G1386" s="102"/>
      <c r="H1386" s="295"/>
      <c r="I1386" s="102"/>
      <c r="J1386" s="77"/>
      <c r="K1386" s="77"/>
      <c r="L1386" s="77"/>
      <c r="M1386" s="77"/>
      <c r="N1386" s="77"/>
      <c r="O1386" s="77"/>
      <c r="P1386" s="268"/>
      <c r="Q1386" s="268"/>
      <c r="R1386" s="77"/>
      <c r="S1386" s="77"/>
      <c r="T1386" s="77"/>
      <c r="U1386" s="77"/>
      <c r="V1386" s="77"/>
      <c r="W1386" s="77"/>
      <c r="X1386" s="77"/>
      <c r="Y1386" s="77"/>
      <c r="Z1386" s="77"/>
      <c r="AA1386" s="77"/>
      <c r="AB1386" s="77"/>
      <c r="AC1386" s="77"/>
      <c r="AD1386" s="77"/>
      <c r="AE1386" s="77"/>
      <c r="AF1386" s="77"/>
      <c r="AG1386" s="77"/>
      <c r="AH1386" s="87"/>
      <c r="AI1386" s="87"/>
      <c r="AJ1386" s="87"/>
      <c r="AK1386" s="87"/>
      <c r="AL1386" s="87"/>
    </row>
    <row r="1387">
      <c r="A1387" s="77"/>
      <c r="B1387" s="102"/>
      <c r="C1387" s="102"/>
      <c r="D1387" s="102"/>
      <c r="E1387" s="102"/>
      <c r="F1387" s="102"/>
      <c r="G1387" s="102"/>
      <c r="H1387" s="295"/>
      <c r="I1387" s="102"/>
      <c r="J1387" s="77"/>
      <c r="K1387" s="77"/>
      <c r="L1387" s="77"/>
      <c r="M1387" s="77"/>
      <c r="N1387" s="77"/>
      <c r="O1387" s="77"/>
      <c r="P1387" s="268"/>
      <c r="Q1387" s="268"/>
      <c r="R1387" s="77"/>
      <c r="S1387" s="77"/>
      <c r="T1387" s="77"/>
      <c r="U1387" s="77"/>
      <c r="V1387" s="77"/>
      <c r="W1387" s="77"/>
      <c r="X1387" s="77"/>
      <c r="Y1387" s="77"/>
      <c r="Z1387" s="77"/>
      <c r="AA1387" s="77"/>
      <c r="AB1387" s="77"/>
      <c r="AC1387" s="77"/>
      <c r="AD1387" s="77"/>
      <c r="AE1387" s="77"/>
      <c r="AF1387" s="77"/>
      <c r="AG1387" s="77"/>
      <c r="AH1387" s="87"/>
      <c r="AI1387" s="87"/>
      <c r="AJ1387" s="87"/>
      <c r="AK1387" s="87"/>
      <c r="AL1387" s="87"/>
    </row>
    <row r="1388">
      <c r="A1388" s="77"/>
      <c r="B1388" s="102"/>
      <c r="C1388" s="102"/>
      <c r="D1388" s="102"/>
      <c r="E1388" s="102"/>
      <c r="F1388" s="102"/>
      <c r="G1388" s="102"/>
      <c r="H1388" s="295"/>
      <c r="I1388" s="102"/>
      <c r="J1388" s="77"/>
      <c r="K1388" s="77"/>
      <c r="L1388" s="77"/>
      <c r="M1388" s="77"/>
      <c r="N1388" s="77"/>
      <c r="O1388" s="77"/>
      <c r="P1388" s="268"/>
      <c r="Q1388" s="268"/>
      <c r="R1388" s="77"/>
      <c r="S1388" s="77"/>
      <c r="T1388" s="77"/>
      <c r="U1388" s="77"/>
      <c r="V1388" s="77"/>
      <c r="W1388" s="77"/>
      <c r="X1388" s="77"/>
      <c r="Y1388" s="77"/>
      <c r="Z1388" s="77"/>
      <c r="AA1388" s="77"/>
      <c r="AB1388" s="77"/>
      <c r="AC1388" s="77"/>
      <c r="AD1388" s="77"/>
      <c r="AE1388" s="77"/>
      <c r="AF1388" s="77"/>
      <c r="AG1388" s="77"/>
      <c r="AH1388" s="87"/>
      <c r="AI1388" s="87"/>
      <c r="AJ1388" s="87"/>
      <c r="AK1388" s="87"/>
      <c r="AL1388" s="87"/>
    </row>
    <row r="1389">
      <c r="A1389" s="77"/>
      <c r="B1389" s="102"/>
      <c r="C1389" s="102"/>
      <c r="D1389" s="102"/>
      <c r="E1389" s="102"/>
      <c r="F1389" s="102"/>
      <c r="G1389" s="102"/>
      <c r="H1389" s="295"/>
      <c r="I1389" s="102"/>
      <c r="J1389" s="77"/>
      <c r="K1389" s="77"/>
      <c r="L1389" s="77"/>
      <c r="M1389" s="77"/>
      <c r="N1389" s="77"/>
      <c r="O1389" s="77"/>
      <c r="P1389" s="268"/>
      <c r="Q1389" s="268"/>
      <c r="R1389" s="77"/>
      <c r="S1389" s="77"/>
      <c r="T1389" s="77"/>
      <c r="U1389" s="77"/>
      <c r="V1389" s="77"/>
      <c r="W1389" s="77"/>
      <c r="X1389" s="77"/>
      <c r="Y1389" s="77"/>
      <c r="Z1389" s="77"/>
      <c r="AA1389" s="77"/>
      <c r="AB1389" s="77"/>
      <c r="AC1389" s="77"/>
      <c r="AD1389" s="77"/>
      <c r="AE1389" s="77"/>
      <c r="AF1389" s="77"/>
      <c r="AG1389" s="77"/>
      <c r="AH1389" s="87"/>
      <c r="AI1389" s="87"/>
      <c r="AJ1389" s="87"/>
      <c r="AK1389" s="87"/>
      <c r="AL1389" s="87"/>
    </row>
    <row r="1390">
      <c r="A1390" s="77"/>
      <c r="B1390" s="102"/>
      <c r="C1390" s="102"/>
      <c r="D1390" s="102"/>
      <c r="E1390" s="102"/>
      <c r="F1390" s="102"/>
      <c r="G1390" s="102"/>
      <c r="H1390" s="295"/>
      <c r="I1390" s="102"/>
      <c r="J1390" s="77"/>
      <c r="K1390" s="77"/>
      <c r="L1390" s="77"/>
      <c r="M1390" s="77"/>
      <c r="N1390" s="77"/>
      <c r="O1390" s="77"/>
      <c r="P1390" s="268"/>
      <c r="Q1390" s="268"/>
      <c r="R1390" s="77"/>
      <c r="S1390" s="77"/>
      <c r="T1390" s="77"/>
      <c r="U1390" s="77"/>
      <c r="V1390" s="77"/>
      <c r="W1390" s="77"/>
      <c r="X1390" s="77"/>
      <c r="Y1390" s="77"/>
      <c r="Z1390" s="77"/>
      <c r="AA1390" s="77"/>
      <c r="AB1390" s="77"/>
      <c r="AC1390" s="77"/>
      <c r="AD1390" s="77"/>
      <c r="AE1390" s="77"/>
      <c r="AF1390" s="77"/>
      <c r="AG1390" s="77"/>
      <c r="AH1390" s="87"/>
      <c r="AI1390" s="87"/>
      <c r="AJ1390" s="87"/>
      <c r="AK1390" s="87"/>
      <c r="AL1390" s="87"/>
    </row>
    <row r="1391">
      <c r="A1391" s="77"/>
      <c r="B1391" s="102"/>
      <c r="C1391" s="102"/>
      <c r="D1391" s="102"/>
      <c r="E1391" s="102"/>
      <c r="F1391" s="102"/>
      <c r="G1391" s="102"/>
      <c r="H1391" s="295"/>
      <c r="I1391" s="102"/>
      <c r="J1391" s="77"/>
      <c r="K1391" s="77"/>
      <c r="L1391" s="77"/>
      <c r="M1391" s="77"/>
      <c r="N1391" s="77"/>
      <c r="O1391" s="77"/>
      <c r="P1391" s="268"/>
      <c r="Q1391" s="268"/>
      <c r="R1391" s="77"/>
      <c r="S1391" s="77"/>
      <c r="T1391" s="77"/>
      <c r="U1391" s="77"/>
      <c r="V1391" s="77"/>
      <c r="W1391" s="77"/>
      <c r="X1391" s="77"/>
      <c r="Y1391" s="77"/>
      <c r="Z1391" s="77"/>
      <c r="AA1391" s="77"/>
      <c r="AB1391" s="77"/>
      <c r="AC1391" s="77"/>
      <c r="AD1391" s="77"/>
      <c r="AE1391" s="77"/>
      <c r="AF1391" s="77"/>
      <c r="AG1391" s="77"/>
      <c r="AH1391" s="87"/>
      <c r="AI1391" s="87"/>
      <c r="AJ1391" s="87"/>
      <c r="AK1391" s="87"/>
      <c r="AL1391" s="87"/>
    </row>
    <row r="1392">
      <c r="A1392" s="77"/>
      <c r="B1392" s="102"/>
      <c r="C1392" s="102"/>
      <c r="D1392" s="102"/>
      <c r="E1392" s="102"/>
      <c r="F1392" s="102"/>
      <c r="G1392" s="102"/>
      <c r="H1392" s="295"/>
      <c r="I1392" s="102"/>
      <c r="J1392" s="77"/>
      <c r="K1392" s="77"/>
      <c r="L1392" s="77"/>
      <c r="M1392" s="77"/>
      <c r="N1392" s="77"/>
      <c r="O1392" s="77"/>
      <c r="P1392" s="268"/>
      <c r="Q1392" s="268"/>
      <c r="R1392" s="77"/>
      <c r="S1392" s="77"/>
      <c r="T1392" s="77"/>
      <c r="U1392" s="77"/>
      <c r="V1392" s="77"/>
      <c r="W1392" s="77"/>
      <c r="X1392" s="77"/>
      <c r="Y1392" s="77"/>
      <c r="Z1392" s="77"/>
      <c r="AA1392" s="77"/>
      <c r="AB1392" s="77"/>
      <c r="AC1392" s="77"/>
      <c r="AD1392" s="77"/>
      <c r="AE1392" s="77"/>
      <c r="AF1392" s="77"/>
      <c r="AG1392" s="77"/>
      <c r="AH1392" s="87"/>
      <c r="AI1392" s="87"/>
      <c r="AJ1392" s="87"/>
      <c r="AK1392" s="87"/>
      <c r="AL1392" s="87"/>
    </row>
    <row r="1393">
      <c r="A1393" s="77"/>
      <c r="B1393" s="102"/>
      <c r="C1393" s="102"/>
      <c r="D1393" s="102"/>
      <c r="E1393" s="102"/>
      <c r="F1393" s="102"/>
      <c r="G1393" s="102"/>
      <c r="H1393" s="295"/>
      <c r="I1393" s="102"/>
      <c r="J1393" s="77"/>
      <c r="K1393" s="77"/>
      <c r="L1393" s="77"/>
      <c r="M1393" s="77"/>
      <c r="N1393" s="77"/>
      <c r="O1393" s="77"/>
      <c r="P1393" s="268"/>
      <c r="Q1393" s="268"/>
      <c r="R1393" s="77"/>
      <c r="S1393" s="77"/>
      <c r="T1393" s="77"/>
      <c r="U1393" s="77"/>
      <c r="V1393" s="77"/>
      <c r="W1393" s="77"/>
      <c r="X1393" s="77"/>
      <c r="Y1393" s="77"/>
      <c r="Z1393" s="77"/>
      <c r="AA1393" s="77"/>
      <c r="AB1393" s="77"/>
      <c r="AC1393" s="77"/>
      <c r="AD1393" s="77"/>
      <c r="AE1393" s="77"/>
      <c r="AF1393" s="77"/>
      <c r="AG1393" s="77"/>
      <c r="AH1393" s="87"/>
      <c r="AI1393" s="87"/>
      <c r="AJ1393" s="87"/>
      <c r="AK1393" s="87"/>
      <c r="AL1393" s="87"/>
    </row>
    <row r="1394">
      <c r="A1394" s="77"/>
      <c r="B1394" s="102"/>
      <c r="C1394" s="102"/>
      <c r="D1394" s="102"/>
      <c r="E1394" s="102"/>
      <c r="F1394" s="102"/>
      <c r="G1394" s="102"/>
      <c r="H1394" s="295"/>
      <c r="I1394" s="102"/>
      <c r="J1394" s="77"/>
      <c r="K1394" s="77"/>
      <c r="L1394" s="77"/>
      <c r="M1394" s="77"/>
      <c r="N1394" s="77"/>
      <c r="O1394" s="77"/>
      <c r="P1394" s="268"/>
      <c r="Q1394" s="268"/>
      <c r="R1394" s="77"/>
      <c r="S1394" s="77"/>
      <c r="T1394" s="77"/>
      <c r="U1394" s="77"/>
      <c r="V1394" s="77"/>
      <c r="W1394" s="77"/>
      <c r="X1394" s="77"/>
      <c r="Y1394" s="77"/>
      <c r="Z1394" s="77"/>
      <c r="AA1394" s="77"/>
      <c r="AB1394" s="77"/>
      <c r="AC1394" s="77"/>
      <c r="AD1394" s="77"/>
      <c r="AE1394" s="77"/>
      <c r="AF1394" s="77"/>
      <c r="AG1394" s="77"/>
      <c r="AH1394" s="87"/>
      <c r="AI1394" s="87"/>
      <c r="AJ1394" s="87"/>
      <c r="AK1394" s="87"/>
      <c r="AL1394" s="87"/>
    </row>
    <row r="1395">
      <c r="A1395" s="77"/>
      <c r="B1395" s="102"/>
      <c r="C1395" s="102"/>
      <c r="D1395" s="102"/>
      <c r="E1395" s="102"/>
      <c r="F1395" s="102"/>
      <c r="G1395" s="102"/>
      <c r="H1395" s="295"/>
      <c r="I1395" s="102"/>
      <c r="J1395" s="77"/>
      <c r="K1395" s="77"/>
      <c r="L1395" s="77"/>
      <c r="M1395" s="77"/>
      <c r="N1395" s="77"/>
      <c r="O1395" s="77"/>
      <c r="P1395" s="268"/>
      <c r="Q1395" s="268"/>
      <c r="R1395" s="77"/>
      <c r="S1395" s="77"/>
      <c r="T1395" s="77"/>
      <c r="U1395" s="77"/>
      <c r="V1395" s="77"/>
      <c r="W1395" s="77"/>
      <c r="X1395" s="77"/>
      <c r="Y1395" s="77"/>
      <c r="Z1395" s="77"/>
      <c r="AA1395" s="77"/>
      <c r="AB1395" s="77"/>
      <c r="AC1395" s="77"/>
      <c r="AD1395" s="77"/>
      <c r="AE1395" s="77"/>
      <c r="AF1395" s="77"/>
      <c r="AG1395" s="77"/>
      <c r="AH1395" s="87"/>
      <c r="AI1395" s="87"/>
      <c r="AJ1395" s="87"/>
      <c r="AK1395" s="87"/>
      <c r="AL1395" s="87"/>
    </row>
    <row r="1396">
      <c r="A1396" s="77"/>
      <c r="B1396" s="102"/>
      <c r="C1396" s="102"/>
      <c r="D1396" s="102"/>
      <c r="E1396" s="102"/>
      <c r="F1396" s="102"/>
      <c r="G1396" s="102"/>
      <c r="H1396" s="295"/>
      <c r="I1396" s="102"/>
      <c r="J1396" s="77"/>
      <c r="K1396" s="77"/>
      <c r="L1396" s="77"/>
      <c r="M1396" s="77"/>
      <c r="N1396" s="77"/>
      <c r="O1396" s="77"/>
      <c r="P1396" s="268"/>
      <c r="Q1396" s="268"/>
      <c r="R1396" s="77"/>
      <c r="S1396" s="77"/>
      <c r="T1396" s="77"/>
      <c r="U1396" s="77"/>
      <c r="V1396" s="77"/>
      <c r="W1396" s="77"/>
      <c r="X1396" s="77"/>
      <c r="Y1396" s="77"/>
      <c r="Z1396" s="77"/>
      <c r="AA1396" s="77"/>
      <c r="AB1396" s="77"/>
      <c r="AC1396" s="77"/>
      <c r="AD1396" s="77"/>
      <c r="AE1396" s="77"/>
      <c r="AF1396" s="77"/>
      <c r="AG1396" s="77"/>
      <c r="AH1396" s="87"/>
      <c r="AI1396" s="87"/>
      <c r="AJ1396" s="87"/>
      <c r="AK1396" s="87"/>
      <c r="AL1396" s="87"/>
    </row>
    <row r="1397">
      <c r="A1397" s="77"/>
      <c r="B1397" s="102"/>
      <c r="C1397" s="102"/>
      <c r="D1397" s="102"/>
      <c r="E1397" s="102"/>
      <c r="F1397" s="102"/>
      <c r="G1397" s="102"/>
      <c r="H1397" s="295"/>
      <c r="I1397" s="102"/>
      <c r="J1397" s="77"/>
      <c r="K1397" s="77"/>
      <c r="L1397" s="77"/>
      <c r="M1397" s="77"/>
      <c r="N1397" s="77"/>
      <c r="O1397" s="77"/>
      <c r="P1397" s="268"/>
      <c r="Q1397" s="268"/>
      <c r="R1397" s="77"/>
      <c r="S1397" s="77"/>
      <c r="T1397" s="77"/>
      <c r="U1397" s="77"/>
      <c r="V1397" s="77"/>
      <c r="W1397" s="77"/>
      <c r="X1397" s="77"/>
      <c r="Y1397" s="77"/>
      <c r="Z1397" s="77"/>
      <c r="AA1397" s="77"/>
      <c r="AB1397" s="77"/>
      <c r="AC1397" s="77"/>
      <c r="AD1397" s="77"/>
      <c r="AE1397" s="77"/>
      <c r="AF1397" s="77"/>
      <c r="AG1397" s="77"/>
      <c r="AH1397" s="87"/>
      <c r="AI1397" s="87"/>
      <c r="AJ1397" s="87"/>
      <c r="AK1397" s="87"/>
      <c r="AL1397" s="87"/>
    </row>
    <row r="1398">
      <c r="A1398" s="77"/>
      <c r="B1398" s="102"/>
      <c r="C1398" s="102"/>
      <c r="D1398" s="102"/>
      <c r="E1398" s="102"/>
      <c r="F1398" s="102"/>
      <c r="G1398" s="102"/>
      <c r="H1398" s="295"/>
      <c r="I1398" s="102"/>
      <c r="J1398" s="77"/>
      <c r="K1398" s="77"/>
      <c r="L1398" s="77"/>
      <c r="M1398" s="77"/>
      <c r="N1398" s="77"/>
      <c r="O1398" s="77"/>
      <c r="P1398" s="268"/>
      <c r="Q1398" s="268"/>
      <c r="R1398" s="77"/>
      <c r="S1398" s="77"/>
      <c r="T1398" s="77"/>
      <c r="U1398" s="77"/>
      <c r="V1398" s="77"/>
      <c r="W1398" s="77"/>
      <c r="X1398" s="77"/>
      <c r="Y1398" s="77"/>
      <c r="Z1398" s="77"/>
      <c r="AA1398" s="77"/>
      <c r="AB1398" s="77"/>
      <c r="AC1398" s="77"/>
      <c r="AD1398" s="77"/>
      <c r="AE1398" s="77"/>
      <c r="AF1398" s="77"/>
      <c r="AG1398" s="77"/>
      <c r="AH1398" s="87"/>
      <c r="AI1398" s="87"/>
      <c r="AJ1398" s="87"/>
      <c r="AK1398" s="87"/>
      <c r="AL1398" s="87"/>
    </row>
    <row r="1399">
      <c r="A1399" s="77"/>
      <c r="B1399" s="102"/>
      <c r="C1399" s="102"/>
      <c r="D1399" s="102"/>
      <c r="E1399" s="102"/>
      <c r="F1399" s="102"/>
      <c r="G1399" s="102"/>
      <c r="H1399" s="295"/>
      <c r="I1399" s="102"/>
      <c r="J1399" s="77"/>
      <c r="K1399" s="77"/>
      <c r="L1399" s="77"/>
      <c r="M1399" s="77"/>
      <c r="N1399" s="77"/>
      <c r="O1399" s="77"/>
      <c r="P1399" s="268"/>
      <c r="Q1399" s="268"/>
      <c r="R1399" s="77"/>
      <c r="S1399" s="77"/>
      <c r="T1399" s="77"/>
      <c r="U1399" s="77"/>
      <c r="V1399" s="77"/>
      <c r="W1399" s="77"/>
      <c r="X1399" s="77"/>
      <c r="Y1399" s="77"/>
      <c r="Z1399" s="77"/>
      <c r="AA1399" s="77"/>
      <c r="AB1399" s="77"/>
      <c r="AC1399" s="77"/>
      <c r="AD1399" s="77"/>
      <c r="AE1399" s="77"/>
      <c r="AF1399" s="77"/>
      <c r="AG1399" s="77"/>
      <c r="AH1399" s="87"/>
      <c r="AI1399" s="87"/>
      <c r="AJ1399" s="87"/>
      <c r="AK1399" s="87"/>
      <c r="AL1399" s="87"/>
    </row>
    <row r="1400">
      <c r="A1400" s="77"/>
      <c r="B1400" s="102"/>
      <c r="C1400" s="102"/>
      <c r="D1400" s="102"/>
      <c r="E1400" s="102"/>
      <c r="F1400" s="102"/>
      <c r="G1400" s="102"/>
      <c r="H1400" s="295"/>
      <c r="I1400" s="102"/>
      <c r="J1400" s="77"/>
      <c r="K1400" s="77"/>
      <c r="L1400" s="77"/>
      <c r="M1400" s="77"/>
      <c r="N1400" s="77"/>
      <c r="O1400" s="77"/>
      <c r="P1400" s="268"/>
      <c r="Q1400" s="268"/>
      <c r="R1400" s="77"/>
      <c r="S1400" s="77"/>
      <c r="T1400" s="77"/>
      <c r="U1400" s="77"/>
      <c r="V1400" s="77"/>
      <c r="W1400" s="77"/>
      <c r="X1400" s="77"/>
      <c r="Y1400" s="77"/>
      <c r="Z1400" s="77"/>
      <c r="AA1400" s="77"/>
      <c r="AB1400" s="77"/>
      <c r="AC1400" s="77"/>
      <c r="AD1400" s="77"/>
      <c r="AE1400" s="77"/>
      <c r="AF1400" s="77"/>
      <c r="AG1400" s="77"/>
      <c r="AH1400" s="87"/>
      <c r="AI1400" s="87"/>
      <c r="AJ1400" s="87"/>
      <c r="AK1400" s="87"/>
      <c r="AL1400" s="87"/>
    </row>
    <row r="1401">
      <c r="A1401" s="77"/>
      <c r="B1401" s="102"/>
      <c r="C1401" s="102"/>
      <c r="D1401" s="102"/>
      <c r="E1401" s="102"/>
      <c r="F1401" s="102"/>
      <c r="G1401" s="102"/>
      <c r="H1401" s="295"/>
      <c r="I1401" s="102"/>
      <c r="J1401" s="77"/>
      <c r="K1401" s="77"/>
      <c r="L1401" s="77"/>
      <c r="M1401" s="77"/>
      <c r="N1401" s="77"/>
      <c r="O1401" s="77"/>
      <c r="P1401" s="268"/>
      <c r="Q1401" s="268"/>
      <c r="R1401" s="77"/>
      <c r="S1401" s="77"/>
      <c r="T1401" s="77"/>
      <c r="U1401" s="77"/>
      <c r="V1401" s="77"/>
      <c r="W1401" s="77"/>
      <c r="X1401" s="77"/>
      <c r="Y1401" s="77"/>
      <c r="Z1401" s="77"/>
      <c r="AA1401" s="77"/>
      <c r="AB1401" s="77"/>
      <c r="AC1401" s="77"/>
      <c r="AD1401" s="77"/>
      <c r="AE1401" s="77"/>
      <c r="AF1401" s="77"/>
      <c r="AG1401" s="77"/>
      <c r="AH1401" s="87"/>
      <c r="AI1401" s="87"/>
      <c r="AJ1401" s="87"/>
      <c r="AK1401" s="87"/>
      <c r="AL1401" s="87"/>
    </row>
    <row r="1402">
      <c r="A1402" s="77"/>
      <c r="B1402" s="102"/>
      <c r="C1402" s="102"/>
      <c r="D1402" s="102"/>
      <c r="E1402" s="102"/>
      <c r="F1402" s="102"/>
      <c r="G1402" s="102"/>
      <c r="H1402" s="295"/>
      <c r="I1402" s="102"/>
      <c r="J1402" s="77"/>
      <c r="K1402" s="77"/>
      <c r="L1402" s="77"/>
      <c r="M1402" s="77"/>
      <c r="N1402" s="77"/>
      <c r="O1402" s="77"/>
      <c r="P1402" s="268"/>
      <c r="Q1402" s="268"/>
      <c r="R1402" s="77"/>
      <c r="S1402" s="77"/>
      <c r="T1402" s="77"/>
      <c r="U1402" s="77"/>
      <c r="V1402" s="77"/>
      <c r="W1402" s="77"/>
      <c r="X1402" s="77"/>
      <c r="Y1402" s="77"/>
      <c r="Z1402" s="77"/>
      <c r="AA1402" s="77"/>
      <c r="AB1402" s="77"/>
      <c r="AC1402" s="77"/>
      <c r="AD1402" s="77"/>
      <c r="AE1402" s="77"/>
      <c r="AF1402" s="77"/>
      <c r="AG1402" s="77"/>
      <c r="AH1402" s="87"/>
      <c r="AI1402" s="87"/>
      <c r="AJ1402" s="87"/>
      <c r="AK1402" s="87"/>
      <c r="AL1402" s="87"/>
    </row>
    <row r="1403">
      <c r="A1403" s="77"/>
      <c r="B1403" s="102"/>
      <c r="C1403" s="102"/>
      <c r="D1403" s="102"/>
      <c r="E1403" s="102"/>
      <c r="F1403" s="102"/>
      <c r="G1403" s="102"/>
      <c r="H1403" s="295"/>
      <c r="I1403" s="102"/>
      <c r="J1403" s="77"/>
      <c r="K1403" s="77"/>
      <c r="L1403" s="77"/>
      <c r="M1403" s="77"/>
      <c r="N1403" s="77"/>
      <c r="O1403" s="77"/>
      <c r="P1403" s="268"/>
      <c r="Q1403" s="268"/>
      <c r="R1403" s="77"/>
      <c r="S1403" s="77"/>
      <c r="T1403" s="77"/>
      <c r="U1403" s="77"/>
      <c r="V1403" s="77"/>
      <c r="W1403" s="77"/>
      <c r="X1403" s="77"/>
      <c r="Y1403" s="77"/>
      <c r="Z1403" s="77"/>
      <c r="AA1403" s="77"/>
      <c r="AB1403" s="77"/>
      <c r="AC1403" s="77"/>
      <c r="AD1403" s="77"/>
      <c r="AE1403" s="77"/>
      <c r="AF1403" s="77"/>
      <c r="AG1403" s="77"/>
      <c r="AH1403" s="87"/>
      <c r="AI1403" s="87"/>
      <c r="AJ1403" s="87"/>
      <c r="AK1403" s="87"/>
      <c r="AL1403" s="87"/>
    </row>
    <row r="1404">
      <c r="A1404" s="77"/>
      <c r="B1404" s="102"/>
      <c r="C1404" s="102"/>
      <c r="D1404" s="102"/>
      <c r="E1404" s="102"/>
      <c r="F1404" s="102"/>
      <c r="G1404" s="102"/>
      <c r="H1404" s="295"/>
      <c r="I1404" s="102"/>
      <c r="J1404" s="77"/>
      <c r="K1404" s="77"/>
      <c r="L1404" s="77"/>
      <c r="M1404" s="77"/>
      <c r="N1404" s="77"/>
      <c r="O1404" s="77"/>
      <c r="P1404" s="268"/>
      <c r="Q1404" s="268"/>
      <c r="R1404" s="77"/>
      <c r="S1404" s="77"/>
      <c r="T1404" s="77"/>
      <c r="U1404" s="77"/>
      <c r="V1404" s="77"/>
      <c r="W1404" s="77"/>
      <c r="X1404" s="77"/>
      <c r="Y1404" s="77"/>
      <c r="Z1404" s="77"/>
      <c r="AA1404" s="77"/>
      <c r="AB1404" s="77"/>
      <c r="AC1404" s="77"/>
      <c r="AD1404" s="77"/>
      <c r="AE1404" s="77"/>
      <c r="AF1404" s="77"/>
      <c r="AG1404" s="77"/>
      <c r="AH1404" s="87"/>
      <c r="AI1404" s="87"/>
      <c r="AJ1404" s="87"/>
      <c r="AK1404" s="87"/>
      <c r="AL1404" s="87"/>
    </row>
    <row r="1405">
      <c r="A1405" s="77"/>
      <c r="B1405" s="102"/>
      <c r="C1405" s="102"/>
      <c r="D1405" s="102"/>
      <c r="E1405" s="102"/>
      <c r="F1405" s="102"/>
      <c r="G1405" s="102"/>
      <c r="H1405" s="295"/>
      <c r="I1405" s="102"/>
      <c r="J1405" s="77"/>
      <c r="K1405" s="77"/>
      <c r="L1405" s="77"/>
      <c r="M1405" s="77"/>
      <c r="N1405" s="77"/>
      <c r="O1405" s="77"/>
      <c r="P1405" s="268"/>
      <c r="Q1405" s="268"/>
      <c r="R1405" s="77"/>
      <c r="S1405" s="77"/>
      <c r="T1405" s="77"/>
      <c r="U1405" s="77"/>
      <c r="V1405" s="77"/>
      <c r="W1405" s="77"/>
      <c r="X1405" s="77"/>
      <c r="Y1405" s="77"/>
      <c r="Z1405" s="77"/>
      <c r="AA1405" s="77"/>
      <c r="AB1405" s="77"/>
      <c r="AC1405" s="77"/>
      <c r="AD1405" s="77"/>
      <c r="AE1405" s="77"/>
      <c r="AF1405" s="77"/>
      <c r="AG1405" s="77"/>
      <c r="AH1405" s="87"/>
      <c r="AI1405" s="87"/>
      <c r="AJ1405" s="87"/>
      <c r="AK1405" s="87"/>
      <c r="AL1405" s="87"/>
    </row>
    <row r="1406">
      <c r="A1406" s="77"/>
      <c r="B1406" s="102"/>
      <c r="C1406" s="102"/>
      <c r="D1406" s="102"/>
      <c r="E1406" s="102"/>
      <c r="F1406" s="102"/>
      <c r="G1406" s="102"/>
      <c r="H1406" s="295"/>
      <c r="I1406" s="102"/>
      <c r="J1406" s="77"/>
      <c r="K1406" s="77"/>
      <c r="L1406" s="77"/>
      <c r="M1406" s="77"/>
      <c r="N1406" s="77"/>
      <c r="O1406" s="77"/>
      <c r="P1406" s="268"/>
      <c r="Q1406" s="268"/>
      <c r="R1406" s="77"/>
      <c r="S1406" s="77"/>
      <c r="T1406" s="77"/>
      <c r="U1406" s="77"/>
      <c r="V1406" s="77"/>
      <c r="W1406" s="77"/>
      <c r="X1406" s="77"/>
      <c r="Y1406" s="77"/>
      <c r="Z1406" s="77"/>
      <c r="AA1406" s="77"/>
      <c r="AB1406" s="77"/>
      <c r="AC1406" s="77"/>
      <c r="AD1406" s="77"/>
      <c r="AE1406" s="77"/>
      <c r="AF1406" s="77"/>
      <c r="AG1406" s="77"/>
      <c r="AH1406" s="87"/>
      <c r="AI1406" s="87"/>
      <c r="AJ1406" s="87"/>
      <c r="AK1406" s="87"/>
      <c r="AL1406" s="87"/>
    </row>
    <row r="1407">
      <c r="A1407" s="77"/>
      <c r="B1407" s="102"/>
      <c r="C1407" s="102"/>
      <c r="D1407" s="102"/>
      <c r="E1407" s="102"/>
      <c r="F1407" s="102"/>
      <c r="G1407" s="102"/>
      <c r="H1407" s="295"/>
      <c r="I1407" s="102"/>
      <c r="J1407" s="77"/>
      <c r="K1407" s="77"/>
      <c r="L1407" s="77"/>
      <c r="M1407" s="77"/>
      <c r="N1407" s="77"/>
      <c r="O1407" s="77"/>
      <c r="P1407" s="268"/>
      <c r="Q1407" s="268"/>
      <c r="R1407" s="77"/>
      <c r="S1407" s="77"/>
      <c r="T1407" s="77"/>
      <c r="U1407" s="77"/>
      <c r="V1407" s="77"/>
      <c r="W1407" s="77"/>
      <c r="X1407" s="77"/>
      <c r="Y1407" s="77"/>
      <c r="Z1407" s="77"/>
      <c r="AA1407" s="77"/>
      <c r="AB1407" s="77"/>
      <c r="AC1407" s="77"/>
      <c r="AD1407" s="77"/>
      <c r="AE1407" s="77"/>
      <c r="AF1407" s="77"/>
      <c r="AG1407" s="77"/>
      <c r="AH1407" s="87"/>
      <c r="AI1407" s="87"/>
      <c r="AJ1407" s="87"/>
      <c r="AK1407" s="87"/>
      <c r="AL1407" s="87"/>
    </row>
    <row r="1408">
      <c r="A1408" s="77"/>
      <c r="B1408" s="102"/>
      <c r="C1408" s="102"/>
      <c r="D1408" s="102"/>
      <c r="E1408" s="102"/>
      <c r="F1408" s="102"/>
      <c r="G1408" s="102"/>
      <c r="H1408" s="295"/>
      <c r="I1408" s="102"/>
      <c r="J1408" s="77"/>
      <c r="K1408" s="77"/>
      <c r="L1408" s="77"/>
      <c r="M1408" s="77"/>
      <c r="N1408" s="77"/>
      <c r="O1408" s="77"/>
      <c r="P1408" s="268"/>
      <c r="Q1408" s="268"/>
      <c r="R1408" s="77"/>
      <c r="S1408" s="77"/>
      <c r="T1408" s="77"/>
      <c r="U1408" s="77"/>
      <c r="V1408" s="77"/>
      <c r="W1408" s="77"/>
      <c r="X1408" s="77"/>
      <c r="Y1408" s="77"/>
      <c r="Z1408" s="77"/>
      <c r="AA1408" s="77"/>
      <c r="AB1408" s="77"/>
      <c r="AC1408" s="77"/>
      <c r="AD1408" s="77"/>
      <c r="AE1408" s="77"/>
      <c r="AF1408" s="77"/>
      <c r="AG1408" s="77"/>
      <c r="AH1408" s="87"/>
      <c r="AI1408" s="87"/>
      <c r="AJ1408" s="87"/>
      <c r="AK1408" s="87"/>
      <c r="AL1408" s="87"/>
    </row>
    <row r="1409">
      <c r="A1409" s="77"/>
      <c r="B1409" s="102"/>
      <c r="C1409" s="102"/>
      <c r="D1409" s="102"/>
      <c r="E1409" s="102"/>
      <c r="F1409" s="102"/>
      <c r="G1409" s="102"/>
      <c r="H1409" s="295"/>
      <c r="I1409" s="102"/>
      <c r="J1409" s="77"/>
      <c r="K1409" s="77"/>
      <c r="L1409" s="77"/>
      <c r="M1409" s="77"/>
      <c r="N1409" s="77"/>
      <c r="O1409" s="77"/>
      <c r="P1409" s="268"/>
      <c r="Q1409" s="268"/>
      <c r="R1409" s="77"/>
      <c r="S1409" s="77"/>
      <c r="T1409" s="77"/>
      <c r="U1409" s="77"/>
      <c r="V1409" s="77"/>
      <c r="W1409" s="77"/>
      <c r="X1409" s="77"/>
      <c r="Y1409" s="77"/>
      <c r="Z1409" s="77"/>
      <c r="AA1409" s="77"/>
      <c r="AB1409" s="77"/>
      <c r="AC1409" s="77"/>
      <c r="AD1409" s="77"/>
      <c r="AE1409" s="77"/>
      <c r="AF1409" s="77"/>
      <c r="AG1409" s="77"/>
      <c r="AH1409" s="87"/>
      <c r="AI1409" s="87"/>
      <c r="AJ1409" s="87"/>
      <c r="AK1409" s="87"/>
      <c r="AL1409" s="87"/>
    </row>
    <row r="1410">
      <c r="A1410" s="77"/>
      <c r="B1410" s="102"/>
      <c r="C1410" s="102"/>
      <c r="D1410" s="102"/>
      <c r="E1410" s="102"/>
      <c r="F1410" s="102"/>
      <c r="G1410" s="102"/>
      <c r="H1410" s="295"/>
      <c r="I1410" s="102"/>
      <c r="J1410" s="77"/>
      <c r="K1410" s="77"/>
      <c r="L1410" s="77"/>
      <c r="M1410" s="77"/>
      <c r="N1410" s="77"/>
      <c r="O1410" s="77"/>
      <c r="P1410" s="268"/>
      <c r="Q1410" s="268"/>
      <c r="R1410" s="77"/>
      <c r="S1410" s="77"/>
      <c r="T1410" s="77"/>
      <c r="U1410" s="77"/>
      <c r="V1410" s="77"/>
      <c r="W1410" s="77"/>
      <c r="X1410" s="77"/>
      <c r="Y1410" s="77"/>
      <c r="Z1410" s="77"/>
      <c r="AA1410" s="77"/>
      <c r="AB1410" s="77"/>
      <c r="AC1410" s="77"/>
      <c r="AD1410" s="77"/>
      <c r="AE1410" s="77"/>
      <c r="AF1410" s="77"/>
      <c r="AG1410" s="77"/>
      <c r="AH1410" s="87"/>
      <c r="AI1410" s="87"/>
      <c r="AJ1410" s="87"/>
      <c r="AK1410" s="87"/>
      <c r="AL1410" s="87"/>
    </row>
    <row r="1411">
      <c r="A1411" s="77"/>
      <c r="B1411" s="102"/>
      <c r="C1411" s="102"/>
      <c r="D1411" s="102"/>
      <c r="E1411" s="102"/>
      <c r="F1411" s="102"/>
      <c r="G1411" s="102"/>
      <c r="H1411" s="295"/>
      <c r="I1411" s="102"/>
      <c r="J1411" s="77"/>
      <c r="K1411" s="77"/>
      <c r="L1411" s="77"/>
      <c r="M1411" s="77"/>
      <c r="N1411" s="77"/>
      <c r="O1411" s="77"/>
      <c r="P1411" s="268"/>
      <c r="Q1411" s="268"/>
      <c r="R1411" s="77"/>
      <c r="S1411" s="77"/>
      <c r="T1411" s="77"/>
      <c r="U1411" s="77"/>
      <c r="V1411" s="77"/>
      <c r="W1411" s="77"/>
      <c r="X1411" s="77"/>
      <c r="Y1411" s="77"/>
      <c r="Z1411" s="77"/>
      <c r="AA1411" s="77"/>
      <c r="AB1411" s="77"/>
      <c r="AC1411" s="77"/>
      <c r="AD1411" s="77"/>
      <c r="AE1411" s="77"/>
      <c r="AF1411" s="77"/>
      <c r="AG1411" s="77"/>
      <c r="AH1411" s="87"/>
      <c r="AI1411" s="87"/>
      <c r="AJ1411" s="87"/>
      <c r="AK1411" s="87"/>
      <c r="AL1411" s="87"/>
    </row>
    <row r="1412">
      <c r="A1412" s="77"/>
      <c r="B1412" s="102"/>
      <c r="C1412" s="102"/>
      <c r="D1412" s="102"/>
      <c r="E1412" s="102"/>
      <c r="F1412" s="102"/>
      <c r="G1412" s="102"/>
      <c r="H1412" s="295"/>
      <c r="I1412" s="102"/>
      <c r="J1412" s="77"/>
      <c r="K1412" s="77"/>
      <c r="L1412" s="77"/>
      <c r="M1412" s="77"/>
      <c r="N1412" s="77"/>
      <c r="O1412" s="77"/>
      <c r="P1412" s="268"/>
      <c r="Q1412" s="268"/>
      <c r="R1412" s="77"/>
      <c r="S1412" s="77"/>
      <c r="T1412" s="77"/>
      <c r="U1412" s="77"/>
      <c r="V1412" s="77"/>
      <c r="W1412" s="77"/>
      <c r="X1412" s="77"/>
      <c r="Y1412" s="77"/>
      <c r="Z1412" s="77"/>
      <c r="AA1412" s="77"/>
      <c r="AB1412" s="77"/>
      <c r="AC1412" s="77"/>
      <c r="AD1412" s="77"/>
      <c r="AE1412" s="77"/>
      <c r="AF1412" s="77"/>
      <c r="AG1412" s="77"/>
      <c r="AH1412" s="87"/>
      <c r="AI1412" s="87"/>
      <c r="AJ1412" s="87"/>
      <c r="AK1412" s="87"/>
      <c r="AL1412" s="87"/>
    </row>
    <row r="1413">
      <c r="A1413" s="77"/>
      <c r="B1413" s="102"/>
      <c r="C1413" s="102"/>
      <c r="D1413" s="102"/>
      <c r="E1413" s="102"/>
      <c r="F1413" s="102"/>
      <c r="G1413" s="102"/>
      <c r="H1413" s="295"/>
      <c r="I1413" s="102"/>
      <c r="J1413" s="77"/>
      <c r="K1413" s="77"/>
      <c r="L1413" s="77"/>
      <c r="M1413" s="77"/>
      <c r="N1413" s="77"/>
      <c r="O1413" s="77"/>
      <c r="P1413" s="268"/>
      <c r="Q1413" s="268"/>
      <c r="R1413" s="77"/>
      <c r="S1413" s="77"/>
      <c r="T1413" s="77"/>
      <c r="U1413" s="77"/>
      <c r="V1413" s="77"/>
      <c r="W1413" s="77"/>
      <c r="X1413" s="77"/>
      <c r="Y1413" s="77"/>
      <c r="Z1413" s="77"/>
      <c r="AA1413" s="77"/>
      <c r="AB1413" s="77"/>
      <c r="AC1413" s="77"/>
      <c r="AD1413" s="77"/>
      <c r="AE1413" s="77"/>
      <c r="AF1413" s="77"/>
      <c r="AG1413" s="77"/>
      <c r="AH1413" s="87"/>
      <c r="AI1413" s="87"/>
      <c r="AJ1413" s="87"/>
      <c r="AK1413" s="87"/>
      <c r="AL1413" s="87"/>
    </row>
    <row r="1414">
      <c r="A1414" s="77"/>
      <c r="B1414" s="102"/>
      <c r="C1414" s="102"/>
      <c r="D1414" s="102"/>
      <c r="E1414" s="102"/>
      <c r="F1414" s="102"/>
      <c r="G1414" s="102"/>
      <c r="H1414" s="295"/>
      <c r="I1414" s="102"/>
      <c r="J1414" s="77"/>
      <c r="K1414" s="77"/>
      <c r="L1414" s="77"/>
      <c r="M1414" s="77"/>
      <c r="N1414" s="77"/>
      <c r="O1414" s="77"/>
      <c r="P1414" s="268"/>
      <c r="Q1414" s="268"/>
      <c r="R1414" s="77"/>
      <c r="S1414" s="77"/>
      <c r="T1414" s="77"/>
      <c r="U1414" s="77"/>
      <c r="V1414" s="77"/>
      <c r="W1414" s="77"/>
      <c r="X1414" s="77"/>
      <c r="Y1414" s="77"/>
      <c r="Z1414" s="77"/>
      <c r="AA1414" s="77"/>
      <c r="AB1414" s="77"/>
      <c r="AC1414" s="77"/>
      <c r="AD1414" s="77"/>
      <c r="AE1414" s="77"/>
      <c r="AF1414" s="77"/>
      <c r="AG1414" s="77"/>
      <c r="AH1414" s="87"/>
      <c r="AI1414" s="87"/>
      <c r="AJ1414" s="87"/>
      <c r="AK1414" s="87"/>
      <c r="AL1414" s="87"/>
    </row>
    <row r="1415">
      <c r="A1415" s="77"/>
      <c r="B1415" s="102"/>
      <c r="C1415" s="102"/>
      <c r="D1415" s="102"/>
      <c r="E1415" s="102"/>
      <c r="F1415" s="102"/>
      <c r="G1415" s="102"/>
      <c r="H1415" s="295"/>
      <c r="I1415" s="102"/>
      <c r="J1415" s="77"/>
      <c r="K1415" s="77"/>
      <c r="L1415" s="77"/>
      <c r="M1415" s="77"/>
      <c r="N1415" s="77"/>
      <c r="O1415" s="77"/>
      <c r="P1415" s="268"/>
      <c r="Q1415" s="268"/>
      <c r="R1415" s="77"/>
      <c r="S1415" s="77"/>
      <c r="T1415" s="77"/>
      <c r="U1415" s="77"/>
      <c r="V1415" s="77"/>
      <c r="W1415" s="77"/>
      <c r="X1415" s="77"/>
      <c r="Y1415" s="77"/>
      <c r="Z1415" s="77"/>
      <c r="AA1415" s="77"/>
      <c r="AB1415" s="77"/>
      <c r="AC1415" s="77"/>
      <c r="AD1415" s="77"/>
      <c r="AE1415" s="77"/>
      <c r="AF1415" s="77"/>
      <c r="AG1415" s="77"/>
      <c r="AH1415" s="87"/>
      <c r="AI1415" s="87"/>
      <c r="AJ1415" s="87"/>
      <c r="AK1415" s="87"/>
      <c r="AL1415" s="87"/>
    </row>
    <row r="1416">
      <c r="A1416" s="77"/>
      <c r="B1416" s="102"/>
      <c r="C1416" s="102"/>
      <c r="D1416" s="102"/>
      <c r="E1416" s="102"/>
      <c r="F1416" s="102"/>
      <c r="G1416" s="102"/>
      <c r="H1416" s="295"/>
      <c r="I1416" s="102"/>
      <c r="J1416" s="77"/>
      <c r="K1416" s="77"/>
      <c r="L1416" s="77"/>
      <c r="M1416" s="77"/>
      <c r="N1416" s="77"/>
      <c r="O1416" s="77"/>
      <c r="P1416" s="268"/>
      <c r="Q1416" s="268"/>
      <c r="R1416" s="77"/>
      <c r="S1416" s="77"/>
      <c r="T1416" s="77"/>
      <c r="U1416" s="77"/>
      <c r="V1416" s="77"/>
      <c r="W1416" s="77"/>
      <c r="X1416" s="77"/>
      <c r="Y1416" s="77"/>
      <c r="Z1416" s="77"/>
      <c r="AA1416" s="77"/>
      <c r="AB1416" s="77"/>
      <c r="AC1416" s="77"/>
      <c r="AD1416" s="77"/>
      <c r="AE1416" s="77"/>
      <c r="AF1416" s="77"/>
      <c r="AG1416" s="77"/>
      <c r="AH1416" s="87"/>
      <c r="AI1416" s="87"/>
      <c r="AJ1416" s="87"/>
      <c r="AK1416" s="87"/>
      <c r="AL1416" s="87"/>
    </row>
    <row r="1417">
      <c r="A1417" s="77"/>
      <c r="B1417" s="102"/>
      <c r="C1417" s="102"/>
      <c r="D1417" s="102"/>
      <c r="E1417" s="102"/>
      <c r="F1417" s="102"/>
      <c r="G1417" s="102"/>
      <c r="H1417" s="295"/>
      <c r="I1417" s="102"/>
      <c r="J1417" s="77"/>
      <c r="K1417" s="77"/>
      <c r="L1417" s="77"/>
      <c r="M1417" s="77"/>
      <c r="N1417" s="77"/>
      <c r="O1417" s="77"/>
      <c r="P1417" s="268"/>
      <c r="Q1417" s="268"/>
      <c r="R1417" s="77"/>
      <c r="S1417" s="77"/>
      <c r="T1417" s="77"/>
      <c r="U1417" s="77"/>
      <c r="V1417" s="77"/>
      <c r="W1417" s="77"/>
      <c r="X1417" s="77"/>
      <c r="Y1417" s="77"/>
      <c r="Z1417" s="77"/>
      <c r="AA1417" s="77"/>
      <c r="AB1417" s="77"/>
      <c r="AC1417" s="77"/>
      <c r="AD1417" s="77"/>
      <c r="AE1417" s="77"/>
      <c r="AF1417" s="77"/>
      <c r="AG1417" s="77"/>
      <c r="AH1417" s="87"/>
      <c r="AI1417" s="87"/>
      <c r="AJ1417" s="87"/>
      <c r="AK1417" s="87"/>
      <c r="AL1417" s="87"/>
    </row>
    <row r="1418">
      <c r="A1418" s="77"/>
      <c r="B1418" s="102"/>
      <c r="C1418" s="102"/>
      <c r="D1418" s="102"/>
      <c r="E1418" s="102"/>
      <c r="F1418" s="102"/>
      <c r="G1418" s="102"/>
      <c r="H1418" s="295"/>
      <c r="I1418" s="102"/>
      <c r="J1418" s="77"/>
      <c r="K1418" s="77"/>
      <c r="L1418" s="77"/>
      <c r="M1418" s="77"/>
      <c r="N1418" s="77"/>
      <c r="O1418" s="77"/>
      <c r="P1418" s="268"/>
      <c r="Q1418" s="268"/>
      <c r="R1418" s="77"/>
      <c r="S1418" s="77"/>
      <c r="T1418" s="77"/>
      <c r="U1418" s="77"/>
      <c r="V1418" s="77"/>
      <c r="W1418" s="77"/>
      <c r="X1418" s="77"/>
      <c r="Y1418" s="77"/>
      <c r="Z1418" s="77"/>
      <c r="AA1418" s="77"/>
      <c r="AB1418" s="77"/>
      <c r="AC1418" s="77"/>
      <c r="AD1418" s="77"/>
      <c r="AE1418" s="77"/>
      <c r="AF1418" s="77"/>
      <c r="AG1418" s="77"/>
      <c r="AH1418" s="87"/>
      <c r="AI1418" s="87"/>
      <c r="AJ1418" s="87"/>
      <c r="AK1418" s="87"/>
      <c r="AL1418" s="87"/>
    </row>
    <row r="1419">
      <c r="A1419" s="77"/>
      <c r="B1419" s="102"/>
      <c r="C1419" s="102"/>
      <c r="D1419" s="102"/>
      <c r="E1419" s="102"/>
      <c r="F1419" s="102"/>
      <c r="G1419" s="102"/>
      <c r="H1419" s="295"/>
      <c r="I1419" s="102"/>
      <c r="J1419" s="77"/>
      <c r="K1419" s="77"/>
      <c r="L1419" s="77"/>
      <c r="M1419" s="77"/>
      <c r="N1419" s="77"/>
      <c r="O1419" s="77"/>
      <c r="P1419" s="268"/>
      <c r="Q1419" s="268"/>
      <c r="R1419" s="77"/>
      <c r="S1419" s="77"/>
      <c r="T1419" s="77"/>
      <c r="U1419" s="77"/>
      <c r="V1419" s="77"/>
      <c r="W1419" s="77"/>
      <c r="X1419" s="77"/>
      <c r="Y1419" s="77"/>
      <c r="Z1419" s="77"/>
      <c r="AA1419" s="77"/>
      <c r="AB1419" s="77"/>
      <c r="AC1419" s="77"/>
      <c r="AD1419" s="77"/>
      <c r="AE1419" s="77"/>
      <c r="AF1419" s="77"/>
      <c r="AG1419" s="77"/>
      <c r="AH1419" s="87"/>
      <c r="AI1419" s="87"/>
      <c r="AJ1419" s="87"/>
      <c r="AK1419" s="87"/>
      <c r="AL1419" s="87"/>
    </row>
    <row r="1420">
      <c r="A1420" s="77"/>
      <c r="B1420" s="102"/>
      <c r="C1420" s="102"/>
      <c r="D1420" s="102"/>
      <c r="E1420" s="102"/>
      <c r="F1420" s="102"/>
      <c r="G1420" s="102"/>
      <c r="H1420" s="295"/>
      <c r="I1420" s="102"/>
      <c r="J1420" s="77"/>
      <c r="K1420" s="77"/>
      <c r="L1420" s="77"/>
      <c r="M1420" s="77"/>
      <c r="N1420" s="77"/>
      <c r="O1420" s="77"/>
      <c r="P1420" s="268"/>
      <c r="Q1420" s="268"/>
      <c r="R1420" s="77"/>
      <c r="S1420" s="77"/>
      <c r="T1420" s="77"/>
      <c r="U1420" s="77"/>
      <c r="V1420" s="77"/>
      <c r="W1420" s="77"/>
      <c r="X1420" s="77"/>
      <c r="Y1420" s="77"/>
      <c r="Z1420" s="77"/>
      <c r="AA1420" s="77"/>
      <c r="AB1420" s="77"/>
      <c r="AC1420" s="77"/>
      <c r="AD1420" s="77"/>
      <c r="AE1420" s="77"/>
      <c r="AF1420" s="77"/>
      <c r="AG1420" s="77"/>
      <c r="AH1420" s="87"/>
      <c r="AI1420" s="87"/>
      <c r="AJ1420" s="87"/>
      <c r="AK1420" s="87"/>
      <c r="AL1420" s="87"/>
    </row>
    <row r="1421">
      <c r="A1421" s="77"/>
      <c r="B1421" s="102"/>
      <c r="C1421" s="102"/>
      <c r="D1421" s="102"/>
      <c r="E1421" s="102"/>
      <c r="F1421" s="102"/>
      <c r="G1421" s="102"/>
      <c r="H1421" s="295"/>
      <c r="I1421" s="102"/>
      <c r="J1421" s="77"/>
      <c r="K1421" s="77"/>
      <c r="L1421" s="77"/>
      <c r="M1421" s="77"/>
      <c r="N1421" s="77"/>
      <c r="O1421" s="77"/>
      <c r="P1421" s="268"/>
      <c r="Q1421" s="268"/>
      <c r="R1421" s="77"/>
      <c r="S1421" s="77"/>
      <c r="T1421" s="77"/>
      <c r="U1421" s="77"/>
      <c r="V1421" s="77"/>
      <c r="W1421" s="77"/>
      <c r="X1421" s="77"/>
      <c r="Y1421" s="77"/>
      <c r="Z1421" s="77"/>
      <c r="AA1421" s="77"/>
      <c r="AB1421" s="77"/>
      <c r="AC1421" s="77"/>
      <c r="AD1421" s="77"/>
      <c r="AE1421" s="77"/>
      <c r="AF1421" s="77"/>
      <c r="AG1421" s="77"/>
      <c r="AH1421" s="87"/>
      <c r="AI1421" s="87"/>
      <c r="AJ1421" s="87"/>
      <c r="AK1421" s="87"/>
      <c r="AL1421" s="87"/>
    </row>
    <row r="1422">
      <c r="A1422" s="77"/>
      <c r="B1422" s="102"/>
      <c r="C1422" s="102"/>
      <c r="D1422" s="102"/>
      <c r="E1422" s="102"/>
      <c r="F1422" s="102"/>
      <c r="G1422" s="102"/>
      <c r="H1422" s="295"/>
      <c r="I1422" s="102"/>
      <c r="J1422" s="77"/>
      <c r="K1422" s="77"/>
      <c r="L1422" s="77"/>
      <c r="M1422" s="77"/>
      <c r="N1422" s="77"/>
      <c r="O1422" s="77"/>
      <c r="P1422" s="268"/>
      <c r="Q1422" s="268"/>
      <c r="R1422" s="77"/>
      <c r="S1422" s="77"/>
      <c r="T1422" s="77"/>
      <c r="U1422" s="77"/>
      <c r="V1422" s="77"/>
      <c r="W1422" s="77"/>
      <c r="X1422" s="77"/>
      <c r="Y1422" s="77"/>
      <c r="Z1422" s="77"/>
      <c r="AA1422" s="77"/>
      <c r="AB1422" s="77"/>
      <c r="AC1422" s="77"/>
      <c r="AD1422" s="77"/>
      <c r="AE1422" s="77"/>
      <c r="AF1422" s="77"/>
      <c r="AG1422" s="77"/>
      <c r="AH1422" s="87"/>
      <c r="AI1422" s="87"/>
      <c r="AJ1422" s="87"/>
      <c r="AK1422" s="87"/>
      <c r="AL1422" s="87"/>
    </row>
    <row r="1423">
      <c r="A1423" s="77"/>
      <c r="B1423" s="102"/>
      <c r="C1423" s="102"/>
      <c r="D1423" s="102"/>
      <c r="E1423" s="102"/>
      <c r="F1423" s="102"/>
      <c r="G1423" s="102"/>
      <c r="H1423" s="295"/>
      <c r="I1423" s="102"/>
      <c r="J1423" s="77"/>
      <c r="K1423" s="77"/>
      <c r="L1423" s="77"/>
      <c r="M1423" s="77"/>
      <c r="N1423" s="77"/>
      <c r="O1423" s="77"/>
      <c r="P1423" s="268"/>
      <c r="Q1423" s="268"/>
      <c r="R1423" s="77"/>
      <c r="S1423" s="77"/>
      <c r="T1423" s="77"/>
      <c r="U1423" s="77"/>
      <c r="V1423" s="77"/>
      <c r="W1423" s="77"/>
      <c r="X1423" s="77"/>
      <c r="Y1423" s="77"/>
      <c r="Z1423" s="77"/>
      <c r="AA1423" s="77"/>
      <c r="AB1423" s="77"/>
      <c r="AC1423" s="77"/>
      <c r="AD1423" s="77"/>
      <c r="AE1423" s="77"/>
      <c r="AF1423" s="77"/>
      <c r="AG1423" s="77"/>
      <c r="AH1423" s="87"/>
      <c r="AI1423" s="87"/>
      <c r="AJ1423" s="87"/>
      <c r="AK1423" s="87"/>
      <c r="AL1423" s="87"/>
    </row>
    <row r="1424">
      <c r="A1424" s="77"/>
      <c r="B1424" s="102"/>
      <c r="C1424" s="102"/>
      <c r="D1424" s="102"/>
      <c r="E1424" s="102"/>
      <c r="F1424" s="102"/>
      <c r="G1424" s="102"/>
      <c r="H1424" s="295"/>
      <c r="I1424" s="102"/>
      <c r="J1424" s="77"/>
      <c r="K1424" s="77"/>
      <c r="L1424" s="77"/>
      <c r="M1424" s="77"/>
      <c r="N1424" s="77"/>
      <c r="O1424" s="77"/>
      <c r="P1424" s="268"/>
      <c r="Q1424" s="268"/>
      <c r="R1424" s="77"/>
      <c r="S1424" s="77"/>
      <c r="T1424" s="77"/>
      <c r="U1424" s="77"/>
      <c r="V1424" s="77"/>
      <c r="W1424" s="77"/>
      <c r="X1424" s="77"/>
      <c r="Y1424" s="77"/>
      <c r="Z1424" s="77"/>
      <c r="AA1424" s="77"/>
      <c r="AB1424" s="77"/>
      <c r="AC1424" s="77"/>
      <c r="AD1424" s="77"/>
      <c r="AE1424" s="77"/>
      <c r="AF1424" s="77"/>
      <c r="AG1424" s="77"/>
      <c r="AH1424" s="87"/>
      <c r="AI1424" s="87"/>
      <c r="AJ1424" s="87"/>
      <c r="AK1424" s="87"/>
      <c r="AL1424" s="87"/>
    </row>
    <row r="1425">
      <c r="A1425" s="77"/>
      <c r="B1425" s="102"/>
      <c r="C1425" s="102"/>
      <c r="D1425" s="102"/>
      <c r="E1425" s="102"/>
      <c r="F1425" s="102"/>
      <c r="G1425" s="102"/>
      <c r="H1425" s="295"/>
      <c r="I1425" s="102"/>
      <c r="J1425" s="77"/>
      <c r="K1425" s="77"/>
      <c r="L1425" s="77"/>
      <c r="M1425" s="77"/>
      <c r="N1425" s="77"/>
      <c r="O1425" s="77"/>
      <c r="P1425" s="268"/>
      <c r="Q1425" s="268"/>
      <c r="R1425" s="77"/>
      <c r="S1425" s="77"/>
      <c r="T1425" s="77"/>
      <c r="U1425" s="77"/>
      <c r="V1425" s="77"/>
      <c r="W1425" s="77"/>
      <c r="X1425" s="77"/>
      <c r="Y1425" s="77"/>
      <c r="Z1425" s="77"/>
      <c r="AA1425" s="77"/>
      <c r="AB1425" s="77"/>
      <c r="AC1425" s="77"/>
      <c r="AD1425" s="77"/>
      <c r="AE1425" s="77"/>
      <c r="AF1425" s="77"/>
      <c r="AG1425" s="77"/>
      <c r="AH1425" s="87"/>
      <c r="AI1425" s="87"/>
      <c r="AJ1425" s="87"/>
      <c r="AK1425" s="87"/>
      <c r="AL1425" s="87"/>
    </row>
    <row r="1426">
      <c r="A1426" s="77"/>
      <c r="B1426" s="102"/>
      <c r="C1426" s="102"/>
      <c r="D1426" s="102"/>
      <c r="E1426" s="102"/>
      <c r="F1426" s="102"/>
      <c r="G1426" s="102"/>
      <c r="H1426" s="295"/>
      <c r="I1426" s="102"/>
      <c r="J1426" s="77"/>
      <c r="K1426" s="77"/>
      <c r="L1426" s="77"/>
      <c r="M1426" s="77"/>
      <c r="N1426" s="77"/>
      <c r="O1426" s="77"/>
      <c r="P1426" s="268"/>
      <c r="Q1426" s="268"/>
      <c r="R1426" s="77"/>
      <c r="S1426" s="77"/>
      <c r="T1426" s="77"/>
      <c r="U1426" s="77"/>
      <c r="V1426" s="77"/>
      <c r="W1426" s="77"/>
      <c r="X1426" s="77"/>
      <c r="Y1426" s="77"/>
      <c r="Z1426" s="77"/>
      <c r="AA1426" s="77"/>
      <c r="AB1426" s="77"/>
      <c r="AC1426" s="77"/>
      <c r="AD1426" s="77"/>
      <c r="AE1426" s="77"/>
      <c r="AF1426" s="77"/>
      <c r="AG1426" s="77"/>
      <c r="AH1426" s="87"/>
      <c r="AI1426" s="87"/>
      <c r="AJ1426" s="87"/>
      <c r="AK1426" s="87"/>
      <c r="AL1426" s="87"/>
    </row>
    <row r="1427">
      <c r="A1427" s="77"/>
      <c r="B1427" s="102"/>
      <c r="C1427" s="102"/>
      <c r="D1427" s="102"/>
      <c r="E1427" s="102"/>
      <c r="F1427" s="102"/>
      <c r="G1427" s="102"/>
      <c r="H1427" s="295"/>
      <c r="I1427" s="102"/>
      <c r="J1427" s="77"/>
      <c r="K1427" s="77"/>
      <c r="L1427" s="77"/>
      <c r="M1427" s="77"/>
      <c r="N1427" s="77"/>
      <c r="O1427" s="77"/>
      <c r="P1427" s="268"/>
      <c r="Q1427" s="268"/>
      <c r="R1427" s="77"/>
      <c r="S1427" s="77"/>
      <c r="T1427" s="77"/>
      <c r="U1427" s="77"/>
      <c r="V1427" s="77"/>
      <c r="W1427" s="77"/>
      <c r="X1427" s="77"/>
      <c r="Y1427" s="77"/>
      <c r="Z1427" s="77"/>
      <c r="AA1427" s="77"/>
      <c r="AB1427" s="77"/>
      <c r="AC1427" s="77"/>
      <c r="AD1427" s="77"/>
      <c r="AE1427" s="77"/>
      <c r="AF1427" s="77"/>
      <c r="AG1427" s="77"/>
      <c r="AH1427" s="87"/>
      <c r="AI1427" s="87"/>
      <c r="AJ1427" s="87"/>
      <c r="AK1427" s="87"/>
      <c r="AL1427" s="87"/>
    </row>
    <row r="1428">
      <c r="A1428" s="77"/>
      <c r="B1428" s="102"/>
      <c r="C1428" s="102"/>
      <c r="D1428" s="102"/>
      <c r="E1428" s="102"/>
      <c r="F1428" s="102"/>
      <c r="G1428" s="102"/>
      <c r="H1428" s="295"/>
      <c r="I1428" s="102"/>
      <c r="J1428" s="77"/>
      <c r="K1428" s="77"/>
      <c r="L1428" s="77"/>
      <c r="M1428" s="77"/>
      <c r="N1428" s="77"/>
      <c r="O1428" s="77"/>
      <c r="P1428" s="268"/>
      <c r="Q1428" s="268"/>
      <c r="R1428" s="77"/>
      <c r="S1428" s="77"/>
      <c r="T1428" s="77"/>
      <c r="U1428" s="77"/>
      <c r="V1428" s="77"/>
      <c r="W1428" s="77"/>
      <c r="X1428" s="77"/>
      <c r="Y1428" s="77"/>
      <c r="Z1428" s="77"/>
      <c r="AA1428" s="77"/>
      <c r="AB1428" s="77"/>
      <c r="AC1428" s="77"/>
      <c r="AD1428" s="77"/>
      <c r="AE1428" s="77"/>
      <c r="AF1428" s="77"/>
      <c r="AG1428" s="77"/>
      <c r="AH1428" s="87"/>
      <c r="AI1428" s="87"/>
      <c r="AJ1428" s="87"/>
      <c r="AK1428" s="87"/>
      <c r="AL1428" s="87"/>
    </row>
    <row r="1429">
      <c r="A1429" s="77"/>
      <c r="B1429" s="102"/>
      <c r="C1429" s="102"/>
      <c r="D1429" s="102"/>
      <c r="E1429" s="102"/>
      <c r="F1429" s="102"/>
      <c r="G1429" s="102"/>
      <c r="H1429" s="295"/>
      <c r="I1429" s="102"/>
      <c r="J1429" s="77"/>
      <c r="K1429" s="77"/>
      <c r="L1429" s="77"/>
      <c r="M1429" s="77"/>
      <c r="N1429" s="77"/>
      <c r="O1429" s="77"/>
      <c r="P1429" s="268"/>
      <c r="Q1429" s="268"/>
      <c r="R1429" s="77"/>
      <c r="S1429" s="77"/>
      <c r="T1429" s="77"/>
      <c r="U1429" s="77"/>
      <c r="V1429" s="77"/>
      <c r="W1429" s="77"/>
      <c r="X1429" s="77"/>
      <c r="Y1429" s="77"/>
      <c r="Z1429" s="77"/>
      <c r="AA1429" s="77"/>
      <c r="AB1429" s="77"/>
      <c r="AC1429" s="77"/>
      <c r="AD1429" s="77"/>
      <c r="AE1429" s="77"/>
      <c r="AF1429" s="77"/>
      <c r="AG1429" s="77"/>
      <c r="AH1429" s="87"/>
      <c r="AI1429" s="87"/>
      <c r="AJ1429" s="87"/>
      <c r="AK1429" s="87"/>
      <c r="AL1429" s="87"/>
    </row>
    <row r="1430">
      <c r="A1430" s="77"/>
      <c r="B1430" s="102"/>
      <c r="C1430" s="102"/>
      <c r="D1430" s="102"/>
      <c r="E1430" s="102"/>
      <c r="F1430" s="102"/>
      <c r="G1430" s="102"/>
      <c r="H1430" s="295"/>
      <c r="I1430" s="102"/>
      <c r="J1430" s="77"/>
      <c r="K1430" s="77"/>
      <c r="L1430" s="77"/>
      <c r="M1430" s="77"/>
      <c r="N1430" s="77"/>
      <c r="O1430" s="77"/>
      <c r="P1430" s="268"/>
      <c r="Q1430" s="268"/>
      <c r="R1430" s="77"/>
      <c r="S1430" s="77"/>
      <c r="T1430" s="77"/>
      <c r="U1430" s="77"/>
      <c r="V1430" s="77"/>
      <c r="W1430" s="77"/>
      <c r="X1430" s="77"/>
      <c r="Y1430" s="77"/>
      <c r="Z1430" s="77"/>
      <c r="AA1430" s="77"/>
      <c r="AB1430" s="77"/>
      <c r="AC1430" s="77"/>
      <c r="AD1430" s="77"/>
      <c r="AE1430" s="77"/>
      <c r="AF1430" s="77"/>
      <c r="AG1430" s="77"/>
      <c r="AH1430" s="87"/>
      <c r="AI1430" s="87"/>
      <c r="AJ1430" s="87"/>
      <c r="AK1430" s="87"/>
      <c r="AL1430" s="87"/>
    </row>
    <row r="1431">
      <c r="A1431" s="77"/>
      <c r="B1431" s="102"/>
      <c r="C1431" s="102"/>
      <c r="D1431" s="102"/>
      <c r="E1431" s="102"/>
      <c r="F1431" s="102"/>
      <c r="G1431" s="102"/>
      <c r="H1431" s="295"/>
      <c r="I1431" s="102"/>
      <c r="J1431" s="77"/>
      <c r="K1431" s="77"/>
      <c r="L1431" s="77"/>
      <c r="M1431" s="77"/>
      <c r="N1431" s="77"/>
      <c r="O1431" s="77"/>
      <c r="P1431" s="268"/>
      <c r="Q1431" s="268"/>
      <c r="R1431" s="77"/>
      <c r="S1431" s="77"/>
      <c r="T1431" s="77"/>
      <c r="U1431" s="77"/>
      <c r="V1431" s="77"/>
      <c r="W1431" s="77"/>
      <c r="X1431" s="77"/>
      <c r="Y1431" s="77"/>
      <c r="Z1431" s="77"/>
      <c r="AA1431" s="77"/>
      <c r="AB1431" s="77"/>
      <c r="AC1431" s="77"/>
      <c r="AD1431" s="77"/>
      <c r="AE1431" s="77"/>
      <c r="AF1431" s="77"/>
      <c r="AG1431" s="77"/>
      <c r="AH1431" s="87"/>
      <c r="AI1431" s="87"/>
      <c r="AJ1431" s="87"/>
      <c r="AK1431" s="87"/>
      <c r="AL1431" s="87"/>
    </row>
    <row r="1432">
      <c r="A1432" s="77"/>
      <c r="B1432" s="102"/>
      <c r="C1432" s="102"/>
      <c r="D1432" s="102"/>
      <c r="E1432" s="102"/>
      <c r="F1432" s="102"/>
      <c r="G1432" s="102"/>
      <c r="H1432" s="295"/>
      <c r="I1432" s="102"/>
      <c r="J1432" s="77"/>
      <c r="K1432" s="77"/>
      <c r="L1432" s="77"/>
      <c r="M1432" s="77"/>
      <c r="N1432" s="77"/>
      <c r="O1432" s="77"/>
      <c r="P1432" s="268"/>
      <c r="Q1432" s="268"/>
      <c r="R1432" s="77"/>
      <c r="S1432" s="77"/>
      <c r="T1432" s="77"/>
      <c r="U1432" s="77"/>
      <c r="V1432" s="77"/>
      <c r="W1432" s="77"/>
      <c r="X1432" s="77"/>
      <c r="Y1432" s="77"/>
      <c r="Z1432" s="77"/>
      <c r="AA1432" s="77"/>
      <c r="AB1432" s="77"/>
      <c r="AC1432" s="77"/>
      <c r="AD1432" s="77"/>
      <c r="AE1432" s="77"/>
      <c r="AF1432" s="77"/>
      <c r="AG1432" s="77"/>
      <c r="AH1432" s="87"/>
      <c r="AI1432" s="87"/>
      <c r="AJ1432" s="87"/>
      <c r="AK1432" s="87"/>
      <c r="AL1432" s="87"/>
    </row>
    <row r="1433">
      <c r="A1433" s="77"/>
      <c r="B1433" s="102"/>
      <c r="C1433" s="102"/>
      <c r="D1433" s="102"/>
      <c r="E1433" s="102"/>
      <c r="F1433" s="102"/>
      <c r="G1433" s="102"/>
      <c r="H1433" s="295"/>
      <c r="I1433" s="102"/>
      <c r="J1433" s="77"/>
      <c r="K1433" s="77"/>
      <c r="L1433" s="77"/>
      <c r="M1433" s="77"/>
      <c r="N1433" s="77"/>
      <c r="O1433" s="77"/>
      <c r="P1433" s="268"/>
      <c r="Q1433" s="268"/>
      <c r="R1433" s="77"/>
      <c r="S1433" s="77"/>
      <c r="T1433" s="77"/>
      <c r="U1433" s="77"/>
      <c r="V1433" s="77"/>
      <c r="W1433" s="77"/>
      <c r="X1433" s="77"/>
      <c r="Y1433" s="77"/>
      <c r="Z1433" s="77"/>
      <c r="AA1433" s="77"/>
      <c r="AB1433" s="77"/>
      <c r="AC1433" s="77"/>
      <c r="AD1433" s="77"/>
      <c r="AE1433" s="77"/>
      <c r="AF1433" s="77"/>
      <c r="AG1433" s="77"/>
      <c r="AH1433" s="87"/>
      <c r="AI1433" s="87"/>
      <c r="AJ1433" s="87"/>
      <c r="AK1433" s="87"/>
      <c r="AL1433" s="87"/>
    </row>
    <row r="1434">
      <c r="A1434" s="77"/>
      <c r="B1434" s="102"/>
      <c r="C1434" s="102"/>
      <c r="D1434" s="102"/>
      <c r="E1434" s="102"/>
      <c r="F1434" s="102"/>
      <c r="G1434" s="102"/>
      <c r="H1434" s="295"/>
      <c r="I1434" s="102"/>
      <c r="J1434" s="77"/>
      <c r="K1434" s="77"/>
      <c r="L1434" s="77"/>
      <c r="M1434" s="77"/>
      <c r="N1434" s="77"/>
      <c r="O1434" s="77"/>
      <c r="P1434" s="268"/>
      <c r="Q1434" s="268"/>
      <c r="R1434" s="77"/>
      <c r="S1434" s="77"/>
      <c r="T1434" s="77"/>
      <c r="U1434" s="77"/>
      <c r="V1434" s="77"/>
      <c r="W1434" s="77"/>
      <c r="X1434" s="77"/>
      <c r="Y1434" s="77"/>
      <c r="Z1434" s="77"/>
      <c r="AA1434" s="77"/>
      <c r="AB1434" s="77"/>
      <c r="AC1434" s="77"/>
      <c r="AD1434" s="77"/>
      <c r="AE1434" s="77"/>
      <c r="AF1434" s="77"/>
      <c r="AG1434" s="77"/>
      <c r="AH1434" s="87"/>
      <c r="AI1434" s="87"/>
      <c r="AJ1434" s="87"/>
      <c r="AK1434" s="87"/>
      <c r="AL1434" s="87"/>
    </row>
    <row r="1435">
      <c r="A1435" s="77"/>
      <c r="B1435" s="102"/>
      <c r="C1435" s="102"/>
      <c r="D1435" s="102"/>
      <c r="E1435" s="102"/>
      <c r="F1435" s="102"/>
      <c r="G1435" s="102"/>
      <c r="H1435" s="295"/>
      <c r="I1435" s="102"/>
      <c r="J1435" s="77"/>
      <c r="K1435" s="77"/>
      <c r="L1435" s="77"/>
      <c r="M1435" s="77"/>
      <c r="N1435" s="77"/>
      <c r="O1435" s="77"/>
      <c r="P1435" s="268"/>
      <c r="Q1435" s="268"/>
      <c r="R1435" s="77"/>
      <c r="S1435" s="77"/>
      <c r="T1435" s="77"/>
      <c r="U1435" s="77"/>
      <c r="V1435" s="77"/>
      <c r="W1435" s="77"/>
      <c r="X1435" s="77"/>
      <c r="Y1435" s="77"/>
      <c r="Z1435" s="77"/>
      <c r="AA1435" s="77"/>
      <c r="AB1435" s="77"/>
      <c r="AC1435" s="77"/>
      <c r="AD1435" s="77"/>
      <c r="AE1435" s="77"/>
      <c r="AF1435" s="77"/>
      <c r="AG1435" s="77"/>
      <c r="AH1435" s="87"/>
      <c r="AI1435" s="87"/>
      <c r="AJ1435" s="87"/>
      <c r="AK1435" s="87"/>
      <c r="AL1435" s="87"/>
    </row>
    <row r="1436">
      <c r="A1436" s="77"/>
      <c r="B1436" s="102"/>
      <c r="C1436" s="102"/>
      <c r="D1436" s="102"/>
      <c r="E1436" s="102"/>
      <c r="F1436" s="102"/>
      <c r="G1436" s="102"/>
      <c r="H1436" s="295"/>
      <c r="I1436" s="102"/>
      <c r="J1436" s="77"/>
      <c r="K1436" s="77"/>
      <c r="L1436" s="77"/>
      <c r="M1436" s="77"/>
      <c r="N1436" s="77"/>
      <c r="O1436" s="77"/>
      <c r="P1436" s="268"/>
      <c r="Q1436" s="268"/>
      <c r="R1436" s="77"/>
      <c r="S1436" s="77"/>
      <c r="T1436" s="77"/>
      <c r="U1436" s="77"/>
      <c r="V1436" s="77"/>
      <c r="W1436" s="77"/>
      <c r="X1436" s="77"/>
      <c r="Y1436" s="77"/>
      <c r="Z1436" s="77"/>
      <c r="AA1436" s="77"/>
      <c r="AB1436" s="77"/>
      <c r="AC1436" s="77"/>
      <c r="AD1436" s="77"/>
      <c r="AE1436" s="77"/>
      <c r="AF1436" s="77"/>
      <c r="AG1436" s="77"/>
      <c r="AH1436" s="87"/>
      <c r="AI1436" s="87"/>
      <c r="AJ1436" s="87"/>
      <c r="AK1436" s="87"/>
      <c r="AL1436" s="87"/>
    </row>
    <row r="1437">
      <c r="A1437" s="77"/>
      <c r="B1437" s="102"/>
      <c r="C1437" s="102"/>
      <c r="D1437" s="102"/>
      <c r="E1437" s="102"/>
      <c r="F1437" s="102"/>
      <c r="G1437" s="102"/>
      <c r="H1437" s="295"/>
      <c r="I1437" s="102"/>
      <c r="J1437" s="77"/>
      <c r="K1437" s="77"/>
      <c r="L1437" s="77"/>
      <c r="M1437" s="77"/>
      <c r="N1437" s="77"/>
      <c r="O1437" s="77"/>
      <c r="P1437" s="268"/>
      <c r="Q1437" s="268"/>
      <c r="R1437" s="77"/>
      <c r="S1437" s="77"/>
      <c r="T1437" s="77"/>
      <c r="U1437" s="77"/>
      <c r="V1437" s="77"/>
      <c r="W1437" s="77"/>
      <c r="X1437" s="77"/>
      <c r="Y1437" s="77"/>
      <c r="Z1437" s="77"/>
      <c r="AA1437" s="77"/>
      <c r="AB1437" s="77"/>
      <c r="AC1437" s="77"/>
      <c r="AD1437" s="77"/>
      <c r="AE1437" s="77"/>
      <c r="AF1437" s="77"/>
      <c r="AG1437" s="77"/>
      <c r="AH1437" s="87"/>
      <c r="AI1437" s="87"/>
      <c r="AJ1437" s="87"/>
      <c r="AK1437" s="87"/>
      <c r="AL1437" s="87"/>
    </row>
    <row r="1438">
      <c r="A1438" s="77"/>
      <c r="B1438" s="102"/>
      <c r="C1438" s="102"/>
      <c r="D1438" s="102"/>
      <c r="E1438" s="102"/>
      <c r="F1438" s="102"/>
      <c r="G1438" s="102"/>
      <c r="H1438" s="295"/>
      <c r="I1438" s="102"/>
      <c r="J1438" s="77"/>
      <c r="K1438" s="77"/>
      <c r="L1438" s="77"/>
      <c r="M1438" s="77"/>
      <c r="N1438" s="77"/>
      <c r="O1438" s="77"/>
      <c r="P1438" s="268"/>
      <c r="Q1438" s="268"/>
      <c r="R1438" s="77"/>
      <c r="S1438" s="77"/>
      <c r="T1438" s="77"/>
      <c r="U1438" s="77"/>
      <c r="V1438" s="77"/>
      <c r="W1438" s="77"/>
      <c r="X1438" s="77"/>
      <c r="Y1438" s="77"/>
      <c r="Z1438" s="77"/>
      <c r="AA1438" s="77"/>
      <c r="AB1438" s="77"/>
      <c r="AC1438" s="77"/>
      <c r="AD1438" s="77"/>
      <c r="AE1438" s="77"/>
      <c r="AF1438" s="77"/>
      <c r="AG1438" s="77"/>
      <c r="AH1438" s="87"/>
      <c r="AI1438" s="87"/>
      <c r="AJ1438" s="87"/>
      <c r="AK1438" s="87"/>
      <c r="AL1438" s="87"/>
    </row>
    <row r="1439">
      <c r="A1439" s="77"/>
      <c r="B1439" s="102"/>
      <c r="C1439" s="102"/>
      <c r="D1439" s="102"/>
      <c r="E1439" s="102"/>
      <c r="F1439" s="102"/>
      <c r="G1439" s="102"/>
      <c r="H1439" s="295"/>
      <c r="I1439" s="102"/>
      <c r="J1439" s="77"/>
      <c r="K1439" s="77"/>
      <c r="L1439" s="77"/>
      <c r="M1439" s="77"/>
      <c r="N1439" s="77"/>
      <c r="O1439" s="77"/>
      <c r="P1439" s="268"/>
      <c r="Q1439" s="268"/>
      <c r="R1439" s="77"/>
      <c r="S1439" s="77"/>
      <c r="T1439" s="77"/>
      <c r="U1439" s="77"/>
      <c r="V1439" s="77"/>
      <c r="W1439" s="77"/>
      <c r="X1439" s="77"/>
      <c r="Y1439" s="77"/>
      <c r="Z1439" s="77"/>
      <c r="AA1439" s="77"/>
      <c r="AB1439" s="77"/>
      <c r="AC1439" s="77"/>
      <c r="AD1439" s="77"/>
      <c r="AE1439" s="77"/>
      <c r="AF1439" s="77"/>
      <c r="AG1439" s="77"/>
      <c r="AH1439" s="87"/>
      <c r="AI1439" s="87"/>
      <c r="AJ1439" s="87"/>
      <c r="AK1439" s="87"/>
      <c r="AL1439" s="87"/>
    </row>
    <row r="1440">
      <c r="A1440" s="77"/>
      <c r="B1440" s="102"/>
      <c r="C1440" s="102"/>
      <c r="D1440" s="102"/>
      <c r="E1440" s="102"/>
      <c r="F1440" s="102"/>
      <c r="G1440" s="102"/>
      <c r="H1440" s="295"/>
      <c r="I1440" s="102"/>
      <c r="J1440" s="77"/>
      <c r="K1440" s="77"/>
      <c r="L1440" s="77"/>
      <c r="M1440" s="77"/>
      <c r="N1440" s="77"/>
      <c r="O1440" s="77"/>
      <c r="P1440" s="268"/>
      <c r="Q1440" s="268"/>
      <c r="R1440" s="77"/>
      <c r="S1440" s="77"/>
      <c r="T1440" s="77"/>
      <c r="U1440" s="77"/>
      <c r="V1440" s="77"/>
      <c r="W1440" s="77"/>
      <c r="X1440" s="77"/>
      <c r="Y1440" s="77"/>
      <c r="Z1440" s="77"/>
      <c r="AA1440" s="77"/>
      <c r="AB1440" s="77"/>
      <c r="AC1440" s="77"/>
      <c r="AD1440" s="77"/>
      <c r="AE1440" s="77"/>
      <c r="AF1440" s="77"/>
      <c r="AG1440" s="77"/>
      <c r="AH1440" s="87"/>
      <c r="AI1440" s="87"/>
      <c r="AJ1440" s="87"/>
      <c r="AK1440" s="87"/>
      <c r="AL1440" s="87"/>
    </row>
    <row r="1441">
      <c r="A1441" s="77"/>
      <c r="B1441" s="102"/>
      <c r="C1441" s="102"/>
      <c r="D1441" s="102"/>
      <c r="E1441" s="102"/>
      <c r="F1441" s="102"/>
      <c r="G1441" s="102"/>
      <c r="H1441" s="295"/>
      <c r="I1441" s="102"/>
      <c r="J1441" s="77"/>
      <c r="K1441" s="77"/>
      <c r="L1441" s="77"/>
      <c r="M1441" s="77"/>
      <c r="N1441" s="77"/>
      <c r="O1441" s="77"/>
      <c r="P1441" s="268"/>
      <c r="Q1441" s="268"/>
      <c r="R1441" s="77"/>
      <c r="S1441" s="77"/>
      <c r="T1441" s="77"/>
      <c r="U1441" s="77"/>
      <c r="V1441" s="77"/>
      <c r="W1441" s="77"/>
      <c r="X1441" s="77"/>
      <c r="Y1441" s="77"/>
      <c r="Z1441" s="77"/>
      <c r="AA1441" s="77"/>
      <c r="AB1441" s="77"/>
      <c r="AC1441" s="77"/>
      <c r="AD1441" s="77"/>
      <c r="AE1441" s="77"/>
      <c r="AF1441" s="77"/>
      <c r="AG1441" s="77"/>
      <c r="AH1441" s="87"/>
      <c r="AI1441" s="87"/>
      <c r="AJ1441" s="87"/>
      <c r="AK1441" s="87"/>
      <c r="AL1441" s="87"/>
    </row>
    <row r="1442">
      <c r="A1442" s="77"/>
      <c r="B1442" s="102"/>
      <c r="C1442" s="102"/>
      <c r="D1442" s="102"/>
      <c r="E1442" s="102"/>
      <c r="F1442" s="102"/>
      <c r="G1442" s="102"/>
      <c r="H1442" s="295"/>
      <c r="I1442" s="102"/>
      <c r="J1442" s="77"/>
      <c r="K1442" s="77"/>
      <c r="L1442" s="77"/>
      <c r="M1442" s="77"/>
      <c r="N1442" s="77"/>
      <c r="O1442" s="77"/>
      <c r="P1442" s="268"/>
      <c r="Q1442" s="268"/>
      <c r="R1442" s="77"/>
      <c r="S1442" s="77"/>
      <c r="T1442" s="77"/>
      <c r="U1442" s="77"/>
      <c r="V1442" s="77"/>
      <c r="W1442" s="77"/>
      <c r="X1442" s="77"/>
      <c r="Y1442" s="77"/>
      <c r="Z1442" s="77"/>
      <c r="AA1442" s="77"/>
      <c r="AB1442" s="77"/>
      <c r="AC1442" s="77"/>
      <c r="AD1442" s="77"/>
      <c r="AE1442" s="77"/>
      <c r="AF1442" s="77"/>
      <c r="AG1442" s="77"/>
      <c r="AH1442" s="87"/>
      <c r="AI1442" s="87"/>
      <c r="AJ1442" s="87"/>
      <c r="AK1442" s="87"/>
      <c r="AL1442" s="87"/>
    </row>
    <row r="1443">
      <c r="A1443" s="77"/>
      <c r="B1443" s="102"/>
      <c r="C1443" s="102"/>
      <c r="D1443" s="102"/>
      <c r="E1443" s="102"/>
      <c r="F1443" s="102"/>
      <c r="G1443" s="102"/>
      <c r="H1443" s="295"/>
      <c r="I1443" s="102"/>
      <c r="J1443" s="77"/>
      <c r="K1443" s="77"/>
      <c r="L1443" s="77"/>
      <c r="M1443" s="77"/>
      <c r="N1443" s="77"/>
      <c r="O1443" s="77"/>
      <c r="P1443" s="268"/>
      <c r="Q1443" s="268"/>
      <c r="R1443" s="77"/>
      <c r="S1443" s="77"/>
      <c r="T1443" s="77"/>
      <c r="U1443" s="77"/>
      <c r="V1443" s="77"/>
      <c r="W1443" s="77"/>
      <c r="X1443" s="77"/>
      <c r="Y1443" s="77"/>
      <c r="Z1443" s="77"/>
      <c r="AA1443" s="77"/>
      <c r="AB1443" s="77"/>
      <c r="AC1443" s="77"/>
      <c r="AD1443" s="77"/>
      <c r="AE1443" s="77"/>
      <c r="AF1443" s="77"/>
      <c r="AG1443" s="77"/>
      <c r="AH1443" s="87"/>
      <c r="AI1443" s="87"/>
      <c r="AJ1443" s="87"/>
      <c r="AK1443" s="87"/>
      <c r="AL1443" s="87"/>
    </row>
    <row r="1444">
      <c r="A1444" s="77"/>
      <c r="B1444" s="102"/>
      <c r="C1444" s="102"/>
      <c r="D1444" s="102"/>
      <c r="E1444" s="102"/>
      <c r="F1444" s="102"/>
      <c r="G1444" s="102"/>
      <c r="H1444" s="295"/>
      <c r="I1444" s="102"/>
      <c r="J1444" s="77"/>
      <c r="K1444" s="77"/>
      <c r="L1444" s="77"/>
      <c r="M1444" s="77"/>
      <c r="N1444" s="77"/>
      <c r="O1444" s="77"/>
      <c r="P1444" s="268"/>
      <c r="Q1444" s="268"/>
      <c r="R1444" s="77"/>
      <c r="S1444" s="77"/>
      <c r="T1444" s="77"/>
      <c r="U1444" s="77"/>
      <c r="V1444" s="77"/>
      <c r="W1444" s="77"/>
      <c r="X1444" s="77"/>
      <c r="Y1444" s="77"/>
      <c r="Z1444" s="77"/>
      <c r="AA1444" s="77"/>
      <c r="AB1444" s="77"/>
      <c r="AC1444" s="77"/>
      <c r="AD1444" s="77"/>
      <c r="AE1444" s="77"/>
      <c r="AF1444" s="77"/>
      <c r="AG1444" s="77"/>
      <c r="AH1444" s="87"/>
      <c r="AI1444" s="87"/>
      <c r="AJ1444" s="87"/>
      <c r="AK1444" s="87"/>
      <c r="AL1444" s="87"/>
    </row>
    <row r="1445">
      <c r="A1445" s="77"/>
      <c r="B1445" s="102"/>
      <c r="C1445" s="102"/>
      <c r="D1445" s="102"/>
      <c r="E1445" s="102"/>
      <c r="F1445" s="102"/>
      <c r="G1445" s="102"/>
      <c r="H1445" s="295"/>
      <c r="I1445" s="102"/>
      <c r="J1445" s="77"/>
      <c r="K1445" s="77"/>
      <c r="L1445" s="77"/>
      <c r="M1445" s="77"/>
      <c r="N1445" s="77"/>
      <c r="O1445" s="77"/>
      <c r="P1445" s="268"/>
      <c r="Q1445" s="268"/>
      <c r="R1445" s="77"/>
      <c r="S1445" s="77"/>
      <c r="T1445" s="77"/>
      <c r="U1445" s="77"/>
      <c r="V1445" s="77"/>
      <c r="W1445" s="77"/>
      <c r="X1445" s="77"/>
      <c r="Y1445" s="77"/>
      <c r="Z1445" s="77"/>
      <c r="AA1445" s="77"/>
      <c r="AB1445" s="77"/>
      <c r="AC1445" s="77"/>
      <c r="AD1445" s="77"/>
      <c r="AE1445" s="77"/>
      <c r="AF1445" s="77"/>
      <c r="AG1445" s="77"/>
      <c r="AH1445" s="87"/>
      <c r="AI1445" s="87"/>
      <c r="AJ1445" s="87"/>
      <c r="AK1445" s="87"/>
      <c r="AL1445" s="87"/>
    </row>
    <row r="1446">
      <c r="A1446" s="77"/>
      <c r="B1446" s="102"/>
      <c r="C1446" s="102"/>
      <c r="D1446" s="102"/>
      <c r="E1446" s="102"/>
      <c r="F1446" s="102"/>
      <c r="G1446" s="102"/>
      <c r="H1446" s="295"/>
      <c r="I1446" s="102"/>
      <c r="J1446" s="77"/>
      <c r="K1446" s="77"/>
      <c r="L1446" s="77"/>
      <c r="M1446" s="77"/>
      <c r="N1446" s="77"/>
      <c r="O1446" s="77"/>
      <c r="P1446" s="268"/>
      <c r="Q1446" s="268"/>
      <c r="R1446" s="77"/>
      <c r="S1446" s="77"/>
      <c r="T1446" s="77"/>
      <c r="U1446" s="77"/>
      <c r="V1446" s="77"/>
      <c r="W1446" s="77"/>
      <c r="X1446" s="77"/>
      <c r="Y1446" s="77"/>
      <c r="Z1446" s="77"/>
      <c r="AA1446" s="77"/>
      <c r="AB1446" s="77"/>
      <c r="AC1446" s="77"/>
      <c r="AD1446" s="77"/>
      <c r="AE1446" s="77"/>
      <c r="AF1446" s="77"/>
      <c r="AG1446" s="77"/>
      <c r="AH1446" s="87"/>
      <c r="AI1446" s="87"/>
      <c r="AJ1446" s="87"/>
      <c r="AK1446" s="87"/>
      <c r="AL1446" s="87"/>
    </row>
    <row r="1447">
      <c r="A1447" s="77"/>
      <c r="B1447" s="102"/>
      <c r="C1447" s="102"/>
      <c r="D1447" s="102"/>
      <c r="E1447" s="102"/>
      <c r="F1447" s="102"/>
      <c r="G1447" s="102"/>
      <c r="H1447" s="295"/>
      <c r="I1447" s="102"/>
      <c r="J1447" s="77"/>
      <c r="K1447" s="77"/>
      <c r="L1447" s="77"/>
      <c r="M1447" s="77"/>
      <c r="N1447" s="77"/>
      <c r="O1447" s="77"/>
      <c r="P1447" s="268"/>
      <c r="Q1447" s="268"/>
      <c r="R1447" s="77"/>
      <c r="S1447" s="77"/>
      <c r="T1447" s="77"/>
      <c r="U1447" s="77"/>
      <c r="V1447" s="77"/>
      <c r="W1447" s="77"/>
      <c r="X1447" s="77"/>
      <c r="Y1447" s="77"/>
      <c r="Z1447" s="77"/>
      <c r="AA1447" s="77"/>
      <c r="AB1447" s="77"/>
      <c r="AC1447" s="77"/>
      <c r="AD1447" s="77"/>
      <c r="AE1447" s="77"/>
      <c r="AF1447" s="77"/>
      <c r="AG1447" s="77"/>
      <c r="AH1447" s="87"/>
      <c r="AI1447" s="87"/>
      <c r="AJ1447" s="87"/>
      <c r="AK1447" s="87"/>
      <c r="AL1447" s="87"/>
    </row>
    <row r="1448">
      <c r="A1448" s="77"/>
      <c r="B1448" s="102"/>
      <c r="C1448" s="102"/>
      <c r="D1448" s="102"/>
      <c r="E1448" s="102"/>
      <c r="F1448" s="102"/>
      <c r="G1448" s="102"/>
      <c r="H1448" s="295"/>
      <c r="I1448" s="102"/>
      <c r="J1448" s="77"/>
      <c r="K1448" s="77"/>
      <c r="L1448" s="77"/>
      <c r="M1448" s="77"/>
      <c r="N1448" s="77"/>
      <c r="O1448" s="77"/>
      <c r="P1448" s="268"/>
      <c r="Q1448" s="268"/>
      <c r="R1448" s="77"/>
      <c r="S1448" s="77"/>
      <c r="T1448" s="77"/>
      <c r="U1448" s="77"/>
      <c r="V1448" s="77"/>
      <c r="W1448" s="77"/>
      <c r="X1448" s="77"/>
      <c r="Y1448" s="77"/>
      <c r="Z1448" s="77"/>
      <c r="AA1448" s="77"/>
      <c r="AB1448" s="77"/>
      <c r="AC1448" s="77"/>
      <c r="AD1448" s="77"/>
      <c r="AE1448" s="77"/>
      <c r="AF1448" s="77"/>
      <c r="AG1448" s="77"/>
      <c r="AH1448" s="87"/>
      <c r="AI1448" s="87"/>
      <c r="AJ1448" s="87"/>
      <c r="AK1448" s="87"/>
      <c r="AL1448" s="87"/>
    </row>
    <row r="1449">
      <c r="A1449" s="77"/>
      <c r="B1449" s="102"/>
      <c r="C1449" s="102"/>
      <c r="D1449" s="102"/>
      <c r="E1449" s="102"/>
      <c r="F1449" s="102"/>
      <c r="G1449" s="102"/>
      <c r="H1449" s="295"/>
      <c r="I1449" s="102"/>
      <c r="J1449" s="77"/>
      <c r="K1449" s="77"/>
      <c r="L1449" s="77"/>
      <c r="M1449" s="77"/>
      <c r="N1449" s="77"/>
      <c r="O1449" s="77"/>
      <c r="P1449" s="268"/>
      <c r="Q1449" s="268"/>
      <c r="R1449" s="77"/>
      <c r="S1449" s="77"/>
      <c r="T1449" s="77"/>
      <c r="U1449" s="77"/>
      <c r="V1449" s="77"/>
      <c r="W1449" s="77"/>
      <c r="X1449" s="77"/>
      <c r="Y1449" s="77"/>
      <c r="Z1449" s="77"/>
      <c r="AA1449" s="77"/>
      <c r="AB1449" s="77"/>
      <c r="AC1449" s="77"/>
      <c r="AD1449" s="77"/>
      <c r="AE1449" s="77"/>
      <c r="AF1449" s="77"/>
      <c r="AG1449" s="77"/>
      <c r="AH1449" s="87"/>
      <c r="AI1449" s="87"/>
      <c r="AJ1449" s="87"/>
      <c r="AK1449" s="87"/>
      <c r="AL1449" s="87"/>
    </row>
    <row r="1450">
      <c r="A1450" s="77"/>
      <c r="B1450" s="102"/>
      <c r="C1450" s="102"/>
      <c r="D1450" s="102"/>
      <c r="E1450" s="102"/>
      <c r="F1450" s="102"/>
      <c r="G1450" s="102"/>
      <c r="H1450" s="295"/>
      <c r="I1450" s="102"/>
      <c r="J1450" s="77"/>
      <c r="K1450" s="77"/>
      <c r="L1450" s="77"/>
      <c r="M1450" s="77"/>
      <c r="N1450" s="77"/>
      <c r="O1450" s="77"/>
      <c r="P1450" s="268"/>
      <c r="Q1450" s="268"/>
      <c r="R1450" s="77"/>
      <c r="S1450" s="77"/>
      <c r="T1450" s="77"/>
      <c r="U1450" s="77"/>
      <c r="V1450" s="77"/>
      <c r="W1450" s="77"/>
      <c r="X1450" s="77"/>
      <c r="Y1450" s="77"/>
      <c r="Z1450" s="77"/>
      <c r="AA1450" s="77"/>
      <c r="AB1450" s="77"/>
      <c r="AC1450" s="77"/>
      <c r="AD1450" s="77"/>
      <c r="AE1450" s="77"/>
      <c r="AF1450" s="77"/>
      <c r="AG1450" s="77"/>
      <c r="AH1450" s="87"/>
      <c r="AI1450" s="87"/>
      <c r="AJ1450" s="87"/>
      <c r="AK1450" s="87"/>
      <c r="AL1450" s="87"/>
    </row>
    <row r="1451">
      <c r="A1451" s="77"/>
      <c r="B1451" s="102"/>
      <c r="C1451" s="102"/>
      <c r="D1451" s="102"/>
      <c r="E1451" s="102"/>
      <c r="F1451" s="102"/>
      <c r="G1451" s="102"/>
      <c r="H1451" s="295"/>
      <c r="I1451" s="102"/>
      <c r="J1451" s="77"/>
      <c r="K1451" s="77"/>
      <c r="L1451" s="77"/>
      <c r="M1451" s="77"/>
      <c r="N1451" s="77"/>
      <c r="O1451" s="77"/>
      <c r="P1451" s="268"/>
      <c r="Q1451" s="268"/>
      <c r="R1451" s="77"/>
      <c r="S1451" s="77"/>
      <c r="T1451" s="77"/>
      <c r="U1451" s="77"/>
      <c r="V1451" s="77"/>
      <c r="W1451" s="77"/>
      <c r="X1451" s="77"/>
      <c r="Y1451" s="77"/>
      <c r="Z1451" s="77"/>
      <c r="AA1451" s="77"/>
      <c r="AB1451" s="77"/>
      <c r="AC1451" s="77"/>
      <c r="AD1451" s="77"/>
      <c r="AE1451" s="77"/>
      <c r="AF1451" s="77"/>
      <c r="AG1451" s="77"/>
      <c r="AH1451" s="87"/>
      <c r="AI1451" s="87"/>
      <c r="AJ1451" s="87"/>
      <c r="AK1451" s="87"/>
      <c r="AL1451" s="87"/>
    </row>
    <row r="1452">
      <c r="A1452" s="77"/>
      <c r="B1452" s="102"/>
      <c r="C1452" s="102"/>
      <c r="D1452" s="102"/>
      <c r="E1452" s="102"/>
      <c r="F1452" s="102"/>
      <c r="G1452" s="102"/>
      <c r="H1452" s="295"/>
      <c r="I1452" s="102"/>
      <c r="J1452" s="77"/>
      <c r="K1452" s="77"/>
      <c r="L1452" s="77"/>
      <c r="M1452" s="77"/>
      <c r="N1452" s="77"/>
      <c r="O1452" s="77"/>
      <c r="P1452" s="268"/>
      <c r="Q1452" s="268"/>
      <c r="R1452" s="77"/>
      <c r="S1452" s="77"/>
      <c r="T1452" s="77"/>
      <c r="U1452" s="77"/>
      <c r="V1452" s="77"/>
      <c r="W1452" s="77"/>
      <c r="X1452" s="77"/>
      <c r="Y1452" s="77"/>
      <c r="Z1452" s="77"/>
      <c r="AA1452" s="77"/>
      <c r="AB1452" s="77"/>
      <c r="AC1452" s="77"/>
      <c r="AD1452" s="77"/>
      <c r="AE1452" s="77"/>
      <c r="AF1452" s="77"/>
      <c r="AG1452" s="77"/>
      <c r="AH1452" s="87"/>
      <c r="AI1452" s="87"/>
      <c r="AJ1452" s="87"/>
      <c r="AK1452" s="87"/>
      <c r="AL1452" s="87"/>
    </row>
    <row r="1453">
      <c r="A1453" s="77"/>
      <c r="B1453" s="102"/>
      <c r="C1453" s="102"/>
      <c r="D1453" s="102"/>
      <c r="E1453" s="102"/>
      <c r="F1453" s="102"/>
      <c r="G1453" s="102"/>
      <c r="H1453" s="295"/>
      <c r="I1453" s="102"/>
      <c r="J1453" s="77"/>
      <c r="K1453" s="77"/>
      <c r="L1453" s="77"/>
      <c r="M1453" s="77"/>
      <c r="N1453" s="77"/>
      <c r="O1453" s="77"/>
      <c r="P1453" s="268"/>
      <c r="Q1453" s="268"/>
      <c r="R1453" s="77"/>
      <c r="S1453" s="77"/>
      <c r="T1453" s="77"/>
      <c r="U1453" s="77"/>
      <c r="V1453" s="77"/>
      <c r="W1453" s="77"/>
      <c r="X1453" s="77"/>
      <c r="Y1453" s="77"/>
      <c r="Z1453" s="77"/>
      <c r="AA1453" s="77"/>
      <c r="AB1453" s="77"/>
      <c r="AC1453" s="77"/>
      <c r="AD1453" s="77"/>
      <c r="AE1453" s="77"/>
      <c r="AF1453" s="77"/>
      <c r="AG1453" s="77"/>
      <c r="AH1453" s="87"/>
      <c r="AI1453" s="87"/>
      <c r="AJ1453" s="87"/>
      <c r="AK1453" s="87"/>
      <c r="AL1453" s="87"/>
    </row>
    <row r="1454">
      <c r="A1454" s="77"/>
      <c r="B1454" s="102"/>
      <c r="C1454" s="102"/>
      <c r="D1454" s="102"/>
      <c r="E1454" s="102"/>
      <c r="F1454" s="102"/>
      <c r="G1454" s="102"/>
      <c r="H1454" s="295"/>
      <c r="I1454" s="102"/>
      <c r="J1454" s="77"/>
      <c r="K1454" s="77"/>
      <c r="L1454" s="77"/>
      <c r="M1454" s="77"/>
      <c r="N1454" s="77"/>
      <c r="O1454" s="77"/>
      <c r="P1454" s="268"/>
      <c r="Q1454" s="268"/>
      <c r="R1454" s="77"/>
      <c r="S1454" s="77"/>
      <c r="T1454" s="77"/>
      <c r="U1454" s="77"/>
      <c r="V1454" s="77"/>
      <c r="W1454" s="77"/>
      <c r="X1454" s="77"/>
      <c r="Y1454" s="77"/>
      <c r="Z1454" s="77"/>
      <c r="AA1454" s="77"/>
      <c r="AB1454" s="77"/>
      <c r="AC1454" s="77"/>
      <c r="AD1454" s="77"/>
      <c r="AE1454" s="77"/>
      <c r="AF1454" s="77"/>
      <c r="AG1454" s="77"/>
      <c r="AH1454" s="87"/>
      <c r="AI1454" s="87"/>
      <c r="AJ1454" s="87"/>
      <c r="AK1454" s="87"/>
      <c r="AL1454" s="87"/>
    </row>
    <row r="1455">
      <c r="A1455" s="77"/>
      <c r="B1455" s="102"/>
      <c r="C1455" s="102"/>
      <c r="D1455" s="102"/>
      <c r="E1455" s="102"/>
      <c r="F1455" s="102"/>
      <c r="G1455" s="102"/>
      <c r="H1455" s="295"/>
      <c r="I1455" s="102"/>
      <c r="J1455" s="77"/>
      <c r="K1455" s="77"/>
      <c r="L1455" s="77"/>
      <c r="M1455" s="77"/>
      <c r="N1455" s="77"/>
      <c r="O1455" s="77"/>
      <c r="P1455" s="268"/>
      <c r="Q1455" s="268"/>
      <c r="R1455" s="77"/>
      <c r="S1455" s="77"/>
      <c r="T1455" s="77"/>
      <c r="U1455" s="77"/>
      <c r="V1455" s="77"/>
      <c r="W1455" s="77"/>
      <c r="X1455" s="77"/>
      <c r="Y1455" s="77"/>
      <c r="Z1455" s="77"/>
      <c r="AA1455" s="77"/>
      <c r="AB1455" s="77"/>
      <c r="AC1455" s="77"/>
      <c r="AD1455" s="77"/>
      <c r="AE1455" s="77"/>
      <c r="AF1455" s="77"/>
      <c r="AG1455" s="77"/>
      <c r="AH1455" s="87"/>
      <c r="AI1455" s="87"/>
      <c r="AJ1455" s="87"/>
      <c r="AK1455" s="87"/>
      <c r="AL1455" s="87"/>
    </row>
    <row r="1456">
      <c r="A1456" s="77"/>
      <c r="B1456" s="102"/>
      <c r="C1456" s="102"/>
      <c r="D1456" s="102"/>
      <c r="E1456" s="102"/>
      <c r="F1456" s="102"/>
      <c r="G1456" s="102"/>
      <c r="H1456" s="295"/>
      <c r="I1456" s="102"/>
      <c r="J1456" s="77"/>
      <c r="K1456" s="77"/>
      <c r="L1456" s="77"/>
      <c r="M1456" s="77"/>
      <c r="N1456" s="77"/>
      <c r="O1456" s="77"/>
      <c r="P1456" s="268"/>
      <c r="Q1456" s="268"/>
      <c r="R1456" s="77"/>
      <c r="S1456" s="77"/>
      <c r="T1456" s="77"/>
      <c r="U1456" s="77"/>
      <c r="V1456" s="77"/>
      <c r="W1456" s="77"/>
      <c r="X1456" s="77"/>
      <c r="Y1456" s="77"/>
      <c r="Z1456" s="77"/>
      <c r="AA1456" s="77"/>
      <c r="AB1456" s="77"/>
      <c r="AC1456" s="77"/>
      <c r="AD1456" s="77"/>
      <c r="AE1456" s="77"/>
      <c r="AF1456" s="77"/>
      <c r="AG1456" s="77"/>
      <c r="AH1456" s="87"/>
      <c r="AI1456" s="87"/>
      <c r="AJ1456" s="87"/>
      <c r="AK1456" s="87"/>
      <c r="AL1456" s="87"/>
    </row>
    <row r="1457">
      <c r="A1457" s="77"/>
      <c r="B1457" s="102"/>
      <c r="C1457" s="102"/>
      <c r="D1457" s="102"/>
      <c r="E1457" s="102"/>
      <c r="F1457" s="102"/>
      <c r="G1457" s="102"/>
      <c r="H1457" s="295"/>
      <c r="I1457" s="102"/>
      <c r="J1457" s="77"/>
      <c r="K1457" s="77"/>
      <c r="L1457" s="77"/>
      <c r="M1457" s="77"/>
      <c r="N1457" s="77"/>
      <c r="O1457" s="77"/>
      <c r="P1457" s="268"/>
      <c r="Q1457" s="268"/>
      <c r="R1457" s="77"/>
      <c r="S1457" s="77"/>
      <c r="T1457" s="77"/>
      <c r="U1457" s="77"/>
      <c r="V1457" s="77"/>
      <c r="W1457" s="77"/>
      <c r="X1457" s="77"/>
      <c r="Y1457" s="77"/>
      <c r="Z1457" s="77"/>
      <c r="AA1457" s="77"/>
      <c r="AB1457" s="77"/>
      <c r="AC1457" s="77"/>
      <c r="AD1457" s="77"/>
      <c r="AE1457" s="77"/>
      <c r="AF1457" s="77"/>
      <c r="AG1457" s="77"/>
      <c r="AH1457" s="87"/>
      <c r="AI1457" s="87"/>
      <c r="AJ1457" s="87"/>
      <c r="AK1457" s="87"/>
      <c r="AL1457" s="87"/>
    </row>
    <row r="1458">
      <c r="A1458" s="77"/>
      <c r="B1458" s="102"/>
      <c r="C1458" s="102"/>
      <c r="D1458" s="102"/>
      <c r="E1458" s="102"/>
      <c r="F1458" s="102"/>
      <c r="G1458" s="102"/>
      <c r="H1458" s="295"/>
      <c r="I1458" s="102"/>
      <c r="J1458" s="77"/>
      <c r="K1458" s="77"/>
      <c r="L1458" s="77"/>
      <c r="M1458" s="77"/>
      <c r="N1458" s="77"/>
      <c r="O1458" s="77"/>
      <c r="P1458" s="268"/>
      <c r="Q1458" s="268"/>
      <c r="R1458" s="77"/>
      <c r="S1458" s="77"/>
      <c r="T1458" s="77"/>
      <c r="U1458" s="77"/>
      <c r="V1458" s="77"/>
      <c r="W1458" s="77"/>
      <c r="X1458" s="77"/>
      <c r="Y1458" s="77"/>
      <c r="Z1458" s="77"/>
      <c r="AA1458" s="77"/>
      <c r="AB1458" s="77"/>
      <c r="AC1458" s="77"/>
      <c r="AD1458" s="77"/>
      <c r="AE1458" s="77"/>
      <c r="AF1458" s="77"/>
      <c r="AG1458" s="77"/>
      <c r="AH1458" s="87"/>
      <c r="AI1458" s="87"/>
      <c r="AJ1458" s="87"/>
      <c r="AK1458" s="87"/>
      <c r="AL1458" s="87"/>
    </row>
    <row r="1459">
      <c r="A1459" s="77"/>
      <c r="B1459" s="102"/>
      <c r="C1459" s="102"/>
      <c r="D1459" s="102"/>
      <c r="E1459" s="102"/>
      <c r="F1459" s="102"/>
      <c r="G1459" s="102"/>
      <c r="H1459" s="295"/>
      <c r="I1459" s="102"/>
      <c r="J1459" s="77"/>
      <c r="K1459" s="77"/>
      <c r="L1459" s="77"/>
      <c r="M1459" s="77"/>
      <c r="N1459" s="77"/>
      <c r="O1459" s="77"/>
      <c r="P1459" s="268"/>
      <c r="Q1459" s="268"/>
      <c r="R1459" s="77"/>
      <c r="S1459" s="77"/>
      <c r="T1459" s="77"/>
      <c r="U1459" s="77"/>
      <c r="V1459" s="77"/>
      <c r="W1459" s="77"/>
      <c r="X1459" s="77"/>
      <c r="Y1459" s="77"/>
      <c r="Z1459" s="77"/>
      <c r="AA1459" s="77"/>
      <c r="AB1459" s="77"/>
      <c r="AC1459" s="77"/>
      <c r="AD1459" s="77"/>
      <c r="AE1459" s="77"/>
      <c r="AF1459" s="77"/>
      <c r="AG1459" s="77"/>
      <c r="AH1459" s="87"/>
      <c r="AI1459" s="87"/>
      <c r="AJ1459" s="87"/>
      <c r="AK1459" s="87"/>
      <c r="AL1459" s="87"/>
    </row>
    <row r="1460">
      <c r="A1460" s="77"/>
      <c r="B1460" s="102"/>
      <c r="C1460" s="102"/>
      <c r="D1460" s="102"/>
      <c r="E1460" s="102"/>
      <c r="F1460" s="102"/>
      <c r="G1460" s="102"/>
      <c r="H1460" s="295"/>
      <c r="I1460" s="102"/>
      <c r="J1460" s="77"/>
      <c r="K1460" s="77"/>
      <c r="L1460" s="77"/>
      <c r="M1460" s="77"/>
      <c r="N1460" s="77"/>
      <c r="O1460" s="77"/>
      <c r="P1460" s="268"/>
      <c r="Q1460" s="268"/>
      <c r="R1460" s="77"/>
      <c r="S1460" s="77"/>
      <c r="T1460" s="77"/>
      <c r="U1460" s="77"/>
      <c r="V1460" s="77"/>
      <c r="W1460" s="77"/>
      <c r="X1460" s="77"/>
      <c r="Y1460" s="77"/>
      <c r="Z1460" s="77"/>
      <c r="AA1460" s="77"/>
      <c r="AB1460" s="77"/>
      <c r="AC1460" s="77"/>
      <c r="AD1460" s="77"/>
      <c r="AE1460" s="77"/>
      <c r="AF1460" s="77"/>
      <c r="AG1460" s="77"/>
      <c r="AH1460" s="87"/>
      <c r="AI1460" s="87"/>
      <c r="AJ1460" s="87"/>
      <c r="AK1460" s="87"/>
      <c r="AL1460" s="87"/>
    </row>
    <row r="1461">
      <c r="A1461" s="77"/>
      <c r="B1461" s="102"/>
      <c r="C1461" s="102"/>
      <c r="D1461" s="102"/>
      <c r="E1461" s="102"/>
      <c r="F1461" s="102"/>
      <c r="G1461" s="102"/>
      <c r="H1461" s="295"/>
      <c r="I1461" s="102"/>
      <c r="J1461" s="77"/>
      <c r="K1461" s="77"/>
      <c r="L1461" s="77"/>
      <c r="M1461" s="77"/>
      <c r="N1461" s="77"/>
      <c r="O1461" s="77"/>
      <c r="P1461" s="268"/>
      <c r="Q1461" s="268"/>
      <c r="R1461" s="77"/>
      <c r="S1461" s="77"/>
      <c r="T1461" s="77"/>
      <c r="U1461" s="77"/>
      <c r="V1461" s="77"/>
      <c r="W1461" s="77"/>
      <c r="X1461" s="77"/>
      <c r="Y1461" s="77"/>
      <c r="Z1461" s="77"/>
      <c r="AA1461" s="77"/>
      <c r="AB1461" s="77"/>
      <c r="AC1461" s="77"/>
      <c r="AD1461" s="77"/>
      <c r="AE1461" s="77"/>
      <c r="AF1461" s="77"/>
      <c r="AG1461" s="77"/>
      <c r="AH1461" s="87"/>
      <c r="AI1461" s="87"/>
      <c r="AJ1461" s="87"/>
      <c r="AK1461" s="87"/>
      <c r="AL1461" s="87"/>
    </row>
    <row r="1462">
      <c r="A1462" s="77"/>
      <c r="B1462" s="102"/>
      <c r="C1462" s="102"/>
      <c r="D1462" s="102"/>
      <c r="E1462" s="102"/>
      <c r="F1462" s="102"/>
      <c r="G1462" s="102"/>
      <c r="H1462" s="295"/>
      <c r="I1462" s="102"/>
      <c r="J1462" s="77"/>
      <c r="K1462" s="77"/>
      <c r="L1462" s="77"/>
      <c r="M1462" s="77"/>
      <c r="N1462" s="77"/>
      <c r="O1462" s="77"/>
      <c r="P1462" s="268"/>
      <c r="Q1462" s="268"/>
      <c r="R1462" s="77"/>
      <c r="S1462" s="77"/>
      <c r="T1462" s="77"/>
      <c r="U1462" s="77"/>
      <c r="V1462" s="77"/>
      <c r="W1462" s="77"/>
      <c r="X1462" s="77"/>
      <c r="Y1462" s="77"/>
      <c r="Z1462" s="77"/>
      <c r="AA1462" s="77"/>
      <c r="AB1462" s="77"/>
      <c r="AC1462" s="77"/>
      <c r="AD1462" s="77"/>
      <c r="AE1462" s="77"/>
      <c r="AF1462" s="77"/>
      <c r="AG1462" s="77"/>
      <c r="AH1462" s="87"/>
      <c r="AI1462" s="87"/>
      <c r="AJ1462" s="87"/>
      <c r="AK1462" s="87"/>
      <c r="AL1462" s="87"/>
    </row>
    <row r="1463">
      <c r="A1463" s="77"/>
      <c r="B1463" s="102"/>
      <c r="C1463" s="102"/>
      <c r="D1463" s="102"/>
      <c r="E1463" s="102"/>
      <c r="F1463" s="102"/>
      <c r="G1463" s="102"/>
      <c r="H1463" s="295"/>
      <c r="I1463" s="102"/>
      <c r="J1463" s="77"/>
      <c r="K1463" s="77"/>
      <c r="L1463" s="77"/>
      <c r="M1463" s="77"/>
      <c r="N1463" s="77"/>
      <c r="O1463" s="77"/>
      <c r="P1463" s="268"/>
      <c r="Q1463" s="268"/>
      <c r="R1463" s="77"/>
      <c r="S1463" s="77"/>
      <c r="T1463" s="77"/>
      <c r="U1463" s="77"/>
      <c r="V1463" s="77"/>
      <c r="W1463" s="77"/>
      <c r="X1463" s="77"/>
      <c r="Y1463" s="77"/>
      <c r="Z1463" s="77"/>
      <c r="AA1463" s="77"/>
      <c r="AB1463" s="77"/>
      <c r="AC1463" s="77"/>
      <c r="AD1463" s="77"/>
      <c r="AE1463" s="77"/>
      <c r="AF1463" s="77"/>
      <c r="AG1463" s="77"/>
      <c r="AH1463" s="87"/>
      <c r="AI1463" s="87"/>
      <c r="AJ1463" s="87"/>
      <c r="AK1463" s="87"/>
      <c r="AL1463" s="87"/>
    </row>
    <row r="1464">
      <c r="A1464" s="77"/>
      <c r="B1464" s="102"/>
      <c r="C1464" s="102"/>
      <c r="D1464" s="102"/>
      <c r="E1464" s="102"/>
      <c r="F1464" s="102"/>
      <c r="G1464" s="102"/>
      <c r="H1464" s="295"/>
      <c r="I1464" s="102"/>
      <c r="J1464" s="77"/>
      <c r="K1464" s="77"/>
      <c r="L1464" s="77"/>
      <c r="M1464" s="77"/>
      <c r="N1464" s="77"/>
      <c r="O1464" s="77"/>
      <c r="P1464" s="268"/>
      <c r="Q1464" s="268"/>
      <c r="R1464" s="77"/>
      <c r="S1464" s="77"/>
      <c r="T1464" s="77"/>
      <c r="U1464" s="77"/>
      <c r="V1464" s="77"/>
      <c r="W1464" s="77"/>
      <c r="X1464" s="77"/>
      <c r="Y1464" s="77"/>
      <c r="Z1464" s="77"/>
      <c r="AA1464" s="77"/>
      <c r="AB1464" s="77"/>
      <c r="AC1464" s="77"/>
      <c r="AD1464" s="77"/>
      <c r="AE1464" s="77"/>
      <c r="AF1464" s="77"/>
      <c r="AG1464" s="77"/>
      <c r="AH1464" s="87"/>
      <c r="AI1464" s="87"/>
      <c r="AJ1464" s="87"/>
      <c r="AK1464" s="87"/>
      <c r="AL1464" s="87"/>
    </row>
    <row r="1465">
      <c r="A1465" s="77"/>
      <c r="B1465" s="102"/>
      <c r="C1465" s="102"/>
      <c r="D1465" s="102"/>
      <c r="E1465" s="102"/>
      <c r="F1465" s="102"/>
      <c r="G1465" s="102"/>
      <c r="H1465" s="295"/>
      <c r="I1465" s="102"/>
      <c r="J1465" s="77"/>
      <c r="K1465" s="77"/>
      <c r="L1465" s="77"/>
      <c r="M1465" s="77"/>
      <c r="N1465" s="77"/>
      <c r="O1465" s="77"/>
      <c r="P1465" s="268"/>
      <c r="Q1465" s="268"/>
      <c r="R1465" s="77"/>
      <c r="S1465" s="77"/>
      <c r="T1465" s="77"/>
      <c r="U1465" s="77"/>
      <c r="V1465" s="77"/>
      <c r="W1465" s="77"/>
      <c r="X1465" s="77"/>
      <c r="Y1465" s="77"/>
      <c r="Z1465" s="77"/>
      <c r="AA1465" s="77"/>
      <c r="AB1465" s="77"/>
      <c r="AC1465" s="77"/>
      <c r="AD1465" s="77"/>
      <c r="AE1465" s="77"/>
      <c r="AF1465" s="77"/>
      <c r="AG1465" s="77"/>
      <c r="AH1465" s="87"/>
      <c r="AI1465" s="87"/>
      <c r="AJ1465" s="87"/>
      <c r="AK1465" s="87"/>
      <c r="AL1465" s="87"/>
    </row>
    <row r="1466">
      <c r="A1466" s="77"/>
      <c r="B1466" s="102"/>
      <c r="C1466" s="102"/>
      <c r="D1466" s="102"/>
      <c r="E1466" s="102"/>
      <c r="F1466" s="102"/>
      <c r="G1466" s="102"/>
      <c r="H1466" s="295"/>
      <c r="I1466" s="102"/>
      <c r="J1466" s="77"/>
      <c r="K1466" s="77"/>
      <c r="L1466" s="77"/>
      <c r="M1466" s="77"/>
      <c r="N1466" s="77"/>
      <c r="O1466" s="77"/>
      <c r="P1466" s="268"/>
      <c r="Q1466" s="268"/>
      <c r="R1466" s="77"/>
      <c r="S1466" s="77"/>
      <c r="T1466" s="77"/>
      <c r="U1466" s="77"/>
      <c r="V1466" s="77"/>
      <c r="W1466" s="77"/>
      <c r="X1466" s="77"/>
      <c r="Y1466" s="77"/>
      <c r="Z1466" s="77"/>
      <c r="AA1466" s="77"/>
      <c r="AB1466" s="77"/>
      <c r="AC1466" s="77"/>
      <c r="AD1466" s="77"/>
      <c r="AE1466" s="77"/>
      <c r="AF1466" s="77"/>
      <c r="AG1466" s="77"/>
      <c r="AH1466" s="87"/>
      <c r="AI1466" s="87"/>
      <c r="AJ1466" s="87"/>
      <c r="AK1466" s="87"/>
      <c r="AL1466" s="87"/>
    </row>
    <row r="1467">
      <c r="A1467" s="77"/>
      <c r="B1467" s="102"/>
      <c r="C1467" s="102"/>
      <c r="D1467" s="102"/>
      <c r="E1467" s="102"/>
      <c r="F1467" s="102"/>
      <c r="G1467" s="102"/>
      <c r="H1467" s="295"/>
      <c r="I1467" s="102"/>
      <c r="J1467" s="77"/>
      <c r="K1467" s="77"/>
      <c r="L1467" s="77"/>
      <c r="M1467" s="77"/>
      <c r="N1467" s="77"/>
      <c r="O1467" s="77"/>
      <c r="P1467" s="268"/>
      <c r="Q1467" s="268"/>
      <c r="R1467" s="77"/>
      <c r="S1467" s="77"/>
      <c r="T1467" s="77"/>
      <c r="U1467" s="77"/>
      <c r="V1467" s="77"/>
      <c r="W1467" s="77"/>
      <c r="X1467" s="77"/>
      <c r="Y1467" s="77"/>
      <c r="Z1467" s="77"/>
      <c r="AA1467" s="77"/>
      <c r="AB1467" s="77"/>
      <c r="AC1467" s="77"/>
      <c r="AD1467" s="77"/>
      <c r="AE1467" s="77"/>
      <c r="AF1467" s="77"/>
      <c r="AG1467" s="77"/>
      <c r="AH1467" s="87"/>
      <c r="AI1467" s="87"/>
      <c r="AJ1467" s="87"/>
      <c r="AK1467" s="87"/>
      <c r="AL1467" s="87"/>
    </row>
    <row r="1468">
      <c r="A1468" s="77"/>
      <c r="B1468" s="102"/>
      <c r="C1468" s="102"/>
      <c r="D1468" s="102"/>
      <c r="E1468" s="102"/>
      <c r="F1468" s="102"/>
      <c r="G1468" s="102"/>
      <c r="H1468" s="295"/>
      <c r="I1468" s="102"/>
      <c r="J1468" s="77"/>
      <c r="K1468" s="77"/>
      <c r="L1468" s="77"/>
      <c r="M1468" s="77"/>
      <c r="N1468" s="77"/>
      <c r="O1468" s="77"/>
      <c r="P1468" s="268"/>
      <c r="Q1468" s="268"/>
      <c r="R1468" s="77"/>
      <c r="S1468" s="77"/>
      <c r="T1468" s="77"/>
      <c r="U1468" s="77"/>
      <c r="V1468" s="77"/>
      <c r="W1468" s="77"/>
      <c r="X1468" s="77"/>
      <c r="Y1468" s="77"/>
      <c r="Z1468" s="77"/>
      <c r="AA1468" s="77"/>
      <c r="AB1468" s="77"/>
      <c r="AC1468" s="77"/>
      <c r="AD1468" s="77"/>
      <c r="AE1468" s="77"/>
      <c r="AF1468" s="77"/>
      <c r="AG1468" s="77"/>
      <c r="AH1468" s="87"/>
      <c r="AI1468" s="87"/>
      <c r="AJ1468" s="87"/>
      <c r="AK1468" s="87"/>
      <c r="AL1468" s="87"/>
    </row>
    <row r="1469">
      <c r="A1469" s="77"/>
      <c r="B1469" s="102"/>
      <c r="C1469" s="102"/>
      <c r="D1469" s="102"/>
      <c r="E1469" s="102"/>
      <c r="F1469" s="102"/>
      <c r="G1469" s="102"/>
      <c r="H1469" s="295"/>
      <c r="I1469" s="102"/>
      <c r="J1469" s="77"/>
      <c r="K1469" s="77"/>
      <c r="L1469" s="77"/>
      <c r="M1469" s="77"/>
      <c r="N1469" s="77"/>
      <c r="O1469" s="77"/>
      <c r="P1469" s="268"/>
      <c r="Q1469" s="268"/>
      <c r="R1469" s="77"/>
      <c r="S1469" s="77"/>
      <c r="T1469" s="77"/>
      <c r="U1469" s="77"/>
      <c r="V1469" s="77"/>
      <c r="W1469" s="77"/>
      <c r="X1469" s="77"/>
      <c r="Y1469" s="77"/>
      <c r="Z1469" s="77"/>
      <c r="AA1469" s="77"/>
      <c r="AB1469" s="77"/>
      <c r="AC1469" s="77"/>
      <c r="AD1469" s="77"/>
      <c r="AE1469" s="77"/>
      <c r="AF1469" s="77"/>
      <c r="AG1469" s="77"/>
      <c r="AH1469" s="87"/>
      <c r="AI1469" s="87"/>
      <c r="AJ1469" s="87"/>
      <c r="AK1469" s="87"/>
      <c r="AL1469" s="87"/>
    </row>
    <row r="1470">
      <c r="A1470" s="77"/>
      <c r="B1470" s="102"/>
      <c r="C1470" s="102"/>
      <c r="D1470" s="102"/>
      <c r="E1470" s="102"/>
      <c r="F1470" s="102"/>
      <c r="G1470" s="102"/>
      <c r="H1470" s="295"/>
      <c r="I1470" s="102"/>
      <c r="J1470" s="77"/>
      <c r="K1470" s="77"/>
      <c r="L1470" s="77"/>
      <c r="M1470" s="77"/>
      <c r="N1470" s="77"/>
      <c r="O1470" s="77"/>
      <c r="P1470" s="268"/>
      <c r="Q1470" s="268"/>
      <c r="R1470" s="77"/>
      <c r="S1470" s="77"/>
      <c r="T1470" s="77"/>
      <c r="U1470" s="77"/>
      <c r="V1470" s="77"/>
      <c r="W1470" s="77"/>
      <c r="X1470" s="77"/>
      <c r="Y1470" s="77"/>
      <c r="Z1470" s="77"/>
      <c r="AA1470" s="77"/>
      <c r="AB1470" s="77"/>
      <c r="AC1470" s="77"/>
      <c r="AD1470" s="77"/>
      <c r="AE1470" s="77"/>
      <c r="AF1470" s="77"/>
      <c r="AG1470" s="77"/>
      <c r="AH1470" s="87"/>
      <c r="AI1470" s="87"/>
      <c r="AJ1470" s="87"/>
      <c r="AK1470" s="87"/>
      <c r="AL1470" s="87"/>
    </row>
    <row r="1471">
      <c r="A1471" s="77"/>
      <c r="B1471" s="102"/>
      <c r="C1471" s="102"/>
      <c r="D1471" s="102"/>
      <c r="E1471" s="102"/>
      <c r="F1471" s="102"/>
      <c r="G1471" s="102"/>
      <c r="H1471" s="295"/>
      <c r="I1471" s="102"/>
      <c r="J1471" s="77"/>
      <c r="K1471" s="77"/>
      <c r="L1471" s="77"/>
      <c r="M1471" s="77"/>
      <c r="N1471" s="77"/>
      <c r="O1471" s="77"/>
      <c r="P1471" s="268"/>
      <c r="Q1471" s="268"/>
      <c r="R1471" s="77"/>
      <c r="S1471" s="77"/>
      <c r="T1471" s="77"/>
      <c r="U1471" s="77"/>
      <c r="V1471" s="77"/>
      <c r="W1471" s="77"/>
      <c r="X1471" s="77"/>
      <c r="Y1471" s="77"/>
      <c r="Z1471" s="77"/>
      <c r="AA1471" s="77"/>
      <c r="AB1471" s="77"/>
      <c r="AC1471" s="77"/>
      <c r="AD1471" s="77"/>
      <c r="AE1471" s="77"/>
      <c r="AF1471" s="77"/>
      <c r="AG1471" s="77"/>
      <c r="AH1471" s="87"/>
      <c r="AI1471" s="87"/>
      <c r="AJ1471" s="87"/>
      <c r="AK1471" s="87"/>
      <c r="AL1471" s="87"/>
    </row>
    <row r="1472">
      <c r="A1472" s="77"/>
      <c r="B1472" s="102"/>
      <c r="C1472" s="102"/>
      <c r="D1472" s="102"/>
      <c r="E1472" s="102"/>
      <c r="F1472" s="102"/>
      <c r="G1472" s="102"/>
      <c r="H1472" s="295"/>
      <c r="I1472" s="102"/>
      <c r="J1472" s="77"/>
      <c r="K1472" s="77"/>
      <c r="L1472" s="77"/>
      <c r="M1472" s="77"/>
      <c r="N1472" s="77"/>
      <c r="O1472" s="77"/>
      <c r="P1472" s="268"/>
      <c r="Q1472" s="268"/>
      <c r="R1472" s="77"/>
      <c r="S1472" s="77"/>
      <c r="T1472" s="77"/>
      <c r="U1472" s="77"/>
      <c r="V1472" s="77"/>
      <c r="W1472" s="77"/>
      <c r="X1472" s="77"/>
      <c r="Y1472" s="77"/>
      <c r="Z1472" s="77"/>
      <c r="AA1472" s="77"/>
      <c r="AB1472" s="77"/>
      <c r="AC1472" s="77"/>
      <c r="AD1472" s="77"/>
      <c r="AE1472" s="77"/>
      <c r="AF1472" s="77"/>
      <c r="AG1472" s="77"/>
      <c r="AH1472" s="87"/>
      <c r="AI1472" s="87"/>
      <c r="AJ1472" s="87"/>
      <c r="AK1472" s="87"/>
      <c r="AL1472" s="87"/>
    </row>
    <row r="1473">
      <c r="A1473" s="77"/>
      <c r="B1473" s="102"/>
      <c r="C1473" s="102"/>
      <c r="D1473" s="102"/>
      <c r="E1473" s="102"/>
      <c r="F1473" s="102"/>
      <c r="G1473" s="102"/>
      <c r="H1473" s="295"/>
      <c r="I1473" s="102"/>
      <c r="J1473" s="77"/>
      <c r="K1473" s="77"/>
      <c r="L1473" s="77"/>
      <c r="M1473" s="77"/>
      <c r="N1473" s="77"/>
      <c r="O1473" s="77"/>
      <c r="P1473" s="268"/>
      <c r="Q1473" s="268"/>
      <c r="R1473" s="77"/>
      <c r="S1473" s="77"/>
      <c r="T1473" s="77"/>
      <c r="U1473" s="77"/>
      <c r="V1473" s="77"/>
      <c r="W1473" s="77"/>
      <c r="X1473" s="77"/>
      <c r="Y1473" s="77"/>
      <c r="Z1473" s="77"/>
      <c r="AA1473" s="77"/>
      <c r="AB1473" s="77"/>
      <c r="AC1473" s="77"/>
      <c r="AD1473" s="77"/>
      <c r="AE1473" s="77"/>
      <c r="AF1473" s="77"/>
      <c r="AG1473" s="77"/>
      <c r="AH1473" s="87"/>
      <c r="AI1473" s="87"/>
      <c r="AJ1473" s="87"/>
      <c r="AK1473" s="87"/>
      <c r="AL1473" s="87"/>
    </row>
    <row r="1474">
      <c r="A1474" s="77"/>
      <c r="B1474" s="102"/>
      <c r="C1474" s="102"/>
      <c r="D1474" s="102"/>
      <c r="E1474" s="102"/>
      <c r="F1474" s="102"/>
      <c r="G1474" s="102"/>
      <c r="H1474" s="295"/>
      <c r="I1474" s="102"/>
      <c r="J1474" s="77"/>
      <c r="K1474" s="77"/>
      <c r="L1474" s="77"/>
      <c r="M1474" s="77"/>
      <c r="N1474" s="77"/>
      <c r="O1474" s="77"/>
      <c r="P1474" s="268"/>
      <c r="Q1474" s="268"/>
      <c r="R1474" s="77"/>
      <c r="S1474" s="77"/>
      <c r="T1474" s="77"/>
      <c r="U1474" s="77"/>
      <c r="V1474" s="77"/>
      <c r="W1474" s="77"/>
      <c r="X1474" s="77"/>
      <c r="Y1474" s="77"/>
      <c r="Z1474" s="77"/>
      <c r="AA1474" s="77"/>
      <c r="AB1474" s="77"/>
      <c r="AC1474" s="77"/>
      <c r="AD1474" s="77"/>
      <c r="AE1474" s="77"/>
      <c r="AF1474" s="77"/>
      <c r="AG1474" s="77"/>
      <c r="AH1474" s="87"/>
      <c r="AI1474" s="87"/>
      <c r="AJ1474" s="87"/>
      <c r="AK1474" s="87"/>
      <c r="AL1474" s="87"/>
    </row>
    <row r="1475">
      <c r="A1475" s="77"/>
      <c r="B1475" s="102"/>
      <c r="C1475" s="102"/>
      <c r="D1475" s="102"/>
      <c r="E1475" s="102"/>
      <c r="F1475" s="102"/>
      <c r="G1475" s="102"/>
      <c r="H1475" s="295"/>
      <c r="I1475" s="102"/>
      <c r="J1475" s="77"/>
      <c r="K1475" s="77"/>
      <c r="L1475" s="77"/>
      <c r="M1475" s="77"/>
      <c r="N1475" s="77"/>
      <c r="O1475" s="77"/>
      <c r="P1475" s="268"/>
      <c r="Q1475" s="268"/>
      <c r="R1475" s="77"/>
      <c r="S1475" s="77"/>
      <c r="T1475" s="77"/>
      <c r="U1475" s="77"/>
      <c r="V1475" s="77"/>
      <c r="W1475" s="77"/>
      <c r="X1475" s="77"/>
      <c r="Y1475" s="77"/>
      <c r="Z1475" s="77"/>
      <c r="AA1475" s="77"/>
      <c r="AB1475" s="77"/>
      <c r="AC1475" s="77"/>
      <c r="AD1475" s="77"/>
      <c r="AE1475" s="77"/>
      <c r="AF1475" s="77"/>
      <c r="AG1475" s="77"/>
      <c r="AH1475" s="87"/>
      <c r="AI1475" s="87"/>
      <c r="AJ1475" s="87"/>
      <c r="AK1475" s="87"/>
      <c r="AL1475" s="87"/>
    </row>
    <row r="1476">
      <c r="A1476" s="77"/>
      <c r="B1476" s="102"/>
      <c r="C1476" s="102"/>
      <c r="D1476" s="102"/>
      <c r="E1476" s="102"/>
      <c r="F1476" s="102"/>
      <c r="G1476" s="102"/>
      <c r="H1476" s="295"/>
      <c r="I1476" s="102"/>
      <c r="J1476" s="77"/>
      <c r="K1476" s="77"/>
      <c r="L1476" s="77"/>
      <c r="M1476" s="77"/>
      <c r="N1476" s="77"/>
      <c r="O1476" s="77"/>
      <c r="P1476" s="268"/>
      <c r="Q1476" s="268"/>
      <c r="R1476" s="77"/>
      <c r="S1476" s="77"/>
      <c r="T1476" s="77"/>
      <c r="U1476" s="77"/>
      <c r="V1476" s="77"/>
      <c r="W1476" s="77"/>
      <c r="X1476" s="77"/>
      <c r="Y1476" s="77"/>
      <c r="Z1476" s="77"/>
      <c r="AA1476" s="77"/>
      <c r="AB1476" s="77"/>
      <c r="AC1476" s="77"/>
      <c r="AD1476" s="77"/>
      <c r="AE1476" s="77"/>
      <c r="AF1476" s="77"/>
      <c r="AG1476" s="77"/>
      <c r="AH1476" s="87"/>
      <c r="AI1476" s="87"/>
      <c r="AJ1476" s="87"/>
      <c r="AK1476" s="87"/>
      <c r="AL1476" s="87"/>
    </row>
    <row r="1477">
      <c r="A1477" s="77"/>
      <c r="B1477" s="102"/>
      <c r="C1477" s="102"/>
      <c r="D1477" s="102"/>
      <c r="E1477" s="102"/>
      <c r="F1477" s="102"/>
      <c r="G1477" s="102"/>
      <c r="H1477" s="295"/>
      <c r="I1477" s="102"/>
      <c r="J1477" s="77"/>
      <c r="K1477" s="77"/>
      <c r="L1477" s="77"/>
      <c r="M1477" s="77"/>
      <c r="N1477" s="77"/>
      <c r="O1477" s="77"/>
      <c r="P1477" s="268"/>
      <c r="Q1477" s="268"/>
      <c r="R1477" s="77"/>
      <c r="S1477" s="77"/>
      <c r="T1477" s="77"/>
      <c r="U1477" s="77"/>
      <c r="V1477" s="77"/>
      <c r="W1477" s="77"/>
      <c r="X1477" s="77"/>
      <c r="Y1477" s="77"/>
      <c r="Z1477" s="77"/>
      <c r="AA1477" s="77"/>
      <c r="AB1477" s="77"/>
      <c r="AC1477" s="77"/>
      <c r="AD1477" s="77"/>
      <c r="AE1477" s="77"/>
      <c r="AF1477" s="77"/>
      <c r="AG1477" s="77"/>
      <c r="AH1477" s="87"/>
      <c r="AI1477" s="87"/>
      <c r="AJ1477" s="87"/>
      <c r="AK1477" s="87"/>
      <c r="AL1477" s="87"/>
    </row>
    <row r="1478">
      <c r="A1478" s="77"/>
      <c r="B1478" s="102"/>
      <c r="C1478" s="102"/>
      <c r="D1478" s="102"/>
      <c r="E1478" s="102"/>
      <c r="F1478" s="102"/>
      <c r="G1478" s="102"/>
      <c r="H1478" s="295"/>
      <c r="I1478" s="102"/>
      <c r="J1478" s="77"/>
      <c r="K1478" s="77"/>
      <c r="L1478" s="77"/>
      <c r="M1478" s="77"/>
      <c r="N1478" s="77"/>
      <c r="O1478" s="77"/>
      <c r="P1478" s="268"/>
      <c r="Q1478" s="268"/>
      <c r="R1478" s="77"/>
      <c r="S1478" s="77"/>
      <c r="T1478" s="77"/>
      <c r="U1478" s="77"/>
      <c r="V1478" s="77"/>
      <c r="W1478" s="77"/>
      <c r="X1478" s="77"/>
      <c r="Y1478" s="77"/>
      <c r="Z1478" s="77"/>
      <c r="AA1478" s="77"/>
      <c r="AB1478" s="77"/>
      <c r="AC1478" s="77"/>
      <c r="AD1478" s="77"/>
      <c r="AE1478" s="77"/>
      <c r="AF1478" s="77"/>
      <c r="AG1478" s="77"/>
      <c r="AH1478" s="87"/>
      <c r="AI1478" s="87"/>
      <c r="AJ1478" s="87"/>
      <c r="AK1478" s="87"/>
      <c r="AL1478" s="87"/>
    </row>
    <row r="1479">
      <c r="A1479" s="77"/>
      <c r="B1479" s="102"/>
      <c r="C1479" s="102"/>
      <c r="D1479" s="102"/>
      <c r="E1479" s="102"/>
      <c r="F1479" s="102"/>
      <c r="G1479" s="102"/>
      <c r="H1479" s="295"/>
      <c r="I1479" s="102"/>
      <c r="J1479" s="77"/>
      <c r="K1479" s="77"/>
      <c r="L1479" s="77"/>
      <c r="M1479" s="77"/>
      <c r="N1479" s="77"/>
      <c r="O1479" s="77"/>
      <c r="P1479" s="268"/>
      <c r="Q1479" s="268"/>
      <c r="R1479" s="77"/>
      <c r="S1479" s="77"/>
      <c r="T1479" s="77"/>
      <c r="U1479" s="77"/>
      <c r="V1479" s="77"/>
      <c r="W1479" s="77"/>
      <c r="X1479" s="77"/>
      <c r="Y1479" s="77"/>
      <c r="Z1479" s="77"/>
      <c r="AA1479" s="77"/>
      <c r="AB1479" s="77"/>
      <c r="AC1479" s="77"/>
      <c r="AD1479" s="77"/>
      <c r="AE1479" s="77"/>
      <c r="AF1479" s="77"/>
      <c r="AG1479" s="77"/>
      <c r="AH1479" s="87"/>
      <c r="AI1479" s="87"/>
      <c r="AJ1479" s="87"/>
      <c r="AK1479" s="87"/>
      <c r="AL1479" s="87"/>
    </row>
    <row r="1480">
      <c r="A1480" s="77"/>
      <c r="B1480" s="102"/>
      <c r="C1480" s="102"/>
      <c r="D1480" s="102"/>
      <c r="E1480" s="102"/>
      <c r="F1480" s="102"/>
      <c r="G1480" s="102"/>
      <c r="H1480" s="295"/>
      <c r="I1480" s="102"/>
      <c r="J1480" s="77"/>
      <c r="K1480" s="77"/>
      <c r="L1480" s="77"/>
      <c r="M1480" s="77"/>
      <c r="N1480" s="77"/>
      <c r="O1480" s="77"/>
      <c r="P1480" s="268"/>
      <c r="Q1480" s="268"/>
      <c r="R1480" s="77"/>
      <c r="S1480" s="77"/>
      <c r="T1480" s="77"/>
      <c r="U1480" s="77"/>
      <c r="V1480" s="77"/>
      <c r="W1480" s="77"/>
      <c r="X1480" s="77"/>
      <c r="Y1480" s="77"/>
      <c r="Z1480" s="77"/>
      <c r="AA1480" s="77"/>
      <c r="AB1480" s="77"/>
      <c r="AC1480" s="77"/>
      <c r="AD1480" s="77"/>
      <c r="AE1480" s="77"/>
      <c r="AF1480" s="77"/>
      <c r="AG1480" s="77"/>
      <c r="AH1480" s="87"/>
      <c r="AI1480" s="87"/>
      <c r="AJ1480" s="87"/>
      <c r="AK1480" s="87"/>
      <c r="AL1480" s="87"/>
    </row>
    <row r="1481">
      <c r="A1481" s="77"/>
      <c r="B1481" s="102"/>
      <c r="C1481" s="102"/>
      <c r="D1481" s="102"/>
      <c r="E1481" s="102"/>
      <c r="F1481" s="102"/>
      <c r="G1481" s="102"/>
      <c r="H1481" s="295"/>
      <c r="I1481" s="102"/>
      <c r="J1481" s="77"/>
      <c r="K1481" s="77"/>
      <c r="L1481" s="77"/>
      <c r="M1481" s="77"/>
      <c r="N1481" s="77"/>
      <c r="O1481" s="77"/>
      <c r="P1481" s="268"/>
      <c r="Q1481" s="268"/>
      <c r="R1481" s="77"/>
      <c r="S1481" s="77"/>
      <c r="T1481" s="77"/>
      <c r="U1481" s="77"/>
      <c r="V1481" s="77"/>
      <c r="W1481" s="77"/>
      <c r="X1481" s="77"/>
      <c r="Y1481" s="77"/>
      <c r="Z1481" s="77"/>
      <c r="AA1481" s="77"/>
      <c r="AB1481" s="77"/>
      <c r="AC1481" s="77"/>
      <c r="AD1481" s="77"/>
      <c r="AE1481" s="77"/>
      <c r="AF1481" s="77"/>
      <c r="AG1481" s="77"/>
      <c r="AH1481" s="87"/>
      <c r="AI1481" s="87"/>
      <c r="AJ1481" s="87"/>
      <c r="AK1481" s="87"/>
      <c r="AL1481" s="87"/>
    </row>
    <row r="1482">
      <c r="A1482" s="77"/>
      <c r="B1482" s="102"/>
      <c r="C1482" s="102"/>
      <c r="D1482" s="102"/>
      <c r="E1482" s="102"/>
      <c r="F1482" s="102"/>
      <c r="G1482" s="102"/>
      <c r="H1482" s="295"/>
      <c r="I1482" s="102"/>
      <c r="J1482" s="77"/>
      <c r="K1482" s="77"/>
      <c r="L1482" s="77"/>
      <c r="M1482" s="77"/>
      <c r="N1482" s="77"/>
      <c r="O1482" s="77"/>
      <c r="P1482" s="268"/>
      <c r="Q1482" s="268"/>
      <c r="R1482" s="77"/>
      <c r="S1482" s="77"/>
      <c r="T1482" s="77"/>
      <c r="U1482" s="77"/>
      <c r="V1482" s="77"/>
      <c r="W1482" s="77"/>
      <c r="X1482" s="77"/>
      <c r="Y1482" s="77"/>
      <c r="Z1482" s="77"/>
      <c r="AA1482" s="77"/>
      <c r="AB1482" s="77"/>
      <c r="AC1482" s="77"/>
      <c r="AD1482" s="77"/>
      <c r="AE1482" s="77"/>
      <c r="AF1482" s="77"/>
      <c r="AG1482" s="77"/>
      <c r="AH1482" s="87"/>
      <c r="AI1482" s="87"/>
      <c r="AJ1482" s="87"/>
      <c r="AK1482" s="87"/>
      <c r="AL1482" s="87"/>
    </row>
    <row r="1483">
      <c r="A1483" s="77"/>
      <c r="B1483" s="102"/>
      <c r="C1483" s="102"/>
      <c r="D1483" s="102"/>
      <c r="E1483" s="102"/>
      <c r="F1483" s="102"/>
      <c r="G1483" s="102"/>
      <c r="H1483" s="295"/>
      <c r="I1483" s="102"/>
      <c r="J1483" s="77"/>
      <c r="K1483" s="77"/>
      <c r="L1483" s="77"/>
      <c r="M1483" s="77"/>
      <c r="N1483" s="77"/>
      <c r="O1483" s="77"/>
      <c r="P1483" s="268"/>
      <c r="Q1483" s="268"/>
      <c r="R1483" s="77"/>
      <c r="S1483" s="77"/>
      <c r="T1483" s="77"/>
      <c r="U1483" s="77"/>
      <c r="V1483" s="77"/>
      <c r="W1483" s="77"/>
      <c r="X1483" s="77"/>
      <c r="Y1483" s="77"/>
      <c r="Z1483" s="77"/>
      <c r="AA1483" s="77"/>
      <c r="AB1483" s="77"/>
      <c r="AC1483" s="77"/>
      <c r="AD1483" s="77"/>
      <c r="AE1483" s="77"/>
      <c r="AF1483" s="77"/>
      <c r="AG1483" s="77"/>
      <c r="AH1483" s="87"/>
      <c r="AI1483" s="87"/>
      <c r="AJ1483" s="87"/>
      <c r="AK1483" s="87"/>
      <c r="AL1483" s="87"/>
    </row>
    <row r="1484">
      <c r="A1484" s="77"/>
      <c r="B1484" s="102"/>
      <c r="C1484" s="102"/>
      <c r="D1484" s="102"/>
      <c r="E1484" s="102"/>
      <c r="F1484" s="102"/>
      <c r="G1484" s="102"/>
      <c r="H1484" s="295"/>
      <c r="I1484" s="102"/>
      <c r="J1484" s="77"/>
      <c r="K1484" s="77"/>
      <c r="L1484" s="77"/>
      <c r="M1484" s="77"/>
      <c r="N1484" s="77"/>
      <c r="O1484" s="77"/>
      <c r="P1484" s="268"/>
      <c r="Q1484" s="268"/>
      <c r="R1484" s="77"/>
      <c r="S1484" s="77"/>
      <c r="T1484" s="77"/>
      <c r="U1484" s="77"/>
      <c r="V1484" s="77"/>
      <c r="W1484" s="77"/>
      <c r="X1484" s="77"/>
      <c r="Y1484" s="77"/>
      <c r="Z1484" s="77"/>
      <c r="AA1484" s="77"/>
      <c r="AB1484" s="77"/>
      <c r="AC1484" s="77"/>
      <c r="AD1484" s="77"/>
      <c r="AE1484" s="77"/>
      <c r="AF1484" s="77"/>
      <c r="AG1484" s="77"/>
      <c r="AH1484" s="87"/>
      <c r="AI1484" s="87"/>
      <c r="AJ1484" s="87"/>
      <c r="AK1484" s="87"/>
      <c r="AL1484" s="87"/>
    </row>
    <row r="1485">
      <c r="A1485" s="77"/>
      <c r="B1485" s="102"/>
      <c r="C1485" s="102"/>
      <c r="D1485" s="102"/>
      <c r="E1485" s="102"/>
      <c r="F1485" s="102"/>
      <c r="G1485" s="102"/>
      <c r="H1485" s="295"/>
      <c r="I1485" s="102"/>
      <c r="J1485" s="77"/>
      <c r="K1485" s="77"/>
      <c r="L1485" s="77"/>
      <c r="M1485" s="77"/>
      <c r="N1485" s="77"/>
      <c r="O1485" s="77"/>
      <c r="P1485" s="268"/>
      <c r="Q1485" s="268"/>
      <c r="R1485" s="77"/>
      <c r="S1485" s="77"/>
      <c r="T1485" s="77"/>
      <c r="U1485" s="77"/>
      <c r="V1485" s="77"/>
      <c r="W1485" s="77"/>
      <c r="X1485" s="77"/>
      <c r="Y1485" s="77"/>
      <c r="Z1485" s="77"/>
      <c r="AA1485" s="77"/>
      <c r="AB1485" s="77"/>
      <c r="AC1485" s="77"/>
      <c r="AD1485" s="77"/>
      <c r="AE1485" s="77"/>
      <c r="AF1485" s="77"/>
      <c r="AG1485" s="77"/>
      <c r="AH1485" s="87"/>
      <c r="AI1485" s="87"/>
      <c r="AJ1485" s="87"/>
      <c r="AK1485" s="87"/>
      <c r="AL1485" s="87"/>
    </row>
    <row r="1486">
      <c r="A1486" s="77"/>
      <c r="B1486" s="102"/>
      <c r="C1486" s="102"/>
      <c r="D1486" s="102"/>
      <c r="E1486" s="102"/>
      <c r="F1486" s="102"/>
      <c r="G1486" s="102"/>
      <c r="H1486" s="295"/>
      <c r="I1486" s="102"/>
      <c r="J1486" s="77"/>
      <c r="K1486" s="77"/>
      <c r="L1486" s="77"/>
      <c r="M1486" s="77"/>
      <c r="N1486" s="77"/>
      <c r="O1486" s="77"/>
      <c r="P1486" s="268"/>
      <c r="Q1486" s="268"/>
      <c r="R1486" s="77"/>
      <c r="S1486" s="77"/>
      <c r="T1486" s="77"/>
      <c r="U1486" s="77"/>
      <c r="V1486" s="77"/>
      <c r="W1486" s="77"/>
      <c r="X1486" s="77"/>
      <c r="Y1486" s="77"/>
      <c r="Z1486" s="77"/>
      <c r="AA1486" s="77"/>
      <c r="AB1486" s="77"/>
      <c r="AC1486" s="77"/>
      <c r="AD1486" s="77"/>
      <c r="AE1486" s="77"/>
      <c r="AF1486" s="77"/>
      <c r="AG1486" s="77"/>
      <c r="AH1486" s="87"/>
      <c r="AI1486" s="87"/>
      <c r="AJ1486" s="87"/>
      <c r="AK1486" s="87"/>
      <c r="AL1486" s="87"/>
    </row>
    <row r="1487">
      <c r="A1487" s="77"/>
      <c r="B1487" s="102"/>
      <c r="C1487" s="102"/>
      <c r="D1487" s="102"/>
      <c r="E1487" s="102"/>
      <c r="F1487" s="102"/>
      <c r="G1487" s="102"/>
      <c r="H1487" s="295"/>
      <c r="I1487" s="102"/>
      <c r="J1487" s="77"/>
      <c r="K1487" s="77"/>
      <c r="L1487" s="77"/>
      <c r="M1487" s="77"/>
      <c r="N1487" s="77"/>
      <c r="O1487" s="77"/>
      <c r="P1487" s="268"/>
      <c r="Q1487" s="268"/>
      <c r="R1487" s="77"/>
      <c r="S1487" s="77"/>
      <c r="T1487" s="77"/>
      <c r="U1487" s="77"/>
      <c r="V1487" s="77"/>
      <c r="W1487" s="77"/>
      <c r="X1487" s="77"/>
      <c r="Y1487" s="77"/>
      <c r="Z1487" s="77"/>
      <c r="AA1487" s="77"/>
      <c r="AB1487" s="77"/>
      <c r="AC1487" s="77"/>
      <c r="AD1487" s="77"/>
      <c r="AE1487" s="77"/>
      <c r="AF1487" s="77"/>
      <c r="AG1487" s="77"/>
      <c r="AH1487" s="87"/>
      <c r="AI1487" s="87"/>
      <c r="AJ1487" s="87"/>
      <c r="AK1487" s="87"/>
      <c r="AL1487" s="87"/>
    </row>
    <row r="1488">
      <c r="A1488" s="77"/>
      <c r="B1488" s="102"/>
      <c r="C1488" s="102"/>
      <c r="D1488" s="102"/>
      <c r="E1488" s="102"/>
      <c r="F1488" s="102"/>
      <c r="G1488" s="102"/>
      <c r="H1488" s="295"/>
      <c r="I1488" s="102"/>
      <c r="J1488" s="77"/>
      <c r="K1488" s="77"/>
      <c r="L1488" s="77"/>
      <c r="M1488" s="77"/>
      <c r="N1488" s="77"/>
      <c r="O1488" s="77"/>
      <c r="P1488" s="268"/>
      <c r="Q1488" s="268"/>
      <c r="R1488" s="77"/>
      <c r="S1488" s="77"/>
      <c r="T1488" s="77"/>
      <c r="U1488" s="77"/>
      <c r="V1488" s="77"/>
      <c r="W1488" s="77"/>
      <c r="X1488" s="77"/>
      <c r="Y1488" s="77"/>
      <c r="Z1488" s="77"/>
      <c r="AA1488" s="77"/>
      <c r="AB1488" s="77"/>
      <c r="AC1488" s="77"/>
      <c r="AD1488" s="77"/>
      <c r="AE1488" s="77"/>
      <c r="AF1488" s="77"/>
      <c r="AG1488" s="77"/>
      <c r="AH1488" s="87"/>
      <c r="AI1488" s="87"/>
      <c r="AJ1488" s="87"/>
      <c r="AK1488" s="87"/>
      <c r="AL1488" s="87"/>
    </row>
    <row r="1489">
      <c r="A1489" s="77"/>
      <c r="B1489" s="102"/>
      <c r="C1489" s="102"/>
      <c r="D1489" s="102"/>
      <c r="E1489" s="102"/>
      <c r="F1489" s="102"/>
      <c r="G1489" s="102"/>
      <c r="H1489" s="295"/>
      <c r="I1489" s="102"/>
      <c r="J1489" s="77"/>
      <c r="K1489" s="77"/>
      <c r="L1489" s="77"/>
      <c r="M1489" s="77"/>
      <c r="N1489" s="77"/>
      <c r="O1489" s="77"/>
      <c r="P1489" s="268"/>
      <c r="Q1489" s="268"/>
      <c r="R1489" s="77"/>
      <c r="S1489" s="77"/>
      <c r="T1489" s="77"/>
      <c r="U1489" s="77"/>
      <c r="V1489" s="77"/>
      <c r="W1489" s="77"/>
      <c r="X1489" s="77"/>
      <c r="Y1489" s="77"/>
      <c r="Z1489" s="77"/>
      <c r="AA1489" s="77"/>
      <c r="AB1489" s="77"/>
      <c r="AC1489" s="77"/>
      <c r="AD1489" s="77"/>
      <c r="AE1489" s="77"/>
      <c r="AF1489" s="77"/>
      <c r="AG1489" s="77"/>
      <c r="AH1489" s="87"/>
      <c r="AI1489" s="87"/>
      <c r="AJ1489" s="87"/>
      <c r="AK1489" s="87"/>
      <c r="AL1489" s="87"/>
    </row>
    <row r="1490">
      <c r="A1490" s="77"/>
      <c r="B1490" s="102"/>
      <c r="C1490" s="102"/>
      <c r="D1490" s="102"/>
      <c r="E1490" s="102"/>
      <c r="F1490" s="102"/>
      <c r="G1490" s="102"/>
      <c r="H1490" s="295"/>
      <c r="I1490" s="102"/>
      <c r="J1490" s="77"/>
      <c r="K1490" s="77"/>
      <c r="L1490" s="77"/>
      <c r="M1490" s="77"/>
      <c r="N1490" s="77"/>
      <c r="O1490" s="77"/>
      <c r="P1490" s="268"/>
      <c r="Q1490" s="268"/>
      <c r="R1490" s="77"/>
      <c r="S1490" s="77"/>
      <c r="T1490" s="77"/>
      <c r="U1490" s="77"/>
      <c r="V1490" s="77"/>
      <c r="W1490" s="77"/>
      <c r="X1490" s="77"/>
      <c r="Y1490" s="77"/>
      <c r="Z1490" s="77"/>
      <c r="AA1490" s="77"/>
      <c r="AB1490" s="77"/>
      <c r="AC1490" s="77"/>
      <c r="AD1490" s="77"/>
      <c r="AE1490" s="77"/>
      <c r="AF1490" s="77"/>
      <c r="AG1490" s="77"/>
      <c r="AH1490" s="87"/>
      <c r="AI1490" s="87"/>
      <c r="AJ1490" s="87"/>
      <c r="AK1490" s="87"/>
      <c r="AL1490" s="87"/>
    </row>
    <row r="1491">
      <c r="A1491" s="77"/>
      <c r="B1491" s="102"/>
      <c r="C1491" s="102"/>
      <c r="D1491" s="102"/>
      <c r="E1491" s="102"/>
      <c r="F1491" s="102"/>
      <c r="G1491" s="102"/>
      <c r="H1491" s="295"/>
      <c r="I1491" s="102"/>
      <c r="J1491" s="77"/>
      <c r="K1491" s="77"/>
      <c r="L1491" s="77"/>
      <c r="M1491" s="77"/>
      <c r="N1491" s="77"/>
      <c r="O1491" s="77"/>
      <c r="P1491" s="268"/>
      <c r="Q1491" s="268"/>
      <c r="R1491" s="77"/>
      <c r="S1491" s="77"/>
      <c r="T1491" s="77"/>
      <c r="U1491" s="77"/>
      <c r="V1491" s="77"/>
      <c r="W1491" s="77"/>
      <c r="X1491" s="77"/>
      <c r="Y1491" s="77"/>
      <c r="Z1491" s="77"/>
      <c r="AA1491" s="77"/>
      <c r="AB1491" s="77"/>
      <c r="AC1491" s="77"/>
      <c r="AD1491" s="77"/>
      <c r="AE1491" s="77"/>
      <c r="AF1491" s="77"/>
      <c r="AG1491" s="77"/>
      <c r="AH1491" s="87"/>
      <c r="AI1491" s="87"/>
      <c r="AJ1491" s="87"/>
      <c r="AK1491" s="87"/>
      <c r="AL1491" s="87"/>
    </row>
    <row r="1492">
      <c r="A1492" s="77"/>
      <c r="B1492" s="102"/>
      <c r="C1492" s="102"/>
      <c r="D1492" s="102"/>
      <c r="E1492" s="102"/>
      <c r="F1492" s="102"/>
      <c r="G1492" s="102"/>
      <c r="H1492" s="295"/>
      <c r="I1492" s="102"/>
      <c r="J1492" s="77"/>
      <c r="K1492" s="77"/>
      <c r="L1492" s="77"/>
      <c r="M1492" s="77"/>
      <c r="N1492" s="77"/>
      <c r="O1492" s="77"/>
      <c r="P1492" s="268"/>
      <c r="Q1492" s="268"/>
      <c r="R1492" s="77"/>
      <c r="S1492" s="77"/>
      <c r="T1492" s="77"/>
      <c r="U1492" s="77"/>
      <c r="V1492" s="77"/>
      <c r="W1492" s="77"/>
      <c r="X1492" s="77"/>
      <c r="Y1492" s="77"/>
      <c r="Z1492" s="77"/>
      <c r="AA1492" s="77"/>
      <c r="AB1492" s="77"/>
      <c r="AC1492" s="77"/>
      <c r="AD1492" s="77"/>
      <c r="AE1492" s="77"/>
      <c r="AF1492" s="77"/>
      <c r="AG1492" s="77"/>
      <c r="AH1492" s="87"/>
      <c r="AI1492" s="87"/>
      <c r="AJ1492" s="87"/>
      <c r="AK1492" s="87"/>
      <c r="AL1492" s="87"/>
    </row>
    <row r="1493">
      <c r="A1493" s="77"/>
      <c r="B1493" s="102"/>
      <c r="C1493" s="102"/>
      <c r="D1493" s="102"/>
      <c r="E1493" s="102"/>
      <c r="F1493" s="102"/>
      <c r="G1493" s="102"/>
      <c r="H1493" s="295"/>
      <c r="I1493" s="102"/>
      <c r="J1493" s="77"/>
      <c r="K1493" s="77"/>
      <c r="L1493" s="77"/>
      <c r="M1493" s="77"/>
      <c r="N1493" s="77"/>
      <c r="O1493" s="77"/>
      <c r="P1493" s="268"/>
      <c r="Q1493" s="268"/>
      <c r="R1493" s="77"/>
      <c r="S1493" s="77"/>
      <c r="T1493" s="77"/>
      <c r="U1493" s="77"/>
      <c r="V1493" s="77"/>
      <c r="W1493" s="77"/>
      <c r="X1493" s="77"/>
      <c r="Y1493" s="77"/>
      <c r="Z1493" s="77"/>
      <c r="AA1493" s="77"/>
      <c r="AB1493" s="77"/>
      <c r="AC1493" s="77"/>
      <c r="AD1493" s="77"/>
      <c r="AE1493" s="77"/>
      <c r="AF1493" s="77"/>
      <c r="AG1493" s="77"/>
      <c r="AH1493" s="87"/>
      <c r="AI1493" s="87"/>
      <c r="AJ1493" s="87"/>
      <c r="AK1493" s="87"/>
      <c r="AL1493" s="87"/>
    </row>
    <row r="1494">
      <c r="A1494" s="77"/>
      <c r="B1494" s="102"/>
      <c r="C1494" s="102"/>
      <c r="D1494" s="102"/>
      <c r="E1494" s="102"/>
      <c r="F1494" s="102"/>
      <c r="G1494" s="102"/>
      <c r="H1494" s="295"/>
      <c r="I1494" s="102"/>
      <c r="J1494" s="77"/>
      <c r="K1494" s="77"/>
      <c r="L1494" s="77"/>
      <c r="M1494" s="77"/>
      <c r="N1494" s="77"/>
      <c r="O1494" s="77"/>
      <c r="P1494" s="268"/>
      <c r="Q1494" s="268"/>
      <c r="R1494" s="77"/>
      <c r="S1494" s="77"/>
      <c r="T1494" s="77"/>
      <c r="U1494" s="77"/>
      <c r="V1494" s="77"/>
      <c r="W1494" s="77"/>
      <c r="X1494" s="77"/>
      <c r="Y1494" s="77"/>
      <c r="Z1494" s="77"/>
      <c r="AA1494" s="77"/>
      <c r="AB1494" s="77"/>
      <c r="AC1494" s="77"/>
      <c r="AD1494" s="77"/>
      <c r="AE1494" s="77"/>
      <c r="AF1494" s="77"/>
      <c r="AG1494" s="77"/>
      <c r="AH1494" s="87"/>
      <c r="AI1494" s="87"/>
      <c r="AJ1494" s="87"/>
      <c r="AK1494" s="87"/>
      <c r="AL1494" s="87"/>
    </row>
    <row r="1495">
      <c r="A1495" s="77"/>
      <c r="B1495" s="102"/>
      <c r="C1495" s="102"/>
      <c r="D1495" s="102"/>
      <c r="E1495" s="102"/>
      <c r="F1495" s="102"/>
      <c r="G1495" s="102"/>
      <c r="H1495" s="295"/>
      <c r="I1495" s="102"/>
      <c r="J1495" s="77"/>
      <c r="K1495" s="77"/>
      <c r="L1495" s="77"/>
      <c r="M1495" s="77"/>
      <c r="N1495" s="77"/>
      <c r="O1495" s="77"/>
      <c r="P1495" s="268"/>
      <c r="Q1495" s="268"/>
      <c r="R1495" s="77"/>
      <c r="S1495" s="77"/>
      <c r="T1495" s="77"/>
      <c r="U1495" s="77"/>
      <c r="V1495" s="77"/>
      <c r="W1495" s="77"/>
      <c r="X1495" s="77"/>
      <c r="Y1495" s="77"/>
      <c r="Z1495" s="77"/>
      <c r="AA1495" s="77"/>
      <c r="AB1495" s="77"/>
      <c r="AC1495" s="77"/>
      <c r="AD1495" s="77"/>
      <c r="AE1495" s="77"/>
      <c r="AF1495" s="77"/>
      <c r="AG1495" s="77"/>
      <c r="AH1495" s="87"/>
      <c r="AI1495" s="87"/>
      <c r="AJ1495" s="87"/>
      <c r="AK1495" s="87"/>
      <c r="AL1495" s="87"/>
    </row>
    <row r="1496">
      <c r="A1496" s="77"/>
      <c r="B1496" s="102"/>
      <c r="C1496" s="102"/>
      <c r="D1496" s="102"/>
      <c r="E1496" s="102"/>
      <c r="F1496" s="102"/>
      <c r="G1496" s="102"/>
      <c r="H1496" s="295"/>
      <c r="I1496" s="102"/>
      <c r="J1496" s="77"/>
      <c r="K1496" s="77"/>
      <c r="L1496" s="77"/>
      <c r="M1496" s="77"/>
      <c r="N1496" s="77"/>
      <c r="O1496" s="77"/>
      <c r="P1496" s="268"/>
      <c r="Q1496" s="268"/>
      <c r="R1496" s="77"/>
      <c r="S1496" s="77"/>
      <c r="T1496" s="77"/>
      <c r="U1496" s="77"/>
      <c r="V1496" s="77"/>
      <c r="W1496" s="77"/>
      <c r="X1496" s="77"/>
      <c r="Y1496" s="77"/>
      <c r="Z1496" s="77"/>
      <c r="AA1496" s="77"/>
      <c r="AB1496" s="77"/>
      <c r="AC1496" s="77"/>
      <c r="AD1496" s="77"/>
      <c r="AE1496" s="77"/>
      <c r="AF1496" s="77"/>
      <c r="AG1496" s="77"/>
      <c r="AH1496" s="87"/>
      <c r="AI1496" s="87"/>
      <c r="AJ1496" s="87"/>
      <c r="AK1496" s="87"/>
      <c r="AL1496" s="87"/>
    </row>
    <row r="1497">
      <c r="A1497" s="77"/>
      <c r="B1497" s="102"/>
      <c r="C1497" s="102"/>
      <c r="D1497" s="102"/>
      <c r="E1497" s="102"/>
      <c r="F1497" s="102"/>
      <c r="G1497" s="102"/>
      <c r="H1497" s="295"/>
      <c r="I1497" s="102"/>
      <c r="J1497" s="77"/>
      <c r="K1497" s="77"/>
      <c r="L1497" s="77"/>
      <c r="M1497" s="77"/>
      <c r="N1497" s="77"/>
      <c r="O1497" s="77"/>
      <c r="P1497" s="268"/>
      <c r="Q1497" s="268"/>
      <c r="R1497" s="77"/>
      <c r="S1497" s="77"/>
      <c r="T1497" s="77"/>
      <c r="U1497" s="77"/>
      <c r="V1497" s="77"/>
      <c r="W1497" s="77"/>
      <c r="X1497" s="77"/>
      <c r="Y1497" s="77"/>
      <c r="Z1497" s="77"/>
      <c r="AA1497" s="77"/>
      <c r="AB1497" s="77"/>
      <c r="AC1497" s="77"/>
      <c r="AD1497" s="77"/>
      <c r="AE1497" s="77"/>
      <c r="AF1497" s="77"/>
      <c r="AG1497" s="77"/>
      <c r="AH1497" s="87"/>
      <c r="AI1497" s="87"/>
      <c r="AJ1497" s="87"/>
      <c r="AK1497" s="87"/>
      <c r="AL1497" s="87"/>
    </row>
    <row r="1498">
      <c r="A1498" s="77"/>
      <c r="B1498" s="102"/>
      <c r="C1498" s="102"/>
      <c r="D1498" s="102"/>
      <c r="E1498" s="102"/>
      <c r="F1498" s="102"/>
      <c r="G1498" s="102"/>
      <c r="H1498" s="295"/>
      <c r="I1498" s="102"/>
      <c r="J1498" s="77"/>
      <c r="K1498" s="77"/>
      <c r="L1498" s="77"/>
      <c r="M1498" s="77"/>
      <c r="N1498" s="77"/>
      <c r="O1498" s="77"/>
      <c r="P1498" s="268"/>
      <c r="Q1498" s="268"/>
      <c r="R1498" s="77"/>
      <c r="S1498" s="77"/>
      <c r="T1498" s="77"/>
      <c r="U1498" s="77"/>
      <c r="V1498" s="77"/>
      <c r="W1498" s="77"/>
      <c r="X1498" s="77"/>
      <c r="Y1498" s="77"/>
      <c r="Z1498" s="77"/>
      <c r="AA1498" s="77"/>
      <c r="AB1498" s="77"/>
      <c r="AC1498" s="77"/>
      <c r="AD1498" s="77"/>
      <c r="AE1498" s="77"/>
      <c r="AF1498" s="77"/>
      <c r="AG1498" s="77"/>
      <c r="AH1498" s="87"/>
      <c r="AI1498" s="87"/>
      <c r="AJ1498" s="87"/>
      <c r="AK1498" s="87"/>
      <c r="AL1498" s="87"/>
    </row>
    <row r="1499">
      <c r="A1499" s="77"/>
      <c r="B1499" s="102"/>
      <c r="C1499" s="102"/>
      <c r="D1499" s="102"/>
      <c r="E1499" s="102"/>
      <c r="F1499" s="102"/>
      <c r="G1499" s="102"/>
      <c r="H1499" s="295"/>
      <c r="I1499" s="102"/>
      <c r="J1499" s="77"/>
      <c r="K1499" s="77"/>
      <c r="L1499" s="77"/>
      <c r="M1499" s="77"/>
      <c r="N1499" s="77"/>
      <c r="O1499" s="77"/>
      <c r="P1499" s="268"/>
      <c r="Q1499" s="268"/>
      <c r="R1499" s="77"/>
      <c r="S1499" s="77"/>
      <c r="T1499" s="77"/>
      <c r="U1499" s="77"/>
      <c r="V1499" s="77"/>
      <c r="W1499" s="77"/>
      <c r="X1499" s="77"/>
      <c r="Y1499" s="77"/>
      <c r="Z1499" s="77"/>
      <c r="AA1499" s="77"/>
      <c r="AB1499" s="77"/>
      <c r="AC1499" s="77"/>
      <c r="AD1499" s="77"/>
      <c r="AE1499" s="77"/>
      <c r="AF1499" s="77"/>
      <c r="AG1499" s="77"/>
      <c r="AH1499" s="87"/>
      <c r="AI1499" s="87"/>
      <c r="AJ1499" s="87"/>
      <c r="AK1499" s="87"/>
      <c r="AL1499" s="87"/>
    </row>
    <row r="1500">
      <c r="A1500" s="77"/>
      <c r="B1500" s="102"/>
      <c r="C1500" s="102"/>
      <c r="D1500" s="102"/>
      <c r="E1500" s="102"/>
      <c r="F1500" s="102"/>
      <c r="G1500" s="102"/>
      <c r="H1500" s="295"/>
      <c r="I1500" s="102"/>
      <c r="J1500" s="77"/>
      <c r="K1500" s="77"/>
      <c r="L1500" s="77"/>
      <c r="M1500" s="77"/>
      <c r="N1500" s="77"/>
      <c r="O1500" s="77"/>
      <c r="P1500" s="268"/>
      <c r="Q1500" s="268"/>
      <c r="R1500" s="77"/>
      <c r="S1500" s="77"/>
      <c r="T1500" s="77"/>
      <c r="U1500" s="77"/>
      <c r="V1500" s="77"/>
      <c r="W1500" s="77"/>
      <c r="X1500" s="77"/>
      <c r="Y1500" s="77"/>
      <c r="Z1500" s="77"/>
      <c r="AA1500" s="77"/>
      <c r="AB1500" s="77"/>
      <c r="AC1500" s="77"/>
      <c r="AD1500" s="77"/>
      <c r="AE1500" s="77"/>
      <c r="AF1500" s="77"/>
      <c r="AG1500" s="77"/>
      <c r="AH1500" s="87"/>
      <c r="AI1500" s="87"/>
      <c r="AJ1500" s="87"/>
      <c r="AK1500" s="87"/>
      <c r="AL1500" s="87"/>
    </row>
    <row r="1501">
      <c r="A1501" s="77"/>
      <c r="B1501" s="102"/>
      <c r="C1501" s="102"/>
      <c r="D1501" s="102"/>
      <c r="E1501" s="102"/>
      <c r="F1501" s="102"/>
      <c r="G1501" s="102"/>
      <c r="H1501" s="295"/>
      <c r="I1501" s="102"/>
      <c r="J1501" s="77"/>
      <c r="K1501" s="77"/>
      <c r="L1501" s="77"/>
      <c r="M1501" s="77"/>
      <c r="N1501" s="77"/>
      <c r="O1501" s="77"/>
      <c r="P1501" s="268"/>
      <c r="Q1501" s="268"/>
      <c r="R1501" s="77"/>
      <c r="S1501" s="77"/>
      <c r="T1501" s="77"/>
      <c r="U1501" s="77"/>
      <c r="V1501" s="77"/>
      <c r="W1501" s="77"/>
      <c r="X1501" s="77"/>
      <c r="Y1501" s="77"/>
      <c r="Z1501" s="77"/>
      <c r="AA1501" s="77"/>
      <c r="AB1501" s="77"/>
      <c r="AC1501" s="77"/>
      <c r="AD1501" s="77"/>
      <c r="AE1501" s="77"/>
      <c r="AF1501" s="77"/>
      <c r="AG1501" s="77"/>
      <c r="AH1501" s="87"/>
      <c r="AI1501" s="87"/>
      <c r="AJ1501" s="87"/>
      <c r="AK1501" s="87"/>
      <c r="AL1501" s="87"/>
    </row>
    <row r="1502">
      <c r="A1502" s="77"/>
      <c r="B1502" s="102"/>
      <c r="C1502" s="102"/>
      <c r="D1502" s="102"/>
      <c r="E1502" s="102"/>
      <c r="F1502" s="102"/>
      <c r="G1502" s="102"/>
      <c r="H1502" s="295"/>
      <c r="I1502" s="102"/>
      <c r="J1502" s="77"/>
      <c r="K1502" s="77"/>
      <c r="L1502" s="77"/>
      <c r="M1502" s="77"/>
      <c r="N1502" s="77"/>
      <c r="O1502" s="77"/>
      <c r="P1502" s="268"/>
      <c r="Q1502" s="268"/>
      <c r="R1502" s="77"/>
      <c r="S1502" s="77"/>
      <c r="T1502" s="77"/>
      <c r="U1502" s="77"/>
      <c r="V1502" s="77"/>
      <c r="W1502" s="77"/>
      <c r="X1502" s="77"/>
      <c r="Y1502" s="77"/>
      <c r="Z1502" s="77"/>
      <c r="AA1502" s="77"/>
      <c r="AB1502" s="77"/>
      <c r="AC1502" s="77"/>
      <c r="AD1502" s="77"/>
      <c r="AE1502" s="77"/>
      <c r="AF1502" s="77"/>
      <c r="AG1502" s="77"/>
      <c r="AH1502" s="87"/>
      <c r="AI1502" s="87"/>
      <c r="AJ1502" s="87"/>
      <c r="AK1502" s="87"/>
      <c r="AL1502" s="87"/>
    </row>
    <row r="1503">
      <c r="A1503" s="77"/>
      <c r="B1503" s="102"/>
      <c r="C1503" s="102"/>
      <c r="D1503" s="102"/>
      <c r="E1503" s="102"/>
      <c r="F1503" s="102"/>
      <c r="G1503" s="102"/>
      <c r="H1503" s="295"/>
      <c r="I1503" s="102"/>
      <c r="J1503" s="77"/>
      <c r="K1503" s="77"/>
      <c r="L1503" s="77"/>
      <c r="M1503" s="77"/>
      <c r="N1503" s="77"/>
      <c r="O1503" s="77"/>
      <c r="P1503" s="268"/>
      <c r="Q1503" s="268"/>
      <c r="R1503" s="77"/>
      <c r="S1503" s="77"/>
      <c r="T1503" s="77"/>
      <c r="U1503" s="77"/>
      <c r="V1503" s="77"/>
      <c r="W1503" s="77"/>
      <c r="X1503" s="77"/>
      <c r="Y1503" s="77"/>
      <c r="Z1503" s="77"/>
      <c r="AA1503" s="77"/>
      <c r="AB1503" s="77"/>
      <c r="AC1503" s="77"/>
      <c r="AD1503" s="77"/>
      <c r="AE1503" s="77"/>
      <c r="AF1503" s="77"/>
      <c r="AG1503" s="77"/>
      <c r="AH1503" s="87"/>
      <c r="AI1503" s="87"/>
      <c r="AJ1503" s="87"/>
      <c r="AK1503" s="87"/>
      <c r="AL1503" s="87"/>
    </row>
    <row r="1504">
      <c r="A1504" s="77"/>
      <c r="B1504" s="102"/>
      <c r="C1504" s="102"/>
      <c r="D1504" s="102"/>
      <c r="E1504" s="102"/>
      <c r="F1504" s="102"/>
      <c r="G1504" s="102"/>
      <c r="H1504" s="295"/>
      <c r="I1504" s="102"/>
      <c r="J1504" s="77"/>
      <c r="K1504" s="77"/>
      <c r="L1504" s="77"/>
      <c r="M1504" s="77"/>
      <c r="N1504" s="77"/>
      <c r="O1504" s="77"/>
      <c r="P1504" s="268"/>
      <c r="Q1504" s="268"/>
      <c r="R1504" s="77"/>
      <c r="S1504" s="77"/>
      <c r="T1504" s="77"/>
      <c r="U1504" s="77"/>
      <c r="V1504" s="77"/>
      <c r="W1504" s="77"/>
      <c r="X1504" s="77"/>
      <c r="Y1504" s="77"/>
      <c r="Z1504" s="77"/>
      <c r="AA1504" s="77"/>
      <c r="AB1504" s="77"/>
      <c r="AC1504" s="77"/>
      <c r="AD1504" s="77"/>
      <c r="AE1504" s="77"/>
      <c r="AF1504" s="77"/>
      <c r="AG1504" s="77"/>
      <c r="AH1504" s="87"/>
      <c r="AI1504" s="87"/>
      <c r="AJ1504" s="87"/>
      <c r="AK1504" s="87"/>
      <c r="AL1504" s="87"/>
    </row>
    <row r="1505">
      <c r="A1505" s="77"/>
      <c r="B1505" s="102"/>
      <c r="C1505" s="102"/>
      <c r="D1505" s="102"/>
      <c r="E1505" s="102"/>
      <c r="F1505" s="102"/>
      <c r="G1505" s="102"/>
      <c r="H1505" s="295"/>
      <c r="I1505" s="102"/>
      <c r="J1505" s="77"/>
      <c r="K1505" s="77"/>
      <c r="L1505" s="77"/>
      <c r="M1505" s="77"/>
      <c r="N1505" s="77"/>
      <c r="O1505" s="77"/>
      <c r="P1505" s="268"/>
      <c r="Q1505" s="268"/>
      <c r="R1505" s="77"/>
      <c r="S1505" s="77"/>
      <c r="T1505" s="77"/>
      <c r="U1505" s="77"/>
      <c r="V1505" s="77"/>
      <c r="W1505" s="77"/>
      <c r="X1505" s="77"/>
      <c r="Y1505" s="77"/>
      <c r="Z1505" s="77"/>
      <c r="AA1505" s="77"/>
      <c r="AB1505" s="77"/>
      <c r="AC1505" s="77"/>
      <c r="AD1505" s="77"/>
      <c r="AE1505" s="77"/>
      <c r="AF1505" s="77"/>
      <c r="AG1505" s="77"/>
      <c r="AH1505" s="87"/>
      <c r="AI1505" s="87"/>
      <c r="AJ1505" s="87"/>
      <c r="AK1505" s="87"/>
      <c r="AL1505" s="87"/>
    </row>
    <row r="1506">
      <c r="A1506" s="77"/>
      <c r="B1506" s="102"/>
      <c r="C1506" s="102"/>
      <c r="D1506" s="102"/>
      <c r="E1506" s="102"/>
      <c r="F1506" s="102"/>
      <c r="G1506" s="102"/>
      <c r="H1506" s="295"/>
      <c r="I1506" s="102"/>
      <c r="J1506" s="77"/>
      <c r="K1506" s="77"/>
      <c r="L1506" s="77"/>
      <c r="M1506" s="77"/>
      <c r="N1506" s="77"/>
      <c r="O1506" s="77"/>
      <c r="P1506" s="268"/>
      <c r="Q1506" s="268"/>
      <c r="R1506" s="77"/>
      <c r="S1506" s="77"/>
      <c r="T1506" s="77"/>
      <c r="U1506" s="77"/>
      <c r="V1506" s="77"/>
      <c r="W1506" s="77"/>
      <c r="X1506" s="77"/>
      <c r="Y1506" s="77"/>
      <c r="Z1506" s="77"/>
      <c r="AA1506" s="77"/>
      <c r="AB1506" s="77"/>
      <c r="AC1506" s="77"/>
      <c r="AD1506" s="77"/>
      <c r="AE1506" s="77"/>
      <c r="AF1506" s="77"/>
      <c r="AG1506" s="77"/>
      <c r="AH1506" s="87"/>
      <c r="AI1506" s="87"/>
      <c r="AJ1506" s="87"/>
      <c r="AK1506" s="87"/>
      <c r="AL1506" s="87"/>
    </row>
    <row r="1507">
      <c r="A1507" s="77"/>
      <c r="B1507" s="102"/>
      <c r="C1507" s="102"/>
      <c r="D1507" s="102"/>
      <c r="E1507" s="102"/>
      <c r="F1507" s="102"/>
      <c r="G1507" s="102"/>
      <c r="H1507" s="295"/>
      <c r="I1507" s="102"/>
      <c r="J1507" s="77"/>
      <c r="K1507" s="77"/>
      <c r="L1507" s="77"/>
      <c r="M1507" s="77"/>
      <c r="N1507" s="77"/>
      <c r="O1507" s="77"/>
      <c r="P1507" s="268"/>
      <c r="Q1507" s="268"/>
      <c r="R1507" s="77"/>
      <c r="S1507" s="77"/>
      <c r="T1507" s="77"/>
      <c r="U1507" s="77"/>
      <c r="V1507" s="77"/>
      <c r="W1507" s="77"/>
      <c r="X1507" s="77"/>
      <c r="Y1507" s="77"/>
      <c r="Z1507" s="77"/>
      <c r="AA1507" s="77"/>
      <c r="AB1507" s="77"/>
      <c r="AC1507" s="77"/>
      <c r="AD1507" s="77"/>
      <c r="AE1507" s="77"/>
      <c r="AF1507" s="77"/>
      <c r="AG1507" s="77"/>
      <c r="AH1507" s="87"/>
      <c r="AI1507" s="87"/>
      <c r="AJ1507" s="87"/>
      <c r="AK1507" s="87"/>
      <c r="AL1507" s="87"/>
    </row>
    <row r="1508">
      <c r="A1508" s="77"/>
      <c r="B1508" s="102"/>
      <c r="C1508" s="102"/>
      <c r="D1508" s="102"/>
      <c r="E1508" s="102"/>
      <c r="F1508" s="102"/>
      <c r="G1508" s="102"/>
      <c r="H1508" s="295"/>
      <c r="I1508" s="102"/>
      <c r="J1508" s="77"/>
      <c r="K1508" s="77"/>
      <c r="L1508" s="77"/>
      <c r="M1508" s="77"/>
      <c r="N1508" s="77"/>
      <c r="O1508" s="77"/>
      <c r="P1508" s="268"/>
      <c r="Q1508" s="268"/>
      <c r="R1508" s="77"/>
      <c r="S1508" s="77"/>
      <c r="T1508" s="77"/>
      <c r="U1508" s="77"/>
      <c r="V1508" s="77"/>
      <c r="W1508" s="77"/>
      <c r="X1508" s="77"/>
      <c r="Y1508" s="77"/>
      <c r="Z1508" s="77"/>
      <c r="AA1508" s="77"/>
      <c r="AB1508" s="77"/>
      <c r="AC1508" s="77"/>
      <c r="AD1508" s="77"/>
      <c r="AE1508" s="77"/>
      <c r="AF1508" s="77"/>
      <c r="AG1508" s="77"/>
      <c r="AH1508" s="87"/>
      <c r="AI1508" s="87"/>
      <c r="AJ1508" s="87"/>
      <c r="AK1508" s="87"/>
      <c r="AL1508" s="87"/>
    </row>
    <row r="1509">
      <c r="A1509" s="77"/>
      <c r="B1509" s="102"/>
      <c r="C1509" s="102"/>
      <c r="D1509" s="102"/>
      <c r="E1509" s="102"/>
      <c r="F1509" s="102"/>
      <c r="G1509" s="102"/>
      <c r="H1509" s="295"/>
      <c r="I1509" s="102"/>
      <c r="J1509" s="77"/>
      <c r="K1509" s="77"/>
      <c r="L1509" s="77"/>
      <c r="M1509" s="77"/>
      <c r="N1509" s="77"/>
      <c r="O1509" s="77"/>
      <c r="P1509" s="268"/>
      <c r="Q1509" s="268"/>
      <c r="R1509" s="77"/>
      <c r="S1509" s="77"/>
      <c r="T1509" s="77"/>
      <c r="U1509" s="77"/>
      <c r="V1509" s="77"/>
      <c r="W1509" s="77"/>
      <c r="X1509" s="77"/>
      <c r="Y1509" s="77"/>
      <c r="Z1509" s="77"/>
      <c r="AA1509" s="77"/>
      <c r="AB1509" s="77"/>
      <c r="AC1509" s="77"/>
      <c r="AD1509" s="77"/>
      <c r="AE1509" s="77"/>
      <c r="AF1509" s="77"/>
      <c r="AG1509" s="77"/>
      <c r="AH1509" s="87"/>
      <c r="AI1509" s="87"/>
      <c r="AJ1509" s="87"/>
      <c r="AK1509" s="87"/>
      <c r="AL1509" s="87"/>
    </row>
    <row r="1510">
      <c r="A1510" s="77"/>
      <c r="B1510" s="102"/>
      <c r="C1510" s="102"/>
      <c r="D1510" s="102"/>
      <c r="E1510" s="102"/>
      <c r="F1510" s="102"/>
      <c r="G1510" s="102"/>
      <c r="H1510" s="295"/>
      <c r="I1510" s="102"/>
      <c r="J1510" s="77"/>
      <c r="K1510" s="77"/>
      <c r="L1510" s="77"/>
      <c r="M1510" s="77"/>
      <c r="N1510" s="77"/>
      <c r="O1510" s="77"/>
      <c r="P1510" s="268"/>
      <c r="Q1510" s="268"/>
      <c r="R1510" s="77"/>
      <c r="S1510" s="77"/>
      <c r="T1510" s="77"/>
      <c r="U1510" s="77"/>
      <c r="V1510" s="77"/>
      <c r="W1510" s="77"/>
      <c r="X1510" s="77"/>
      <c r="Y1510" s="77"/>
      <c r="Z1510" s="77"/>
      <c r="AA1510" s="77"/>
      <c r="AB1510" s="77"/>
      <c r="AC1510" s="77"/>
      <c r="AD1510" s="77"/>
      <c r="AE1510" s="77"/>
      <c r="AF1510" s="77"/>
      <c r="AG1510" s="77"/>
      <c r="AH1510" s="87"/>
      <c r="AI1510" s="87"/>
      <c r="AJ1510" s="87"/>
      <c r="AK1510" s="87"/>
      <c r="AL1510" s="87"/>
    </row>
    <row r="1511">
      <c r="A1511" s="77"/>
      <c r="B1511" s="102"/>
      <c r="C1511" s="102"/>
      <c r="D1511" s="102"/>
      <c r="E1511" s="102"/>
      <c r="F1511" s="102"/>
      <c r="G1511" s="102"/>
      <c r="H1511" s="295"/>
      <c r="I1511" s="102"/>
      <c r="J1511" s="77"/>
      <c r="K1511" s="77"/>
      <c r="L1511" s="77"/>
      <c r="M1511" s="77"/>
      <c r="N1511" s="77"/>
      <c r="O1511" s="77"/>
      <c r="P1511" s="268"/>
      <c r="Q1511" s="268"/>
      <c r="R1511" s="77"/>
      <c r="S1511" s="77"/>
      <c r="T1511" s="77"/>
      <c r="U1511" s="77"/>
      <c r="V1511" s="77"/>
      <c r="W1511" s="77"/>
      <c r="X1511" s="77"/>
      <c r="Y1511" s="77"/>
      <c r="Z1511" s="77"/>
      <c r="AA1511" s="77"/>
      <c r="AB1511" s="77"/>
      <c r="AC1511" s="77"/>
      <c r="AD1511" s="77"/>
      <c r="AE1511" s="77"/>
      <c r="AF1511" s="77"/>
      <c r="AG1511" s="77"/>
      <c r="AH1511" s="87"/>
      <c r="AI1511" s="87"/>
      <c r="AJ1511" s="87"/>
      <c r="AK1511" s="87"/>
      <c r="AL1511" s="87"/>
    </row>
    <row r="1512">
      <c r="A1512" s="77"/>
      <c r="B1512" s="102"/>
      <c r="C1512" s="102"/>
      <c r="D1512" s="102"/>
      <c r="E1512" s="102"/>
      <c r="F1512" s="102"/>
      <c r="G1512" s="102"/>
      <c r="H1512" s="295"/>
      <c r="I1512" s="102"/>
      <c r="J1512" s="77"/>
      <c r="K1512" s="77"/>
      <c r="L1512" s="77"/>
      <c r="M1512" s="77"/>
      <c r="N1512" s="77"/>
      <c r="O1512" s="77"/>
      <c r="P1512" s="268"/>
      <c r="Q1512" s="268"/>
      <c r="R1512" s="77"/>
      <c r="S1512" s="77"/>
      <c r="T1512" s="77"/>
      <c r="U1512" s="77"/>
      <c r="V1512" s="77"/>
      <c r="W1512" s="77"/>
      <c r="X1512" s="77"/>
      <c r="Y1512" s="77"/>
      <c r="Z1512" s="77"/>
      <c r="AA1512" s="77"/>
      <c r="AB1512" s="77"/>
      <c r="AC1512" s="77"/>
      <c r="AD1512" s="77"/>
      <c r="AE1512" s="77"/>
      <c r="AF1512" s="77"/>
      <c r="AG1512" s="77"/>
      <c r="AH1512" s="87"/>
      <c r="AI1512" s="87"/>
      <c r="AJ1512" s="87"/>
      <c r="AK1512" s="87"/>
      <c r="AL1512" s="87"/>
    </row>
    <row r="1513">
      <c r="A1513" s="77"/>
      <c r="B1513" s="102"/>
      <c r="C1513" s="102"/>
      <c r="D1513" s="102"/>
      <c r="E1513" s="102"/>
      <c r="F1513" s="102"/>
      <c r="G1513" s="102"/>
      <c r="H1513" s="295"/>
      <c r="I1513" s="102"/>
      <c r="J1513" s="77"/>
      <c r="K1513" s="77"/>
      <c r="L1513" s="77"/>
      <c r="M1513" s="77"/>
      <c r="N1513" s="77"/>
      <c r="O1513" s="77"/>
      <c r="P1513" s="268"/>
      <c r="Q1513" s="268"/>
      <c r="R1513" s="77"/>
      <c r="S1513" s="77"/>
      <c r="T1513" s="77"/>
      <c r="U1513" s="77"/>
      <c r="V1513" s="77"/>
      <c r="W1513" s="77"/>
      <c r="X1513" s="77"/>
      <c r="Y1513" s="77"/>
      <c r="Z1513" s="77"/>
      <c r="AA1513" s="77"/>
      <c r="AB1513" s="77"/>
      <c r="AC1513" s="77"/>
      <c r="AD1513" s="77"/>
      <c r="AE1513" s="77"/>
      <c r="AF1513" s="77"/>
      <c r="AG1513" s="77"/>
      <c r="AH1513" s="87"/>
      <c r="AI1513" s="87"/>
      <c r="AJ1513" s="87"/>
      <c r="AK1513" s="87"/>
      <c r="AL1513" s="87"/>
    </row>
    <row r="1514">
      <c r="A1514" s="77"/>
      <c r="B1514" s="102"/>
      <c r="C1514" s="102"/>
      <c r="D1514" s="102"/>
      <c r="E1514" s="102"/>
      <c r="F1514" s="102"/>
      <c r="G1514" s="102"/>
      <c r="H1514" s="295"/>
      <c r="I1514" s="102"/>
      <c r="J1514" s="77"/>
      <c r="K1514" s="77"/>
      <c r="L1514" s="77"/>
      <c r="M1514" s="77"/>
      <c r="N1514" s="77"/>
      <c r="O1514" s="77"/>
      <c r="P1514" s="268"/>
      <c r="Q1514" s="268"/>
      <c r="R1514" s="77"/>
      <c r="S1514" s="77"/>
      <c r="T1514" s="77"/>
      <c r="U1514" s="77"/>
      <c r="V1514" s="77"/>
      <c r="W1514" s="77"/>
      <c r="X1514" s="77"/>
      <c r="Y1514" s="77"/>
      <c r="Z1514" s="77"/>
      <c r="AA1514" s="77"/>
      <c r="AB1514" s="77"/>
      <c r="AC1514" s="77"/>
      <c r="AD1514" s="77"/>
      <c r="AE1514" s="77"/>
      <c r="AF1514" s="77"/>
      <c r="AG1514" s="77"/>
      <c r="AH1514" s="87"/>
      <c r="AI1514" s="87"/>
      <c r="AJ1514" s="87"/>
      <c r="AK1514" s="87"/>
      <c r="AL1514" s="87"/>
    </row>
    <row r="1515">
      <c r="A1515" s="77"/>
      <c r="B1515" s="102"/>
      <c r="C1515" s="102"/>
      <c r="D1515" s="102"/>
      <c r="E1515" s="102"/>
      <c r="F1515" s="102"/>
      <c r="G1515" s="102"/>
      <c r="H1515" s="295"/>
      <c r="I1515" s="102"/>
      <c r="J1515" s="77"/>
      <c r="K1515" s="77"/>
      <c r="L1515" s="77"/>
      <c r="M1515" s="77"/>
      <c r="N1515" s="77"/>
      <c r="O1515" s="77"/>
      <c r="P1515" s="268"/>
      <c r="Q1515" s="268"/>
      <c r="R1515" s="77"/>
      <c r="S1515" s="77"/>
      <c r="T1515" s="77"/>
      <c r="U1515" s="77"/>
      <c r="V1515" s="77"/>
      <c r="W1515" s="77"/>
      <c r="X1515" s="77"/>
      <c r="Y1515" s="77"/>
      <c r="Z1515" s="77"/>
      <c r="AA1515" s="77"/>
      <c r="AB1515" s="77"/>
      <c r="AC1515" s="77"/>
      <c r="AD1515" s="77"/>
      <c r="AE1515" s="77"/>
      <c r="AF1515" s="77"/>
      <c r="AG1515" s="77"/>
      <c r="AH1515" s="87"/>
      <c r="AI1515" s="87"/>
      <c r="AJ1515" s="87"/>
      <c r="AK1515" s="87"/>
      <c r="AL1515" s="87"/>
    </row>
    <row r="1516">
      <c r="A1516" s="77"/>
      <c r="B1516" s="102"/>
      <c r="C1516" s="102"/>
      <c r="D1516" s="102"/>
      <c r="E1516" s="102"/>
      <c r="F1516" s="102"/>
      <c r="G1516" s="102"/>
      <c r="H1516" s="295"/>
      <c r="I1516" s="102"/>
      <c r="J1516" s="77"/>
      <c r="K1516" s="77"/>
      <c r="L1516" s="77"/>
      <c r="M1516" s="77"/>
      <c r="N1516" s="77"/>
      <c r="O1516" s="77"/>
      <c r="P1516" s="268"/>
      <c r="Q1516" s="268"/>
      <c r="R1516" s="77"/>
      <c r="S1516" s="77"/>
      <c r="T1516" s="77"/>
      <c r="U1516" s="77"/>
      <c r="V1516" s="77"/>
      <c r="W1516" s="77"/>
      <c r="X1516" s="77"/>
      <c r="Y1516" s="77"/>
      <c r="Z1516" s="77"/>
      <c r="AA1516" s="77"/>
      <c r="AB1516" s="77"/>
      <c r="AC1516" s="77"/>
      <c r="AD1516" s="77"/>
      <c r="AE1516" s="77"/>
      <c r="AF1516" s="77"/>
      <c r="AG1516" s="77"/>
      <c r="AH1516" s="87"/>
      <c r="AI1516" s="87"/>
      <c r="AJ1516" s="87"/>
      <c r="AK1516" s="87"/>
      <c r="AL1516" s="87"/>
    </row>
    <row r="1517">
      <c r="A1517" s="77"/>
      <c r="B1517" s="102"/>
      <c r="C1517" s="102"/>
      <c r="D1517" s="102"/>
      <c r="E1517" s="102"/>
      <c r="F1517" s="102"/>
      <c r="G1517" s="102"/>
      <c r="H1517" s="295"/>
      <c r="I1517" s="102"/>
      <c r="J1517" s="77"/>
      <c r="K1517" s="77"/>
      <c r="L1517" s="77"/>
      <c r="M1517" s="77"/>
      <c r="N1517" s="77"/>
      <c r="O1517" s="77"/>
      <c r="P1517" s="268"/>
      <c r="Q1517" s="268"/>
      <c r="R1517" s="77"/>
      <c r="S1517" s="77"/>
      <c r="T1517" s="77"/>
      <c r="U1517" s="77"/>
      <c r="V1517" s="77"/>
      <c r="W1517" s="77"/>
      <c r="X1517" s="77"/>
      <c r="Y1517" s="77"/>
      <c r="Z1517" s="77"/>
      <c r="AA1517" s="77"/>
      <c r="AB1517" s="77"/>
      <c r="AC1517" s="77"/>
      <c r="AD1517" s="77"/>
      <c r="AE1517" s="77"/>
      <c r="AF1517" s="77"/>
      <c r="AG1517" s="77"/>
      <c r="AH1517" s="87"/>
      <c r="AI1517" s="87"/>
      <c r="AJ1517" s="87"/>
      <c r="AK1517" s="87"/>
      <c r="AL1517" s="87"/>
    </row>
    <row r="1518">
      <c r="A1518" s="77"/>
      <c r="B1518" s="102"/>
      <c r="C1518" s="102"/>
      <c r="D1518" s="102"/>
      <c r="E1518" s="102"/>
      <c r="F1518" s="102"/>
      <c r="G1518" s="102"/>
      <c r="H1518" s="295"/>
      <c r="I1518" s="102"/>
      <c r="J1518" s="77"/>
      <c r="K1518" s="77"/>
      <c r="L1518" s="77"/>
      <c r="M1518" s="77"/>
      <c r="N1518" s="77"/>
      <c r="O1518" s="77"/>
      <c r="P1518" s="268"/>
      <c r="Q1518" s="268"/>
      <c r="R1518" s="77"/>
      <c r="S1518" s="77"/>
      <c r="T1518" s="77"/>
      <c r="U1518" s="77"/>
      <c r="V1518" s="77"/>
      <c r="W1518" s="77"/>
      <c r="X1518" s="77"/>
      <c r="Y1518" s="77"/>
      <c r="Z1518" s="77"/>
      <c r="AA1518" s="77"/>
      <c r="AB1518" s="77"/>
      <c r="AC1518" s="77"/>
      <c r="AD1518" s="77"/>
      <c r="AE1518" s="77"/>
      <c r="AF1518" s="77"/>
      <c r="AG1518" s="77"/>
      <c r="AH1518" s="87"/>
      <c r="AI1518" s="87"/>
      <c r="AJ1518" s="87"/>
      <c r="AK1518" s="87"/>
      <c r="AL1518" s="87"/>
    </row>
    <row r="1519">
      <c r="A1519" s="77"/>
      <c r="B1519" s="102"/>
      <c r="C1519" s="102"/>
      <c r="D1519" s="102"/>
      <c r="E1519" s="102"/>
      <c r="F1519" s="102"/>
      <c r="G1519" s="102"/>
      <c r="H1519" s="295"/>
      <c r="I1519" s="102"/>
      <c r="J1519" s="77"/>
      <c r="K1519" s="77"/>
      <c r="L1519" s="77"/>
      <c r="M1519" s="77"/>
      <c r="N1519" s="77"/>
      <c r="O1519" s="77"/>
      <c r="P1519" s="268"/>
      <c r="Q1519" s="268"/>
      <c r="R1519" s="77"/>
      <c r="S1519" s="77"/>
      <c r="T1519" s="77"/>
      <c r="U1519" s="77"/>
      <c r="V1519" s="77"/>
      <c r="W1519" s="77"/>
      <c r="X1519" s="77"/>
      <c r="Y1519" s="77"/>
      <c r="Z1519" s="77"/>
      <c r="AA1519" s="77"/>
      <c r="AB1519" s="77"/>
      <c r="AC1519" s="77"/>
      <c r="AD1519" s="77"/>
      <c r="AE1519" s="77"/>
      <c r="AF1519" s="77"/>
      <c r="AG1519" s="77"/>
      <c r="AH1519" s="87"/>
      <c r="AI1519" s="87"/>
      <c r="AJ1519" s="87"/>
      <c r="AK1519" s="87"/>
      <c r="AL1519" s="87"/>
    </row>
    <row r="1520">
      <c r="A1520" s="77"/>
      <c r="B1520" s="102"/>
      <c r="C1520" s="102"/>
      <c r="D1520" s="102"/>
      <c r="E1520" s="102"/>
      <c r="F1520" s="102"/>
      <c r="G1520" s="102"/>
      <c r="H1520" s="295"/>
      <c r="I1520" s="102"/>
      <c r="J1520" s="77"/>
      <c r="K1520" s="77"/>
      <c r="L1520" s="77"/>
      <c r="M1520" s="77"/>
      <c r="N1520" s="77"/>
      <c r="O1520" s="77"/>
      <c r="P1520" s="268"/>
      <c r="Q1520" s="268"/>
      <c r="R1520" s="77"/>
      <c r="S1520" s="77"/>
      <c r="T1520" s="77"/>
      <c r="U1520" s="77"/>
      <c r="V1520" s="77"/>
      <c r="W1520" s="77"/>
      <c r="X1520" s="77"/>
      <c r="Y1520" s="77"/>
      <c r="Z1520" s="77"/>
      <c r="AA1520" s="77"/>
      <c r="AB1520" s="77"/>
      <c r="AC1520" s="77"/>
      <c r="AD1520" s="77"/>
      <c r="AE1520" s="77"/>
      <c r="AF1520" s="77"/>
      <c r="AG1520" s="77"/>
      <c r="AH1520" s="87"/>
      <c r="AI1520" s="87"/>
      <c r="AJ1520" s="87"/>
      <c r="AK1520" s="87"/>
      <c r="AL1520" s="87"/>
    </row>
    <row r="1521">
      <c r="A1521" s="77"/>
      <c r="B1521" s="102"/>
      <c r="C1521" s="102"/>
      <c r="D1521" s="102"/>
      <c r="E1521" s="102"/>
      <c r="F1521" s="102"/>
      <c r="G1521" s="102"/>
      <c r="H1521" s="295"/>
      <c r="I1521" s="102"/>
      <c r="J1521" s="77"/>
      <c r="K1521" s="77"/>
      <c r="L1521" s="77"/>
      <c r="M1521" s="77"/>
      <c r="N1521" s="77"/>
      <c r="O1521" s="77"/>
      <c r="P1521" s="268"/>
      <c r="Q1521" s="268"/>
      <c r="R1521" s="77"/>
      <c r="S1521" s="77"/>
      <c r="T1521" s="77"/>
      <c r="U1521" s="77"/>
      <c r="V1521" s="77"/>
      <c r="W1521" s="77"/>
      <c r="X1521" s="77"/>
      <c r="Y1521" s="77"/>
      <c r="Z1521" s="77"/>
      <c r="AA1521" s="77"/>
      <c r="AB1521" s="77"/>
      <c r="AC1521" s="77"/>
      <c r="AD1521" s="77"/>
      <c r="AE1521" s="77"/>
      <c r="AF1521" s="77"/>
      <c r="AG1521" s="77"/>
      <c r="AH1521" s="87"/>
      <c r="AI1521" s="87"/>
      <c r="AJ1521" s="87"/>
      <c r="AK1521" s="87"/>
      <c r="AL1521" s="87"/>
    </row>
    <row r="1522">
      <c r="A1522" s="77"/>
      <c r="B1522" s="102"/>
      <c r="C1522" s="102"/>
      <c r="D1522" s="102"/>
      <c r="E1522" s="102"/>
      <c r="F1522" s="102"/>
      <c r="G1522" s="102"/>
      <c r="H1522" s="295"/>
      <c r="I1522" s="102"/>
      <c r="J1522" s="77"/>
      <c r="K1522" s="77"/>
      <c r="L1522" s="77"/>
      <c r="M1522" s="77"/>
      <c r="N1522" s="77"/>
      <c r="O1522" s="77"/>
      <c r="P1522" s="268"/>
      <c r="Q1522" s="268"/>
      <c r="R1522" s="77"/>
      <c r="S1522" s="77"/>
      <c r="T1522" s="77"/>
      <c r="U1522" s="77"/>
      <c r="V1522" s="77"/>
      <c r="W1522" s="77"/>
      <c r="X1522" s="77"/>
      <c r="Y1522" s="77"/>
      <c r="Z1522" s="77"/>
      <c r="AA1522" s="77"/>
      <c r="AB1522" s="77"/>
      <c r="AC1522" s="77"/>
      <c r="AD1522" s="77"/>
      <c r="AE1522" s="77"/>
      <c r="AF1522" s="77"/>
      <c r="AG1522" s="77"/>
      <c r="AH1522" s="87"/>
      <c r="AI1522" s="87"/>
      <c r="AJ1522" s="87"/>
      <c r="AK1522" s="87"/>
      <c r="AL1522" s="87"/>
    </row>
    <row r="1523">
      <c r="A1523" s="77"/>
      <c r="B1523" s="102"/>
      <c r="C1523" s="102"/>
      <c r="D1523" s="102"/>
      <c r="E1523" s="102"/>
      <c r="F1523" s="102"/>
      <c r="G1523" s="102"/>
      <c r="H1523" s="295"/>
      <c r="I1523" s="102"/>
      <c r="J1523" s="77"/>
      <c r="K1523" s="77"/>
      <c r="L1523" s="77"/>
      <c r="M1523" s="77"/>
      <c r="N1523" s="77"/>
      <c r="O1523" s="77"/>
      <c r="P1523" s="268"/>
      <c r="Q1523" s="268"/>
      <c r="R1523" s="77"/>
      <c r="S1523" s="77"/>
      <c r="T1523" s="77"/>
      <c r="U1523" s="77"/>
      <c r="V1523" s="77"/>
      <c r="W1523" s="77"/>
      <c r="X1523" s="77"/>
      <c r="Y1523" s="77"/>
      <c r="Z1523" s="77"/>
      <c r="AA1523" s="77"/>
      <c r="AB1523" s="77"/>
      <c r="AC1523" s="77"/>
      <c r="AD1523" s="77"/>
      <c r="AE1523" s="77"/>
      <c r="AF1523" s="77"/>
      <c r="AG1523" s="77"/>
      <c r="AH1523" s="87"/>
      <c r="AI1523" s="87"/>
      <c r="AJ1523" s="87"/>
      <c r="AK1523" s="87"/>
      <c r="AL1523" s="87"/>
    </row>
    <row r="1524">
      <c r="A1524" s="77"/>
      <c r="B1524" s="102"/>
      <c r="C1524" s="102"/>
      <c r="D1524" s="102"/>
      <c r="E1524" s="102"/>
      <c r="F1524" s="102"/>
      <c r="G1524" s="102"/>
      <c r="H1524" s="295"/>
      <c r="I1524" s="102"/>
      <c r="J1524" s="77"/>
      <c r="K1524" s="77"/>
      <c r="L1524" s="77"/>
      <c r="M1524" s="77"/>
      <c r="N1524" s="77"/>
      <c r="O1524" s="77"/>
      <c r="P1524" s="268"/>
      <c r="Q1524" s="268"/>
      <c r="R1524" s="77"/>
      <c r="S1524" s="77"/>
      <c r="T1524" s="77"/>
      <c r="U1524" s="77"/>
      <c r="V1524" s="77"/>
      <c r="W1524" s="77"/>
      <c r="X1524" s="77"/>
      <c r="Y1524" s="77"/>
      <c r="Z1524" s="77"/>
      <c r="AA1524" s="77"/>
      <c r="AB1524" s="77"/>
      <c r="AC1524" s="77"/>
      <c r="AD1524" s="77"/>
      <c r="AE1524" s="77"/>
      <c r="AF1524" s="77"/>
      <c r="AG1524" s="77"/>
      <c r="AH1524" s="87"/>
      <c r="AI1524" s="87"/>
      <c r="AJ1524" s="87"/>
      <c r="AK1524" s="87"/>
      <c r="AL1524" s="87"/>
    </row>
    <row r="1525">
      <c r="A1525" s="77"/>
      <c r="B1525" s="102"/>
      <c r="C1525" s="102"/>
      <c r="D1525" s="102"/>
      <c r="E1525" s="102"/>
      <c r="F1525" s="102"/>
      <c r="G1525" s="102"/>
      <c r="H1525" s="295"/>
      <c r="I1525" s="102"/>
      <c r="J1525" s="77"/>
      <c r="K1525" s="77"/>
      <c r="L1525" s="77"/>
      <c r="M1525" s="77"/>
      <c r="N1525" s="77"/>
      <c r="O1525" s="77"/>
      <c r="P1525" s="268"/>
      <c r="Q1525" s="268"/>
      <c r="R1525" s="77"/>
      <c r="S1525" s="77"/>
      <c r="T1525" s="77"/>
      <c r="U1525" s="77"/>
      <c r="V1525" s="77"/>
      <c r="W1525" s="77"/>
      <c r="X1525" s="77"/>
      <c r="Y1525" s="77"/>
      <c r="Z1525" s="77"/>
      <c r="AA1525" s="77"/>
      <c r="AB1525" s="77"/>
      <c r="AC1525" s="77"/>
      <c r="AD1525" s="77"/>
      <c r="AE1525" s="77"/>
      <c r="AF1525" s="77"/>
      <c r="AG1525" s="77"/>
      <c r="AH1525" s="87"/>
      <c r="AI1525" s="87"/>
      <c r="AJ1525" s="87"/>
      <c r="AK1525" s="87"/>
      <c r="AL1525" s="87"/>
    </row>
    <row r="1526">
      <c r="A1526" s="77"/>
      <c r="B1526" s="102"/>
      <c r="C1526" s="102"/>
      <c r="D1526" s="102"/>
      <c r="E1526" s="102"/>
      <c r="F1526" s="102"/>
      <c r="G1526" s="102"/>
      <c r="H1526" s="295"/>
      <c r="I1526" s="102"/>
      <c r="J1526" s="77"/>
      <c r="K1526" s="77"/>
      <c r="L1526" s="77"/>
      <c r="M1526" s="77"/>
      <c r="N1526" s="77"/>
      <c r="O1526" s="77"/>
      <c r="P1526" s="268"/>
      <c r="Q1526" s="268"/>
      <c r="R1526" s="77"/>
      <c r="S1526" s="77"/>
      <c r="T1526" s="77"/>
      <c r="U1526" s="77"/>
      <c r="V1526" s="77"/>
      <c r="W1526" s="77"/>
      <c r="X1526" s="77"/>
      <c r="Y1526" s="77"/>
      <c r="Z1526" s="77"/>
      <c r="AA1526" s="77"/>
      <c r="AB1526" s="77"/>
      <c r="AC1526" s="77"/>
      <c r="AD1526" s="77"/>
      <c r="AE1526" s="77"/>
      <c r="AF1526" s="77"/>
      <c r="AG1526" s="77"/>
      <c r="AH1526" s="87"/>
      <c r="AI1526" s="87"/>
      <c r="AJ1526" s="87"/>
      <c r="AK1526" s="87"/>
      <c r="AL1526" s="87"/>
    </row>
    <row r="1527">
      <c r="A1527" s="77"/>
      <c r="B1527" s="102"/>
      <c r="C1527" s="102"/>
      <c r="D1527" s="102"/>
      <c r="E1527" s="102"/>
      <c r="F1527" s="102"/>
      <c r="G1527" s="102"/>
      <c r="H1527" s="295"/>
      <c r="I1527" s="102"/>
      <c r="J1527" s="77"/>
      <c r="K1527" s="77"/>
      <c r="L1527" s="77"/>
      <c r="M1527" s="77"/>
      <c r="N1527" s="77"/>
      <c r="O1527" s="77"/>
      <c r="P1527" s="268"/>
      <c r="Q1527" s="268"/>
      <c r="R1527" s="77"/>
      <c r="S1527" s="77"/>
      <c r="T1527" s="77"/>
      <c r="U1527" s="77"/>
      <c r="V1527" s="77"/>
      <c r="W1527" s="77"/>
      <c r="X1527" s="77"/>
      <c r="Y1527" s="77"/>
      <c r="Z1527" s="77"/>
      <c r="AA1527" s="77"/>
      <c r="AB1527" s="77"/>
      <c r="AC1527" s="77"/>
      <c r="AD1527" s="77"/>
      <c r="AE1527" s="77"/>
      <c r="AF1527" s="77"/>
      <c r="AG1527" s="77"/>
      <c r="AH1527" s="87"/>
      <c r="AI1527" s="87"/>
      <c r="AJ1527" s="87"/>
      <c r="AK1527" s="87"/>
      <c r="AL1527" s="87"/>
    </row>
    <row r="1528">
      <c r="A1528" s="77"/>
      <c r="B1528" s="102"/>
      <c r="C1528" s="102"/>
      <c r="D1528" s="102"/>
      <c r="E1528" s="102"/>
      <c r="F1528" s="102"/>
      <c r="G1528" s="102"/>
      <c r="H1528" s="295"/>
      <c r="I1528" s="102"/>
      <c r="J1528" s="77"/>
      <c r="K1528" s="77"/>
      <c r="L1528" s="77"/>
      <c r="M1528" s="77"/>
      <c r="N1528" s="77"/>
      <c r="O1528" s="77"/>
      <c r="P1528" s="268"/>
      <c r="Q1528" s="268"/>
      <c r="R1528" s="77"/>
      <c r="S1528" s="77"/>
      <c r="T1528" s="77"/>
      <c r="U1528" s="77"/>
      <c r="V1528" s="77"/>
      <c r="W1528" s="77"/>
      <c r="X1528" s="77"/>
      <c r="Y1528" s="77"/>
      <c r="Z1528" s="77"/>
      <c r="AA1528" s="77"/>
      <c r="AB1528" s="77"/>
      <c r="AC1528" s="77"/>
      <c r="AD1528" s="77"/>
      <c r="AE1528" s="77"/>
      <c r="AF1528" s="77"/>
      <c r="AG1528" s="77"/>
      <c r="AH1528" s="87"/>
      <c r="AI1528" s="87"/>
      <c r="AJ1528" s="87"/>
      <c r="AK1528" s="87"/>
      <c r="AL1528" s="87"/>
    </row>
    <row r="1529">
      <c r="A1529" s="77"/>
      <c r="B1529" s="102"/>
      <c r="C1529" s="102"/>
      <c r="D1529" s="102"/>
      <c r="E1529" s="102"/>
      <c r="F1529" s="102"/>
      <c r="G1529" s="102"/>
      <c r="H1529" s="295"/>
      <c r="I1529" s="102"/>
      <c r="J1529" s="77"/>
      <c r="K1529" s="77"/>
      <c r="L1529" s="77"/>
      <c r="M1529" s="77"/>
      <c r="N1529" s="77"/>
      <c r="O1529" s="77"/>
      <c r="P1529" s="268"/>
      <c r="Q1529" s="268"/>
      <c r="R1529" s="77"/>
      <c r="S1529" s="77"/>
      <c r="T1529" s="77"/>
      <c r="U1529" s="77"/>
      <c r="V1529" s="77"/>
      <c r="W1529" s="77"/>
      <c r="X1529" s="77"/>
      <c r="Y1529" s="77"/>
      <c r="Z1529" s="77"/>
      <c r="AA1529" s="77"/>
      <c r="AB1529" s="77"/>
      <c r="AC1529" s="77"/>
      <c r="AD1529" s="77"/>
      <c r="AE1529" s="77"/>
      <c r="AF1529" s="77"/>
      <c r="AG1529" s="77"/>
      <c r="AH1529" s="87"/>
      <c r="AI1529" s="87"/>
      <c r="AJ1529" s="87"/>
      <c r="AK1529" s="87"/>
      <c r="AL1529" s="87"/>
    </row>
    <row r="1530">
      <c r="A1530" s="77"/>
      <c r="B1530" s="102"/>
      <c r="C1530" s="102"/>
      <c r="D1530" s="102"/>
      <c r="E1530" s="102"/>
      <c r="F1530" s="102"/>
      <c r="G1530" s="102"/>
      <c r="H1530" s="295"/>
      <c r="I1530" s="102"/>
      <c r="J1530" s="77"/>
      <c r="K1530" s="77"/>
      <c r="L1530" s="77"/>
      <c r="M1530" s="77"/>
      <c r="N1530" s="77"/>
      <c r="O1530" s="77"/>
      <c r="P1530" s="268"/>
      <c r="Q1530" s="268"/>
      <c r="R1530" s="77"/>
      <c r="S1530" s="77"/>
      <c r="T1530" s="77"/>
      <c r="U1530" s="77"/>
      <c r="V1530" s="77"/>
      <c r="W1530" s="77"/>
      <c r="X1530" s="77"/>
      <c r="Y1530" s="77"/>
      <c r="Z1530" s="77"/>
      <c r="AA1530" s="77"/>
      <c r="AB1530" s="77"/>
      <c r="AC1530" s="77"/>
      <c r="AD1530" s="77"/>
      <c r="AE1530" s="77"/>
      <c r="AF1530" s="77"/>
      <c r="AG1530" s="77"/>
      <c r="AH1530" s="87"/>
      <c r="AI1530" s="87"/>
      <c r="AJ1530" s="87"/>
      <c r="AK1530" s="87"/>
      <c r="AL1530" s="87"/>
    </row>
    <row r="1531">
      <c r="A1531" s="77"/>
      <c r="B1531" s="102"/>
      <c r="C1531" s="102"/>
      <c r="D1531" s="102"/>
      <c r="E1531" s="102"/>
      <c r="F1531" s="102"/>
      <c r="G1531" s="102"/>
      <c r="H1531" s="295"/>
      <c r="I1531" s="102"/>
      <c r="J1531" s="77"/>
      <c r="K1531" s="77"/>
      <c r="L1531" s="77"/>
      <c r="M1531" s="77"/>
      <c r="N1531" s="77"/>
      <c r="O1531" s="77"/>
      <c r="P1531" s="268"/>
      <c r="Q1531" s="268"/>
      <c r="R1531" s="77"/>
      <c r="S1531" s="77"/>
      <c r="T1531" s="77"/>
      <c r="U1531" s="77"/>
      <c r="V1531" s="77"/>
      <c r="W1531" s="77"/>
      <c r="X1531" s="77"/>
      <c r="Y1531" s="77"/>
      <c r="Z1531" s="77"/>
      <c r="AA1531" s="77"/>
      <c r="AB1531" s="77"/>
      <c r="AC1531" s="77"/>
      <c r="AD1531" s="77"/>
      <c r="AE1531" s="77"/>
      <c r="AF1531" s="77"/>
      <c r="AG1531" s="77"/>
      <c r="AH1531" s="87"/>
      <c r="AI1531" s="87"/>
      <c r="AJ1531" s="87"/>
      <c r="AK1531" s="87"/>
      <c r="AL1531" s="87"/>
    </row>
    <row r="1532">
      <c r="A1532" s="77"/>
      <c r="B1532" s="102"/>
      <c r="C1532" s="102"/>
      <c r="D1532" s="102"/>
      <c r="E1532" s="102"/>
      <c r="F1532" s="102"/>
      <c r="G1532" s="102"/>
      <c r="H1532" s="295"/>
      <c r="I1532" s="102"/>
      <c r="J1532" s="77"/>
      <c r="K1532" s="77"/>
      <c r="L1532" s="77"/>
      <c r="M1532" s="77"/>
      <c r="N1532" s="77"/>
      <c r="O1532" s="77"/>
      <c r="P1532" s="268"/>
      <c r="Q1532" s="268"/>
      <c r="R1532" s="77"/>
      <c r="S1532" s="77"/>
      <c r="T1532" s="77"/>
      <c r="U1532" s="77"/>
      <c r="V1532" s="77"/>
      <c r="W1532" s="77"/>
      <c r="X1532" s="77"/>
      <c r="Y1532" s="77"/>
      <c r="Z1532" s="77"/>
      <c r="AA1532" s="77"/>
      <c r="AB1532" s="77"/>
      <c r="AC1532" s="77"/>
      <c r="AD1532" s="77"/>
      <c r="AE1532" s="77"/>
      <c r="AF1532" s="77"/>
      <c r="AG1532" s="77"/>
      <c r="AH1532" s="87"/>
      <c r="AI1532" s="87"/>
      <c r="AJ1532" s="87"/>
      <c r="AK1532" s="87"/>
      <c r="AL1532" s="87"/>
    </row>
    <row r="1533">
      <c r="A1533" s="77"/>
      <c r="B1533" s="102"/>
      <c r="C1533" s="102"/>
      <c r="D1533" s="102"/>
      <c r="E1533" s="102"/>
      <c r="F1533" s="102"/>
      <c r="G1533" s="102"/>
      <c r="H1533" s="295"/>
      <c r="I1533" s="102"/>
      <c r="J1533" s="77"/>
      <c r="K1533" s="77"/>
      <c r="L1533" s="77"/>
      <c r="M1533" s="77"/>
      <c r="N1533" s="77"/>
      <c r="O1533" s="77"/>
      <c r="P1533" s="268"/>
      <c r="Q1533" s="268"/>
      <c r="R1533" s="77"/>
      <c r="S1533" s="77"/>
      <c r="T1533" s="77"/>
      <c r="U1533" s="77"/>
      <c r="V1533" s="77"/>
      <c r="W1533" s="77"/>
      <c r="X1533" s="77"/>
      <c r="Y1533" s="77"/>
      <c r="Z1533" s="77"/>
      <c r="AA1533" s="77"/>
      <c r="AB1533" s="77"/>
      <c r="AC1533" s="77"/>
      <c r="AD1533" s="77"/>
      <c r="AE1533" s="77"/>
      <c r="AF1533" s="77"/>
      <c r="AG1533" s="77"/>
      <c r="AH1533" s="87"/>
      <c r="AI1533" s="87"/>
      <c r="AJ1533" s="87"/>
      <c r="AK1533" s="87"/>
      <c r="AL1533" s="87"/>
    </row>
    <row r="1534">
      <c r="A1534" s="77"/>
      <c r="B1534" s="102"/>
      <c r="C1534" s="102"/>
      <c r="D1534" s="102"/>
      <c r="E1534" s="102"/>
      <c r="F1534" s="102"/>
      <c r="G1534" s="102"/>
      <c r="H1534" s="295"/>
      <c r="I1534" s="102"/>
      <c r="J1534" s="77"/>
      <c r="K1534" s="77"/>
      <c r="L1534" s="77"/>
      <c r="M1534" s="77"/>
      <c r="N1534" s="77"/>
      <c r="O1534" s="77"/>
      <c r="P1534" s="268"/>
      <c r="Q1534" s="268"/>
      <c r="R1534" s="77"/>
      <c r="S1534" s="77"/>
      <c r="T1534" s="77"/>
      <c r="U1534" s="77"/>
      <c r="V1534" s="77"/>
      <c r="W1534" s="77"/>
      <c r="X1534" s="77"/>
      <c r="Y1534" s="77"/>
      <c r="Z1534" s="77"/>
      <c r="AA1534" s="77"/>
      <c r="AB1534" s="77"/>
      <c r="AC1534" s="77"/>
      <c r="AD1534" s="77"/>
      <c r="AE1534" s="77"/>
      <c r="AF1534" s="77"/>
      <c r="AG1534" s="77"/>
      <c r="AH1534" s="87"/>
      <c r="AI1534" s="87"/>
      <c r="AJ1534" s="87"/>
      <c r="AK1534" s="87"/>
      <c r="AL1534" s="87"/>
    </row>
    <row r="1535">
      <c r="A1535" s="77"/>
      <c r="B1535" s="102"/>
      <c r="C1535" s="102"/>
      <c r="D1535" s="102"/>
      <c r="E1535" s="102"/>
      <c r="F1535" s="102"/>
      <c r="G1535" s="102"/>
      <c r="H1535" s="295"/>
      <c r="I1535" s="102"/>
      <c r="J1535" s="77"/>
      <c r="K1535" s="77"/>
      <c r="L1535" s="77"/>
      <c r="M1535" s="77"/>
      <c r="N1535" s="77"/>
      <c r="O1535" s="77"/>
      <c r="P1535" s="268"/>
      <c r="Q1535" s="268"/>
      <c r="R1535" s="77"/>
      <c r="S1535" s="77"/>
      <c r="T1535" s="77"/>
      <c r="U1535" s="77"/>
      <c r="V1535" s="77"/>
      <c r="W1535" s="77"/>
      <c r="X1535" s="77"/>
      <c r="Y1535" s="77"/>
      <c r="Z1535" s="77"/>
      <c r="AA1535" s="77"/>
      <c r="AB1535" s="77"/>
      <c r="AC1535" s="77"/>
      <c r="AD1535" s="77"/>
      <c r="AE1535" s="77"/>
      <c r="AF1535" s="77"/>
      <c r="AG1535" s="77"/>
      <c r="AH1535" s="87"/>
      <c r="AI1535" s="87"/>
      <c r="AJ1535" s="87"/>
      <c r="AK1535" s="87"/>
      <c r="AL1535" s="87"/>
    </row>
    <row r="1536">
      <c r="A1536" s="77"/>
      <c r="B1536" s="102"/>
      <c r="C1536" s="102"/>
      <c r="D1536" s="102"/>
      <c r="E1536" s="102"/>
      <c r="F1536" s="102"/>
      <c r="G1536" s="102"/>
      <c r="H1536" s="295"/>
      <c r="I1536" s="102"/>
      <c r="J1536" s="77"/>
      <c r="K1536" s="77"/>
      <c r="L1536" s="77"/>
      <c r="M1536" s="77"/>
      <c r="N1536" s="77"/>
      <c r="O1536" s="77"/>
      <c r="P1536" s="268"/>
      <c r="Q1536" s="268"/>
      <c r="R1536" s="77"/>
      <c r="S1536" s="77"/>
      <c r="T1536" s="77"/>
      <c r="U1536" s="77"/>
      <c r="V1536" s="77"/>
      <c r="W1536" s="77"/>
      <c r="X1536" s="77"/>
      <c r="Y1536" s="77"/>
      <c r="Z1536" s="77"/>
      <c r="AA1536" s="77"/>
      <c r="AB1536" s="77"/>
      <c r="AC1536" s="77"/>
      <c r="AD1536" s="77"/>
      <c r="AE1536" s="77"/>
      <c r="AF1536" s="77"/>
      <c r="AG1536" s="77"/>
      <c r="AH1536" s="87"/>
      <c r="AI1536" s="87"/>
      <c r="AJ1536" s="87"/>
      <c r="AK1536" s="87"/>
      <c r="AL1536" s="87"/>
    </row>
    <row r="1537">
      <c r="A1537" s="77"/>
      <c r="B1537" s="102"/>
      <c r="C1537" s="102"/>
      <c r="D1537" s="102"/>
      <c r="E1537" s="102"/>
      <c r="F1537" s="102"/>
      <c r="G1537" s="102"/>
      <c r="H1537" s="295"/>
      <c r="I1537" s="102"/>
      <c r="J1537" s="77"/>
      <c r="K1537" s="77"/>
      <c r="L1537" s="77"/>
      <c r="M1537" s="77"/>
      <c r="N1537" s="77"/>
      <c r="O1537" s="77"/>
      <c r="P1537" s="268"/>
      <c r="Q1537" s="268"/>
      <c r="R1537" s="77"/>
      <c r="S1537" s="77"/>
      <c r="T1537" s="77"/>
      <c r="U1537" s="77"/>
      <c r="V1537" s="77"/>
      <c r="W1537" s="77"/>
      <c r="X1537" s="77"/>
      <c r="Y1537" s="77"/>
      <c r="Z1537" s="77"/>
      <c r="AA1537" s="77"/>
      <c r="AB1537" s="77"/>
      <c r="AC1537" s="77"/>
      <c r="AD1537" s="77"/>
      <c r="AE1537" s="77"/>
      <c r="AF1537" s="77"/>
      <c r="AG1537" s="77"/>
      <c r="AH1537" s="87"/>
      <c r="AI1537" s="87"/>
      <c r="AJ1537" s="87"/>
      <c r="AK1537" s="87"/>
      <c r="AL1537" s="87"/>
    </row>
    <row r="1538">
      <c r="A1538" s="77"/>
      <c r="B1538" s="102"/>
      <c r="C1538" s="102"/>
      <c r="D1538" s="102"/>
      <c r="E1538" s="102"/>
      <c r="F1538" s="102"/>
      <c r="G1538" s="102"/>
      <c r="H1538" s="295"/>
      <c r="I1538" s="102"/>
      <c r="J1538" s="77"/>
      <c r="K1538" s="77"/>
      <c r="L1538" s="77"/>
      <c r="M1538" s="77"/>
      <c r="N1538" s="77"/>
      <c r="O1538" s="77"/>
      <c r="P1538" s="268"/>
      <c r="Q1538" s="268"/>
      <c r="R1538" s="77"/>
      <c r="S1538" s="77"/>
      <c r="T1538" s="77"/>
      <c r="U1538" s="77"/>
      <c r="V1538" s="77"/>
      <c r="W1538" s="77"/>
      <c r="X1538" s="77"/>
      <c r="Y1538" s="77"/>
      <c r="Z1538" s="77"/>
      <c r="AA1538" s="77"/>
      <c r="AB1538" s="77"/>
      <c r="AC1538" s="77"/>
      <c r="AD1538" s="77"/>
      <c r="AE1538" s="77"/>
      <c r="AF1538" s="77"/>
      <c r="AG1538" s="77"/>
      <c r="AH1538" s="87"/>
      <c r="AI1538" s="87"/>
      <c r="AJ1538" s="87"/>
      <c r="AK1538" s="87"/>
      <c r="AL1538" s="87"/>
    </row>
    <row r="1539">
      <c r="A1539" s="77"/>
      <c r="B1539" s="102"/>
      <c r="C1539" s="102"/>
      <c r="D1539" s="102"/>
      <c r="E1539" s="102"/>
      <c r="F1539" s="102"/>
      <c r="G1539" s="102"/>
      <c r="H1539" s="295"/>
      <c r="I1539" s="102"/>
      <c r="J1539" s="77"/>
      <c r="K1539" s="77"/>
      <c r="L1539" s="77"/>
      <c r="M1539" s="77"/>
      <c r="N1539" s="77"/>
      <c r="O1539" s="77"/>
      <c r="P1539" s="268"/>
      <c r="Q1539" s="268"/>
      <c r="R1539" s="77"/>
      <c r="S1539" s="77"/>
      <c r="T1539" s="77"/>
      <c r="U1539" s="77"/>
      <c r="V1539" s="77"/>
      <c r="W1539" s="77"/>
      <c r="X1539" s="77"/>
      <c r="Y1539" s="77"/>
      <c r="Z1539" s="77"/>
      <c r="AA1539" s="77"/>
      <c r="AB1539" s="77"/>
      <c r="AC1539" s="77"/>
      <c r="AD1539" s="77"/>
      <c r="AE1539" s="77"/>
      <c r="AF1539" s="77"/>
      <c r="AG1539" s="77"/>
      <c r="AH1539" s="87"/>
      <c r="AI1539" s="87"/>
      <c r="AJ1539" s="87"/>
      <c r="AK1539" s="87"/>
      <c r="AL1539" s="87"/>
    </row>
    <row r="1540">
      <c r="A1540" s="77"/>
      <c r="B1540" s="102"/>
      <c r="C1540" s="102"/>
      <c r="D1540" s="102"/>
      <c r="E1540" s="102"/>
      <c r="F1540" s="102"/>
      <c r="G1540" s="102"/>
      <c r="H1540" s="295"/>
      <c r="I1540" s="102"/>
      <c r="J1540" s="77"/>
      <c r="K1540" s="77"/>
      <c r="L1540" s="77"/>
      <c r="M1540" s="77"/>
      <c r="N1540" s="77"/>
      <c r="O1540" s="77"/>
      <c r="P1540" s="268"/>
      <c r="Q1540" s="268"/>
      <c r="R1540" s="77"/>
      <c r="S1540" s="77"/>
      <c r="T1540" s="77"/>
      <c r="U1540" s="77"/>
      <c r="V1540" s="77"/>
      <c r="W1540" s="77"/>
      <c r="X1540" s="77"/>
      <c r="Y1540" s="77"/>
      <c r="Z1540" s="77"/>
      <c r="AA1540" s="77"/>
      <c r="AB1540" s="77"/>
      <c r="AC1540" s="77"/>
      <c r="AD1540" s="77"/>
      <c r="AE1540" s="77"/>
      <c r="AF1540" s="77"/>
      <c r="AG1540" s="77"/>
      <c r="AH1540" s="87"/>
      <c r="AI1540" s="87"/>
      <c r="AJ1540" s="87"/>
      <c r="AK1540" s="87"/>
      <c r="AL1540" s="87"/>
    </row>
    <row r="1541">
      <c r="A1541" s="77"/>
      <c r="B1541" s="102"/>
      <c r="C1541" s="102"/>
      <c r="D1541" s="102"/>
      <c r="E1541" s="102"/>
      <c r="F1541" s="102"/>
      <c r="G1541" s="102"/>
      <c r="H1541" s="295"/>
      <c r="I1541" s="102"/>
      <c r="J1541" s="77"/>
      <c r="K1541" s="77"/>
      <c r="L1541" s="77"/>
      <c r="M1541" s="77"/>
      <c r="N1541" s="77"/>
      <c r="O1541" s="77"/>
      <c r="P1541" s="268"/>
      <c r="Q1541" s="268"/>
      <c r="R1541" s="77"/>
      <c r="S1541" s="77"/>
      <c r="T1541" s="77"/>
      <c r="U1541" s="77"/>
      <c r="V1541" s="77"/>
      <c r="W1541" s="77"/>
      <c r="X1541" s="77"/>
      <c r="Y1541" s="77"/>
      <c r="Z1541" s="77"/>
      <c r="AA1541" s="77"/>
      <c r="AB1541" s="77"/>
      <c r="AC1541" s="77"/>
      <c r="AD1541" s="77"/>
      <c r="AE1541" s="77"/>
      <c r="AF1541" s="77"/>
      <c r="AG1541" s="77"/>
      <c r="AH1541" s="87"/>
      <c r="AI1541" s="87"/>
      <c r="AJ1541" s="87"/>
      <c r="AK1541" s="87"/>
      <c r="AL1541" s="87"/>
    </row>
    <row r="1542">
      <c r="A1542" s="77"/>
      <c r="B1542" s="102"/>
      <c r="C1542" s="102"/>
      <c r="D1542" s="102"/>
      <c r="E1542" s="102"/>
      <c r="F1542" s="102"/>
      <c r="G1542" s="102"/>
      <c r="H1542" s="295"/>
      <c r="I1542" s="102"/>
      <c r="J1542" s="77"/>
      <c r="K1542" s="77"/>
      <c r="L1542" s="77"/>
      <c r="M1542" s="77"/>
      <c r="N1542" s="77"/>
      <c r="O1542" s="77"/>
      <c r="P1542" s="268"/>
      <c r="Q1542" s="268"/>
      <c r="R1542" s="77"/>
      <c r="S1542" s="77"/>
      <c r="T1542" s="77"/>
      <c r="U1542" s="77"/>
      <c r="V1542" s="77"/>
      <c r="W1542" s="77"/>
      <c r="X1542" s="77"/>
      <c r="Y1542" s="77"/>
      <c r="Z1542" s="77"/>
      <c r="AA1542" s="77"/>
      <c r="AB1542" s="77"/>
      <c r="AC1542" s="77"/>
      <c r="AD1542" s="77"/>
      <c r="AE1542" s="77"/>
      <c r="AF1542" s="77"/>
      <c r="AG1542" s="77"/>
      <c r="AH1542" s="87"/>
      <c r="AI1542" s="87"/>
      <c r="AJ1542" s="87"/>
      <c r="AK1542" s="87"/>
      <c r="AL1542" s="87"/>
    </row>
    <row r="1543">
      <c r="A1543" s="77"/>
      <c r="B1543" s="102"/>
      <c r="C1543" s="102"/>
      <c r="D1543" s="102"/>
      <c r="E1543" s="102"/>
      <c r="F1543" s="102"/>
      <c r="G1543" s="102"/>
      <c r="H1543" s="295"/>
      <c r="I1543" s="102"/>
      <c r="J1543" s="77"/>
      <c r="K1543" s="77"/>
      <c r="L1543" s="77"/>
      <c r="M1543" s="77"/>
      <c r="N1543" s="77"/>
      <c r="O1543" s="77"/>
      <c r="P1543" s="268"/>
      <c r="Q1543" s="268"/>
      <c r="R1543" s="77"/>
      <c r="S1543" s="77"/>
      <c r="T1543" s="77"/>
      <c r="U1543" s="77"/>
      <c r="V1543" s="77"/>
      <c r="W1543" s="77"/>
      <c r="X1543" s="77"/>
      <c r="Y1543" s="77"/>
      <c r="Z1543" s="77"/>
      <c r="AA1543" s="77"/>
      <c r="AB1543" s="77"/>
      <c r="AC1543" s="77"/>
      <c r="AD1543" s="77"/>
      <c r="AE1543" s="77"/>
      <c r="AF1543" s="77"/>
      <c r="AG1543" s="77"/>
      <c r="AH1543" s="87"/>
      <c r="AI1543" s="87"/>
      <c r="AJ1543" s="87"/>
      <c r="AK1543" s="87"/>
      <c r="AL1543" s="87"/>
    </row>
    <row r="1544">
      <c r="A1544" s="77"/>
      <c r="B1544" s="102"/>
      <c r="C1544" s="102"/>
      <c r="D1544" s="102"/>
      <c r="E1544" s="102"/>
      <c r="F1544" s="102"/>
      <c r="G1544" s="102"/>
      <c r="H1544" s="295"/>
      <c r="I1544" s="102"/>
      <c r="J1544" s="77"/>
      <c r="K1544" s="77"/>
      <c r="L1544" s="77"/>
      <c r="M1544" s="77"/>
      <c r="N1544" s="77"/>
      <c r="O1544" s="77"/>
      <c r="P1544" s="268"/>
      <c r="Q1544" s="268"/>
      <c r="R1544" s="77"/>
      <c r="S1544" s="77"/>
      <c r="T1544" s="77"/>
      <c r="U1544" s="77"/>
      <c r="V1544" s="77"/>
      <c r="W1544" s="77"/>
      <c r="X1544" s="77"/>
      <c r="Y1544" s="77"/>
      <c r="Z1544" s="77"/>
      <c r="AA1544" s="77"/>
      <c r="AB1544" s="77"/>
      <c r="AC1544" s="77"/>
      <c r="AD1544" s="77"/>
      <c r="AE1544" s="77"/>
      <c r="AF1544" s="77"/>
      <c r="AG1544" s="77"/>
      <c r="AH1544" s="87"/>
      <c r="AI1544" s="87"/>
      <c r="AJ1544" s="87"/>
      <c r="AK1544" s="87"/>
      <c r="AL1544" s="87"/>
    </row>
    <row r="1545">
      <c r="A1545" s="77"/>
      <c r="B1545" s="102"/>
      <c r="C1545" s="102"/>
      <c r="D1545" s="102"/>
      <c r="E1545" s="102"/>
      <c r="F1545" s="102"/>
      <c r="G1545" s="102"/>
      <c r="H1545" s="295"/>
      <c r="I1545" s="102"/>
      <c r="J1545" s="77"/>
      <c r="K1545" s="77"/>
      <c r="L1545" s="77"/>
      <c r="M1545" s="77"/>
      <c r="N1545" s="77"/>
      <c r="O1545" s="77"/>
      <c r="P1545" s="268"/>
      <c r="Q1545" s="268"/>
      <c r="R1545" s="77"/>
      <c r="S1545" s="77"/>
      <c r="T1545" s="77"/>
      <c r="U1545" s="77"/>
      <c r="V1545" s="77"/>
      <c r="W1545" s="77"/>
      <c r="X1545" s="77"/>
      <c r="Y1545" s="77"/>
      <c r="Z1545" s="77"/>
      <c r="AA1545" s="77"/>
      <c r="AB1545" s="77"/>
      <c r="AC1545" s="77"/>
      <c r="AD1545" s="77"/>
      <c r="AE1545" s="77"/>
      <c r="AF1545" s="77"/>
      <c r="AG1545" s="77"/>
      <c r="AH1545" s="87"/>
      <c r="AI1545" s="87"/>
      <c r="AJ1545" s="87"/>
      <c r="AK1545" s="87"/>
      <c r="AL1545" s="87"/>
    </row>
    <row r="1546">
      <c r="A1546" s="77"/>
      <c r="B1546" s="102"/>
      <c r="C1546" s="102"/>
      <c r="D1546" s="102"/>
      <c r="E1546" s="102"/>
      <c r="F1546" s="102"/>
      <c r="G1546" s="102"/>
      <c r="H1546" s="295"/>
      <c r="I1546" s="102"/>
      <c r="J1546" s="77"/>
      <c r="K1546" s="77"/>
      <c r="L1546" s="77"/>
      <c r="M1546" s="77"/>
      <c r="N1546" s="77"/>
      <c r="O1546" s="77"/>
      <c r="P1546" s="268"/>
      <c r="Q1546" s="268"/>
      <c r="R1546" s="77"/>
      <c r="S1546" s="77"/>
      <c r="T1546" s="77"/>
      <c r="U1546" s="77"/>
      <c r="V1546" s="77"/>
      <c r="W1546" s="77"/>
      <c r="X1546" s="77"/>
      <c r="Y1546" s="77"/>
      <c r="Z1546" s="77"/>
      <c r="AA1546" s="77"/>
      <c r="AB1546" s="77"/>
      <c r="AC1546" s="77"/>
      <c r="AD1546" s="77"/>
      <c r="AE1546" s="77"/>
      <c r="AF1546" s="77"/>
      <c r="AG1546" s="77"/>
      <c r="AH1546" s="87"/>
      <c r="AI1546" s="87"/>
      <c r="AJ1546" s="87"/>
      <c r="AK1546" s="87"/>
      <c r="AL1546" s="87"/>
    </row>
    <row r="1547">
      <c r="A1547" s="77"/>
      <c r="B1547" s="102"/>
      <c r="C1547" s="102"/>
      <c r="D1547" s="102"/>
      <c r="E1547" s="102"/>
      <c r="F1547" s="102"/>
      <c r="G1547" s="102"/>
      <c r="H1547" s="295"/>
      <c r="I1547" s="102"/>
      <c r="J1547" s="77"/>
      <c r="K1547" s="77"/>
      <c r="L1547" s="77"/>
      <c r="M1547" s="77"/>
      <c r="N1547" s="77"/>
      <c r="O1547" s="77"/>
      <c r="P1547" s="268"/>
      <c r="Q1547" s="268"/>
      <c r="R1547" s="77"/>
      <c r="S1547" s="77"/>
      <c r="T1547" s="77"/>
      <c r="U1547" s="77"/>
      <c r="V1547" s="77"/>
      <c r="W1547" s="77"/>
      <c r="X1547" s="77"/>
      <c r="Y1547" s="77"/>
      <c r="Z1547" s="77"/>
      <c r="AA1547" s="77"/>
      <c r="AB1547" s="77"/>
      <c r="AC1547" s="77"/>
      <c r="AD1547" s="77"/>
      <c r="AE1547" s="77"/>
      <c r="AF1547" s="77"/>
      <c r="AG1547" s="77"/>
      <c r="AH1547" s="87"/>
      <c r="AI1547" s="87"/>
      <c r="AJ1547" s="87"/>
      <c r="AK1547" s="87"/>
      <c r="AL1547" s="87"/>
    </row>
    <row r="1548">
      <c r="A1548" s="77"/>
      <c r="B1548" s="102"/>
      <c r="C1548" s="102"/>
      <c r="D1548" s="102"/>
      <c r="E1548" s="102"/>
      <c r="F1548" s="102"/>
      <c r="G1548" s="102"/>
      <c r="H1548" s="295"/>
      <c r="I1548" s="102"/>
      <c r="J1548" s="77"/>
      <c r="K1548" s="77"/>
      <c r="L1548" s="77"/>
      <c r="M1548" s="77"/>
      <c r="N1548" s="77"/>
      <c r="O1548" s="77"/>
      <c r="P1548" s="268"/>
      <c r="Q1548" s="268"/>
      <c r="R1548" s="77"/>
      <c r="S1548" s="77"/>
      <c r="T1548" s="77"/>
      <c r="U1548" s="77"/>
      <c r="V1548" s="77"/>
      <c r="W1548" s="77"/>
      <c r="X1548" s="77"/>
      <c r="Y1548" s="77"/>
      <c r="Z1548" s="77"/>
      <c r="AA1548" s="77"/>
      <c r="AB1548" s="77"/>
      <c r="AC1548" s="77"/>
      <c r="AD1548" s="77"/>
      <c r="AE1548" s="77"/>
      <c r="AF1548" s="77"/>
      <c r="AG1548" s="77"/>
      <c r="AH1548" s="87"/>
      <c r="AI1548" s="87"/>
      <c r="AJ1548" s="87"/>
      <c r="AK1548" s="87"/>
      <c r="AL1548" s="87"/>
    </row>
    <row r="1549">
      <c r="A1549" s="77"/>
      <c r="B1549" s="102"/>
      <c r="C1549" s="102"/>
      <c r="D1549" s="102"/>
      <c r="E1549" s="102"/>
      <c r="F1549" s="102"/>
      <c r="G1549" s="102"/>
      <c r="H1549" s="295"/>
      <c r="I1549" s="102"/>
      <c r="J1549" s="77"/>
      <c r="K1549" s="77"/>
      <c r="L1549" s="77"/>
      <c r="M1549" s="77"/>
      <c r="N1549" s="77"/>
      <c r="O1549" s="77"/>
      <c r="P1549" s="268"/>
      <c r="Q1549" s="268"/>
      <c r="R1549" s="77"/>
      <c r="S1549" s="77"/>
      <c r="T1549" s="77"/>
      <c r="U1549" s="77"/>
      <c r="V1549" s="77"/>
      <c r="W1549" s="77"/>
      <c r="X1549" s="77"/>
      <c r="Y1549" s="77"/>
      <c r="Z1549" s="77"/>
      <c r="AA1549" s="77"/>
      <c r="AB1549" s="77"/>
      <c r="AC1549" s="77"/>
      <c r="AD1549" s="77"/>
      <c r="AE1549" s="77"/>
      <c r="AF1549" s="77"/>
      <c r="AG1549" s="77"/>
      <c r="AH1549" s="87"/>
      <c r="AI1549" s="87"/>
      <c r="AJ1549" s="87"/>
      <c r="AK1549" s="87"/>
      <c r="AL1549" s="87"/>
    </row>
    <row r="1550">
      <c r="A1550" s="77"/>
      <c r="B1550" s="102"/>
      <c r="C1550" s="102"/>
      <c r="D1550" s="102"/>
      <c r="E1550" s="102"/>
      <c r="F1550" s="102"/>
      <c r="G1550" s="102"/>
      <c r="H1550" s="295"/>
      <c r="I1550" s="102"/>
      <c r="J1550" s="77"/>
      <c r="K1550" s="77"/>
      <c r="L1550" s="77"/>
      <c r="M1550" s="77"/>
      <c r="N1550" s="77"/>
      <c r="O1550" s="77"/>
      <c r="P1550" s="268"/>
      <c r="Q1550" s="268"/>
      <c r="R1550" s="77"/>
      <c r="S1550" s="77"/>
      <c r="T1550" s="77"/>
      <c r="U1550" s="77"/>
      <c r="V1550" s="77"/>
      <c r="W1550" s="77"/>
      <c r="X1550" s="77"/>
      <c r="Y1550" s="77"/>
      <c r="Z1550" s="77"/>
      <c r="AA1550" s="77"/>
      <c r="AB1550" s="77"/>
      <c r="AC1550" s="77"/>
      <c r="AD1550" s="77"/>
      <c r="AE1550" s="77"/>
      <c r="AF1550" s="77"/>
      <c r="AG1550" s="77"/>
      <c r="AH1550" s="87"/>
      <c r="AI1550" s="87"/>
      <c r="AJ1550" s="87"/>
      <c r="AK1550" s="87"/>
      <c r="AL1550" s="87"/>
    </row>
    <row r="1551">
      <c r="A1551" s="77"/>
      <c r="B1551" s="102"/>
      <c r="C1551" s="102"/>
      <c r="D1551" s="102"/>
      <c r="E1551" s="102"/>
      <c r="F1551" s="102"/>
      <c r="G1551" s="102"/>
      <c r="H1551" s="295"/>
      <c r="I1551" s="102"/>
      <c r="J1551" s="77"/>
      <c r="K1551" s="77"/>
      <c r="L1551" s="77"/>
      <c r="M1551" s="77"/>
      <c r="N1551" s="77"/>
      <c r="O1551" s="77"/>
      <c r="P1551" s="268"/>
      <c r="Q1551" s="268"/>
      <c r="R1551" s="77"/>
      <c r="S1551" s="77"/>
      <c r="T1551" s="77"/>
      <c r="U1551" s="77"/>
      <c r="V1551" s="77"/>
      <c r="W1551" s="77"/>
      <c r="X1551" s="77"/>
      <c r="Y1551" s="77"/>
      <c r="Z1551" s="77"/>
      <c r="AA1551" s="77"/>
      <c r="AB1551" s="77"/>
      <c r="AC1551" s="77"/>
      <c r="AD1551" s="77"/>
      <c r="AE1551" s="77"/>
      <c r="AF1551" s="77"/>
      <c r="AG1551" s="77"/>
      <c r="AH1551" s="87"/>
      <c r="AI1551" s="87"/>
      <c r="AJ1551" s="87"/>
      <c r="AK1551" s="87"/>
      <c r="AL1551" s="87"/>
    </row>
    <row r="1552">
      <c r="A1552" s="77"/>
      <c r="B1552" s="102"/>
      <c r="C1552" s="102"/>
      <c r="D1552" s="102"/>
      <c r="E1552" s="102"/>
      <c r="F1552" s="102"/>
      <c r="G1552" s="102"/>
      <c r="H1552" s="295"/>
      <c r="I1552" s="102"/>
      <c r="J1552" s="77"/>
      <c r="K1552" s="77"/>
      <c r="L1552" s="77"/>
      <c r="M1552" s="77"/>
      <c r="N1552" s="77"/>
      <c r="O1552" s="77"/>
      <c r="P1552" s="268"/>
      <c r="Q1552" s="268"/>
      <c r="R1552" s="77"/>
      <c r="S1552" s="77"/>
      <c r="T1552" s="77"/>
      <c r="U1552" s="77"/>
      <c r="V1552" s="77"/>
      <c r="W1552" s="77"/>
      <c r="X1552" s="77"/>
      <c r="Y1552" s="77"/>
      <c r="Z1552" s="77"/>
      <c r="AA1552" s="77"/>
      <c r="AB1552" s="77"/>
      <c r="AC1552" s="77"/>
      <c r="AD1552" s="77"/>
      <c r="AE1552" s="77"/>
      <c r="AF1552" s="77"/>
      <c r="AG1552" s="77"/>
      <c r="AH1552" s="87"/>
      <c r="AI1552" s="87"/>
      <c r="AJ1552" s="87"/>
      <c r="AK1552" s="87"/>
      <c r="AL1552" s="87"/>
    </row>
    <row r="1553">
      <c r="A1553" s="77"/>
      <c r="B1553" s="102"/>
      <c r="C1553" s="102"/>
      <c r="D1553" s="102"/>
      <c r="E1553" s="102"/>
      <c r="F1553" s="102"/>
      <c r="G1553" s="102"/>
      <c r="H1553" s="295"/>
      <c r="I1553" s="102"/>
      <c r="J1553" s="77"/>
      <c r="K1553" s="77"/>
      <c r="L1553" s="77"/>
      <c r="M1553" s="77"/>
      <c r="N1553" s="77"/>
      <c r="O1553" s="77"/>
      <c r="P1553" s="268"/>
      <c r="Q1553" s="268"/>
      <c r="R1553" s="77"/>
      <c r="S1553" s="77"/>
      <c r="T1553" s="77"/>
      <c r="U1553" s="77"/>
      <c r="V1553" s="77"/>
      <c r="W1553" s="77"/>
      <c r="X1553" s="77"/>
      <c r="Y1553" s="77"/>
      <c r="Z1553" s="77"/>
      <c r="AA1553" s="77"/>
      <c r="AB1553" s="77"/>
      <c r="AC1553" s="77"/>
      <c r="AD1553" s="77"/>
      <c r="AE1553" s="77"/>
      <c r="AF1553" s="77"/>
      <c r="AG1553" s="77"/>
      <c r="AH1553" s="87"/>
      <c r="AI1553" s="87"/>
      <c r="AJ1553" s="87"/>
      <c r="AK1553" s="87"/>
      <c r="AL1553" s="87"/>
    </row>
    <row r="1554">
      <c r="A1554" s="77"/>
      <c r="B1554" s="102"/>
      <c r="C1554" s="102"/>
      <c r="D1554" s="102"/>
      <c r="E1554" s="102"/>
      <c r="F1554" s="102"/>
      <c r="G1554" s="102"/>
      <c r="H1554" s="295"/>
      <c r="I1554" s="102"/>
      <c r="J1554" s="77"/>
      <c r="K1554" s="77"/>
      <c r="L1554" s="77"/>
      <c r="M1554" s="77"/>
      <c r="N1554" s="77"/>
      <c r="O1554" s="77"/>
      <c r="P1554" s="268"/>
      <c r="Q1554" s="268"/>
      <c r="R1554" s="77"/>
      <c r="S1554" s="77"/>
      <c r="T1554" s="77"/>
      <c r="U1554" s="77"/>
      <c r="V1554" s="77"/>
      <c r="W1554" s="77"/>
      <c r="X1554" s="77"/>
      <c r="Y1554" s="77"/>
      <c r="Z1554" s="77"/>
      <c r="AA1554" s="77"/>
      <c r="AB1554" s="77"/>
      <c r="AC1554" s="77"/>
      <c r="AD1554" s="77"/>
      <c r="AE1554" s="77"/>
      <c r="AF1554" s="77"/>
      <c r="AG1554" s="77"/>
      <c r="AH1554" s="87"/>
      <c r="AI1554" s="87"/>
      <c r="AJ1554" s="87"/>
      <c r="AK1554" s="87"/>
      <c r="AL1554" s="87"/>
    </row>
    <row r="1555">
      <c r="A1555" s="77"/>
      <c r="B1555" s="102"/>
      <c r="C1555" s="102"/>
      <c r="D1555" s="102"/>
      <c r="E1555" s="102"/>
      <c r="F1555" s="102"/>
      <c r="G1555" s="102"/>
      <c r="H1555" s="295"/>
      <c r="I1555" s="102"/>
      <c r="J1555" s="77"/>
      <c r="K1555" s="77"/>
      <c r="L1555" s="77"/>
      <c r="M1555" s="77"/>
      <c r="N1555" s="77"/>
      <c r="O1555" s="77"/>
      <c r="P1555" s="268"/>
      <c r="Q1555" s="268"/>
      <c r="R1555" s="77"/>
      <c r="S1555" s="77"/>
      <c r="T1555" s="77"/>
      <c r="U1555" s="77"/>
      <c r="V1555" s="77"/>
      <c r="W1555" s="77"/>
      <c r="X1555" s="77"/>
      <c r="Y1555" s="77"/>
      <c r="Z1555" s="77"/>
      <c r="AA1555" s="77"/>
      <c r="AB1555" s="77"/>
      <c r="AC1555" s="77"/>
      <c r="AD1555" s="77"/>
      <c r="AE1555" s="77"/>
      <c r="AF1555" s="77"/>
      <c r="AG1555" s="77"/>
      <c r="AH1555" s="87"/>
      <c r="AI1555" s="87"/>
      <c r="AJ1555" s="87"/>
      <c r="AK1555" s="87"/>
      <c r="AL1555" s="87"/>
    </row>
    <row r="1556">
      <c r="A1556" s="77"/>
      <c r="B1556" s="102"/>
      <c r="C1556" s="102"/>
      <c r="D1556" s="102"/>
      <c r="E1556" s="102"/>
      <c r="F1556" s="102"/>
      <c r="G1556" s="102"/>
      <c r="H1556" s="295"/>
      <c r="I1556" s="102"/>
      <c r="J1556" s="77"/>
      <c r="K1556" s="77"/>
      <c r="L1556" s="77"/>
      <c r="M1556" s="77"/>
      <c r="N1556" s="77"/>
      <c r="O1556" s="77"/>
      <c r="P1556" s="268"/>
      <c r="Q1556" s="268"/>
      <c r="R1556" s="77"/>
      <c r="S1556" s="77"/>
      <c r="T1556" s="77"/>
      <c r="U1556" s="77"/>
      <c r="V1556" s="77"/>
      <c r="W1556" s="77"/>
      <c r="X1556" s="77"/>
      <c r="Y1556" s="77"/>
      <c r="Z1556" s="77"/>
      <c r="AA1556" s="77"/>
      <c r="AB1556" s="77"/>
      <c r="AC1556" s="77"/>
      <c r="AD1556" s="77"/>
      <c r="AE1556" s="77"/>
      <c r="AF1556" s="77"/>
      <c r="AG1556" s="77"/>
      <c r="AH1556" s="87"/>
      <c r="AI1556" s="87"/>
      <c r="AJ1556" s="87"/>
      <c r="AK1556" s="87"/>
      <c r="AL1556" s="87"/>
    </row>
    <row r="1557">
      <c r="A1557" s="77"/>
      <c r="B1557" s="102"/>
      <c r="C1557" s="102"/>
      <c r="D1557" s="102"/>
      <c r="E1557" s="102"/>
      <c r="F1557" s="102"/>
      <c r="G1557" s="102"/>
      <c r="H1557" s="295"/>
      <c r="I1557" s="102"/>
      <c r="J1557" s="77"/>
      <c r="K1557" s="77"/>
      <c r="L1557" s="77"/>
      <c r="M1557" s="77"/>
      <c r="N1557" s="77"/>
      <c r="O1557" s="77"/>
      <c r="P1557" s="268"/>
      <c r="Q1557" s="268"/>
      <c r="R1557" s="77"/>
      <c r="S1557" s="77"/>
      <c r="T1557" s="77"/>
      <c r="U1557" s="77"/>
      <c r="V1557" s="77"/>
      <c r="W1557" s="77"/>
      <c r="X1557" s="77"/>
      <c r="Y1557" s="77"/>
      <c r="Z1557" s="77"/>
      <c r="AA1557" s="77"/>
      <c r="AB1557" s="77"/>
      <c r="AC1557" s="77"/>
      <c r="AD1557" s="77"/>
      <c r="AE1557" s="77"/>
      <c r="AF1557" s="77"/>
      <c r="AG1557" s="77"/>
      <c r="AH1557" s="87"/>
      <c r="AI1557" s="87"/>
      <c r="AJ1557" s="87"/>
      <c r="AK1557" s="87"/>
      <c r="AL1557" s="87"/>
    </row>
    <row r="1558">
      <c r="A1558" s="77"/>
      <c r="B1558" s="102"/>
      <c r="C1558" s="102"/>
      <c r="D1558" s="102"/>
      <c r="E1558" s="102"/>
      <c r="F1558" s="102"/>
      <c r="G1558" s="102"/>
      <c r="H1558" s="295"/>
      <c r="I1558" s="102"/>
      <c r="J1558" s="77"/>
      <c r="K1558" s="77"/>
      <c r="L1558" s="77"/>
      <c r="M1558" s="77"/>
      <c r="N1558" s="77"/>
      <c r="O1558" s="77"/>
      <c r="P1558" s="268"/>
      <c r="Q1558" s="268"/>
      <c r="R1558" s="77"/>
      <c r="S1558" s="77"/>
      <c r="T1558" s="77"/>
      <c r="U1558" s="77"/>
      <c r="V1558" s="77"/>
      <c r="W1558" s="77"/>
      <c r="X1558" s="77"/>
      <c r="Y1558" s="77"/>
      <c r="Z1558" s="77"/>
      <c r="AA1558" s="77"/>
      <c r="AB1558" s="77"/>
      <c r="AC1558" s="77"/>
      <c r="AD1558" s="77"/>
      <c r="AE1558" s="77"/>
      <c r="AF1558" s="77"/>
      <c r="AG1558" s="77"/>
      <c r="AH1558" s="87"/>
      <c r="AI1558" s="87"/>
      <c r="AJ1558" s="87"/>
      <c r="AK1558" s="87"/>
      <c r="AL1558" s="87"/>
    </row>
    <row r="1559">
      <c r="A1559" s="77"/>
      <c r="B1559" s="102"/>
      <c r="C1559" s="102"/>
      <c r="D1559" s="102"/>
      <c r="E1559" s="102"/>
      <c r="F1559" s="102"/>
      <c r="G1559" s="102"/>
      <c r="H1559" s="295"/>
      <c r="I1559" s="102"/>
      <c r="J1559" s="77"/>
      <c r="K1559" s="77"/>
      <c r="L1559" s="77"/>
      <c r="M1559" s="77"/>
      <c r="N1559" s="77"/>
      <c r="O1559" s="77"/>
      <c r="P1559" s="268"/>
      <c r="Q1559" s="268"/>
      <c r="R1559" s="77"/>
      <c r="S1559" s="77"/>
      <c r="T1559" s="77"/>
      <c r="U1559" s="77"/>
      <c r="V1559" s="77"/>
      <c r="W1559" s="77"/>
      <c r="X1559" s="77"/>
      <c r="Y1559" s="77"/>
      <c r="Z1559" s="77"/>
      <c r="AA1559" s="77"/>
      <c r="AB1559" s="77"/>
      <c r="AC1559" s="77"/>
      <c r="AD1559" s="77"/>
      <c r="AE1559" s="77"/>
      <c r="AF1559" s="77"/>
      <c r="AG1559" s="77"/>
      <c r="AH1559" s="87"/>
      <c r="AI1559" s="87"/>
      <c r="AJ1559" s="87"/>
      <c r="AK1559" s="87"/>
      <c r="AL1559" s="87"/>
    </row>
    <row r="1560">
      <c r="A1560" s="77"/>
      <c r="B1560" s="102"/>
      <c r="C1560" s="102"/>
      <c r="D1560" s="102"/>
      <c r="E1560" s="102"/>
      <c r="F1560" s="102"/>
      <c r="G1560" s="102"/>
      <c r="H1560" s="295"/>
      <c r="I1560" s="102"/>
      <c r="J1560" s="77"/>
      <c r="K1560" s="77"/>
      <c r="L1560" s="77"/>
      <c r="M1560" s="77"/>
      <c r="N1560" s="77"/>
      <c r="O1560" s="77"/>
      <c r="P1560" s="268"/>
      <c r="Q1560" s="268"/>
      <c r="R1560" s="77"/>
      <c r="S1560" s="77"/>
      <c r="T1560" s="77"/>
      <c r="U1560" s="77"/>
      <c r="V1560" s="77"/>
      <c r="W1560" s="77"/>
      <c r="X1560" s="77"/>
      <c r="Y1560" s="77"/>
      <c r="Z1560" s="77"/>
      <c r="AA1560" s="77"/>
      <c r="AB1560" s="77"/>
      <c r="AC1560" s="77"/>
      <c r="AD1560" s="77"/>
      <c r="AE1560" s="77"/>
      <c r="AF1560" s="77"/>
      <c r="AG1560" s="77"/>
      <c r="AH1560" s="87"/>
      <c r="AI1560" s="87"/>
      <c r="AJ1560" s="87"/>
      <c r="AK1560" s="87"/>
      <c r="AL1560" s="87"/>
    </row>
    <row r="1561">
      <c r="A1561" s="77"/>
      <c r="B1561" s="102"/>
      <c r="C1561" s="102"/>
      <c r="D1561" s="102"/>
      <c r="E1561" s="102"/>
      <c r="F1561" s="102"/>
      <c r="G1561" s="102"/>
      <c r="H1561" s="295"/>
      <c r="I1561" s="102"/>
      <c r="J1561" s="77"/>
      <c r="K1561" s="77"/>
      <c r="L1561" s="77"/>
      <c r="M1561" s="77"/>
      <c r="N1561" s="77"/>
      <c r="O1561" s="77"/>
      <c r="P1561" s="268"/>
      <c r="Q1561" s="268"/>
      <c r="R1561" s="77"/>
      <c r="S1561" s="77"/>
      <c r="T1561" s="77"/>
      <c r="U1561" s="77"/>
      <c r="V1561" s="77"/>
      <c r="W1561" s="77"/>
      <c r="X1561" s="77"/>
      <c r="Y1561" s="77"/>
      <c r="Z1561" s="77"/>
      <c r="AA1561" s="77"/>
      <c r="AB1561" s="77"/>
      <c r="AC1561" s="77"/>
      <c r="AD1561" s="77"/>
      <c r="AE1561" s="77"/>
      <c r="AF1561" s="77"/>
      <c r="AG1561" s="77"/>
      <c r="AH1561" s="87"/>
      <c r="AI1561" s="87"/>
      <c r="AJ1561" s="87"/>
      <c r="AK1561" s="87"/>
      <c r="AL1561" s="87"/>
    </row>
    <row r="1562">
      <c r="A1562" s="77"/>
      <c r="B1562" s="102"/>
      <c r="C1562" s="102"/>
      <c r="D1562" s="102"/>
      <c r="E1562" s="102"/>
      <c r="F1562" s="102"/>
      <c r="G1562" s="102"/>
      <c r="H1562" s="295"/>
      <c r="I1562" s="102"/>
      <c r="J1562" s="77"/>
      <c r="K1562" s="77"/>
      <c r="L1562" s="77"/>
      <c r="M1562" s="77"/>
      <c r="N1562" s="77"/>
      <c r="O1562" s="77"/>
      <c r="P1562" s="268"/>
      <c r="Q1562" s="268"/>
      <c r="R1562" s="77"/>
      <c r="S1562" s="77"/>
      <c r="T1562" s="77"/>
      <c r="U1562" s="77"/>
      <c r="V1562" s="77"/>
      <c r="W1562" s="77"/>
      <c r="X1562" s="77"/>
      <c r="Y1562" s="77"/>
      <c r="Z1562" s="77"/>
      <c r="AA1562" s="77"/>
      <c r="AB1562" s="77"/>
      <c r="AC1562" s="77"/>
      <c r="AD1562" s="77"/>
      <c r="AE1562" s="77"/>
      <c r="AF1562" s="77"/>
      <c r="AG1562" s="77"/>
      <c r="AH1562" s="87"/>
      <c r="AI1562" s="87"/>
      <c r="AJ1562" s="87"/>
      <c r="AK1562" s="87"/>
      <c r="AL1562" s="87"/>
    </row>
    <row r="1563">
      <c r="A1563" s="77"/>
      <c r="B1563" s="102"/>
      <c r="C1563" s="102"/>
      <c r="D1563" s="102"/>
      <c r="E1563" s="102"/>
      <c r="F1563" s="102"/>
      <c r="G1563" s="102"/>
      <c r="H1563" s="295"/>
      <c r="I1563" s="102"/>
      <c r="J1563" s="77"/>
      <c r="K1563" s="77"/>
      <c r="L1563" s="77"/>
      <c r="M1563" s="77"/>
      <c r="N1563" s="77"/>
      <c r="O1563" s="77"/>
      <c r="P1563" s="268"/>
      <c r="Q1563" s="268"/>
      <c r="R1563" s="77"/>
      <c r="S1563" s="77"/>
      <c r="T1563" s="77"/>
      <c r="U1563" s="77"/>
      <c r="V1563" s="77"/>
      <c r="W1563" s="77"/>
      <c r="X1563" s="77"/>
      <c r="Y1563" s="77"/>
      <c r="Z1563" s="77"/>
      <c r="AA1563" s="77"/>
      <c r="AB1563" s="77"/>
      <c r="AC1563" s="77"/>
      <c r="AD1563" s="77"/>
      <c r="AE1563" s="77"/>
      <c r="AF1563" s="77"/>
      <c r="AG1563" s="77"/>
      <c r="AH1563" s="87"/>
      <c r="AI1563" s="87"/>
      <c r="AJ1563" s="87"/>
      <c r="AK1563" s="87"/>
      <c r="AL1563" s="87"/>
    </row>
    <row r="1564">
      <c r="A1564" s="77"/>
      <c r="B1564" s="102"/>
      <c r="C1564" s="102"/>
      <c r="D1564" s="102"/>
      <c r="E1564" s="102"/>
      <c r="F1564" s="102"/>
      <c r="G1564" s="102"/>
      <c r="H1564" s="295"/>
      <c r="I1564" s="102"/>
      <c r="J1564" s="77"/>
      <c r="K1564" s="77"/>
      <c r="L1564" s="77"/>
      <c r="M1564" s="77"/>
      <c r="N1564" s="77"/>
      <c r="O1564" s="77"/>
      <c r="P1564" s="268"/>
      <c r="Q1564" s="268"/>
      <c r="R1564" s="77"/>
      <c r="S1564" s="77"/>
      <c r="T1564" s="77"/>
      <c r="U1564" s="77"/>
      <c r="V1564" s="77"/>
      <c r="W1564" s="77"/>
      <c r="X1564" s="77"/>
      <c r="Y1564" s="77"/>
      <c r="Z1564" s="77"/>
      <c r="AA1564" s="77"/>
      <c r="AB1564" s="77"/>
      <c r="AC1564" s="77"/>
      <c r="AD1564" s="77"/>
      <c r="AE1564" s="77"/>
      <c r="AF1564" s="77"/>
      <c r="AG1564" s="77"/>
      <c r="AH1564" s="87"/>
      <c r="AI1564" s="87"/>
      <c r="AJ1564" s="87"/>
      <c r="AK1564" s="87"/>
      <c r="AL1564" s="87"/>
    </row>
    <row r="1565">
      <c r="A1565" s="77"/>
      <c r="B1565" s="102"/>
      <c r="C1565" s="102"/>
      <c r="D1565" s="102"/>
      <c r="E1565" s="102"/>
      <c r="F1565" s="102"/>
      <c r="G1565" s="102"/>
      <c r="H1565" s="295"/>
      <c r="I1565" s="102"/>
      <c r="J1565" s="77"/>
      <c r="K1565" s="77"/>
      <c r="L1565" s="77"/>
      <c r="M1565" s="77"/>
      <c r="N1565" s="77"/>
      <c r="O1565" s="77"/>
      <c r="P1565" s="268"/>
      <c r="Q1565" s="268"/>
      <c r="R1565" s="77"/>
      <c r="S1565" s="77"/>
      <c r="T1565" s="77"/>
      <c r="U1565" s="77"/>
      <c r="V1565" s="77"/>
      <c r="W1565" s="77"/>
      <c r="X1565" s="77"/>
      <c r="Y1565" s="77"/>
      <c r="Z1565" s="77"/>
      <c r="AA1565" s="77"/>
      <c r="AB1565" s="77"/>
      <c r="AC1565" s="77"/>
      <c r="AD1565" s="77"/>
      <c r="AE1565" s="77"/>
      <c r="AF1565" s="77"/>
      <c r="AG1565" s="77"/>
      <c r="AH1565" s="87"/>
      <c r="AI1565" s="87"/>
      <c r="AJ1565" s="87"/>
      <c r="AK1565" s="87"/>
      <c r="AL1565" s="87"/>
    </row>
    <row r="1566">
      <c r="A1566" s="77"/>
      <c r="B1566" s="102"/>
      <c r="C1566" s="102"/>
      <c r="D1566" s="102"/>
      <c r="E1566" s="102"/>
      <c r="F1566" s="102"/>
      <c r="G1566" s="102"/>
      <c r="H1566" s="295"/>
      <c r="I1566" s="102"/>
      <c r="J1566" s="77"/>
      <c r="K1566" s="77"/>
      <c r="L1566" s="77"/>
      <c r="M1566" s="77"/>
      <c r="N1566" s="77"/>
      <c r="O1566" s="77"/>
      <c r="P1566" s="268"/>
      <c r="Q1566" s="268"/>
      <c r="R1566" s="77"/>
      <c r="S1566" s="77"/>
      <c r="T1566" s="77"/>
      <c r="U1566" s="77"/>
      <c r="V1566" s="77"/>
      <c r="W1566" s="77"/>
      <c r="X1566" s="77"/>
      <c r="Y1566" s="77"/>
      <c r="Z1566" s="77"/>
      <c r="AA1566" s="77"/>
      <c r="AB1566" s="77"/>
      <c r="AC1566" s="77"/>
      <c r="AD1566" s="77"/>
      <c r="AE1566" s="77"/>
      <c r="AF1566" s="77"/>
      <c r="AG1566" s="77"/>
      <c r="AH1566" s="87"/>
      <c r="AI1566" s="87"/>
      <c r="AJ1566" s="87"/>
      <c r="AK1566" s="87"/>
      <c r="AL1566" s="87"/>
    </row>
    <row r="1567">
      <c r="A1567" s="77"/>
      <c r="B1567" s="102"/>
      <c r="C1567" s="102"/>
      <c r="D1567" s="102"/>
      <c r="E1567" s="102"/>
      <c r="F1567" s="102"/>
      <c r="G1567" s="102"/>
      <c r="H1567" s="295"/>
      <c r="I1567" s="102"/>
      <c r="J1567" s="77"/>
      <c r="K1567" s="77"/>
      <c r="L1567" s="77"/>
      <c r="M1567" s="77"/>
      <c r="N1567" s="77"/>
      <c r="O1567" s="77"/>
      <c r="P1567" s="268"/>
      <c r="Q1567" s="268"/>
      <c r="R1567" s="77"/>
      <c r="S1567" s="77"/>
      <c r="T1567" s="77"/>
      <c r="U1567" s="77"/>
      <c r="V1567" s="77"/>
      <c r="W1567" s="77"/>
      <c r="X1567" s="77"/>
      <c r="Y1567" s="77"/>
      <c r="Z1567" s="77"/>
      <c r="AA1567" s="77"/>
      <c r="AB1567" s="77"/>
      <c r="AC1567" s="77"/>
      <c r="AD1567" s="77"/>
      <c r="AE1567" s="77"/>
      <c r="AF1567" s="77"/>
      <c r="AG1567" s="77"/>
      <c r="AH1567" s="87"/>
      <c r="AI1567" s="87"/>
      <c r="AJ1567" s="87"/>
      <c r="AK1567" s="87"/>
      <c r="AL1567" s="87"/>
    </row>
    <row r="1568">
      <c r="A1568" s="77"/>
      <c r="B1568" s="102"/>
      <c r="C1568" s="102"/>
      <c r="D1568" s="102"/>
      <c r="E1568" s="102"/>
      <c r="F1568" s="102"/>
      <c r="G1568" s="102"/>
      <c r="H1568" s="295"/>
      <c r="I1568" s="102"/>
      <c r="J1568" s="77"/>
      <c r="K1568" s="77"/>
      <c r="L1568" s="77"/>
      <c r="M1568" s="77"/>
      <c r="N1568" s="77"/>
      <c r="O1568" s="77"/>
      <c r="P1568" s="268"/>
      <c r="Q1568" s="268"/>
      <c r="R1568" s="77"/>
      <c r="S1568" s="77"/>
      <c r="T1568" s="77"/>
      <c r="U1568" s="77"/>
      <c r="V1568" s="77"/>
      <c r="W1568" s="77"/>
      <c r="X1568" s="77"/>
      <c r="Y1568" s="77"/>
      <c r="Z1568" s="77"/>
      <c r="AA1568" s="77"/>
      <c r="AB1568" s="77"/>
      <c r="AC1568" s="77"/>
      <c r="AD1568" s="77"/>
      <c r="AE1568" s="77"/>
      <c r="AF1568" s="77"/>
      <c r="AG1568" s="77"/>
      <c r="AH1568" s="87"/>
      <c r="AI1568" s="87"/>
      <c r="AJ1568" s="87"/>
      <c r="AK1568" s="87"/>
      <c r="AL1568" s="87"/>
    </row>
    <row r="1569">
      <c r="A1569" s="77"/>
      <c r="B1569" s="102"/>
      <c r="C1569" s="102"/>
      <c r="D1569" s="102"/>
      <c r="E1569" s="102"/>
      <c r="F1569" s="102"/>
      <c r="G1569" s="102"/>
      <c r="H1569" s="295"/>
      <c r="I1569" s="102"/>
      <c r="J1569" s="77"/>
      <c r="K1569" s="77"/>
      <c r="L1569" s="77"/>
      <c r="M1569" s="77"/>
      <c r="N1569" s="77"/>
      <c r="O1569" s="77"/>
      <c r="P1569" s="268"/>
      <c r="Q1569" s="268"/>
      <c r="R1569" s="77"/>
      <c r="S1569" s="77"/>
      <c r="T1569" s="77"/>
      <c r="U1569" s="77"/>
      <c r="V1569" s="77"/>
      <c r="W1569" s="77"/>
      <c r="X1569" s="77"/>
      <c r="Y1569" s="77"/>
      <c r="Z1569" s="77"/>
      <c r="AA1569" s="77"/>
      <c r="AB1569" s="77"/>
      <c r="AC1569" s="77"/>
      <c r="AD1569" s="77"/>
      <c r="AE1569" s="77"/>
      <c r="AF1569" s="77"/>
      <c r="AG1569" s="77"/>
      <c r="AH1569" s="87"/>
      <c r="AI1569" s="87"/>
      <c r="AJ1569" s="87"/>
      <c r="AK1569" s="87"/>
      <c r="AL1569" s="87"/>
    </row>
    <row r="1570">
      <c r="A1570" s="77"/>
      <c r="B1570" s="102"/>
      <c r="C1570" s="102"/>
      <c r="D1570" s="102"/>
      <c r="E1570" s="102"/>
      <c r="F1570" s="102"/>
      <c r="G1570" s="102"/>
      <c r="H1570" s="295"/>
      <c r="I1570" s="102"/>
      <c r="J1570" s="77"/>
      <c r="K1570" s="77"/>
      <c r="L1570" s="77"/>
      <c r="M1570" s="77"/>
      <c r="N1570" s="77"/>
      <c r="O1570" s="77"/>
      <c r="P1570" s="268"/>
      <c r="Q1570" s="268"/>
      <c r="R1570" s="77"/>
      <c r="S1570" s="77"/>
      <c r="T1570" s="77"/>
      <c r="U1570" s="77"/>
      <c r="V1570" s="77"/>
      <c r="W1570" s="77"/>
      <c r="X1570" s="77"/>
      <c r="Y1570" s="77"/>
      <c r="Z1570" s="77"/>
      <c r="AA1570" s="77"/>
      <c r="AB1570" s="77"/>
      <c r="AC1570" s="77"/>
      <c r="AD1570" s="77"/>
      <c r="AE1570" s="77"/>
      <c r="AF1570" s="77"/>
      <c r="AG1570" s="77"/>
      <c r="AH1570" s="87"/>
      <c r="AI1570" s="87"/>
      <c r="AJ1570" s="87"/>
      <c r="AK1570" s="87"/>
      <c r="AL1570" s="87"/>
    </row>
    <row r="1571">
      <c r="A1571" s="77"/>
      <c r="B1571" s="102"/>
      <c r="C1571" s="102"/>
      <c r="D1571" s="102"/>
      <c r="E1571" s="102"/>
      <c r="F1571" s="102"/>
      <c r="G1571" s="102"/>
      <c r="H1571" s="295"/>
      <c r="I1571" s="102"/>
      <c r="J1571" s="77"/>
      <c r="K1571" s="77"/>
      <c r="L1571" s="77"/>
      <c r="M1571" s="77"/>
      <c r="N1571" s="77"/>
      <c r="O1571" s="77"/>
      <c r="P1571" s="268"/>
      <c r="Q1571" s="268"/>
      <c r="R1571" s="77"/>
      <c r="S1571" s="77"/>
      <c r="T1571" s="77"/>
      <c r="U1571" s="77"/>
      <c r="V1571" s="77"/>
      <c r="W1571" s="77"/>
      <c r="X1571" s="77"/>
      <c r="Y1571" s="77"/>
      <c r="Z1571" s="77"/>
      <c r="AA1571" s="77"/>
      <c r="AB1571" s="77"/>
      <c r="AC1571" s="77"/>
      <c r="AD1571" s="77"/>
      <c r="AE1571" s="77"/>
      <c r="AF1571" s="77"/>
      <c r="AG1571" s="77"/>
      <c r="AH1571" s="87"/>
      <c r="AI1571" s="87"/>
      <c r="AJ1571" s="87"/>
      <c r="AK1571" s="87"/>
      <c r="AL1571" s="87"/>
    </row>
    <row r="1572">
      <c r="A1572" s="77"/>
      <c r="B1572" s="102"/>
      <c r="C1572" s="102"/>
      <c r="D1572" s="102"/>
      <c r="E1572" s="102"/>
      <c r="F1572" s="102"/>
      <c r="G1572" s="102"/>
      <c r="H1572" s="295"/>
      <c r="I1572" s="102"/>
      <c r="J1572" s="77"/>
      <c r="K1572" s="77"/>
      <c r="L1572" s="77"/>
      <c r="M1572" s="77"/>
      <c r="N1572" s="77"/>
      <c r="O1572" s="77"/>
      <c r="P1572" s="268"/>
      <c r="Q1572" s="268"/>
      <c r="R1572" s="77"/>
      <c r="S1572" s="77"/>
      <c r="T1572" s="77"/>
      <c r="U1572" s="77"/>
      <c r="V1572" s="77"/>
      <c r="W1572" s="77"/>
      <c r="X1572" s="77"/>
      <c r="Y1572" s="77"/>
      <c r="Z1572" s="77"/>
      <c r="AA1572" s="77"/>
      <c r="AB1572" s="77"/>
      <c r="AC1572" s="77"/>
      <c r="AD1572" s="77"/>
      <c r="AE1572" s="77"/>
      <c r="AF1572" s="77"/>
      <c r="AG1572" s="77"/>
      <c r="AH1572" s="87"/>
      <c r="AI1572" s="87"/>
      <c r="AJ1572" s="87"/>
      <c r="AK1572" s="87"/>
      <c r="AL1572" s="87"/>
    </row>
    <row r="1573">
      <c r="A1573" s="77"/>
      <c r="B1573" s="102"/>
      <c r="C1573" s="102"/>
      <c r="D1573" s="102"/>
      <c r="E1573" s="102"/>
      <c r="F1573" s="102"/>
      <c r="G1573" s="102"/>
      <c r="H1573" s="295"/>
      <c r="I1573" s="102"/>
      <c r="J1573" s="77"/>
      <c r="K1573" s="77"/>
      <c r="L1573" s="77"/>
      <c r="M1573" s="77"/>
      <c r="N1573" s="77"/>
      <c r="O1573" s="77"/>
      <c r="P1573" s="268"/>
      <c r="Q1573" s="268"/>
      <c r="R1573" s="77"/>
      <c r="S1573" s="77"/>
      <c r="T1573" s="77"/>
      <c r="U1573" s="77"/>
      <c r="V1573" s="77"/>
      <c r="W1573" s="77"/>
      <c r="X1573" s="77"/>
      <c r="Y1573" s="77"/>
      <c r="Z1573" s="77"/>
      <c r="AA1573" s="77"/>
      <c r="AB1573" s="77"/>
      <c r="AC1573" s="77"/>
      <c r="AD1573" s="77"/>
      <c r="AE1573" s="77"/>
      <c r="AF1573" s="77"/>
      <c r="AG1573" s="77"/>
      <c r="AH1573" s="87"/>
      <c r="AI1573" s="87"/>
      <c r="AJ1573" s="87"/>
      <c r="AK1573" s="87"/>
      <c r="AL1573" s="87"/>
    </row>
    <row r="1574">
      <c r="A1574" s="77"/>
      <c r="B1574" s="102"/>
      <c r="C1574" s="102"/>
      <c r="D1574" s="102"/>
      <c r="E1574" s="102"/>
      <c r="F1574" s="102"/>
      <c r="G1574" s="102"/>
      <c r="H1574" s="295"/>
      <c r="I1574" s="102"/>
      <c r="J1574" s="77"/>
      <c r="K1574" s="77"/>
      <c r="L1574" s="77"/>
      <c r="M1574" s="77"/>
      <c r="N1574" s="77"/>
      <c r="O1574" s="77"/>
      <c r="P1574" s="268"/>
      <c r="Q1574" s="268"/>
      <c r="R1574" s="77"/>
      <c r="S1574" s="77"/>
      <c r="T1574" s="77"/>
      <c r="U1574" s="77"/>
      <c r="V1574" s="77"/>
      <c r="W1574" s="77"/>
      <c r="X1574" s="77"/>
      <c r="Y1574" s="77"/>
      <c r="Z1574" s="77"/>
      <c r="AA1574" s="77"/>
      <c r="AB1574" s="77"/>
      <c r="AC1574" s="77"/>
      <c r="AD1574" s="77"/>
      <c r="AE1574" s="77"/>
      <c r="AF1574" s="77"/>
      <c r="AG1574" s="77"/>
      <c r="AH1574" s="87"/>
      <c r="AI1574" s="87"/>
      <c r="AJ1574" s="87"/>
      <c r="AK1574" s="87"/>
      <c r="AL1574" s="87"/>
    </row>
    <row r="1575">
      <c r="A1575" s="77"/>
      <c r="B1575" s="102"/>
      <c r="C1575" s="102"/>
      <c r="D1575" s="102"/>
      <c r="E1575" s="102"/>
      <c r="F1575" s="102"/>
      <c r="G1575" s="102"/>
      <c r="H1575" s="295"/>
      <c r="I1575" s="102"/>
      <c r="J1575" s="77"/>
      <c r="K1575" s="77"/>
      <c r="L1575" s="77"/>
      <c r="M1575" s="77"/>
      <c r="N1575" s="77"/>
      <c r="O1575" s="77"/>
      <c r="P1575" s="268"/>
      <c r="Q1575" s="268"/>
      <c r="R1575" s="77"/>
      <c r="S1575" s="77"/>
      <c r="T1575" s="77"/>
      <c r="U1575" s="77"/>
      <c r="V1575" s="77"/>
      <c r="W1575" s="77"/>
      <c r="X1575" s="77"/>
      <c r="Y1575" s="77"/>
      <c r="Z1575" s="77"/>
      <c r="AA1575" s="77"/>
      <c r="AB1575" s="77"/>
      <c r="AC1575" s="77"/>
      <c r="AD1575" s="77"/>
      <c r="AE1575" s="77"/>
      <c r="AF1575" s="77"/>
      <c r="AG1575" s="77"/>
      <c r="AH1575" s="87"/>
      <c r="AI1575" s="87"/>
      <c r="AJ1575" s="87"/>
      <c r="AK1575" s="87"/>
      <c r="AL1575" s="87"/>
    </row>
    <row r="1576">
      <c r="A1576" s="77"/>
      <c r="B1576" s="102"/>
      <c r="C1576" s="102"/>
      <c r="D1576" s="102"/>
      <c r="E1576" s="102"/>
      <c r="F1576" s="102"/>
      <c r="G1576" s="102"/>
      <c r="H1576" s="295"/>
      <c r="I1576" s="102"/>
      <c r="J1576" s="77"/>
      <c r="K1576" s="77"/>
      <c r="L1576" s="77"/>
      <c r="M1576" s="77"/>
      <c r="N1576" s="77"/>
      <c r="O1576" s="77"/>
      <c r="P1576" s="268"/>
      <c r="Q1576" s="268"/>
      <c r="R1576" s="77"/>
      <c r="S1576" s="77"/>
      <c r="T1576" s="77"/>
      <c r="U1576" s="77"/>
      <c r="V1576" s="77"/>
      <c r="W1576" s="77"/>
      <c r="X1576" s="77"/>
      <c r="Y1576" s="77"/>
      <c r="Z1576" s="77"/>
      <c r="AA1576" s="77"/>
      <c r="AB1576" s="77"/>
      <c r="AC1576" s="77"/>
      <c r="AD1576" s="77"/>
      <c r="AE1576" s="77"/>
      <c r="AF1576" s="77"/>
      <c r="AG1576" s="77"/>
      <c r="AH1576" s="87"/>
      <c r="AI1576" s="87"/>
      <c r="AJ1576" s="87"/>
      <c r="AK1576" s="87"/>
      <c r="AL1576" s="87"/>
    </row>
    <row r="1577">
      <c r="A1577" s="77"/>
      <c r="B1577" s="102"/>
      <c r="C1577" s="102"/>
      <c r="D1577" s="102"/>
      <c r="E1577" s="102"/>
      <c r="F1577" s="102"/>
      <c r="G1577" s="102"/>
      <c r="H1577" s="295"/>
      <c r="I1577" s="102"/>
      <c r="J1577" s="77"/>
      <c r="K1577" s="77"/>
      <c r="L1577" s="77"/>
      <c r="M1577" s="77"/>
      <c r="N1577" s="77"/>
      <c r="O1577" s="77"/>
      <c r="P1577" s="268"/>
      <c r="Q1577" s="268"/>
      <c r="R1577" s="77"/>
      <c r="S1577" s="77"/>
      <c r="T1577" s="77"/>
      <c r="U1577" s="77"/>
      <c r="V1577" s="77"/>
      <c r="W1577" s="77"/>
      <c r="X1577" s="77"/>
      <c r="Y1577" s="77"/>
      <c r="Z1577" s="77"/>
      <c r="AA1577" s="77"/>
      <c r="AB1577" s="77"/>
      <c r="AC1577" s="77"/>
      <c r="AD1577" s="77"/>
      <c r="AE1577" s="77"/>
      <c r="AF1577" s="77"/>
      <c r="AG1577" s="77"/>
      <c r="AH1577" s="87"/>
      <c r="AI1577" s="87"/>
      <c r="AJ1577" s="87"/>
      <c r="AK1577" s="87"/>
      <c r="AL1577" s="87"/>
    </row>
    <row r="1578">
      <c r="A1578" s="77"/>
      <c r="B1578" s="102"/>
      <c r="C1578" s="102"/>
      <c r="D1578" s="102"/>
      <c r="E1578" s="102"/>
      <c r="F1578" s="102"/>
      <c r="G1578" s="102"/>
      <c r="H1578" s="295"/>
      <c r="I1578" s="102"/>
      <c r="J1578" s="77"/>
      <c r="K1578" s="77"/>
      <c r="L1578" s="77"/>
      <c r="M1578" s="77"/>
      <c r="N1578" s="77"/>
      <c r="O1578" s="77"/>
      <c r="P1578" s="268"/>
      <c r="Q1578" s="268"/>
      <c r="R1578" s="77"/>
      <c r="S1578" s="77"/>
      <c r="T1578" s="77"/>
      <c r="U1578" s="77"/>
      <c r="V1578" s="77"/>
      <c r="W1578" s="77"/>
      <c r="X1578" s="77"/>
      <c r="Y1578" s="77"/>
      <c r="Z1578" s="77"/>
      <c r="AA1578" s="77"/>
      <c r="AB1578" s="77"/>
      <c r="AC1578" s="77"/>
      <c r="AD1578" s="77"/>
      <c r="AE1578" s="77"/>
      <c r="AF1578" s="77"/>
      <c r="AG1578" s="77"/>
      <c r="AH1578" s="87"/>
      <c r="AI1578" s="87"/>
      <c r="AJ1578" s="87"/>
      <c r="AK1578" s="87"/>
      <c r="AL1578" s="87"/>
    </row>
    <row r="1579">
      <c r="A1579" s="77"/>
      <c r="B1579" s="102"/>
      <c r="C1579" s="102"/>
      <c r="D1579" s="102"/>
      <c r="E1579" s="102"/>
      <c r="F1579" s="102"/>
      <c r="G1579" s="102"/>
      <c r="H1579" s="295"/>
      <c r="I1579" s="102"/>
      <c r="J1579" s="77"/>
      <c r="K1579" s="77"/>
      <c r="L1579" s="77"/>
      <c r="M1579" s="77"/>
      <c r="N1579" s="77"/>
      <c r="O1579" s="77"/>
      <c r="P1579" s="268"/>
      <c r="Q1579" s="268"/>
      <c r="R1579" s="77"/>
      <c r="S1579" s="77"/>
      <c r="T1579" s="77"/>
      <c r="U1579" s="77"/>
      <c r="V1579" s="77"/>
      <c r="W1579" s="77"/>
      <c r="X1579" s="77"/>
      <c r="Y1579" s="77"/>
      <c r="Z1579" s="77"/>
      <c r="AA1579" s="77"/>
      <c r="AB1579" s="77"/>
      <c r="AC1579" s="77"/>
      <c r="AD1579" s="77"/>
      <c r="AE1579" s="77"/>
      <c r="AF1579" s="77"/>
      <c r="AG1579" s="77"/>
      <c r="AH1579" s="87"/>
      <c r="AI1579" s="87"/>
      <c r="AJ1579" s="87"/>
      <c r="AK1579" s="87"/>
      <c r="AL1579" s="87"/>
    </row>
    <row r="1580">
      <c r="A1580" s="77"/>
      <c r="B1580" s="102"/>
      <c r="C1580" s="102"/>
      <c r="D1580" s="102"/>
      <c r="E1580" s="102"/>
      <c r="F1580" s="102"/>
      <c r="G1580" s="102"/>
      <c r="H1580" s="295"/>
      <c r="I1580" s="102"/>
      <c r="J1580" s="77"/>
      <c r="K1580" s="77"/>
      <c r="L1580" s="77"/>
      <c r="M1580" s="77"/>
      <c r="N1580" s="77"/>
      <c r="O1580" s="77"/>
      <c r="P1580" s="268"/>
      <c r="Q1580" s="268"/>
      <c r="R1580" s="77"/>
      <c r="S1580" s="77"/>
      <c r="T1580" s="77"/>
      <c r="U1580" s="77"/>
      <c r="V1580" s="77"/>
      <c r="W1580" s="77"/>
      <c r="X1580" s="77"/>
      <c r="Y1580" s="77"/>
      <c r="Z1580" s="77"/>
      <c r="AA1580" s="77"/>
      <c r="AB1580" s="77"/>
      <c r="AC1580" s="77"/>
      <c r="AD1580" s="77"/>
      <c r="AE1580" s="77"/>
      <c r="AF1580" s="77"/>
      <c r="AG1580" s="77"/>
      <c r="AH1580" s="87"/>
      <c r="AI1580" s="87"/>
      <c r="AJ1580" s="87"/>
      <c r="AK1580" s="87"/>
      <c r="AL1580" s="87"/>
    </row>
    <row r="1581">
      <c r="A1581" s="77"/>
      <c r="B1581" s="102"/>
      <c r="C1581" s="102"/>
      <c r="D1581" s="102"/>
      <c r="E1581" s="102"/>
      <c r="F1581" s="102"/>
      <c r="G1581" s="102"/>
      <c r="H1581" s="295"/>
      <c r="I1581" s="102"/>
      <c r="J1581" s="77"/>
      <c r="K1581" s="77"/>
      <c r="L1581" s="77"/>
      <c r="M1581" s="77"/>
      <c r="N1581" s="77"/>
      <c r="O1581" s="77"/>
      <c r="P1581" s="268"/>
      <c r="Q1581" s="268"/>
      <c r="R1581" s="77"/>
      <c r="S1581" s="77"/>
      <c r="T1581" s="77"/>
      <c r="U1581" s="77"/>
      <c r="V1581" s="77"/>
      <c r="W1581" s="77"/>
      <c r="X1581" s="77"/>
      <c r="Y1581" s="77"/>
      <c r="Z1581" s="77"/>
      <c r="AA1581" s="77"/>
      <c r="AB1581" s="77"/>
      <c r="AC1581" s="77"/>
      <c r="AD1581" s="77"/>
      <c r="AE1581" s="77"/>
      <c r="AF1581" s="77"/>
      <c r="AG1581" s="77"/>
      <c r="AH1581" s="87"/>
      <c r="AI1581" s="87"/>
      <c r="AJ1581" s="87"/>
      <c r="AK1581" s="87"/>
      <c r="AL1581" s="87"/>
    </row>
    <row r="1582">
      <c r="A1582" s="77"/>
      <c r="B1582" s="102"/>
      <c r="C1582" s="102"/>
      <c r="D1582" s="102"/>
      <c r="E1582" s="102"/>
      <c r="F1582" s="102"/>
      <c r="G1582" s="102"/>
      <c r="H1582" s="295"/>
      <c r="I1582" s="102"/>
      <c r="J1582" s="77"/>
      <c r="K1582" s="77"/>
      <c r="L1582" s="77"/>
      <c r="M1582" s="77"/>
      <c r="N1582" s="77"/>
      <c r="O1582" s="77"/>
      <c r="P1582" s="268"/>
      <c r="Q1582" s="268"/>
      <c r="R1582" s="77"/>
      <c r="S1582" s="77"/>
      <c r="T1582" s="77"/>
      <c r="U1582" s="77"/>
      <c r="V1582" s="77"/>
      <c r="W1582" s="77"/>
      <c r="X1582" s="77"/>
      <c r="Y1582" s="77"/>
      <c r="Z1582" s="77"/>
      <c r="AA1582" s="77"/>
      <c r="AB1582" s="77"/>
      <c r="AC1582" s="77"/>
      <c r="AD1582" s="77"/>
      <c r="AE1582" s="77"/>
      <c r="AF1582" s="77"/>
      <c r="AG1582" s="77"/>
      <c r="AH1582" s="87"/>
      <c r="AI1582" s="87"/>
      <c r="AJ1582" s="87"/>
      <c r="AK1582" s="87"/>
      <c r="AL1582" s="87"/>
    </row>
    <row r="1583">
      <c r="A1583" s="77"/>
      <c r="B1583" s="102"/>
      <c r="C1583" s="102"/>
      <c r="D1583" s="102"/>
      <c r="E1583" s="102"/>
      <c r="F1583" s="102"/>
      <c r="G1583" s="102"/>
      <c r="H1583" s="295"/>
      <c r="I1583" s="102"/>
      <c r="J1583" s="77"/>
      <c r="K1583" s="77"/>
      <c r="L1583" s="77"/>
      <c r="M1583" s="77"/>
      <c r="N1583" s="77"/>
      <c r="O1583" s="77"/>
      <c r="P1583" s="268"/>
      <c r="Q1583" s="268"/>
      <c r="R1583" s="77"/>
      <c r="S1583" s="77"/>
      <c r="T1583" s="77"/>
      <c r="U1583" s="77"/>
      <c r="V1583" s="77"/>
      <c r="W1583" s="77"/>
      <c r="X1583" s="77"/>
      <c r="Y1583" s="77"/>
      <c r="Z1583" s="77"/>
      <c r="AA1583" s="77"/>
      <c r="AB1583" s="77"/>
      <c r="AC1583" s="77"/>
      <c r="AD1583" s="77"/>
      <c r="AE1583" s="77"/>
      <c r="AF1583" s="77"/>
      <c r="AG1583" s="77"/>
      <c r="AH1583" s="87"/>
      <c r="AI1583" s="87"/>
      <c r="AJ1583" s="87"/>
      <c r="AK1583" s="87"/>
      <c r="AL1583" s="87"/>
    </row>
    <row r="1584">
      <c r="A1584" s="77"/>
      <c r="B1584" s="102"/>
      <c r="C1584" s="102"/>
      <c r="D1584" s="102"/>
      <c r="E1584" s="102"/>
      <c r="F1584" s="102"/>
      <c r="G1584" s="102"/>
      <c r="H1584" s="295"/>
      <c r="I1584" s="102"/>
      <c r="J1584" s="77"/>
      <c r="K1584" s="77"/>
      <c r="L1584" s="77"/>
      <c r="M1584" s="77"/>
      <c r="N1584" s="77"/>
      <c r="O1584" s="77"/>
      <c r="P1584" s="268"/>
      <c r="Q1584" s="268"/>
      <c r="R1584" s="77"/>
      <c r="S1584" s="77"/>
      <c r="T1584" s="77"/>
      <c r="U1584" s="77"/>
      <c r="V1584" s="77"/>
      <c r="W1584" s="77"/>
      <c r="X1584" s="77"/>
      <c r="Y1584" s="77"/>
      <c r="Z1584" s="77"/>
      <c r="AA1584" s="77"/>
      <c r="AB1584" s="77"/>
      <c r="AC1584" s="77"/>
      <c r="AD1584" s="77"/>
      <c r="AE1584" s="77"/>
      <c r="AF1584" s="77"/>
      <c r="AG1584" s="77"/>
      <c r="AH1584" s="87"/>
      <c r="AI1584" s="87"/>
      <c r="AJ1584" s="87"/>
      <c r="AK1584" s="87"/>
      <c r="AL1584" s="87"/>
    </row>
    <row r="1585">
      <c r="A1585" s="77"/>
      <c r="B1585" s="102"/>
      <c r="C1585" s="102"/>
      <c r="D1585" s="102"/>
      <c r="E1585" s="102"/>
      <c r="F1585" s="102"/>
      <c r="G1585" s="102"/>
      <c r="H1585" s="295"/>
      <c r="I1585" s="102"/>
      <c r="J1585" s="77"/>
      <c r="K1585" s="77"/>
      <c r="L1585" s="77"/>
      <c r="M1585" s="77"/>
      <c r="N1585" s="77"/>
      <c r="O1585" s="77"/>
      <c r="P1585" s="268"/>
      <c r="Q1585" s="268"/>
      <c r="R1585" s="77"/>
      <c r="S1585" s="77"/>
      <c r="T1585" s="77"/>
      <c r="U1585" s="77"/>
      <c r="V1585" s="77"/>
      <c r="W1585" s="77"/>
      <c r="X1585" s="77"/>
      <c r="Y1585" s="77"/>
      <c r="Z1585" s="77"/>
      <c r="AA1585" s="77"/>
      <c r="AB1585" s="77"/>
      <c r="AC1585" s="77"/>
      <c r="AD1585" s="77"/>
      <c r="AE1585" s="77"/>
      <c r="AF1585" s="77"/>
      <c r="AG1585" s="77"/>
      <c r="AH1585" s="87"/>
      <c r="AI1585" s="87"/>
      <c r="AJ1585" s="87"/>
      <c r="AK1585" s="87"/>
      <c r="AL1585" s="87"/>
    </row>
    <row r="1586">
      <c r="A1586" s="77"/>
      <c r="B1586" s="102"/>
      <c r="C1586" s="102"/>
      <c r="D1586" s="102"/>
      <c r="E1586" s="102"/>
      <c r="F1586" s="102"/>
      <c r="G1586" s="102"/>
      <c r="H1586" s="295"/>
      <c r="I1586" s="102"/>
      <c r="J1586" s="77"/>
      <c r="K1586" s="77"/>
      <c r="L1586" s="77"/>
      <c r="M1586" s="77"/>
      <c r="N1586" s="77"/>
      <c r="O1586" s="77"/>
      <c r="P1586" s="268"/>
      <c r="Q1586" s="268"/>
      <c r="R1586" s="77"/>
      <c r="S1586" s="77"/>
      <c r="T1586" s="77"/>
      <c r="U1586" s="77"/>
      <c r="V1586" s="77"/>
      <c r="W1586" s="77"/>
      <c r="X1586" s="77"/>
      <c r="Y1586" s="77"/>
      <c r="Z1586" s="77"/>
      <c r="AA1586" s="77"/>
      <c r="AB1586" s="77"/>
      <c r="AC1586" s="77"/>
      <c r="AD1586" s="77"/>
      <c r="AE1586" s="77"/>
      <c r="AF1586" s="77"/>
      <c r="AG1586" s="77"/>
      <c r="AH1586" s="87"/>
      <c r="AI1586" s="87"/>
      <c r="AJ1586" s="87"/>
      <c r="AK1586" s="87"/>
      <c r="AL1586" s="87"/>
    </row>
    <row r="1587">
      <c r="A1587" s="77"/>
      <c r="B1587" s="102"/>
      <c r="C1587" s="102"/>
      <c r="D1587" s="102"/>
      <c r="E1587" s="102"/>
      <c r="F1587" s="102"/>
      <c r="G1587" s="102"/>
      <c r="H1587" s="295"/>
      <c r="I1587" s="102"/>
      <c r="J1587" s="77"/>
      <c r="K1587" s="77"/>
      <c r="L1587" s="77"/>
      <c r="M1587" s="77"/>
      <c r="N1587" s="77"/>
      <c r="O1587" s="77"/>
      <c r="P1587" s="268"/>
      <c r="Q1587" s="268"/>
      <c r="R1587" s="77"/>
      <c r="S1587" s="77"/>
      <c r="T1587" s="77"/>
      <c r="U1587" s="77"/>
      <c r="V1587" s="77"/>
      <c r="W1587" s="77"/>
      <c r="X1587" s="77"/>
      <c r="Y1587" s="77"/>
      <c r="Z1587" s="77"/>
      <c r="AA1587" s="77"/>
      <c r="AB1587" s="77"/>
      <c r="AC1587" s="77"/>
      <c r="AD1587" s="77"/>
      <c r="AE1587" s="77"/>
      <c r="AF1587" s="77"/>
      <c r="AG1587" s="77"/>
      <c r="AH1587" s="87"/>
      <c r="AI1587" s="87"/>
      <c r="AJ1587" s="87"/>
      <c r="AK1587" s="87"/>
      <c r="AL1587" s="87"/>
    </row>
    <row r="1588">
      <c r="A1588" s="77"/>
      <c r="B1588" s="102"/>
      <c r="C1588" s="102"/>
      <c r="D1588" s="102"/>
      <c r="E1588" s="102"/>
      <c r="F1588" s="102"/>
      <c r="G1588" s="102"/>
      <c r="H1588" s="295"/>
      <c r="I1588" s="102"/>
      <c r="J1588" s="77"/>
      <c r="K1588" s="77"/>
      <c r="L1588" s="77"/>
      <c r="M1588" s="77"/>
      <c r="N1588" s="77"/>
      <c r="O1588" s="77"/>
      <c r="P1588" s="268"/>
      <c r="Q1588" s="268"/>
      <c r="R1588" s="77"/>
      <c r="S1588" s="77"/>
      <c r="T1588" s="77"/>
      <c r="U1588" s="77"/>
      <c r="V1588" s="77"/>
      <c r="W1588" s="77"/>
      <c r="X1588" s="77"/>
      <c r="Y1588" s="77"/>
      <c r="Z1588" s="77"/>
      <c r="AA1588" s="77"/>
      <c r="AB1588" s="77"/>
      <c r="AC1588" s="77"/>
      <c r="AD1588" s="77"/>
      <c r="AE1588" s="77"/>
      <c r="AF1588" s="77"/>
      <c r="AG1588" s="77"/>
      <c r="AH1588" s="87"/>
      <c r="AI1588" s="87"/>
      <c r="AJ1588" s="87"/>
      <c r="AK1588" s="87"/>
      <c r="AL1588" s="87"/>
    </row>
    <row r="1589">
      <c r="A1589" s="77"/>
      <c r="B1589" s="102"/>
      <c r="C1589" s="102"/>
      <c r="D1589" s="102"/>
      <c r="E1589" s="102"/>
      <c r="F1589" s="102"/>
      <c r="G1589" s="102"/>
      <c r="H1589" s="295"/>
      <c r="I1589" s="102"/>
      <c r="J1589" s="77"/>
      <c r="K1589" s="77"/>
      <c r="L1589" s="77"/>
      <c r="M1589" s="77"/>
      <c r="N1589" s="77"/>
      <c r="O1589" s="77"/>
      <c r="P1589" s="268"/>
      <c r="Q1589" s="268"/>
      <c r="R1589" s="77"/>
      <c r="S1589" s="77"/>
      <c r="T1589" s="77"/>
      <c r="U1589" s="77"/>
      <c r="V1589" s="77"/>
      <c r="W1589" s="77"/>
      <c r="X1589" s="77"/>
      <c r="Y1589" s="77"/>
      <c r="Z1589" s="77"/>
      <c r="AA1589" s="77"/>
      <c r="AB1589" s="77"/>
      <c r="AC1589" s="77"/>
      <c r="AD1589" s="77"/>
      <c r="AE1589" s="77"/>
      <c r="AF1589" s="77"/>
      <c r="AG1589" s="77"/>
      <c r="AH1589" s="87"/>
      <c r="AI1589" s="87"/>
      <c r="AJ1589" s="87"/>
      <c r="AK1589" s="87"/>
      <c r="AL1589" s="87"/>
    </row>
    <row r="1590">
      <c r="A1590" s="77"/>
      <c r="B1590" s="102"/>
      <c r="C1590" s="102"/>
      <c r="D1590" s="102"/>
      <c r="E1590" s="102"/>
      <c r="F1590" s="102"/>
      <c r="G1590" s="102"/>
      <c r="H1590" s="295"/>
      <c r="I1590" s="102"/>
      <c r="J1590" s="77"/>
      <c r="K1590" s="77"/>
      <c r="L1590" s="77"/>
      <c r="M1590" s="77"/>
      <c r="N1590" s="77"/>
      <c r="O1590" s="77"/>
      <c r="P1590" s="268"/>
      <c r="Q1590" s="268"/>
      <c r="R1590" s="77"/>
      <c r="S1590" s="77"/>
      <c r="T1590" s="77"/>
      <c r="U1590" s="77"/>
      <c r="V1590" s="77"/>
      <c r="W1590" s="77"/>
      <c r="X1590" s="77"/>
      <c r="Y1590" s="77"/>
      <c r="Z1590" s="77"/>
      <c r="AA1590" s="77"/>
      <c r="AB1590" s="77"/>
      <c r="AC1590" s="77"/>
      <c r="AD1590" s="77"/>
      <c r="AE1590" s="77"/>
      <c r="AF1590" s="77"/>
      <c r="AG1590" s="77"/>
      <c r="AH1590" s="87"/>
      <c r="AI1590" s="87"/>
      <c r="AJ1590" s="87"/>
      <c r="AK1590" s="87"/>
      <c r="AL1590" s="87"/>
    </row>
    <row r="1591">
      <c r="A1591" s="77"/>
      <c r="B1591" s="102"/>
      <c r="C1591" s="102"/>
      <c r="D1591" s="102"/>
      <c r="E1591" s="102"/>
      <c r="F1591" s="102"/>
      <c r="G1591" s="102"/>
      <c r="H1591" s="295"/>
      <c r="I1591" s="102"/>
      <c r="J1591" s="77"/>
      <c r="K1591" s="77"/>
      <c r="L1591" s="77"/>
      <c r="M1591" s="77"/>
      <c r="N1591" s="77"/>
      <c r="O1591" s="77"/>
      <c r="P1591" s="268"/>
      <c r="Q1591" s="268"/>
      <c r="R1591" s="77"/>
      <c r="S1591" s="77"/>
      <c r="T1591" s="77"/>
      <c r="U1591" s="77"/>
      <c r="V1591" s="77"/>
      <c r="W1591" s="77"/>
      <c r="X1591" s="77"/>
      <c r="Y1591" s="77"/>
      <c r="Z1591" s="77"/>
      <c r="AA1591" s="77"/>
      <c r="AB1591" s="77"/>
      <c r="AC1591" s="77"/>
      <c r="AD1591" s="77"/>
      <c r="AE1591" s="77"/>
      <c r="AF1591" s="77"/>
      <c r="AG1591" s="77"/>
      <c r="AH1591" s="87"/>
      <c r="AI1591" s="87"/>
      <c r="AJ1591" s="87"/>
      <c r="AK1591" s="87"/>
      <c r="AL1591" s="87"/>
    </row>
    <row r="1592">
      <c r="A1592" s="77"/>
      <c r="B1592" s="102"/>
      <c r="C1592" s="102"/>
      <c r="D1592" s="102"/>
      <c r="E1592" s="102"/>
      <c r="F1592" s="102"/>
      <c r="G1592" s="102"/>
      <c r="H1592" s="295"/>
      <c r="I1592" s="102"/>
      <c r="J1592" s="77"/>
      <c r="K1592" s="77"/>
      <c r="L1592" s="77"/>
      <c r="M1592" s="77"/>
      <c r="N1592" s="77"/>
      <c r="O1592" s="77"/>
      <c r="P1592" s="268"/>
      <c r="Q1592" s="268"/>
      <c r="R1592" s="77"/>
      <c r="S1592" s="77"/>
      <c r="T1592" s="77"/>
      <c r="U1592" s="77"/>
      <c r="V1592" s="77"/>
      <c r="W1592" s="77"/>
      <c r="X1592" s="77"/>
      <c r="Y1592" s="77"/>
      <c r="Z1592" s="77"/>
      <c r="AA1592" s="77"/>
      <c r="AB1592" s="77"/>
      <c r="AC1592" s="77"/>
      <c r="AD1592" s="77"/>
      <c r="AE1592" s="77"/>
      <c r="AF1592" s="77"/>
      <c r="AG1592" s="77"/>
      <c r="AH1592" s="87"/>
      <c r="AI1592" s="87"/>
      <c r="AJ1592" s="87"/>
      <c r="AK1592" s="87"/>
      <c r="AL1592" s="87"/>
    </row>
    <row r="1593">
      <c r="A1593" s="77"/>
      <c r="B1593" s="102"/>
      <c r="C1593" s="102"/>
      <c r="D1593" s="102"/>
      <c r="E1593" s="102"/>
      <c r="F1593" s="102"/>
      <c r="G1593" s="102"/>
      <c r="H1593" s="295"/>
      <c r="I1593" s="102"/>
      <c r="J1593" s="77"/>
      <c r="K1593" s="77"/>
      <c r="L1593" s="77"/>
      <c r="M1593" s="77"/>
      <c r="N1593" s="77"/>
      <c r="O1593" s="77"/>
      <c r="P1593" s="268"/>
      <c r="Q1593" s="268"/>
      <c r="R1593" s="77"/>
      <c r="S1593" s="77"/>
      <c r="T1593" s="77"/>
      <c r="U1593" s="77"/>
      <c r="V1593" s="77"/>
      <c r="W1593" s="77"/>
      <c r="X1593" s="77"/>
      <c r="Y1593" s="77"/>
      <c r="Z1593" s="77"/>
      <c r="AA1593" s="77"/>
      <c r="AB1593" s="77"/>
      <c r="AC1593" s="77"/>
      <c r="AD1593" s="77"/>
      <c r="AE1593" s="77"/>
      <c r="AF1593" s="77"/>
      <c r="AG1593" s="77"/>
      <c r="AH1593" s="87"/>
      <c r="AI1593" s="87"/>
      <c r="AJ1593" s="87"/>
      <c r="AK1593" s="87"/>
      <c r="AL1593" s="87"/>
    </row>
    <row r="1594">
      <c r="A1594" s="77"/>
      <c r="B1594" s="102"/>
      <c r="C1594" s="102"/>
      <c r="D1594" s="102"/>
      <c r="E1594" s="102"/>
      <c r="F1594" s="102"/>
      <c r="G1594" s="102"/>
      <c r="H1594" s="295"/>
      <c r="I1594" s="102"/>
      <c r="J1594" s="77"/>
      <c r="K1594" s="77"/>
      <c r="L1594" s="77"/>
      <c r="M1594" s="77"/>
      <c r="N1594" s="77"/>
      <c r="O1594" s="77"/>
      <c r="P1594" s="268"/>
      <c r="Q1594" s="268"/>
      <c r="R1594" s="77"/>
      <c r="S1594" s="77"/>
      <c r="T1594" s="77"/>
      <c r="U1594" s="77"/>
      <c r="V1594" s="77"/>
      <c r="W1594" s="77"/>
      <c r="X1594" s="77"/>
      <c r="Y1594" s="77"/>
      <c r="Z1594" s="77"/>
      <c r="AA1594" s="77"/>
      <c r="AB1594" s="77"/>
      <c r="AC1594" s="77"/>
      <c r="AD1594" s="77"/>
      <c r="AE1594" s="77"/>
      <c r="AF1594" s="77"/>
      <c r="AG1594" s="77"/>
      <c r="AH1594" s="87"/>
      <c r="AI1594" s="87"/>
      <c r="AJ1594" s="87"/>
      <c r="AK1594" s="87"/>
      <c r="AL1594" s="87"/>
    </row>
    <row r="1595">
      <c r="A1595" s="77"/>
      <c r="B1595" s="102"/>
      <c r="C1595" s="102"/>
      <c r="D1595" s="102"/>
      <c r="E1595" s="102"/>
      <c r="F1595" s="102"/>
      <c r="G1595" s="102"/>
      <c r="H1595" s="295"/>
      <c r="I1595" s="102"/>
      <c r="J1595" s="77"/>
      <c r="K1595" s="77"/>
      <c r="L1595" s="77"/>
      <c r="M1595" s="77"/>
      <c r="N1595" s="77"/>
      <c r="O1595" s="77"/>
      <c r="P1595" s="268"/>
      <c r="Q1595" s="268"/>
      <c r="R1595" s="77"/>
      <c r="S1595" s="77"/>
      <c r="T1595" s="77"/>
      <c r="U1595" s="77"/>
      <c r="V1595" s="77"/>
      <c r="W1595" s="77"/>
      <c r="X1595" s="77"/>
      <c r="Y1595" s="77"/>
      <c r="Z1595" s="77"/>
      <c r="AA1595" s="77"/>
      <c r="AB1595" s="77"/>
      <c r="AC1595" s="77"/>
      <c r="AD1595" s="77"/>
      <c r="AE1595" s="77"/>
      <c r="AF1595" s="77"/>
      <c r="AG1595" s="77"/>
      <c r="AH1595" s="87"/>
      <c r="AI1595" s="87"/>
      <c r="AJ1595" s="87"/>
      <c r="AK1595" s="87"/>
      <c r="AL1595" s="87"/>
    </row>
    <row r="1596">
      <c r="A1596" s="77"/>
      <c r="B1596" s="102"/>
      <c r="C1596" s="102"/>
      <c r="D1596" s="102"/>
      <c r="E1596" s="102"/>
      <c r="F1596" s="102"/>
      <c r="G1596" s="102"/>
      <c r="H1596" s="295"/>
      <c r="I1596" s="102"/>
      <c r="J1596" s="77"/>
      <c r="K1596" s="77"/>
      <c r="L1596" s="77"/>
      <c r="M1596" s="77"/>
      <c r="N1596" s="77"/>
      <c r="O1596" s="77"/>
      <c r="P1596" s="268"/>
      <c r="Q1596" s="268"/>
      <c r="R1596" s="77"/>
      <c r="S1596" s="77"/>
      <c r="T1596" s="77"/>
      <c r="U1596" s="77"/>
      <c r="V1596" s="77"/>
      <c r="W1596" s="77"/>
      <c r="X1596" s="77"/>
      <c r="Y1596" s="77"/>
      <c r="Z1596" s="77"/>
      <c r="AA1596" s="77"/>
      <c r="AB1596" s="77"/>
      <c r="AC1596" s="77"/>
      <c r="AD1596" s="77"/>
      <c r="AE1596" s="77"/>
      <c r="AF1596" s="77"/>
      <c r="AG1596" s="77"/>
      <c r="AH1596" s="87"/>
      <c r="AI1596" s="87"/>
      <c r="AJ1596" s="87"/>
      <c r="AK1596" s="87"/>
      <c r="AL1596" s="87"/>
    </row>
    <row r="1597">
      <c r="A1597" s="77"/>
      <c r="B1597" s="102"/>
      <c r="C1597" s="102"/>
      <c r="D1597" s="102"/>
      <c r="E1597" s="102"/>
      <c r="F1597" s="102"/>
      <c r="G1597" s="102"/>
      <c r="H1597" s="295"/>
      <c r="I1597" s="102"/>
      <c r="J1597" s="77"/>
      <c r="K1597" s="77"/>
      <c r="L1597" s="77"/>
      <c r="M1597" s="77"/>
      <c r="N1597" s="77"/>
      <c r="O1597" s="77"/>
      <c r="P1597" s="268"/>
      <c r="Q1597" s="268"/>
      <c r="R1597" s="77"/>
      <c r="S1597" s="77"/>
      <c r="T1597" s="77"/>
      <c r="U1597" s="77"/>
      <c r="V1597" s="77"/>
      <c r="W1597" s="77"/>
      <c r="X1597" s="77"/>
      <c r="Y1597" s="77"/>
      <c r="Z1597" s="77"/>
      <c r="AA1597" s="77"/>
      <c r="AB1597" s="77"/>
      <c r="AC1597" s="77"/>
      <c r="AD1597" s="77"/>
      <c r="AE1597" s="77"/>
      <c r="AF1597" s="77"/>
      <c r="AG1597" s="77"/>
      <c r="AH1597" s="87"/>
      <c r="AI1597" s="87"/>
      <c r="AJ1597" s="87"/>
      <c r="AK1597" s="87"/>
      <c r="AL1597" s="87"/>
    </row>
    <row r="1598">
      <c r="A1598" s="77"/>
      <c r="B1598" s="102"/>
      <c r="C1598" s="102"/>
      <c r="D1598" s="102"/>
      <c r="E1598" s="102"/>
      <c r="F1598" s="102"/>
      <c r="G1598" s="102"/>
      <c r="H1598" s="295"/>
      <c r="I1598" s="102"/>
      <c r="J1598" s="77"/>
      <c r="K1598" s="77"/>
      <c r="L1598" s="77"/>
      <c r="M1598" s="77"/>
      <c r="N1598" s="77"/>
      <c r="O1598" s="77"/>
      <c r="P1598" s="268"/>
      <c r="Q1598" s="268"/>
      <c r="R1598" s="77"/>
      <c r="S1598" s="77"/>
      <c r="T1598" s="77"/>
      <c r="U1598" s="77"/>
      <c r="V1598" s="77"/>
      <c r="W1598" s="77"/>
      <c r="X1598" s="77"/>
      <c r="Y1598" s="77"/>
      <c r="Z1598" s="77"/>
      <c r="AA1598" s="77"/>
      <c r="AB1598" s="77"/>
      <c r="AC1598" s="77"/>
      <c r="AD1598" s="77"/>
      <c r="AE1598" s="77"/>
      <c r="AF1598" s="77"/>
      <c r="AG1598" s="77"/>
      <c r="AH1598" s="87"/>
      <c r="AI1598" s="87"/>
      <c r="AJ1598" s="87"/>
      <c r="AK1598" s="87"/>
      <c r="AL1598" s="87"/>
    </row>
    <row r="1599">
      <c r="A1599" s="77"/>
      <c r="B1599" s="102"/>
      <c r="C1599" s="102"/>
      <c r="D1599" s="102"/>
      <c r="E1599" s="102"/>
      <c r="F1599" s="102"/>
      <c r="G1599" s="102"/>
      <c r="H1599" s="295"/>
      <c r="I1599" s="102"/>
      <c r="J1599" s="77"/>
      <c r="K1599" s="77"/>
      <c r="L1599" s="77"/>
      <c r="M1599" s="77"/>
      <c r="N1599" s="77"/>
      <c r="O1599" s="77"/>
      <c r="P1599" s="268"/>
      <c r="Q1599" s="268"/>
      <c r="R1599" s="77"/>
      <c r="S1599" s="77"/>
      <c r="T1599" s="77"/>
      <c r="U1599" s="77"/>
      <c r="V1599" s="77"/>
      <c r="W1599" s="77"/>
      <c r="X1599" s="77"/>
      <c r="Y1599" s="77"/>
      <c r="Z1599" s="77"/>
      <c r="AA1599" s="77"/>
      <c r="AB1599" s="77"/>
      <c r="AC1599" s="77"/>
      <c r="AD1599" s="77"/>
      <c r="AE1599" s="77"/>
      <c r="AF1599" s="77"/>
      <c r="AG1599" s="77"/>
      <c r="AH1599" s="87"/>
      <c r="AI1599" s="87"/>
      <c r="AJ1599" s="87"/>
      <c r="AK1599" s="87"/>
      <c r="AL1599" s="87"/>
    </row>
    <row r="1600">
      <c r="A1600" s="77"/>
      <c r="B1600" s="102"/>
      <c r="C1600" s="102"/>
      <c r="D1600" s="102"/>
      <c r="E1600" s="102"/>
      <c r="F1600" s="102"/>
      <c r="G1600" s="102"/>
      <c r="H1600" s="295"/>
      <c r="I1600" s="102"/>
      <c r="J1600" s="77"/>
      <c r="K1600" s="77"/>
      <c r="L1600" s="77"/>
      <c r="M1600" s="77"/>
      <c r="N1600" s="77"/>
      <c r="O1600" s="77"/>
      <c r="P1600" s="268"/>
      <c r="Q1600" s="268"/>
      <c r="R1600" s="77"/>
      <c r="S1600" s="77"/>
      <c r="T1600" s="77"/>
      <c r="U1600" s="77"/>
      <c r="V1600" s="77"/>
      <c r="W1600" s="77"/>
      <c r="X1600" s="77"/>
      <c r="Y1600" s="77"/>
      <c r="Z1600" s="77"/>
      <c r="AA1600" s="77"/>
      <c r="AB1600" s="77"/>
      <c r="AC1600" s="77"/>
      <c r="AD1600" s="77"/>
      <c r="AE1600" s="77"/>
      <c r="AF1600" s="77"/>
      <c r="AG1600" s="77"/>
      <c r="AH1600" s="87"/>
      <c r="AI1600" s="87"/>
      <c r="AJ1600" s="87"/>
      <c r="AK1600" s="87"/>
      <c r="AL1600" s="87"/>
    </row>
    <row r="1601">
      <c r="A1601" s="77"/>
      <c r="B1601" s="102"/>
      <c r="C1601" s="102"/>
      <c r="D1601" s="102"/>
      <c r="E1601" s="102"/>
      <c r="F1601" s="102"/>
      <c r="G1601" s="102"/>
      <c r="H1601" s="295"/>
      <c r="I1601" s="102"/>
      <c r="J1601" s="77"/>
      <c r="K1601" s="77"/>
      <c r="L1601" s="77"/>
      <c r="M1601" s="77"/>
      <c r="N1601" s="77"/>
      <c r="O1601" s="77"/>
      <c r="P1601" s="268"/>
      <c r="Q1601" s="268"/>
      <c r="R1601" s="77"/>
      <c r="S1601" s="77"/>
      <c r="T1601" s="77"/>
      <c r="U1601" s="77"/>
      <c r="V1601" s="77"/>
      <c r="W1601" s="77"/>
      <c r="X1601" s="77"/>
      <c r="Y1601" s="77"/>
      <c r="Z1601" s="77"/>
      <c r="AA1601" s="77"/>
      <c r="AB1601" s="77"/>
      <c r="AC1601" s="77"/>
      <c r="AD1601" s="77"/>
      <c r="AE1601" s="77"/>
      <c r="AF1601" s="77"/>
      <c r="AG1601" s="77"/>
      <c r="AH1601" s="87"/>
      <c r="AI1601" s="87"/>
      <c r="AJ1601" s="87"/>
      <c r="AK1601" s="87"/>
      <c r="AL1601" s="87"/>
    </row>
    <row r="1602">
      <c r="A1602" s="77"/>
      <c r="B1602" s="102"/>
      <c r="C1602" s="102"/>
      <c r="D1602" s="102"/>
      <c r="E1602" s="102"/>
      <c r="F1602" s="102"/>
      <c r="G1602" s="102"/>
      <c r="H1602" s="295"/>
      <c r="I1602" s="102"/>
      <c r="J1602" s="77"/>
      <c r="K1602" s="77"/>
      <c r="L1602" s="77"/>
      <c r="M1602" s="77"/>
      <c r="N1602" s="77"/>
      <c r="O1602" s="77"/>
      <c r="P1602" s="268"/>
      <c r="Q1602" s="268"/>
      <c r="R1602" s="77"/>
      <c r="S1602" s="77"/>
      <c r="T1602" s="77"/>
      <c r="U1602" s="77"/>
      <c r="V1602" s="77"/>
      <c r="W1602" s="77"/>
      <c r="X1602" s="77"/>
      <c r="Y1602" s="77"/>
      <c r="Z1602" s="77"/>
      <c r="AA1602" s="77"/>
      <c r="AB1602" s="77"/>
      <c r="AC1602" s="77"/>
      <c r="AD1602" s="77"/>
      <c r="AE1602" s="77"/>
      <c r="AF1602" s="77"/>
      <c r="AG1602" s="77"/>
      <c r="AH1602" s="87"/>
      <c r="AI1602" s="87"/>
      <c r="AJ1602" s="87"/>
      <c r="AK1602" s="87"/>
      <c r="AL1602" s="87"/>
    </row>
    <row r="1603">
      <c r="A1603" s="77"/>
      <c r="B1603" s="102"/>
      <c r="C1603" s="102"/>
      <c r="D1603" s="102"/>
      <c r="E1603" s="102"/>
      <c r="F1603" s="102"/>
      <c r="G1603" s="102"/>
      <c r="H1603" s="295"/>
      <c r="I1603" s="102"/>
      <c r="J1603" s="77"/>
      <c r="K1603" s="77"/>
      <c r="L1603" s="77"/>
      <c r="M1603" s="77"/>
      <c r="N1603" s="77"/>
      <c r="O1603" s="77"/>
      <c r="P1603" s="268"/>
      <c r="Q1603" s="268"/>
      <c r="R1603" s="77"/>
      <c r="S1603" s="77"/>
      <c r="T1603" s="77"/>
      <c r="U1603" s="77"/>
      <c r="V1603" s="77"/>
      <c r="W1603" s="77"/>
      <c r="X1603" s="77"/>
      <c r="Y1603" s="77"/>
      <c r="Z1603" s="77"/>
      <c r="AA1603" s="77"/>
      <c r="AB1603" s="77"/>
      <c r="AC1603" s="77"/>
      <c r="AD1603" s="77"/>
      <c r="AE1603" s="77"/>
      <c r="AF1603" s="77"/>
      <c r="AG1603" s="77"/>
      <c r="AH1603" s="87"/>
      <c r="AI1603" s="87"/>
      <c r="AJ1603" s="87"/>
      <c r="AK1603" s="87"/>
      <c r="AL1603" s="87"/>
    </row>
    <row r="1604">
      <c r="A1604" s="77"/>
      <c r="B1604" s="102"/>
      <c r="C1604" s="102"/>
      <c r="D1604" s="102"/>
      <c r="E1604" s="102"/>
      <c r="F1604" s="102"/>
      <c r="G1604" s="102"/>
      <c r="H1604" s="295"/>
      <c r="I1604" s="102"/>
      <c r="J1604" s="77"/>
      <c r="K1604" s="77"/>
      <c r="L1604" s="77"/>
      <c r="M1604" s="77"/>
      <c r="N1604" s="77"/>
      <c r="O1604" s="77"/>
      <c r="P1604" s="268"/>
      <c r="Q1604" s="268"/>
      <c r="R1604" s="77"/>
      <c r="S1604" s="77"/>
      <c r="T1604" s="77"/>
      <c r="U1604" s="77"/>
      <c r="V1604" s="77"/>
      <c r="W1604" s="77"/>
      <c r="X1604" s="77"/>
      <c r="Y1604" s="77"/>
      <c r="Z1604" s="77"/>
      <c r="AA1604" s="77"/>
      <c r="AB1604" s="77"/>
      <c r="AC1604" s="77"/>
      <c r="AD1604" s="77"/>
      <c r="AE1604" s="77"/>
      <c r="AF1604" s="77"/>
      <c r="AG1604" s="77"/>
      <c r="AH1604" s="87"/>
      <c r="AI1604" s="87"/>
      <c r="AJ1604" s="87"/>
      <c r="AK1604" s="87"/>
      <c r="AL1604" s="87"/>
    </row>
    <row r="1605">
      <c r="A1605" s="77"/>
      <c r="B1605" s="102"/>
      <c r="C1605" s="102"/>
      <c r="D1605" s="102"/>
      <c r="E1605" s="102"/>
      <c r="F1605" s="102"/>
      <c r="G1605" s="102"/>
      <c r="H1605" s="295"/>
      <c r="I1605" s="102"/>
      <c r="J1605" s="77"/>
      <c r="K1605" s="77"/>
      <c r="L1605" s="77"/>
      <c r="M1605" s="77"/>
      <c r="N1605" s="77"/>
      <c r="O1605" s="77"/>
      <c r="P1605" s="268"/>
      <c r="Q1605" s="268"/>
      <c r="R1605" s="77"/>
      <c r="S1605" s="77"/>
      <c r="T1605" s="77"/>
      <c r="U1605" s="77"/>
      <c r="V1605" s="77"/>
      <c r="W1605" s="77"/>
      <c r="X1605" s="77"/>
      <c r="Y1605" s="77"/>
      <c r="Z1605" s="77"/>
      <c r="AA1605" s="77"/>
      <c r="AB1605" s="77"/>
      <c r="AC1605" s="77"/>
      <c r="AD1605" s="77"/>
      <c r="AE1605" s="77"/>
      <c r="AF1605" s="77"/>
      <c r="AG1605" s="77"/>
      <c r="AH1605" s="87"/>
      <c r="AI1605" s="87"/>
      <c r="AJ1605" s="87"/>
      <c r="AK1605" s="87"/>
      <c r="AL1605" s="87"/>
    </row>
    <row r="1606">
      <c r="A1606" s="77"/>
      <c r="B1606" s="102"/>
      <c r="C1606" s="102"/>
      <c r="D1606" s="102"/>
      <c r="E1606" s="102"/>
      <c r="F1606" s="102"/>
      <c r="G1606" s="102"/>
      <c r="H1606" s="295"/>
      <c r="I1606" s="102"/>
      <c r="J1606" s="77"/>
      <c r="K1606" s="77"/>
      <c r="L1606" s="77"/>
      <c r="M1606" s="77"/>
      <c r="N1606" s="77"/>
      <c r="O1606" s="77"/>
      <c r="P1606" s="268"/>
      <c r="Q1606" s="268"/>
      <c r="R1606" s="77"/>
      <c r="S1606" s="77"/>
      <c r="T1606" s="77"/>
      <c r="U1606" s="77"/>
      <c r="V1606" s="77"/>
      <c r="W1606" s="77"/>
      <c r="X1606" s="77"/>
      <c r="Y1606" s="77"/>
      <c r="Z1606" s="77"/>
      <c r="AA1606" s="77"/>
      <c r="AB1606" s="77"/>
      <c r="AC1606" s="77"/>
      <c r="AD1606" s="77"/>
      <c r="AE1606" s="77"/>
      <c r="AF1606" s="77"/>
      <c r="AG1606" s="77"/>
      <c r="AH1606" s="87"/>
      <c r="AI1606" s="87"/>
      <c r="AJ1606" s="87"/>
      <c r="AK1606" s="87"/>
      <c r="AL1606" s="87"/>
    </row>
    <row r="1607">
      <c r="A1607" s="77"/>
      <c r="B1607" s="102"/>
      <c r="C1607" s="102"/>
      <c r="D1607" s="102"/>
      <c r="E1607" s="102"/>
      <c r="F1607" s="102"/>
      <c r="G1607" s="102"/>
      <c r="H1607" s="295"/>
      <c r="I1607" s="102"/>
      <c r="J1607" s="77"/>
      <c r="K1607" s="77"/>
      <c r="L1607" s="77"/>
      <c r="M1607" s="77"/>
      <c r="N1607" s="77"/>
      <c r="O1607" s="77"/>
      <c r="P1607" s="268"/>
      <c r="Q1607" s="268"/>
      <c r="R1607" s="77"/>
      <c r="S1607" s="77"/>
      <c r="T1607" s="77"/>
      <c r="U1607" s="77"/>
      <c r="V1607" s="77"/>
      <c r="W1607" s="77"/>
      <c r="X1607" s="77"/>
      <c r="Y1607" s="77"/>
      <c r="Z1607" s="77"/>
      <c r="AA1607" s="77"/>
      <c r="AB1607" s="77"/>
      <c r="AC1607" s="77"/>
      <c r="AD1607" s="77"/>
      <c r="AE1607" s="77"/>
      <c r="AF1607" s="77"/>
      <c r="AG1607" s="77"/>
      <c r="AH1607" s="87"/>
      <c r="AI1607" s="87"/>
      <c r="AJ1607" s="87"/>
      <c r="AK1607" s="87"/>
      <c r="AL1607" s="87"/>
    </row>
    <row r="1608">
      <c r="A1608" s="77"/>
      <c r="B1608" s="102"/>
      <c r="C1608" s="102"/>
      <c r="D1608" s="102"/>
      <c r="E1608" s="102"/>
      <c r="F1608" s="102"/>
      <c r="G1608" s="102"/>
      <c r="H1608" s="295"/>
      <c r="I1608" s="102"/>
      <c r="J1608" s="77"/>
      <c r="K1608" s="77"/>
      <c r="L1608" s="77"/>
      <c r="M1608" s="77"/>
      <c r="N1608" s="77"/>
      <c r="O1608" s="77"/>
      <c r="P1608" s="268"/>
      <c r="Q1608" s="268"/>
      <c r="R1608" s="77"/>
      <c r="S1608" s="77"/>
      <c r="T1608" s="77"/>
      <c r="U1608" s="77"/>
      <c r="V1608" s="77"/>
      <c r="W1608" s="77"/>
      <c r="X1608" s="77"/>
      <c r="Y1608" s="77"/>
      <c r="Z1608" s="77"/>
      <c r="AA1608" s="77"/>
      <c r="AB1608" s="77"/>
      <c r="AC1608" s="77"/>
      <c r="AD1608" s="77"/>
      <c r="AE1608" s="77"/>
      <c r="AF1608" s="77"/>
      <c r="AG1608" s="77"/>
      <c r="AH1608" s="87"/>
      <c r="AI1608" s="87"/>
      <c r="AJ1608" s="87"/>
      <c r="AK1608" s="87"/>
      <c r="AL1608" s="87"/>
    </row>
    <row r="1609">
      <c r="A1609" s="77"/>
      <c r="B1609" s="102"/>
      <c r="C1609" s="102"/>
      <c r="D1609" s="102"/>
      <c r="E1609" s="102"/>
      <c r="F1609" s="102"/>
      <c r="G1609" s="102"/>
      <c r="H1609" s="295"/>
      <c r="I1609" s="102"/>
      <c r="J1609" s="77"/>
      <c r="K1609" s="77"/>
      <c r="L1609" s="77"/>
      <c r="M1609" s="77"/>
      <c r="N1609" s="77"/>
      <c r="O1609" s="77"/>
      <c r="P1609" s="268"/>
      <c r="Q1609" s="268"/>
      <c r="R1609" s="77"/>
      <c r="S1609" s="77"/>
      <c r="T1609" s="77"/>
      <c r="U1609" s="77"/>
      <c r="V1609" s="77"/>
      <c r="W1609" s="77"/>
      <c r="X1609" s="77"/>
      <c r="Y1609" s="77"/>
      <c r="Z1609" s="77"/>
      <c r="AA1609" s="77"/>
      <c r="AB1609" s="77"/>
      <c r="AC1609" s="77"/>
      <c r="AD1609" s="77"/>
      <c r="AE1609" s="77"/>
      <c r="AF1609" s="77"/>
      <c r="AG1609" s="77"/>
      <c r="AH1609" s="87"/>
      <c r="AI1609" s="87"/>
      <c r="AJ1609" s="87"/>
      <c r="AK1609" s="87"/>
      <c r="AL1609" s="87"/>
    </row>
    <row r="1610">
      <c r="A1610" s="77"/>
      <c r="B1610" s="102"/>
      <c r="C1610" s="102"/>
      <c r="D1610" s="102"/>
      <c r="E1610" s="102"/>
      <c r="F1610" s="102"/>
      <c r="G1610" s="102"/>
      <c r="H1610" s="295"/>
      <c r="I1610" s="102"/>
      <c r="J1610" s="77"/>
      <c r="K1610" s="77"/>
      <c r="L1610" s="77"/>
      <c r="M1610" s="77"/>
      <c r="N1610" s="77"/>
      <c r="O1610" s="77"/>
      <c r="P1610" s="268"/>
      <c r="Q1610" s="268"/>
      <c r="R1610" s="77"/>
      <c r="S1610" s="77"/>
      <c r="T1610" s="77"/>
      <c r="U1610" s="77"/>
      <c r="V1610" s="77"/>
      <c r="W1610" s="77"/>
      <c r="X1610" s="77"/>
      <c r="Y1610" s="77"/>
      <c r="Z1610" s="77"/>
      <c r="AA1610" s="77"/>
      <c r="AB1610" s="77"/>
      <c r="AC1610" s="77"/>
      <c r="AD1610" s="77"/>
      <c r="AE1610" s="77"/>
      <c r="AF1610" s="77"/>
      <c r="AG1610" s="77"/>
      <c r="AH1610" s="87"/>
      <c r="AI1610" s="87"/>
      <c r="AJ1610" s="87"/>
      <c r="AK1610" s="87"/>
      <c r="AL1610" s="87"/>
    </row>
    <row r="1611">
      <c r="A1611" s="77"/>
      <c r="B1611" s="102"/>
      <c r="C1611" s="102"/>
      <c r="D1611" s="102"/>
      <c r="E1611" s="102"/>
      <c r="F1611" s="102"/>
      <c r="G1611" s="102"/>
      <c r="H1611" s="295"/>
      <c r="I1611" s="102"/>
      <c r="J1611" s="77"/>
      <c r="K1611" s="77"/>
      <c r="L1611" s="77"/>
      <c r="M1611" s="77"/>
      <c r="N1611" s="77"/>
      <c r="O1611" s="77"/>
      <c r="P1611" s="268"/>
      <c r="Q1611" s="268"/>
      <c r="R1611" s="77"/>
      <c r="S1611" s="77"/>
      <c r="T1611" s="77"/>
      <c r="U1611" s="77"/>
      <c r="V1611" s="77"/>
      <c r="W1611" s="77"/>
      <c r="X1611" s="77"/>
      <c r="Y1611" s="77"/>
      <c r="Z1611" s="77"/>
      <c r="AA1611" s="77"/>
      <c r="AB1611" s="77"/>
      <c r="AC1611" s="77"/>
      <c r="AD1611" s="77"/>
      <c r="AE1611" s="77"/>
      <c r="AF1611" s="77"/>
      <c r="AG1611" s="77"/>
      <c r="AH1611" s="87"/>
      <c r="AI1611" s="87"/>
      <c r="AJ1611" s="87"/>
      <c r="AK1611" s="87"/>
      <c r="AL1611" s="87"/>
    </row>
    <row r="1612">
      <c r="A1612" s="77"/>
      <c r="B1612" s="102"/>
      <c r="C1612" s="102"/>
      <c r="D1612" s="102"/>
      <c r="E1612" s="102"/>
      <c r="F1612" s="102"/>
      <c r="G1612" s="102"/>
      <c r="H1612" s="295"/>
      <c r="I1612" s="102"/>
      <c r="J1612" s="77"/>
      <c r="K1612" s="77"/>
      <c r="L1612" s="77"/>
      <c r="M1612" s="77"/>
      <c r="N1612" s="77"/>
      <c r="O1612" s="77"/>
      <c r="P1612" s="268"/>
      <c r="Q1612" s="268"/>
      <c r="R1612" s="77"/>
      <c r="S1612" s="77"/>
      <c r="T1612" s="77"/>
      <c r="U1612" s="77"/>
      <c r="V1612" s="77"/>
      <c r="W1612" s="77"/>
      <c r="X1612" s="77"/>
      <c r="Y1612" s="77"/>
      <c r="Z1612" s="77"/>
      <c r="AA1612" s="77"/>
      <c r="AB1612" s="77"/>
      <c r="AC1612" s="77"/>
      <c r="AD1612" s="77"/>
      <c r="AE1612" s="77"/>
      <c r="AF1612" s="77"/>
      <c r="AG1612" s="77"/>
      <c r="AH1612" s="87"/>
      <c r="AI1612" s="87"/>
      <c r="AJ1612" s="87"/>
      <c r="AK1612" s="87"/>
      <c r="AL1612" s="87"/>
    </row>
    <row r="1613">
      <c r="A1613" s="77"/>
      <c r="B1613" s="102"/>
      <c r="C1613" s="102"/>
      <c r="D1613" s="102"/>
      <c r="E1613" s="102"/>
      <c r="F1613" s="102"/>
      <c r="G1613" s="102"/>
      <c r="H1613" s="295"/>
      <c r="I1613" s="102"/>
      <c r="J1613" s="77"/>
      <c r="K1613" s="77"/>
      <c r="L1613" s="77"/>
      <c r="M1613" s="77"/>
      <c r="N1613" s="77"/>
      <c r="O1613" s="77"/>
      <c r="P1613" s="268"/>
      <c r="Q1613" s="268"/>
      <c r="R1613" s="77"/>
      <c r="S1613" s="77"/>
      <c r="T1613" s="77"/>
      <c r="U1613" s="77"/>
      <c r="V1613" s="77"/>
      <c r="W1613" s="77"/>
      <c r="X1613" s="77"/>
      <c r="Y1613" s="77"/>
      <c r="Z1613" s="77"/>
      <c r="AA1613" s="77"/>
      <c r="AB1613" s="77"/>
      <c r="AC1613" s="77"/>
      <c r="AD1613" s="77"/>
      <c r="AE1613" s="77"/>
      <c r="AF1613" s="77"/>
      <c r="AG1613" s="77"/>
      <c r="AH1613" s="87"/>
      <c r="AI1613" s="87"/>
      <c r="AJ1613" s="87"/>
      <c r="AK1613" s="87"/>
      <c r="AL1613" s="87"/>
    </row>
    <row r="1614">
      <c r="A1614" s="77"/>
      <c r="B1614" s="102"/>
      <c r="C1614" s="102"/>
      <c r="D1614" s="102"/>
      <c r="E1614" s="102"/>
      <c r="F1614" s="102"/>
      <c r="G1614" s="102"/>
      <c r="H1614" s="295"/>
      <c r="I1614" s="102"/>
      <c r="J1614" s="77"/>
      <c r="K1614" s="77"/>
      <c r="L1614" s="77"/>
      <c r="M1614" s="77"/>
      <c r="N1614" s="77"/>
      <c r="O1614" s="77"/>
      <c r="P1614" s="268"/>
      <c r="Q1614" s="268"/>
      <c r="R1614" s="77"/>
      <c r="S1614" s="77"/>
      <c r="T1614" s="77"/>
      <c r="U1614" s="77"/>
      <c r="V1614" s="77"/>
      <c r="W1614" s="77"/>
      <c r="X1614" s="77"/>
      <c r="Y1614" s="77"/>
      <c r="Z1614" s="77"/>
      <c r="AA1614" s="77"/>
      <c r="AB1614" s="77"/>
      <c r="AC1614" s="77"/>
      <c r="AD1614" s="77"/>
      <c r="AE1614" s="77"/>
      <c r="AF1614" s="77"/>
      <c r="AG1614" s="77"/>
      <c r="AH1614" s="87"/>
      <c r="AI1614" s="87"/>
      <c r="AJ1614" s="87"/>
      <c r="AK1614" s="87"/>
      <c r="AL1614" s="87"/>
    </row>
    <row r="1615">
      <c r="A1615" s="77"/>
      <c r="B1615" s="102"/>
      <c r="C1615" s="102"/>
      <c r="D1615" s="102"/>
      <c r="E1615" s="102"/>
      <c r="F1615" s="102"/>
      <c r="G1615" s="102"/>
      <c r="H1615" s="295"/>
      <c r="I1615" s="102"/>
      <c r="J1615" s="77"/>
      <c r="K1615" s="77"/>
      <c r="L1615" s="77"/>
      <c r="M1615" s="77"/>
      <c r="N1615" s="77"/>
      <c r="O1615" s="77"/>
      <c r="P1615" s="268"/>
      <c r="Q1615" s="268"/>
      <c r="R1615" s="77"/>
      <c r="S1615" s="77"/>
      <c r="T1615" s="77"/>
      <c r="U1615" s="77"/>
      <c r="V1615" s="77"/>
      <c r="W1615" s="77"/>
      <c r="X1615" s="77"/>
      <c r="Y1615" s="77"/>
      <c r="Z1615" s="77"/>
      <c r="AA1615" s="77"/>
      <c r="AB1615" s="77"/>
      <c r="AC1615" s="77"/>
      <c r="AD1615" s="77"/>
      <c r="AE1615" s="77"/>
      <c r="AF1615" s="77"/>
      <c r="AG1615" s="77"/>
      <c r="AH1615" s="87"/>
      <c r="AI1615" s="87"/>
      <c r="AJ1615" s="87"/>
      <c r="AK1615" s="87"/>
      <c r="AL1615" s="87"/>
    </row>
    <row r="1616">
      <c r="A1616" s="77"/>
      <c r="B1616" s="102"/>
      <c r="C1616" s="102"/>
      <c r="D1616" s="102"/>
      <c r="E1616" s="102"/>
      <c r="F1616" s="102"/>
      <c r="G1616" s="102"/>
      <c r="H1616" s="295"/>
      <c r="I1616" s="102"/>
      <c r="J1616" s="77"/>
      <c r="K1616" s="77"/>
      <c r="L1616" s="77"/>
      <c r="M1616" s="77"/>
      <c r="N1616" s="77"/>
      <c r="O1616" s="77"/>
      <c r="P1616" s="268"/>
      <c r="Q1616" s="268"/>
      <c r="R1616" s="77"/>
      <c r="S1616" s="77"/>
      <c r="T1616" s="77"/>
      <c r="U1616" s="77"/>
      <c r="V1616" s="77"/>
      <c r="W1616" s="77"/>
      <c r="X1616" s="77"/>
      <c r="Y1616" s="77"/>
      <c r="Z1616" s="77"/>
      <c r="AA1616" s="77"/>
      <c r="AB1616" s="77"/>
      <c r="AC1616" s="77"/>
      <c r="AD1616" s="77"/>
      <c r="AE1616" s="77"/>
      <c r="AF1616" s="77"/>
      <c r="AG1616" s="77"/>
      <c r="AH1616" s="87"/>
      <c r="AI1616" s="87"/>
      <c r="AJ1616" s="87"/>
      <c r="AK1616" s="87"/>
      <c r="AL1616" s="87"/>
    </row>
    <row r="1617">
      <c r="A1617" s="77"/>
      <c r="B1617" s="102"/>
      <c r="C1617" s="102"/>
      <c r="D1617" s="102"/>
      <c r="E1617" s="102"/>
      <c r="F1617" s="102"/>
      <c r="G1617" s="102"/>
      <c r="H1617" s="295"/>
      <c r="I1617" s="102"/>
      <c r="J1617" s="77"/>
      <c r="K1617" s="77"/>
      <c r="L1617" s="77"/>
      <c r="M1617" s="77"/>
      <c r="N1617" s="77"/>
      <c r="O1617" s="77"/>
      <c r="P1617" s="268"/>
      <c r="Q1617" s="268"/>
      <c r="R1617" s="77"/>
      <c r="S1617" s="77"/>
      <c r="T1617" s="77"/>
      <c r="U1617" s="77"/>
      <c r="V1617" s="77"/>
      <c r="W1617" s="77"/>
      <c r="X1617" s="77"/>
      <c r="Y1617" s="77"/>
      <c r="Z1617" s="77"/>
      <c r="AA1617" s="77"/>
      <c r="AB1617" s="77"/>
      <c r="AC1617" s="77"/>
      <c r="AD1617" s="77"/>
      <c r="AE1617" s="77"/>
      <c r="AF1617" s="77"/>
      <c r="AG1617" s="77"/>
      <c r="AH1617" s="87"/>
      <c r="AI1617" s="87"/>
      <c r="AJ1617" s="87"/>
      <c r="AK1617" s="87"/>
      <c r="AL1617" s="87"/>
    </row>
    <row r="1618">
      <c r="A1618" s="77"/>
      <c r="B1618" s="102"/>
      <c r="C1618" s="102"/>
      <c r="D1618" s="102"/>
      <c r="E1618" s="102"/>
      <c r="F1618" s="102"/>
      <c r="G1618" s="102"/>
      <c r="H1618" s="295"/>
      <c r="I1618" s="102"/>
      <c r="J1618" s="77"/>
      <c r="K1618" s="77"/>
      <c r="L1618" s="77"/>
      <c r="M1618" s="77"/>
      <c r="N1618" s="77"/>
      <c r="O1618" s="77"/>
      <c r="P1618" s="268"/>
      <c r="Q1618" s="268"/>
      <c r="R1618" s="77"/>
      <c r="S1618" s="77"/>
      <c r="T1618" s="77"/>
      <c r="U1618" s="77"/>
      <c r="V1618" s="77"/>
      <c r="W1618" s="77"/>
      <c r="X1618" s="77"/>
      <c r="Y1618" s="77"/>
      <c r="Z1618" s="77"/>
      <c r="AA1618" s="77"/>
      <c r="AB1618" s="77"/>
      <c r="AC1618" s="77"/>
      <c r="AD1618" s="77"/>
      <c r="AE1618" s="77"/>
      <c r="AF1618" s="77"/>
      <c r="AG1618" s="77"/>
      <c r="AH1618" s="87"/>
      <c r="AI1618" s="87"/>
      <c r="AJ1618" s="87"/>
      <c r="AK1618" s="87"/>
      <c r="AL1618" s="87"/>
    </row>
    <row r="1619">
      <c r="A1619" s="77"/>
      <c r="B1619" s="102"/>
      <c r="C1619" s="102"/>
      <c r="D1619" s="102"/>
      <c r="E1619" s="102"/>
      <c r="F1619" s="102"/>
      <c r="G1619" s="102"/>
      <c r="H1619" s="295"/>
      <c r="I1619" s="102"/>
      <c r="J1619" s="77"/>
      <c r="K1619" s="77"/>
      <c r="L1619" s="77"/>
      <c r="M1619" s="77"/>
      <c r="N1619" s="77"/>
      <c r="O1619" s="77"/>
      <c r="P1619" s="268"/>
      <c r="Q1619" s="268"/>
      <c r="R1619" s="77"/>
      <c r="S1619" s="77"/>
      <c r="T1619" s="77"/>
      <c r="U1619" s="77"/>
      <c r="V1619" s="77"/>
      <c r="W1619" s="77"/>
      <c r="X1619" s="77"/>
      <c r="Y1619" s="77"/>
      <c r="Z1619" s="77"/>
      <c r="AA1619" s="77"/>
      <c r="AB1619" s="77"/>
      <c r="AC1619" s="77"/>
      <c r="AD1619" s="77"/>
      <c r="AE1619" s="77"/>
      <c r="AF1619" s="77"/>
      <c r="AG1619" s="77"/>
      <c r="AH1619" s="87"/>
      <c r="AI1619" s="87"/>
      <c r="AJ1619" s="87"/>
      <c r="AK1619" s="87"/>
      <c r="AL1619" s="87"/>
    </row>
    <row r="1620">
      <c r="A1620" s="77"/>
      <c r="B1620" s="102"/>
      <c r="C1620" s="102"/>
      <c r="D1620" s="102"/>
      <c r="E1620" s="102"/>
      <c r="F1620" s="102"/>
      <c r="G1620" s="102"/>
      <c r="H1620" s="295"/>
      <c r="I1620" s="102"/>
      <c r="J1620" s="77"/>
      <c r="K1620" s="77"/>
      <c r="L1620" s="77"/>
      <c r="M1620" s="77"/>
      <c r="N1620" s="77"/>
      <c r="O1620" s="77"/>
      <c r="P1620" s="268"/>
      <c r="Q1620" s="268"/>
      <c r="R1620" s="77"/>
      <c r="S1620" s="77"/>
      <c r="T1620" s="77"/>
      <c r="U1620" s="77"/>
      <c r="V1620" s="77"/>
      <c r="W1620" s="77"/>
      <c r="X1620" s="77"/>
      <c r="Y1620" s="77"/>
      <c r="Z1620" s="77"/>
      <c r="AA1620" s="77"/>
      <c r="AB1620" s="77"/>
      <c r="AC1620" s="77"/>
      <c r="AD1620" s="77"/>
      <c r="AE1620" s="77"/>
      <c r="AF1620" s="77"/>
      <c r="AG1620" s="77"/>
      <c r="AH1620" s="87"/>
      <c r="AI1620" s="87"/>
      <c r="AJ1620" s="87"/>
      <c r="AK1620" s="87"/>
      <c r="AL1620" s="87"/>
    </row>
    <row r="1621">
      <c r="A1621" s="77"/>
      <c r="B1621" s="102"/>
      <c r="C1621" s="102"/>
      <c r="D1621" s="102"/>
      <c r="E1621" s="102"/>
      <c r="F1621" s="102"/>
      <c r="G1621" s="102"/>
      <c r="H1621" s="295"/>
      <c r="I1621" s="102"/>
      <c r="J1621" s="77"/>
      <c r="K1621" s="77"/>
      <c r="L1621" s="77"/>
      <c r="M1621" s="77"/>
      <c r="N1621" s="77"/>
      <c r="O1621" s="77"/>
      <c r="P1621" s="268"/>
      <c r="Q1621" s="268"/>
      <c r="R1621" s="77"/>
      <c r="S1621" s="77"/>
      <c r="T1621" s="77"/>
      <c r="U1621" s="77"/>
      <c r="V1621" s="77"/>
      <c r="W1621" s="77"/>
      <c r="X1621" s="77"/>
      <c r="Y1621" s="77"/>
      <c r="Z1621" s="77"/>
      <c r="AA1621" s="77"/>
      <c r="AB1621" s="77"/>
      <c r="AC1621" s="77"/>
      <c r="AD1621" s="77"/>
      <c r="AE1621" s="77"/>
      <c r="AF1621" s="77"/>
      <c r="AG1621" s="77"/>
      <c r="AH1621" s="87"/>
      <c r="AI1621" s="87"/>
      <c r="AJ1621" s="87"/>
      <c r="AK1621" s="87"/>
      <c r="AL1621" s="87"/>
    </row>
    <row r="1622">
      <c r="A1622" s="77"/>
      <c r="B1622" s="102"/>
      <c r="C1622" s="102"/>
      <c r="D1622" s="102"/>
      <c r="E1622" s="102"/>
      <c r="F1622" s="102"/>
      <c r="G1622" s="102"/>
      <c r="H1622" s="295"/>
      <c r="I1622" s="102"/>
      <c r="J1622" s="77"/>
      <c r="K1622" s="77"/>
      <c r="L1622" s="77"/>
      <c r="M1622" s="77"/>
      <c r="N1622" s="77"/>
      <c r="O1622" s="77"/>
      <c r="P1622" s="268"/>
      <c r="Q1622" s="268"/>
      <c r="R1622" s="77"/>
      <c r="S1622" s="77"/>
      <c r="T1622" s="77"/>
      <c r="U1622" s="77"/>
      <c r="V1622" s="77"/>
      <c r="W1622" s="77"/>
      <c r="X1622" s="77"/>
      <c r="Y1622" s="77"/>
      <c r="Z1622" s="77"/>
      <c r="AA1622" s="77"/>
      <c r="AB1622" s="77"/>
      <c r="AC1622" s="77"/>
      <c r="AD1622" s="77"/>
      <c r="AE1622" s="77"/>
      <c r="AF1622" s="77"/>
      <c r="AG1622" s="77"/>
      <c r="AH1622" s="87"/>
      <c r="AI1622" s="87"/>
      <c r="AJ1622" s="87"/>
      <c r="AK1622" s="87"/>
      <c r="AL1622" s="87"/>
    </row>
    <row r="1623">
      <c r="A1623" s="77"/>
      <c r="B1623" s="102"/>
      <c r="C1623" s="102"/>
      <c r="D1623" s="102"/>
      <c r="E1623" s="102"/>
      <c r="F1623" s="102"/>
      <c r="G1623" s="102"/>
      <c r="H1623" s="295"/>
      <c r="I1623" s="102"/>
      <c r="J1623" s="77"/>
      <c r="K1623" s="77"/>
      <c r="L1623" s="77"/>
      <c r="M1623" s="77"/>
      <c r="N1623" s="77"/>
      <c r="O1623" s="77"/>
      <c r="P1623" s="268"/>
      <c r="Q1623" s="268"/>
      <c r="R1623" s="77"/>
      <c r="S1623" s="77"/>
      <c r="T1623" s="77"/>
      <c r="U1623" s="77"/>
      <c r="V1623" s="77"/>
      <c r="W1623" s="77"/>
      <c r="X1623" s="77"/>
      <c r="Y1623" s="77"/>
      <c r="Z1623" s="77"/>
      <c r="AA1623" s="77"/>
      <c r="AB1623" s="77"/>
      <c r="AC1623" s="77"/>
      <c r="AD1623" s="77"/>
      <c r="AE1623" s="77"/>
      <c r="AF1623" s="77"/>
      <c r="AG1623" s="77"/>
      <c r="AH1623" s="87"/>
      <c r="AI1623" s="87"/>
      <c r="AJ1623" s="87"/>
      <c r="AK1623" s="87"/>
      <c r="AL1623" s="87"/>
    </row>
    <row r="1624">
      <c r="A1624" s="77"/>
      <c r="B1624" s="102"/>
      <c r="C1624" s="102"/>
      <c r="D1624" s="102"/>
      <c r="E1624" s="102"/>
      <c r="F1624" s="102"/>
      <c r="G1624" s="102"/>
      <c r="H1624" s="295"/>
      <c r="I1624" s="102"/>
      <c r="J1624" s="77"/>
      <c r="K1624" s="77"/>
      <c r="L1624" s="77"/>
      <c r="M1624" s="77"/>
      <c r="N1624" s="77"/>
      <c r="O1624" s="77"/>
      <c r="P1624" s="268"/>
      <c r="Q1624" s="268"/>
      <c r="R1624" s="77"/>
      <c r="S1624" s="77"/>
      <c r="T1624" s="77"/>
      <c r="U1624" s="77"/>
      <c r="V1624" s="77"/>
      <c r="W1624" s="77"/>
      <c r="X1624" s="77"/>
      <c r="Y1624" s="77"/>
      <c r="Z1624" s="77"/>
      <c r="AA1624" s="77"/>
      <c r="AB1624" s="77"/>
      <c r="AC1624" s="77"/>
      <c r="AD1624" s="77"/>
      <c r="AE1624" s="77"/>
      <c r="AF1624" s="77"/>
      <c r="AG1624" s="77"/>
      <c r="AH1624" s="87"/>
      <c r="AI1624" s="87"/>
      <c r="AJ1624" s="87"/>
      <c r="AK1624" s="87"/>
      <c r="AL1624" s="87"/>
    </row>
    <row r="1625">
      <c r="A1625" s="77"/>
      <c r="B1625" s="102"/>
      <c r="C1625" s="102"/>
      <c r="D1625" s="102"/>
      <c r="E1625" s="102"/>
      <c r="F1625" s="102"/>
      <c r="G1625" s="102"/>
      <c r="H1625" s="295"/>
      <c r="I1625" s="102"/>
      <c r="J1625" s="77"/>
      <c r="K1625" s="77"/>
      <c r="L1625" s="77"/>
      <c r="M1625" s="77"/>
      <c r="N1625" s="77"/>
      <c r="O1625" s="77"/>
      <c r="P1625" s="268"/>
      <c r="Q1625" s="268"/>
      <c r="R1625" s="77"/>
      <c r="S1625" s="77"/>
      <c r="T1625" s="77"/>
      <c r="U1625" s="77"/>
      <c r="V1625" s="77"/>
      <c r="W1625" s="77"/>
      <c r="X1625" s="77"/>
      <c r="Y1625" s="77"/>
      <c r="Z1625" s="77"/>
      <c r="AA1625" s="77"/>
      <c r="AB1625" s="77"/>
      <c r="AC1625" s="77"/>
      <c r="AD1625" s="77"/>
      <c r="AE1625" s="77"/>
      <c r="AF1625" s="77"/>
      <c r="AG1625" s="77"/>
      <c r="AH1625" s="87"/>
      <c r="AI1625" s="87"/>
      <c r="AJ1625" s="87"/>
      <c r="AK1625" s="87"/>
      <c r="AL1625" s="87"/>
    </row>
    <row r="1626">
      <c r="A1626" s="77"/>
      <c r="B1626" s="102"/>
      <c r="C1626" s="102"/>
      <c r="D1626" s="102"/>
      <c r="E1626" s="102"/>
      <c r="F1626" s="102"/>
      <c r="G1626" s="102"/>
      <c r="H1626" s="295"/>
      <c r="I1626" s="102"/>
      <c r="J1626" s="77"/>
      <c r="K1626" s="77"/>
      <c r="L1626" s="77"/>
      <c r="M1626" s="77"/>
      <c r="N1626" s="77"/>
      <c r="O1626" s="77"/>
      <c r="P1626" s="268"/>
      <c r="Q1626" s="268"/>
      <c r="R1626" s="77"/>
      <c r="S1626" s="77"/>
      <c r="T1626" s="77"/>
      <c r="U1626" s="77"/>
      <c r="V1626" s="77"/>
      <c r="W1626" s="77"/>
      <c r="X1626" s="77"/>
      <c r="Y1626" s="77"/>
      <c r="Z1626" s="77"/>
      <c r="AA1626" s="77"/>
      <c r="AB1626" s="77"/>
      <c r="AC1626" s="77"/>
      <c r="AD1626" s="77"/>
      <c r="AE1626" s="77"/>
      <c r="AF1626" s="77"/>
      <c r="AG1626" s="77"/>
      <c r="AH1626" s="87"/>
      <c r="AI1626" s="87"/>
      <c r="AJ1626" s="87"/>
      <c r="AK1626" s="87"/>
      <c r="AL1626" s="87"/>
    </row>
    <row r="1627">
      <c r="A1627" s="77"/>
      <c r="B1627" s="102"/>
      <c r="C1627" s="102"/>
      <c r="D1627" s="102"/>
      <c r="E1627" s="102"/>
      <c r="F1627" s="102"/>
      <c r="G1627" s="102"/>
      <c r="H1627" s="295"/>
      <c r="I1627" s="102"/>
      <c r="J1627" s="77"/>
      <c r="K1627" s="77"/>
      <c r="L1627" s="77"/>
      <c r="M1627" s="77"/>
      <c r="N1627" s="77"/>
      <c r="O1627" s="77"/>
      <c r="P1627" s="268"/>
      <c r="Q1627" s="268"/>
      <c r="R1627" s="77"/>
      <c r="S1627" s="77"/>
      <c r="T1627" s="77"/>
      <c r="U1627" s="77"/>
      <c r="V1627" s="77"/>
      <c r="W1627" s="77"/>
      <c r="X1627" s="77"/>
      <c r="Y1627" s="77"/>
      <c r="Z1627" s="77"/>
      <c r="AA1627" s="77"/>
      <c r="AB1627" s="77"/>
      <c r="AC1627" s="77"/>
      <c r="AD1627" s="77"/>
      <c r="AE1627" s="77"/>
      <c r="AF1627" s="77"/>
      <c r="AG1627" s="77"/>
      <c r="AH1627" s="87"/>
      <c r="AI1627" s="87"/>
      <c r="AJ1627" s="87"/>
      <c r="AK1627" s="87"/>
      <c r="AL1627" s="87"/>
    </row>
    <row r="1628">
      <c r="A1628" s="77"/>
      <c r="B1628" s="102"/>
      <c r="C1628" s="102"/>
      <c r="D1628" s="102"/>
      <c r="E1628" s="102"/>
      <c r="F1628" s="102"/>
      <c r="G1628" s="102"/>
      <c r="H1628" s="295"/>
      <c r="I1628" s="102"/>
      <c r="J1628" s="77"/>
      <c r="K1628" s="77"/>
      <c r="L1628" s="77"/>
      <c r="M1628" s="77"/>
      <c r="N1628" s="77"/>
      <c r="O1628" s="77"/>
      <c r="P1628" s="268"/>
      <c r="Q1628" s="268"/>
      <c r="R1628" s="77"/>
      <c r="S1628" s="77"/>
      <c r="T1628" s="77"/>
      <c r="U1628" s="77"/>
      <c r="V1628" s="77"/>
      <c r="W1628" s="77"/>
      <c r="X1628" s="77"/>
      <c r="Y1628" s="77"/>
      <c r="Z1628" s="77"/>
      <c r="AA1628" s="77"/>
      <c r="AB1628" s="77"/>
      <c r="AC1628" s="77"/>
      <c r="AD1628" s="77"/>
      <c r="AE1628" s="77"/>
      <c r="AF1628" s="77"/>
      <c r="AG1628" s="77"/>
      <c r="AH1628" s="87"/>
      <c r="AI1628" s="87"/>
      <c r="AJ1628" s="87"/>
      <c r="AK1628" s="87"/>
      <c r="AL1628" s="87"/>
    </row>
    <row r="1629">
      <c r="A1629" s="77"/>
      <c r="B1629" s="102"/>
      <c r="C1629" s="102"/>
      <c r="D1629" s="102"/>
      <c r="E1629" s="102"/>
      <c r="F1629" s="102"/>
      <c r="G1629" s="102"/>
      <c r="H1629" s="295"/>
      <c r="I1629" s="102"/>
      <c r="J1629" s="77"/>
      <c r="K1629" s="77"/>
      <c r="L1629" s="77"/>
      <c r="M1629" s="77"/>
      <c r="N1629" s="77"/>
      <c r="O1629" s="77"/>
      <c r="P1629" s="268"/>
      <c r="Q1629" s="268"/>
      <c r="R1629" s="77"/>
      <c r="S1629" s="77"/>
      <c r="T1629" s="77"/>
      <c r="U1629" s="77"/>
      <c r="V1629" s="77"/>
      <c r="W1629" s="77"/>
      <c r="X1629" s="77"/>
      <c r="Y1629" s="77"/>
      <c r="Z1629" s="77"/>
      <c r="AA1629" s="77"/>
      <c r="AB1629" s="77"/>
      <c r="AC1629" s="77"/>
      <c r="AD1629" s="77"/>
      <c r="AE1629" s="77"/>
      <c r="AF1629" s="77"/>
      <c r="AG1629" s="77"/>
      <c r="AH1629" s="87"/>
      <c r="AI1629" s="87"/>
      <c r="AJ1629" s="87"/>
      <c r="AK1629" s="87"/>
      <c r="AL1629" s="87"/>
    </row>
    <row r="1630">
      <c r="A1630" s="77"/>
      <c r="B1630" s="102"/>
      <c r="C1630" s="102"/>
      <c r="D1630" s="102"/>
      <c r="E1630" s="102"/>
      <c r="F1630" s="102"/>
      <c r="G1630" s="102"/>
      <c r="H1630" s="295"/>
      <c r="I1630" s="102"/>
      <c r="J1630" s="77"/>
      <c r="K1630" s="77"/>
      <c r="L1630" s="77"/>
      <c r="M1630" s="77"/>
      <c r="N1630" s="77"/>
      <c r="O1630" s="77"/>
      <c r="P1630" s="268"/>
      <c r="Q1630" s="268"/>
      <c r="R1630" s="77"/>
      <c r="S1630" s="77"/>
      <c r="T1630" s="77"/>
      <c r="U1630" s="77"/>
      <c r="V1630" s="77"/>
      <c r="W1630" s="77"/>
      <c r="X1630" s="77"/>
      <c r="Y1630" s="77"/>
      <c r="Z1630" s="77"/>
      <c r="AA1630" s="77"/>
      <c r="AB1630" s="77"/>
      <c r="AC1630" s="77"/>
      <c r="AD1630" s="77"/>
      <c r="AE1630" s="77"/>
      <c r="AF1630" s="77"/>
      <c r="AG1630" s="77"/>
      <c r="AH1630" s="87"/>
      <c r="AI1630" s="87"/>
      <c r="AJ1630" s="87"/>
      <c r="AK1630" s="87"/>
      <c r="AL1630" s="87"/>
    </row>
    <row r="1631">
      <c r="A1631" s="77"/>
      <c r="B1631" s="102"/>
      <c r="C1631" s="102"/>
      <c r="D1631" s="102"/>
      <c r="E1631" s="102"/>
      <c r="F1631" s="102"/>
      <c r="G1631" s="102"/>
      <c r="H1631" s="295"/>
      <c r="I1631" s="102"/>
      <c r="J1631" s="77"/>
      <c r="K1631" s="77"/>
      <c r="L1631" s="77"/>
      <c r="M1631" s="77"/>
      <c r="N1631" s="77"/>
      <c r="O1631" s="77"/>
      <c r="P1631" s="268"/>
      <c r="Q1631" s="268"/>
      <c r="R1631" s="77"/>
      <c r="S1631" s="77"/>
      <c r="T1631" s="77"/>
      <c r="U1631" s="77"/>
      <c r="V1631" s="77"/>
      <c r="W1631" s="77"/>
      <c r="X1631" s="77"/>
      <c r="Y1631" s="77"/>
      <c r="Z1631" s="77"/>
      <c r="AA1631" s="77"/>
      <c r="AB1631" s="77"/>
      <c r="AC1631" s="77"/>
      <c r="AD1631" s="77"/>
      <c r="AE1631" s="77"/>
      <c r="AF1631" s="77"/>
      <c r="AG1631" s="77"/>
      <c r="AH1631" s="87"/>
      <c r="AI1631" s="87"/>
      <c r="AJ1631" s="87"/>
      <c r="AK1631" s="87"/>
      <c r="AL1631" s="87"/>
    </row>
    <row r="1632">
      <c r="A1632" s="77"/>
      <c r="B1632" s="102"/>
      <c r="C1632" s="102"/>
      <c r="D1632" s="102"/>
      <c r="E1632" s="102"/>
      <c r="F1632" s="102"/>
      <c r="G1632" s="102"/>
      <c r="H1632" s="295"/>
      <c r="I1632" s="102"/>
      <c r="J1632" s="77"/>
      <c r="K1632" s="77"/>
      <c r="L1632" s="77"/>
      <c r="M1632" s="77"/>
      <c r="N1632" s="77"/>
      <c r="O1632" s="77"/>
      <c r="P1632" s="268"/>
      <c r="Q1632" s="268"/>
      <c r="R1632" s="77"/>
      <c r="S1632" s="77"/>
      <c r="T1632" s="77"/>
      <c r="U1632" s="77"/>
      <c r="V1632" s="77"/>
      <c r="W1632" s="77"/>
      <c r="X1632" s="77"/>
      <c r="Y1632" s="77"/>
      <c r="Z1632" s="77"/>
      <c r="AA1632" s="77"/>
      <c r="AB1632" s="77"/>
      <c r="AC1632" s="77"/>
      <c r="AD1632" s="77"/>
      <c r="AE1632" s="77"/>
      <c r="AF1632" s="77"/>
      <c r="AG1632" s="77"/>
      <c r="AH1632" s="87"/>
      <c r="AI1632" s="87"/>
      <c r="AJ1632" s="87"/>
      <c r="AK1632" s="87"/>
      <c r="AL1632" s="87"/>
    </row>
    <row r="1633">
      <c r="A1633" s="77"/>
      <c r="B1633" s="102"/>
      <c r="C1633" s="102"/>
      <c r="D1633" s="102"/>
      <c r="E1633" s="102"/>
      <c r="F1633" s="102"/>
      <c r="G1633" s="102"/>
      <c r="H1633" s="295"/>
      <c r="I1633" s="102"/>
      <c r="J1633" s="77"/>
      <c r="K1633" s="77"/>
      <c r="L1633" s="77"/>
      <c r="M1633" s="77"/>
      <c r="N1633" s="77"/>
      <c r="O1633" s="77"/>
      <c r="P1633" s="268"/>
      <c r="Q1633" s="268"/>
      <c r="R1633" s="77"/>
      <c r="S1633" s="77"/>
      <c r="T1633" s="77"/>
      <c r="U1633" s="77"/>
      <c r="V1633" s="77"/>
      <c r="W1633" s="77"/>
      <c r="X1633" s="77"/>
      <c r="Y1633" s="77"/>
      <c r="Z1633" s="77"/>
      <c r="AA1633" s="77"/>
      <c r="AB1633" s="77"/>
      <c r="AC1633" s="77"/>
      <c r="AD1633" s="77"/>
      <c r="AE1633" s="77"/>
      <c r="AF1633" s="77"/>
      <c r="AG1633" s="77"/>
      <c r="AH1633" s="87"/>
      <c r="AI1633" s="87"/>
      <c r="AJ1633" s="87"/>
      <c r="AK1633" s="87"/>
      <c r="AL1633" s="87"/>
    </row>
    <row r="1634">
      <c r="A1634" s="77"/>
      <c r="B1634" s="102"/>
      <c r="C1634" s="102"/>
      <c r="D1634" s="102"/>
      <c r="E1634" s="102"/>
      <c r="F1634" s="102"/>
      <c r="G1634" s="102"/>
      <c r="H1634" s="295"/>
      <c r="I1634" s="102"/>
      <c r="J1634" s="77"/>
      <c r="K1634" s="77"/>
      <c r="L1634" s="77"/>
      <c r="M1634" s="77"/>
      <c r="N1634" s="77"/>
      <c r="O1634" s="77"/>
      <c r="P1634" s="268"/>
      <c r="Q1634" s="268"/>
      <c r="R1634" s="77"/>
      <c r="S1634" s="77"/>
      <c r="T1634" s="77"/>
      <c r="U1634" s="77"/>
      <c r="V1634" s="77"/>
      <c r="W1634" s="77"/>
      <c r="X1634" s="77"/>
      <c r="Y1634" s="77"/>
      <c r="Z1634" s="77"/>
      <c r="AA1634" s="77"/>
      <c r="AB1634" s="77"/>
      <c r="AC1634" s="77"/>
      <c r="AD1634" s="77"/>
      <c r="AE1634" s="77"/>
      <c r="AF1634" s="77"/>
      <c r="AG1634" s="77"/>
      <c r="AH1634" s="87"/>
      <c r="AI1634" s="87"/>
      <c r="AJ1634" s="87"/>
      <c r="AK1634" s="87"/>
      <c r="AL1634" s="87"/>
    </row>
    <row r="1635">
      <c r="A1635" s="77"/>
      <c r="B1635" s="102"/>
      <c r="C1635" s="102"/>
      <c r="D1635" s="102"/>
      <c r="E1635" s="102"/>
      <c r="F1635" s="102"/>
      <c r="G1635" s="102"/>
      <c r="H1635" s="295"/>
      <c r="I1635" s="102"/>
      <c r="J1635" s="77"/>
      <c r="K1635" s="77"/>
      <c r="L1635" s="77"/>
      <c r="M1635" s="77"/>
      <c r="N1635" s="77"/>
      <c r="O1635" s="77"/>
      <c r="P1635" s="268"/>
      <c r="Q1635" s="268"/>
      <c r="R1635" s="77"/>
      <c r="S1635" s="77"/>
      <c r="T1635" s="77"/>
      <c r="U1635" s="77"/>
      <c r="V1635" s="77"/>
      <c r="W1635" s="77"/>
      <c r="X1635" s="77"/>
      <c r="Y1635" s="77"/>
      <c r="Z1635" s="77"/>
      <c r="AA1635" s="77"/>
      <c r="AB1635" s="77"/>
      <c r="AC1635" s="77"/>
      <c r="AD1635" s="77"/>
      <c r="AE1635" s="77"/>
      <c r="AF1635" s="77"/>
      <c r="AG1635" s="77"/>
      <c r="AH1635" s="87"/>
      <c r="AI1635" s="87"/>
      <c r="AJ1635" s="87"/>
      <c r="AK1635" s="87"/>
      <c r="AL1635" s="87"/>
    </row>
    <row r="1636">
      <c r="A1636" s="77"/>
      <c r="B1636" s="102"/>
      <c r="C1636" s="102"/>
      <c r="D1636" s="102"/>
      <c r="E1636" s="102"/>
      <c r="F1636" s="102"/>
      <c r="G1636" s="102"/>
      <c r="H1636" s="295"/>
      <c r="I1636" s="102"/>
      <c r="J1636" s="77"/>
      <c r="K1636" s="77"/>
      <c r="L1636" s="77"/>
      <c r="M1636" s="77"/>
      <c r="N1636" s="77"/>
      <c r="O1636" s="77"/>
      <c r="P1636" s="268"/>
      <c r="Q1636" s="268"/>
      <c r="R1636" s="77"/>
      <c r="S1636" s="77"/>
      <c r="T1636" s="77"/>
      <c r="U1636" s="77"/>
      <c r="V1636" s="77"/>
      <c r="W1636" s="77"/>
      <c r="X1636" s="77"/>
      <c r="Y1636" s="77"/>
      <c r="Z1636" s="77"/>
      <c r="AA1636" s="77"/>
      <c r="AB1636" s="77"/>
      <c r="AC1636" s="77"/>
      <c r="AD1636" s="77"/>
      <c r="AE1636" s="77"/>
      <c r="AF1636" s="77"/>
      <c r="AG1636" s="77"/>
      <c r="AH1636" s="87"/>
      <c r="AI1636" s="87"/>
      <c r="AJ1636" s="87"/>
      <c r="AK1636" s="87"/>
      <c r="AL1636" s="87"/>
    </row>
    <row r="1637">
      <c r="A1637" s="77"/>
      <c r="B1637" s="102"/>
      <c r="C1637" s="102"/>
      <c r="D1637" s="102"/>
      <c r="E1637" s="102"/>
      <c r="F1637" s="102"/>
      <c r="G1637" s="102"/>
      <c r="H1637" s="295"/>
      <c r="I1637" s="102"/>
      <c r="J1637" s="77"/>
      <c r="K1637" s="77"/>
      <c r="L1637" s="77"/>
      <c r="M1637" s="77"/>
      <c r="N1637" s="77"/>
      <c r="O1637" s="77"/>
      <c r="P1637" s="268"/>
      <c r="Q1637" s="268"/>
      <c r="R1637" s="77"/>
      <c r="S1637" s="77"/>
      <c r="T1637" s="77"/>
      <c r="U1637" s="77"/>
      <c r="V1637" s="77"/>
      <c r="W1637" s="77"/>
      <c r="X1637" s="77"/>
      <c r="Y1637" s="77"/>
      <c r="Z1637" s="77"/>
      <c r="AA1637" s="77"/>
      <c r="AB1637" s="77"/>
      <c r="AC1637" s="77"/>
      <c r="AD1637" s="77"/>
      <c r="AE1637" s="77"/>
      <c r="AF1637" s="77"/>
      <c r="AG1637" s="77"/>
      <c r="AH1637" s="87"/>
      <c r="AI1637" s="87"/>
      <c r="AJ1637" s="87"/>
      <c r="AK1637" s="87"/>
      <c r="AL1637" s="87"/>
    </row>
    <row r="1638">
      <c r="A1638" s="77"/>
      <c r="B1638" s="102"/>
      <c r="C1638" s="102"/>
      <c r="D1638" s="102"/>
      <c r="E1638" s="102"/>
      <c r="F1638" s="102"/>
      <c r="G1638" s="102"/>
      <c r="H1638" s="295"/>
      <c r="I1638" s="102"/>
      <c r="J1638" s="77"/>
      <c r="K1638" s="77"/>
      <c r="L1638" s="77"/>
      <c r="M1638" s="77"/>
      <c r="N1638" s="77"/>
      <c r="O1638" s="77"/>
      <c r="P1638" s="268"/>
      <c r="Q1638" s="268"/>
      <c r="R1638" s="77"/>
      <c r="S1638" s="77"/>
      <c r="T1638" s="77"/>
      <c r="U1638" s="77"/>
      <c r="V1638" s="77"/>
      <c r="W1638" s="77"/>
      <c r="X1638" s="77"/>
      <c r="Y1638" s="77"/>
      <c r="Z1638" s="77"/>
      <c r="AA1638" s="77"/>
      <c r="AB1638" s="77"/>
      <c r="AC1638" s="77"/>
      <c r="AD1638" s="77"/>
      <c r="AE1638" s="77"/>
      <c r="AF1638" s="77"/>
      <c r="AG1638" s="77"/>
      <c r="AH1638" s="87"/>
      <c r="AI1638" s="87"/>
      <c r="AJ1638" s="87"/>
      <c r="AK1638" s="87"/>
      <c r="AL1638" s="87"/>
    </row>
    <row r="1639">
      <c r="A1639" s="77"/>
      <c r="B1639" s="102"/>
      <c r="C1639" s="102"/>
      <c r="D1639" s="102"/>
      <c r="E1639" s="102"/>
      <c r="F1639" s="102"/>
      <c r="G1639" s="102"/>
      <c r="H1639" s="295"/>
      <c r="I1639" s="102"/>
      <c r="J1639" s="77"/>
      <c r="K1639" s="77"/>
      <c r="L1639" s="77"/>
      <c r="M1639" s="77"/>
      <c r="N1639" s="77"/>
      <c r="O1639" s="77"/>
      <c r="P1639" s="268"/>
      <c r="Q1639" s="268"/>
      <c r="R1639" s="77"/>
      <c r="S1639" s="77"/>
      <c r="T1639" s="77"/>
      <c r="U1639" s="77"/>
      <c r="V1639" s="77"/>
      <c r="W1639" s="77"/>
      <c r="X1639" s="77"/>
      <c r="Y1639" s="77"/>
      <c r="Z1639" s="77"/>
      <c r="AA1639" s="77"/>
      <c r="AB1639" s="77"/>
      <c r="AC1639" s="77"/>
      <c r="AD1639" s="77"/>
      <c r="AE1639" s="77"/>
      <c r="AF1639" s="77"/>
      <c r="AG1639" s="77"/>
      <c r="AH1639" s="87"/>
      <c r="AI1639" s="87"/>
      <c r="AJ1639" s="87"/>
      <c r="AK1639" s="87"/>
      <c r="AL1639" s="87"/>
    </row>
    <row r="1640">
      <c r="A1640" s="77"/>
      <c r="B1640" s="102"/>
      <c r="C1640" s="102"/>
      <c r="D1640" s="102"/>
      <c r="E1640" s="102"/>
      <c r="F1640" s="102"/>
      <c r="G1640" s="102"/>
      <c r="H1640" s="295"/>
      <c r="I1640" s="102"/>
      <c r="J1640" s="77"/>
      <c r="K1640" s="77"/>
      <c r="L1640" s="77"/>
      <c r="M1640" s="77"/>
      <c r="N1640" s="77"/>
      <c r="O1640" s="77"/>
      <c r="P1640" s="268"/>
      <c r="Q1640" s="268"/>
      <c r="R1640" s="77"/>
      <c r="S1640" s="77"/>
      <c r="T1640" s="77"/>
      <c r="U1640" s="77"/>
      <c r="V1640" s="77"/>
      <c r="W1640" s="77"/>
      <c r="X1640" s="77"/>
      <c r="Y1640" s="77"/>
      <c r="Z1640" s="77"/>
      <c r="AA1640" s="77"/>
      <c r="AB1640" s="77"/>
      <c r="AC1640" s="77"/>
      <c r="AD1640" s="77"/>
      <c r="AE1640" s="77"/>
      <c r="AF1640" s="77"/>
      <c r="AG1640" s="77"/>
      <c r="AH1640" s="87"/>
      <c r="AI1640" s="87"/>
      <c r="AJ1640" s="87"/>
      <c r="AK1640" s="87"/>
      <c r="AL1640" s="87"/>
    </row>
    <row r="1641">
      <c r="A1641" s="77"/>
      <c r="B1641" s="102"/>
      <c r="C1641" s="102"/>
      <c r="D1641" s="102"/>
      <c r="E1641" s="102"/>
      <c r="F1641" s="102"/>
      <c r="G1641" s="102"/>
      <c r="H1641" s="295"/>
      <c r="I1641" s="102"/>
      <c r="J1641" s="77"/>
      <c r="K1641" s="77"/>
      <c r="L1641" s="77"/>
      <c r="M1641" s="77"/>
      <c r="N1641" s="77"/>
      <c r="O1641" s="77"/>
      <c r="P1641" s="268"/>
      <c r="Q1641" s="268"/>
      <c r="R1641" s="77"/>
      <c r="S1641" s="77"/>
      <c r="T1641" s="77"/>
      <c r="U1641" s="77"/>
      <c r="V1641" s="77"/>
      <c r="W1641" s="77"/>
      <c r="X1641" s="77"/>
      <c r="Y1641" s="77"/>
      <c r="Z1641" s="77"/>
      <c r="AA1641" s="77"/>
      <c r="AB1641" s="77"/>
      <c r="AC1641" s="77"/>
      <c r="AD1641" s="77"/>
      <c r="AE1641" s="77"/>
      <c r="AF1641" s="77"/>
      <c r="AG1641" s="77"/>
      <c r="AH1641" s="87"/>
      <c r="AI1641" s="87"/>
      <c r="AJ1641" s="87"/>
      <c r="AK1641" s="87"/>
      <c r="AL1641" s="87"/>
    </row>
    <row r="1642">
      <c r="A1642" s="77"/>
      <c r="B1642" s="102"/>
      <c r="C1642" s="102"/>
      <c r="D1642" s="102"/>
      <c r="E1642" s="102"/>
      <c r="F1642" s="102"/>
      <c r="G1642" s="102"/>
      <c r="H1642" s="295"/>
      <c r="I1642" s="102"/>
      <c r="J1642" s="77"/>
      <c r="K1642" s="77"/>
      <c r="L1642" s="77"/>
      <c r="M1642" s="77"/>
      <c r="N1642" s="77"/>
      <c r="O1642" s="77"/>
      <c r="P1642" s="268"/>
      <c r="Q1642" s="268"/>
      <c r="R1642" s="77"/>
      <c r="S1642" s="77"/>
      <c r="T1642" s="77"/>
      <c r="U1642" s="77"/>
      <c r="V1642" s="77"/>
      <c r="W1642" s="77"/>
      <c r="X1642" s="77"/>
      <c r="Y1642" s="77"/>
      <c r="Z1642" s="77"/>
      <c r="AA1642" s="77"/>
      <c r="AB1642" s="77"/>
      <c r="AC1642" s="77"/>
      <c r="AD1642" s="77"/>
      <c r="AE1642" s="77"/>
      <c r="AF1642" s="77"/>
      <c r="AG1642" s="77"/>
      <c r="AH1642" s="87"/>
      <c r="AI1642" s="87"/>
      <c r="AJ1642" s="87"/>
      <c r="AK1642" s="87"/>
      <c r="AL1642" s="87"/>
    </row>
    <row r="1643">
      <c r="A1643" s="77"/>
      <c r="B1643" s="102"/>
      <c r="C1643" s="102"/>
      <c r="D1643" s="102"/>
      <c r="E1643" s="102"/>
      <c r="F1643" s="102"/>
      <c r="G1643" s="102"/>
      <c r="H1643" s="295"/>
      <c r="I1643" s="102"/>
      <c r="J1643" s="77"/>
      <c r="K1643" s="77"/>
      <c r="L1643" s="77"/>
      <c r="M1643" s="77"/>
      <c r="N1643" s="77"/>
      <c r="O1643" s="77"/>
      <c r="P1643" s="268"/>
      <c r="Q1643" s="268"/>
      <c r="R1643" s="77"/>
      <c r="S1643" s="77"/>
      <c r="T1643" s="77"/>
      <c r="U1643" s="77"/>
      <c r="V1643" s="77"/>
      <c r="W1643" s="77"/>
      <c r="X1643" s="77"/>
      <c r="Y1643" s="77"/>
      <c r="Z1643" s="77"/>
      <c r="AA1643" s="77"/>
      <c r="AB1643" s="77"/>
      <c r="AC1643" s="77"/>
      <c r="AD1643" s="77"/>
      <c r="AE1643" s="77"/>
      <c r="AF1643" s="77"/>
      <c r="AG1643" s="77"/>
      <c r="AH1643" s="87"/>
      <c r="AI1643" s="87"/>
      <c r="AJ1643" s="87"/>
      <c r="AK1643" s="87"/>
      <c r="AL1643" s="87"/>
    </row>
    <row r="1644">
      <c r="A1644" s="77"/>
      <c r="B1644" s="102"/>
      <c r="C1644" s="102"/>
      <c r="D1644" s="102"/>
      <c r="E1644" s="102"/>
      <c r="F1644" s="102"/>
      <c r="G1644" s="102"/>
      <c r="H1644" s="295"/>
      <c r="I1644" s="102"/>
      <c r="J1644" s="77"/>
      <c r="K1644" s="77"/>
      <c r="L1644" s="77"/>
      <c r="M1644" s="77"/>
      <c r="N1644" s="77"/>
      <c r="O1644" s="77"/>
      <c r="P1644" s="268"/>
      <c r="Q1644" s="268"/>
      <c r="R1644" s="77"/>
      <c r="S1644" s="77"/>
      <c r="T1644" s="77"/>
      <c r="U1644" s="77"/>
      <c r="V1644" s="77"/>
      <c r="W1644" s="77"/>
      <c r="X1644" s="77"/>
      <c r="Y1644" s="77"/>
      <c r="Z1644" s="77"/>
      <c r="AA1644" s="77"/>
      <c r="AB1644" s="77"/>
      <c r="AC1644" s="77"/>
      <c r="AD1644" s="77"/>
      <c r="AE1644" s="77"/>
      <c r="AF1644" s="77"/>
      <c r="AG1644" s="77"/>
      <c r="AH1644" s="87"/>
      <c r="AI1644" s="87"/>
      <c r="AJ1644" s="87"/>
      <c r="AK1644" s="87"/>
      <c r="AL1644" s="87"/>
    </row>
    <row r="1645">
      <c r="A1645" s="77"/>
      <c r="B1645" s="102"/>
      <c r="C1645" s="102"/>
      <c r="D1645" s="102"/>
      <c r="E1645" s="102"/>
      <c r="F1645" s="102"/>
      <c r="G1645" s="102"/>
      <c r="H1645" s="295"/>
      <c r="I1645" s="102"/>
      <c r="J1645" s="77"/>
      <c r="K1645" s="77"/>
      <c r="L1645" s="77"/>
      <c r="M1645" s="77"/>
      <c r="N1645" s="77"/>
      <c r="O1645" s="77"/>
      <c r="P1645" s="268"/>
      <c r="Q1645" s="268"/>
      <c r="R1645" s="77"/>
      <c r="S1645" s="77"/>
      <c r="T1645" s="77"/>
      <c r="U1645" s="77"/>
      <c r="V1645" s="77"/>
      <c r="W1645" s="77"/>
      <c r="X1645" s="77"/>
      <c r="Y1645" s="77"/>
      <c r="Z1645" s="77"/>
      <c r="AA1645" s="77"/>
      <c r="AB1645" s="77"/>
      <c r="AC1645" s="77"/>
      <c r="AD1645" s="77"/>
      <c r="AE1645" s="77"/>
      <c r="AF1645" s="77"/>
      <c r="AG1645" s="77"/>
      <c r="AH1645" s="87"/>
      <c r="AI1645" s="87"/>
      <c r="AJ1645" s="87"/>
      <c r="AK1645" s="87"/>
      <c r="AL1645" s="87"/>
    </row>
    <row r="1646">
      <c r="A1646" s="77"/>
      <c r="B1646" s="102"/>
      <c r="C1646" s="102"/>
      <c r="D1646" s="102"/>
      <c r="E1646" s="102"/>
      <c r="F1646" s="102"/>
      <c r="G1646" s="102"/>
      <c r="H1646" s="295"/>
      <c r="I1646" s="102"/>
      <c r="J1646" s="77"/>
      <c r="K1646" s="77"/>
      <c r="L1646" s="77"/>
      <c r="M1646" s="77"/>
      <c r="N1646" s="77"/>
      <c r="O1646" s="77"/>
      <c r="P1646" s="268"/>
      <c r="Q1646" s="268"/>
      <c r="R1646" s="77"/>
      <c r="S1646" s="77"/>
      <c r="T1646" s="77"/>
      <c r="U1646" s="77"/>
      <c r="V1646" s="77"/>
      <c r="W1646" s="77"/>
      <c r="X1646" s="77"/>
      <c r="Y1646" s="77"/>
      <c r="Z1646" s="77"/>
      <c r="AA1646" s="77"/>
      <c r="AB1646" s="77"/>
      <c r="AC1646" s="77"/>
      <c r="AD1646" s="77"/>
      <c r="AE1646" s="77"/>
      <c r="AF1646" s="77"/>
      <c r="AG1646" s="77"/>
      <c r="AH1646" s="87"/>
      <c r="AI1646" s="87"/>
      <c r="AJ1646" s="87"/>
      <c r="AK1646" s="87"/>
      <c r="AL1646" s="87"/>
    </row>
    <row r="1647">
      <c r="A1647" s="77"/>
      <c r="B1647" s="102"/>
      <c r="C1647" s="102"/>
      <c r="D1647" s="102"/>
      <c r="E1647" s="102"/>
      <c r="F1647" s="102"/>
      <c r="G1647" s="102"/>
      <c r="H1647" s="295"/>
      <c r="I1647" s="102"/>
      <c r="J1647" s="77"/>
      <c r="K1647" s="77"/>
      <c r="L1647" s="77"/>
      <c r="M1647" s="77"/>
      <c r="N1647" s="77"/>
      <c r="O1647" s="77"/>
      <c r="P1647" s="268"/>
      <c r="Q1647" s="268"/>
      <c r="R1647" s="77"/>
      <c r="S1647" s="77"/>
      <c r="T1647" s="77"/>
      <c r="U1647" s="77"/>
      <c r="V1647" s="77"/>
      <c r="W1647" s="77"/>
      <c r="X1647" s="77"/>
      <c r="Y1647" s="77"/>
      <c r="Z1647" s="77"/>
      <c r="AA1647" s="77"/>
      <c r="AB1647" s="77"/>
      <c r="AC1647" s="77"/>
      <c r="AD1647" s="77"/>
      <c r="AE1647" s="77"/>
      <c r="AF1647" s="77"/>
      <c r="AG1647" s="77"/>
      <c r="AH1647" s="87"/>
      <c r="AI1647" s="87"/>
      <c r="AJ1647" s="87"/>
      <c r="AK1647" s="87"/>
      <c r="AL1647" s="87"/>
    </row>
    <row r="1648">
      <c r="A1648" s="77"/>
      <c r="B1648" s="102"/>
      <c r="C1648" s="102"/>
      <c r="D1648" s="102"/>
      <c r="E1648" s="102"/>
      <c r="F1648" s="102"/>
      <c r="G1648" s="102"/>
      <c r="H1648" s="295"/>
      <c r="I1648" s="102"/>
      <c r="J1648" s="77"/>
      <c r="K1648" s="77"/>
      <c r="L1648" s="77"/>
      <c r="M1648" s="77"/>
      <c r="N1648" s="77"/>
      <c r="O1648" s="77"/>
      <c r="P1648" s="268"/>
      <c r="Q1648" s="268"/>
      <c r="R1648" s="77"/>
      <c r="S1648" s="77"/>
      <c r="T1648" s="77"/>
      <c r="U1648" s="77"/>
      <c r="V1648" s="77"/>
      <c r="W1648" s="77"/>
      <c r="X1648" s="77"/>
      <c r="Y1648" s="77"/>
      <c r="Z1648" s="77"/>
      <c r="AA1648" s="77"/>
      <c r="AB1648" s="77"/>
      <c r="AC1648" s="77"/>
      <c r="AD1648" s="77"/>
      <c r="AE1648" s="77"/>
      <c r="AF1648" s="77"/>
      <c r="AG1648" s="77"/>
      <c r="AH1648" s="87"/>
      <c r="AI1648" s="87"/>
      <c r="AJ1648" s="87"/>
      <c r="AK1648" s="87"/>
      <c r="AL1648" s="87"/>
    </row>
    <row r="1649">
      <c r="A1649" s="77"/>
      <c r="B1649" s="102"/>
      <c r="C1649" s="102"/>
      <c r="D1649" s="102"/>
      <c r="E1649" s="102"/>
      <c r="F1649" s="102"/>
      <c r="G1649" s="102"/>
      <c r="H1649" s="295"/>
      <c r="I1649" s="102"/>
      <c r="J1649" s="77"/>
      <c r="K1649" s="77"/>
      <c r="L1649" s="77"/>
      <c r="M1649" s="77"/>
      <c r="N1649" s="77"/>
      <c r="O1649" s="77"/>
      <c r="P1649" s="268"/>
      <c r="Q1649" s="268"/>
      <c r="R1649" s="77"/>
      <c r="S1649" s="77"/>
      <c r="T1649" s="77"/>
      <c r="U1649" s="77"/>
      <c r="V1649" s="77"/>
      <c r="W1649" s="77"/>
      <c r="X1649" s="77"/>
      <c r="Y1649" s="77"/>
      <c r="Z1649" s="77"/>
      <c r="AA1649" s="77"/>
      <c r="AB1649" s="77"/>
      <c r="AC1649" s="77"/>
      <c r="AD1649" s="77"/>
      <c r="AE1649" s="77"/>
      <c r="AF1649" s="77"/>
      <c r="AG1649" s="77"/>
      <c r="AH1649" s="87"/>
      <c r="AI1649" s="87"/>
      <c r="AJ1649" s="87"/>
      <c r="AK1649" s="87"/>
      <c r="AL1649" s="87"/>
    </row>
    <row r="1650">
      <c r="A1650" s="77"/>
      <c r="B1650" s="102"/>
      <c r="C1650" s="102"/>
      <c r="D1650" s="102"/>
      <c r="E1650" s="102"/>
      <c r="F1650" s="102"/>
      <c r="G1650" s="102"/>
      <c r="H1650" s="295"/>
      <c r="I1650" s="102"/>
      <c r="J1650" s="77"/>
      <c r="K1650" s="77"/>
      <c r="L1650" s="77"/>
      <c r="M1650" s="77"/>
      <c r="N1650" s="77"/>
      <c r="O1650" s="77"/>
      <c r="P1650" s="268"/>
      <c r="Q1650" s="268"/>
      <c r="R1650" s="77"/>
      <c r="S1650" s="77"/>
      <c r="T1650" s="77"/>
      <c r="U1650" s="77"/>
      <c r="V1650" s="77"/>
      <c r="W1650" s="77"/>
      <c r="X1650" s="77"/>
      <c r="Y1650" s="77"/>
      <c r="Z1650" s="77"/>
      <c r="AA1650" s="77"/>
      <c r="AB1650" s="77"/>
      <c r="AC1650" s="77"/>
      <c r="AD1650" s="77"/>
      <c r="AE1650" s="77"/>
      <c r="AF1650" s="77"/>
      <c r="AG1650" s="77"/>
      <c r="AH1650" s="87"/>
      <c r="AI1650" s="87"/>
      <c r="AJ1650" s="87"/>
      <c r="AK1650" s="87"/>
      <c r="AL1650" s="87"/>
    </row>
    <row r="1651">
      <c r="A1651" s="77"/>
      <c r="B1651" s="102"/>
      <c r="C1651" s="102"/>
      <c r="D1651" s="102"/>
      <c r="E1651" s="102"/>
      <c r="F1651" s="102"/>
      <c r="G1651" s="102"/>
      <c r="H1651" s="295"/>
      <c r="I1651" s="102"/>
      <c r="J1651" s="77"/>
      <c r="K1651" s="77"/>
      <c r="L1651" s="77"/>
      <c r="M1651" s="77"/>
      <c r="N1651" s="77"/>
      <c r="O1651" s="77"/>
      <c r="P1651" s="268"/>
      <c r="Q1651" s="268"/>
      <c r="R1651" s="77"/>
      <c r="S1651" s="77"/>
      <c r="T1651" s="77"/>
      <c r="U1651" s="77"/>
      <c r="V1651" s="77"/>
      <c r="W1651" s="77"/>
      <c r="X1651" s="77"/>
      <c r="Y1651" s="77"/>
      <c r="Z1651" s="77"/>
      <c r="AA1651" s="77"/>
      <c r="AB1651" s="77"/>
      <c r="AC1651" s="77"/>
      <c r="AD1651" s="77"/>
      <c r="AE1651" s="77"/>
      <c r="AF1651" s="77"/>
      <c r="AG1651" s="77"/>
      <c r="AH1651" s="87"/>
      <c r="AI1651" s="87"/>
      <c r="AJ1651" s="87"/>
      <c r="AK1651" s="87"/>
      <c r="AL1651" s="87"/>
    </row>
    <row r="1652">
      <c r="A1652" s="77"/>
      <c r="B1652" s="102"/>
      <c r="C1652" s="102"/>
      <c r="D1652" s="102"/>
      <c r="E1652" s="102"/>
      <c r="F1652" s="102"/>
      <c r="G1652" s="102"/>
      <c r="H1652" s="295"/>
      <c r="I1652" s="102"/>
      <c r="J1652" s="77"/>
      <c r="K1652" s="77"/>
      <c r="L1652" s="77"/>
      <c r="M1652" s="77"/>
      <c r="N1652" s="77"/>
      <c r="O1652" s="77"/>
      <c r="P1652" s="268"/>
      <c r="Q1652" s="268"/>
      <c r="R1652" s="77"/>
      <c r="S1652" s="77"/>
      <c r="T1652" s="77"/>
      <c r="U1652" s="77"/>
      <c r="V1652" s="77"/>
      <c r="W1652" s="77"/>
      <c r="X1652" s="77"/>
      <c r="Y1652" s="77"/>
      <c r="Z1652" s="77"/>
      <c r="AA1652" s="77"/>
      <c r="AB1652" s="77"/>
      <c r="AC1652" s="77"/>
      <c r="AD1652" s="77"/>
      <c r="AE1652" s="77"/>
      <c r="AF1652" s="77"/>
      <c r="AG1652" s="77"/>
      <c r="AH1652" s="87"/>
      <c r="AI1652" s="87"/>
      <c r="AJ1652" s="87"/>
      <c r="AK1652" s="87"/>
      <c r="AL1652" s="87"/>
    </row>
    <row r="1653">
      <c r="A1653" s="77"/>
      <c r="B1653" s="102"/>
      <c r="C1653" s="102"/>
      <c r="D1653" s="102"/>
      <c r="E1653" s="102"/>
      <c r="F1653" s="102"/>
      <c r="G1653" s="102"/>
      <c r="H1653" s="295"/>
      <c r="I1653" s="102"/>
      <c r="J1653" s="77"/>
      <c r="K1653" s="77"/>
      <c r="L1653" s="77"/>
      <c r="M1653" s="77"/>
      <c r="N1653" s="77"/>
      <c r="O1653" s="77"/>
      <c r="P1653" s="268"/>
      <c r="Q1653" s="268"/>
      <c r="R1653" s="77"/>
      <c r="S1653" s="77"/>
      <c r="T1653" s="77"/>
      <c r="U1653" s="77"/>
      <c r="V1653" s="77"/>
      <c r="W1653" s="77"/>
      <c r="X1653" s="77"/>
      <c r="Y1653" s="77"/>
      <c r="Z1653" s="77"/>
      <c r="AA1653" s="77"/>
      <c r="AB1653" s="77"/>
      <c r="AC1653" s="77"/>
      <c r="AD1653" s="77"/>
      <c r="AE1653" s="77"/>
      <c r="AF1653" s="77"/>
      <c r="AG1653" s="77"/>
      <c r="AH1653" s="87"/>
      <c r="AI1653" s="87"/>
      <c r="AJ1653" s="87"/>
      <c r="AK1653" s="87"/>
      <c r="AL1653" s="87"/>
    </row>
    <row r="1654">
      <c r="A1654" s="77"/>
      <c r="B1654" s="102"/>
      <c r="C1654" s="102"/>
      <c r="D1654" s="102"/>
      <c r="E1654" s="102"/>
      <c r="F1654" s="102"/>
      <c r="G1654" s="102"/>
      <c r="H1654" s="295"/>
      <c r="I1654" s="102"/>
      <c r="J1654" s="77"/>
      <c r="K1654" s="77"/>
      <c r="L1654" s="77"/>
      <c r="M1654" s="77"/>
      <c r="N1654" s="77"/>
      <c r="O1654" s="77"/>
      <c r="P1654" s="268"/>
      <c r="Q1654" s="268"/>
      <c r="R1654" s="77"/>
      <c r="S1654" s="77"/>
      <c r="T1654" s="77"/>
      <c r="U1654" s="77"/>
      <c r="V1654" s="77"/>
      <c r="W1654" s="77"/>
      <c r="X1654" s="77"/>
      <c r="Y1654" s="77"/>
      <c r="Z1654" s="77"/>
      <c r="AA1654" s="77"/>
      <c r="AB1654" s="77"/>
      <c r="AC1654" s="77"/>
      <c r="AD1654" s="77"/>
      <c r="AE1654" s="77"/>
      <c r="AF1654" s="77"/>
      <c r="AG1654" s="77"/>
      <c r="AH1654" s="87"/>
      <c r="AI1654" s="87"/>
      <c r="AJ1654" s="87"/>
      <c r="AK1654" s="87"/>
      <c r="AL1654" s="87"/>
    </row>
    <row r="1655">
      <c r="A1655" s="77"/>
      <c r="B1655" s="102"/>
      <c r="C1655" s="102"/>
      <c r="D1655" s="102"/>
      <c r="E1655" s="102"/>
      <c r="F1655" s="102"/>
      <c r="G1655" s="102"/>
      <c r="H1655" s="295"/>
      <c r="I1655" s="102"/>
      <c r="J1655" s="77"/>
      <c r="K1655" s="77"/>
      <c r="L1655" s="77"/>
      <c r="M1655" s="77"/>
      <c r="N1655" s="77"/>
      <c r="O1655" s="77"/>
      <c r="P1655" s="268"/>
      <c r="Q1655" s="268"/>
      <c r="R1655" s="77"/>
      <c r="S1655" s="77"/>
      <c r="T1655" s="77"/>
      <c r="U1655" s="77"/>
      <c r="V1655" s="77"/>
      <c r="W1655" s="77"/>
      <c r="X1655" s="77"/>
      <c r="Y1655" s="77"/>
      <c r="Z1655" s="77"/>
      <c r="AA1655" s="77"/>
      <c r="AB1655" s="77"/>
      <c r="AC1655" s="77"/>
      <c r="AD1655" s="77"/>
      <c r="AE1655" s="77"/>
      <c r="AF1655" s="77"/>
      <c r="AG1655" s="77"/>
      <c r="AH1655" s="87"/>
      <c r="AI1655" s="87"/>
      <c r="AJ1655" s="87"/>
      <c r="AK1655" s="87"/>
      <c r="AL1655" s="87"/>
    </row>
    <row r="1656">
      <c r="A1656" s="77"/>
      <c r="B1656" s="102"/>
      <c r="C1656" s="102"/>
      <c r="D1656" s="102"/>
      <c r="E1656" s="102"/>
      <c r="F1656" s="102"/>
      <c r="G1656" s="102"/>
      <c r="H1656" s="295"/>
      <c r="I1656" s="102"/>
      <c r="J1656" s="77"/>
      <c r="K1656" s="77"/>
      <c r="L1656" s="77"/>
      <c r="M1656" s="77"/>
      <c r="N1656" s="77"/>
      <c r="O1656" s="77"/>
      <c r="P1656" s="268"/>
      <c r="Q1656" s="268"/>
      <c r="R1656" s="77"/>
      <c r="S1656" s="77"/>
      <c r="T1656" s="77"/>
      <c r="U1656" s="77"/>
      <c r="V1656" s="77"/>
      <c r="W1656" s="77"/>
      <c r="X1656" s="77"/>
      <c r="Y1656" s="77"/>
      <c r="Z1656" s="77"/>
      <c r="AA1656" s="77"/>
      <c r="AB1656" s="77"/>
      <c r="AC1656" s="77"/>
      <c r="AD1656" s="77"/>
      <c r="AE1656" s="77"/>
      <c r="AF1656" s="77"/>
      <c r="AG1656" s="77"/>
      <c r="AH1656" s="87"/>
      <c r="AI1656" s="87"/>
      <c r="AJ1656" s="87"/>
      <c r="AK1656" s="87"/>
      <c r="AL1656" s="87"/>
    </row>
    <row r="1657">
      <c r="A1657" s="77"/>
      <c r="B1657" s="102"/>
      <c r="C1657" s="102"/>
      <c r="D1657" s="102"/>
      <c r="E1657" s="102"/>
      <c r="F1657" s="102"/>
      <c r="G1657" s="102"/>
      <c r="H1657" s="295"/>
      <c r="I1657" s="102"/>
      <c r="J1657" s="77"/>
      <c r="K1657" s="77"/>
      <c r="L1657" s="77"/>
      <c r="M1657" s="77"/>
      <c r="N1657" s="77"/>
      <c r="O1657" s="77"/>
      <c r="P1657" s="268"/>
      <c r="Q1657" s="268"/>
      <c r="R1657" s="77"/>
      <c r="S1657" s="77"/>
      <c r="T1657" s="77"/>
      <c r="U1657" s="77"/>
      <c r="V1657" s="77"/>
      <c r="W1657" s="77"/>
      <c r="X1657" s="77"/>
      <c r="Y1657" s="77"/>
      <c r="Z1657" s="77"/>
      <c r="AA1657" s="77"/>
      <c r="AB1657" s="77"/>
      <c r="AC1657" s="77"/>
      <c r="AD1657" s="77"/>
      <c r="AE1657" s="77"/>
      <c r="AF1657" s="77"/>
      <c r="AG1657" s="77"/>
      <c r="AH1657" s="87"/>
      <c r="AI1657" s="87"/>
      <c r="AJ1657" s="87"/>
      <c r="AK1657" s="87"/>
      <c r="AL1657" s="87"/>
    </row>
    <row r="1658">
      <c r="A1658" s="77"/>
      <c r="B1658" s="102"/>
      <c r="C1658" s="102"/>
      <c r="D1658" s="102"/>
      <c r="E1658" s="102"/>
      <c r="F1658" s="102"/>
      <c r="G1658" s="102"/>
      <c r="H1658" s="295"/>
      <c r="I1658" s="102"/>
      <c r="J1658" s="77"/>
      <c r="K1658" s="77"/>
      <c r="L1658" s="77"/>
      <c r="M1658" s="77"/>
      <c r="N1658" s="77"/>
      <c r="O1658" s="77"/>
      <c r="P1658" s="268"/>
      <c r="Q1658" s="268"/>
      <c r="R1658" s="77"/>
      <c r="S1658" s="77"/>
      <c r="T1658" s="77"/>
      <c r="U1658" s="77"/>
      <c r="V1658" s="77"/>
      <c r="W1658" s="77"/>
      <c r="X1658" s="77"/>
      <c r="Y1658" s="77"/>
      <c r="Z1658" s="77"/>
      <c r="AA1658" s="77"/>
      <c r="AB1658" s="77"/>
      <c r="AC1658" s="77"/>
      <c r="AD1658" s="77"/>
      <c r="AE1658" s="77"/>
      <c r="AF1658" s="77"/>
      <c r="AG1658" s="77"/>
      <c r="AH1658" s="87"/>
      <c r="AI1658" s="87"/>
      <c r="AJ1658" s="87"/>
      <c r="AK1658" s="87"/>
      <c r="AL1658" s="87"/>
    </row>
    <row r="1659">
      <c r="A1659" s="77"/>
      <c r="B1659" s="102"/>
      <c r="C1659" s="102"/>
      <c r="D1659" s="102"/>
      <c r="E1659" s="102"/>
      <c r="F1659" s="102"/>
      <c r="G1659" s="102"/>
      <c r="H1659" s="295"/>
      <c r="I1659" s="102"/>
      <c r="J1659" s="77"/>
      <c r="K1659" s="77"/>
      <c r="L1659" s="77"/>
      <c r="M1659" s="77"/>
      <c r="N1659" s="77"/>
      <c r="O1659" s="77"/>
      <c r="P1659" s="268"/>
      <c r="Q1659" s="268"/>
      <c r="R1659" s="77"/>
      <c r="S1659" s="77"/>
      <c r="T1659" s="77"/>
      <c r="U1659" s="77"/>
      <c r="V1659" s="77"/>
      <c r="W1659" s="77"/>
      <c r="X1659" s="77"/>
      <c r="Y1659" s="77"/>
      <c r="Z1659" s="77"/>
      <c r="AA1659" s="77"/>
      <c r="AB1659" s="77"/>
      <c r="AC1659" s="77"/>
      <c r="AD1659" s="77"/>
      <c r="AE1659" s="77"/>
      <c r="AF1659" s="77"/>
      <c r="AG1659" s="77"/>
      <c r="AH1659" s="87"/>
      <c r="AI1659" s="87"/>
      <c r="AJ1659" s="87"/>
      <c r="AK1659" s="87"/>
      <c r="AL1659" s="87"/>
    </row>
    <row r="1660">
      <c r="A1660" s="77"/>
      <c r="B1660" s="102"/>
      <c r="C1660" s="102"/>
      <c r="D1660" s="102"/>
      <c r="E1660" s="102"/>
      <c r="F1660" s="102"/>
      <c r="G1660" s="102"/>
      <c r="H1660" s="295"/>
      <c r="I1660" s="102"/>
      <c r="J1660" s="77"/>
      <c r="K1660" s="77"/>
      <c r="L1660" s="77"/>
      <c r="M1660" s="77"/>
      <c r="N1660" s="77"/>
      <c r="O1660" s="77"/>
      <c r="P1660" s="268"/>
      <c r="Q1660" s="268"/>
      <c r="R1660" s="77"/>
      <c r="S1660" s="77"/>
      <c r="T1660" s="77"/>
      <c r="U1660" s="77"/>
      <c r="V1660" s="77"/>
      <c r="W1660" s="77"/>
      <c r="X1660" s="77"/>
      <c r="Y1660" s="77"/>
      <c r="Z1660" s="77"/>
      <c r="AA1660" s="77"/>
      <c r="AB1660" s="77"/>
      <c r="AC1660" s="77"/>
      <c r="AD1660" s="77"/>
      <c r="AE1660" s="77"/>
      <c r="AF1660" s="77"/>
      <c r="AG1660" s="77"/>
      <c r="AH1660" s="87"/>
      <c r="AI1660" s="87"/>
      <c r="AJ1660" s="87"/>
      <c r="AK1660" s="87"/>
      <c r="AL1660" s="87"/>
    </row>
    <row r="1661">
      <c r="A1661" s="77"/>
      <c r="B1661" s="102"/>
      <c r="C1661" s="102"/>
      <c r="D1661" s="102"/>
      <c r="E1661" s="102"/>
      <c r="F1661" s="102"/>
      <c r="G1661" s="102"/>
      <c r="H1661" s="295"/>
      <c r="I1661" s="102"/>
      <c r="J1661" s="77"/>
      <c r="K1661" s="77"/>
      <c r="L1661" s="77"/>
      <c r="M1661" s="77"/>
      <c r="N1661" s="77"/>
      <c r="O1661" s="77"/>
      <c r="P1661" s="268"/>
      <c r="Q1661" s="268"/>
      <c r="R1661" s="77"/>
      <c r="S1661" s="77"/>
      <c r="T1661" s="77"/>
      <c r="U1661" s="77"/>
      <c r="V1661" s="77"/>
      <c r="W1661" s="77"/>
      <c r="X1661" s="77"/>
      <c r="Y1661" s="77"/>
      <c r="Z1661" s="77"/>
      <c r="AA1661" s="77"/>
      <c r="AB1661" s="77"/>
      <c r="AC1661" s="77"/>
      <c r="AD1661" s="77"/>
      <c r="AE1661" s="77"/>
      <c r="AF1661" s="77"/>
      <c r="AG1661" s="77"/>
      <c r="AH1661" s="87"/>
      <c r="AI1661" s="87"/>
      <c r="AJ1661" s="87"/>
      <c r="AK1661" s="87"/>
      <c r="AL1661" s="87"/>
    </row>
    <row r="1662">
      <c r="A1662" s="77"/>
      <c r="B1662" s="102"/>
      <c r="C1662" s="102"/>
      <c r="D1662" s="102"/>
      <c r="E1662" s="102"/>
      <c r="F1662" s="102"/>
      <c r="G1662" s="102"/>
      <c r="H1662" s="295"/>
      <c r="I1662" s="102"/>
      <c r="J1662" s="77"/>
      <c r="K1662" s="77"/>
      <c r="L1662" s="77"/>
      <c r="M1662" s="77"/>
      <c r="N1662" s="77"/>
      <c r="O1662" s="77"/>
      <c r="P1662" s="268"/>
      <c r="Q1662" s="268"/>
      <c r="R1662" s="77"/>
      <c r="S1662" s="77"/>
      <c r="T1662" s="77"/>
      <c r="U1662" s="77"/>
      <c r="V1662" s="77"/>
      <c r="W1662" s="77"/>
      <c r="X1662" s="77"/>
      <c r="Y1662" s="77"/>
      <c r="Z1662" s="77"/>
      <c r="AA1662" s="77"/>
      <c r="AB1662" s="77"/>
      <c r="AC1662" s="77"/>
      <c r="AD1662" s="77"/>
      <c r="AE1662" s="77"/>
      <c r="AF1662" s="77"/>
      <c r="AG1662" s="77"/>
      <c r="AH1662" s="87"/>
      <c r="AI1662" s="87"/>
      <c r="AJ1662" s="87"/>
      <c r="AK1662" s="87"/>
      <c r="AL1662" s="87"/>
    </row>
    <row r="1663">
      <c r="A1663" s="77"/>
      <c r="B1663" s="102"/>
      <c r="C1663" s="102"/>
      <c r="D1663" s="102"/>
      <c r="E1663" s="102"/>
      <c r="F1663" s="102"/>
      <c r="G1663" s="102"/>
      <c r="H1663" s="295"/>
      <c r="I1663" s="102"/>
      <c r="J1663" s="77"/>
      <c r="K1663" s="77"/>
      <c r="L1663" s="77"/>
      <c r="M1663" s="77"/>
      <c r="N1663" s="77"/>
      <c r="O1663" s="77"/>
      <c r="P1663" s="268"/>
      <c r="Q1663" s="268"/>
      <c r="R1663" s="77"/>
      <c r="S1663" s="77"/>
      <c r="T1663" s="77"/>
      <c r="U1663" s="77"/>
      <c r="V1663" s="77"/>
      <c r="W1663" s="77"/>
      <c r="X1663" s="77"/>
      <c r="Y1663" s="77"/>
      <c r="Z1663" s="77"/>
      <c r="AA1663" s="77"/>
      <c r="AB1663" s="77"/>
      <c r="AC1663" s="77"/>
      <c r="AD1663" s="77"/>
      <c r="AE1663" s="77"/>
      <c r="AF1663" s="77"/>
      <c r="AG1663" s="77"/>
      <c r="AH1663" s="87"/>
      <c r="AI1663" s="87"/>
      <c r="AJ1663" s="87"/>
      <c r="AK1663" s="87"/>
      <c r="AL1663" s="87"/>
    </row>
    <row r="1664">
      <c r="A1664" s="77"/>
      <c r="B1664" s="102"/>
      <c r="C1664" s="102"/>
      <c r="D1664" s="102"/>
      <c r="E1664" s="102"/>
      <c r="F1664" s="102"/>
      <c r="G1664" s="102"/>
      <c r="H1664" s="295"/>
      <c r="I1664" s="102"/>
      <c r="J1664" s="77"/>
      <c r="K1664" s="77"/>
      <c r="L1664" s="77"/>
      <c r="M1664" s="77"/>
      <c r="N1664" s="77"/>
      <c r="O1664" s="77"/>
      <c r="P1664" s="268"/>
      <c r="Q1664" s="268"/>
      <c r="R1664" s="77"/>
      <c r="S1664" s="77"/>
      <c r="T1664" s="77"/>
      <c r="U1664" s="77"/>
      <c r="V1664" s="77"/>
      <c r="W1664" s="77"/>
      <c r="X1664" s="77"/>
      <c r="Y1664" s="77"/>
      <c r="Z1664" s="77"/>
      <c r="AA1664" s="77"/>
      <c r="AB1664" s="77"/>
      <c r="AC1664" s="77"/>
      <c r="AD1664" s="77"/>
      <c r="AE1664" s="77"/>
      <c r="AF1664" s="77"/>
      <c r="AG1664" s="77"/>
      <c r="AH1664" s="87"/>
      <c r="AI1664" s="87"/>
      <c r="AJ1664" s="87"/>
      <c r="AK1664" s="87"/>
      <c r="AL1664" s="87"/>
    </row>
    <row r="1665">
      <c r="A1665" s="77"/>
      <c r="B1665" s="102"/>
      <c r="C1665" s="102"/>
      <c r="D1665" s="102"/>
      <c r="E1665" s="102"/>
      <c r="F1665" s="102"/>
      <c r="G1665" s="102"/>
      <c r="H1665" s="295"/>
      <c r="I1665" s="102"/>
      <c r="J1665" s="77"/>
      <c r="K1665" s="77"/>
      <c r="L1665" s="77"/>
      <c r="M1665" s="77"/>
      <c r="N1665" s="77"/>
      <c r="O1665" s="77"/>
      <c r="P1665" s="268"/>
      <c r="Q1665" s="268"/>
      <c r="R1665" s="77"/>
      <c r="S1665" s="77"/>
      <c r="T1665" s="77"/>
      <c r="U1665" s="77"/>
      <c r="V1665" s="77"/>
      <c r="W1665" s="77"/>
      <c r="X1665" s="77"/>
      <c r="Y1665" s="77"/>
      <c r="Z1665" s="77"/>
      <c r="AA1665" s="77"/>
      <c r="AB1665" s="77"/>
      <c r="AC1665" s="77"/>
      <c r="AD1665" s="77"/>
      <c r="AE1665" s="77"/>
      <c r="AF1665" s="77"/>
      <c r="AG1665" s="77"/>
      <c r="AH1665" s="87"/>
      <c r="AI1665" s="87"/>
      <c r="AJ1665" s="87"/>
      <c r="AK1665" s="87"/>
      <c r="AL1665" s="87"/>
    </row>
    <row r="1666">
      <c r="A1666" s="77"/>
      <c r="B1666" s="102"/>
      <c r="C1666" s="102"/>
      <c r="D1666" s="102"/>
      <c r="E1666" s="102"/>
      <c r="F1666" s="102"/>
      <c r="G1666" s="102"/>
      <c r="H1666" s="295"/>
      <c r="I1666" s="102"/>
      <c r="J1666" s="77"/>
      <c r="K1666" s="77"/>
      <c r="L1666" s="77"/>
      <c r="M1666" s="77"/>
      <c r="N1666" s="77"/>
      <c r="O1666" s="77"/>
      <c r="P1666" s="268"/>
      <c r="Q1666" s="268"/>
      <c r="R1666" s="77"/>
      <c r="S1666" s="77"/>
      <c r="T1666" s="77"/>
      <c r="U1666" s="77"/>
      <c r="V1666" s="77"/>
      <c r="W1666" s="77"/>
      <c r="X1666" s="77"/>
      <c r="Y1666" s="77"/>
      <c r="Z1666" s="77"/>
      <c r="AA1666" s="77"/>
      <c r="AB1666" s="77"/>
      <c r="AC1666" s="77"/>
      <c r="AD1666" s="77"/>
      <c r="AE1666" s="77"/>
      <c r="AF1666" s="77"/>
      <c r="AG1666" s="77"/>
      <c r="AH1666" s="87"/>
      <c r="AI1666" s="87"/>
      <c r="AJ1666" s="87"/>
      <c r="AK1666" s="87"/>
      <c r="AL1666" s="87"/>
    </row>
    <row r="1667">
      <c r="A1667" s="77"/>
      <c r="B1667" s="102"/>
      <c r="C1667" s="102"/>
      <c r="D1667" s="102"/>
      <c r="E1667" s="102"/>
      <c r="F1667" s="102"/>
      <c r="G1667" s="102"/>
      <c r="H1667" s="295"/>
      <c r="I1667" s="102"/>
      <c r="J1667" s="77"/>
      <c r="K1667" s="77"/>
      <c r="L1667" s="77"/>
      <c r="M1667" s="77"/>
      <c r="N1667" s="77"/>
      <c r="O1667" s="77"/>
      <c r="P1667" s="268"/>
      <c r="Q1667" s="268"/>
      <c r="R1667" s="77"/>
      <c r="S1667" s="77"/>
      <c r="T1667" s="77"/>
      <c r="U1667" s="77"/>
      <c r="V1667" s="77"/>
      <c r="W1667" s="77"/>
      <c r="X1667" s="77"/>
      <c r="Y1667" s="77"/>
      <c r="Z1667" s="77"/>
      <c r="AA1667" s="77"/>
      <c r="AB1667" s="77"/>
      <c r="AC1667" s="77"/>
      <c r="AD1667" s="77"/>
      <c r="AE1667" s="77"/>
      <c r="AF1667" s="77"/>
      <c r="AG1667" s="77"/>
      <c r="AH1667" s="87"/>
      <c r="AI1667" s="87"/>
      <c r="AJ1667" s="87"/>
      <c r="AK1667" s="87"/>
      <c r="AL1667" s="87"/>
    </row>
    <row r="1668">
      <c r="A1668" s="77"/>
      <c r="B1668" s="102"/>
      <c r="C1668" s="102"/>
      <c r="D1668" s="102"/>
      <c r="E1668" s="102"/>
      <c r="F1668" s="102"/>
      <c r="G1668" s="102"/>
      <c r="H1668" s="295"/>
      <c r="I1668" s="102"/>
      <c r="J1668" s="77"/>
      <c r="K1668" s="77"/>
      <c r="L1668" s="77"/>
      <c r="M1668" s="77"/>
      <c r="N1668" s="77"/>
      <c r="O1668" s="77"/>
      <c r="P1668" s="268"/>
      <c r="Q1668" s="268"/>
      <c r="R1668" s="77"/>
      <c r="S1668" s="77"/>
      <c r="T1668" s="77"/>
      <c r="U1668" s="77"/>
      <c r="V1668" s="77"/>
      <c r="W1668" s="77"/>
      <c r="X1668" s="77"/>
      <c r="Y1668" s="77"/>
      <c r="Z1668" s="77"/>
      <c r="AA1668" s="77"/>
      <c r="AB1668" s="77"/>
      <c r="AC1668" s="77"/>
      <c r="AD1668" s="77"/>
      <c r="AE1668" s="77"/>
      <c r="AF1668" s="77"/>
      <c r="AG1668" s="77"/>
      <c r="AH1668" s="87"/>
      <c r="AI1668" s="87"/>
      <c r="AJ1668" s="87"/>
      <c r="AK1668" s="87"/>
      <c r="AL1668" s="87"/>
    </row>
    <row r="1669">
      <c r="A1669" s="77"/>
      <c r="B1669" s="102"/>
      <c r="C1669" s="102"/>
      <c r="D1669" s="102"/>
      <c r="E1669" s="102"/>
      <c r="F1669" s="102"/>
      <c r="G1669" s="102"/>
      <c r="H1669" s="295"/>
      <c r="I1669" s="102"/>
      <c r="J1669" s="77"/>
      <c r="K1669" s="77"/>
      <c r="L1669" s="77"/>
      <c r="M1669" s="77"/>
      <c r="N1669" s="77"/>
      <c r="O1669" s="77"/>
      <c r="P1669" s="268"/>
      <c r="Q1669" s="268"/>
      <c r="R1669" s="77"/>
      <c r="S1669" s="77"/>
      <c r="T1669" s="77"/>
      <c r="U1669" s="77"/>
      <c r="V1669" s="77"/>
      <c r="W1669" s="77"/>
      <c r="X1669" s="77"/>
      <c r="Y1669" s="77"/>
      <c r="Z1669" s="77"/>
      <c r="AA1669" s="77"/>
      <c r="AB1669" s="77"/>
      <c r="AC1669" s="77"/>
      <c r="AD1669" s="77"/>
      <c r="AE1669" s="77"/>
      <c r="AF1669" s="77"/>
      <c r="AG1669" s="77"/>
      <c r="AH1669" s="87"/>
      <c r="AI1669" s="87"/>
      <c r="AJ1669" s="87"/>
      <c r="AK1669" s="87"/>
      <c r="AL1669" s="87"/>
    </row>
    <row r="1670">
      <c r="A1670" s="77"/>
      <c r="B1670" s="102"/>
      <c r="C1670" s="102"/>
      <c r="D1670" s="102"/>
      <c r="E1670" s="102"/>
      <c r="F1670" s="102"/>
      <c r="G1670" s="102"/>
      <c r="H1670" s="295"/>
      <c r="I1670" s="102"/>
      <c r="J1670" s="77"/>
      <c r="K1670" s="77"/>
      <c r="L1670" s="77"/>
      <c r="M1670" s="77"/>
      <c r="N1670" s="77"/>
      <c r="O1670" s="77"/>
      <c r="P1670" s="268"/>
      <c r="Q1670" s="268"/>
      <c r="R1670" s="77"/>
      <c r="S1670" s="77"/>
      <c r="T1670" s="77"/>
      <c r="U1670" s="77"/>
      <c r="V1670" s="77"/>
      <c r="W1670" s="77"/>
      <c r="X1670" s="77"/>
      <c r="Y1670" s="77"/>
      <c r="Z1670" s="77"/>
      <c r="AA1670" s="77"/>
      <c r="AB1670" s="77"/>
      <c r="AC1670" s="77"/>
      <c r="AD1670" s="77"/>
      <c r="AE1670" s="77"/>
      <c r="AF1670" s="77"/>
      <c r="AG1670" s="77"/>
      <c r="AH1670" s="87"/>
      <c r="AI1670" s="87"/>
      <c r="AJ1670" s="87"/>
      <c r="AK1670" s="87"/>
      <c r="AL1670" s="87"/>
    </row>
    <row r="1671">
      <c r="A1671" s="77"/>
      <c r="B1671" s="102"/>
      <c r="C1671" s="102"/>
      <c r="D1671" s="102"/>
      <c r="E1671" s="102"/>
      <c r="F1671" s="102"/>
      <c r="G1671" s="102"/>
      <c r="H1671" s="295"/>
      <c r="I1671" s="102"/>
      <c r="J1671" s="77"/>
      <c r="K1671" s="77"/>
      <c r="L1671" s="77"/>
      <c r="M1671" s="77"/>
      <c r="N1671" s="77"/>
      <c r="O1671" s="77"/>
      <c r="P1671" s="268"/>
      <c r="Q1671" s="268"/>
      <c r="R1671" s="77"/>
      <c r="S1671" s="77"/>
      <c r="T1671" s="77"/>
      <c r="U1671" s="77"/>
      <c r="V1671" s="77"/>
      <c r="W1671" s="77"/>
      <c r="X1671" s="77"/>
      <c r="Y1671" s="77"/>
      <c r="Z1671" s="77"/>
      <c r="AA1671" s="77"/>
      <c r="AB1671" s="77"/>
      <c r="AC1671" s="77"/>
      <c r="AD1671" s="77"/>
      <c r="AE1671" s="77"/>
      <c r="AF1671" s="77"/>
      <c r="AG1671" s="77"/>
      <c r="AH1671" s="87"/>
      <c r="AI1671" s="87"/>
      <c r="AJ1671" s="87"/>
      <c r="AK1671" s="87"/>
      <c r="AL1671" s="87"/>
    </row>
    <row r="1672">
      <c r="A1672" s="77"/>
      <c r="B1672" s="102"/>
      <c r="C1672" s="102"/>
      <c r="D1672" s="102"/>
      <c r="E1672" s="102"/>
      <c r="F1672" s="102"/>
      <c r="G1672" s="102"/>
      <c r="H1672" s="295"/>
      <c r="I1672" s="102"/>
      <c r="J1672" s="77"/>
      <c r="K1672" s="77"/>
      <c r="L1672" s="77"/>
      <c r="M1672" s="77"/>
      <c r="N1672" s="77"/>
      <c r="O1672" s="77"/>
      <c r="P1672" s="268"/>
      <c r="Q1672" s="268"/>
      <c r="R1672" s="77"/>
      <c r="S1672" s="77"/>
      <c r="T1672" s="77"/>
      <c r="U1672" s="77"/>
      <c r="V1672" s="77"/>
      <c r="W1672" s="77"/>
      <c r="X1672" s="77"/>
      <c r="Y1672" s="77"/>
      <c r="Z1672" s="77"/>
      <c r="AA1672" s="77"/>
      <c r="AB1672" s="77"/>
      <c r="AC1672" s="77"/>
      <c r="AD1672" s="77"/>
      <c r="AE1672" s="77"/>
      <c r="AF1672" s="77"/>
      <c r="AG1672" s="77"/>
      <c r="AH1672" s="87"/>
      <c r="AI1672" s="87"/>
      <c r="AJ1672" s="87"/>
      <c r="AK1672" s="87"/>
      <c r="AL1672" s="87"/>
    </row>
    <row r="1673">
      <c r="A1673" s="77"/>
      <c r="B1673" s="102"/>
      <c r="C1673" s="102"/>
      <c r="D1673" s="102"/>
      <c r="E1673" s="102"/>
      <c r="F1673" s="102"/>
      <c r="G1673" s="102"/>
      <c r="H1673" s="295"/>
      <c r="I1673" s="102"/>
      <c r="J1673" s="77"/>
      <c r="K1673" s="77"/>
      <c r="L1673" s="77"/>
      <c r="M1673" s="77"/>
      <c r="N1673" s="77"/>
      <c r="O1673" s="77"/>
      <c r="P1673" s="268"/>
      <c r="Q1673" s="268"/>
      <c r="R1673" s="77"/>
      <c r="S1673" s="77"/>
      <c r="T1673" s="77"/>
      <c r="U1673" s="77"/>
      <c r="V1673" s="77"/>
      <c r="W1673" s="77"/>
      <c r="X1673" s="77"/>
      <c r="Y1673" s="77"/>
      <c r="Z1673" s="77"/>
      <c r="AA1673" s="77"/>
      <c r="AB1673" s="77"/>
      <c r="AC1673" s="77"/>
      <c r="AD1673" s="77"/>
      <c r="AE1673" s="77"/>
      <c r="AF1673" s="77"/>
      <c r="AG1673" s="77"/>
      <c r="AH1673" s="87"/>
      <c r="AI1673" s="87"/>
      <c r="AJ1673" s="87"/>
      <c r="AK1673" s="87"/>
      <c r="AL1673" s="87"/>
    </row>
    <row r="1674">
      <c r="A1674" s="77"/>
      <c r="B1674" s="102"/>
      <c r="C1674" s="102"/>
      <c r="D1674" s="102"/>
      <c r="E1674" s="102"/>
      <c r="F1674" s="102"/>
      <c r="G1674" s="102"/>
      <c r="H1674" s="295"/>
      <c r="I1674" s="102"/>
      <c r="J1674" s="77"/>
      <c r="K1674" s="77"/>
      <c r="L1674" s="77"/>
      <c r="M1674" s="77"/>
      <c r="N1674" s="77"/>
      <c r="O1674" s="77"/>
      <c r="P1674" s="268"/>
      <c r="Q1674" s="268"/>
      <c r="R1674" s="77"/>
      <c r="S1674" s="77"/>
      <c r="T1674" s="77"/>
      <c r="U1674" s="77"/>
      <c r="V1674" s="77"/>
      <c r="W1674" s="77"/>
      <c r="X1674" s="77"/>
      <c r="Y1674" s="77"/>
      <c r="Z1674" s="77"/>
      <c r="AA1674" s="77"/>
      <c r="AB1674" s="77"/>
      <c r="AC1674" s="77"/>
      <c r="AD1674" s="77"/>
      <c r="AE1674" s="77"/>
      <c r="AF1674" s="77"/>
      <c r="AG1674" s="77"/>
      <c r="AH1674" s="87"/>
      <c r="AI1674" s="87"/>
      <c r="AJ1674" s="87"/>
      <c r="AK1674" s="87"/>
      <c r="AL1674" s="87"/>
    </row>
    <row r="1675">
      <c r="A1675" s="77"/>
      <c r="B1675" s="102"/>
      <c r="C1675" s="102"/>
      <c r="D1675" s="102"/>
      <c r="E1675" s="102"/>
      <c r="F1675" s="102"/>
      <c r="G1675" s="102"/>
      <c r="H1675" s="295"/>
      <c r="I1675" s="102"/>
      <c r="J1675" s="77"/>
      <c r="K1675" s="77"/>
      <c r="L1675" s="77"/>
      <c r="M1675" s="77"/>
      <c r="N1675" s="77"/>
      <c r="O1675" s="77"/>
      <c r="P1675" s="268"/>
      <c r="Q1675" s="268"/>
      <c r="R1675" s="77"/>
      <c r="S1675" s="77"/>
      <c r="T1675" s="77"/>
      <c r="U1675" s="77"/>
      <c r="V1675" s="77"/>
      <c r="W1675" s="77"/>
      <c r="X1675" s="77"/>
      <c r="Y1675" s="77"/>
      <c r="Z1675" s="77"/>
      <c r="AA1675" s="77"/>
      <c r="AB1675" s="77"/>
      <c r="AC1675" s="77"/>
      <c r="AD1675" s="77"/>
      <c r="AE1675" s="77"/>
      <c r="AF1675" s="77"/>
      <c r="AG1675" s="77"/>
      <c r="AH1675" s="87"/>
      <c r="AI1675" s="87"/>
      <c r="AJ1675" s="87"/>
      <c r="AK1675" s="87"/>
      <c r="AL1675" s="87"/>
    </row>
    <row r="1676">
      <c r="A1676" s="77"/>
      <c r="B1676" s="102"/>
      <c r="C1676" s="102"/>
      <c r="D1676" s="102"/>
      <c r="E1676" s="102"/>
      <c r="F1676" s="102"/>
      <c r="G1676" s="102"/>
      <c r="H1676" s="295"/>
      <c r="I1676" s="102"/>
      <c r="J1676" s="77"/>
      <c r="K1676" s="77"/>
      <c r="L1676" s="77"/>
      <c r="M1676" s="77"/>
      <c r="N1676" s="77"/>
      <c r="O1676" s="77"/>
      <c r="P1676" s="268"/>
      <c r="Q1676" s="268"/>
      <c r="R1676" s="77"/>
      <c r="S1676" s="77"/>
      <c r="T1676" s="77"/>
      <c r="U1676" s="77"/>
      <c r="V1676" s="77"/>
      <c r="W1676" s="77"/>
      <c r="X1676" s="77"/>
      <c r="Y1676" s="77"/>
      <c r="Z1676" s="77"/>
      <c r="AA1676" s="77"/>
      <c r="AB1676" s="77"/>
      <c r="AC1676" s="77"/>
      <c r="AD1676" s="77"/>
      <c r="AE1676" s="77"/>
      <c r="AF1676" s="77"/>
      <c r="AG1676" s="77"/>
      <c r="AH1676" s="87"/>
      <c r="AI1676" s="87"/>
      <c r="AJ1676" s="87"/>
      <c r="AK1676" s="87"/>
      <c r="AL1676" s="87"/>
    </row>
    <row r="1677">
      <c r="A1677" s="77"/>
      <c r="B1677" s="102"/>
      <c r="C1677" s="102"/>
      <c r="D1677" s="102"/>
      <c r="E1677" s="102"/>
      <c r="F1677" s="102"/>
      <c r="G1677" s="102"/>
      <c r="H1677" s="295"/>
      <c r="I1677" s="102"/>
      <c r="J1677" s="77"/>
      <c r="K1677" s="77"/>
      <c r="L1677" s="77"/>
      <c r="M1677" s="77"/>
      <c r="N1677" s="77"/>
      <c r="O1677" s="77"/>
      <c r="P1677" s="268"/>
      <c r="Q1677" s="268"/>
      <c r="R1677" s="77"/>
      <c r="S1677" s="77"/>
      <c r="T1677" s="77"/>
      <c r="U1677" s="77"/>
      <c r="V1677" s="77"/>
      <c r="W1677" s="77"/>
      <c r="X1677" s="77"/>
      <c r="Y1677" s="77"/>
      <c r="Z1677" s="77"/>
      <c r="AA1677" s="77"/>
      <c r="AB1677" s="77"/>
      <c r="AC1677" s="77"/>
      <c r="AD1677" s="77"/>
      <c r="AE1677" s="77"/>
      <c r="AF1677" s="77"/>
      <c r="AG1677" s="77"/>
      <c r="AH1677" s="87"/>
      <c r="AI1677" s="87"/>
      <c r="AJ1677" s="87"/>
      <c r="AK1677" s="87"/>
      <c r="AL1677" s="87"/>
    </row>
    <row r="1678">
      <c r="A1678" s="77"/>
      <c r="B1678" s="102"/>
      <c r="C1678" s="102"/>
      <c r="D1678" s="102"/>
      <c r="E1678" s="102"/>
      <c r="F1678" s="102"/>
      <c r="G1678" s="102"/>
      <c r="H1678" s="295"/>
      <c r="I1678" s="102"/>
      <c r="J1678" s="77"/>
      <c r="K1678" s="77"/>
      <c r="L1678" s="77"/>
      <c r="M1678" s="77"/>
      <c r="N1678" s="77"/>
      <c r="O1678" s="77"/>
      <c r="P1678" s="268"/>
      <c r="Q1678" s="268"/>
      <c r="R1678" s="77"/>
      <c r="S1678" s="77"/>
      <c r="T1678" s="77"/>
      <c r="U1678" s="77"/>
      <c r="V1678" s="77"/>
      <c r="W1678" s="77"/>
      <c r="X1678" s="77"/>
      <c r="Y1678" s="77"/>
      <c r="Z1678" s="77"/>
      <c r="AA1678" s="77"/>
      <c r="AB1678" s="77"/>
      <c r="AC1678" s="77"/>
      <c r="AD1678" s="77"/>
      <c r="AE1678" s="77"/>
      <c r="AF1678" s="77"/>
      <c r="AG1678" s="77"/>
      <c r="AH1678" s="87"/>
      <c r="AI1678" s="87"/>
      <c r="AJ1678" s="87"/>
      <c r="AK1678" s="87"/>
      <c r="AL1678" s="87"/>
    </row>
    <row r="1679">
      <c r="A1679" s="77"/>
      <c r="B1679" s="102"/>
      <c r="C1679" s="102"/>
      <c r="D1679" s="102"/>
      <c r="E1679" s="102"/>
      <c r="F1679" s="102"/>
      <c r="G1679" s="102"/>
      <c r="H1679" s="295"/>
      <c r="I1679" s="102"/>
      <c r="J1679" s="77"/>
      <c r="K1679" s="77"/>
      <c r="L1679" s="77"/>
      <c r="M1679" s="77"/>
      <c r="N1679" s="77"/>
      <c r="O1679" s="77"/>
      <c r="P1679" s="268"/>
      <c r="Q1679" s="268"/>
      <c r="R1679" s="77"/>
      <c r="S1679" s="77"/>
      <c r="T1679" s="77"/>
      <c r="U1679" s="77"/>
      <c r="V1679" s="77"/>
      <c r="W1679" s="77"/>
      <c r="X1679" s="77"/>
      <c r="Y1679" s="77"/>
      <c r="Z1679" s="77"/>
      <c r="AA1679" s="77"/>
      <c r="AB1679" s="77"/>
      <c r="AC1679" s="77"/>
      <c r="AD1679" s="77"/>
      <c r="AE1679" s="77"/>
      <c r="AF1679" s="77"/>
      <c r="AG1679" s="77"/>
      <c r="AH1679" s="87"/>
      <c r="AI1679" s="87"/>
      <c r="AJ1679" s="87"/>
      <c r="AK1679" s="87"/>
      <c r="AL1679" s="87"/>
    </row>
    <row r="1680">
      <c r="A1680" s="77"/>
      <c r="B1680" s="102"/>
      <c r="C1680" s="102"/>
      <c r="D1680" s="102"/>
      <c r="E1680" s="102"/>
      <c r="F1680" s="102"/>
      <c r="G1680" s="102"/>
      <c r="H1680" s="295"/>
      <c r="I1680" s="102"/>
      <c r="J1680" s="77"/>
      <c r="K1680" s="77"/>
      <c r="L1680" s="77"/>
      <c r="M1680" s="77"/>
      <c r="N1680" s="77"/>
      <c r="O1680" s="77"/>
      <c r="P1680" s="268"/>
      <c r="Q1680" s="268"/>
      <c r="R1680" s="77"/>
      <c r="S1680" s="77"/>
      <c r="T1680" s="77"/>
      <c r="U1680" s="77"/>
      <c r="V1680" s="77"/>
      <c r="W1680" s="77"/>
      <c r="X1680" s="77"/>
      <c r="Y1680" s="77"/>
      <c r="Z1680" s="77"/>
      <c r="AA1680" s="77"/>
      <c r="AB1680" s="77"/>
      <c r="AC1680" s="77"/>
      <c r="AD1680" s="77"/>
      <c r="AE1680" s="77"/>
      <c r="AF1680" s="77"/>
      <c r="AG1680" s="77"/>
      <c r="AH1680" s="87"/>
      <c r="AI1680" s="87"/>
      <c r="AJ1680" s="87"/>
      <c r="AK1680" s="87"/>
      <c r="AL1680" s="87"/>
    </row>
    <row r="1681">
      <c r="A1681" s="77"/>
      <c r="B1681" s="102"/>
      <c r="C1681" s="102"/>
      <c r="D1681" s="102"/>
      <c r="E1681" s="102"/>
      <c r="F1681" s="102"/>
      <c r="G1681" s="102"/>
      <c r="H1681" s="295"/>
      <c r="I1681" s="102"/>
      <c r="J1681" s="77"/>
      <c r="K1681" s="77"/>
      <c r="L1681" s="77"/>
      <c r="M1681" s="77"/>
      <c r="N1681" s="77"/>
      <c r="O1681" s="77"/>
      <c r="P1681" s="268"/>
      <c r="Q1681" s="268"/>
      <c r="R1681" s="77"/>
      <c r="S1681" s="77"/>
      <c r="T1681" s="77"/>
      <c r="U1681" s="77"/>
      <c r="V1681" s="77"/>
      <c r="W1681" s="77"/>
      <c r="X1681" s="77"/>
      <c r="Y1681" s="77"/>
      <c r="Z1681" s="77"/>
      <c r="AA1681" s="77"/>
      <c r="AB1681" s="77"/>
      <c r="AC1681" s="77"/>
      <c r="AD1681" s="77"/>
      <c r="AE1681" s="77"/>
      <c r="AF1681" s="77"/>
      <c r="AG1681" s="77"/>
      <c r="AH1681" s="87"/>
      <c r="AI1681" s="87"/>
      <c r="AJ1681" s="87"/>
      <c r="AK1681" s="87"/>
      <c r="AL1681" s="87"/>
    </row>
    <row r="1682">
      <c r="A1682" s="77"/>
      <c r="B1682" s="102"/>
      <c r="C1682" s="102"/>
      <c r="D1682" s="102"/>
      <c r="E1682" s="102"/>
      <c r="F1682" s="102"/>
      <c r="G1682" s="102"/>
      <c r="H1682" s="295"/>
      <c r="I1682" s="102"/>
      <c r="J1682" s="77"/>
      <c r="K1682" s="77"/>
      <c r="L1682" s="77"/>
      <c r="M1682" s="77"/>
      <c r="N1682" s="77"/>
      <c r="O1682" s="77"/>
      <c r="P1682" s="268"/>
      <c r="Q1682" s="268"/>
      <c r="R1682" s="77"/>
      <c r="S1682" s="77"/>
      <c r="T1682" s="77"/>
      <c r="U1682" s="77"/>
      <c r="V1682" s="77"/>
      <c r="W1682" s="77"/>
      <c r="X1682" s="77"/>
      <c r="Y1682" s="77"/>
      <c r="Z1682" s="77"/>
      <c r="AA1682" s="77"/>
      <c r="AB1682" s="77"/>
      <c r="AC1682" s="77"/>
      <c r="AD1682" s="77"/>
      <c r="AE1682" s="77"/>
      <c r="AF1682" s="77"/>
      <c r="AG1682" s="77"/>
      <c r="AH1682" s="87"/>
      <c r="AI1682" s="87"/>
      <c r="AJ1682" s="87"/>
      <c r="AK1682" s="87"/>
      <c r="AL1682" s="87"/>
    </row>
    <row r="1683">
      <c r="A1683" s="77"/>
      <c r="B1683" s="102"/>
      <c r="C1683" s="102"/>
      <c r="D1683" s="102"/>
      <c r="E1683" s="102"/>
      <c r="F1683" s="102"/>
      <c r="G1683" s="102"/>
      <c r="H1683" s="295"/>
      <c r="I1683" s="102"/>
      <c r="J1683" s="77"/>
      <c r="K1683" s="77"/>
      <c r="L1683" s="77"/>
      <c r="M1683" s="77"/>
      <c r="N1683" s="77"/>
      <c r="O1683" s="77"/>
      <c r="P1683" s="268"/>
      <c r="Q1683" s="268"/>
      <c r="R1683" s="77"/>
      <c r="S1683" s="77"/>
      <c r="T1683" s="77"/>
      <c r="U1683" s="77"/>
      <c r="V1683" s="77"/>
      <c r="W1683" s="77"/>
      <c r="X1683" s="77"/>
      <c r="Y1683" s="77"/>
      <c r="Z1683" s="77"/>
      <c r="AA1683" s="77"/>
      <c r="AB1683" s="77"/>
      <c r="AC1683" s="77"/>
      <c r="AD1683" s="77"/>
      <c r="AE1683" s="77"/>
      <c r="AF1683" s="77"/>
      <c r="AG1683" s="77"/>
      <c r="AH1683" s="87"/>
      <c r="AI1683" s="87"/>
      <c r="AJ1683" s="87"/>
      <c r="AK1683" s="87"/>
      <c r="AL1683" s="87"/>
    </row>
    <row r="1684">
      <c r="A1684" s="77"/>
      <c r="B1684" s="102"/>
      <c r="C1684" s="102"/>
      <c r="D1684" s="102"/>
      <c r="E1684" s="102"/>
      <c r="F1684" s="102"/>
      <c r="G1684" s="102"/>
      <c r="H1684" s="295"/>
      <c r="I1684" s="102"/>
      <c r="J1684" s="77"/>
      <c r="K1684" s="77"/>
      <c r="L1684" s="77"/>
      <c r="M1684" s="77"/>
      <c r="N1684" s="77"/>
      <c r="O1684" s="77"/>
      <c r="P1684" s="268"/>
      <c r="Q1684" s="268"/>
      <c r="R1684" s="77"/>
      <c r="S1684" s="77"/>
      <c r="T1684" s="77"/>
      <c r="U1684" s="77"/>
      <c r="V1684" s="77"/>
      <c r="W1684" s="77"/>
      <c r="X1684" s="77"/>
      <c r="Y1684" s="77"/>
      <c r="Z1684" s="77"/>
      <c r="AA1684" s="77"/>
      <c r="AB1684" s="77"/>
      <c r="AC1684" s="77"/>
      <c r="AD1684" s="77"/>
      <c r="AE1684" s="77"/>
      <c r="AF1684" s="77"/>
      <c r="AG1684" s="77"/>
      <c r="AH1684" s="87"/>
      <c r="AI1684" s="87"/>
      <c r="AJ1684" s="87"/>
      <c r="AK1684" s="87"/>
      <c r="AL1684" s="87"/>
    </row>
    <row r="1685">
      <c r="A1685" s="77"/>
      <c r="B1685" s="102"/>
      <c r="C1685" s="102"/>
      <c r="D1685" s="102"/>
      <c r="E1685" s="102"/>
      <c r="F1685" s="102"/>
      <c r="G1685" s="102"/>
      <c r="H1685" s="295"/>
      <c r="I1685" s="102"/>
      <c r="J1685" s="77"/>
      <c r="K1685" s="77"/>
      <c r="L1685" s="77"/>
      <c r="M1685" s="77"/>
      <c r="N1685" s="77"/>
      <c r="O1685" s="77"/>
      <c r="P1685" s="268"/>
      <c r="Q1685" s="268"/>
      <c r="R1685" s="77"/>
      <c r="S1685" s="77"/>
      <c r="T1685" s="77"/>
      <c r="U1685" s="77"/>
      <c r="V1685" s="77"/>
      <c r="W1685" s="77"/>
      <c r="X1685" s="77"/>
      <c r="Y1685" s="77"/>
      <c r="Z1685" s="77"/>
      <c r="AA1685" s="77"/>
      <c r="AB1685" s="77"/>
      <c r="AC1685" s="77"/>
      <c r="AD1685" s="77"/>
      <c r="AE1685" s="77"/>
      <c r="AF1685" s="77"/>
      <c r="AG1685" s="77"/>
      <c r="AH1685" s="87"/>
      <c r="AI1685" s="87"/>
      <c r="AJ1685" s="87"/>
      <c r="AK1685" s="87"/>
      <c r="AL1685" s="87"/>
    </row>
    <row r="1686">
      <c r="A1686" s="77"/>
      <c r="B1686" s="102"/>
      <c r="C1686" s="102"/>
      <c r="D1686" s="102"/>
      <c r="E1686" s="102"/>
      <c r="F1686" s="102"/>
      <c r="G1686" s="102"/>
      <c r="H1686" s="295"/>
      <c r="I1686" s="102"/>
      <c r="J1686" s="77"/>
      <c r="K1686" s="77"/>
      <c r="L1686" s="77"/>
      <c r="M1686" s="77"/>
      <c r="N1686" s="77"/>
      <c r="O1686" s="77"/>
      <c r="P1686" s="268"/>
      <c r="Q1686" s="268"/>
      <c r="R1686" s="77"/>
      <c r="S1686" s="77"/>
      <c r="T1686" s="77"/>
      <c r="U1686" s="77"/>
      <c r="V1686" s="77"/>
      <c r="W1686" s="77"/>
      <c r="X1686" s="77"/>
      <c r="Y1686" s="77"/>
      <c r="Z1686" s="77"/>
      <c r="AA1686" s="77"/>
      <c r="AB1686" s="77"/>
      <c r="AC1686" s="77"/>
      <c r="AD1686" s="77"/>
      <c r="AE1686" s="77"/>
      <c r="AF1686" s="77"/>
      <c r="AG1686" s="77"/>
      <c r="AH1686" s="87"/>
      <c r="AI1686" s="87"/>
      <c r="AJ1686" s="87"/>
      <c r="AK1686" s="87"/>
      <c r="AL1686" s="87"/>
    </row>
    <row r="1687">
      <c r="A1687" s="77"/>
      <c r="B1687" s="102"/>
      <c r="C1687" s="102"/>
      <c r="D1687" s="102"/>
      <c r="E1687" s="102"/>
      <c r="F1687" s="102"/>
      <c r="G1687" s="102"/>
      <c r="H1687" s="295"/>
      <c r="I1687" s="102"/>
      <c r="J1687" s="77"/>
      <c r="K1687" s="77"/>
      <c r="L1687" s="77"/>
      <c r="M1687" s="77"/>
      <c r="N1687" s="77"/>
      <c r="O1687" s="77"/>
      <c r="P1687" s="268"/>
      <c r="Q1687" s="268"/>
      <c r="R1687" s="77"/>
      <c r="S1687" s="77"/>
      <c r="T1687" s="77"/>
      <c r="U1687" s="77"/>
      <c r="V1687" s="77"/>
      <c r="W1687" s="77"/>
      <c r="X1687" s="77"/>
      <c r="Y1687" s="77"/>
      <c r="Z1687" s="77"/>
      <c r="AA1687" s="77"/>
      <c r="AB1687" s="77"/>
      <c r="AC1687" s="77"/>
      <c r="AD1687" s="77"/>
      <c r="AE1687" s="77"/>
      <c r="AF1687" s="77"/>
      <c r="AG1687" s="77"/>
      <c r="AH1687" s="87"/>
      <c r="AI1687" s="87"/>
      <c r="AJ1687" s="87"/>
      <c r="AK1687" s="87"/>
      <c r="AL1687" s="87"/>
    </row>
    <row r="1688">
      <c r="A1688" s="77"/>
      <c r="B1688" s="102"/>
      <c r="C1688" s="102"/>
      <c r="D1688" s="102"/>
      <c r="E1688" s="102"/>
      <c r="F1688" s="102"/>
      <c r="G1688" s="102"/>
      <c r="H1688" s="295"/>
      <c r="I1688" s="102"/>
      <c r="J1688" s="77"/>
      <c r="K1688" s="77"/>
      <c r="L1688" s="77"/>
      <c r="M1688" s="77"/>
      <c r="N1688" s="77"/>
      <c r="O1688" s="77"/>
      <c r="P1688" s="268"/>
      <c r="Q1688" s="268"/>
      <c r="R1688" s="77"/>
      <c r="S1688" s="77"/>
      <c r="T1688" s="77"/>
      <c r="U1688" s="77"/>
      <c r="V1688" s="77"/>
      <c r="W1688" s="77"/>
      <c r="X1688" s="77"/>
      <c r="Y1688" s="77"/>
      <c r="Z1688" s="77"/>
      <c r="AA1688" s="77"/>
      <c r="AB1688" s="77"/>
      <c r="AC1688" s="77"/>
      <c r="AD1688" s="77"/>
      <c r="AE1688" s="77"/>
      <c r="AF1688" s="77"/>
      <c r="AG1688" s="77"/>
      <c r="AH1688" s="87"/>
      <c r="AI1688" s="87"/>
      <c r="AJ1688" s="87"/>
      <c r="AK1688" s="87"/>
      <c r="AL1688" s="87"/>
    </row>
    <row r="1689">
      <c r="A1689" s="77"/>
      <c r="B1689" s="102"/>
      <c r="C1689" s="102"/>
      <c r="D1689" s="102"/>
      <c r="E1689" s="102"/>
      <c r="F1689" s="102"/>
      <c r="G1689" s="102"/>
      <c r="H1689" s="295"/>
      <c r="I1689" s="102"/>
      <c r="J1689" s="77"/>
      <c r="K1689" s="77"/>
      <c r="L1689" s="77"/>
      <c r="M1689" s="77"/>
      <c r="N1689" s="77"/>
      <c r="O1689" s="77"/>
      <c r="P1689" s="268"/>
      <c r="Q1689" s="268"/>
      <c r="R1689" s="77"/>
      <c r="S1689" s="77"/>
      <c r="T1689" s="77"/>
      <c r="U1689" s="77"/>
      <c r="V1689" s="77"/>
      <c r="W1689" s="77"/>
      <c r="X1689" s="77"/>
      <c r="Y1689" s="77"/>
      <c r="Z1689" s="77"/>
      <c r="AA1689" s="77"/>
      <c r="AB1689" s="77"/>
      <c r="AC1689" s="77"/>
      <c r="AD1689" s="77"/>
      <c r="AE1689" s="77"/>
      <c r="AF1689" s="77"/>
      <c r="AG1689" s="77"/>
      <c r="AH1689" s="87"/>
      <c r="AI1689" s="87"/>
      <c r="AJ1689" s="87"/>
      <c r="AK1689" s="87"/>
      <c r="AL1689" s="87"/>
    </row>
    <row r="1690">
      <c r="A1690" s="77"/>
      <c r="B1690" s="102"/>
      <c r="C1690" s="102"/>
      <c r="D1690" s="102"/>
      <c r="E1690" s="102"/>
      <c r="F1690" s="102"/>
      <c r="G1690" s="102"/>
      <c r="H1690" s="295"/>
      <c r="I1690" s="102"/>
      <c r="J1690" s="77"/>
      <c r="K1690" s="77"/>
      <c r="L1690" s="77"/>
      <c r="M1690" s="77"/>
      <c r="N1690" s="77"/>
      <c r="O1690" s="77"/>
      <c r="P1690" s="268"/>
      <c r="Q1690" s="268"/>
      <c r="R1690" s="77"/>
      <c r="S1690" s="77"/>
      <c r="T1690" s="77"/>
      <c r="U1690" s="77"/>
      <c r="V1690" s="77"/>
      <c r="W1690" s="77"/>
      <c r="X1690" s="77"/>
      <c r="Y1690" s="77"/>
      <c r="Z1690" s="77"/>
      <c r="AA1690" s="77"/>
      <c r="AB1690" s="77"/>
      <c r="AC1690" s="77"/>
      <c r="AD1690" s="77"/>
      <c r="AE1690" s="77"/>
      <c r="AF1690" s="77"/>
      <c r="AG1690" s="77"/>
      <c r="AH1690" s="87"/>
      <c r="AI1690" s="87"/>
      <c r="AJ1690" s="87"/>
      <c r="AK1690" s="87"/>
      <c r="AL1690" s="87"/>
    </row>
    <row r="1691">
      <c r="A1691" s="77"/>
      <c r="B1691" s="102"/>
      <c r="C1691" s="102"/>
      <c r="D1691" s="102"/>
      <c r="E1691" s="102"/>
      <c r="F1691" s="102"/>
      <c r="G1691" s="102"/>
      <c r="H1691" s="295"/>
      <c r="I1691" s="102"/>
      <c r="J1691" s="77"/>
      <c r="K1691" s="77"/>
      <c r="L1691" s="77"/>
      <c r="M1691" s="77"/>
      <c r="N1691" s="77"/>
      <c r="O1691" s="77"/>
      <c r="P1691" s="268"/>
      <c r="Q1691" s="268"/>
      <c r="R1691" s="77"/>
      <c r="S1691" s="77"/>
      <c r="T1691" s="77"/>
      <c r="U1691" s="77"/>
      <c r="V1691" s="77"/>
      <c r="W1691" s="77"/>
      <c r="X1691" s="77"/>
      <c r="Y1691" s="77"/>
      <c r="Z1691" s="77"/>
      <c r="AA1691" s="77"/>
      <c r="AB1691" s="77"/>
      <c r="AC1691" s="77"/>
      <c r="AD1691" s="77"/>
      <c r="AE1691" s="77"/>
      <c r="AF1691" s="77"/>
      <c r="AG1691" s="77"/>
      <c r="AH1691" s="87"/>
      <c r="AI1691" s="87"/>
      <c r="AJ1691" s="87"/>
      <c r="AK1691" s="87"/>
      <c r="AL1691" s="87"/>
    </row>
    <row r="1692">
      <c r="A1692" s="77"/>
      <c r="B1692" s="102"/>
      <c r="C1692" s="102"/>
      <c r="D1692" s="102"/>
      <c r="E1692" s="102"/>
      <c r="F1692" s="102"/>
      <c r="G1692" s="102"/>
      <c r="H1692" s="295"/>
      <c r="I1692" s="102"/>
      <c r="J1692" s="77"/>
      <c r="K1692" s="77"/>
      <c r="L1692" s="77"/>
      <c r="M1692" s="77"/>
      <c r="N1692" s="77"/>
      <c r="O1692" s="77"/>
      <c r="P1692" s="268"/>
      <c r="Q1692" s="268"/>
      <c r="R1692" s="77"/>
      <c r="S1692" s="77"/>
      <c r="T1692" s="77"/>
      <c r="U1692" s="77"/>
      <c r="V1692" s="77"/>
      <c r="W1692" s="77"/>
      <c r="X1692" s="77"/>
      <c r="Y1692" s="77"/>
      <c r="Z1692" s="77"/>
      <c r="AA1692" s="77"/>
      <c r="AB1692" s="77"/>
      <c r="AC1692" s="77"/>
      <c r="AD1692" s="77"/>
      <c r="AE1692" s="77"/>
      <c r="AF1692" s="77"/>
      <c r="AG1692" s="77"/>
      <c r="AH1692" s="87"/>
      <c r="AI1692" s="87"/>
      <c r="AJ1692" s="87"/>
      <c r="AK1692" s="87"/>
      <c r="AL1692" s="87"/>
    </row>
  </sheetData>
  <mergeCells count="1">
    <mergeCell ref="AB866:AB868"/>
  </mergeCells>
  <hyperlinks>
    <hyperlink r:id="rId1" location="gid=1985852842" ref="AK3"/>
    <hyperlink r:id="rId2" location="gid=1985852842" ref="AK734"/>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36.25"/>
    <col customWidth="1" min="3" max="3" width="17.25"/>
  </cols>
  <sheetData>
    <row r="1">
      <c r="A1" s="327" t="s">
        <v>6628</v>
      </c>
      <c r="B1" s="327" t="s">
        <v>6629</v>
      </c>
      <c r="C1" s="327" t="s">
        <v>6630</v>
      </c>
    </row>
    <row r="2">
      <c r="A2" s="62" t="s">
        <v>6631</v>
      </c>
      <c r="B2" s="328" t="s">
        <v>6632</v>
      </c>
      <c r="C2" s="329"/>
      <c r="D2" s="329"/>
      <c r="E2" s="329"/>
      <c r="F2" s="329"/>
    </row>
    <row r="3">
      <c r="B3" s="330" t="s">
        <v>6633</v>
      </c>
      <c r="C3" s="330" t="s">
        <v>47</v>
      </c>
      <c r="D3" s="330" t="s">
        <v>6634</v>
      </c>
      <c r="E3" s="330" t="s">
        <v>6635</v>
      </c>
      <c r="F3" s="330" t="s">
        <v>6636</v>
      </c>
    </row>
    <row r="4">
      <c r="B4" s="328" t="s">
        <v>6637</v>
      </c>
      <c r="C4" s="329"/>
      <c r="D4" s="329"/>
      <c r="E4" s="329"/>
      <c r="F4" s="329"/>
    </row>
    <row r="5">
      <c r="B5" s="330" t="s">
        <v>6638</v>
      </c>
      <c r="C5" s="330" t="s">
        <v>6639</v>
      </c>
      <c r="D5" s="96"/>
      <c r="E5" s="96"/>
      <c r="F5" s="331" t="s">
        <v>6640</v>
      </c>
    </row>
    <row r="6">
      <c r="F6" s="331" t="s">
        <v>6641</v>
      </c>
    </row>
    <row r="7">
      <c r="A7" s="62"/>
      <c r="B7" s="332"/>
    </row>
    <row r="8">
      <c r="A8" s="62" t="s">
        <v>6642</v>
      </c>
      <c r="B8" s="332">
        <v>46049.0</v>
      </c>
    </row>
    <row r="10">
      <c r="A10" s="62" t="s">
        <v>6643</v>
      </c>
      <c r="B10" s="62" t="s">
        <v>6644</v>
      </c>
      <c r="C10" s="62" t="s">
        <v>6645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Col="2"/>
  <cols>
    <col customWidth="1" min="1" max="1" width="4.13"/>
    <col customWidth="1" min="2" max="2" width="15.5"/>
    <col customWidth="1" min="3" max="3" width="31.63"/>
    <col customWidth="1" min="4" max="4" width="14.75"/>
    <col customWidth="1" min="5" max="5" width="13.0"/>
    <col customWidth="1" min="6" max="6" width="16.88"/>
    <col customWidth="1" min="7" max="8" width="14.0"/>
    <col customWidth="1" min="9" max="9" width="15.38"/>
    <col customWidth="1" min="10" max="10" width="6.25"/>
    <col customWidth="1" min="11" max="11" width="4.38" outlineLevel="1"/>
    <col customWidth="1" min="12" max="18" width="8.75" outlineLevel="2"/>
    <col customWidth="1" min="19" max="19" width="4.38" outlineLevel="1"/>
    <col customWidth="1" min="20" max="20" width="11.75" outlineLevel="2"/>
    <col customWidth="1" min="21" max="26" width="8.75" outlineLevel="2"/>
    <col customWidth="1" min="27" max="27" width="4.38" outlineLevel="1"/>
    <col customWidth="1" min="28" max="33" width="8.75" outlineLevel="2"/>
    <col customWidth="1" min="34" max="34" width="4.38" outlineLevel="1"/>
    <col customWidth="1" min="35" max="41" width="8.75" outlineLevel="2"/>
    <col customWidth="1" min="42" max="42" width="4.38" outlineLevel="1"/>
    <col customWidth="1" min="43" max="48" width="8.75" outlineLevel="2"/>
    <col customWidth="1" min="49" max="49" width="4.38" outlineLevel="1"/>
    <col customWidth="1" min="50" max="55" width="8.75" outlineLevel="2"/>
    <col customWidth="1" min="56" max="56" width="2.88"/>
    <col customWidth="1" min="57" max="57" width="6.25"/>
    <col min="58" max="62" width="12.63" outlineLevel="1"/>
    <col customWidth="1" min="63" max="63" width="2.88"/>
    <col customWidth="1" min="64" max="64" width="6.25"/>
    <col min="65" max="66" width="12.63" outlineLevel="1"/>
    <col customWidth="1" min="67" max="67" width="19.5" outlineLevel="1"/>
    <col min="68" max="68" width="12.63" outlineLevel="1"/>
    <col customWidth="1" min="69" max="69" width="33.25" outlineLevel="1"/>
    <col min="70" max="75" width="12.63" outlineLevel="1"/>
    <col customWidth="1" min="76" max="76" width="2.88"/>
    <col customWidth="1" min="77" max="77" width="6.25"/>
    <col customWidth="1" min="78" max="78" width="22.5" outlineLevel="1"/>
    <col customWidth="1" min="79" max="79" width="10.75" outlineLevel="1"/>
    <col customWidth="1" min="80" max="80" width="14.75" outlineLevel="1"/>
    <col customWidth="1" min="81" max="82" width="10.75" outlineLevel="1"/>
    <col customWidth="1" min="83" max="83" width="2.88"/>
    <col customWidth="1" min="84" max="84" width="6.25"/>
    <col min="85" max="94" width="12.63" outlineLevel="1"/>
    <col customWidth="1" min="95" max="95" width="2.88"/>
    <col customWidth="1" min="96" max="96" width="6.25"/>
    <col min="97" max="107" width="12.63" outlineLevel="1"/>
    <col customWidth="1" min="108" max="158" width="8.63" outlineLevel="1"/>
    <col customWidth="1" min="159" max="159" width="2.88"/>
  </cols>
  <sheetData>
    <row r="1">
      <c r="A1" s="333"/>
      <c r="B1" s="333" t="s">
        <v>6646</v>
      </c>
      <c r="C1" s="333"/>
      <c r="D1" s="333"/>
      <c r="E1" s="333" t="s">
        <v>1</v>
      </c>
      <c r="F1" s="333" t="s">
        <v>1</v>
      </c>
      <c r="G1" s="333" t="s">
        <v>2</v>
      </c>
      <c r="H1" s="333" t="s">
        <v>3</v>
      </c>
      <c r="I1" s="333" t="s">
        <v>3</v>
      </c>
      <c r="J1" s="333"/>
      <c r="K1" s="333"/>
      <c r="L1" s="333" t="s">
        <v>2</v>
      </c>
      <c r="M1" s="333" t="s">
        <v>4</v>
      </c>
      <c r="N1" s="333" t="s">
        <v>4</v>
      </c>
      <c r="O1" s="333" t="s">
        <v>4</v>
      </c>
      <c r="P1" s="333" t="s">
        <v>4</v>
      </c>
      <c r="Q1" s="333" t="s">
        <v>4</v>
      </c>
      <c r="R1" s="333" t="s">
        <v>4</v>
      </c>
      <c r="S1" s="333"/>
      <c r="T1" s="333" t="s">
        <v>2</v>
      </c>
      <c r="U1" s="333" t="s">
        <v>4</v>
      </c>
      <c r="V1" s="333" t="s">
        <v>4</v>
      </c>
      <c r="W1" s="333" t="s">
        <v>4</v>
      </c>
      <c r="X1" s="333" t="s">
        <v>4</v>
      </c>
      <c r="Y1" s="333" t="s">
        <v>4</v>
      </c>
      <c r="Z1" s="333" t="s">
        <v>4</v>
      </c>
      <c r="AA1" s="333"/>
      <c r="AB1" s="333" t="s">
        <v>4</v>
      </c>
      <c r="AC1" s="333" t="s">
        <v>4</v>
      </c>
      <c r="AD1" s="333" t="s">
        <v>4</v>
      </c>
      <c r="AE1" s="333" t="s">
        <v>4</v>
      </c>
      <c r="AF1" s="333" t="s">
        <v>4</v>
      </c>
      <c r="AG1" s="333" t="s">
        <v>4</v>
      </c>
      <c r="AH1" s="333"/>
      <c r="AI1" s="333" t="s">
        <v>2</v>
      </c>
      <c r="AJ1" s="333" t="s">
        <v>5</v>
      </c>
      <c r="AK1" s="333" t="s">
        <v>5</v>
      </c>
      <c r="AL1" s="333" t="s">
        <v>5</v>
      </c>
      <c r="AM1" s="333" t="s">
        <v>5</v>
      </c>
      <c r="AN1" s="333" t="s">
        <v>5</v>
      </c>
      <c r="AO1" s="333" t="s">
        <v>5</v>
      </c>
      <c r="AP1" s="333"/>
      <c r="AQ1" s="333" t="s">
        <v>4</v>
      </c>
      <c r="AR1" s="333" t="s">
        <v>4</v>
      </c>
      <c r="AS1" s="333" t="s">
        <v>4</v>
      </c>
      <c r="AT1" s="333" t="s">
        <v>4</v>
      </c>
      <c r="AU1" s="333" t="s">
        <v>4</v>
      </c>
      <c r="AV1" s="333" t="s">
        <v>4</v>
      </c>
      <c r="AW1" s="333"/>
      <c r="AX1" s="333" t="s">
        <v>5</v>
      </c>
      <c r="AY1" s="333" t="s">
        <v>5</v>
      </c>
      <c r="AZ1" s="333" t="s">
        <v>5</v>
      </c>
      <c r="BA1" s="333" t="s">
        <v>5</v>
      </c>
      <c r="BB1" s="333" t="s">
        <v>5</v>
      </c>
      <c r="BC1" s="333" t="s">
        <v>5</v>
      </c>
      <c r="BD1" s="333"/>
      <c r="BE1" s="333"/>
      <c r="BF1" s="333" t="s">
        <v>7</v>
      </c>
      <c r="BG1" s="333" t="s">
        <v>7</v>
      </c>
      <c r="BH1" s="333" t="s">
        <v>7</v>
      </c>
      <c r="BI1" s="333" t="s">
        <v>7</v>
      </c>
      <c r="BJ1" s="333" t="s">
        <v>7</v>
      </c>
      <c r="BK1" s="333"/>
      <c r="BL1" s="333"/>
      <c r="BM1" s="333" t="s">
        <v>7</v>
      </c>
      <c r="BN1" s="333" t="s">
        <v>8</v>
      </c>
      <c r="BO1" s="333" t="s">
        <v>7</v>
      </c>
      <c r="BP1" s="333" t="s">
        <v>7</v>
      </c>
      <c r="BQ1" s="333" t="s">
        <v>7</v>
      </c>
      <c r="BR1" s="333" t="s">
        <v>7</v>
      </c>
      <c r="BS1" s="333" t="s">
        <v>7</v>
      </c>
      <c r="BT1" s="333" t="s">
        <v>7</v>
      </c>
      <c r="BU1" s="333"/>
      <c r="BV1" s="333" t="s">
        <v>7</v>
      </c>
      <c r="BW1" s="333" t="s">
        <v>7</v>
      </c>
      <c r="BX1" s="333"/>
      <c r="BY1" s="333"/>
      <c r="BZ1" s="333" t="s">
        <v>9</v>
      </c>
      <c r="CA1" s="333" t="s">
        <v>10</v>
      </c>
      <c r="CB1" s="333" t="s">
        <v>11</v>
      </c>
      <c r="CC1" s="333" t="s">
        <v>11</v>
      </c>
      <c r="CD1" s="333" t="s">
        <v>11</v>
      </c>
      <c r="CE1" s="333"/>
      <c r="CF1" s="333"/>
      <c r="CG1" s="333" t="s">
        <v>12</v>
      </c>
      <c r="CH1" s="333"/>
      <c r="CI1" s="333"/>
      <c r="CJ1" s="333"/>
      <c r="CK1" s="333"/>
      <c r="CL1" s="333"/>
      <c r="CM1" s="333"/>
      <c r="CN1" s="333"/>
      <c r="CO1" s="333"/>
      <c r="CP1" s="333"/>
      <c r="CQ1" s="333"/>
      <c r="CR1" s="333"/>
      <c r="CS1" s="333"/>
      <c r="CT1" s="333" t="s">
        <v>13</v>
      </c>
      <c r="CU1" s="333" t="s">
        <v>13</v>
      </c>
      <c r="CV1" s="333" t="s">
        <v>13</v>
      </c>
      <c r="CW1" s="333" t="s">
        <v>11</v>
      </c>
      <c r="CX1" s="333" t="s">
        <v>13</v>
      </c>
      <c r="CY1" s="333" t="s">
        <v>13</v>
      </c>
      <c r="CZ1" s="333" t="s">
        <v>13</v>
      </c>
      <c r="DA1" s="333" t="s">
        <v>14</v>
      </c>
      <c r="DB1" s="333" t="s">
        <v>14</v>
      </c>
      <c r="DC1" s="333" t="s">
        <v>14</v>
      </c>
      <c r="DD1" s="333" t="s">
        <v>15</v>
      </c>
      <c r="DE1" s="333" t="s">
        <v>15</v>
      </c>
      <c r="DF1" s="333" t="s">
        <v>15</v>
      </c>
      <c r="DG1" s="333" t="s">
        <v>15</v>
      </c>
      <c r="DH1" s="333" t="s">
        <v>15</v>
      </c>
      <c r="DI1" s="333" t="s">
        <v>14</v>
      </c>
      <c r="DJ1" s="333" t="s">
        <v>14</v>
      </c>
      <c r="DK1" s="333" t="s">
        <v>14</v>
      </c>
      <c r="DL1" s="333" t="s">
        <v>14</v>
      </c>
      <c r="DM1" s="333" t="s">
        <v>14</v>
      </c>
      <c r="DN1" s="333" t="s">
        <v>14</v>
      </c>
      <c r="DO1" s="333" t="s">
        <v>14</v>
      </c>
      <c r="DP1" s="333" t="s">
        <v>14</v>
      </c>
      <c r="DQ1" s="333" t="s">
        <v>14</v>
      </c>
      <c r="DR1" s="333" t="s">
        <v>14</v>
      </c>
      <c r="DS1" s="333" t="s">
        <v>14</v>
      </c>
      <c r="DT1" s="333" t="s">
        <v>14</v>
      </c>
      <c r="DU1" s="333" t="s">
        <v>14</v>
      </c>
      <c r="DV1" s="333" t="s">
        <v>14</v>
      </c>
      <c r="DW1" s="333" t="s">
        <v>14</v>
      </c>
      <c r="DX1" s="333" t="s">
        <v>14</v>
      </c>
      <c r="DY1" s="333" t="s">
        <v>14</v>
      </c>
      <c r="DZ1" s="333" t="s">
        <v>14</v>
      </c>
      <c r="EA1" s="333" t="s">
        <v>14</v>
      </c>
      <c r="EB1" s="333" t="s">
        <v>14</v>
      </c>
      <c r="EC1" s="333" t="s">
        <v>14</v>
      </c>
      <c r="ED1" s="333" t="s">
        <v>14</v>
      </c>
      <c r="EE1" s="333" t="s">
        <v>14</v>
      </c>
      <c r="EF1" s="333" t="s">
        <v>14</v>
      </c>
      <c r="EG1" s="333" t="s">
        <v>14</v>
      </c>
      <c r="EH1" s="333" t="s">
        <v>14</v>
      </c>
      <c r="EI1" s="333" t="s">
        <v>14</v>
      </c>
      <c r="EJ1" s="333" t="s">
        <v>14</v>
      </c>
      <c r="EK1" s="333" t="s">
        <v>14</v>
      </c>
      <c r="EL1" s="333" t="s">
        <v>14</v>
      </c>
      <c r="EM1" s="333" t="s">
        <v>15</v>
      </c>
      <c r="EN1" s="333" t="s">
        <v>15</v>
      </c>
      <c r="EO1" s="333" t="s">
        <v>15</v>
      </c>
      <c r="EP1" s="333" t="s">
        <v>15</v>
      </c>
      <c r="EQ1" s="333" t="s">
        <v>15</v>
      </c>
      <c r="ER1" s="333" t="s">
        <v>15</v>
      </c>
      <c r="ES1" s="333" t="s">
        <v>15</v>
      </c>
      <c r="ET1" s="333" t="s">
        <v>15</v>
      </c>
      <c r="EU1" s="333" t="s">
        <v>15</v>
      </c>
      <c r="EV1" s="333" t="s">
        <v>15</v>
      </c>
      <c r="EW1" s="333" t="s">
        <v>15</v>
      </c>
      <c r="EX1" s="333" t="s">
        <v>15</v>
      </c>
      <c r="EY1" s="333" t="s">
        <v>15</v>
      </c>
      <c r="EZ1" s="333" t="s">
        <v>15</v>
      </c>
      <c r="FA1" s="333" t="s">
        <v>15</v>
      </c>
      <c r="FB1" s="333" t="s">
        <v>15</v>
      </c>
      <c r="FC1" s="333"/>
    </row>
    <row r="2" ht="13.5" customHeight="1">
      <c r="A2" s="2"/>
      <c r="B2" s="2"/>
      <c r="C2" s="2"/>
      <c r="D2" s="2"/>
      <c r="E2" s="2"/>
      <c r="F2" s="2"/>
      <c r="G2" s="2"/>
      <c r="H2" s="2"/>
      <c r="I2" s="2"/>
      <c r="J2" s="3" t="s">
        <v>16</v>
      </c>
      <c r="K2" s="3" t="s">
        <v>17</v>
      </c>
      <c r="L2" s="2"/>
      <c r="M2" s="2"/>
      <c r="N2" s="2"/>
      <c r="O2" s="2"/>
      <c r="P2" s="2"/>
      <c r="Q2" s="2"/>
      <c r="R2" s="2"/>
      <c r="S2" s="3" t="s">
        <v>18</v>
      </c>
      <c r="T2" s="2"/>
      <c r="U2" s="2"/>
      <c r="V2" s="2"/>
      <c r="W2" s="2"/>
      <c r="X2" s="2"/>
      <c r="Y2" s="2"/>
      <c r="Z2" s="2"/>
      <c r="AA2" s="3" t="s">
        <v>19</v>
      </c>
      <c r="AB2" s="2"/>
      <c r="AC2" s="2"/>
      <c r="AD2" s="2"/>
      <c r="AE2" s="2"/>
      <c r="AF2" s="2"/>
      <c r="AG2" s="2"/>
      <c r="AH2" s="3" t="s">
        <v>20</v>
      </c>
      <c r="AI2" s="2"/>
      <c r="AJ2" s="2"/>
      <c r="AK2" s="2"/>
      <c r="AL2" s="2"/>
      <c r="AM2" s="2"/>
      <c r="AN2" s="2"/>
      <c r="AO2" s="2"/>
      <c r="AP2" s="3" t="s">
        <v>21</v>
      </c>
      <c r="AQ2" s="2"/>
      <c r="AR2" s="2"/>
      <c r="AS2" s="2"/>
      <c r="AT2" s="2"/>
      <c r="AU2" s="2"/>
      <c r="AV2" s="2"/>
      <c r="AW2" s="3" t="s">
        <v>22</v>
      </c>
      <c r="AX2" s="2"/>
      <c r="AY2" s="2"/>
      <c r="AZ2" s="2"/>
      <c r="BA2" s="2"/>
      <c r="BB2" s="2"/>
      <c r="BC2" s="2"/>
      <c r="BD2" s="2"/>
      <c r="BE2" s="4" t="s">
        <v>24</v>
      </c>
      <c r="BF2" s="2"/>
      <c r="BG2" s="2"/>
      <c r="BH2" s="2"/>
      <c r="BI2" s="2"/>
      <c r="BJ2" s="2"/>
      <c r="BK2" s="2"/>
      <c r="BL2" s="4" t="s">
        <v>25</v>
      </c>
      <c r="BM2" s="2"/>
      <c r="BN2" s="2"/>
      <c r="BO2" s="2"/>
      <c r="BP2" s="2"/>
      <c r="BQ2" s="2"/>
      <c r="BR2" s="2"/>
      <c r="BS2" s="2"/>
      <c r="BT2" s="2"/>
      <c r="BU2" s="2"/>
      <c r="BV2" s="2"/>
      <c r="BW2" s="2"/>
      <c r="BX2" s="2"/>
      <c r="BY2" s="4" t="s">
        <v>26</v>
      </c>
      <c r="BZ2" s="2"/>
      <c r="CA2" s="2"/>
      <c r="CB2" s="2"/>
      <c r="CC2" s="2"/>
      <c r="CD2" s="2"/>
      <c r="CE2" s="2"/>
      <c r="CF2" s="4" t="s">
        <v>27</v>
      </c>
      <c r="CG2" s="5"/>
      <c r="CH2" s="2"/>
      <c r="CI2" s="2"/>
      <c r="CJ2" s="2"/>
      <c r="CK2" s="2"/>
      <c r="CL2" s="2"/>
      <c r="CM2" s="2"/>
      <c r="CN2" s="2"/>
      <c r="CO2" s="2"/>
      <c r="CP2" s="2"/>
      <c r="CQ2" s="2"/>
      <c r="CR2" s="4" t="s">
        <v>28</v>
      </c>
      <c r="CS2" s="2"/>
      <c r="CT2" s="2"/>
      <c r="CU2" s="2"/>
      <c r="CV2" s="2"/>
      <c r="CW2" s="2"/>
      <c r="CX2" s="2"/>
      <c r="CY2" s="2"/>
      <c r="CZ2" s="2"/>
      <c r="DA2" s="2"/>
      <c r="DB2" s="2"/>
      <c r="DC2" s="2"/>
      <c r="DD2" s="2"/>
      <c r="DE2" s="2"/>
      <c r="DF2" s="2"/>
      <c r="DG2" s="2"/>
      <c r="DH2" s="2"/>
      <c r="DI2" s="6" t="s">
        <v>29</v>
      </c>
      <c r="DJ2" s="6" t="s">
        <v>29</v>
      </c>
      <c r="DK2" s="6" t="s">
        <v>29</v>
      </c>
      <c r="DL2" s="6" t="s">
        <v>29</v>
      </c>
      <c r="DM2" s="6" t="s">
        <v>29</v>
      </c>
      <c r="DN2" s="6" t="s">
        <v>29</v>
      </c>
      <c r="DO2" s="6" t="s">
        <v>29</v>
      </c>
      <c r="DP2" s="6" t="s">
        <v>29</v>
      </c>
      <c r="DQ2" s="6" t="s">
        <v>29</v>
      </c>
      <c r="DR2" s="6" t="s">
        <v>29</v>
      </c>
      <c r="DS2" s="6" t="s">
        <v>29</v>
      </c>
      <c r="DT2" s="6" t="s">
        <v>29</v>
      </c>
      <c r="DU2" s="6" t="s">
        <v>29</v>
      </c>
      <c r="DV2" s="6" t="s">
        <v>29</v>
      </c>
      <c r="DW2" s="6" t="s">
        <v>29</v>
      </c>
      <c r="DX2" s="6" t="s">
        <v>29</v>
      </c>
      <c r="DY2" s="6" t="s">
        <v>29</v>
      </c>
      <c r="DZ2" s="6" t="s">
        <v>29</v>
      </c>
      <c r="EA2" s="6" t="s">
        <v>29</v>
      </c>
      <c r="EB2" s="6" t="s">
        <v>29</v>
      </c>
      <c r="EC2" s="6" t="s">
        <v>29</v>
      </c>
      <c r="ED2" s="6" t="s">
        <v>29</v>
      </c>
      <c r="EE2" s="6" t="s">
        <v>29</v>
      </c>
      <c r="EF2" s="6" t="s">
        <v>29</v>
      </c>
      <c r="EG2" s="6" t="s">
        <v>29</v>
      </c>
      <c r="EH2" s="6" t="s">
        <v>29</v>
      </c>
      <c r="EI2" s="6" t="s">
        <v>29</v>
      </c>
      <c r="EJ2" s="6" t="s">
        <v>29</v>
      </c>
      <c r="EK2" s="6" t="s">
        <v>29</v>
      </c>
      <c r="EL2" s="6" t="s">
        <v>29</v>
      </c>
      <c r="EM2" s="6" t="s">
        <v>30</v>
      </c>
      <c r="EN2" s="2"/>
      <c r="EO2" s="2"/>
      <c r="EP2" s="2"/>
      <c r="EQ2" s="2"/>
      <c r="ER2" s="2"/>
      <c r="ES2" s="2"/>
      <c r="ET2" s="2"/>
      <c r="EU2" s="2"/>
      <c r="EV2" s="2"/>
      <c r="EW2" s="2"/>
      <c r="EX2" s="2"/>
      <c r="EY2" s="2"/>
      <c r="EZ2" s="2"/>
      <c r="FA2" s="2"/>
      <c r="FB2" s="2"/>
      <c r="FC2" s="2"/>
    </row>
    <row r="3" ht="17.25" customHeight="1">
      <c r="A3" s="2"/>
      <c r="B3" s="2"/>
      <c r="C3" s="2"/>
      <c r="D3" s="2"/>
      <c r="E3" s="2"/>
      <c r="F3" s="2"/>
      <c r="G3" s="2"/>
      <c r="H3" s="6" t="s">
        <v>31</v>
      </c>
      <c r="I3" s="2"/>
      <c r="L3" s="2"/>
      <c r="M3" s="2"/>
      <c r="N3" s="2"/>
      <c r="O3" s="2"/>
      <c r="P3" s="2"/>
      <c r="Q3" s="2"/>
      <c r="R3" s="2"/>
      <c r="T3" s="2"/>
      <c r="U3" s="2"/>
      <c r="V3" s="2"/>
      <c r="W3" s="2"/>
      <c r="X3" s="2"/>
      <c r="Y3" s="2"/>
      <c r="Z3" s="2"/>
      <c r="AB3" s="2"/>
      <c r="AC3" s="2"/>
      <c r="AD3" s="2"/>
      <c r="AE3" s="2"/>
      <c r="AF3" s="2"/>
      <c r="AG3" s="2"/>
      <c r="AI3" s="6" t="s">
        <v>32</v>
      </c>
      <c r="AJ3" s="2"/>
      <c r="AK3" s="2"/>
      <c r="AL3" s="2"/>
      <c r="AM3" s="2"/>
      <c r="AN3" s="2"/>
      <c r="AO3" s="2"/>
      <c r="AQ3" s="2"/>
      <c r="AR3" s="2"/>
      <c r="AS3" s="2"/>
      <c r="AT3" s="2"/>
      <c r="AU3" s="2"/>
      <c r="AV3" s="2"/>
      <c r="AX3" s="2"/>
      <c r="AY3" s="2"/>
      <c r="AZ3" s="2"/>
      <c r="BA3" s="2"/>
      <c r="BB3" s="2"/>
      <c r="BC3" s="2"/>
      <c r="BD3" s="2"/>
      <c r="BF3" s="2"/>
      <c r="BG3" s="2"/>
      <c r="BH3" s="2"/>
      <c r="BI3" s="6" t="s">
        <v>33</v>
      </c>
      <c r="BJ3" s="2"/>
      <c r="BK3" s="2"/>
      <c r="BM3" s="7" t="s">
        <v>34</v>
      </c>
      <c r="BN3" s="2"/>
      <c r="BO3" s="2"/>
      <c r="BP3" s="2"/>
      <c r="BQ3" s="7" t="s">
        <v>34</v>
      </c>
      <c r="BR3" s="2"/>
      <c r="BS3" s="2"/>
      <c r="BT3" s="2"/>
      <c r="BU3" s="7" t="s">
        <v>34</v>
      </c>
      <c r="BV3" s="2"/>
      <c r="BW3" s="2"/>
      <c r="BX3" s="2"/>
      <c r="BZ3" s="7" t="s">
        <v>34</v>
      </c>
      <c r="CA3" s="2"/>
      <c r="CB3" s="2"/>
      <c r="CC3" s="2"/>
      <c r="CD3" s="2"/>
      <c r="CE3" s="2"/>
      <c r="CG3" s="5"/>
      <c r="CH3" s="2"/>
      <c r="CI3" s="2"/>
      <c r="CJ3" s="2"/>
      <c r="CK3" s="2"/>
      <c r="CL3" s="2"/>
      <c r="CM3" s="2"/>
      <c r="CN3" s="2"/>
      <c r="CO3" s="2"/>
      <c r="CP3" s="2"/>
      <c r="CQ3" s="2"/>
      <c r="CS3" s="9"/>
      <c r="CT3" s="6" t="s">
        <v>29</v>
      </c>
      <c r="CU3" s="6" t="s">
        <v>29</v>
      </c>
      <c r="CV3" s="6" t="s">
        <v>29</v>
      </c>
      <c r="CW3" s="6"/>
      <c r="CX3" s="6" t="s">
        <v>29</v>
      </c>
      <c r="CY3" s="6" t="s">
        <v>29</v>
      </c>
      <c r="CZ3" s="6" t="s">
        <v>29</v>
      </c>
      <c r="DA3" s="10" t="s">
        <v>36</v>
      </c>
      <c r="DB3" s="6"/>
      <c r="DC3" s="6"/>
      <c r="DD3" s="2"/>
      <c r="DE3" s="2"/>
      <c r="DF3" s="2"/>
      <c r="DG3" s="2"/>
      <c r="DH3" s="2"/>
      <c r="DI3" s="11" t="s">
        <v>37</v>
      </c>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3"/>
      <c r="EM3" s="14" t="s">
        <v>38</v>
      </c>
      <c r="EN3" s="14" t="s">
        <v>38</v>
      </c>
      <c r="EO3" s="14" t="s">
        <v>38</v>
      </c>
      <c r="EP3" s="14" t="s">
        <v>38</v>
      </c>
      <c r="EQ3" s="14" t="s">
        <v>38</v>
      </c>
      <c r="ER3" s="14" t="s">
        <v>38</v>
      </c>
      <c r="ES3" s="14" t="s">
        <v>38</v>
      </c>
      <c r="ET3" s="14" t="s">
        <v>38</v>
      </c>
      <c r="EU3" s="14" t="s">
        <v>38</v>
      </c>
      <c r="EV3" s="14" t="s">
        <v>38</v>
      </c>
      <c r="EW3" s="14" t="s">
        <v>38</v>
      </c>
      <c r="EX3" s="14" t="s">
        <v>38</v>
      </c>
      <c r="EY3" s="14" t="s">
        <v>38</v>
      </c>
      <c r="EZ3" s="14" t="s">
        <v>38</v>
      </c>
      <c r="FA3" s="14" t="s">
        <v>38</v>
      </c>
      <c r="FB3" s="14" t="s">
        <v>38</v>
      </c>
      <c r="FC3" s="2"/>
    </row>
    <row r="4" ht="111.75" customHeight="1">
      <c r="A4" s="2"/>
      <c r="B4" s="2"/>
      <c r="C4" s="2"/>
      <c r="D4" s="2"/>
      <c r="E4" s="15" t="s">
        <v>39</v>
      </c>
      <c r="F4" s="13"/>
      <c r="G4" s="16" t="s">
        <v>40</v>
      </c>
      <c r="H4" s="17" t="s">
        <v>41</v>
      </c>
      <c r="I4" s="13"/>
      <c r="L4" s="18"/>
      <c r="M4" s="18"/>
      <c r="N4" s="18"/>
      <c r="O4" s="18"/>
      <c r="P4" s="18"/>
      <c r="Q4" s="18"/>
      <c r="R4" s="18"/>
      <c r="T4" s="18"/>
      <c r="U4" s="18"/>
      <c r="V4" s="18"/>
      <c r="W4" s="18"/>
      <c r="X4" s="18"/>
      <c r="Y4" s="18"/>
      <c r="Z4" s="18"/>
      <c r="AB4" s="18"/>
      <c r="AC4" s="18"/>
      <c r="AD4" s="18"/>
      <c r="AE4" s="18"/>
      <c r="AF4" s="18"/>
      <c r="AG4" s="18"/>
      <c r="AI4" s="18"/>
      <c r="AJ4" s="18"/>
      <c r="AK4" s="18"/>
      <c r="AL4" s="18"/>
      <c r="AM4" s="18"/>
      <c r="AN4" s="18"/>
      <c r="AO4" s="18"/>
      <c r="AQ4" s="18"/>
      <c r="AR4" s="18"/>
      <c r="AS4" s="18"/>
      <c r="AT4" s="9"/>
      <c r="AU4" s="9"/>
      <c r="AV4" s="18"/>
      <c r="AX4" s="18"/>
      <c r="AY4" s="18"/>
      <c r="AZ4" s="18"/>
      <c r="BA4" s="9"/>
      <c r="BB4" s="18"/>
      <c r="BC4" s="18"/>
      <c r="BD4" s="6"/>
      <c r="BF4" s="19"/>
      <c r="BG4" s="18"/>
      <c r="BH4" s="18"/>
      <c r="BI4" s="9"/>
      <c r="BJ4" s="18"/>
      <c r="BK4" s="6"/>
      <c r="BM4" s="9"/>
      <c r="BN4" s="10" t="s">
        <v>43</v>
      </c>
      <c r="BO4" s="10" t="s">
        <v>44</v>
      </c>
      <c r="BP4" s="9"/>
      <c r="BQ4" s="10"/>
      <c r="BR4" s="9"/>
      <c r="BS4" s="10" t="s">
        <v>29</v>
      </c>
      <c r="BT4" s="21" t="s">
        <v>45</v>
      </c>
      <c r="BU4" s="22" t="s">
        <v>29</v>
      </c>
      <c r="BV4" s="9"/>
      <c r="BW4" s="9"/>
      <c r="BX4" s="6"/>
      <c r="BZ4" s="6"/>
      <c r="CA4" s="6" t="s">
        <v>29</v>
      </c>
      <c r="CB4" s="6"/>
      <c r="CC4" s="6" t="s">
        <v>29</v>
      </c>
      <c r="CD4" s="6" t="s">
        <v>29</v>
      </c>
      <c r="CE4" s="6"/>
      <c r="CG4" s="23" t="s">
        <v>46</v>
      </c>
      <c r="CH4" s="18"/>
      <c r="CI4" s="10" t="s">
        <v>47</v>
      </c>
      <c r="CJ4" s="18"/>
      <c r="CK4" s="18"/>
      <c r="CL4" s="10" t="s">
        <v>29</v>
      </c>
      <c r="CM4" s="10" t="s">
        <v>29</v>
      </c>
      <c r="CN4" s="10" t="s">
        <v>29</v>
      </c>
      <c r="CO4" s="10" t="s">
        <v>29</v>
      </c>
      <c r="CP4" s="10" t="s">
        <v>29</v>
      </c>
      <c r="CQ4" s="6"/>
      <c r="CS4" s="24" t="s">
        <v>48</v>
      </c>
      <c r="CT4" s="15" t="s">
        <v>49</v>
      </c>
      <c r="CU4" s="12"/>
      <c r="CV4" s="13"/>
      <c r="CW4" s="24"/>
      <c r="CX4" s="25" t="s">
        <v>50</v>
      </c>
      <c r="DA4" s="25" t="s">
        <v>51</v>
      </c>
      <c r="DD4" s="15" t="s">
        <v>52</v>
      </c>
      <c r="DE4" s="12"/>
      <c r="DF4" s="12"/>
      <c r="DG4" s="12"/>
      <c r="DH4" s="13"/>
      <c r="DI4" s="11" t="s">
        <v>53</v>
      </c>
      <c r="DJ4" s="12"/>
      <c r="DK4" s="12"/>
      <c r="DL4" s="12"/>
      <c r="DM4" s="13"/>
      <c r="DN4" s="11" t="s">
        <v>54</v>
      </c>
      <c r="DO4" s="12"/>
      <c r="DP4" s="12"/>
      <c r="DQ4" s="12"/>
      <c r="DR4" s="13"/>
      <c r="DS4" s="11" t="s">
        <v>55</v>
      </c>
      <c r="DT4" s="12"/>
      <c r="DU4" s="12"/>
      <c r="DV4" s="12"/>
      <c r="DW4" s="13"/>
      <c r="DX4" s="11" t="s">
        <v>56</v>
      </c>
      <c r="DY4" s="12"/>
      <c r="DZ4" s="12"/>
      <c r="EA4" s="12"/>
      <c r="EB4" s="13"/>
      <c r="EC4" s="11" t="s">
        <v>57</v>
      </c>
      <c r="ED4" s="12"/>
      <c r="EE4" s="12"/>
      <c r="EF4" s="12"/>
      <c r="EG4" s="13"/>
      <c r="EH4" s="11" t="s">
        <v>58</v>
      </c>
      <c r="EI4" s="12"/>
      <c r="EJ4" s="12"/>
      <c r="EK4" s="12"/>
      <c r="EL4" s="13"/>
      <c r="EM4" s="15" t="s">
        <v>59</v>
      </c>
      <c r="EN4" s="12"/>
      <c r="EO4" s="12"/>
      <c r="EP4" s="12"/>
      <c r="EQ4" s="13"/>
      <c r="ER4" s="15" t="s">
        <v>60</v>
      </c>
      <c r="ES4" s="12"/>
      <c r="ET4" s="12"/>
      <c r="EU4" s="12"/>
      <c r="EV4" s="13"/>
      <c r="EW4" s="15" t="s">
        <v>61</v>
      </c>
      <c r="EX4" s="12"/>
      <c r="EY4" s="12"/>
      <c r="EZ4" s="12"/>
      <c r="FA4" s="12"/>
      <c r="FB4" s="13"/>
      <c r="FC4" s="2"/>
    </row>
    <row r="5">
      <c r="A5" s="30"/>
      <c r="B5" s="24" t="s">
        <v>62</v>
      </c>
      <c r="C5" s="24" t="s">
        <v>63</v>
      </c>
      <c r="D5" s="24" t="s">
        <v>64</v>
      </c>
      <c r="E5" s="26" t="s">
        <v>65</v>
      </c>
      <c r="F5" s="27" t="s">
        <v>66</v>
      </c>
      <c r="G5" s="28" t="s">
        <v>67</v>
      </c>
      <c r="H5" s="28" t="s">
        <v>68</v>
      </c>
      <c r="I5" s="29" t="s">
        <v>69</v>
      </c>
      <c r="J5" s="24"/>
      <c r="K5" s="30"/>
      <c r="L5" s="24" t="s">
        <v>70</v>
      </c>
      <c r="M5" s="24" t="s">
        <v>54</v>
      </c>
      <c r="N5" s="24" t="s">
        <v>53</v>
      </c>
      <c r="O5" s="24" t="s">
        <v>71</v>
      </c>
      <c r="P5" s="24" t="s">
        <v>72</v>
      </c>
      <c r="Q5" s="24" t="s">
        <v>73</v>
      </c>
      <c r="R5" s="24" t="s">
        <v>58</v>
      </c>
      <c r="S5" s="30"/>
      <c r="T5" s="24" t="s">
        <v>70</v>
      </c>
      <c r="U5" s="24" t="s">
        <v>54</v>
      </c>
      <c r="V5" s="24" t="s">
        <v>53</v>
      </c>
      <c r="W5" s="24" t="s">
        <v>71</v>
      </c>
      <c r="X5" s="24" t="s">
        <v>72</v>
      </c>
      <c r="Y5" s="24" t="s">
        <v>73</v>
      </c>
      <c r="Z5" s="24" t="s">
        <v>58</v>
      </c>
      <c r="AA5" s="30"/>
      <c r="AB5" s="24" t="s">
        <v>54</v>
      </c>
      <c r="AC5" s="24" t="s">
        <v>53</v>
      </c>
      <c r="AD5" s="24" t="s">
        <v>71</v>
      </c>
      <c r="AE5" s="24" t="s">
        <v>72</v>
      </c>
      <c r="AF5" s="24" t="s">
        <v>73</v>
      </c>
      <c r="AG5" s="24" t="s">
        <v>58</v>
      </c>
      <c r="AH5" s="30"/>
      <c r="AI5" s="24" t="s">
        <v>70</v>
      </c>
      <c r="AJ5" s="24" t="s">
        <v>54</v>
      </c>
      <c r="AK5" s="24" t="s">
        <v>53</v>
      </c>
      <c r="AL5" s="24" t="s">
        <v>71</v>
      </c>
      <c r="AM5" s="24" t="s">
        <v>72</v>
      </c>
      <c r="AN5" s="24" t="s">
        <v>73</v>
      </c>
      <c r="AO5" s="24" t="s">
        <v>58</v>
      </c>
      <c r="AP5" s="30"/>
      <c r="AQ5" s="24" t="s">
        <v>54</v>
      </c>
      <c r="AR5" s="24" t="s">
        <v>53</v>
      </c>
      <c r="AS5" s="24" t="s">
        <v>71</v>
      </c>
      <c r="AT5" s="24" t="s">
        <v>72</v>
      </c>
      <c r="AU5" s="24" t="s">
        <v>73</v>
      </c>
      <c r="AV5" s="24" t="s">
        <v>58</v>
      </c>
      <c r="AW5" s="30"/>
      <c r="AX5" s="24" t="s">
        <v>54</v>
      </c>
      <c r="AY5" s="24" t="s">
        <v>53</v>
      </c>
      <c r="AZ5" s="24" t="s">
        <v>71</v>
      </c>
      <c r="BA5" s="24" t="s">
        <v>72</v>
      </c>
      <c r="BB5" s="24" t="s">
        <v>73</v>
      </c>
      <c r="BC5" s="24" t="s">
        <v>58</v>
      </c>
      <c r="BD5" s="24"/>
      <c r="BE5" s="24"/>
      <c r="BF5" s="24" t="s">
        <v>74</v>
      </c>
      <c r="BG5" s="24" t="s">
        <v>75</v>
      </c>
      <c r="BH5" s="24" t="s">
        <v>76</v>
      </c>
      <c r="BI5" s="24" t="s">
        <v>77</v>
      </c>
      <c r="BJ5" s="24" t="s">
        <v>78</v>
      </c>
      <c r="BK5" s="24"/>
      <c r="BL5" s="24"/>
      <c r="BM5" s="24" t="s">
        <v>79</v>
      </c>
      <c r="BN5" s="24" t="s">
        <v>80</v>
      </c>
      <c r="BO5" s="24" t="s">
        <v>81</v>
      </c>
      <c r="BP5" s="24" t="s">
        <v>82</v>
      </c>
      <c r="BQ5" s="24" t="s">
        <v>83</v>
      </c>
      <c r="BR5" s="24" t="s">
        <v>84</v>
      </c>
      <c r="BS5" s="31" t="s">
        <v>85</v>
      </c>
      <c r="BT5" s="32" t="s">
        <v>86</v>
      </c>
      <c r="BU5" s="25" t="s">
        <v>87</v>
      </c>
      <c r="BV5" s="24" t="s">
        <v>88</v>
      </c>
      <c r="BW5" s="24" t="s">
        <v>89</v>
      </c>
      <c r="BX5" s="24"/>
      <c r="BY5" s="24"/>
      <c r="BZ5" s="24" t="s">
        <v>90</v>
      </c>
      <c r="CA5" s="25" t="s">
        <v>91</v>
      </c>
      <c r="CB5" s="25" t="s">
        <v>92</v>
      </c>
      <c r="CC5" s="25" t="s">
        <v>93</v>
      </c>
      <c r="CD5" s="24" t="s">
        <v>94</v>
      </c>
      <c r="CE5" s="24"/>
      <c r="CF5" s="24"/>
      <c r="CG5" s="33" t="s">
        <v>95</v>
      </c>
      <c r="CH5" s="24" t="s">
        <v>96</v>
      </c>
      <c r="CI5" s="24" t="s">
        <v>97</v>
      </c>
      <c r="CJ5" s="24" t="s">
        <v>98</v>
      </c>
      <c r="CK5" s="24" t="s">
        <v>99</v>
      </c>
      <c r="CL5" s="31" t="s">
        <v>100</v>
      </c>
      <c r="CM5" s="31" t="s">
        <v>101</v>
      </c>
      <c r="CN5" s="31" t="s">
        <v>102</v>
      </c>
      <c r="CO5" s="31" t="s">
        <v>103</v>
      </c>
      <c r="CP5" s="31" t="s">
        <v>104</v>
      </c>
      <c r="CQ5" s="24"/>
      <c r="CR5" s="24"/>
      <c r="CS5" s="334" t="s">
        <v>105</v>
      </c>
      <c r="CT5" s="35" t="s">
        <v>106</v>
      </c>
      <c r="CU5" s="36" t="s">
        <v>107</v>
      </c>
      <c r="CV5" s="37" t="s">
        <v>55</v>
      </c>
      <c r="CW5" s="25" t="s">
        <v>108</v>
      </c>
      <c r="CX5" s="25" t="s">
        <v>106</v>
      </c>
      <c r="CY5" s="25" t="s">
        <v>107</v>
      </c>
      <c r="CZ5" s="25" t="s">
        <v>55</v>
      </c>
      <c r="DA5" s="25" t="s">
        <v>106</v>
      </c>
      <c r="DB5" s="25" t="s">
        <v>107</v>
      </c>
      <c r="DC5" s="25" t="s">
        <v>55</v>
      </c>
      <c r="DD5" s="38" t="s">
        <v>109</v>
      </c>
      <c r="DE5" s="39" t="s">
        <v>110</v>
      </c>
      <c r="DF5" s="39" t="s">
        <v>111</v>
      </c>
      <c r="DG5" s="39" t="s">
        <v>112</v>
      </c>
      <c r="DH5" s="27" t="s">
        <v>113</v>
      </c>
      <c r="DI5" s="40" t="s">
        <v>109</v>
      </c>
      <c r="DJ5" s="41" t="s">
        <v>110</v>
      </c>
      <c r="DK5" s="41" t="s">
        <v>111</v>
      </c>
      <c r="DL5" s="41" t="s">
        <v>112</v>
      </c>
      <c r="DM5" s="42" t="s">
        <v>113</v>
      </c>
      <c r="DN5" s="40" t="s">
        <v>109</v>
      </c>
      <c r="DO5" s="41" t="s">
        <v>110</v>
      </c>
      <c r="DP5" s="41" t="s">
        <v>111</v>
      </c>
      <c r="DQ5" s="41" t="s">
        <v>112</v>
      </c>
      <c r="DR5" s="42" t="s">
        <v>113</v>
      </c>
      <c r="DS5" s="40" t="s">
        <v>109</v>
      </c>
      <c r="DT5" s="41" t="s">
        <v>110</v>
      </c>
      <c r="DU5" s="41" t="s">
        <v>111</v>
      </c>
      <c r="DV5" s="41" t="s">
        <v>112</v>
      </c>
      <c r="DW5" s="42" t="s">
        <v>113</v>
      </c>
      <c r="DX5" s="40" t="s">
        <v>109</v>
      </c>
      <c r="DY5" s="41" t="s">
        <v>110</v>
      </c>
      <c r="DZ5" s="41" t="s">
        <v>111</v>
      </c>
      <c r="EA5" s="41" t="s">
        <v>112</v>
      </c>
      <c r="EB5" s="42" t="s">
        <v>113</v>
      </c>
      <c r="EC5" s="40" t="s">
        <v>109</v>
      </c>
      <c r="ED5" s="41" t="s">
        <v>110</v>
      </c>
      <c r="EE5" s="41" t="s">
        <v>111</v>
      </c>
      <c r="EF5" s="41" t="s">
        <v>112</v>
      </c>
      <c r="EG5" s="42" t="s">
        <v>113</v>
      </c>
      <c r="EH5" s="40" t="s">
        <v>109</v>
      </c>
      <c r="EI5" s="41" t="s">
        <v>110</v>
      </c>
      <c r="EJ5" s="41" t="s">
        <v>111</v>
      </c>
      <c r="EK5" s="41" t="s">
        <v>112</v>
      </c>
      <c r="EL5" s="42" t="s">
        <v>113</v>
      </c>
      <c r="EM5" s="38" t="s">
        <v>109</v>
      </c>
      <c r="EN5" s="39" t="s">
        <v>110</v>
      </c>
      <c r="EO5" s="39" t="s">
        <v>111</v>
      </c>
      <c r="EP5" s="39" t="s">
        <v>112</v>
      </c>
      <c r="EQ5" s="27" t="s">
        <v>113</v>
      </c>
      <c r="ER5" s="38" t="s">
        <v>109</v>
      </c>
      <c r="ES5" s="39" t="s">
        <v>110</v>
      </c>
      <c r="ET5" s="39" t="s">
        <v>111</v>
      </c>
      <c r="EU5" s="39" t="s">
        <v>112</v>
      </c>
      <c r="EV5" s="27" t="s">
        <v>84</v>
      </c>
      <c r="EW5" s="38" t="s">
        <v>109</v>
      </c>
      <c r="EX5" s="39" t="s">
        <v>110</v>
      </c>
      <c r="EY5" s="39" t="s">
        <v>114</v>
      </c>
      <c r="EZ5" s="39" t="s">
        <v>112</v>
      </c>
      <c r="FA5" s="39" t="s">
        <v>84</v>
      </c>
      <c r="FB5" s="37" t="s">
        <v>115</v>
      </c>
      <c r="FC5" s="24"/>
    </row>
    <row r="6" ht="18.0" customHeight="1">
      <c r="A6" s="2"/>
      <c r="B6" s="22" t="str">
        <f>IFERROR(VLOOKUP(C6,'Реестр'!C:AC,27,0)," ")</f>
        <v>Биг-Л</v>
      </c>
      <c r="C6" s="22" t="s">
        <v>117</v>
      </c>
      <c r="D6" s="22" t="str">
        <f>IFERROR(VLOOKUP(C6,'Лист4'!D:P,13,0)," ")</f>
        <v>Harly</v>
      </c>
      <c r="E6" s="22" t="str">
        <f>IF(OR(ISERROR(VLOOKUP(C6,'Актуальность'!A:B,2,0)), VLOOKUP(C6,'Актуальность'!A:B,2,0)=""), "Актуальный", VLOOKUP(C6,'Актуальность'!A:B,2,0))</f>
        <v>Актуальный</v>
      </c>
      <c r="F6" s="43" t="str">
        <f>IFERROR(VLOOKUP(C6,'Актуальность'!A:C,3,0)," ")</f>
        <v/>
      </c>
      <c r="G6" s="22"/>
      <c r="H6" s="22" t="s">
        <v>121</v>
      </c>
      <c r="I6" s="22" t="s">
        <v>122</v>
      </c>
      <c r="J6" s="43"/>
      <c r="K6" s="43"/>
      <c r="L6" s="22" t="b">
        <f t="shared" ref="L6:R6" si="1">T6&lt;&gt;""</f>
        <v>1</v>
      </c>
      <c r="M6" s="22" t="b">
        <f t="shared" si="1"/>
        <v>1</v>
      </c>
      <c r="N6" s="22" t="b">
        <f t="shared" si="1"/>
        <v>1</v>
      </c>
      <c r="O6" s="22" t="b">
        <f t="shared" si="1"/>
        <v>0</v>
      </c>
      <c r="P6" s="22" t="b">
        <f t="shared" si="1"/>
        <v>0</v>
      </c>
      <c r="Q6" s="22" t="b">
        <f t="shared" si="1"/>
        <v>0</v>
      </c>
      <c r="R6" s="22" t="b">
        <f t="shared" si="1"/>
        <v>0</v>
      </c>
      <c r="S6" s="43"/>
      <c r="T6" s="43" t="str">
        <f>IFERROR(VLOOKUP( C6,'1С'!A:B,2,0)," ")</f>
        <v>HB101100407</v>
      </c>
      <c r="U6" s="22" t="str">
        <f>IFERROR(VLOOKUP(T6,'Лист4'!C:I,3,0)," ")</f>
        <v>harly_paste_75ml_v2</v>
      </c>
      <c r="V6" s="22" t="str">
        <f>IFERROR(VLOOKUP(T6,'Лист4'!C:I,4,0)," ")</f>
        <v>harly_paste_75ml_v2</v>
      </c>
      <c r="W6" s="22" t="str">
        <f>IFERROR(VLOOKUP(T6,'Лист4'!C:I,5,0)," ")</f>
        <v/>
      </c>
      <c r="X6" s="43" t="str">
        <f>IFERROR(VLOOKUP(T6,'Лист4'!C:I,7,0)," ")</f>
        <v/>
      </c>
      <c r="Y6" s="43" t="str">
        <f>IFERROR(VLOOKUP(T6,'Лист4'!C:I,6,0)," ")</f>
        <v/>
      </c>
      <c r="Z6" s="43"/>
      <c r="AA6" s="43"/>
      <c r="AB6" s="22">
        <v>4.73683865E8</v>
      </c>
      <c r="AC6" s="22">
        <v>2.517120405E9</v>
      </c>
      <c r="AD6" s="22"/>
      <c r="AE6" s="22"/>
      <c r="AF6" s="22"/>
      <c r="AG6" s="43"/>
      <c r="AH6" s="43"/>
      <c r="AI6" s="43" t="str">
        <f>IFERROR(VLOOKUP(T6,'1С'!B:C,2,0)," ")</f>
        <v>Паста для вывода шерсти кошек ,Harly, 75 мл</v>
      </c>
      <c r="AJ6" s="22" t="s">
        <v>124</v>
      </c>
      <c r="AK6" s="22" t="s">
        <v>125</v>
      </c>
      <c r="AL6" s="22"/>
      <c r="AM6" s="43"/>
      <c r="AN6" s="43"/>
      <c r="AO6" s="43"/>
      <c r="AP6" s="43"/>
      <c r="AQ6" s="44" t="s">
        <v>126</v>
      </c>
      <c r="AR6" s="44" t="s">
        <v>127</v>
      </c>
      <c r="AS6" s="45"/>
      <c r="AT6" s="43"/>
      <c r="AU6" s="43"/>
      <c r="AV6" s="43"/>
      <c r="AW6" s="43"/>
      <c r="AX6" s="22" t="s">
        <v>128</v>
      </c>
      <c r="AY6" s="22" t="s">
        <v>125</v>
      </c>
      <c r="AZ6" s="22"/>
      <c r="BA6" s="43"/>
      <c r="BB6" s="43"/>
      <c r="BC6" s="43"/>
      <c r="BD6" s="43"/>
      <c r="BE6" s="43"/>
      <c r="BF6" s="22" t="str">
        <f>IFERROR(VLOOKUP(C6,'спецификация'!B:AA,3,0)," ")</f>
        <v>4646536748595</v>
      </c>
      <c r="BG6" s="22">
        <v>2.309909609E9</v>
      </c>
      <c r="BH6" s="22" t="s">
        <v>133</v>
      </c>
      <c r="BI6" s="46" t="s">
        <v>134</v>
      </c>
      <c r="BJ6" s="22" t="str">
        <f>IFERROR(VLOOKUP(C6,'спецификация'!B:AA,6,0)," ")</f>
        <v>меркурий, ЧЗ</v>
      </c>
      <c r="BK6" s="43"/>
      <c r="BL6" s="43"/>
      <c r="BM6" s="22" t="s">
        <v>136</v>
      </c>
      <c r="BN6" s="22"/>
      <c r="BO6" s="22" t="s">
        <v>137</v>
      </c>
      <c r="BP6" s="43" t="str">
        <f>IFERROR(VLOOKUP(C6,'спецификация'!B:AA,11,0)," ")</f>
        <v/>
      </c>
      <c r="BQ6" s="22" t="s">
        <v>138</v>
      </c>
      <c r="BR6" s="22">
        <v>75.0</v>
      </c>
      <c r="BS6" s="22" t="s">
        <v>139</v>
      </c>
      <c r="BT6" s="22"/>
      <c r="BU6" s="22"/>
      <c r="BV6" s="22" t="s">
        <v>140</v>
      </c>
      <c r="BW6" s="44" t="s">
        <v>141</v>
      </c>
      <c r="BX6" s="43"/>
      <c r="BY6" s="43"/>
      <c r="BZ6" s="45" t="str">
        <f>IFERROR(VLOOKUP(BF6,'спецификация'!D:Y,22,0)," ")</f>
        <v/>
      </c>
      <c r="CA6" s="45"/>
      <c r="CB6" s="45"/>
      <c r="CC6" s="45"/>
      <c r="CD6" s="43"/>
      <c r="CE6" s="43"/>
      <c r="CF6" s="43"/>
      <c r="CG6" s="49">
        <f>IFERROR(VLOOKUP(C6,CC!A:D,4,0)," ")</f>
        <v>145.43</v>
      </c>
      <c r="CH6" s="22" t="s">
        <v>143</v>
      </c>
      <c r="CI6" s="22"/>
      <c r="CJ6" s="22" t="s">
        <v>144</v>
      </c>
      <c r="CK6" s="22">
        <f>IFERROR(VLOOKUP(C6,CC!K:M,3,0)," ")</f>
        <v>30</v>
      </c>
      <c r="CL6" s="43"/>
      <c r="CM6" s="43"/>
      <c r="CN6" s="43"/>
      <c r="CO6" s="43"/>
      <c r="CP6" s="43"/>
      <c r="CQ6" s="43"/>
      <c r="CR6" s="43"/>
      <c r="CS6" s="22" t="b">
        <v>0</v>
      </c>
      <c r="CT6" s="22" t="b">
        <v>0</v>
      </c>
      <c r="CU6" s="22" t="b">
        <v>0</v>
      </c>
      <c r="CV6" s="22" t="b">
        <v>0</v>
      </c>
      <c r="CW6" s="22" t="s">
        <v>146</v>
      </c>
      <c r="CX6" s="22"/>
      <c r="CY6" s="22"/>
      <c r="CZ6" s="22"/>
      <c r="DA6" s="22" t="s">
        <v>60</v>
      </c>
      <c r="DB6" s="22"/>
      <c r="DC6" s="22"/>
      <c r="DD6" s="22">
        <f>IFERROR(VLOOKUP($C6,'Лист4'!$D:$AI,27,0)," ")</f>
        <v>5</v>
      </c>
      <c r="DE6" s="22">
        <f>IFERROR(VLOOKUP($C6,'Лист4'!$D:$AI,28,0)," ")</f>
        <v>15</v>
      </c>
      <c r="DF6" s="22">
        <f>IFERROR(VLOOKUP($C6,'Лист4'!$D:$AI,29,0)," ")</f>
        <v>5</v>
      </c>
      <c r="DG6" s="22">
        <f t="shared" ref="DG6:DG435" si="3">IFERROR(DD6*DE6*DF6," ")</f>
        <v>375</v>
      </c>
      <c r="DH6" s="22">
        <f>IFERROR(VLOOKUP($C6,'Лист4'!$D:$AI,32,0)," ")</f>
        <v>0.092</v>
      </c>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43"/>
      <c r="EN6" s="43"/>
      <c r="EO6" s="43"/>
      <c r="EP6" s="43"/>
      <c r="EQ6" s="43"/>
      <c r="ER6" s="43"/>
      <c r="ES6" s="43"/>
      <c r="ET6" s="43"/>
      <c r="EU6" s="43"/>
      <c r="EV6" s="43"/>
      <c r="EW6" s="43"/>
      <c r="EX6" s="43"/>
      <c r="EY6" s="43"/>
      <c r="EZ6" s="43"/>
      <c r="FA6" s="43"/>
      <c r="FB6" s="43"/>
      <c r="FC6" s="43"/>
    </row>
    <row r="7" ht="18.0" customHeight="1">
      <c r="A7" s="2"/>
      <c r="B7" s="22" t="str">
        <f>IFERROR(VLOOKUP(C7,'Реестр'!C:AC,27,0)," ")</f>
        <v>Биг-Л</v>
      </c>
      <c r="C7" s="43" t="s">
        <v>147</v>
      </c>
      <c r="D7" s="22" t="str">
        <f>IFERROR(VLOOKUP(C7,'Лист4'!D:P,13,0)," ")</f>
        <v>Harly</v>
      </c>
      <c r="E7" s="22" t="str">
        <f>IF(OR(ISERROR(VLOOKUP(C7,'Актуальность'!A:B,2,0)), VLOOKUP(C7,'Актуальность'!A:B,2,0)=""), "Актуальный", VLOOKUP(C7,'Актуальность'!A:B,2,0))</f>
        <v>Актуальный</v>
      </c>
      <c r="F7" s="43" t="str">
        <f>IFERROR(VLOOKUP(C7,'Актуальность'!A:C,3,0)," ")</f>
        <v/>
      </c>
      <c r="G7" s="43"/>
      <c r="H7" s="22" t="s">
        <v>121</v>
      </c>
      <c r="I7" s="22" t="s">
        <v>122</v>
      </c>
      <c r="J7" s="43"/>
      <c r="K7" s="43"/>
      <c r="L7" s="22" t="b">
        <f t="shared" ref="L7:R7" si="2">T7&lt;&gt;""</f>
        <v>1</v>
      </c>
      <c r="M7" s="22" t="b">
        <f t="shared" si="2"/>
        <v>1</v>
      </c>
      <c r="N7" s="22" t="b">
        <f t="shared" si="2"/>
        <v>1</v>
      </c>
      <c r="O7" s="22" t="b">
        <f t="shared" si="2"/>
        <v>1</v>
      </c>
      <c r="P7" s="22" t="b">
        <f t="shared" si="2"/>
        <v>0</v>
      </c>
      <c r="Q7" s="22" t="b">
        <f t="shared" si="2"/>
        <v>0</v>
      </c>
      <c r="R7" s="22" t="b">
        <f t="shared" si="2"/>
        <v>0</v>
      </c>
      <c r="S7" s="43"/>
      <c r="T7" s="43" t="str">
        <f>IFERROR(VLOOKUP( C7,'1С'!A:B,2,0)," ")</f>
        <v>HB101100400</v>
      </c>
      <c r="U7" s="22" t="str">
        <f>IFERROR(VLOOKUP(T7,'Лист4'!C:I,3,0)," ")</f>
        <v>Harly_cat_support_100tabs</v>
      </c>
      <c r="V7" s="22" t="str">
        <f>IFERROR(VLOOKUP(T7,'Лист4'!C:I,4,0)," ")</f>
        <v>Harly_cat_support_100tabs</v>
      </c>
      <c r="W7" s="22" t="str">
        <f>IFERROR(VLOOKUP(T7,'Лист4'!C:I,5,0)," ")</f>
        <v>Harly_cat_support_100tabs</v>
      </c>
      <c r="X7" s="43" t="str">
        <f>IFERROR(VLOOKUP(T7,'Лист4'!C:I,7,0)," ")</f>
        <v/>
      </c>
      <c r="Y7" s="43" t="str">
        <f>IFERROR(VLOOKUP(T7,'Лист4'!C:I,6,0)," ")</f>
        <v/>
      </c>
      <c r="Z7" s="43"/>
      <c r="AA7" s="43"/>
      <c r="AB7" s="22">
        <v>1.6368338E8</v>
      </c>
      <c r="AC7" s="22">
        <v>1.010948247E9</v>
      </c>
      <c r="AD7" s="22">
        <v>1.02632683755E11</v>
      </c>
      <c r="AE7" s="22"/>
      <c r="AF7" s="22"/>
      <c r="AG7" s="43"/>
      <c r="AH7" s="43"/>
      <c r="AI7" s="43" t="str">
        <f>IFERROR(VLOOKUP(T7,'1С'!B:C,2,0)," ")</f>
        <v>Витамины для кастрированных котов, Harly, 100 таблеток</v>
      </c>
      <c r="AJ7" s="22" t="s">
        <v>150</v>
      </c>
      <c r="AK7" s="22" t="s">
        <v>151</v>
      </c>
      <c r="AL7" s="22" t="s">
        <v>152</v>
      </c>
      <c r="AM7" s="43"/>
      <c r="AN7" s="43"/>
      <c r="AO7" s="43"/>
      <c r="AP7" s="43"/>
      <c r="AQ7" s="46" t="s">
        <v>153</v>
      </c>
      <c r="AR7" s="46" t="s">
        <v>154</v>
      </c>
      <c r="AS7" s="46" t="s">
        <v>155</v>
      </c>
      <c r="AT7" s="43"/>
      <c r="AU7" s="43"/>
      <c r="AV7" s="43"/>
      <c r="AW7" s="43"/>
      <c r="AX7" s="22" t="s">
        <v>156</v>
      </c>
      <c r="AY7" s="22" t="s">
        <v>151</v>
      </c>
      <c r="AZ7" s="22" t="s">
        <v>157</v>
      </c>
      <c r="BA7" s="43"/>
      <c r="BB7" s="43"/>
      <c r="BC7" s="43"/>
      <c r="BD7" s="43"/>
      <c r="BE7" s="43"/>
      <c r="BF7" s="22">
        <f>IFERROR(VLOOKUP(C7,'спецификация'!B:D,3,0)," ")</f>
        <v>4605543011153</v>
      </c>
      <c r="BG7" s="22">
        <v>2.3099031E9</v>
      </c>
      <c r="BH7" s="22" t="str">
        <f>IFERROR(VLOOKUP(C7,'спецификация'!B:AA,5,0)," ")</f>
        <v>СТО 42310364-0042-2023</v>
      </c>
      <c r="BI7" s="46" t="s">
        <v>159</v>
      </c>
      <c r="BJ7" s="22" t="str">
        <f>IFERROR(VLOOKUP(C7,'спецификация'!B:AA,6,0)," ")</f>
        <v>меркурий</v>
      </c>
      <c r="BK7" s="43"/>
      <c r="BL7" s="43"/>
      <c r="BM7" s="22" t="str">
        <f>IFERROR(VLOOKUP(BF7,'спецификация'!D:H,5,0)," ")</f>
        <v>лактоза; дрожжи пивные; фитокомплекс: листьев березы, створок фасоли, листьев подорожника большого, травы душицы, корней одуванчика, травы тысячелистника, цветков ноготков, травы зверобоя, цветков лабазника вязолистного, листьев мяты перечной, цветков ромашки; минеральный комплекс; мука рыбная; крахмал; стеарат кальция; L-карнитин; ПВП; таурин; сера; масло рыжиковое; краситель пищевой.</v>
      </c>
      <c r="BN7" s="50"/>
      <c r="BO7" s="22" t="str">
        <f>IFERROR(VLOOKUP(C7,'спецификация'!B:AA,10,0)," ")</f>
        <v>корм дают ежедневно по 1 г (2 шт.) 2 раза в день</v>
      </c>
      <c r="BP7" s="43" t="str">
        <f>IFERROR(VLOOKUP(C7,'спецификация'!B:AA,11,0)," ")</f>
        <v/>
      </c>
      <c r="BQ7" s="22" t="str">
        <f>IFERROR(VLOOKUP(C7,'спецификация'!B:AA,12,0)," ")</f>
        <v>при температуре от 0 до 25 oС</v>
      </c>
      <c r="BR7" s="22">
        <v>100.0</v>
      </c>
      <c r="BS7" s="22" t="s">
        <v>164</v>
      </c>
      <c r="BT7" s="22"/>
      <c r="BU7" s="22"/>
      <c r="BV7" s="22" t="s">
        <v>165</v>
      </c>
      <c r="BW7" s="44" t="s">
        <v>166</v>
      </c>
      <c r="BX7" s="43"/>
      <c r="BY7" s="43"/>
      <c r="BZ7" s="45" t="str">
        <f>IFERROR(VLOOKUP(BF7,'спецификация'!D:Y,22,0)," ")</f>
        <v>Harly Витамины для животных</v>
      </c>
      <c r="CA7" s="43"/>
      <c r="CB7" s="43"/>
      <c r="CC7" s="43"/>
      <c r="CD7" s="43"/>
      <c r="CE7" s="43"/>
      <c r="CF7" s="43"/>
      <c r="CG7" s="49">
        <f>IFERROR(VLOOKUP(C7,CC!A:D,4,0)," ")</f>
        <v>53.65</v>
      </c>
      <c r="CH7" s="22" t="str">
        <f>IFERROR(VLOOKUP(C7,'спецификация'!B:AA,19,0)," ")</f>
        <v>ООО "ВЕДА"</v>
      </c>
      <c r="CI7" s="22"/>
      <c r="CJ7" s="22" t="s">
        <v>168</v>
      </c>
      <c r="CK7" s="22">
        <f>IFERROR(VLOOKUP(C7,CC!K:M,3,0)," ")</f>
        <v>30</v>
      </c>
      <c r="CL7" s="43"/>
      <c r="CM7" s="43"/>
      <c r="CN7" s="43"/>
      <c r="CO7" s="43"/>
      <c r="CP7" s="43"/>
      <c r="CQ7" s="43"/>
      <c r="CR7" s="43"/>
      <c r="CS7" s="43" t="b">
        <v>0</v>
      </c>
      <c r="CT7" s="43" t="b">
        <v>0</v>
      </c>
      <c r="CU7" s="43" t="b">
        <v>0</v>
      </c>
      <c r="CV7" s="43" t="b">
        <v>0</v>
      </c>
      <c r="CW7" s="43"/>
      <c r="CX7" s="43"/>
      <c r="CY7" s="43"/>
      <c r="CZ7" s="43"/>
      <c r="DA7" s="22" t="s">
        <v>169</v>
      </c>
      <c r="DB7" s="43"/>
      <c r="DC7" s="43"/>
      <c r="DD7" s="22">
        <f>IFERROR(VLOOKUP($C7,'Лист4'!$D:$AI,27,0)," ")</f>
        <v>4</v>
      </c>
      <c r="DE7" s="22">
        <f>IFERROR(VLOOKUP($C7,'Лист4'!$D:$AI,28,0)," ")</f>
        <v>8</v>
      </c>
      <c r="DF7" s="22">
        <f>IFERROR(VLOOKUP($C7,'Лист4'!$D:$AI,29,0)," ")</f>
        <v>4</v>
      </c>
      <c r="DG7" s="22">
        <f t="shared" si="3"/>
        <v>128</v>
      </c>
      <c r="DH7" s="22">
        <f>IFERROR(VLOOKUP($C7,'Лист4'!$D:$AI,32,0)," ")</f>
        <v>0.06</v>
      </c>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43"/>
      <c r="EN7" s="43"/>
      <c r="EO7" s="43"/>
      <c r="EP7" s="43"/>
      <c r="EQ7" s="43"/>
      <c r="ER7" s="43"/>
      <c r="ES7" s="43"/>
      <c r="ET7" s="43"/>
      <c r="EU7" s="43"/>
      <c r="EV7" s="43"/>
      <c r="EW7" s="43"/>
      <c r="EX7" s="43"/>
      <c r="EY7" s="43"/>
      <c r="EZ7" s="43"/>
      <c r="FA7" s="43"/>
      <c r="FB7" s="43"/>
      <c r="FC7" s="43"/>
    </row>
    <row r="8" ht="18.0" customHeight="1">
      <c r="A8" s="2"/>
      <c r="B8" s="22" t="str">
        <f>IFERROR(VLOOKUP(C8,'Реестр'!C:AC,27,0)," ")</f>
        <v>Биг-Л</v>
      </c>
      <c r="C8" s="43" t="s">
        <v>170</v>
      </c>
      <c r="D8" s="22" t="str">
        <f>IFERROR(VLOOKUP(C8,'Лист4'!D:P,13,0)," ")</f>
        <v>Harly</v>
      </c>
      <c r="E8" s="22" t="str">
        <f>IF(OR(ISERROR(VLOOKUP(C8,'Актуальность'!A:B,2,0)), VLOOKUP(C8,'Актуальность'!A:B,2,0)=""), "Актуальный", VLOOKUP(C8,'Актуальность'!A:B,2,0))</f>
        <v>Актуальный</v>
      </c>
      <c r="F8" s="43" t="str">
        <f>IFERROR(VLOOKUP(C8,'Актуальность'!A:C,3,0)," ")</f>
        <v/>
      </c>
      <c r="G8" s="43"/>
      <c r="H8" s="22" t="s">
        <v>121</v>
      </c>
      <c r="I8" s="22" t="s">
        <v>122</v>
      </c>
      <c r="J8" s="43"/>
      <c r="K8" s="43"/>
      <c r="L8" s="22" t="b">
        <f t="shared" ref="L8:R8" si="4">T8&lt;&gt;""</f>
        <v>1</v>
      </c>
      <c r="M8" s="22" t="b">
        <f t="shared" si="4"/>
        <v>1</v>
      </c>
      <c r="N8" s="22" t="b">
        <f t="shared" si="4"/>
        <v>1</v>
      </c>
      <c r="O8" s="22" t="b">
        <f t="shared" si="4"/>
        <v>1</v>
      </c>
      <c r="P8" s="22" t="b">
        <f t="shared" si="4"/>
        <v>0</v>
      </c>
      <c r="Q8" s="22" t="b">
        <f t="shared" si="4"/>
        <v>0</v>
      </c>
      <c r="R8" s="22" t="b">
        <f t="shared" si="4"/>
        <v>0</v>
      </c>
      <c r="S8" s="43"/>
      <c r="T8" s="43" t="str">
        <f>IFERROR(VLOOKUP( C8,'1С'!A:B,2,0)," ")</f>
        <v>HB101100401</v>
      </c>
      <c r="U8" s="22" t="str">
        <f>IFERROR(VLOOKUP(T8,'Лист4'!C:I,3,0)," ")</f>
        <v>Harly_cat_teeth_bones_100tabs</v>
      </c>
      <c r="V8" s="22" t="str">
        <f>IFERROR(VLOOKUP(T8,'Лист4'!C:I,4,0)," ")</f>
        <v>Harly_cat_teeth_bones_100tabs</v>
      </c>
      <c r="W8" s="22" t="str">
        <f>IFERROR(VLOOKUP(T8,'Лист4'!C:I,5,0)," ")</f>
        <v>Harly_cat_teeth_bones_100tabs</v>
      </c>
      <c r="X8" s="43" t="str">
        <f>IFERROR(VLOOKUP(T8,'Лист4'!C:I,7,0)," ")</f>
        <v/>
      </c>
      <c r="Y8" s="43" t="str">
        <f>IFERROR(VLOOKUP(T8,'Лист4'!C:I,6,0)," ")</f>
        <v/>
      </c>
      <c r="Z8" s="43"/>
      <c r="AA8" s="43"/>
      <c r="AB8" s="22">
        <v>1.63688556E8</v>
      </c>
      <c r="AC8" s="22">
        <v>1.018532111E9</v>
      </c>
      <c r="AD8" s="22">
        <v>1.02625995832E11</v>
      </c>
      <c r="AE8" s="22"/>
      <c r="AF8" s="22"/>
      <c r="AG8" s="43"/>
      <c r="AH8" s="43"/>
      <c r="AI8" s="43" t="str">
        <f>IFERROR(VLOOKUP(T8,'1С'!B:C,2,0)," ")</f>
        <v>Витамины для костей для кошек, Harly, 100 таблеток</v>
      </c>
      <c r="AJ8" s="22" t="s">
        <v>174</v>
      </c>
      <c r="AK8" s="22" t="s">
        <v>175</v>
      </c>
      <c r="AL8" s="22" t="s">
        <v>176</v>
      </c>
      <c r="AM8" s="43"/>
      <c r="AN8" s="43"/>
      <c r="AO8" s="43"/>
      <c r="AP8" s="43"/>
      <c r="AQ8" s="46" t="s">
        <v>177</v>
      </c>
      <c r="AR8" s="46" t="s">
        <v>178</v>
      </c>
      <c r="AS8" s="46" t="s">
        <v>179</v>
      </c>
      <c r="AT8" s="43"/>
      <c r="AU8" s="43"/>
      <c r="AV8" s="43"/>
      <c r="AW8" s="43"/>
      <c r="AX8" s="22" t="s">
        <v>156</v>
      </c>
      <c r="AY8" s="22" t="s">
        <v>175</v>
      </c>
      <c r="AZ8" s="22" t="s">
        <v>157</v>
      </c>
      <c r="BA8" s="43"/>
      <c r="BB8" s="43"/>
      <c r="BC8" s="43"/>
      <c r="BD8" s="43"/>
      <c r="BE8" s="43"/>
      <c r="BF8" s="22">
        <f>IFERROR(VLOOKUP(C8,'спецификация'!B:D,3,0)," ")</f>
        <v>4605543011160</v>
      </c>
      <c r="BG8" s="22">
        <v>2.3099031E9</v>
      </c>
      <c r="BH8" s="22" t="str">
        <f>IFERROR(VLOOKUP(C8,'спецификация'!B:AA,5,0)," ")</f>
        <v>СТО 42310364-0043-2023</v>
      </c>
      <c r="BI8" s="46" t="s">
        <v>181</v>
      </c>
      <c r="BJ8" s="22" t="str">
        <f>IFERROR(VLOOKUP(C8,'спецификация'!B:AA,6,0)," ")</f>
        <v>меркурий</v>
      </c>
      <c r="BK8" s="43"/>
      <c r="BL8" s="43"/>
      <c r="BM8" s="22" t="str">
        <f>IFERROR(VLOOKUP(BF8,'спецификация'!D:H,5,0)," ")</f>
        <v>дрожжи пивные, лактоза; крахмал; фитокомплекс: корневищ аира, травы хвоща полевого, цветков лабазника вязолистного, травы фиалки, листьев березы, листьев шалфея, корней лопуха, почек березовых, цветков ноготков, листьев мяты перечной, почек сосны; природный минеральный комплекс; паровая мука рыбная; гидролизат коллагена; L-карнитин; таурин; сера; стеарат кальция.</v>
      </c>
      <c r="BN8" s="43"/>
      <c r="BO8" s="22" t="str">
        <f>IFERROR(VLOOKUP(C8,'спецификация'!B:AA,10,0)," ")</f>
        <v>котятам по 0,5г - 1 г (1-2 шт) 2 раза в день; кошкам старше 8 месяцев  по 1-1,5 г (2-3 шт) раза в день; длястареющим животных по 1 г (1) 2 раза в день</v>
      </c>
      <c r="BP8" s="43" t="str">
        <f>IFERROR(VLOOKUP(C8,'спецификация'!B:AA,11,0)," ")</f>
        <v/>
      </c>
      <c r="BQ8" s="22" t="str">
        <f>IFERROR(VLOOKUP(C8,'спецификация'!B:AA,12,0)," ")</f>
        <v>при температуре от 0 до 25 oС</v>
      </c>
      <c r="BR8" s="22">
        <v>100.0</v>
      </c>
      <c r="BS8" s="22" t="s">
        <v>164</v>
      </c>
      <c r="BT8" s="22"/>
      <c r="BU8" s="22"/>
      <c r="BV8" s="22" t="s">
        <v>165</v>
      </c>
      <c r="BW8" s="44" t="s">
        <v>184</v>
      </c>
      <c r="BX8" s="43"/>
      <c r="BY8" s="43"/>
      <c r="BZ8" s="45" t="str">
        <f>IFERROR(VLOOKUP(BF8,'спецификация'!D:Y,22,0)," ")</f>
        <v>Harly Витамины для животных</v>
      </c>
      <c r="CA8" s="43"/>
      <c r="CB8" s="43"/>
      <c r="CC8" s="43"/>
      <c r="CD8" s="43"/>
      <c r="CE8" s="43"/>
      <c r="CF8" s="43"/>
      <c r="CG8" s="49">
        <f>IFERROR(VLOOKUP(C8,CC!A:D,4,0)," ")</f>
        <v>53.65</v>
      </c>
      <c r="CH8" s="22" t="str">
        <f>IFERROR(VLOOKUP(C8,'спецификация'!B:AA,19,0)," ")</f>
        <v>ООО "ВЕДА"</v>
      </c>
      <c r="CI8" s="22"/>
      <c r="CJ8" s="22" t="s">
        <v>168</v>
      </c>
      <c r="CK8" s="22">
        <f>IFERROR(VLOOKUP(C8,CC!K:M,3,0)," ")</f>
        <v>30</v>
      </c>
      <c r="CL8" s="43"/>
      <c r="CM8" s="43"/>
      <c r="CN8" s="43"/>
      <c r="CO8" s="43"/>
      <c r="CP8" s="43"/>
      <c r="CQ8" s="43"/>
      <c r="CR8" s="43"/>
      <c r="CS8" s="43" t="b">
        <v>0</v>
      </c>
      <c r="CT8" s="43" t="b">
        <v>0</v>
      </c>
      <c r="CU8" s="43" t="b">
        <v>0</v>
      </c>
      <c r="CV8" s="43" t="b">
        <v>0</v>
      </c>
      <c r="CW8" s="43"/>
      <c r="CX8" s="43"/>
      <c r="CY8" s="43"/>
      <c r="CZ8" s="43"/>
      <c r="DA8" s="22" t="s">
        <v>185</v>
      </c>
      <c r="DB8" s="43"/>
      <c r="DC8" s="43"/>
      <c r="DD8" s="22">
        <f>IFERROR(VLOOKUP($C8,'Лист4'!$D:$AI,27,0)," ")</f>
        <v>4</v>
      </c>
      <c r="DE8" s="22">
        <f>IFERROR(VLOOKUP($C8,'Лист4'!$D:$AI,28,0)," ")</f>
        <v>8</v>
      </c>
      <c r="DF8" s="22">
        <f>IFERROR(VLOOKUP($C8,'Лист4'!$D:$AI,29,0)," ")</f>
        <v>4</v>
      </c>
      <c r="DG8" s="22">
        <f t="shared" si="3"/>
        <v>128</v>
      </c>
      <c r="DH8" s="22">
        <f>IFERROR(VLOOKUP($C8,'Лист4'!$D:$AI,32,0)," ")</f>
        <v>0.06</v>
      </c>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43"/>
      <c r="EN8" s="43"/>
      <c r="EO8" s="43"/>
      <c r="EP8" s="43"/>
      <c r="EQ8" s="43"/>
      <c r="ER8" s="43"/>
      <c r="ES8" s="43"/>
      <c r="ET8" s="43"/>
      <c r="EU8" s="43"/>
      <c r="EV8" s="43"/>
      <c r="EW8" s="43"/>
      <c r="EX8" s="43"/>
      <c r="EY8" s="43"/>
      <c r="EZ8" s="43"/>
      <c r="FA8" s="43"/>
      <c r="FB8" s="43"/>
      <c r="FC8" s="43"/>
    </row>
    <row r="9" ht="18.0" customHeight="1">
      <c r="A9" s="2"/>
      <c r="B9" s="22" t="str">
        <f>IFERROR(VLOOKUP(C9,'Реестр'!C:AC,27,0)," ")</f>
        <v>Биг-Л</v>
      </c>
      <c r="C9" s="43" t="s">
        <v>186</v>
      </c>
      <c r="D9" s="22" t="str">
        <f>IFERROR(VLOOKUP(C9,'Лист4'!D:P,13,0)," ")</f>
        <v>Harly</v>
      </c>
      <c r="E9" s="22" t="str">
        <f>IF(OR(ISERROR(VLOOKUP(C9,'Актуальность'!A:B,2,0)), VLOOKUP(C9,'Актуальность'!A:B,2,0)=""), "Актуальный", VLOOKUP(C9,'Актуальность'!A:B,2,0))</f>
        <v>Вывод</v>
      </c>
      <c r="F9" s="43" t="str">
        <f>IFERROR(VLOOKUP(C9,'Актуальность'!A:C,3,0)," ")</f>
        <v>Перезавели v2</v>
      </c>
      <c r="G9" s="43"/>
      <c r="H9" s="22" t="s">
        <v>121</v>
      </c>
      <c r="I9" s="22" t="s">
        <v>122</v>
      </c>
      <c r="J9" s="43"/>
      <c r="K9" s="43"/>
      <c r="L9" s="22" t="b">
        <f t="shared" ref="L9:R9" si="5">T9&lt;&gt;""</f>
        <v>1</v>
      </c>
      <c r="M9" s="22" t="b">
        <f t="shared" si="5"/>
        <v>1</v>
      </c>
      <c r="N9" s="22" t="b">
        <f t="shared" si="5"/>
        <v>1</v>
      </c>
      <c r="O9" s="22" t="b">
        <f t="shared" si="5"/>
        <v>1</v>
      </c>
      <c r="P9" s="22" t="b">
        <f t="shared" si="5"/>
        <v>0</v>
      </c>
      <c r="Q9" s="22" t="b">
        <f t="shared" si="5"/>
        <v>0</v>
      </c>
      <c r="R9" s="22" t="b">
        <f t="shared" si="5"/>
        <v>0</v>
      </c>
      <c r="S9" s="43"/>
      <c r="T9" s="43" t="str">
        <f>IFERROR(VLOOKUP( C9,'1С'!A:B,2,0)," ")</f>
        <v>HB101100408</v>
      </c>
      <c r="U9" s="22" t="str">
        <f>IFERROR(VLOOKUP(T9,'Лист4'!C:I,3,0)," ")</f>
        <v>harly_paste_75ml</v>
      </c>
      <c r="V9" s="22" t="str">
        <f>IFERROR(VLOOKUP(T9,'Лист4'!C:I,4,0)," ")</f>
        <v>harly_paste_75ml</v>
      </c>
      <c r="W9" s="22" t="str">
        <f>IFERROR(VLOOKUP(T9,'Лист4'!C:I,5,0)," ")</f>
        <v>harly_paste_75ml</v>
      </c>
      <c r="X9" s="43" t="str">
        <f>IFERROR(VLOOKUP(T9,'Лист4'!C:I,7,0)," ")</f>
        <v/>
      </c>
      <c r="Y9" s="43" t="str">
        <f>IFERROR(VLOOKUP(T9,'Лист4'!C:I,6,0)," ")</f>
        <v/>
      </c>
      <c r="Z9" s="43"/>
      <c r="AA9" s="43"/>
      <c r="AB9" s="22">
        <v>2.65523439E8</v>
      </c>
      <c r="AC9" s="22">
        <v>1.711363073E9</v>
      </c>
      <c r="AD9" s="22">
        <v>1.03597697138E11</v>
      </c>
      <c r="AE9" s="22"/>
      <c r="AF9" s="22"/>
      <c r="AG9" s="43"/>
      <c r="AH9" s="43"/>
      <c r="AI9" s="43" t="str">
        <f>IFERROR(VLOOKUP(T9,'1С'!B:C,2,0)," ")</f>
        <v>Паста для вывода шерсти кошек ,Harly, 75 мл</v>
      </c>
      <c r="AJ9" s="22" t="s">
        <v>124</v>
      </c>
      <c r="AK9" s="22" t="s">
        <v>125</v>
      </c>
      <c r="AL9" s="22" t="s">
        <v>190</v>
      </c>
      <c r="AM9" s="43"/>
      <c r="AN9" s="43"/>
      <c r="AO9" s="43"/>
      <c r="AP9" s="43"/>
      <c r="AQ9" s="46" t="s">
        <v>191</v>
      </c>
      <c r="AR9" s="46" t="s">
        <v>192</v>
      </c>
      <c r="AS9" s="46" t="s">
        <v>193</v>
      </c>
      <c r="AT9" s="43"/>
      <c r="AU9" s="43"/>
      <c r="AV9" s="43"/>
      <c r="AW9" s="43"/>
      <c r="AX9" s="22" t="s">
        <v>128</v>
      </c>
      <c r="AY9" s="22" t="s">
        <v>125</v>
      </c>
      <c r="AZ9" s="22" t="s">
        <v>157</v>
      </c>
      <c r="BA9" s="43"/>
      <c r="BB9" s="43"/>
      <c r="BC9" s="43"/>
      <c r="BD9" s="43"/>
      <c r="BE9" s="43"/>
      <c r="BF9" s="22">
        <f>IFERROR(VLOOKUP(C9,'спецификация'!B:D,3,0)," ")</f>
        <v>4605543013096</v>
      </c>
      <c r="BG9" s="22">
        <v>2.309909609E9</v>
      </c>
      <c r="BH9" s="22" t="str">
        <f>IFERROR(VLOOKUP(C9,'спецификация'!B:AA,5,0)," ")</f>
        <v>ДС</v>
      </c>
      <c r="BI9" s="22"/>
      <c r="BJ9" s="22" t="str">
        <f>IFERROR(VLOOKUP(C9,'спецификация'!B:AA,6,0)," ")</f>
        <v>меркурий, ЧЗ</v>
      </c>
      <c r="BK9" s="43"/>
      <c r="BL9" s="43"/>
      <c r="BM9" s="22" t="str">
        <f>IFERROR(VLOOKUP(BF9,'спецификация'!D:H,5,0)," ")</f>
        <v>Состав : масло растительное пищевое, гидролизат белковый, жир растительный, стабилизатор, экстракт солода, масло клещевины, волокна растительные пищевые, масло вазелиновое, лецитин соевый, экстракт кошачьей мяты, антиоксидант, консервант.
</v>
      </c>
      <c r="BN9" s="43"/>
      <c r="BO9" s="22" t="s">
        <v>137</v>
      </c>
      <c r="BP9" s="43" t="str">
        <f>IFERROR(VLOOKUP(C9,'спецификация'!B:AA,11,0)," ")</f>
        <v/>
      </c>
      <c r="BQ9" s="22" t="s">
        <v>138</v>
      </c>
      <c r="BR9" s="22">
        <v>75.0</v>
      </c>
      <c r="BS9" s="22" t="s">
        <v>139</v>
      </c>
      <c r="BT9" s="22"/>
      <c r="BU9" s="22"/>
      <c r="BV9" s="22" t="s">
        <v>140</v>
      </c>
      <c r="BW9" s="44" t="str">
        <f>IFERROR(VLOOKUP(C9,'спецификация'!B:AA,16,0)," ")</f>
        <v>https://docs.google.com/document/d/1XPxvc0_rnwY-m_Fi8Z3tguz_Y9D15h6gupsd_lqR5Tk/edit</v>
      </c>
      <c r="BX9" s="43"/>
      <c r="BY9" s="43"/>
      <c r="BZ9" s="45" t="str">
        <f>IFERROR(VLOOKUP(BF9,'спецификация'!D:Y,22,0)," ")</f>
        <v/>
      </c>
      <c r="CA9" s="43"/>
      <c r="CB9" s="43"/>
      <c r="CC9" s="43"/>
      <c r="CD9" s="43"/>
      <c r="CE9" s="43"/>
      <c r="CF9" s="43"/>
      <c r="CG9" s="49">
        <f>IFERROR(VLOOKUP(C9,CC!A:D,4,0)," ")</f>
        <v>102</v>
      </c>
      <c r="CH9" s="22" t="str">
        <f>IFERROR(VLOOKUP(C9,'спецификация'!B:AA,19,0)," ")</f>
        <v>ООО "ВЕДА"</v>
      </c>
      <c r="CI9" s="22"/>
      <c r="CJ9" s="22" t="s">
        <v>168</v>
      </c>
      <c r="CK9" s="22">
        <f>IFERROR(VLOOKUP(C9,CC!K:M,3,0)," ")</f>
        <v>30</v>
      </c>
      <c r="CL9" s="43"/>
      <c r="CM9" s="43"/>
      <c r="CN9" s="43"/>
      <c r="CO9" s="43"/>
      <c r="CP9" s="43"/>
      <c r="CQ9" s="43"/>
      <c r="CR9" s="43"/>
      <c r="CS9" s="43" t="b">
        <v>0</v>
      </c>
      <c r="CT9" s="43" t="b">
        <v>0</v>
      </c>
      <c r="CU9" s="43" t="b">
        <v>0</v>
      </c>
      <c r="CV9" s="43" t="b">
        <v>0</v>
      </c>
      <c r="CW9" s="43"/>
      <c r="CX9" s="43"/>
      <c r="CY9" s="43"/>
      <c r="CZ9" s="43"/>
      <c r="DA9" s="43"/>
      <c r="DB9" s="43"/>
      <c r="DC9" s="43"/>
      <c r="DD9" s="22">
        <f>IFERROR(VLOOKUP($C9,'Лист4'!$D:$AI,27,0)," ")</f>
        <v>5</v>
      </c>
      <c r="DE9" s="22">
        <f>IFERROR(VLOOKUP($C9,'Лист4'!$D:$AI,28,0)," ")</f>
        <v>15</v>
      </c>
      <c r="DF9" s="22">
        <f>IFERROR(VLOOKUP($C9,'Лист4'!$D:$AI,29,0)," ")</f>
        <v>5</v>
      </c>
      <c r="DG9" s="22">
        <f t="shared" si="3"/>
        <v>375</v>
      </c>
      <c r="DH9" s="22">
        <f>IFERROR(VLOOKUP($C9,'Лист4'!$D:$AI,32,0)," ")</f>
        <v>0.092</v>
      </c>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43"/>
      <c r="EN9" s="43"/>
      <c r="EO9" s="43"/>
      <c r="EP9" s="43"/>
      <c r="EQ9" s="43"/>
      <c r="ER9" s="43"/>
      <c r="ES9" s="43"/>
      <c r="ET9" s="43"/>
      <c r="EU9" s="43"/>
      <c r="EV9" s="43"/>
      <c r="EW9" s="43"/>
      <c r="EX9" s="43"/>
      <c r="EY9" s="43"/>
      <c r="EZ9" s="43"/>
      <c r="FA9" s="43"/>
      <c r="FB9" s="43"/>
      <c r="FC9" s="43"/>
    </row>
    <row r="10" ht="18.0" customHeight="1">
      <c r="A10" s="2"/>
      <c r="B10" s="22" t="str">
        <f>IFERROR(VLOOKUP(C10,'Реестр'!C:AC,27,0)," ")</f>
        <v>Биг-Л</v>
      </c>
      <c r="C10" s="43" t="s">
        <v>196</v>
      </c>
      <c r="D10" s="22" t="str">
        <f>IFERROR(VLOOKUP(C10,'Лист4'!D:P,13,0)," ")</f>
        <v>Harly</v>
      </c>
      <c r="E10" s="22" t="str">
        <f>IF(OR(ISERROR(VLOOKUP(C10,'Актуальность'!A:B,2,0)), VLOOKUP(C10,'Актуальность'!A:B,2,0)=""), "Актуальный", VLOOKUP(C10,'Актуальность'!A:B,2,0))</f>
        <v>Актуальный</v>
      </c>
      <c r="F10" s="43" t="str">
        <f>IFERROR(VLOOKUP(C10,'Актуальность'!A:C,3,0)," ")</f>
        <v/>
      </c>
      <c r="G10" s="43"/>
      <c r="H10" s="22" t="s">
        <v>121</v>
      </c>
      <c r="I10" s="22" t="s">
        <v>198</v>
      </c>
      <c r="J10" s="43"/>
      <c r="K10" s="43"/>
      <c r="L10" s="22" t="b">
        <f t="shared" ref="L10:R10" si="6">T10&lt;&gt;""</f>
        <v>1</v>
      </c>
      <c r="M10" s="22" t="b">
        <f t="shared" si="6"/>
        <v>1</v>
      </c>
      <c r="N10" s="22" t="b">
        <f t="shared" si="6"/>
        <v>1</v>
      </c>
      <c r="O10" s="22" t="b">
        <f t="shared" si="6"/>
        <v>1</v>
      </c>
      <c r="P10" s="22" t="b">
        <f t="shared" si="6"/>
        <v>0</v>
      </c>
      <c r="Q10" s="22" t="b">
        <f t="shared" si="6"/>
        <v>0</v>
      </c>
      <c r="R10" s="22" t="b">
        <f t="shared" si="6"/>
        <v>0</v>
      </c>
      <c r="S10" s="43"/>
      <c r="T10" s="43" t="str">
        <f>IFERROR(VLOOKUP( C10,'1С'!A:B,2,0)," ")</f>
        <v>HB101100402</v>
      </c>
      <c r="U10" s="22" t="str">
        <f>IFERROR(VLOOKUP(T10,'Лист4'!C:I,3,0)," ")</f>
        <v>Harly_Skin_Coat</v>
      </c>
      <c r="V10" s="22" t="str">
        <f>IFERROR(VLOOKUP(T10,'Лист4'!C:I,4,0)," ")</f>
        <v>Harly_Skin_Coat</v>
      </c>
      <c r="W10" s="22" t="str">
        <f>IFERROR(VLOOKUP(T10,'Лист4'!C:I,5,0)," ")</f>
        <v>Harly_Skin_Coat</v>
      </c>
      <c r="X10" s="43" t="str">
        <f>IFERROR(VLOOKUP(T10,'Лист4'!C:I,7,0)," ")</f>
        <v/>
      </c>
      <c r="Y10" s="43" t="str">
        <f>IFERROR(VLOOKUP(T10,'Лист4'!C:I,6,0)," ")</f>
        <v/>
      </c>
      <c r="Z10" s="43"/>
      <c r="AA10" s="43"/>
      <c r="AB10" s="22">
        <v>1.50253274E8</v>
      </c>
      <c r="AC10" s="22">
        <v>8.84560852E8</v>
      </c>
      <c r="AD10" s="22">
        <v>1.02626212762E11</v>
      </c>
      <c r="AE10" s="22"/>
      <c r="AF10" s="22"/>
      <c r="AG10" s="43"/>
      <c r="AH10" s="43"/>
      <c r="AI10" s="43" t="str">
        <f>IFERROR(VLOOKUP(T10,'1С'!B:C,2,0)," ")</f>
        <v>Витамины для здоровой шерсти для собак, Harly, 100 таблеток</v>
      </c>
      <c r="AJ10" s="22" t="s">
        <v>200</v>
      </c>
      <c r="AK10" s="22" t="s">
        <v>201</v>
      </c>
      <c r="AL10" s="22" t="s">
        <v>201</v>
      </c>
      <c r="AM10" s="43"/>
      <c r="AN10" s="43"/>
      <c r="AO10" s="43"/>
      <c r="AP10" s="43"/>
      <c r="AQ10" s="46" t="s">
        <v>202</v>
      </c>
      <c r="AR10" s="46" t="s">
        <v>203</v>
      </c>
      <c r="AS10" s="46" t="s">
        <v>204</v>
      </c>
      <c r="AT10" s="43"/>
      <c r="AU10" s="43"/>
      <c r="AV10" s="43"/>
      <c r="AW10" s="43"/>
      <c r="AX10" s="22" t="s">
        <v>156</v>
      </c>
      <c r="AY10" s="22" t="s">
        <v>201</v>
      </c>
      <c r="AZ10" s="22" t="s">
        <v>157</v>
      </c>
      <c r="BA10" s="43"/>
      <c r="BB10" s="43"/>
      <c r="BC10" s="43"/>
      <c r="BD10" s="43"/>
      <c r="BE10" s="43"/>
      <c r="BF10" s="22" t="str">
        <f>IFERROR(VLOOKUP(C10,'спецификация'!B:D,3,0)," ")</f>
        <v>4605543011092</v>
      </c>
      <c r="BG10" s="22">
        <v>2.3099031E9</v>
      </c>
      <c r="BH10" s="22" t="str">
        <f>IFERROR(VLOOKUP(C10,'спецификация'!B:AA,5,0)," ")</f>
        <v>СТО 42310364-0061-2022</v>
      </c>
      <c r="BI10" s="46" t="s">
        <v>207</v>
      </c>
      <c r="BJ10" s="22" t="str">
        <f>IFERROR(VLOOKUP(C10,'спецификация'!B:AA,6,0)," ")</f>
        <v>меркурий</v>
      </c>
      <c r="BK10" s="43"/>
      <c r="BL10" s="43"/>
      <c r="BM10" s="22" t="str">
        <f>IFERROR(VLOOKUP(BF10,'спецификация'!D:H,5,0)," ")</f>
        <v>корней лопуха, листьев крапивы, листьев березы, цветков ромашки, травы чабреца, корневищ аира, травы череды, корней солодки, травы подмаренника, листьев подорожника, травы тысячелистника; минеральный комплекс; дрожжи пивные; L-карнитин; гидролизат коллагена; сера; вспомогательные компоненты.</v>
      </c>
      <c r="BN10" s="43"/>
      <c r="BO10" s="22" t="str">
        <f>IFERROR(VLOOKUP(C10,'спецификация'!B:AA,10,0)," ")</f>
        <v>щенкам и собакам мелких пород (10 кг) по 0,5г(1шт)  2 раза в день;собакам средних размеров (до 30 кг) по 1-1,5 г (2-3 шт)  раза в день;собакам крупных размеров (свыше 30 кг) по 2,5 (5 шт) 2 раза в день</v>
      </c>
      <c r="BP10" s="43" t="str">
        <f>IFERROR(VLOOKUP(C10,'спецификация'!B:AA,11,0)," ")</f>
        <v/>
      </c>
      <c r="BQ10" s="22" t="str">
        <f>IFERROR(VLOOKUP(C10,'спецификация'!B:AA,12,0)," ")</f>
        <v>при температуре от 0 до 25 oС</v>
      </c>
      <c r="BR10" s="22">
        <v>100.0</v>
      </c>
      <c r="BS10" s="22" t="s">
        <v>210</v>
      </c>
      <c r="BT10" s="22"/>
      <c r="BU10" s="22"/>
      <c r="BV10" s="22" t="s">
        <v>165</v>
      </c>
      <c r="BW10" s="44" t="s">
        <v>211</v>
      </c>
      <c r="BX10" s="43"/>
      <c r="BY10" s="43"/>
      <c r="BZ10" s="45" t="str">
        <f>IFERROR(VLOOKUP(BF10,'спецификация'!D:Y,22,0)," ")</f>
        <v>Harly Витамины для животных</v>
      </c>
      <c r="CA10" s="43"/>
      <c r="CB10" s="43"/>
      <c r="CC10" s="43"/>
      <c r="CD10" s="43"/>
      <c r="CE10" s="43"/>
      <c r="CF10" s="43"/>
      <c r="CG10" s="49">
        <f>IFERROR(VLOOKUP(C10,CC!A:D,4,0)," ")</f>
        <v>53.4</v>
      </c>
      <c r="CH10" s="22" t="str">
        <f>IFERROR(VLOOKUP(C10,'спецификация'!B:AA,19,0)," ")</f>
        <v>ООО "ВЕДА"</v>
      </c>
      <c r="CI10" s="22"/>
      <c r="CJ10" s="22" t="s">
        <v>168</v>
      </c>
      <c r="CK10" s="22">
        <f>IFERROR(VLOOKUP(C10,CC!K:M,3,0)," ")</f>
        <v>30</v>
      </c>
      <c r="CL10" s="43"/>
      <c r="CM10" s="43"/>
      <c r="CN10" s="43"/>
      <c r="CO10" s="43"/>
      <c r="CP10" s="43"/>
      <c r="CQ10" s="43"/>
      <c r="CR10" s="43"/>
      <c r="CS10" s="43" t="b">
        <v>0</v>
      </c>
      <c r="CT10" s="43" t="b">
        <v>0</v>
      </c>
      <c r="CU10" s="43" t="b">
        <v>0</v>
      </c>
      <c r="CV10" s="43" t="b">
        <v>0</v>
      </c>
      <c r="CW10" s="43"/>
      <c r="CX10" s="43"/>
      <c r="CY10" s="43"/>
      <c r="CZ10" s="43"/>
      <c r="DA10" s="43"/>
      <c r="DB10" s="43"/>
      <c r="DC10" s="43"/>
      <c r="DD10" s="22">
        <f>IFERROR(VLOOKUP($C10,'Лист4'!$D:$AI,27,0)," ")</f>
        <v>4</v>
      </c>
      <c r="DE10" s="22">
        <f>IFERROR(VLOOKUP($C10,'Лист4'!$D:$AI,28,0)," ")</f>
        <v>8</v>
      </c>
      <c r="DF10" s="22">
        <f>IFERROR(VLOOKUP($C10,'Лист4'!$D:$AI,29,0)," ")</f>
        <v>4</v>
      </c>
      <c r="DG10" s="22">
        <f t="shared" si="3"/>
        <v>128</v>
      </c>
      <c r="DH10" s="22">
        <f>IFERROR(VLOOKUP($C10,'Лист4'!$D:$AI,32,0)," ")</f>
        <v>0.06</v>
      </c>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43"/>
      <c r="EN10" s="43"/>
      <c r="EO10" s="43"/>
      <c r="EP10" s="43"/>
      <c r="EQ10" s="43"/>
      <c r="ER10" s="43"/>
      <c r="ES10" s="43"/>
      <c r="ET10" s="43"/>
      <c r="EU10" s="43"/>
      <c r="EV10" s="43"/>
      <c r="EW10" s="43"/>
      <c r="EX10" s="43"/>
      <c r="EY10" s="43"/>
      <c r="EZ10" s="43"/>
      <c r="FA10" s="43"/>
      <c r="FB10" s="43"/>
      <c r="FC10" s="43"/>
    </row>
    <row r="11" ht="18.0" customHeight="1">
      <c r="A11" s="2"/>
      <c r="B11" s="22" t="str">
        <f>IFERROR(VLOOKUP(C11,'Реестр'!C:AC,27,0)," ")</f>
        <v>Биг-Л</v>
      </c>
      <c r="C11" s="43" t="s">
        <v>212</v>
      </c>
      <c r="D11" s="22" t="str">
        <f>IFERROR(VLOOKUP(C11,'Лист4'!D:P,13,0)," ")</f>
        <v>Harly</v>
      </c>
      <c r="E11" s="22" t="str">
        <f>IF(OR(ISERROR(VLOOKUP(C11,'Актуальность'!A:B,2,0)), VLOOKUP(C11,'Актуальность'!A:B,2,0)=""), "Актуальный", VLOOKUP(C11,'Актуальность'!A:B,2,0))</f>
        <v>Актуальный</v>
      </c>
      <c r="F11" s="43" t="str">
        <f>IFERROR(VLOOKUP(C11,'Актуальность'!A:C,3,0)," ")</f>
        <v/>
      </c>
      <c r="G11" s="43"/>
      <c r="H11" s="22" t="s">
        <v>121</v>
      </c>
      <c r="I11" s="22" t="s">
        <v>198</v>
      </c>
      <c r="J11" s="43"/>
      <c r="K11" s="43"/>
      <c r="L11" s="22" t="b">
        <f t="shared" ref="L11:R11" si="7">T11&lt;&gt;""</f>
        <v>1</v>
      </c>
      <c r="M11" s="22" t="b">
        <f t="shared" si="7"/>
        <v>1</v>
      </c>
      <c r="N11" s="22" t="b">
        <f t="shared" si="7"/>
        <v>1</v>
      </c>
      <c r="O11" s="22" t="b">
        <f t="shared" si="7"/>
        <v>1</v>
      </c>
      <c r="P11" s="22" t="b">
        <f t="shared" si="7"/>
        <v>0</v>
      </c>
      <c r="Q11" s="22" t="b">
        <f t="shared" si="7"/>
        <v>0</v>
      </c>
      <c r="R11" s="22" t="b">
        <f t="shared" si="7"/>
        <v>0</v>
      </c>
      <c r="S11" s="43"/>
      <c r="T11" s="43" t="str">
        <f>IFERROR(VLOOKUP( C11,'1С'!A:B,2,0)," ")</f>
        <v>HB101100405</v>
      </c>
      <c r="U11" s="22" t="str">
        <f>IFERROR(VLOOKUP(T11,'Лист4'!C:I,3,0)," ")</f>
        <v>harly_dog_antiallergy_100tabs</v>
      </c>
      <c r="V11" s="22" t="str">
        <f>IFERROR(VLOOKUP(T11,'Лист4'!C:I,4,0)," ")</f>
        <v>harly_dog_antiallergy_100tabs</v>
      </c>
      <c r="W11" s="22" t="str">
        <f>IFERROR(VLOOKUP(T11,'Лист4'!C:I,5,0)," ")</f>
        <v>harly_dog_antiallergy_100tabs</v>
      </c>
      <c r="X11" s="43" t="str">
        <f>IFERROR(VLOOKUP(T11,'Лист4'!C:I,7,0)," ")</f>
        <v/>
      </c>
      <c r="Y11" s="43" t="str">
        <f>IFERROR(VLOOKUP(T11,'Лист4'!C:I,6,0)," ")</f>
        <v/>
      </c>
      <c r="Z11" s="43"/>
      <c r="AA11" s="43"/>
      <c r="AB11" s="22">
        <v>2.32468472E8</v>
      </c>
      <c r="AC11" s="22">
        <v>1.581829359E9</v>
      </c>
      <c r="AD11" s="22">
        <v>1.0352775138E11</v>
      </c>
      <c r="AE11" s="22"/>
      <c r="AF11" s="22"/>
      <c r="AG11" s="43"/>
      <c r="AH11" s="43"/>
      <c r="AI11" s="43" t="str">
        <f>IFERROR(VLOOKUP(T11,'1С'!B:C,2,0)," ")</f>
        <v>Витамины противоаллергические собакам, Harly, 100 таблеток</v>
      </c>
      <c r="AJ11" s="22" t="s">
        <v>215</v>
      </c>
      <c r="AK11" s="22" t="s">
        <v>216</v>
      </c>
      <c r="AL11" s="22" t="s">
        <v>217</v>
      </c>
      <c r="AM11" s="43"/>
      <c r="AN11" s="43"/>
      <c r="AO11" s="43"/>
      <c r="AP11" s="43"/>
      <c r="AQ11" s="46" t="s">
        <v>218</v>
      </c>
      <c r="AR11" s="46" t="s">
        <v>219</v>
      </c>
      <c r="AS11" s="46" t="s">
        <v>220</v>
      </c>
      <c r="AT11" s="43"/>
      <c r="AU11" s="43"/>
      <c r="AV11" s="43"/>
      <c r="AW11" s="43"/>
      <c r="AX11" s="22" t="s">
        <v>156</v>
      </c>
      <c r="AY11" s="22" t="s">
        <v>216</v>
      </c>
      <c r="AZ11" s="22" t="s">
        <v>221</v>
      </c>
      <c r="BA11" s="43"/>
      <c r="BB11" s="43"/>
      <c r="BC11" s="43"/>
      <c r="BD11" s="43"/>
      <c r="BE11" s="43"/>
      <c r="BF11" s="22">
        <f>IFERROR(VLOOKUP(C11,'спецификация'!B:D,3,0)," ")</f>
        <v>4605543012471</v>
      </c>
      <c r="BG11" s="22">
        <v>2.3099031E9</v>
      </c>
      <c r="BH11" s="22" t="str">
        <f>IFERROR(VLOOKUP(C11,'спецификация'!B:AA,5,0)," ")</f>
        <v>N РОСС RU Д-RU.PA01.B.15564/24 от 16.04.2024 до 14.04.2027</v>
      </c>
      <c r="BI11" s="46" t="s">
        <v>223</v>
      </c>
      <c r="BJ11" s="22" t="str">
        <f>IFERROR(VLOOKUP(C11,'спецификация'!B:AA,6,0)," ")</f>
        <v>меркурий</v>
      </c>
      <c r="BK11" s="43"/>
      <c r="BL11" s="43"/>
      <c r="BM11" s="22" t="str">
        <f>IFERROR(VLOOKUP(BF11,'спецификация'!D:H,5,0)," ")</f>
        <v>лактоза; дрожжи пищевые пивные сухие; фитокомплекс: травы сушеницы топяной, травы череды, травы тысячелистника, травы чистотела, почек березовых, листьев березы, листьев подорожника большого, корней лопуха, корней одуванчика, цветков ноготков; минеральный комплекс (кальция фосфат дефторированный); крахмал; стеарат кальция; L-карнитин; ПВП; сера кормовая; вкусо-ароматическая пищевая добавка «Бекон».</v>
      </c>
      <c r="BN11" s="43"/>
      <c r="BO11" s="22" t="s">
        <v>225</v>
      </c>
      <c r="BP11" s="43" t="str">
        <f>IFERROR(VLOOKUP(C11,'спецификация'!B:AA,11,0)," ")</f>
        <v/>
      </c>
      <c r="BQ11" s="22" t="s">
        <v>163</v>
      </c>
      <c r="BR11" s="22">
        <v>100.0</v>
      </c>
      <c r="BS11" s="22" t="s">
        <v>210</v>
      </c>
      <c r="BT11" s="43"/>
      <c r="BU11" s="22"/>
      <c r="BV11" s="22" t="s">
        <v>165</v>
      </c>
      <c r="BW11" s="44" t="str">
        <f>IFERROR(VLOOKUP(C11,'спецификация'!B:AA,16,0)," ")</f>
        <v>https://docs.google.com/document/d/1Fy9Ve-kCbeluAI0L32QSpa4uGjqvZAu9KV47IS7glV4/edit</v>
      </c>
      <c r="BX11" s="43"/>
      <c r="BY11" s="43"/>
      <c r="BZ11" s="45" t="str">
        <f>IFERROR(VLOOKUP(BF11,'спецификация'!D:Y,22,0)," ")</f>
        <v/>
      </c>
      <c r="CA11" s="43"/>
      <c r="CB11" s="43"/>
      <c r="CC11" s="43"/>
      <c r="CD11" s="43"/>
      <c r="CE11" s="43"/>
      <c r="CF11" s="43"/>
      <c r="CG11" s="49">
        <f>IFERROR(VLOOKUP(C11,CC!A:D,4,0)," ")</f>
        <v>53.75</v>
      </c>
      <c r="CH11" s="22" t="str">
        <f>IFERROR(VLOOKUP(C11,'спецификация'!B:AA,19,0)," ")</f>
        <v>ООО "ВЕДА"</v>
      </c>
      <c r="CI11" s="22"/>
      <c r="CJ11" s="22" t="s">
        <v>168</v>
      </c>
      <c r="CK11" s="22">
        <f>IFERROR(VLOOKUP(C11,CC!K:M,3,0)," ")</f>
        <v>30</v>
      </c>
      <c r="CL11" s="43"/>
      <c r="CM11" s="43"/>
      <c r="CN11" s="43"/>
      <c r="CO11" s="43"/>
      <c r="CP11" s="43"/>
      <c r="CQ11" s="43"/>
      <c r="CR11" s="43"/>
      <c r="CS11" s="43" t="b">
        <v>0</v>
      </c>
      <c r="CT11" s="43" t="b">
        <v>0</v>
      </c>
      <c r="CU11" s="43" t="b">
        <v>0</v>
      </c>
      <c r="CV11" s="43" t="b">
        <v>0</v>
      </c>
      <c r="CW11" s="43"/>
      <c r="CX11" s="43"/>
      <c r="CY11" s="43"/>
      <c r="CZ11" s="43"/>
      <c r="DA11" s="43"/>
      <c r="DB11" s="43"/>
      <c r="DC11" s="43"/>
      <c r="DD11" s="22">
        <f>IFERROR(VLOOKUP($C11,'Лист4'!$D:$AI,27,0)," ")</f>
        <v>4</v>
      </c>
      <c r="DE11" s="22">
        <f>IFERROR(VLOOKUP($C11,'Лист4'!$D:$AI,28,0)," ")</f>
        <v>8</v>
      </c>
      <c r="DF11" s="22">
        <f>IFERROR(VLOOKUP($C11,'Лист4'!$D:$AI,29,0)," ")</f>
        <v>4</v>
      </c>
      <c r="DG11" s="22">
        <f t="shared" si="3"/>
        <v>128</v>
      </c>
      <c r="DH11" s="22">
        <f>IFERROR(VLOOKUP($C11,'Лист4'!$D:$AI,32,0)," ")</f>
        <v>0.06</v>
      </c>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43"/>
      <c r="EN11" s="43"/>
      <c r="EO11" s="43"/>
      <c r="EP11" s="43"/>
      <c r="EQ11" s="43"/>
      <c r="ER11" s="43"/>
      <c r="ES11" s="43"/>
      <c r="ET11" s="43"/>
      <c r="EU11" s="43"/>
      <c r="EV11" s="43"/>
      <c r="EW11" s="43"/>
      <c r="EX11" s="43"/>
      <c r="EY11" s="43"/>
      <c r="EZ11" s="43"/>
      <c r="FA11" s="43"/>
      <c r="FB11" s="43"/>
      <c r="FC11" s="43"/>
    </row>
    <row r="12" ht="18.0" customHeight="1">
      <c r="A12" s="2"/>
      <c r="B12" s="22" t="str">
        <f>IFERROR(VLOOKUP(C12,'Реестр'!C:AC,27,0)," ")</f>
        <v>Биг-Л</v>
      </c>
      <c r="C12" s="43" t="s">
        <v>227</v>
      </c>
      <c r="D12" s="22" t="str">
        <f>IFERROR(VLOOKUP(C12,'Лист4'!D:P,13,0)," ")</f>
        <v>Harly</v>
      </c>
      <c r="E12" s="22" t="str">
        <f>IF(OR(ISERROR(VLOOKUP(C12,'Актуальность'!A:B,2,0)), VLOOKUP(C12,'Актуальность'!A:B,2,0)=""), "Актуальный", VLOOKUP(C12,'Актуальность'!A:B,2,0))</f>
        <v>Актуальный</v>
      </c>
      <c r="F12" s="43" t="str">
        <f>IFERROR(VLOOKUP(C12,'Актуальность'!A:C,3,0)," ")</f>
        <v/>
      </c>
      <c r="G12" s="43"/>
      <c r="H12" s="22" t="s">
        <v>121</v>
      </c>
      <c r="I12" s="22" t="s">
        <v>198</v>
      </c>
      <c r="J12" s="43"/>
      <c r="K12" s="43"/>
      <c r="L12" s="22" t="b">
        <f t="shared" ref="L12:R12" si="8">T12&lt;&gt;""</f>
        <v>1</v>
      </c>
      <c r="M12" s="22" t="b">
        <f t="shared" si="8"/>
        <v>1</v>
      </c>
      <c r="N12" s="22" t="b">
        <f t="shared" si="8"/>
        <v>1</v>
      </c>
      <c r="O12" s="22" t="b">
        <f t="shared" si="8"/>
        <v>1</v>
      </c>
      <c r="P12" s="22" t="b">
        <f t="shared" si="8"/>
        <v>0</v>
      </c>
      <c r="Q12" s="22" t="b">
        <f t="shared" si="8"/>
        <v>0</v>
      </c>
      <c r="R12" s="22" t="b">
        <f t="shared" si="8"/>
        <v>0</v>
      </c>
      <c r="S12" s="43"/>
      <c r="T12" s="43" t="str">
        <f>IFERROR(VLOOKUP( C12,'1С'!A:B,2,0)," ")</f>
        <v>HB101100403</v>
      </c>
      <c r="U12" s="22" t="str">
        <f>IFERROR(VLOOKUP(T12,'Лист4'!C:I,3,0)," ")</f>
        <v>Harly_Joint_Care</v>
      </c>
      <c r="V12" s="22" t="str">
        <f>IFERROR(VLOOKUP(T12,'Лист4'!C:I,4,0)," ")</f>
        <v>Harly_Joint_Care</v>
      </c>
      <c r="W12" s="22" t="str">
        <f>IFERROR(VLOOKUP(T12,'Лист4'!C:I,5,0)," ")</f>
        <v>Harly_Joint_Care</v>
      </c>
      <c r="X12" s="43" t="str">
        <f>IFERROR(VLOOKUP(T12,'Лист4'!C:I,7,0)," ")</f>
        <v/>
      </c>
      <c r="Y12" s="43" t="str">
        <f>IFERROR(VLOOKUP(T12,'Лист4'!C:I,6,0)," ")</f>
        <v/>
      </c>
      <c r="Z12" s="43"/>
      <c r="AA12" s="43"/>
      <c r="AB12" s="22">
        <v>1.50262548E8</v>
      </c>
      <c r="AC12" s="22">
        <v>8.84578393E8</v>
      </c>
      <c r="AD12" s="22">
        <v>1.02626212766E11</v>
      </c>
      <c r="AE12" s="22"/>
      <c r="AF12" s="22"/>
      <c r="AG12" s="43"/>
      <c r="AH12" s="43"/>
      <c r="AI12" s="43" t="str">
        <f>IFERROR(VLOOKUP(T12,'1С'!B:C,2,0)," ")</f>
        <v>Витамины для костей суставов  для собак, Harly, 100 таблеток</v>
      </c>
      <c r="AJ12" s="22" t="s">
        <v>230</v>
      </c>
      <c r="AK12" s="22" t="s">
        <v>231</v>
      </c>
      <c r="AL12" s="22" t="s">
        <v>231</v>
      </c>
      <c r="AM12" s="43"/>
      <c r="AN12" s="43"/>
      <c r="AO12" s="43"/>
      <c r="AP12" s="43"/>
      <c r="AQ12" s="46" t="s">
        <v>232</v>
      </c>
      <c r="AR12" s="46" t="s">
        <v>233</v>
      </c>
      <c r="AS12" s="46" t="s">
        <v>234</v>
      </c>
      <c r="AT12" s="43"/>
      <c r="AU12" s="43"/>
      <c r="AV12" s="43"/>
      <c r="AW12" s="43"/>
      <c r="AX12" s="22" t="s">
        <v>156</v>
      </c>
      <c r="AY12" s="22" t="s">
        <v>231</v>
      </c>
      <c r="AZ12" s="22" t="s">
        <v>157</v>
      </c>
      <c r="BA12" s="43"/>
      <c r="BB12" s="43"/>
      <c r="BC12" s="43"/>
      <c r="BD12" s="43"/>
      <c r="BE12" s="43"/>
      <c r="BF12" s="22" t="str">
        <f>IFERROR(VLOOKUP(C12,'спецификация'!B:D,3,0)," ")</f>
        <v>4605543011085</v>
      </c>
      <c r="BG12" s="22">
        <v>2.3099031E9</v>
      </c>
      <c r="BH12" s="22" t="str">
        <f>IFERROR(VLOOKUP(C12,'спецификация'!B:AA,5,0)," ")</f>
        <v>СТО 42310364-0060-2022</v>
      </c>
      <c r="BI12" s="46" t="s">
        <v>237</v>
      </c>
      <c r="BJ12" s="22" t="str">
        <f>IFERROR(VLOOKUP(C12,'спецификация'!B:AA,6,0)," ")</f>
        <v>меркурий</v>
      </c>
      <c r="BK12" s="43"/>
      <c r="BL12" s="43"/>
      <c r="BM12" s="22" t="str">
        <f>IFERROR(VLOOKUP(BF12,'спецификация'!D:H,5,0)," ")</f>
        <v>коры дуба, листьев эвкалипта, корней окопника, корневищ аира, травы фиалки, листьев березы, корней одуванчика, травы зверобоя, побегов багульника, цветков лабазника вязолистного; дрожжи пивные; гидролизат коллагена; L-карнитин; сера; витамин D3; вспомогательные компоненты.</v>
      </c>
      <c r="BN12" s="43"/>
      <c r="BO12" s="22" t="str">
        <f>IFERROR(VLOOKUP(C12,'спецификация'!B:AA,10,0)," ")</f>
        <v>корм дают ежедневно по 1 г (2 шт.) 2 раза в день</v>
      </c>
      <c r="BP12" s="43" t="str">
        <f>IFERROR(VLOOKUP(C12,'спецификация'!B:AA,11,0)," ")</f>
        <v/>
      </c>
      <c r="BQ12" s="22" t="str">
        <f>IFERROR(VLOOKUP(C12,'спецификация'!B:AA,12,0)," ")</f>
        <v>при температуре от 0 до 25 oС</v>
      </c>
      <c r="BR12" s="22">
        <v>100.0</v>
      </c>
      <c r="BS12" s="22" t="s">
        <v>210</v>
      </c>
      <c r="BT12" s="22"/>
      <c r="BU12" s="22"/>
      <c r="BV12" s="22" t="s">
        <v>165</v>
      </c>
      <c r="BW12" s="44" t="s">
        <v>239</v>
      </c>
      <c r="BX12" s="43"/>
      <c r="BY12" s="43"/>
      <c r="BZ12" s="45" t="str">
        <f>IFERROR(VLOOKUP(BF12,'спецификация'!D:Y,22,0)," ")</f>
        <v>Harly Витамины для животных</v>
      </c>
      <c r="CA12" s="43"/>
      <c r="CB12" s="43"/>
      <c r="CC12" s="43"/>
      <c r="CD12" s="43"/>
      <c r="CE12" s="43"/>
      <c r="CF12" s="43"/>
      <c r="CG12" s="49">
        <f>IFERROR(VLOOKUP(C12,CC!A:D,4,0)," ")</f>
        <v>53.4</v>
      </c>
      <c r="CH12" s="22" t="str">
        <f>IFERROR(VLOOKUP(C12,'спецификация'!B:AA,19,0)," ")</f>
        <v>ООО "ВЕДА"</v>
      </c>
      <c r="CI12" s="22"/>
      <c r="CJ12" s="22" t="s">
        <v>168</v>
      </c>
      <c r="CK12" s="22">
        <f>IFERROR(VLOOKUP(C12,CC!K:M,3,0)," ")</f>
        <v>30</v>
      </c>
      <c r="CL12" s="43"/>
      <c r="CM12" s="43"/>
      <c r="CN12" s="43"/>
      <c r="CO12" s="43"/>
      <c r="CP12" s="43"/>
      <c r="CQ12" s="43"/>
      <c r="CR12" s="43"/>
      <c r="CS12" s="43" t="b">
        <v>0</v>
      </c>
      <c r="CT12" s="43" t="b">
        <v>0</v>
      </c>
      <c r="CU12" s="43" t="b">
        <v>0</v>
      </c>
      <c r="CV12" s="43" t="b">
        <v>0</v>
      </c>
      <c r="CW12" s="43"/>
      <c r="CX12" s="43"/>
      <c r="CY12" s="43"/>
      <c r="CZ12" s="43"/>
      <c r="DA12" s="43"/>
      <c r="DB12" s="43"/>
      <c r="DC12" s="43"/>
      <c r="DD12" s="22">
        <f>IFERROR(VLOOKUP($C12,'Лист4'!$D:$AI,27,0)," ")</f>
        <v>8</v>
      </c>
      <c r="DE12" s="22">
        <f>IFERROR(VLOOKUP($C12,'Лист4'!$D:$AI,28,0)," ")</f>
        <v>4</v>
      </c>
      <c r="DF12" s="22">
        <f>IFERROR(VLOOKUP($C12,'Лист4'!$D:$AI,29,0)," ")</f>
        <v>8</v>
      </c>
      <c r="DG12" s="22">
        <f t="shared" si="3"/>
        <v>256</v>
      </c>
      <c r="DH12" s="22">
        <f>IFERROR(VLOOKUP($C12,'Лист4'!$D:$AI,32,0)," ")</f>
        <v>0.063</v>
      </c>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43"/>
      <c r="EN12" s="43"/>
      <c r="EO12" s="43"/>
      <c r="EP12" s="43"/>
      <c r="EQ12" s="43"/>
      <c r="ER12" s="43"/>
      <c r="ES12" s="43"/>
      <c r="ET12" s="43"/>
      <c r="EU12" s="43"/>
      <c r="EV12" s="43"/>
      <c r="EW12" s="43"/>
      <c r="EX12" s="43"/>
      <c r="EY12" s="43"/>
      <c r="EZ12" s="43"/>
      <c r="FA12" s="43"/>
      <c r="FB12" s="43"/>
      <c r="FC12" s="43"/>
    </row>
    <row r="13" ht="18.0" customHeight="1">
      <c r="A13" s="2"/>
      <c r="B13" s="22" t="str">
        <f>IFERROR(VLOOKUP(C13,'Реестр'!C:AC,27,0)," ")</f>
        <v>Биг-Л</v>
      </c>
      <c r="C13" s="43" t="s">
        <v>252</v>
      </c>
      <c r="D13" s="22" t="str">
        <f>IFERROR(VLOOKUP(C13,'Лист4'!D:P,13,0)," ")</f>
        <v>Harly</v>
      </c>
      <c r="E13" s="22" t="str">
        <f>IF(OR(ISERROR(VLOOKUP(C13,'Актуальность'!A:B,2,0)), VLOOKUP(C13,'Актуальность'!A:B,2,0)=""), "Актуальный", VLOOKUP(C13,'Актуальность'!A:B,2,0))</f>
        <v>Актуальный</v>
      </c>
      <c r="F13" s="43" t="str">
        <f>IFERROR(VLOOKUP(C13,'Актуальность'!A:C,3,0)," ")</f>
        <v/>
      </c>
      <c r="G13" s="43"/>
      <c r="H13" s="22" t="s">
        <v>121</v>
      </c>
      <c r="I13" s="22" t="s">
        <v>198</v>
      </c>
      <c r="J13" s="43"/>
      <c r="K13" s="43"/>
      <c r="L13" s="22" t="b">
        <f t="shared" ref="L13:R13" si="9">T13&lt;&gt;""</f>
        <v>1</v>
      </c>
      <c r="M13" s="22" t="b">
        <f t="shared" si="9"/>
        <v>1</v>
      </c>
      <c r="N13" s="22" t="b">
        <f t="shared" si="9"/>
        <v>1</v>
      </c>
      <c r="O13" s="22" t="b">
        <f t="shared" si="9"/>
        <v>1</v>
      </c>
      <c r="P13" s="22" t="b">
        <f t="shared" si="9"/>
        <v>0</v>
      </c>
      <c r="Q13" s="22" t="b">
        <f t="shared" si="9"/>
        <v>0</v>
      </c>
      <c r="R13" s="22" t="b">
        <f t="shared" si="9"/>
        <v>0</v>
      </c>
      <c r="S13" s="43"/>
      <c r="T13" s="43" t="str">
        <f>IFERROR(VLOOKUP( C13,'1С'!A:B,2,0)," ")</f>
        <v>HB101100404</v>
      </c>
      <c r="U13" s="22" t="str">
        <f>IFERROR(VLOOKUP(T13,'Лист4'!C:I,3,0)," ")</f>
        <v>Harly_dog_teeth_bones_100tabs</v>
      </c>
      <c r="V13" s="22" t="str">
        <f>IFERROR(VLOOKUP(T13,'Лист4'!C:I,4,0)," ")</f>
        <v>Harly_dog_teeth_bones_100tabs</v>
      </c>
      <c r="W13" s="22" t="str">
        <f>IFERROR(VLOOKUP(T13,'Лист4'!C:I,5,0)," ")</f>
        <v>Harly_dog_teeth_bones_100tabs</v>
      </c>
      <c r="X13" s="43" t="str">
        <f>IFERROR(VLOOKUP(T13,'Лист4'!C:I,7,0)," ")</f>
        <v/>
      </c>
      <c r="Y13" s="43" t="str">
        <f>IFERROR(VLOOKUP(T13,'Лист4'!C:I,6,0)," ")</f>
        <v/>
      </c>
      <c r="Z13" s="43"/>
      <c r="AA13" s="43"/>
      <c r="AB13" s="22">
        <v>1.63687757E8</v>
      </c>
      <c r="AC13" s="22">
        <v>1.018530861E9</v>
      </c>
      <c r="AD13" s="22">
        <v>1.02621828617E11</v>
      </c>
      <c r="AE13" s="22"/>
      <c r="AF13" s="22"/>
      <c r="AG13" s="43"/>
      <c r="AH13" s="43"/>
      <c r="AI13" s="43" t="str">
        <f>IFERROR(VLOOKUP(T13,'1С'!B:C,2,0)," ")</f>
        <v>Витамины для костей для собак, ,Harly, 100 таблеток</v>
      </c>
      <c r="AJ13" s="22" t="s">
        <v>255</v>
      </c>
      <c r="AK13" s="22" t="s">
        <v>256</v>
      </c>
      <c r="AL13" s="22" t="s">
        <v>256</v>
      </c>
      <c r="AM13" s="43"/>
      <c r="AN13" s="43"/>
      <c r="AO13" s="43"/>
      <c r="AP13" s="43"/>
      <c r="AQ13" s="46" t="s">
        <v>257</v>
      </c>
      <c r="AR13" s="46" t="s">
        <v>258</v>
      </c>
      <c r="AS13" s="46" t="s">
        <v>259</v>
      </c>
      <c r="AT13" s="43"/>
      <c r="AU13" s="43"/>
      <c r="AV13" s="43"/>
      <c r="AW13" s="43"/>
      <c r="AX13" s="22" t="s">
        <v>156</v>
      </c>
      <c r="AY13" s="22" t="s">
        <v>256</v>
      </c>
      <c r="AZ13" s="22" t="s">
        <v>157</v>
      </c>
      <c r="BA13" s="43"/>
      <c r="BB13" s="43"/>
      <c r="BC13" s="43"/>
      <c r="BD13" s="43"/>
      <c r="BE13" s="43"/>
      <c r="BF13" s="22">
        <f>IFERROR(VLOOKUP(C13,'спецификация'!B:D,3,0)," ")</f>
        <v>4605543011177</v>
      </c>
      <c r="BG13" s="22">
        <v>2.3099031E9</v>
      </c>
      <c r="BH13" s="22" t="str">
        <f>IFERROR(VLOOKUP(C13,'спецификация'!B:AA,5,0)," ")</f>
        <v>СТО 42310364-0044-2023</v>
      </c>
      <c r="BI13" s="46" t="s">
        <v>261</v>
      </c>
      <c r="BJ13" s="22" t="str">
        <f>IFERROR(VLOOKUP(C13,'спецификация'!B:AA,6,0)," ")</f>
        <v>меркурий</v>
      </c>
      <c r="BK13" s="43"/>
      <c r="BL13" s="43"/>
      <c r="BM13" s="22" t="str">
        <f>IFERROR(VLOOKUP(BF13,'спецификация'!D:H,5,0)," ")</f>
        <v>лактоза; дрожжи пивные; фитокомплекс: корневищ аира, травы хвоща полевого, цветков лабазника вязолистного, травы фиалки, листьев березы, листьев шалфея, корней лопуха, почек березовых, цветков ноготков, листьев мяты перечной, почек сосны; минеральный комплекс; крахмал; стеарат кальция; L-карнитин; ПВП; гидролизат коллагена; ароматическая пищевая добавка; сера.</v>
      </c>
      <c r="BN13" s="43"/>
      <c r="BO13" s="22" t="str">
        <f>IFERROR(VLOOKUP(C13,'спецификация'!B:AA,10,0)," ")</f>
        <v>щенкам и собакам мелких пород (10 кг) по 0,5г(1шт)  2 раза в день;собакам средних размеров (до 30 кг) по 1-1,5 г (2-3 шт)  раза в день;собакам крупных размеров (свыше 30 кг) по 2,5 (5 шт) 2 раза в день</v>
      </c>
      <c r="BP13" s="43" t="str">
        <f>IFERROR(VLOOKUP(C13,'спецификация'!B:AA,11,0)," ")</f>
        <v/>
      </c>
      <c r="BQ13" s="22" t="str">
        <f>IFERROR(VLOOKUP(C13,'спецификация'!B:AA,12,0)," ")</f>
        <v>при температуре от 0 до 25 oС</v>
      </c>
      <c r="BR13" s="22">
        <v>100.0</v>
      </c>
      <c r="BS13" s="22" t="s">
        <v>210</v>
      </c>
      <c r="BT13" s="22"/>
      <c r="BU13" s="22"/>
      <c r="BV13" s="22" t="s">
        <v>165</v>
      </c>
      <c r="BW13" s="44" t="s">
        <v>263</v>
      </c>
      <c r="BX13" s="43"/>
      <c r="BY13" s="43"/>
      <c r="BZ13" s="45" t="str">
        <f>IFERROR(VLOOKUP(BF13,'спецификация'!D:Y,22,0)," ")</f>
        <v>Harly Витамины для животных</v>
      </c>
      <c r="CA13" s="43"/>
      <c r="CB13" s="43"/>
      <c r="CC13" s="43"/>
      <c r="CD13" s="43"/>
      <c r="CE13" s="43"/>
      <c r="CF13" s="43"/>
      <c r="CG13" s="49">
        <f>IFERROR(VLOOKUP(C13,CC!A:D,4,0)," ")</f>
        <v>53.4</v>
      </c>
      <c r="CH13" s="22" t="str">
        <f>IFERROR(VLOOKUP(C13,'спецификация'!B:AA,19,0)," ")</f>
        <v>ООО "ВЕДА"</v>
      </c>
      <c r="CI13" s="22"/>
      <c r="CJ13" s="22" t="s">
        <v>168</v>
      </c>
      <c r="CK13" s="22">
        <f>IFERROR(VLOOKUP(C13,CC!K:M,3,0)," ")</f>
        <v>30</v>
      </c>
      <c r="CL13" s="43"/>
      <c r="CM13" s="43"/>
      <c r="CN13" s="43"/>
      <c r="CO13" s="43"/>
      <c r="CP13" s="43"/>
      <c r="CQ13" s="43"/>
      <c r="CR13" s="43"/>
      <c r="CS13" s="43" t="b">
        <v>0</v>
      </c>
      <c r="CT13" s="43" t="b">
        <v>0</v>
      </c>
      <c r="CU13" s="43" t="b">
        <v>0</v>
      </c>
      <c r="CV13" s="43" t="b">
        <v>0</v>
      </c>
      <c r="CW13" s="43"/>
      <c r="CX13" s="43"/>
      <c r="CY13" s="43"/>
      <c r="CZ13" s="43"/>
      <c r="DA13" s="43"/>
      <c r="DB13" s="43"/>
      <c r="DC13" s="43"/>
      <c r="DD13" s="22">
        <f>IFERROR(VLOOKUP($C13,'Лист4'!$D:$AI,27,0)," ")</f>
        <v>4</v>
      </c>
      <c r="DE13" s="22">
        <f>IFERROR(VLOOKUP($C13,'Лист4'!$D:$AI,28,0)," ")</f>
        <v>8</v>
      </c>
      <c r="DF13" s="22">
        <f>IFERROR(VLOOKUP($C13,'Лист4'!$D:$AI,29,0)," ")</f>
        <v>4</v>
      </c>
      <c r="DG13" s="22">
        <f t="shared" si="3"/>
        <v>128</v>
      </c>
      <c r="DH13" s="22">
        <f>IFERROR(VLOOKUP($C13,'Лист4'!$D:$AI,32,0)," ")</f>
        <v>0.06</v>
      </c>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43"/>
      <c r="EN13" s="43"/>
      <c r="EO13" s="43"/>
      <c r="EP13" s="43"/>
      <c r="EQ13" s="43"/>
      <c r="ER13" s="43"/>
      <c r="ES13" s="43"/>
      <c r="ET13" s="43"/>
      <c r="EU13" s="43"/>
      <c r="EV13" s="43"/>
      <c r="EW13" s="43"/>
      <c r="EX13" s="43"/>
      <c r="EY13" s="43"/>
      <c r="EZ13" s="43"/>
      <c r="FA13" s="43"/>
      <c r="FB13" s="43"/>
      <c r="FC13" s="43"/>
    </row>
    <row r="14" ht="18.0" customHeight="1">
      <c r="A14" s="2"/>
      <c r="B14" s="22" t="str">
        <f>IFERROR(VLOOKUP(C14,'Реестр'!C:AC,27,0)," ")</f>
        <v>Биг-Л</v>
      </c>
      <c r="C14" s="43" t="s">
        <v>264</v>
      </c>
      <c r="D14" s="22" t="str">
        <f>IFERROR(VLOOKUP(C14,'Лист4'!D:P,13,0)," ")</f>
        <v>Harly</v>
      </c>
      <c r="E14" s="22" t="str">
        <f>IF(OR(ISERROR(VLOOKUP(C14,'Актуальность'!A:B,2,0)), VLOOKUP(C14,'Актуальность'!A:B,2,0)=""), "Актуальный", VLOOKUP(C14,'Актуальность'!A:B,2,0))</f>
        <v>Актуальный</v>
      </c>
      <c r="F14" s="43" t="str">
        <f>IFERROR(VLOOKUP(C14,'Актуальность'!A:C,3,0)," ")</f>
        <v/>
      </c>
      <c r="G14" s="43"/>
      <c r="H14" s="22" t="s">
        <v>121</v>
      </c>
      <c r="I14" s="22" t="s">
        <v>266</v>
      </c>
      <c r="J14" s="43"/>
      <c r="K14" s="43"/>
      <c r="L14" s="22" t="b">
        <f t="shared" ref="L14:R14" si="10">T14&lt;&gt;""</f>
        <v>1</v>
      </c>
      <c r="M14" s="22" t="b">
        <f t="shared" si="10"/>
        <v>1</v>
      </c>
      <c r="N14" s="22" t="b">
        <f t="shared" si="10"/>
        <v>1</v>
      </c>
      <c r="O14" s="22" t="b">
        <f t="shared" si="10"/>
        <v>1</v>
      </c>
      <c r="P14" s="22" t="b">
        <f t="shared" si="10"/>
        <v>0</v>
      </c>
      <c r="Q14" s="22" t="b">
        <f t="shared" si="10"/>
        <v>0</v>
      </c>
      <c r="R14" s="22" t="b">
        <f t="shared" si="10"/>
        <v>0</v>
      </c>
      <c r="S14" s="43"/>
      <c r="T14" s="43" t="str">
        <f>IFERROR(VLOOKUP( C14,'1С'!A:B,2,0)," ")</f>
        <v>HB101100409</v>
      </c>
      <c r="U14" s="22" t="str">
        <f>IFERROR(VLOOKUP(T14,'Лист4'!C:I,3,0)," ")</f>
        <v>Harly_dogcat_probiotics_20tabs</v>
      </c>
      <c r="V14" s="22" t="str">
        <f>IFERROR(VLOOKUP(T14,'Лист4'!C:I,4,0)," ")</f>
        <v>Harly_dogcat_probiotics_20tabs</v>
      </c>
      <c r="W14" s="22" t="str">
        <f>IFERROR(VLOOKUP(T14,'Лист4'!C:I,5,0)," ")</f>
        <v>Harly_dogcat_probiotics_20tabs</v>
      </c>
      <c r="X14" s="43" t="str">
        <f>IFERROR(VLOOKUP(T14,'Лист4'!C:I,7,0)," ")</f>
        <v/>
      </c>
      <c r="Y14" s="43" t="str">
        <f>IFERROR(VLOOKUP(T14,'Лист4'!C:I,6,0)," ")</f>
        <v/>
      </c>
      <c r="Z14" s="43"/>
      <c r="AA14" s="43"/>
      <c r="AB14" s="22">
        <v>2.32465954E8</v>
      </c>
      <c r="AC14" s="22">
        <v>1.581825452E9</v>
      </c>
      <c r="AD14" s="22">
        <v>1.03510407614E11</v>
      </c>
      <c r="AE14" s="22"/>
      <c r="AF14" s="22"/>
      <c r="AG14" s="43"/>
      <c r="AH14" s="43"/>
      <c r="AI14" s="43" t="str">
        <f>IFERROR(VLOOKUP(T14,'1С'!B:C,2,0)," ")</f>
        <v>Пребиотик для собак и кошек ,Harly, 20 таб</v>
      </c>
      <c r="AJ14" s="22" t="s">
        <v>268</v>
      </c>
      <c r="AK14" s="22" t="s">
        <v>269</v>
      </c>
      <c r="AL14" s="22" t="s">
        <v>270</v>
      </c>
      <c r="AM14" s="43"/>
      <c r="AN14" s="43"/>
      <c r="AO14" s="43"/>
      <c r="AP14" s="43"/>
      <c r="AQ14" s="46" t="s">
        <v>271</v>
      </c>
      <c r="AR14" s="46" t="s">
        <v>272</v>
      </c>
      <c r="AS14" s="46" t="s">
        <v>273</v>
      </c>
      <c r="AT14" s="43"/>
      <c r="AU14" s="43"/>
      <c r="AV14" s="43"/>
      <c r="AW14" s="43"/>
      <c r="AX14" s="22" t="s">
        <v>156</v>
      </c>
      <c r="AY14" s="22" t="s">
        <v>269</v>
      </c>
      <c r="AZ14" s="22" t="s">
        <v>274</v>
      </c>
      <c r="BA14" s="43"/>
      <c r="BB14" s="43"/>
      <c r="BC14" s="43"/>
      <c r="BD14" s="43"/>
      <c r="BE14" s="43"/>
      <c r="BF14" s="22">
        <f>IFERROR(VLOOKUP(C14,'спецификация'!B:D,3,0)," ")</f>
        <v>4605543012495</v>
      </c>
      <c r="BG14" s="22">
        <v>2.3099031E9</v>
      </c>
      <c r="BH14" s="22" t="str">
        <f>IFERROR(VLOOKUP(C14,'спецификация'!B:AA,5,0)," ")</f>
        <v>N РОСС RU Д-RU.PA01.B.15696/24 от 16.04.2024 до 15.04.2027</v>
      </c>
      <c r="BI14" s="46" t="s">
        <v>276</v>
      </c>
      <c r="BJ14" s="22" t="str">
        <f>IFERROR(VLOOKUP(C14,'спецификация'!B:AA,6,0)," ")</f>
        <v>меркурий</v>
      </c>
      <c r="BK14" s="43"/>
      <c r="BL14" s="43"/>
      <c r="BM14" s="22" t="str">
        <f>IFERROR(VLOOKUP(BF14,'спецификация'!D:H,5,0)," ")</f>
        <v>комплекс лиофильно высушенных культур пробиотических бактерий - бифидобактерий, лактобактерий, стрептококков; вспомогательные компоненты: лактоза, крахмал, стеарат кальция.</v>
      </c>
      <c r="BN14" s="43"/>
      <c r="BO14" s="22" t="s">
        <v>278</v>
      </c>
      <c r="BP14" s="43" t="str">
        <f>IFERROR(VLOOKUP(C14,'спецификация'!B:AA,11,0)," ")</f>
        <v/>
      </c>
      <c r="BQ14" s="22" t="str">
        <f>IFERROR(VLOOKUP(C14,'спецификация'!B:AA,12,0)," ")</f>
        <v>Хранить в течение 12 месяцев при температуре от 0 до 10 ºС. Допускается хранение не более 10 суток при температуре до 25 ºС.</v>
      </c>
      <c r="BR14" s="22">
        <v>20.0</v>
      </c>
      <c r="BS14" s="22" t="s">
        <v>210</v>
      </c>
      <c r="BT14" s="43"/>
      <c r="BU14" s="22"/>
      <c r="BV14" s="22" t="s">
        <v>140</v>
      </c>
      <c r="BW14" s="44" t="str">
        <f>IFERROR(VLOOKUP(C14,'спецификация'!B:AA,16,0)," ")</f>
        <v>https://docs.google.com/document/d/16CMvYUaTc8W6xLuW6xuJqCabd0q3Dqms08x9tXcTvjI/edit</v>
      </c>
      <c r="BX14" s="43"/>
      <c r="BY14" s="43"/>
      <c r="BZ14" s="45" t="str">
        <f>IFERROR(VLOOKUP(BF14,'спецификация'!D:Y,22,0)," ")</f>
        <v/>
      </c>
      <c r="CA14" s="43"/>
      <c r="CB14" s="43"/>
      <c r="CC14" s="43"/>
      <c r="CD14" s="43"/>
      <c r="CE14" s="43"/>
      <c r="CF14" s="43"/>
      <c r="CG14" s="49">
        <f>IFERROR(VLOOKUP(C14,CC!A:D,4,0)," ")</f>
        <v>51.86</v>
      </c>
      <c r="CH14" s="22" t="str">
        <f>IFERROR(VLOOKUP(C14,'спецификация'!B:AA,19,0)," ")</f>
        <v>ООО "ВЕДА"</v>
      </c>
      <c r="CI14" s="22"/>
      <c r="CJ14" s="22" t="s">
        <v>168</v>
      </c>
      <c r="CK14" s="22">
        <f>IFERROR(VLOOKUP(C14,CC!K:M,3,0)," ")</f>
        <v>30</v>
      </c>
      <c r="CL14" s="43"/>
      <c r="CM14" s="43"/>
      <c r="CN14" s="43"/>
      <c r="CO14" s="43"/>
      <c r="CP14" s="43"/>
      <c r="CQ14" s="43"/>
      <c r="CR14" s="43"/>
      <c r="CS14" s="43" t="b">
        <v>0</v>
      </c>
      <c r="CT14" s="43" t="b">
        <v>0</v>
      </c>
      <c r="CU14" s="43" t="b">
        <v>0</v>
      </c>
      <c r="CV14" s="43" t="b">
        <v>0</v>
      </c>
      <c r="CW14" s="43"/>
      <c r="CX14" s="43"/>
      <c r="CY14" s="43"/>
      <c r="CZ14" s="43"/>
      <c r="DA14" s="43"/>
      <c r="DB14" s="43"/>
      <c r="DC14" s="43"/>
      <c r="DD14" s="22">
        <f>IFERROR(VLOOKUP($C14,'Лист4'!$D:$AI,27,0)," ")</f>
        <v>5</v>
      </c>
      <c r="DE14" s="22">
        <f>IFERROR(VLOOKUP($C14,'Лист4'!$D:$AI,28,0)," ")</f>
        <v>8</v>
      </c>
      <c r="DF14" s="22">
        <f>IFERROR(VLOOKUP($C14,'Лист4'!$D:$AI,29,0)," ")</f>
        <v>5</v>
      </c>
      <c r="DG14" s="22">
        <f t="shared" si="3"/>
        <v>200</v>
      </c>
      <c r="DH14" s="22">
        <f>IFERROR(VLOOKUP($C14,'Лист4'!$D:$AI,32,0)," ")</f>
        <v>0.018</v>
      </c>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43"/>
      <c r="EN14" s="43"/>
      <c r="EO14" s="43"/>
      <c r="EP14" s="43"/>
      <c r="EQ14" s="43"/>
      <c r="ER14" s="43"/>
      <c r="ES14" s="43"/>
      <c r="ET14" s="43"/>
      <c r="EU14" s="43"/>
      <c r="EV14" s="43"/>
      <c r="EW14" s="43"/>
      <c r="EX14" s="43"/>
      <c r="EY14" s="43"/>
      <c r="EZ14" s="43"/>
      <c r="FA14" s="43"/>
      <c r="FB14" s="43"/>
      <c r="FC14" s="43"/>
    </row>
    <row r="15" ht="18.0" customHeight="1">
      <c r="A15" s="2"/>
      <c r="B15" s="22" t="str">
        <f>IFERROR(VLOOKUP(C15,'Реестр'!C:AC,27,0)," ")</f>
        <v>Биг-Л</v>
      </c>
      <c r="C15" s="43" t="s">
        <v>282</v>
      </c>
      <c r="D15" s="22" t="str">
        <f>IFERROR(VLOOKUP(C15,'Лист4'!D:P,13,0)," ")</f>
        <v>qeep</v>
      </c>
      <c r="E15" s="22" t="str">
        <f>IF(OR(ISERROR(VLOOKUP(C15,'Актуальность'!A:B,2,0)), VLOOKUP(C15,'Актуальность'!A:B,2,0)=""), "Актуальный", VLOOKUP(C15,'Актуальность'!A:B,2,0))</f>
        <v>Актуальный</v>
      </c>
      <c r="F15" s="43" t="str">
        <f>IFERROR(VLOOKUP(C15,'Актуальность'!A:C,3,0)," ")</f>
        <v>Внимание, Цена ВБ</v>
      </c>
      <c r="G15" s="43"/>
      <c r="H15" s="22" t="s">
        <v>286</v>
      </c>
      <c r="I15" s="22" t="s">
        <v>287</v>
      </c>
      <c r="J15" s="43"/>
      <c r="K15" s="43"/>
      <c r="L15" s="22" t="b">
        <f t="shared" ref="L15:R15" si="11">T15&lt;&gt;""</f>
        <v>1</v>
      </c>
      <c r="M15" s="22" t="b">
        <f t="shared" si="11"/>
        <v>1</v>
      </c>
      <c r="N15" s="22" t="b">
        <f t="shared" si="11"/>
        <v>1</v>
      </c>
      <c r="O15" s="22" t="b">
        <f t="shared" si="11"/>
        <v>1</v>
      </c>
      <c r="P15" s="22" t="b">
        <f t="shared" si="11"/>
        <v>1</v>
      </c>
      <c r="Q15" s="22" t="b">
        <f t="shared" si="11"/>
        <v>0</v>
      </c>
      <c r="R15" s="22" t="b">
        <f t="shared" si="11"/>
        <v>1</v>
      </c>
      <c r="S15" s="43"/>
      <c r="T15" s="43" t="str">
        <f>IFERROR(VLOOKUP( C15,'1С'!A:B,2,0)," ")</f>
        <v>QC101100405</v>
      </c>
      <c r="U15" s="22" t="str">
        <f>IFERROR(VLOOKUP(T15,'Лист4'!C:I,3,0)," ")</f>
        <v>qeep_perfect_spray_200ml</v>
      </c>
      <c r="V15" s="22" t="str">
        <f>IFERROR(VLOOKUP(T15,'Лист4'!C:I,4,0)," ")</f>
        <v>qeep_perfect_spray_200ml</v>
      </c>
      <c r="W15" s="22" t="str">
        <f>IFERROR(VLOOKUP(T15,'Лист4'!C:I,5,0)," ")</f>
        <v>qeep_perfect_spray_200ml</v>
      </c>
      <c r="X15" s="43" t="str">
        <f>IFERROR(VLOOKUP(T15,'Лист4'!C:I,7,0)," ")</f>
        <v>qeep_perfect_spray_200ml</v>
      </c>
      <c r="Y15" s="52"/>
      <c r="Z15" s="53" t="s">
        <v>282</v>
      </c>
      <c r="AA15" s="43"/>
      <c r="AB15" s="22">
        <v>3.77788941E8</v>
      </c>
      <c r="AC15" s="22">
        <v>2.018960887E9</v>
      </c>
      <c r="AD15" s="22">
        <v>4.315768672E9</v>
      </c>
      <c r="AE15" s="22">
        <v>9.9000115784E10</v>
      </c>
      <c r="AF15" s="52"/>
      <c r="AG15" s="53" t="s">
        <v>289</v>
      </c>
      <c r="AH15" s="43"/>
      <c r="AI15" s="43" t="str">
        <f>IFERROR(VLOOKUP(T15,'1С'!B:C,2,0)," ")</f>
        <v>Спрей солевой для объема волос, ,qeep, 200 мл</v>
      </c>
      <c r="AJ15" s="22" t="s">
        <v>290</v>
      </c>
      <c r="AK15" s="22" t="s">
        <v>291</v>
      </c>
      <c r="AL15" s="22" t="s">
        <v>292</v>
      </c>
      <c r="AM15" s="22" t="s">
        <v>293</v>
      </c>
      <c r="AN15" s="43"/>
      <c r="AO15" s="22" t="s">
        <v>291</v>
      </c>
      <c r="AP15" s="43"/>
      <c r="AQ15" s="46" t="s">
        <v>294</v>
      </c>
      <c r="AR15" s="46" t="s">
        <v>295</v>
      </c>
      <c r="AS15" s="46" t="s">
        <v>296</v>
      </c>
      <c r="AT15" s="43"/>
      <c r="AU15" s="43"/>
      <c r="AV15" s="46" t="s">
        <v>297</v>
      </c>
      <c r="AW15" s="43"/>
      <c r="AX15" s="22" t="s">
        <v>298</v>
      </c>
      <c r="AY15" s="22" t="s">
        <v>291</v>
      </c>
      <c r="AZ15" s="22" t="s">
        <v>299</v>
      </c>
      <c r="BA15" s="22" t="s">
        <v>300</v>
      </c>
      <c r="BB15" s="43"/>
      <c r="BC15" s="22" t="s">
        <v>298</v>
      </c>
      <c r="BD15" s="43"/>
      <c r="BE15" s="43"/>
      <c r="BF15" s="22">
        <f>IFERROR(VLOOKUP(C15,'спецификация'!B:D,3,0)," ")</f>
        <v>4670020498420</v>
      </c>
      <c r="BG15" s="22">
        <v>3.305900009E9</v>
      </c>
      <c r="BH15" s="22" t="s">
        <v>133</v>
      </c>
      <c r="BI15" s="46" t="s">
        <v>302</v>
      </c>
      <c r="BJ15" s="22" t="str">
        <f>IFERROR(VLOOKUP(C15,'спецификация'!B:AA,6,0)," ")</f>
        <v>без ЧЗ</v>
      </c>
      <c r="BK15" s="43"/>
      <c r="BL15" s="43"/>
      <c r="BM15" s="22" t="str">
        <f>IFERROR(VLOOKUP(BF15,'спецификация'!D:H,5,0)," ")</f>
        <v>Вода очищенная, поливинилпирролидон, соль морская, мочевина, carepol 99, натрия гидроокись, молочная кислота, парфюмерная композиция, ПЭГ-40 гидрогенезированное касторовое масло, гидролизат кератина, Д-пантенол, феноксиэтанол, этилгексилглицерин, экстракт розмарина, экстракт орхидеи, твин 20.</v>
      </c>
      <c r="BN15" s="43"/>
      <c r="BO15" s="22" t="s">
        <v>305</v>
      </c>
      <c r="BP15" s="43" t="str">
        <f>IFERROR(VLOOKUP(C15,'спецификация'!B:AA,11,0)," ")</f>
        <v/>
      </c>
      <c r="BQ15" s="22" t="s">
        <v>306</v>
      </c>
      <c r="BR15" s="22">
        <v>200.0</v>
      </c>
      <c r="BS15" s="22" t="s">
        <v>139</v>
      </c>
      <c r="BT15" s="22"/>
      <c r="BU15" s="22"/>
      <c r="BV15" s="22" t="s">
        <v>307</v>
      </c>
      <c r="BW15" s="44" t="str">
        <f>IFERROR(VLOOKUP(C15,'спецификация'!B:AA,16,0)," ")</f>
        <v>https://docs.google.com/document/d/1as7qSPL_FDh8Gb9PLz5CNARde-H9drK_5pJMeQf_GK8/edit?tab=t.0</v>
      </c>
      <c r="BX15" s="43"/>
      <c r="BY15" s="43"/>
      <c r="BZ15" s="45" t="str">
        <f>IFERROR(VLOOKUP(BF15,'спецификация'!D:Y,22,0)," ")</f>
        <v/>
      </c>
      <c r="CA15" s="43"/>
      <c r="CB15" s="43"/>
      <c r="CC15" s="43"/>
      <c r="CD15" s="43"/>
      <c r="CE15" s="43"/>
      <c r="CF15" s="43"/>
      <c r="CG15" s="49">
        <f>IFERROR(VLOOKUP(C15,CC!A:D,4,0)," ")</f>
        <v>99.5</v>
      </c>
      <c r="CH15" s="22" t="str">
        <f>IFERROR(VLOOKUP(C15,'спецификация'!B:AA,19,0)," ")</f>
        <v>ООО ПКФ Две линии (Алтэя)</v>
      </c>
      <c r="CI15" s="22"/>
      <c r="CJ15" s="22" t="s">
        <v>310</v>
      </c>
      <c r="CK15" s="22">
        <f>IFERROR(VLOOKUP(C15,CC!K:M,3,0)," ")</f>
        <v>90</v>
      </c>
      <c r="CL15" s="43"/>
      <c r="CM15" s="43"/>
      <c r="CN15" s="43"/>
      <c r="CO15" s="43"/>
      <c r="CP15" s="43"/>
      <c r="CQ15" s="43"/>
      <c r="CR15" s="43"/>
      <c r="CS15" s="43" t="b">
        <v>0</v>
      </c>
      <c r="CT15" s="43" t="b">
        <v>0</v>
      </c>
      <c r="CU15" s="43" t="b">
        <v>0</v>
      </c>
      <c r="CV15" s="43" t="b">
        <v>0</v>
      </c>
      <c r="CW15" s="43"/>
      <c r="CX15" s="43"/>
      <c r="CY15" s="43"/>
      <c r="CZ15" s="43"/>
      <c r="DA15" s="43"/>
      <c r="DB15" s="43"/>
      <c r="DC15" s="43"/>
      <c r="DD15" s="22">
        <f>IFERROR(VLOOKUP($C15,'Лист4'!$D:$AI,27,0)," ")</f>
        <v>5</v>
      </c>
      <c r="DE15" s="22">
        <f>IFERROR(VLOOKUP($C15,'Лист4'!$D:$AI,28,0)," ")</f>
        <v>16</v>
      </c>
      <c r="DF15" s="22">
        <f>IFERROR(VLOOKUP($C15,'Лист4'!$D:$AI,29,0)," ")</f>
        <v>5</v>
      </c>
      <c r="DG15" s="22">
        <f t="shared" si="3"/>
        <v>400</v>
      </c>
      <c r="DH15" s="22">
        <f>IFERROR(VLOOKUP($C15,'Лист4'!$D:$AI,32,0)," ")</f>
        <v>0.228</v>
      </c>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43"/>
      <c r="EN15" s="43"/>
      <c r="EO15" s="43"/>
      <c r="EP15" s="43"/>
      <c r="EQ15" s="43"/>
      <c r="ER15" s="43"/>
      <c r="ES15" s="43"/>
      <c r="ET15" s="43"/>
      <c r="EU15" s="43"/>
      <c r="EV15" s="43"/>
      <c r="EW15" s="43"/>
      <c r="EX15" s="43"/>
      <c r="EY15" s="43"/>
      <c r="EZ15" s="43"/>
      <c r="FA15" s="43"/>
      <c r="FB15" s="43"/>
      <c r="FC15" s="43"/>
    </row>
    <row r="16" ht="18.0" customHeight="1">
      <c r="A16" s="2"/>
      <c r="B16" s="22" t="str">
        <f>IFERROR(VLOOKUP(C16,'Реестр'!C:AC,27,0)," ")</f>
        <v>Биг-Л</v>
      </c>
      <c r="C16" s="43" t="s">
        <v>311</v>
      </c>
      <c r="D16" s="22" t="str">
        <f>IFERROR(VLOOKUP(C16,'Лист4'!D:P,13,0)," ")</f>
        <v>qeep</v>
      </c>
      <c r="E16" s="22" t="str">
        <f>IF(OR(ISERROR(VLOOKUP(C16,'Актуальность'!A:B,2,0)), VLOOKUP(C16,'Актуальность'!A:B,2,0)=""), "Актуальный", VLOOKUP(C16,'Актуальность'!A:B,2,0))</f>
        <v>Актуальный</v>
      </c>
      <c r="F16" s="43" t="str">
        <f>IFERROR(VLOOKUP(C16,'Актуальность'!A:C,3,0)," ")</f>
        <v>Внимание, Цена ВБ</v>
      </c>
      <c r="G16" s="43"/>
      <c r="H16" s="22" t="s">
        <v>286</v>
      </c>
      <c r="I16" s="22" t="s">
        <v>287</v>
      </c>
      <c r="J16" s="43"/>
      <c r="K16" s="43"/>
      <c r="L16" s="22" t="b">
        <f t="shared" ref="L16:R16" si="12">T16&lt;&gt;""</f>
        <v>1</v>
      </c>
      <c r="M16" s="22" t="b">
        <f t="shared" si="12"/>
        <v>1</v>
      </c>
      <c r="N16" s="22" t="b">
        <f t="shared" si="12"/>
        <v>1</v>
      </c>
      <c r="O16" s="22" t="b">
        <f t="shared" si="12"/>
        <v>1</v>
      </c>
      <c r="P16" s="22" t="b">
        <f t="shared" si="12"/>
        <v>1</v>
      </c>
      <c r="Q16" s="22" t="b">
        <f t="shared" si="12"/>
        <v>1</v>
      </c>
      <c r="R16" s="22" t="b">
        <f t="shared" si="12"/>
        <v>0</v>
      </c>
      <c r="S16" s="43"/>
      <c r="T16" s="43" t="str">
        <f>IFERROR(VLOOKUP( C16,'1С'!A:B,2,0)," ")</f>
        <v>QC101100406</v>
      </c>
      <c r="U16" s="22" t="str">
        <f>IFERROR(VLOOKUP(T16,'Лист4'!C:I,3,0)," ")</f>
        <v>qeep_dlyarostavolos_100ml</v>
      </c>
      <c r="V16" s="22" t="str">
        <f>IFERROR(VLOOKUP(T16,'Лист4'!C:I,4,0)," ")</f>
        <v>qeep_dlyarostavolos_100ml</v>
      </c>
      <c r="W16" s="22" t="str">
        <f>IFERROR(VLOOKUP(T16,'Лист4'!C:I,5,0)," ")</f>
        <v>qeep_dlyarostavolos_100ml</v>
      </c>
      <c r="X16" s="43" t="str">
        <f>IFERROR(VLOOKUP(T16,'Лист4'!C:I,7,0)," ")</f>
        <v>qeep_dlyarostavolos_100ml</v>
      </c>
      <c r="Y16" s="43" t="str">
        <f>IFERROR(VLOOKUP(T16,'Лист4'!C:I,6,0)," ")</f>
        <v>qeep_dlyarostavolos_100ml</v>
      </c>
      <c r="Z16" s="43"/>
      <c r="AA16" s="43"/>
      <c r="AB16" s="22">
        <v>4.49423638E8</v>
      </c>
      <c r="AC16" s="22">
        <v>2.354324278E9</v>
      </c>
      <c r="AD16" s="22">
        <v>4.909516637E9</v>
      </c>
      <c r="AE16" s="22">
        <v>9.9000115954E10</v>
      </c>
      <c r="AF16" s="22" t="s">
        <v>314</v>
      </c>
      <c r="AG16" s="43"/>
      <c r="AH16" s="43"/>
      <c r="AI16" s="43" t="str">
        <f>IFERROR(VLOOKUP(T16,'1С'!B:C,2,0)," ")</f>
        <v>Спрей для роста и от выпадения волос ,qeep, 100 мл</v>
      </c>
      <c r="AJ16" s="22" t="s">
        <v>315</v>
      </c>
      <c r="AK16" s="22" t="s">
        <v>316</v>
      </c>
      <c r="AL16" s="22" t="s">
        <v>317</v>
      </c>
      <c r="AM16" s="22" t="s">
        <v>318</v>
      </c>
      <c r="AN16" s="22" t="s">
        <v>319</v>
      </c>
      <c r="AO16" s="43"/>
      <c r="AP16" s="43"/>
      <c r="AQ16" s="46" t="s">
        <v>320</v>
      </c>
      <c r="AR16" s="46" t="s">
        <v>321</v>
      </c>
      <c r="AS16" s="46" t="s">
        <v>322</v>
      </c>
      <c r="AT16" s="46" t="s">
        <v>323</v>
      </c>
      <c r="AU16" s="46" t="s">
        <v>324</v>
      </c>
      <c r="AV16" s="43"/>
      <c r="AW16" s="43"/>
      <c r="AX16" s="22" t="s">
        <v>325</v>
      </c>
      <c r="AY16" s="22" t="s">
        <v>316</v>
      </c>
      <c r="AZ16" s="22" t="s">
        <v>326</v>
      </c>
      <c r="BA16" s="22" t="s">
        <v>300</v>
      </c>
      <c r="BB16" s="22" t="s">
        <v>327</v>
      </c>
      <c r="BC16" s="43"/>
      <c r="BD16" s="43"/>
      <c r="BE16" s="43"/>
      <c r="BF16" s="22">
        <f>IFERROR(VLOOKUP(C16,'спецификация'!B:D,3,0)," ")</f>
        <v>4603320465434</v>
      </c>
      <c r="BG16" s="22">
        <v>3.305900009E9</v>
      </c>
      <c r="BH16" s="22" t="str">
        <f>IFERROR(VLOOKUP(C16,'спецификация'!B:AA,5,0)," ")</f>
        <v>ЕАЭС N RU Д-RU.РА03.В.29743/25 от 10.04.2025 по 10.04.2030</v>
      </c>
      <c r="BI16" s="46" t="s">
        <v>329</v>
      </c>
      <c r="BJ16" s="22" t="str">
        <f>IFERROR(VLOOKUP(C16,'спецификация'!B:AA,6,0)," ")</f>
        <v>без ЧЗ</v>
      </c>
      <c r="BK16" s="43"/>
      <c r="BL16" s="43"/>
      <c r="BM16" s="22" t="str">
        <f>IFERROR(VLOOKUP(BF16,'спецификация'!D:H,5,0)," ")</f>
        <v>Aqua, Niacinamide, Hydroxyethyl Urea, Glycerin, Rosemary Extract, Acetyl Tetrapeptide-3, Capsicum Annuum Extract, D-Panthenol, Phenoxyethanol, PEG-40 Hydrogenated Castor Oil, Fragrance, Glycolic Acid, Oleanolic acid, 1,2-Hexanediol, Ethylhexylglycerin, Hexamethylindanopyran, Hexyl Cinnamal, Tetramethyl Acetyloctahydronaphthalenes, Pinene, D-Limonene</v>
      </c>
      <c r="BN16" s="43"/>
      <c r="BO16" s="22" t="s">
        <v>331</v>
      </c>
      <c r="BP16" s="43" t="str">
        <f>IFERROR(VLOOKUP(C16,'спецификация'!B:AA,11,0)," ")</f>
        <v/>
      </c>
      <c r="BQ16" s="22" t="s">
        <v>163</v>
      </c>
      <c r="BR16" s="22">
        <v>100.0</v>
      </c>
      <c r="BS16" s="22" t="s">
        <v>139</v>
      </c>
      <c r="BT16" s="22"/>
      <c r="BU16" s="22"/>
      <c r="BV16" s="22" t="s">
        <v>332</v>
      </c>
      <c r="BW16" s="44" t="str">
        <f>IFERROR(VLOOKUP(C16,'спецификация'!B:AA,16,0)," ")</f>
        <v>https://docs.google.com/document/d/12STKI-NMYfL1xbAqJUqIbh1TKTru8BF48TrgEiod520/edit?tab=t.0</v>
      </c>
      <c r="BX16" s="43"/>
      <c r="BY16" s="43"/>
      <c r="BZ16" s="45" t="str">
        <f>IFERROR(VLOOKUP(BF16,'спецификация'!D:Y,22,0)," ")</f>
        <v/>
      </c>
      <c r="CA16" s="43"/>
      <c r="CB16" s="43"/>
      <c r="CC16" s="43"/>
      <c r="CD16" s="43"/>
      <c r="CE16" s="43"/>
      <c r="CF16" s="43"/>
      <c r="CG16" s="49">
        <f>IFERROR(VLOOKUP(C16,CC!A:D,4,0)," ")</f>
        <v>135.47</v>
      </c>
      <c r="CH16" s="22" t="str">
        <f>IFERROR(VLOOKUP(C16,'спецификация'!B:AA,19,0)," ")</f>
        <v>ООО «Марвел 420049, Республика Татарстан, г Казань, ул Павлюхина, д. 99б, помещ. 1027. </v>
      </c>
      <c r="CI16" s="22"/>
      <c r="CJ16" s="22" t="s">
        <v>337</v>
      </c>
      <c r="CK16" s="22">
        <f>IFERROR(VLOOKUP(C16,CC!K:M,3,0)," ")</f>
        <v>60</v>
      </c>
      <c r="CL16" s="43"/>
      <c r="CM16" s="43"/>
      <c r="CN16" s="43"/>
      <c r="CO16" s="43"/>
      <c r="CP16" s="43"/>
      <c r="CQ16" s="43"/>
      <c r="CR16" s="43"/>
      <c r="CS16" s="43" t="b">
        <v>0</v>
      </c>
      <c r="CT16" s="43" t="b">
        <v>0</v>
      </c>
      <c r="CU16" s="43" t="b">
        <v>0</v>
      </c>
      <c r="CV16" s="43" t="b">
        <v>0</v>
      </c>
      <c r="CW16" s="43"/>
      <c r="CX16" s="43"/>
      <c r="CY16" s="43"/>
      <c r="CZ16" s="43"/>
      <c r="DA16" s="43"/>
      <c r="DB16" s="43"/>
      <c r="DC16" s="43"/>
      <c r="DD16" s="22">
        <f>IFERROR(VLOOKUP($C16,'Лист4'!$D:$AI,27,0)," ")</f>
        <v>9</v>
      </c>
      <c r="DE16" s="22">
        <f>IFERROR(VLOOKUP($C16,'Лист4'!$D:$AI,28,0)," ")</f>
        <v>13</v>
      </c>
      <c r="DF16" s="22">
        <f>IFERROR(VLOOKUP($C16,'Лист4'!$D:$AI,29,0)," ")</f>
        <v>9</v>
      </c>
      <c r="DG16" s="22">
        <f t="shared" si="3"/>
        <v>1053</v>
      </c>
      <c r="DH16" s="22">
        <f>IFERROR(VLOOKUP($C16,'Лист4'!$D:$AI,32,0)," ")</f>
        <v>0.15</v>
      </c>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43"/>
      <c r="EN16" s="43"/>
      <c r="EO16" s="43"/>
      <c r="EP16" s="43"/>
      <c r="EQ16" s="43"/>
      <c r="ER16" s="43"/>
      <c r="ES16" s="43"/>
      <c r="ET16" s="43"/>
      <c r="EU16" s="43"/>
      <c r="EV16" s="43"/>
      <c r="EW16" s="43"/>
      <c r="EX16" s="43"/>
      <c r="EY16" s="43"/>
      <c r="EZ16" s="43"/>
      <c r="FA16" s="43"/>
      <c r="FB16" s="43"/>
      <c r="FC16" s="43"/>
    </row>
    <row r="17" ht="18.0" customHeight="1">
      <c r="A17" s="2"/>
      <c r="B17" s="22" t="str">
        <f>IFERROR(VLOOKUP(C17,'Реестр'!C:AC,27,0)," ")</f>
        <v>Биг-Л</v>
      </c>
      <c r="C17" s="43" t="s">
        <v>338</v>
      </c>
      <c r="D17" s="22" t="str">
        <f>IFERROR(VLOOKUP(C17,'Лист4'!D:P,13,0)," ")</f>
        <v>qeep</v>
      </c>
      <c r="E17" s="22" t="str">
        <f>IF(OR(ISERROR(VLOOKUP(C17,'Актуальность'!A:B,2,0)), VLOOKUP(C17,'Актуальность'!A:B,2,0)=""), "Актуальный", VLOOKUP(C17,'Актуальность'!A:B,2,0))</f>
        <v>Актуальный</v>
      </c>
      <c r="F17" s="43" t="str">
        <f>IFERROR(VLOOKUP(C17,'Актуальность'!A:C,3,0)," ")</f>
        <v>Внимание, небольшой остаток держим</v>
      </c>
      <c r="G17" s="43"/>
      <c r="H17" s="22" t="s">
        <v>286</v>
      </c>
      <c r="I17" s="22" t="s">
        <v>287</v>
      </c>
      <c r="J17" s="43"/>
      <c r="K17" s="43"/>
      <c r="L17" s="22" t="b">
        <f t="shared" ref="L17:R17" si="13">T17&lt;&gt;""</f>
        <v>1</v>
      </c>
      <c r="M17" s="22" t="b">
        <f t="shared" si="13"/>
        <v>1</v>
      </c>
      <c r="N17" s="22" t="b">
        <f t="shared" si="13"/>
        <v>1</v>
      </c>
      <c r="O17" s="22" t="b">
        <f t="shared" si="13"/>
        <v>1</v>
      </c>
      <c r="P17" s="22" t="b">
        <f t="shared" si="13"/>
        <v>0</v>
      </c>
      <c r="Q17" s="22" t="b">
        <f t="shared" si="13"/>
        <v>1</v>
      </c>
      <c r="R17" s="22" t="b">
        <f t="shared" si="13"/>
        <v>0</v>
      </c>
      <c r="S17" s="43"/>
      <c r="T17" s="43" t="str">
        <f>IFERROR(VLOOKUP( C17,'1С'!A:B,2,0)," ")</f>
        <v>QC101100407</v>
      </c>
      <c r="U17" s="22" t="str">
        <f>IFERROR(VLOOKUP(T17,'Лист4'!C:I,3,0)," ")</f>
        <v>qeep_hairspray_200ml</v>
      </c>
      <c r="V17" s="22" t="str">
        <f>IFERROR(VLOOKUP(T17,'Лист4'!C:I,4,0)," ")</f>
        <v>qeep_hairspray_200ml</v>
      </c>
      <c r="W17" s="22" t="str">
        <f>IFERROR(VLOOKUP(T17,'Лист4'!C:I,5,0)," ")</f>
        <v>qeep_hairspray_200ml</v>
      </c>
      <c r="X17" s="43"/>
      <c r="Y17" s="43" t="str">
        <f>IFERROR(VLOOKUP(T17,'Лист4'!C:I,6,0)," ")</f>
        <v>qeep_hairspray_200ml</v>
      </c>
      <c r="Z17" s="43"/>
      <c r="AA17" s="43"/>
      <c r="AB17" s="22">
        <v>2.68884161E8</v>
      </c>
      <c r="AC17" s="22">
        <v>1.729383128E9</v>
      </c>
      <c r="AD17" s="22">
        <v>1.03578859652E11</v>
      </c>
      <c r="AE17" s="22"/>
      <c r="AF17" s="22" t="s">
        <v>342</v>
      </c>
      <c r="AG17" s="43"/>
      <c r="AH17" s="43"/>
      <c r="AI17" s="43" t="str">
        <f>IFERROR(VLOOKUP(T17,'1С'!B:C,2,0)," ")</f>
        <v>Спрей термозащита для волос 17 в 1 ,qeep, 200 мл</v>
      </c>
      <c r="AJ17" s="22" t="s">
        <v>343</v>
      </c>
      <c r="AK17" s="22" t="s">
        <v>344</v>
      </c>
      <c r="AL17" s="22" t="s">
        <v>345</v>
      </c>
      <c r="AM17" s="43"/>
      <c r="AN17" s="22" t="s">
        <v>346</v>
      </c>
      <c r="AO17" s="43"/>
      <c r="AP17" s="43"/>
      <c r="AQ17" s="46" t="s">
        <v>347</v>
      </c>
      <c r="AR17" s="46" t="s">
        <v>348</v>
      </c>
      <c r="AS17" s="46" t="s">
        <v>349</v>
      </c>
      <c r="AT17" s="43"/>
      <c r="AU17" s="46" t="s">
        <v>350</v>
      </c>
      <c r="AV17" s="43"/>
      <c r="AW17" s="43"/>
      <c r="AX17" s="22" t="s">
        <v>298</v>
      </c>
      <c r="AY17" s="22" t="s">
        <v>344</v>
      </c>
      <c r="AZ17" s="22" t="s">
        <v>299</v>
      </c>
      <c r="BA17" s="43"/>
      <c r="BB17" s="22" t="s">
        <v>351</v>
      </c>
      <c r="BC17" s="43"/>
      <c r="BD17" s="43"/>
      <c r="BE17" s="43"/>
      <c r="BF17" s="22">
        <f>IFERROR(VLOOKUP(C17,'спецификация'!B:D,3,0)," ")</f>
        <v>4670020498024</v>
      </c>
      <c r="BG17" s="22">
        <v>3.305900009E9</v>
      </c>
      <c r="BH17" s="22" t="s">
        <v>133</v>
      </c>
      <c r="BI17" s="46" t="s">
        <v>352</v>
      </c>
      <c r="BJ17" s="22" t="str">
        <f>IFERROR(VLOOKUP(C17,'спецификация'!B:AA,6,0)," ")</f>
        <v>без ЧЗ</v>
      </c>
      <c r="BK17" s="43"/>
      <c r="BL17" s="43"/>
      <c r="BM17" s="22" t="str">
        <f>IFERROR(VLOOKUP(BF17,'спецификация'!D:H,5,0)," ")</f>
        <v>Aqua, Amodimethicone, Cetearyl Alcohol, Glycerin, Cetrimonium Chloride, Trideceth-12, Ceteareth 20, Polyquaternium-37, Behentrimonium Chloride, Lysine, Histidine, Arginine, Aspartic Acid, Threonine, Serine, Glutamic Acid, Proline, Glycine, Alanine, Valine, Methionine, Isoleucine, Leucine, Tyrosine, Phenylalanine, Cysteine, Sodium PCA, Glucose, Urea, Allantoin, Lactic Acid, Oenothera Biennis Oil, Retinyl Palmitate, Tocopheryl Acetate, Panthenol, Hydrolyzed Keratin, Hydrolysed Silk, Argania Spinosa Kernel Oil, PEG-7 Glyceryl Cocoate, Potassium Sorbate, Sodium Benzoate, Gluconolactone, Calcium Gluconate, PEG-40 Hydrogenated Castor Oil, Benzoic Acid, Dehydroacetic Acid, Parfum, Phenoxyethanol, Ethylhexylglycerin.</v>
      </c>
      <c r="BN17" s="43"/>
      <c r="BO17" s="22" t="s">
        <v>354</v>
      </c>
      <c r="BP17" s="43" t="str">
        <f>IFERROR(VLOOKUP(C17,'спецификация'!B:AA,11,0)," ")</f>
        <v/>
      </c>
      <c r="BQ17" s="22" t="s">
        <v>306</v>
      </c>
      <c r="BR17" s="22">
        <v>200.0</v>
      </c>
      <c r="BS17" s="22" t="s">
        <v>139</v>
      </c>
      <c r="BT17" s="22"/>
      <c r="BU17" s="22"/>
      <c r="BV17" s="22" t="s">
        <v>307</v>
      </c>
      <c r="BW17" s="44" t="str">
        <f>IFERROR(VLOOKUP(C17,'спецификация'!B:AA,16,0)," ")</f>
        <v>https://docs.google.com/document/d/10J8C2tL_Ttlb0h2oWm5GtXjXdwtwyf_qKWKopwZQzFg/edit</v>
      </c>
      <c r="BX17" s="43"/>
      <c r="BY17" s="43"/>
      <c r="BZ17" s="45" t="str">
        <f>IFERROR(VLOOKUP(BF17,'спецификация'!D:Y,22,0)," ")</f>
        <v/>
      </c>
      <c r="CA17" s="43"/>
      <c r="CB17" s="43"/>
      <c r="CC17" s="43"/>
      <c r="CD17" s="43"/>
      <c r="CE17" s="43"/>
      <c r="CF17" s="43"/>
      <c r="CG17" s="49">
        <f>IFERROR(VLOOKUP(C17,CC!A:D,4,0)," ")</f>
        <v>111.6</v>
      </c>
      <c r="CH17" s="22" t="str">
        <f>IFERROR(VLOOKUP(C17,'спецификация'!B:AA,19,0)," ")</f>
        <v>ООО ПКФ Две линии (Алтэя)</v>
      </c>
      <c r="CI17" s="22"/>
      <c r="CJ17" s="22" t="s">
        <v>310</v>
      </c>
      <c r="CK17" s="22">
        <f>IFERROR(VLOOKUP(C17,CC!K:M,3,0)," ")</f>
        <v>90</v>
      </c>
      <c r="CL17" s="43"/>
      <c r="CM17" s="43"/>
      <c r="CN17" s="43"/>
      <c r="CO17" s="43"/>
      <c r="CP17" s="43"/>
      <c r="CQ17" s="43"/>
      <c r="CR17" s="43"/>
      <c r="CS17" s="43" t="b">
        <v>0</v>
      </c>
      <c r="CT17" s="43" t="b">
        <v>0</v>
      </c>
      <c r="CU17" s="43" t="b">
        <v>0</v>
      </c>
      <c r="CV17" s="43" t="b">
        <v>0</v>
      </c>
      <c r="CW17" s="43"/>
      <c r="CX17" s="43"/>
      <c r="CY17" s="43"/>
      <c r="CZ17" s="43"/>
      <c r="DA17" s="43"/>
      <c r="DB17" s="43"/>
      <c r="DC17" s="43"/>
      <c r="DD17" s="22">
        <f>IFERROR(VLOOKUP($C17,'Лист4'!$D:$AI,27,0)," ")</f>
        <v>4</v>
      </c>
      <c r="DE17" s="22">
        <f>IFERROR(VLOOKUP($C17,'Лист4'!$D:$AI,28,0)," ")</f>
        <v>18</v>
      </c>
      <c r="DF17" s="22">
        <f>IFERROR(VLOOKUP($C17,'Лист4'!$D:$AI,29,0)," ")</f>
        <v>4</v>
      </c>
      <c r="DG17" s="22">
        <f t="shared" si="3"/>
        <v>288</v>
      </c>
      <c r="DH17" s="22">
        <f>IFERROR(VLOOKUP($C17,'Лист4'!$D:$AI,32,0)," ")</f>
        <v>0.23</v>
      </c>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43"/>
      <c r="EN17" s="43"/>
      <c r="EO17" s="43"/>
      <c r="EP17" s="43"/>
      <c r="EQ17" s="43"/>
      <c r="ER17" s="43"/>
      <c r="ES17" s="43"/>
      <c r="ET17" s="43"/>
      <c r="EU17" s="43"/>
      <c r="EV17" s="43"/>
      <c r="EW17" s="43"/>
      <c r="EX17" s="43"/>
      <c r="EY17" s="43"/>
      <c r="EZ17" s="43"/>
      <c r="FA17" s="43"/>
      <c r="FB17" s="43"/>
      <c r="FC17" s="43"/>
    </row>
    <row r="18" ht="18.0" customHeight="1">
      <c r="A18" s="2"/>
      <c r="B18" s="22" t="str">
        <f>IFERROR(VLOOKUP(C18,'Реестр'!C:AC,27,0)," ")</f>
        <v>Биг-Л</v>
      </c>
      <c r="C18" s="43" t="s">
        <v>357</v>
      </c>
      <c r="D18" s="22" t="str">
        <f>IFERROR(VLOOKUP(C18,'Лист4'!D:P,13,0)," ")</f>
        <v>qeep</v>
      </c>
      <c r="E18" s="22" t="str">
        <f>IF(OR(ISERROR(VLOOKUP(C18,'Актуальность'!A:B,2,0)), VLOOKUP(C18,'Актуальность'!A:B,2,0)=""), "Актуальный", VLOOKUP(C18,'Актуальность'!A:B,2,0))</f>
        <v>Под вопросом</v>
      </c>
      <c r="F18" s="43" t="str">
        <f>IFERROR(VLOOKUP(C18,'Актуальность'!A:C,3,0)," ")</f>
        <v>КЗ Внешка</v>
      </c>
      <c r="G18" s="43"/>
      <c r="H18" s="22" t="s">
        <v>361</v>
      </c>
      <c r="I18" s="22" t="s">
        <v>362</v>
      </c>
      <c r="J18" s="43"/>
      <c r="K18" s="43"/>
      <c r="L18" s="22" t="b">
        <f t="shared" ref="L18:R18" si="14">T18&lt;&gt;""</f>
        <v>1</v>
      </c>
      <c r="M18" s="22" t="b">
        <f t="shared" si="14"/>
        <v>1</v>
      </c>
      <c r="N18" s="22" t="b">
        <f t="shared" si="14"/>
        <v>1</v>
      </c>
      <c r="O18" s="22" t="b">
        <f t="shared" si="14"/>
        <v>1</v>
      </c>
      <c r="P18" s="22" t="b">
        <f t="shared" si="14"/>
        <v>1</v>
      </c>
      <c r="Q18" s="22" t="b">
        <f t="shared" si="14"/>
        <v>0</v>
      </c>
      <c r="R18" s="22" t="b">
        <f t="shared" si="14"/>
        <v>0</v>
      </c>
      <c r="S18" s="43"/>
      <c r="T18" s="43" t="str">
        <f>IFERROR(VLOOKUP( C18,'1С'!A:B,2,0)," ")</f>
        <v>QB101100420</v>
      </c>
      <c r="U18" s="22" t="str">
        <f>IFERROR(VLOOKUP(T18,'Лист4'!C:I,3,0)," ")</f>
        <v>qeep_gummy_d3_60</v>
      </c>
      <c r="V18" s="22" t="str">
        <f>IFERROR(VLOOKUP(T18,'Лист4'!C:I,4,0)," ")</f>
        <v>qeep_gummy_d3_60</v>
      </c>
      <c r="W18" s="22" t="str">
        <f>IFERROR(VLOOKUP(T18,'Лист4'!C:I,5,0)," ")</f>
        <v>qeep_gummy_d3_60</v>
      </c>
      <c r="X18" s="43" t="str">
        <f>IFERROR(VLOOKUP(T18,'Лист4'!C:I,7,0)," ")</f>
        <v>qeep_gummy_d3_60</v>
      </c>
      <c r="Y18" s="43" t="str">
        <f>IFERROR(VLOOKUP(T18,'Лист4'!C:I,6,0)," ")</f>
        <v/>
      </c>
      <c r="Z18" s="43"/>
      <c r="AA18" s="43"/>
      <c r="AB18" s="22">
        <v>4.32821274E8</v>
      </c>
      <c r="AC18" s="22">
        <v>2.214705163E9</v>
      </c>
      <c r="AD18" s="22">
        <v>4.476305013E9</v>
      </c>
      <c r="AE18" s="22">
        <v>9.900011774E10</v>
      </c>
      <c r="AF18" s="22"/>
      <c r="AG18" s="43"/>
      <c r="AH18" s="43"/>
      <c r="AI18" s="43" t="str">
        <f>IFERROR(VLOOKUP(T18,'1С'!B:C,2,0)," ")</f>
        <v>БАД Д3 мармеладки ,qeep, 60 штук</v>
      </c>
      <c r="AJ18" s="22" t="s">
        <v>364</v>
      </c>
      <c r="AK18" s="22" t="s">
        <v>365</v>
      </c>
      <c r="AL18" s="22" t="s">
        <v>366</v>
      </c>
      <c r="AM18" s="22" t="s">
        <v>367</v>
      </c>
      <c r="AN18" s="43"/>
      <c r="AO18" s="43"/>
      <c r="AP18" s="43"/>
      <c r="AQ18" s="46" t="s">
        <v>368</v>
      </c>
      <c r="AR18" s="46" t="s">
        <v>369</v>
      </c>
      <c r="AS18" s="46" t="s">
        <v>370</v>
      </c>
      <c r="AT18" s="46" t="s">
        <v>371</v>
      </c>
      <c r="AU18" s="43"/>
      <c r="AV18" s="43"/>
      <c r="AW18" s="43"/>
      <c r="AX18" s="22" t="s">
        <v>361</v>
      </c>
      <c r="AY18" s="22" t="s">
        <v>365</v>
      </c>
      <c r="AZ18" s="22" t="s">
        <v>372</v>
      </c>
      <c r="BA18" s="22" t="s">
        <v>373</v>
      </c>
      <c r="BB18" s="43"/>
      <c r="BC18" s="43"/>
      <c r="BD18" s="43"/>
      <c r="BE18" s="43"/>
      <c r="BF18" s="22">
        <f>IFERROR(VLOOKUP(C18,'спецификация'!B:D,3,0)," ")</f>
        <v>4640332830317</v>
      </c>
      <c r="BG18" s="22">
        <v>2.106909808E9</v>
      </c>
      <c r="BH18" s="22" t="str">
        <f>IFERROR(VLOOKUP(C18,'спецификация'!B:AA,5,0)," ")</f>
        <v>AM.01.01.01.003.R.000594.08.23 от 17.08.2023 г.</v>
      </c>
      <c r="BI18" s="46" t="s">
        <v>376</v>
      </c>
      <c r="BJ18" s="22" t="str">
        <f>IFERROR(VLOOKUP(C18,'спецификация'!B:AA,6,0)," ")</f>
        <v>ЧЗ</v>
      </c>
      <c r="BK18" s="43"/>
      <c r="BL18" s="43"/>
      <c r="BM18" s="22" t="str">
        <f>IFERROR(VLOOKUP(BF18,'спецификация'!D:H,5,0)," ")</f>
        <v>патока, сахар, вода, желатин, носитель – глицерин, глазирователь (содержит глазирователи: воск карнаубский, воск пчелиный белый, антиокислитель – альфа-токоферол), регулятор кислотности – лимонная кислота, холекальциферол, жир молочный, ароматизатор натуральный «Вишня» </v>
      </c>
      <c r="BN18" s="43"/>
      <c r="BO18" s="22" t="s">
        <v>378</v>
      </c>
      <c r="BP18" s="22" t="s">
        <v>379</v>
      </c>
      <c r="BQ18" s="22" t="s">
        <v>380</v>
      </c>
      <c r="BR18" s="22">
        <v>60.0</v>
      </c>
      <c r="BS18" s="22" t="s">
        <v>381</v>
      </c>
      <c r="BT18" s="22"/>
      <c r="BU18" s="22"/>
      <c r="BV18" s="22" t="s">
        <v>307</v>
      </c>
      <c r="BW18" s="44" t="str">
        <f>IFERROR(VLOOKUP(C18,'спецификация'!B:AA,16,0)," ")</f>
        <v>https://docs.google.com/document/d/1IAHvVzgeKSqo1-9G60Q4yjs42ezg6WvRovlxkChGLZQ/edit?tab=t.0</v>
      </c>
      <c r="BX18" s="43"/>
      <c r="BY18" s="43"/>
      <c r="BZ18" s="45" t="str">
        <f>IFERROR(VLOOKUP(BF18,'спецификация'!D:Y,22,0)," ")</f>
        <v/>
      </c>
      <c r="CA18" s="43"/>
      <c r="CB18" s="43"/>
      <c r="CC18" s="43"/>
      <c r="CD18" s="43"/>
      <c r="CE18" s="43"/>
      <c r="CF18" s="43"/>
      <c r="CG18" s="49">
        <f>IFERROR(VLOOKUP(C18,CC!A:D,4,0)," ")</f>
        <v>220</v>
      </c>
      <c r="CH18" s="22" t="str">
        <f>IFERROR(VLOOKUP(C18,'спецификация'!B:AA,19,0)," ")</f>
        <v>ООО ПК "Битра"</v>
      </c>
      <c r="CI18" s="22"/>
      <c r="CJ18" s="22" t="s">
        <v>384</v>
      </c>
      <c r="CK18" s="22">
        <f>IFERROR(VLOOKUP(C18,CC!K:M,3,0)," ")</f>
        <v>90</v>
      </c>
      <c r="CL18" s="43"/>
      <c r="CM18" s="43"/>
      <c r="CN18" s="43"/>
      <c r="CO18" s="43"/>
      <c r="CP18" s="43"/>
      <c r="CQ18" s="43"/>
      <c r="CR18" s="43"/>
      <c r="CS18" s="43" t="b">
        <v>0</v>
      </c>
      <c r="CT18" s="43" t="b">
        <v>0</v>
      </c>
      <c r="CU18" s="43" t="b">
        <v>0</v>
      </c>
      <c r="CV18" s="43" t="b">
        <v>0</v>
      </c>
      <c r="CW18" s="43"/>
      <c r="CX18" s="43"/>
      <c r="CY18" s="43"/>
      <c r="CZ18" s="43"/>
      <c r="DA18" s="43"/>
      <c r="DB18" s="43"/>
      <c r="DC18" s="43"/>
      <c r="DD18" s="22">
        <f>IFERROR(VLOOKUP($C18,'Лист4'!$D:$AI,27,0)," ")</f>
        <v>7</v>
      </c>
      <c r="DE18" s="22">
        <f>IFERROR(VLOOKUP($C18,'Лист4'!$D:$AI,28,0)," ")</f>
        <v>13</v>
      </c>
      <c r="DF18" s="22">
        <f>IFERROR(VLOOKUP($C18,'Лист4'!$D:$AI,29,0)," ")</f>
        <v>7</v>
      </c>
      <c r="DG18" s="22">
        <f t="shared" si="3"/>
        <v>637</v>
      </c>
      <c r="DH18" s="22">
        <f>IFERROR(VLOOKUP($C18,'Лист4'!$D:$AI,32,0)," ")</f>
        <v>0.235</v>
      </c>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43"/>
      <c r="EN18" s="43"/>
      <c r="EO18" s="43"/>
      <c r="EP18" s="43"/>
      <c r="EQ18" s="43"/>
      <c r="ER18" s="43"/>
      <c r="ES18" s="43"/>
      <c r="ET18" s="43"/>
      <c r="EU18" s="43"/>
      <c r="EV18" s="43"/>
      <c r="EW18" s="43"/>
      <c r="EX18" s="43"/>
      <c r="EY18" s="43"/>
      <c r="EZ18" s="43"/>
      <c r="FA18" s="43"/>
      <c r="FB18" s="43"/>
      <c r="FC18" s="43"/>
    </row>
    <row r="19" ht="18.0" customHeight="1">
      <c r="A19" s="2"/>
      <c r="B19" s="22" t="str">
        <f>IFERROR(VLOOKUP(C19,'Реестр'!C:AC,27,0)," ")</f>
        <v>Биг-Л</v>
      </c>
      <c r="C19" s="43" t="s">
        <v>385</v>
      </c>
      <c r="D19" s="22" t="str">
        <f>IFERROR(VLOOKUP(C19,'Лист4'!D:P,13,0)," ")</f>
        <v>qeep</v>
      </c>
      <c r="E19" s="22" t="str">
        <f>IF(OR(ISERROR(VLOOKUP(C19,'Актуальность'!A:B,2,0)), VLOOKUP(C19,'Актуальность'!A:B,2,0)=""), "Актуальный", VLOOKUP(C19,'Актуальность'!A:B,2,0))</f>
        <v>Вывод</v>
      </c>
      <c r="F19" s="43" t="str">
        <f>IFERROR(VLOOKUP(C19,'Актуальность'!A:C,3,0)," ")</f>
        <v/>
      </c>
      <c r="G19" s="43"/>
      <c r="H19" s="22" t="s">
        <v>361</v>
      </c>
      <c r="I19" s="22" t="s">
        <v>362</v>
      </c>
      <c r="J19" s="43"/>
      <c r="K19" s="43"/>
      <c r="L19" s="22" t="b">
        <f t="shared" ref="L19:R19" si="15">T19&lt;&gt;""</f>
        <v>1</v>
      </c>
      <c r="M19" s="22" t="b">
        <f t="shared" si="15"/>
        <v>1</v>
      </c>
      <c r="N19" s="22" t="b">
        <f t="shared" si="15"/>
        <v>1</v>
      </c>
      <c r="O19" s="22" t="b">
        <f t="shared" si="15"/>
        <v>0</v>
      </c>
      <c r="P19" s="22" t="b">
        <f t="shared" si="15"/>
        <v>0</v>
      </c>
      <c r="Q19" s="22" t="b">
        <f t="shared" si="15"/>
        <v>0</v>
      </c>
      <c r="R19" s="22" t="b">
        <f t="shared" si="15"/>
        <v>0</v>
      </c>
      <c r="S19" s="43"/>
      <c r="T19" s="43" t="str">
        <f>IFERROR(VLOOKUP( C19,'1С'!A:B,2,0)," ")</f>
        <v>QB101100475</v>
      </c>
      <c r="U19" s="22" t="str">
        <f>IFERROR(VLOOKUP(T19,'Лист4'!C:I,3,0)," ")</f>
        <v>qeepomega_kids</v>
      </c>
      <c r="V19" s="22" t="str">
        <f>IFERROR(VLOOKUP(T19,'Лист4'!C:I,4,0)," ")</f>
        <v>qeepomega_kids</v>
      </c>
      <c r="W19" s="22" t="str">
        <f>IFERROR(VLOOKUP(T19,'Лист4'!C:I,5,0)," ")</f>
        <v/>
      </c>
      <c r="X19" s="43" t="str">
        <f>IFERROR(VLOOKUP(T19,'Лист4'!C:I,7,0)," ")</f>
        <v/>
      </c>
      <c r="Y19" s="43" t="str">
        <f>IFERROR(VLOOKUP(T19,'Лист4'!C:I,6,0)," ")</f>
        <v/>
      </c>
      <c r="Z19" s="43"/>
      <c r="AA19" s="43"/>
      <c r="AB19" s="22">
        <v>1.38757897E8</v>
      </c>
      <c r="AC19" s="22">
        <v>8.09466646E8</v>
      </c>
      <c r="AD19" s="22"/>
      <c r="AE19" s="22"/>
      <c r="AF19" s="22"/>
      <c r="AG19" s="43"/>
      <c r="AH19" s="43"/>
      <c r="AI19" s="43" t="str">
        <f>IFERROR(VLOOKUP(T19,'1С'!B:C,2,0)," ")</f>
        <v>БАД Омега 3 для детей 540 мг ,qeep, 90 капсул</v>
      </c>
      <c r="AJ19" s="22" t="s">
        <v>388</v>
      </c>
      <c r="AK19" s="22" t="s">
        <v>389</v>
      </c>
      <c r="AL19" s="43"/>
      <c r="AM19" s="43"/>
      <c r="AN19" s="43"/>
      <c r="AO19" s="43"/>
      <c r="AP19" s="43"/>
      <c r="AQ19" s="46" t="s">
        <v>390</v>
      </c>
      <c r="AR19" s="46" t="s">
        <v>391</v>
      </c>
      <c r="AS19" s="43"/>
      <c r="AT19" s="43"/>
      <c r="AU19" s="43"/>
      <c r="AV19" s="43"/>
      <c r="AW19" s="43"/>
      <c r="AX19" s="22" t="s">
        <v>361</v>
      </c>
      <c r="AY19" s="22" t="s">
        <v>389</v>
      </c>
      <c r="AZ19" s="43"/>
      <c r="BA19" s="43"/>
      <c r="BB19" s="43"/>
      <c r="BC19" s="43"/>
      <c r="BD19" s="43"/>
      <c r="BE19" s="43"/>
      <c r="BF19" s="22" t="str">
        <f>IFERROR(VLOOKUP(C19,'спецификация'!B:D,3,0)," ")</f>
        <v>2253874668540
4620153900611</v>
      </c>
      <c r="BG19" s="22">
        <v>3.504009E9</v>
      </c>
      <c r="BH19" s="22" t="str">
        <f>IFERROR(VLOOKUP(C19,'спецификация'!B:AA,5,0)," ")</f>
        <v>RU.77.99.11.003.R.003248.09.19 от 10.09.2019 г.</v>
      </c>
      <c r="BI19" s="46" t="s">
        <v>394</v>
      </c>
      <c r="BJ19" s="22" t="str">
        <f>IFERROR(VLOOKUP(C19,'спецификация'!B:AA,6,0)," ")</f>
        <v>ЧЗ</v>
      </c>
      <c r="BK19" s="43"/>
      <c r="BL19" s="43"/>
      <c r="BM19" s="22" t="str">
        <f>IFERROR(VLOOKUP(BF19,'спецификация'!D:H,5,0)," ")</f>
        <v>рыбий жир, капсула желатиновая (желатин, глицерин, картофельный крахмал, фруктоза), кремния диоксид (носитель), натуральный ароматизатор «малина и травы», витамин Е (токоферола ацетат), ликопин (или бета-каротин) (краситель), антиокислитель «Гриндокс», витамин D3 (холекальциферол).</v>
      </c>
      <c r="BN19" s="43"/>
      <c r="BO19" s="22" t="str">
        <f>IFERROR(VLOOKUP(C19,'спецификация'!B:AA,10,0)," ")</f>
        <v>детям с 3х лет и взрослым по 1-2 капсулы 2 раза в день во время еды (разжевать). Продолжительность приема 1 месяц. При необходимости прием можно повторить в течение года.</v>
      </c>
      <c r="BP19" s="43" t="str">
        <f>IFERROR(VLOOKUP(C19,'спецификация'!B:AA,11,0)," ")</f>
        <v>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v>
      </c>
      <c r="BQ19" s="22" t="str">
        <f>IFERROR(VLOOKUP(C19,'спецификация'!B:AA,12,0)," ")</f>
        <v>В недоступном для детей месте при температуре не выше 25°С.</v>
      </c>
      <c r="BR19" s="22">
        <v>90.0</v>
      </c>
      <c r="BS19" s="22" t="s">
        <v>210</v>
      </c>
      <c r="BT19" s="43"/>
      <c r="BU19" s="22"/>
      <c r="BV19" s="22" t="s">
        <v>307</v>
      </c>
      <c r="BW19" s="45" t="str">
        <f>IFERROR(VLOOKUP(C19,'спецификация'!B:AA,16,0)," ")</f>
        <v/>
      </c>
      <c r="BX19" s="43"/>
      <c r="BY19" s="43"/>
      <c r="BZ19" s="44" t="str">
        <f>IFERROR(VLOOKUP(BF19,'спецификация'!D:Y,22,0)," ")</f>
        <v>https://drive.google.com/drive/u/0/folders/10ZcNddpKKbQ2OW4wt_06WNYC5-1fTDJ1</v>
      </c>
      <c r="CA19" s="43"/>
      <c r="CB19" s="43"/>
      <c r="CC19" s="43"/>
      <c r="CD19" s="43"/>
      <c r="CE19" s="43"/>
      <c r="CF19" s="43"/>
      <c r="CG19" s="49">
        <f>IFERROR(VLOOKUP(C19,CC!A:D,4,0)," ")</f>
        <v>336.44</v>
      </c>
      <c r="CH19" s="22" t="str">
        <f>IFERROR(VLOOKUP(C19,'спецификация'!B:AA,19,0)," ")</f>
        <v>ООО «Сибфармконтракт», Россия, 634034, г. Томск, ул. Нахимова 8, стр. 11.</v>
      </c>
      <c r="CI19" s="22"/>
      <c r="CJ19" s="43"/>
      <c r="CK19" s="22" t="str">
        <f>IFERROR(VLOOKUP(C19,CC!K:M,3,0)," ")</f>
        <v> </v>
      </c>
      <c r="CL19" s="43"/>
      <c r="CM19" s="43"/>
      <c r="CN19" s="43"/>
      <c r="CO19" s="43"/>
      <c r="CP19" s="43"/>
      <c r="CQ19" s="43"/>
      <c r="CR19" s="43"/>
      <c r="CS19" s="43" t="b">
        <v>0</v>
      </c>
      <c r="CT19" s="43" t="b">
        <v>0</v>
      </c>
      <c r="CU19" s="43" t="b">
        <v>0</v>
      </c>
      <c r="CV19" s="43" t="b">
        <v>0</v>
      </c>
      <c r="CW19" s="43"/>
      <c r="CX19" s="43"/>
      <c r="CY19" s="43"/>
      <c r="CZ19" s="43"/>
      <c r="DA19" s="43"/>
      <c r="DB19" s="43"/>
      <c r="DC19" s="43"/>
      <c r="DD19" s="22">
        <f>IFERROR(VLOOKUP($C19,'Лист4'!$D:$AI,27,0)," ")</f>
        <v>10</v>
      </c>
      <c r="DE19" s="22">
        <f>IFERROR(VLOOKUP($C19,'Лист4'!$D:$AI,28,0)," ")</f>
        <v>6</v>
      </c>
      <c r="DF19" s="22">
        <f>IFERROR(VLOOKUP($C19,'Лист4'!$D:$AI,29,0)," ")</f>
        <v>10</v>
      </c>
      <c r="DG19" s="22">
        <f t="shared" si="3"/>
        <v>600</v>
      </c>
      <c r="DH19" s="22">
        <f>IFERROR(VLOOKUP($C19,'Лист4'!$D:$AI,32,0)," ")</f>
        <v>0.09</v>
      </c>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43"/>
      <c r="EN19" s="43"/>
      <c r="EO19" s="43"/>
      <c r="EP19" s="43"/>
      <c r="EQ19" s="43"/>
      <c r="ER19" s="43"/>
      <c r="ES19" s="43"/>
      <c r="ET19" s="43"/>
      <c r="EU19" s="43"/>
      <c r="EV19" s="43"/>
      <c r="EW19" s="43"/>
      <c r="EX19" s="43"/>
      <c r="EY19" s="43"/>
      <c r="EZ19" s="43"/>
      <c r="FA19" s="43"/>
      <c r="FB19" s="43"/>
      <c r="FC19" s="43"/>
    </row>
    <row r="20" ht="18.0" customHeight="1">
      <c r="A20" s="2"/>
      <c r="B20" s="22" t="str">
        <f>IFERROR(VLOOKUP(C20,'Реестр'!C:AC,27,0)," ")</f>
        <v>Биг-Л</v>
      </c>
      <c r="C20" s="43" t="s">
        <v>402</v>
      </c>
      <c r="D20" s="22" t="str">
        <f>IFERROR(VLOOKUP(C20,'Лист4'!D:P,13,0)," ")</f>
        <v>qeep</v>
      </c>
      <c r="E20" s="22" t="str">
        <f>IF(OR(ISERROR(VLOOKUP(C20,'Актуальность'!A:B,2,0)), VLOOKUP(C20,'Актуальность'!A:B,2,0)=""), "Актуальный", VLOOKUP(C20,'Актуальность'!A:B,2,0))</f>
        <v>Под вопросом</v>
      </c>
      <c r="F20" s="43" t="str">
        <f>IFERROR(VLOOKUP(C20,'Актуальность'!A:C,3,0)," ")</f>
        <v>Выяснить какой продукт</v>
      </c>
      <c r="G20" s="43"/>
      <c r="H20" s="22" t="s">
        <v>361</v>
      </c>
      <c r="I20" s="22" t="s">
        <v>405</v>
      </c>
      <c r="J20" s="43"/>
      <c r="K20" s="43"/>
      <c r="L20" s="22" t="b">
        <f t="shared" ref="L20:R20" si="16">T20&lt;&gt;""</f>
        <v>1</v>
      </c>
      <c r="M20" s="22" t="b">
        <f t="shared" si="16"/>
        <v>1</v>
      </c>
      <c r="N20" s="22" t="b">
        <f t="shared" si="16"/>
        <v>1</v>
      </c>
      <c r="O20" s="22" t="b">
        <f t="shared" si="16"/>
        <v>1</v>
      </c>
      <c r="P20" s="22" t="b">
        <f t="shared" si="16"/>
        <v>1</v>
      </c>
      <c r="Q20" s="22" t="b">
        <f t="shared" si="16"/>
        <v>0</v>
      </c>
      <c r="R20" s="22" t="b">
        <f t="shared" si="16"/>
        <v>0</v>
      </c>
      <c r="S20" s="43"/>
      <c r="T20" s="43" t="str">
        <f>IFERROR(VLOOKUP( C20,'1С'!A:B,2,0)," ")</f>
        <v>QB101100460</v>
      </c>
      <c r="U20" s="22" t="str">
        <f>IFERROR(VLOOKUP(T20,'Лист4'!C:I,3,0)," ")</f>
        <v>qeep_gummy_magn_60</v>
      </c>
      <c r="V20" s="22" t="str">
        <f>IFERROR(VLOOKUP(T20,'Лист4'!C:I,4,0)," ")</f>
        <v>qeep_gummy_magn_60</v>
      </c>
      <c r="W20" s="22" t="str">
        <f>IFERROR(VLOOKUP(T20,'Лист4'!C:I,5,0)," ")</f>
        <v>qeep_gummy_magn_60</v>
      </c>
      <c r="X20" s="43" t="str">
        <f>IFERROR(VLOOKUP(T20,'Лист4'!C:I,7,0)," ")</f>
        <v>qeep_gummy_magn_60</v>
      </c>
      <c r="Y20" s="43" t="str">
        <f>IFERROR(VLOOKUP(T20,'Лист4'!C:I,6,0)," ")</f>
        <v/>
      </c>
      <c r="Z20" s="43"/>
      <c r="AA20" s="43"/>
      <c r="AB20" s="22">
        <v>2.93062934E8</v>
      </c>
      <c r="AC20" s="22">
        <v>1.773856028E9</v>
      </c>
      <c r="AD20" s="22">
        <v>1.03665495848E11</v>
      </c>
      <c r="AE20" s="22">
        <v>9.9000117794E10</v>
      </c>
      <c r="AF20" s="22"/>
      <c r="AG20" s="43"/>
      <c r="AH20" s="43"/>
      <c r="AI20" s="43" t="str">
        <f>IFERROR(VLOOKUP(T20,'1С'!B:C,2,0)," ")</f>
        <v>БАД магний для детей мармеладки ,qeep, 60 штук</v>
      </c>
      <c r="AJ20" s="22" t="s">
        <v>407</v>
      </c>
      <c r="AK20" s="22" t="s">
        <v>408</v>
      </c>
      <c r="AL20" s="22" t="s">
        <v>409</v>
      </c>
      <c r="AM20" s="22" t="s">
        <v>410</v>
      </c>
      <c r="AN20" s="43"/>
      <c r="AO20" s="43"/>
      <c r="AP20" s="43"/>
      <c r="AQ20" s="46" t="s">
        <v>411</v>
      </c>
      <c r="AR20" s="46" t="s">
        <v>412</v>
      </c>
      <c r="AS20" s="46" t="s">
        <v>413</v>
      </c>
      <c r="AT20" s="46" t="s">
        <v>414</v>
      </c>
      <c r="AU20" s="43"/>
      <c r="AV20" s="43"/>
      <c r="AW20" s="43"/>
      <c r="AX20" s="22" t="s">
        <v>361</v>
      </c>
      <c r="AY20" s="22" t="s">
        <v>408</v>
      </c>
      <c r="AZ20" s="22" t="s">
        <v>372</v>
      </c>
      <c r="BA20" s="22" t="s">
        <v>373</v>
      </c>
      <c r="BB20" s="43"/>
      <c r="BC20" s="43"/>
      <c r="BD20" s="43"/>
      <c r="BE20" s="43"/>
      <c r="BF20" s="22" t="str">
        <f>IFERROR(VLOOKUP(C20,'спецификация'!B:D,3,0)," ")</f>
        <v>4640346711336</v>
      </c>
      <c r="BG20" s="22">
        <v>2.106909808E9</v>
      </c>
      <c r="BH20" s="22" t="str">
        <f>IFERROR(VLOOKUP(C20,'спецификация'!B:AA,5,0)," ")</f>
        <v>AM.01.07.01.003.R.000302.03.24 от 11.03.2024</v>
      </c>
      <c r="BI20" s="46" t="s">
        <v>417</v>
      </c>
      <c r="BJ20" s="22" t="str">
        <f>IFERROR(VLOOKUP(C20,'спецификация'!B:AA,6,0)," ")</f>
        <v>ЧЗ</v>
      </c>
      <c r="BK20" s="43"/>
      <c r="BL20" s="43"/>
      <c r="BM20" s="22" t="str">
        <f>IFERROR(VLOOKUP(BF20,'спецификация'!D:H,5,0)," ")</f>
        <v>магний цитрат, желатин, лимонная кислота - регулятор кислотности, натуральный ароматизатор "Ягодный микс", концентрат сока черной моркови – краситель, растительное масло (содержит карнаубский воск – глазирователь). глюкозный сироп, сахар. На предприятии используется сырье, содержащее продукты переработки молока, рыбы, ракообразных и сои.</v>
      </c>
      <c r="BN20" s="43"/>
      <c r="BO20" s="22" t="s">
        <v>419</v>
      </c>
      <c r="BP20" s="22" t="s">
        <v>379</v>
      </c>
      <c r="BQ20" s="22" t="s">
        <v>420</v>
      </c>
      <c r="BR20" s="22">
        <v>60.0</v>
      </c>
      <c r="BS20" s="22" t="s">
        <v>421</v>
      </c>
      <c r="BT20" s="22"/>
      <c r="BU20" s="22"/>
      <c r="BV20" s="22" t="s">
        <v>165</v>
      </c>
      <c r="BW20" s="44" t="str">
        <f>IFERROR(VLOOKUP(C20,'спецификация'!B:AA,16,0)," ")</f>
        <v>https://docs.google.com/document/d/1hFyhMnyjIC7Qb4t82VGmf3vdwfGg8itrcmm5MVkbmJM/edit?tab=t.0</v>
      </c>
      <c r="BX20" s="43"/>
      <c r="BY20" s="43"/>
      <c r="BZ20" s="45" t="str">
        <f>IFERROR(VLOOKUP(BF20,'спецификация'!D:Y,22,0)," ")</f>
        <v/>
      </c>
      <c r="CA20" s="43"/>
      <c r="CB20" s="43"/>
      <c r="CC20" s="43"/>
      <c r="CD20" s="43"/>
      <c r="CE20" s="43"/>
      <c r="CF20" s="43"/>
      <c r="CG20" s="49">
        <f>IFERROR(VLOOKUP(C20,CC!A:D,4,0)," ")</f>
        <v>228</v>
      </c>
      <c r="CH20" s="22" t="str">
        <f>IFERROR(VLOOKUP(C20,'спецификация'!B:AA,19,0)," ")</f>
        <v>ООО "НУТРИЛЕНТ"</v>
      </c>
      <c r="CI20" s="22"/>
      <c r="CJ20" s="22" t="s">
        <v>424</v>
      </c>
      <c r="CK20" s="22">
        <f>IFERROR(VLOOKUP(C20,CC!K:M,3,0)," ")</f>
        <v>60</v>
      </c>
      <c r="CL20" s="43"/>
      <c r="CM20" s="43"/>
      <c r="CN20" s="43"/>
      <c r="CO20" s="43"/>
      <c r="CP20" s="43"/>
      <c r="CQ20" s="43"/>
      <c r="CR20" s="43"/>
      <c r="CS20" s="43" t="b">
        <v>0</v>
      </c>
      <c r="CT20" s="43" t="b">
        <v>0</v>
      </c>
      <c r="CU20" s="43" t="b">
        <v>0</v>
      </c>
      <c r="CV20" s="43" t="b">
        <v>0</v>
      </c>
      <c r="CW20" s="43"/>
      <c r="CX20" s="43"/>
      <c r="CY20" s="43"/>
      <c r="CZ20" s="43"/>
      <c r="DA20" s="43"/>
      <c r="DB20" s="43"/>
      <c r="DC20" s="43"/>
      <c r="DD20" s="22">
        <f>IFERROR(VLOOKUP($C20,'Лист4'!$D:$AI,27,0)," ")</f>
        <v>11</v>
      </c>
      <c r="DE20" s="22">
        <f>IFERROR(VLOOKUP($C20,'Лист4'!$D:$AI,28,0)," ")</f>
        <v>5</v>
      </c>
      <c r="DF20" s="22">
        <f>IFERROR(VLOOKUP($C20,'Лист4'!$D:$AI,29,0)," ")</f>
        <v>11</v>
      </c>
      <c r="DG20" s="22">
        <f t="shared" si="3"/>
        <v>605</v>
      </c>
      <c r="DH20" s="22">
        <f>IFERROR(VLOOKUP($C20,'Лист4'!$D:$AI,32,0)," ")</f>
        <v>0.165</v>
      </c>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43"/>
      <c r="EN20" s="43"/>
      <c r="EO20" s="43"/>
      <c r="EP20" s="43"/>
      <c r="EQ20" s="43"/>
      <c r="ER20" s="43"/>
      <c r="ES20" s="43"/>
      <c r="ET20" s="43"/>
      <c r="EU20" s="43"/>
      <c r="EV20" s="43"/>
      <c r="EW20" s="43"/>
      <c r="EX20" s="43"/>
      <c r="EY20" s="43"/>
      <c r="EZ20" s="43"/>
      <c r="FA20" s="43"/>
      <c r="FB20" s="43"/>
      <c r="FC20" s="43"/>
    </row>
    <row r="21" ht="18.0" customHeight="1">
      <c r="A21" s="2"/>
      <c r="B21" s="22" t="str">
        <f>IFERROR(VLOOKUP(C21,'Реестр'!C:AC,27,0)," ")</f>
        <v>Биг-Л</v>
      </c>
      <c r="C21" s="43" t="s">
        <v>425</v>
      </c>
      <c r="D21" s="22" t="str">
        <f>IFERROR(VLOOKUP(C21,'Лист4'!D:P,13,0)," ")</f>
        <v>qeep</v>
      </c>
      <c r="E21" s="22" t="str">
        <f>IF(OR(ISERROR(VLOOKUP(C21,'Актуальность'!A:B,2,0)), VLOOKUP(C21,'Актуальность'!A:B,2,0)=""), "Актуальный", VLOOKUP(C21,'Актуальность'!A:B,2,0))</f>
        <v>Под вопросом</v>
      </c>
      <c r="F21" s="43" t="str">
        <f>IFERROR(VLOOKUP(C21,'Актуальность'!A:C,3,0)," ")</f>
        <v>КЗ Внешка</v>
      </c>
      <c r="G21" s="43"/>
      <c r="H21" s="22" t="s">
        <v>361</v>
      </c>
      <c r="I21" s="22" t="s">
        <v>405</v>
      </c>
      <c r="J21" s="43"/>
      <c r="K21" s="43"/>
      <c r="L21" s="22" t="b">
        <f t="shared" ref="L21:R21" si="17">T21&lt;&gt;""</f>
        <v>1</v>
      </c>
      <c r="M21" s="22" t="b">
        <f t="shared" si="17"/>
        <v>1</v>
      </c>
      <c r="N21" s="22" t="b">
        <f t="shared" si="17"/>
        <v>1</v>
      </c>
      <c r="O21" s="22" t="b">
        <f t="shared" si="17"/>
        <v>1</v>
      </c>
      <c r="P21" s="22" t="b">
        <f t="shared" si="17"/>
        <v>1</v>
      </c>
      <c r="Q21" s="22" t="b">
        <f t="shared" si="17"/>
        <v>0</v>
      </c>
      <c r="R21" s="22" t="b">
        <f t="shared" si="17"/>
        <v>0</v>
      </c>
      <c r="S21" s="43"/>
      <c r="T21" s="43" t="str">
        <f>IFERROR(VLOOKUP( C21,'1С'!A:B,2,0)," ")</f>
        <v>QB101100408</v>
      </c>
      <c r="U21" s="22" t="str">
        <f>IFERROR(VLOOKUP(T21,'Лист4'!C:I,3,0)," ")</f>
        <v>qeep_gummy_c_60</v>
      </c>
      <c r="V21" s="22" t="str">
        <f>IFERROR(VLOOKUP(T21,'Лист4'!C:I,4,0)," ")</f>
        <v>qeep_gummy_c_60</v>
      </c>
      <c r="W21" s="22" t="str">
        <f>IFERROR(VLOOKUP(T21,'Лист4'!C:I,5,0)," ")</f>
        <v>qeep_gummy_c_60</v>
      </c>
      <c r="X21" s="43" t="str">
        <f>IFERROR(VLOOKUP(T21,'Лист4'!C:I,7,0)," ")</f>
        <v>qeep_gummy_c_60</v>
      </c>
      <c r="Y21" s="43" t="str">
        <f>IFERROR(VLOOKUP(T21,'Лист4'!C:I,6,0)," ")</f>
        <v/>
      </c>
      <c r="Z21" s="43"/>
      <c r="AA21" s="43"/>
      <c r="AB21" s="22">
        <v>4.32841134E8</v>
      </c>
      <c r="AC21" s="22">
        <v>2.214748873E9</v>
      </c>
      <c r="AD21" s="22">
        <v>4.47631033E9</v>
      </c>
      <c r="AE21" s="22">
        <v>9.9000117739E10</v>
      </c>
      <c r="AF21" s="22"/>
      <c r="AG21" s="43"/>
      <c r="AH21" s="43"/>
      <c r="AI21" s="43" t="str">
        <f>IFERROR(VLOOKUP(T21,'1С'!B:C,2,0)," ")</f>
        <v>БАД витамин С для детей мармеладки ,qeep, 60 штук</v>
      </c>
      <c r="AJ21" s="22" t="s">
        <v>428</v>
      </c>
      <c r="AK21" s="22" t="s">
        <v>429</v>
      </c>
      <c r="AL21" s="22" t="s">
        <v>430</v>
      </c>
      <c r="AM21" s="22" t="s">
        <v>431</v>
      </c>
      <c r="AN21" s="43"/>
      <c r="AO21" s="43"/>
      <c r="AP21" s="43"/>
      <c r="AQ21" s="46" t="s">
        <v>432</v>
      </c>
      <c r="AR21" s="46" t="s">
        <v>433</v>
      </c>
      <c r="AS21" s="46" t="s">
        <v>434</v>
      </c>
      <c r="AT21" s="46" t="s">
        <v>435</v>
      </c>
      <c r="AU21" s="43"/>
      <c r="AV21" s="43"/>
      <c r="AW21" s="43"/>
      <c r="AX21" s="22" t="s">
        <v>361</v>
      </c>
      <c r="AY21" s="22" t="s">
        <v>429</v>
      </c>
      <c r="AZ21" s="22" t="s">
        <v>372</v>
      </c>
      <c r="BA21" s="22" t="s">
        <v>373</v>
      </c>
      <c r="BB21" s="43"/>
      <c r="BC21" s="43"/>
      <c r="BD21" s="43"/>
      <c r="BE21" s="43"/>
      <c r="BF21" s="22">
        <f>IFERROR(VLOOKUP(C21,'спецификация'!B:D,3,0)," ")</f>
        <v>4640332830300</v>
      </c>
      <c r="BG21" s="22">
        <v>2.106909808E9</v>
      </c>
      <c r="BH21" s="22" t="str">
        <f>IFERROR(VLOOKUP(C21,'спецификация'!B:AA,5,0)," ")</f>
        <v>AM.01.01.01.003.R.000584.08.23 от 15.08.2023 г.</v>
      </c>
      <c r="BI21" s="46" t="s">
        <v>437</v>
      </c>
      <c r="BJ21" s="22" t="str">
        <f>IFERROR(VLOOKUP(C21,'спецификация'!B:AA,6,0)," ")</f>
        <v>ЧЗ</v>
      </c>
      <c r="BK21" s="43"/>
      <c r="BL21" s="43"/>
      <c r="BM21" s="22" t="str">
        <f>IFERROR(VLOOKUP(BF21,'спецификация'!D:H,5,0)," ")</f>
        <v>патока, сахар, вода, желатин, носитель – глицерин, L-аскорбиновая кислота, глазирователь (содержит глазирователи: воск карнаубский и воск пчелиный белый, антиокислитель – альфа-токоферол), жир молочный; ароматизатор натуральный «Апельсин», краситель натуральный </v>
      </c>
      <c r="BN21" s="43"/>
      <c r="BO21" s="22" t="s">
        <v>439</v>
      </c>
      <c r="BP21" s="22" t="s">
        <v>379</v>
      </c>
      <c r="BQ21" s="22" t="s">
        <v>380</v>
      </c>
      <c r="BR21" s="22">
        <v>60.0</v>
      </c>
      <c r="BS21" s="22" t="s">
        <v>381</v>
      </c>
      <c r="BT21" s="22"/>
      <c r="BU21" s="22"/>
      <c r="BV21" s="22" t="s">
        <v>307</v>
      </c>
      <c r="BW21" s="44" t="str">
        <f>IFERROR(VLOOKUP(C21,'спецификация'!B:AA,16,0)," ")</f>
        <v>https://docs.google.com/document/d/1R65c50N_ld9jmDvK87XlIizSVB2GfnPinCtxjVCxlBU/edit?tab=t.0</v>
      </c>
      <c r="BX21" s="43"/>
      <c r="BY21" s="43"/>
      <c r="BZ21" s="45" t="str">
        <f>IFERROR(VLOOKUP(BF21,'спецификация'!D:Y,22,0)," ")</f>
        <v/>
      </c>
      <c r="CA21" s="43"/>
      <c r="CB21" s="43"/>
      <c r="CC21" s="43"/>
      <c r="CD21" s="43"/>
      <c r="CE21" s="43"/>
      <c r="CF21" s="43"/>
      <c r="CG21" s="49">
        <f>IFERROR(VLOOKUP(C21,CC!A:D,4,0)," ")</f>
        <v>220</v>
      </c>
      <c r="CH21" s="22" t="str">
        <f>IFERROR(VLOOKUP(C21,'спецификация'!B:AA,19,0)," ")</f>
        <v>ООО ПК "Битра"</v>
      </c>
      <c r="CI21" s="22"/>
      <c r="CJ21" s="22" t="s">
        <v>384</v>
      </c>
      <c r="CK21" s="22">
        <f>IFERROR(VLOOKUP(C21,CC!K:M,3,0)," ")</f>
        <v>90</v>
      </c>
      <c r="CL21" s="43"/>
      <c r="CM21" s="43"/>
      <c r="CN21" s="43"/>
      <c r="CO21" s="43"/>
      <c r="CP21" s="43"/>
      <c r="CQ21" s="43"/>
      <c r="CR21" s="43"/>
      <c r="CS21" s="43" t="b">
        <v>0</v>
      </c>
      <c r="CT21" s="43" t="b">
        <v>0</v>
      </c>
      <c r="CU21" s="43" t="b">
        <v>0</v>
      </c>
      <c r="CV21" s="43" t="b">
        <v>0</v>
      </c>
      <c r="CW21" s="43"/>
      <c r="CX21" s="43"/>
      <c r="CY21" s="43"/>
      <c r="CZ21" s="43"/>
      <c r="DA21" s="43"/>
      <c r="DB21" s="43"/>
      <c r="DC21" s="43"/>
      <c r="DD21" s="22">
        <f>IFERROR(VLOOKUP($C21,'Лист4'!$D:$AI,27,0)," ")</f>
        <v>7</v>
      </c>
      <c r="DE21" s="22">
        <f>IFERROR(VLOOKUP($C21,'Лист4'!$D:$AI,28,0)," ")</f>
        <v>13</v>
      </c>
      <c r="DF21" s="22">
        <f>IFERROR(VLOOKUP($C21,'Лист4'!$D:$AI,29,0)," ")</f>
        <v>7</v>
      </c>
      <c r="DG21" s="22">
        <f t="shared" si="3"/>
        <v>637</v>
      </c>
      <c r="DH21" s="22">
        <f>IFERROR(VLOOKUP($C21,'Лист4'!$D:$AI,32,0)," ")</f>
        <v>0.227</v>
      </c>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43"/>
      <c r="EN21" s="43"/>
      <c r="EO21" s="43"/>
      <c r="EP21" s="43"/>
      <c r="EQ21" s="43"/>
      <c r="ER21" s="43"/>
      <c r="ES21" s="43"/>
      <c r="ET21" s="43"/>
      <c r="EU21" s="43"/>
      <c r="EV21" s="43"/>
      <c r="EW21" s="43"/>
      <c r="EX21" s="43"/>
      <c r="EY21" s="43"/>
      <c r="EZ21" s="43"/>
      <c r="FA21" s="43"/>
      <c r="FB21" s="43"/>
      <c r="FC21" s="43"/>
    </row>
    <row r="22" ht="18.0" customHeight="1">
      <c r="A22" s="2"/>
      <c r="B22" s="22" t="str">
        <f>IFERROR(VLOOKUP(C22,'Реестр'!C:AC,27,0)," ")</f>
        <v>Биг-Л</v>
      </c>
      <c r="C22" s="43" t="s">
        <v>441</v>
      </c>
      <c r="D22" s="22" t="str">
        <f>IFERROR(VLOOKUP(C22,'Лист4'!D:P,13,0)," ")</f>
        <v>Harly</v>
      </c>
      <c r="E22" s="22" t="str">
        <f>IF(OR(ISERROR(VLOOKUP(C22,'Актуальность'!A:B,2,0)), VLOOKUP(C22,'Актуальность'!A:B,2,0)=""), "Актуальный", VLOOKUP(C22,'Актуальность'!A:B,2,0))</f>
        <v>Актуальный</v>
      </c>
      <c r="F22" s="43" t="str">
        <f>IFERROR(VLOOKUP(C22,'Актуальность'!A:C,3,0)," ")</f>
        <v/>
      </c>
      <c r="G22" s="43"/>
      <c r="H22" s="22" t="s">
        <v>443</v>
      </c>
      <c r="I22" s="22" t="s">
        <v>444</v>
      </c>
      <c r="J22" s="43"/>
      <c r="K22" s="43"/>
      <c r="L22" s="22" t="b">
        <f t="shared" ref="L22:R22" si="18">T22&lt;&gt;""</f>
        <v>1</v>
      </c>
      <c r="M22" s="22" t="b">
        <f t="shared" si="18"/>
        <v>1</v>
      </c>
      <c r="N22" s="22" t="b">
        <f t="shared" si="18"/>
        <v>1</v>
      </c>
      <c r="O22" s="22" t="b">
        <f t="shared" si="18"/>
        <v>1</v>
      </c>
      <c r="P22" s="22" t="b">
        <f t="shared" si="18"/>
        <v>0</v>
      </c>
      <c r="Q22" s="22" t="b">
        <f t="shared" si="18"/>
        <v>0</v>
      </c>
      <c r="R22" s="22" t="b">
        <f t="shared" si="18"/>
        <v>0</v>
      </c>
      <c r="S22" s="43"/>
      <c r="T22" s="43" t="str">
        <f>IFERROR(VLOOKUP( C22,'1С'!A:B,2,0)," ")</f>
        <v>HC101100406</v>
      </c>
      <c r="U22" s="22" t="str">
        <f>IFERROR(VLOOKUP(T22,'Лист4'!C:I,3,0)," ")</f>
        <v>harly_pawsoap_500ml</v>
      </c>
      <c r="V22" s="22" t="str">
        <f>IFERROR(VLOOKUP(T22,'Лист4'!C:I,4,0)," ")</f>
        <v>harly_pawsoap_500ml</v>
      </c>
      <c r="W22" s="22" t="str">
        <f>IFERROR(VLOOKUP(T22,'Лист4'!C:I,5,0)," ")</f>
        <v>harly_pawsoap_500ml</v>
      </c>
      <c r="X22" s="43" t="str">
        <f>IFERROR(VLOOKUP(T22,'Лист4'!C:I,7,0)," ")</f>
        <v/>
      </c>
      <c r="Y22" s="43" t="str">
        <f>IFERROR(VLOOKUP(T22,'Лист4'!C:I,6,0)," ")</f>
        <v/>
      </c>
      <c r="Z22" s="43"/>
      <c r="AA22" s="43"/>
      <c r="AB22" s="22">
        <v>3.0787453E8</v>
      </c>
      <c r="AC22" s="22">
        <v>1.828993605E9</v>
      </c>
      <c r="AD22" s="22">
        <v>1.03724222997E11</v>
      </c>
      <c r="AE22" s="22"/>
      <c r="AF22" s="22"/>
      <c r="AG22" s="43"/>
      <c r="AH22" s="43"/>
      <c r="AI22" s="43" t="str">
        <f>IFERROR(VLOOKUP(T22,'1С'!B:C,2,0)," ")</f>
        <v>Мыло для лап собак ,Harly, 500 мл</v>
      </c>
      <c r="AJ22" s="22" t="s">
        <v>446</v>
      </c>
      <c r="AK22" s="22" t="s">
        <v>447</v>
      </c>
      <c r="AL22" s="22" t="s">
        <v>447</v>
      </c>
      <c r="AM22" s="43"/>
      <c r="AN22" s="43"/>
      <c r="AO22" s="43"/>
      <c r="AP22" s="43"/>
      <c r="AQ22" s="46" t="s">
        <v>448</v>
      </c>
      <c r="AR22" s="46" t="s">
        <v>449</v>
      </c>
      <c r="AS22" s="46" t="s">
        <v>450</v>
      </c>
      <c r="AT22" s="43"/>
      <c r="AU22" s="43"/>
      <c r="AV22" s="43"/>
      <c r="AW22" s="43"/>
      <c r="AX22" s="22" t="s">
        <v>451</v>
      </c>
      <c r="AY22" s="22" t="s">
        <v>447</v>
      </c>
      <c r="AZ22" s="22" t="s">
        <v>452</v>
      </c>
      <c r="BA22" s="43"/>
      <c r="BB22" s="43"/>
      <c r="BC22" s="43"/>
      <c r="BD22" s="43"/>
      <c r="BE22" s="43"/>
      <c r="BF22" s="22">
        <f>IFERROR(VLOOKUP(C22,'спецификация'!B:D,3,0)," ")</f>
        <v>4673767781190</v>
      </c>
      <c r="BG22" s="22">
        <v>3.307900008E9</v>
      </c>
      <c r="BH22" s="22" t="str">
        <f>IFERROR(VLOOKUP(C22,'спецификация'!B:AA,5,0)," ")</f>
        <v>ДС</v>
      </c>
      <c r="BI22" s="46" t="s">
        <v>453</v>
      </c>
      <c r="BJ22" s="22" t="str">
        <f>IFERROR(VLOOKUP(C22,'спецификация'!B:AA,6,0)," ")</f>
        <v>без ЧЗ</v>
      </c>
      <c r="BK22" s="43"/>
      <c r="BL22" s="43"/>
      <c r="BM22" s="22" t="str">
        <f>IFERROR(VLOOKUP(BF22,'спецификация'!D:H,5,0)," ")</f>
        <v>Water (Aqua), Sodium Laureth Sulfate, Cocamidopropyl Betaine, Glycerin, D-Panthenol, Cocamide DEA, Parfum, Citric Acid, Methylchloroisothiazolinone, Methylisothiazolinone, Colloidal Silver.</v>
      </c>
      <c r="BN22" s="43"/>
      <c r="BO22" s="22" t="s">
        <v>455</v>
      </c>
      <c r="BP22" s="43" t="str">
        <f>IFERROR(VLOOKUP(C22,'спецификация'!B:AA,11,0)," ")</f>
        <v/>
      </c>
      <c r="BQ22" s="22" t="s">
        <v>163</v>
      </c>
      <c r="BR22" s="22">
        <v>500.0</v>
      </c>
      <c r="BS22" s="22" t="s">
        <v>139</v>
      </c>
      <c r="BT22" s="22"/>
      <c r="BU22" s="22"/>
      <c r="BV22" s="22" t="s">
        <v>307</v>
      </c>
      <c r="BW22" s="44" t="str">
        <f>IFERROR(VLOOKUP(C22,'спецификация'!B:AA,16,0)," ")</f>
        <v>https://docs.google.com/document/d/1_eSJtZO0eUrwiF0HDADKHQOq_usuoSpYtxP_JdmcIGk/edit?tab=t.0 </v>
      </c>
      <c r="BX22" s="43"/>
      <c r="BY22" s="43"/>
      <c r="BZ22" s="45" t="str">
        <f>IFERROR(VLOOKUP(BF22,'спецификация'!D:Y,22,0)," ")</f>
        <v/>
      </c>
      <c r="CA22" s="54">
        <v>46044.0</v>
      </c>
      <c r="CB22" s="46" t="s">
        <v>6647</v>
      </c>
      <c r="CC22" s="43"/>
      <c r="CD22" s="43"/>
      <c r="CE22" s="43"/>
      <c r="CF22" s="43"/>
      <c r="CG22" s="49">
        <f>IFERROR(VLOOKUP(C22,CC!A:D,4,0)," ")</f>
        <v>92.75</v>
      </c>
      <c r="CH22" s="22" t="str">
        <f>IFERROR(VLOOKUP(C22,'спецификация'!B:AA,19,0)," ")</f>
        <v>ООО "Батискаф"</v>
      </c>
      <c r="CI22" s="22"/>
      <c r="CJ22" s="22" t="s">
        <v>459</v>
      </c>
      <c r="CK22" s="22">
        <f>IFERROR(VLOOKUP(C22,CC!K:M,3,0)," ")</f>
        <v>45</v>
      </c>
      <c r="CL22" s="43"/>
      <c r="CM22" s="43"/>
      <c r="CN22" s="43"/>
      <c r="CO22" s="43"/>
      <c r="CP22" s="43"/>
      <c r="CQ22" s="43"/>
      <c r="CR22" s="43"/>
      <c r="CS22" s="43" t="b">
        <v>0</v>
      </c>
      <c r="CT22" s="43" t="b">
        <v>0</v>
      </c>
      <c r="CU22" s="43" t="b">
        <v>0</v>
      </c>
      <c r="CV22" s="43" t="b">
        <v>0</v>
      </c>
      <c r="CW22" s="43"/>
      <c r="CX22" s="43"/>
      <c r="CY22" s="43"/>
      <c r="CZ22" s="43"/>
      <c r="DA22" s="43"/>
      <c r="DB22" s="43"/>
      <c r="DC22" s="43"/>
      <c r="DD22" s="22">
        <f>IFERROR(VLOOKUP($C22,'Лист4'!$D:$AI,27,0)," ")</f>
        <v>16</v>
      </c>
      <c r="DE22" s="22">
        <f>IFERROR(VLOOKUP($C22,'Лист4'!$D:$AI,28,0)," ")</f>
        <v>7</v>
      </c>
      <c r="DF22" s="22">
        <f>IFERROR(VLOOKUP($C22,'Лист4'!$D:$AI,29,0)," ")</f>
        <v>16</v>
      </c>
      <c r="DG22" s="22">
        <f t="shared" si="3"/>
        <v>1792</v>
      </c>
      <c r="DH22" s="22">
        <f>IFERROR(VLOOKUP($C22,'Лист4'!$D:$AI,32,0)," ")</f>
        <v>0.551</v>
      </c>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43"/>
      <c r="EN22" s="43"/>
      <c r="EO22" s="43"/>
      <c r="EP22" s="43"/>
      <c r="EQ22" s="43"/>
      <c r="ER22" s="43"/>
      <c r="ES22" s="43"/>
      <c r="ET22" s="43"/>
      <c r="EU22" s="43"/>
      <c r="EV22" s="43"/>
      <c r="EW22" s="43"/>
      <c r="EX22" s="43"/>
      <c r="EY22" s="43"/>
      <c r="EZ22" s="43"/>
      <c r="FA22" s="43"/>
      <c r="FB22" s="43"/>
      <c r="FC22" s="43"/>
    </row>
    <row r="23" ht="18.0" customHeight="1">
      <c r="A23" s="2"/>
      <c r="B23" s="22" t="str">
        <f>IFERROR(VLOOKUP(C23,'Реестр'!C:AC,27,0)," ")</f>
        <v>Биг-Л</v>
      </c>
      <c r="C23" s="43" t="s">
        <v>460</v>
      </c>
      <c r="D23" s="22" t="str">
        <f>IFERROR(VLOOKUP(C23,'Лист4'!D:P,13,0)," ")</f>
        <v>Harly</v>
      </c>
      <c r="E23" s="22" t="str">
        <f>IF(OR(ISERROR(VLOOKUP(C23,'Актуальность'!A:B,2,0)), VLOOKUP(C23,'Актуальность'!A:B,2,0)=""), "Актуальный", VLOOKUP(C23,'Актуальность'!A:B,2,0))</f>
        <v>Вывод</v>
      </c>
      <c r="F23" s="43" t="str">
        <f>IFERROR(VLOOKUP(C23,'Актуальность'!A:C,3,0)," ")</f>
        <v/>
      </c>
      <c r="G23" s="43"/>
      <c r="H23" s="22" t="s">
        <v>443</v>
      </c>
      <c r="I23" s="22" t="s">
        <v>444</v>
      </c>
      <c r="J23" s="43"/>
      <c r="K23" s="43"/>
      <c r="L23" s="22" t="b">
        <f t="shared" ref="L23:R23" si="19">T23&lt;&gt;""</f>
        <v>1</v>
      </c>
      <c r="M23" s="22" t="b">
        <f t="shared" si="19"/>
        <v>1</v>
      </c>
      <c r="N23" s="22" t="b">
        <f t="shared" si="19"/>
        <v>1</v>
      </c>
      <c r="O23" s="22" t="b">
        <f t="shared" si="19"/>
        <v>0</v>
      </c>
      <c r="P23" s="22" t="b">
        <f t="shared" si="19"/>
        <v>0</v>
      </c>
      <c r="Q23" s="22" t="b">
        <f t="shared" si="19"/>
        <v>0</v>
      </c>
      <c r="R23" s="22" t="b">
        <f t="shared" si="19"/>
        <v>0</v>
      </c>
      <c r="S23" s="43"/>
      <c r="T23" s="43" t="str">
        <f>IFERROR(VLOOKUP( C23,'1С'!A:B,2,0)," ")</f>
        <v>HC101100400</v>
      </c>
      <c r="U23" s="22" t="str">
        <f>IFERROR(VLOOKUP(T23,'Лист4'!C:I,3,0)," ")</f>
        <v>harly_pawprotector_30ml</v>
      </c>
      <c r="V23" s="22" t="str">
        <f>IFERROR(VLOOKUP(T23,'Лист4'!C:I,4,0)," ")</f>
        <v>harly_pawprotector_30ml</v>
      </c>
      <c r="W23" s="22" t="str">
        <f>IFERROR(VLOOKUP(T23,'Лист4'!C:I,5,0)," ")</f>
        <v/>
      </c>
      <c r="X23" s="43" t="str">
        <f>IFERROR(VLOOKUP(T23,'Лист4'!C:I,7,0)," ")</f>
        <v/>
      </c>
      <c r="Y23" s="43" t="str">
        <f>IFERROR(VLOOKUP(T23,'Лист4'!C:I,6,0)," ")</f>
        <v/>
      </c>
      <c r="Z23" s="43"/>
      <c r="AA23" s="43"/>
      <c r="AB23" s="22">
        <v>2.76247301E8</v>
      </c>
      <c r="AC23" s="22">
        <v>1.745032627E9</v>
      </c>
      <c r="AD23" s="22"/>
      <c r="AE23" s="22"/>
      <c r="AF23" s="22"/>
      <c r="AG23" s="43"/>
      <c r="AH23" s="43"/>
      <c r="AI23" s="43" t="str">
        <f>IFERROR(VLOOKUP(T23,'1С'!B:C,2,0)," ")</f>
        <v>Воск для лап ,Harly, 30 мл</v>
      </c>
      <c r="AJ23" s="22" t="s">
        <v>463</v>
      </c>
      <c r="AK23" s="22" t="s">
        <v>464</v>
      </c>
      <c r="AL23" s="43"/>
      <c r="AM23" s="43"/>
      <c r="AN23" s="43"/>
      <c r="AO23" s="43"/>
      <c r="AP23" s="43"/>
      <c r="AQ23" s="46" t="s">
        <v>465</v>
      </c>
      <c r="AR23" s="46" t="s">
        <v>466</v>
      </c>
      <c r="AS23" s="43"/>
      <c r="AT23" s="43"/>
      <c r="AU23" s="43"/>
      <c r="AV23" s="43"/>
      <c r="AW23" s="43"/>
      <c r="AX23" s="22" t="s">
        <v>467</v>
      </c>
      <c r="AY23" s="22" t="s">
        <v>464</v>
      </c>
      <c r="AZ23" s="43"/>
      <c r="BA23" s="43"/>
      <c r="BB23" s="43"/>
      <c r="BC23" s="43"/>
      <c r="BD23" s="43"/>
      <c r="BE23" s="43"/>
      <c r="BF23" s="22">
        <f>IFERROR(VLOOKUP(C23,'спецификация'!B:D,3,0)," ")</f>
        <v>4657786831579</v>
      </c>
      <c r="BG23" s="22"/>
      <c r="BH23" s="22" t="str">
        <f>IFERROR(VLOOKUP(C23,'спецификация'!B:AA,5,0)," ")</f>
        <v>ДС</v>
      </c>
      <c r="BI23" s="22"/>
      <c r="BJ23" s="22" t="str">
        <f>IFERROR(VLOOKUP(C23,'спецификация'!B:AA,6,0)," ")</f>
        <v>без ЧЗ</v>
      </c>
      <c r="BK23" s="43"/>
      <c r="BL23" s="43"/>
      <c r="BM23" s="22" t="str">
        <f>IFERROR(VLOOKUP(BF23,'спецификация'!D:H,5,0)," ")</f>
        <v>Масло семян гелиантуса однолетнего, Пчелиный воск, Вазелин, Пальмовое масло, Воск из отрубей риса (Oriza sativa), Коллоидное серебро, Ланолин, Микрокристаллический воск, гидрогенизированное растительное масло, гидрогенизированная пальмовая кислота, Стеарилстеарат, глицерилмоностеарат, Стеариновая кислота,  Полисорбат 80, Олеат сорбитана, Ароматизатор, бутилгидрокситолуол.</v>
      </c>
      <c r="BN23" s="43"/>
      <c r="BO23" s="22" t="s">
        <v>469</v>
      </c>
      <c r="BP23" s="43" t="str">
        <f>IFERROR(VLOOKUP(C23,'спецификация'!B:AA,11,0)," ")</f>
        <v/>
      </c>
      <c r="BQ23" s="22" t="s">
        <v>470</v>
      </c>
      <c r="BR23" s="22">
        <v>30.0</v>
      </c>
      <c r="BS23" s="22" t="s">
        <v>139</v>
      </c>
      <c r="BT23" s="22"/>
      <c r="BU23" s="22"/>
      <c r="BV23" s="22" t="s">
        <v>140</v>
      </c>
      <c r="BW23" s="44" t="str">
        <f>IFERROR(VLOOKUP(C23,'спецификация'!B:AA,16,0)," ")</f>
        <v>https://docs.google.com/document/d/1KgCVfJkmpvVcN800fh2ozy8rpk8wfHp7o3jwNbMaPTk/edit?tab=t.0</v>
      </c>
      <c r="BX23" s="43"/>
      <c r="BY23" s="43"/>
      <c r="BZ23" s="45" t="str">
        <f>IFERROR(VLOOKUP(BF23,'спецификация'!D:Y,22,0)," ")</f>
        <v/>
      </c>
      <c r="CA23" s="43"/>
      <c r="CB23" s="43"/>
      <c r="CC23" s="43"/>
      <c r="CD23" s="43"/>
      <c r="CE23" s="43"/>
      <c r="CF23" s="43"/>
      <c r="CG23" s="49">
        <f>IFERROR(VLOOKUP(C23,CC!A:D,4,0)," ")</f>
        <v>181</v>
      </c>
      <c r="CH23" s="22" t="str">
        <f>IFERROR(VLOOKUP(C23,'спецификация'!B:AA,19,0)," ")</f>
        <v>ООО «М9 Фарм» 445043, Самарская обл, Тольятти г, Южное шоссе, влд. 14 стр.3, помещение 31, 32.</v>
      </c>
      <c r="CI23" s="22"/>
      <c r="CJ23" s="22" t="s">
        <v>473</v>
      </c>
      <c r="CK23" s="22">
        <f>IFERROR(VLOOKUP(C23,CC!K:M,3,0)," ")</f>
        <v>90</v>
      </c>
      <c r="CL23" s="43"/>
      <c r="CM23" s="43"/>
      <c r="CN23" s="43"/>
      <c r="CO23" s="43"/>
      <c r="CP23" s="43"/>
      <c r="CQ23" s="43"/>
      <c r="CR23" s="43"/>
      <c r="CS23" s="43" t="b">
        <v>0</v>
      </c>
      <c r="CT23" s="43" t="b">
        <v>0</v>
      </c>
      <c r="CU23" s="43" t="b">
        <v>0</v>
      </c>
      <c r="CV23" s="43" t="b">
        <v>0</v>
      </c>
      <c r="CW23" s="43"/>
      <c r="CX23" s="43"/>
      <c r="CY23" s="43"/>
      <c r="CZ23" s="43"/>
      <c r="DA23" s="43"/>
      <c r="DB23" s="43"/>
      <c r="DC23" s="43"/>
      <c r="DD23" s="22">
        <f>IFERROR(VLOOKUP($C23,'Лист4'!$D:$AI,27,0)," ")</f>
        <v>3</v>
      </c>
      <c r="DE23" s="22">
        <f>IFERROR(VLOOKUP($C23,'Лист4'!$D:$AI,28,0)," ")</f>
        <v>7</v>
      </c>
      <c r="DF23" s="22">
        <f>IFERROR(VLOOKUP($C23,'Лист4'!$D:$AI,29,0)," ")</f>
        <v>3</v>
      </c>
      <c r="DG23" s="22">
        <f t="shared" si="3"/>
        <v>63</v>
      </c>
      <c r="DH23" s="22">
        <f>IFERROR(VLOOKUP($C23,'Лист4'!$D:$AI,32,0)," ")</f>
        <v>0.071</v>
      </c>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43"/>
      <c r="EN23" s="43"/>
      <c r="EO23" s="43"/>
      <c r="EP23" s="43"/>
      <c r="EQ23" s="43"/>
      <c r="ER23" s="43"/>
      <c r="ES23" s="43"/>
      <c r="ET23" s="43"/>
      <c r="EU23" s="43"/>
      <c r="EV23" s="43"/>
      <c r="EW23" s="43"/>
      <c r="EX23" s="43"/>
      <c r="EY23" s="43"/>
      <c r="EZ23" s="43"/>
      <c r="FA23" s="43"/>
      <c r="FB23" s="43"/>
      <c r="FC23" s="43"/>
    </row>
    <row r="24" ht="18.0" customHeight="1">
      <c r="A24" s="2"/>
      <c r="B24" s="22" t="str">
        <f>IFERROR(VLOOKUP(C24,'Реестр'!C:AC,27,0)," ")</f>
        <v>Биг-Л</v>
      </c>
      <c r="C24" s="43" t="s">
        <v>474</v>
      </c>
      <c r="D24" s="22" t="str">
        <f>IFERROR(VLOOKUP(C24,'Лист4'!D:P,13,0)," ")</f>
        <v>qeep</v>
      </c>
      <c r="E24" s="22" t="str">
        <f>IF(OR(ISERROR(VLOOKUP(C24,'Актуальность'!A:B,2,0)), VLOOKUP(C24,'Актуальность'!A:B,2,0)=""), "Актуальный", VLOOKUP(C24,'Актуальность'!A:B,2,0))</f>
        <v>Актуальный</v>
      </c>
      <c r="F24" s="43" t="str">
        <f>IFERROR(VLOOKUP(C24,'Актуальность'!A:C,3,0)," ")</f>
        <v/>
      </c>
      <c r="G24" s="43"/>
      <c r="H24" s="22" t="s">
        <v>361</v>
      </c>
      <c r="I24" s="22" t="s">
        <v>476</v>
      </c>
      <c r="J24" s="43"/>
      <c r="K24" s="43"/>
      <c r="L24" s="22" t="b">
        <f t="shared" ref="L24:R24" si="20">T24&lt;&gt;""</f>
        <v>1</v>
      </c>
      <c r="M24" s="22" t="b">
        <f t="shared" si="20"/>
        <v>1</v>
      </c>
      <c r="N24" s="22" t="b">
        <f t="shared" si="20"/>
        <v>1</v>
      </c>
      <c r="O24" s="22" t="b">
        <f t="shared" si="20"/>
        <v>1</v>
      </c>
      <c r="P24" s="22" t="b">
        <f t="shared" si="20"/>
        <v>1</v>
      </c>
      <c r="Q24" s="22" t="b">
        <f t="shared" si="20"/>
        <v>0</v>
      </c>
      <c r="R24" s="22" t="b">
        <f t="shared" si="20"/>
        <v>0</v>
      </c>
      <c r="S24" s="43"/>
      <c r="T24" s="43" t="str">
        <f>IFERROR(VLOOKUP( C24,'1С'!A:B,2,0)," ")</f>
        <v>QB101100405</v>
      </c>
      <c r="U24" s="22" t="str">
        <f>IFERROR(VLOOKUP(T24,'Лист4'!C:I,3,0)," ")</f>
        <v>qeep_berberine_60caps</v>
      </c>
      <c r="V24" s="22" t="str">
        <f>IFERROR(VLOOKUP(T24,'Лист4'!C:I,4,0)," ")</f>
        <v>qeep_berberine_60caps</v>
      </c>
      <c r="W24" s="22" t="str">
        <f>IFERROR(VLOOKUP(T24,'Лист4'!C:I,5,0)," ")</f>
        <v>qeep_berberine_60caps</v>
      </c>
      <c r="X24" s="43" t="str">
        <f>IFERROR(VLOOKUP(T24,'Лист4'!C:I,7,0)," ")</f>
        <v>qeep_berberine_60caps</v>
      </c>
      <c r="Y24" s="43" t="str">
        <f>IFERROR(VLOOKUP(T24,'Лист4'!C:I,6,0)," ")</f>
        <v/>
      </c>
      <c r="Z24" s="43"/>
      <c r="AA24" s="43"/>
      <c r="AB24" s="22">
        <v>1.98421782E8</v>
      </c>
      <c r="AC24" s="22">
        <v>1.361997453E9</v>
      </c>
      <c r="AD24" s="22">
        <v>1.02650853073E11</v>
      </c>
      <c r="AE24" s="22">
        <v>9.9000118637E10</v>
      </c>
      <c r="AF24" s="22"/>
      <c r="AG24" s="43"/>
      <c r="AH24" s="43"/>
      <c r="AI24" s="43" t="str">
        <f>IFERROR(VLOOKUP(T24,'1С'!B:C,2,0)," ")</f>
        <v>БАД Берберин 500 мг ,qeep, 60 капсул</v>
      </c>
      <c r="AJ24" s="22" t="s">
        <v>478</v>
      </c>
      <c r="AK24" s="22" t="s">
        <v>479</v>
      </c>
      <c r="AL24" s="22" t="s">
        <v>480</v>
      </c>
      <c r="AM24" s="22" t="s">
        <v>481</v>
      </c>
      <c r="AN24" s="43"/>
      <c r="AO24" s="43"/>
      <c r="AP24" s="43"/>
      <c r="AQ24" s="46" t="s">
        <v>482</v>
      </c>
      <c r="AR24" s="46" t="s">
        <v>483</v>
      </c>
      <c r="AS24" s="46" t="s">
        <v>484</v>
      </c>
      <c r="AT24" s="46" t="s">
        <v>485</v>
      </c>
      <c r="AU24" s="43"/>
      <c r="AV24" s="43"/>
      <c r="AW24" s="43"/>
      <c r="AX24" s="22" t="s">
        <v>361</v>
      </c>
      <c r="AY24" s="22" t="s">
        <v>479</v>
      </c>
      <c r="AZ24" s="22" t="s">
        <v>372</v>
      </c>
      <c r="BA24" s="22" t="s">
        <v>373</v>
      </c>
      <c r="BB24" s="43"/>
      <c r="BC24" s="43"/>
      <c r="BD24" s="43"/>
      <c r="BE24" s="43"/>
      <c r="BF24" s="22">
        <f>IFERROR(VLOOKUP(C24,'спецификация'!B:D,3,0)," ")</f>
        <v>4630205148199</v>
      </c>
      <c r="BG24" s="22">
        <v>2.106909808E9</v>
      </c>
      <c r="BH24" s="22" t="str">
        <f>IFERROR(VLOOKUP(C24,'спецификация'!B:AA,5,0)," ")</f>
        <v>AM.01.01.01.003.R.000809.11.23 от 09.11.2023</v>
      </c>
      <c r="BI24" s="46" t="s">
        <v>487</v>
      </c>
      <c r="BJ24" s="22" t="str">
        <f>IFERROR(VLOOKUP(C24,'спецификация'!B:AA,6,0)," ")</f>
        <v>ЧЗ</v>
      </c>
      <c r="BK24" s="43"/>
      <c r="BL24" s="43"/>
      <c r="BM24" s="22" t="str">
        <f>IFERROR(VLOOKUP(BF24,'спецификация'!D:H,5,0)," ")</f>
        <v>экстракт плодов барбариса, пиридоксин гидрохлорида (витамин В6), стеарат кальция, кремний диоксид коллоидный (АЭРОСИЛ@),  твёрдая желатиновая капсула.</v>
      </c>
      <c r="BN24" s="43"/>
      <c r="BO24" s="22" t="str">
        <f>IFERROR(VLOOKUP(C24,'спецификация'!B:AA,10,0)," ")</f>
        <v>взрослым по 1 капсуле 1 раз в день.
Продолжительность приёма: 1 месяц. При необходимости повторить.</v>
      </c>
      <c r="BP24" s="43" t="str">
        <f>IFERROR(VLOOKUP(C24,'спецификация'!B:AA,11,0)," ")</f>
        <v>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v>
      </c>
      <c r="BQ24" s="22" t="str">
        <f>IFERROR(VLOOKUP(C24,'спецификация'!B:AA,12,0)," ")</f>
        <v>хранить в сухом, недоступном для детей месте, при температуре от +5 °С до +25 °С.</v>
      </c>
      <c r="BR24" s="22">
        <v>60.0</v>
      </c>
      <c r="BS24" s="22" t="s">
        <v>492</v>
      </c>
      <c r="BT24" s="43"/>
      <c r="BU24" s="22"/>
      <c r="BV24" s="22" t="s">
        <v>307</v>
      </c>
      <c r="BW24" s="44" t="str">
        <f>IFERROR(VLOOKUP(C24,'спецификация'!B:AA,16,0)," ")</f>
        <v>https://docs.google.com/document/d/1iR2ypw2bjgV0t5WgfvrEJygn4BKVz3hCoykhvJp9KKc/edit?usp=sharing</v>
      </c>
      <c r="BX24" s="43"/>
      <c r="BY24" s="43"/>
      <c r="BZ24" s="45" t="str">
        <f>IFERROR(VLOOKUP(BF24,'спецификация'!D:Y,22,0)," ")</f>
        <v/>
      </c>
      <c r="CA24" s="43"/>
      <c r="CB24" s="43"/>
      <c r="CC24" s="43"/>
      <c r="CD24" s="43"/>
      <c r="CE24" s="43"/>
      <c r="CF24" s="43"/>
      <c r="CG24" s="49">
        <f>IFERROR(VLOOKUP(C24,CC!A:D,4,0)," ")</f>
        <v>293</v>
      </c>
      <c r="CH24" s="22" t="str">
        <f>IFERROR(VLOOKUP(C24,'спецификация'!B:AA,19,0)," ")</f>
        <v>ООО «Жива Продукт ПРО». 350062, Россия, Краснодарский край, город Краснодар, улица Казбекская, дом 17, кв. (оф.) 85</v>
      </c>
      <c r="CI24" s="22"/>
      <c r="CJ24" s="22" t="s">
        <v>495</v>
      </c>
      <c r="CK24" s="22">
        <f>IFERROR(VLOOKUP(C24,CC!K:M,3,0)," ")</f>
        <v>60</v>
      </c>
      <c r="CL24" s="43"/>
      <c r="CM24" s="43"/>
      <c r="CN24" s="43"/>
      <c r="CO24" s="43"/>
      <c r="CP24" s="43"/>
      <c r="CQ24" s="43"/>
      <c r="CR24" s="43"/>
      <c r="CS24" s="43" t="b">
        <v>0</v>
      </c>
      <c r="CT24" s="43" t="b">
        <v>0</v>
      </c>
      <c r="CU24" s="43" t="b">
        <v>0</v>
      </c>
      <c r="CV24" s="43" t="b">
        <v>0</v>
      </c>
      <c r="CW24" s="43"/>
      <c r="CX24" s="43"/>
      <c r="CY24" s="43"/>
      <c r="CZ24" s="43"/>
      <c r="DA24" s="43"/>
      <c r="DB24" s="43"/>
      <c r="DC24" s="43"/>
      <c r="DD24" s="22">
        <f>IFERROR(VLOOKUP($C24,'Лист4'!$D:$AI,27,0)," ")</f>
        <v>11</v>
      </c>
      <c r="DE24" s="22">
        <f>IFERROR(VLOOKUP($C24,'Лист4'!$D:$AI,28,0)," ")</f>
        <v>5</v>
      </c>
      <c r="DF24" s="22">
        <f>IFERROR(VLOOKUP($C24,'Лист4'!$D:$AI,29,0)," ")</f>
        <v>11</v>
      </c>
      <c r="DG24" s="22">
        <f t="shared" si="3"/>
        <v>605</v>
      </c>
      <c r="DH24" s="22">
        <f>IFERROR(VLOOKUP($C24,'Лист4'!$D:$AI,32,0)," ")</f>
        <v>0.087</v>
      </c>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43"/>
      <c r="EN24" s="43"/>
      <c r="EO24" s="43"/>
      <c r="EP24" s="43"/>
      <c r="EQ24" s="43"/>
      <c r="ER24" s="43"/>
      <c r="ES24" s="43"/>
      <c r="ET24" s="43"/>
      <c r="EU24" s="43"/>
      <c r="EV24" s="43"/>
      <c r="EW24" s="43"/>
      <c r="EX24" s="43"/>
      <c r="EY24" s="43"/>
      <c r="EZ24" s="43"/>
      <c r="FA24" s="43"/>
      <c r="FB24" s="43"/>
      <c r="FC24" s="43"/>
    </row>
    <row r="25" ht="18.0" customHeight="1">
      <c r="A25" s="2"/>
      <c r="B25" s="22" t="str">
        <f>IFERROR(VLOOKUP(C25,'Реестр'!C:AC,27,0)," ")</f>
        <v>Биг-Л</v>
      </c>
      <c r="C25" s="22" t="s">
        <v>497</v>
      </c>
      <c r="D25" s="22" t="str">
        <f>IFERROR(VLOOKUP(C25,'Лист4'!D:P,13,0)," ")</f>
        <v>qeep</v>
      </c>
      <c r="E25" s="22" t="str">
        <f>IF(OR(ISERROR(VLOOKUP(C25,'Актуальность'!A:B,2,0)), VLOOKUP(C25,'Актуальность'!A:B,2,0)=""), "Актуальный", VLOOKUP(C25,'Актуальность'!A:B,2,0))</f>
        <v>Актуальный</v>
      </c>
      <c r="F25" s="43" t="str">
        <f>IFERROR(VLOOKUP(C25,'Актуальность'!A:C,3,0)," ")</f>
        <v/>
      </c>
      <c r="G25" s="43"/>
      <c r="H25" s="22" t="s">
        <v>361</v>
      </c>
      <c r="I25" s="22" t="s">
        <v>476</v>
      </c>
      <c r="J25" s="43"/>
      <c r="K25" s="43"/>
      <c r="L25" s="22" t="b">
        <f t="shared" ref="L25:R25" si="21">T25&lt;&gt;""</f>
        <v>1</v>
      </c>
      <c r="M25" s="22" t="b">
        <f t="shared" si="21"/>
        <v>1</v>
      </c>
      <c r="N25" s="22" t="b">
        <f t="shared" si="21"/>
        <v>1</v>
      </c>
      <c r="O25" s="22" t="b">
        <f t="shared" si="21"/>
        <v>1</v>
      </c>
      <c r="P25" s="22" t="b">
        <f t="shared" si="21"/>
        <v>1</v>
      </c>
      <c r="Q25" s="22" t="b">
        <f t="shared" si="21"/>
        <v>0</v>
      </c>
      <c r="R25" s="22" t="b">
        <f t="shared" si="21"/>
        <v>0</v>
      </c>
      <c r="S25" s="43"/>
      <c r="T25" s="43" t="str">
        <f>IFERROR(VLOOKUP( C25,'1С'!A:B,2,0)," ")</f>
        <v>QB101100466</v>
      </c>
      <c r="U25" s="22" t="str">
        <f>IFERROR(VLOOKUP(T25,'Лист4'!C:I,3,0)," ")</f>
        <v>qeepinositol</v>
      </c>
      <c r="V25" s="22" t="str">
        <f>IFERROR(VLOOKUP(T25,'Лист4'!C:I,4,0)," ")</f>
        <v>qeepinositol</v>
      </c>
      <c r="W25" s="22" t="str">
        <f>IFERROR(VLOOKUP(T25,'Лист4'!C:I,5,0)," ")</f>
        <v>qeepinositol</v>
      </c>
      <c r="X25" s="43" t="str">
        <f>IFERROR(VLOOKUP(T25,'Лист4'!C:I,7,0)," ")</f>
        <v>qeepinositol</v>
      </c>
      <c r="Y25" s="43" t="str">
        <f>IFERROR(VLOOKUP(T25,'Лист4'!C:I,6,0)," ")</f>
        <v/>
      </c>
      <c r="Z25" s="43"/>
      <c r="AA25" s="43"/>
      <c r="AB25" s="22">
        <v>1.42963712E8</v>
      </c>
      <c r="AC25" s="22">
        <v>8.35603195E8</v>
      </c>
      <c r="AD25" s="22">
        <v>1.01948470526E11</v>
      </c>
      <c r="AE25" s="22">
        <v>9.9000121336E10</v>
      </c>
      <c r="AF25" s="22"/>
      <c r="AG25" s="43"/>
      <c r="AH25" s="43"/>
      <c r="AI25" s="43" t="str">
        <f>IFERROR(VLOOKUP(T25,'1С'!B:C,2,0)," ")</f>
        <v>БАД Мио Инозитол 820 мг ,qeep, 60 капсул</v>
      </c>
      <c r="AJ25" s="22" t="s">
        <v>500</v>
      </c>
      <c r="AK25" s="22" t="s">
        <v>501</v>
      </c>
      <c r="AL25" s="22" t="s">
        <v>502</v>
      </c>
      <c r="AM25" s="22" t="s">
        <v>503</v>
      </c>
      <c r="AN25" s="43"/>
      <c r="AO25" s="43"/>
      <c r="AP25" s="43"/>
      <c r="AQ25" s="46" t="s">
        <v>504</v>
      </c>
      <c r="AR25" s="46" t="s">
        <v>505</v>
      </c>
      <c r="AS25" s="46" t="s">
        <v>506</v>
      </c>
      <c r="AT25" s="46" t="s">
        <v>507</v>
      </c>
      <c r="AU25" s="43"/>
      <c r="AV25" s="43"/>
      <c r="AW25" s="43"/>
      <c r="AX25" s="22" t="s">
        <v>361</v>
      </c>
      <c r="AY25" s="22" t="s">
        <v>501</v>
      </c>
      <c r="AZ25" s="22" t="s">
        <v>372</v>
      </c>
      <c r="BA25" s="22" t="s">
        <v>373</v>
      </c>
      <c r="BB25" s="43"/>
      <c r="BC25" s="43"/>
      <c r="BD25" s="43"/>
      <c r="BE25" s="43"/>
      <c r="BF25" s="22" t="str">
        <f>IFERROR(VLOOKUP(C25,'спецификация'!B:D,3,0)," ")</f>
        <v>4603335715654</v>
      </c>
      <c r="BG25" s="22">
        <v>3.504009E9</v>
      </c>
      <c r="BH25" s="22" t="str">
        <f>IFERROR(VLOOKUP(C25,'спецификация'!B:AA,5,0)," ")</f>
        <v>RU.77.99.88.003.R.001844.06.22  от 01.06.2022</v>
      </c>
      <c r="BI25" s="22"/>
      <c r="BJ25" s="22" t="str">
        <f>IFERROR(VLOOKUP(C25,'спецификация'!B:AA,6,0)," ")</f>
        <v>ЧЗ</v>
      </c>
      <c r="BK25" s="43"/>
      <c r="BL25" s="43"/>
      <c r="BM25" s="22" t="str">
        <f>IFERROR(VLOOKUP(BF25,'спецификация'!D:H,5,0)," ")</f>
        <v>Мио-инозитол, антислеживающий агент тальк пищевой, антислеживающий агент магниевая соль стеариновой кислоты, капсула (желатин, краситель диоксид титана)</v>
      </c>
      <c r="BN25" s="43"/>
      <c r="BO25" s="22" t="str">
        <f>IFERROR(VLOOKUP(C25,'спецификация'!B:AA,10,0)," ")</f>
        <v>взрослым по 3 капсулы в день во время еды в течение одного месяца, при необходимости прием можно продлить.</v>
      </c>
      <c r="BP25" s="43" t="str">
        <f>IFERROR(VLOOKUP(C25,'спецификация'!B:AA,11,0)," ")</f>
        <v>Противопоказания: индивидуальная непереносимость компонентов продукта, беременность, кормление грудью, язвенная болезнь желудка и двенадцатиперстной кишки, гиперацидный гастрит, заболевание печени. Перед применением проконсультироваться с врачом.</v>
      </c>
      <c r="BQ25" s="22" t="str">
        <f>IFERROR(VLOOKUP(C25,'спецификация'!B:AA,12,0)," ")</f>
        <v>Хранить в сухом недоступном для детей месте при температуре не выше 25◦С.</v>
      </c>
      <c r="BR25" s="22">
        <v>60.0</v>
      </c>
      <c r="BS25" s="22" t="s">
        <v>492</v>
      </c>
      <c r="BT25" s="43"/>
      <c r="BU25" s="22"/>
      <c r="BV25" s="22" t="s">
        <v>307</v>
      </c>
      <c r="BW25" s="44" t="str">
        <f>IFERROR(VLOOKUP(C25,'спецификация'!B:AA,16,0)," ")</f>
        <v>https://docs.google.com/document/d/1FHRHavRBDdi2gKFjBn9bjWsFAdIYSnUhNR4TwF87PzA/edit?usp=sharing</v>
      </c>
      <c r="BX25" s="43"/>
      <c r="BY25" s="43"/>
      <c r="BZ25" s="44" t="str">
        <f>IFERROR(VLOOKUP(BF25,'спецификация'!D:Y,22,0)," ")</f>
        <v>https://drive.google.com/drive/u/0/folders/1CqK8xLB_9LpFcd6o_xx5XGicVfEsIJXA</v>
      </c>
      <c r="CA25" s="54">
        <v>46043.0</v>
      </c>
      <c r="CB25" s="46" t="s">
        <v>517</v>
      </c>
      <c r="CC25" s="43"/>
      <c r="CD25" s="43"/>
      <c r="CE25" s="43"/>
      <c r="CF25" s="43"/>
      <c r="CG25" s="49">
        <f>IFERROR(VLOOKUP(C25,CC!A:D,4,0)," ")</f>
        <v>164</v>
      </c>
      <c r="CH25" s="22" t="str">
        <f>IFERROR(VLOOKUP(C25,'спецификация'!B:AA,19,0)," ")</f>
        <v>ООО "ЮНИЭКО" 115201 Москва 1й Варшавский проезд 2с26</v>
      </c>
      <c r="CI25" s="22"/>
      <c r="CJ25" s="22" t="s">
        <v>519</v>
      </c>
      <c r="CK25" s="22" t="str">
        <f>IFERROR(VLOOKUP(C25,CC!K:M,3,0)," ")</f>
        <v> </v>
      </c>
      <c r="CL25" s="43"/>
      <c r="CM25" s="43"/>
      <c r="CN25" s="43"/>
      <c r="CO25" s="43"/>
      <c r="CP25" s="43"/>
      <c r="CQ25" s="43"/>
      <c r="CR25" s="43"/>
      <c r="CS25" s="43" t="b">
        <v>0</v>
      </c>
      <c r="CT25" s="43" t="b">
        <v>0</v>
      </c>
      <c r="CU25" s="43" t="b">
        <v>0</v>
      </c>
      <c r="CV25" s="43" t="b">
        <v>0</v>
      </c>
      <c r="CW25" s="43"/>
      <c r="CX25" s="43"/>
      <c r="CY25" s="43"/>
      <c r="CZ25" s="43"/>
      <c r="DA25" s="43"/>
      <c r="DB25" s="43"/>
      <c r="DC25" s="43"/>
      <c r="DD25" s="22">
        <f>IFERROR(VLOOKUP($C25,'Лист4'!$D:$AI,27,0)," ")</f>
        <v>11</v>
      </c>
      <c r="DE25" s="22">
        <f>IFERROR(VLOOKUP($C25,'Лист4'!$D:$AI,28,0)," ")</f>
        <v>4</v>
      </c>
      <c r="DF25" s="22">
        <f>IFERROR(VLOOKUP($C25,'Лист4'!$D:$AI,29,0)," ")</f>
        <v>11</v>
      </c>
      <c r="DG25" s="22">
        <f t="shared" si="3"/>
        <v>484</v>
      </c>
      <c r="DH25" s="22">
        <f>IFERROR(VLOOKUP($C25,'Лист4'!$D:$AI,32,0)," ")</f>
        <v>0.062</v>
      </c>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43"/>
      <c r="EN25" s="43"/>
      <c r="EO25" s="43"/>
      <c r="EP25" s="43"/>
      <c r="EQ25" s="43"/>
      <c r="ER25" s="43"/>
      <c r="ES25" s="43"/>
      <c r="ET25" s="43"/>
      <c r="EU25" s="43"/>
      <c r="EV25" s="43"/>
      <c r="EW25" s="43"/>
      <c r="EX25" s="43"/>
      <c r="EY25" s="43"/>
      <c r="EZ25" s="43"/>
      <c r="FA25" s="43"/>
      <c r="FB25" s="43"/>
      <c r="FC25" s="43"/>
    </row>
    <row r="26" ht="18.0" customHeight="1">
      <c r="A26" s="2"/>
      <c r="B26" s="22" t="str">
        <f>IFERROR(VLOOKUP(C26,'Реестр'!C:AC,27,0)," ")</f>
        <v>Биг-Л</v>
      </c>
      <c r="C26" s="43" t="s">
        <v>520</v>
      </c>
      <c r="D26" s="22" t="str">
        <f>IFERROR(VLOOKUP(C26,'Лист4'!D:P,13,0)," ")</f>
        <v>qeep</v>
      </c>
      <c r="E26" s="22" t="str">
        <f>IF(OR(ISERROR(VLOOKUP(C26,'Актуальность'!A:B,2,0)), VLOOKUP(C26,'Актуальность'!A:B,2,0)=""), "Актуальный", VLOOKUP(C26,'Актуальность'!A:B,2,0))</f>
        <v>Вывод</v>
      </c>
      <c r="F26" s="43" t="str">
        <f>IFERROR(VLOOKUP(C26,'Актуальность'!A:C,3,0)," ")</f>
        <v>Старый артикул</v>
      </c>
      <c r="G26" s="43"/>
      <c r="H26" s="22"/>
      <c r="I26" s="22"/>
      <c r="J26" s="43"/>
      <c r="K26" s="43"/>
      <c r="L26" s="22" t="b">
        <f t="shared" ref="L26:R26" si="22">T26&lt;&gt;""</f>
        <v>1</v>
      </c>
      <c r="M26" s="22" t="b">
        <f t="shared" si="22"/>
        <v>1</v>
      </c>
      <c r="N26" s="22" t="b">
        <f t="shared" si="22"/>
        <v>1</v>
      </c>
      <c r="O26" s="22" t="b">
        <f t="shared" si="22"/>
        <v>0</v>
      </c>
      <c r="P26" s="22" t="b">
        <f t="shared" si="22"/>
        <v>0</v>
      </c>
      <c r="Q26" s="22" t="b">
        <f t="shared" si="22"/>
        <v>0</v>
      </c>
      <c r="R26" s="22" t="b">
        <f t="shared" si="22"/>
        <v>0</v>
      </c>
      <c r="S26" s="43"/>
      <c r="T26" s="43" t="str">
        <f>IFERROR(VLOOKUP( C26,'1С'!A:B,2,0)," ")</f>
        <v>QB101100525</v>
      </c>
      <c r="U26" s="22" t="str">
        <f>IFERROR(VLOOKUP(T26,'Лист4'!C:I,3,0)," ")</f>
        <v>qeep_ByeBye_fat_Prebiotics</v>
      </c>
      <c r="V26" s="22" t="str">
        <f>IFERROR(VLOOKUP(T26,'Лист4'!C:I,4,0)," ")</f>
        <v>qeep_ByeBye_fat_Prebiotics</v>
      </c>
      <c r="W26" s="22" t="str">
        <f>IFERROR(VLOOKUP(T26,'Лист4'!C:I,5,0)," ")</f>
        <v/>
      </c>
      <c r="X26" s="43" t="str">
        <f>IFERROR(VLOOKUP(T26,'Лист4'!C:I,7,0)," ")</f>
        <v/>
      </c>
      <c r="Y26" s="43" t="str">
        <f>IFERROR(VLOOKUP(T26,'Лист4'!C:I,6,0)," ")</f>
        <v/>
      </c>
      <c r="Z26" s="43"/>
      <c r="AA26" s="43"/>
      <c r="AB26" s="22">
        <v>1.67680087E8</v>
      </c>
      <c r="AC26" s="22">
        <v>1.099614303E9</v>
      </c>
      <c r="AD26" s="22"/>
      <c r="AE26" s="22"/>
      <c r="AF26" s="22"/>
      <c r="AG26" s="43"/>
      <c r="AH26" s="43"/>
      <c r="AI26" s="43" t="str">
        <f>IFERROR(VLOOKUP(T26,'1С'!B:C,2,0)," ")</f>
        <v>БАД Набор Байфет и пробиотики</v>
      </c>
      <c r="AJ26" s="22" t="s">
        <v>524</v>
      </c>
      <c r="AK26" s="22" t="s">
        <v>525</v>
      </c>
      <c r="AL26" s="43"/>
      <c r="AM26" s="43"/>
      <c r="AN26" s="43"/>
      <c r="AO26" s="43"/>
      <c r="AP26" s="43"/>
      <c r="AQ26" s="46" t="s">
        <v>526</v>
      </c>
      <c r="AR26" s="46" t="s">
        <v>527</v>
      </c>
      <c r="AS26" s="43"/>
      <c r="AT26" s="43"/>
      <c r="AU26" s="43"/>
      <c r="AV26" s="43"/>
      <c r="AW26" s="43"/>
      <c r="AX26" s="22" t="s">
        <v>528</v>
      </c>
      <c r="AY26" s="22" t="s">
        <v>525</v>
      </c>
      <c r="AZ26" s="43"/>
      <c r="BA26" s="43"/>
      <c r="BB26" s="43"/>
      <c r="BC26" s="43"/>
      <c r="BD26" s="43"/>
      <c r="BE26" s="43"/>
      <c r="BF26" s="22" t="str">
        <f>IFERROR(VLOOKUP(C26,'спецификация'!B:D,3,0)," ")</f>
        <v>2038121297342</v>
      </c>
      <c r="BG26" s="22">
        <v>2.106909808E9</v>
      </c>
      <c r="BH26" s="22" t="str">
        <f>IFERROR(VLOOKUP(C26,'спецификация'!B:AA,5,0)," ")</f>
        <v/>
      </c>
      <c r="BI26" s="22"/>
      <c r="BJ26" s="22" t="str">
        <f>IFERROR(VLOOKUP(C26,'спецификация'!B:AA,6,0)," ")</f>
        <v>ЧЗ</v>
      </c>
      <c r="BK26" s="43"/>
      <c r="BL26" s="43"/>
      <c r="BM26" s="22" t="str">
        <f>IFERROR(VLOOKUP(BF26,'спецификация'!D:H,5,0)," ")</f>
        <v> Экстракт гарцинии камбоджийская, L-Карнитин L-Тартрат, микрокристаллическая целлюлоза (носитель), экстракт лимонника, экстракт зелёного чая, пиколинат хрома, яблочный уксус, стеарат кальция, пиколинат цинка, экстракт клюквы.</v>
      </c>
      <c r="BN26" s="43"/>
      <c r="BO26" s="22" t="str">
        <f>IFERROR(VLOOKUP(C26,'спецификация'!B:AA,10,0)," ")</f>
        <v>взрослым по 1 капсуле 3 раза в день после еды.
</v>
      </c>
      <c r="BP26" s="43" t="str">
        <f>IFERROR(VLOOKUP(C26,'спецификация'!B:AA,11,0)," ")</f>
        <v>индивидуальная непереносимость компонентов продукта, беременность, кормление грудью. Перед применением проконсультироваться с врачом.
</v>
      </c>
      <c r="BQ26" s="22" t="str">
        <f>IFERROR(VLOOKUP(C26,'спецификация'!B:AA,12,0)," ")</f>
        <v>хранить в сухом, недоступном для детей месте, при температуре от +5 °С до +25 °С.
</v>
      </c>
      <c r="BR26" s="22">
        <v>60.0</v>
      </c>
      <c r="BS26" s="22" t="s">
        <v>492</v>
      </c>
      <c r="BT26" s="43"/>
      <c r="BU26" s="22"/>
      <c r="BV26" s="22"/>
      <c r="BW26" s="45" t="str">
        <f>IFERROR(VLOOKUP(C26,'спецификация'!B:AA,16,0)," ")</f>
        <v/>
      </c>
      <c r="BX26" s="43"/>
      <c r="BY26" s="43"/>
      <c r="BZ26" s="45" t="str">
        <f>IFERROR(VLOOKUP(BF26,'спецификация'!D:Y,22,0)," ")</f>
        <v/>
      </c>
      <c r="CA26" s="43"/>
      <c r="CB26" s="43"/>
      <c r="CC26" s="43"/>
      <c r="CD26" s="43"/>
      <c r="CE26" s="43"/>
      <c r="CF26" s="43"/>
      <c r="CG26" s="49">
        <f>IFERROR(VLOOKUP(C26,CC!A:D,4,0)," ")</f>
        <v>477.54</v>
      </c>
      <c r="CH26" s="22" t="str">
        <f>IFERROR(VLOOKUP(C26,'спецификация'!B:AA,19,0)," ")</f>
        <v/>
      </c>
      <c r="CI26" s="22"/>
      <c r="CJ26" s="43"/>
      <c r="CK26" s="22">
        <f>IFERROR(VLOOKUP(C26,CC!K:M,3,0)," ")</f>
        <v>90</v>
      </c>
      <c r="CL26" s="43"/>
      <c r="CM26" s="43"/>
      <c r="CN26" s="43"/>
      <c r="CO26" s="43"/>
      <c r="CP26" s="43"/>
      <c r="CQ26" s="43"/>
      <c r="CR26" s="43"/>
      <c r="CS26" s="43" t="b">
        <v>0</v>
      </c>
      <c r="CT26" s="43" t="b">
        <v>0</v>
      </c>
      <c r="CU26" s="43" t="b">
        <v>0</v>
      </c>
      <c r="CV26" s="43" t="b">
        <v>0</v>
      </c>
      <c r="CW26" s="43"/>
      <c r="CX26" s="43"/>
      <c r="CY26" s="43"/>
      <c r="CZ26" s="43"/>
      <c r="DA26" s="43"/>
      <c r="DB26" s="43"/>
      <c r="DC26" s="43"/>
      <c r="DD26" s="22" t="str">
        <f>IFERROR(VLOOKUP($C26,'Лист4'!$D:$AI,27,0)," ")</f>
        <v/>
      </c>
      <c r="DE26" s="22" t="str">
        <f>IFERROR(VLOOKUP($C26,'Лист4'!$D:$AI,28,0)," ")</f>
        <v/>
      </c>
      <c r="DF26" s="22" t="str">
        <f>IFERROR(VLOOKUP($C26,'Лист4'!$D:$AI,29,0)," ")</f>
        <v/>
      </c>
      <c r="DG26" s="22">
        <f t="shared" si="3"/>
        <v>0</v>
      </c>
      <c r="DH26" s="22" t="str">
        <f>IFERROR(VLOOKUP($C26,'Лист4'!$D:$AI,32,0)," ")</f>
        <v/>
      </c>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43"/>
      <c r="EN26" s="43"/>
      <c r="EO26" s="43"/>
      <c r="EP26" s="43"/>
      <c r="EQ26" s="43"/>
      <c r="ER26" s="43"/>
      <c r="ES26" s="43"/>
      <c r="ET26" s="43"/>
      <c r="EU26" s="43"/>
      <c r="EV26" s="43"/>
      <c r="EW26" s="43"/>
      <c r="EX26" s="43"/>
      <c r="EY26" s="43"/>
      <c r="EZ26" s="43"/>
      <c r="FA26" s="43"/>
      <c r="FB26" s="43"/>
      <c r="FC26" s="43"/>
    </row>
    <row r="27" ht="18.0" customHeight="1">
      <c r="A27" s="2"/>
      <c r="B27" s="22" t="str">
        <f>IFERROR(VLOOKUP(C27,'Реестр'!C:AC,27,0)," ")</f>
        <v>Биг-Л</v>
      </c>
      <c r="C27" s="43" t="s">
        <v>534</v>
      </c>
      <c r="D27" s="22" t="str">
        <f>IFERROR(VLOOKUP(C27,'Лист4'!D:P,13,0)," ")</f>
        <v>qeep</v>
      </c>
      <c r="E27" s="22" t="str">
        <f>IF(OR(ISERROR(VLOOKUP(C27,'Актуальность'!A:B,2,0)), VLOOKUP(C27,'Актуальность'!A:B,2,0)=""), "Актуальный", VLOOKUP(C27,'Актуальность'!A:B,2,0))</f>
        <v>Вывод</v>
      </c>
      <c r="F27" s="43" t="str">
        <f>IFERROR(VLOOKUP(C27,'Актуальность'!A:C,3,0)," ")</f>
        <v>Запрес продажи в РФ</v>
      </c>
      <c r="G27" s="43"/>
      <c r="H27" s="22"/>
      <c r="I27" s="22"/>
      <c r="J27" s="43"/>
      <c r="K27" s="43"/>
      <c r="L27" s="22" t="b">
        <f t="shared" ref="L27:R27" si="23">T27&lt;&gt;""</f>
        <v>1</v>
      </c>
      <c r="M27" s="22" t="b">
        <f t="shared" si="23"/>
        <v>1</v>
      </c>
      <c r="N27" s="22" t="b">
        <f t="shared" si="23"/>
        <v>1</v>
      </c>
      <c r="O27" s="22" t="b">
        <f t="shared" si="23"/>
        <v>0</v>
      </c>
      <c r="P27" s="22" t="b">
        <f t="shared" si="23"/>
        <v>0</v>
      </c>
      <c r="Q27" s="22" t="b">
        <f t="shared" si="23"/>
        <v>0</v>
      </c>
      <c r="R27" s="22" t="b">
        <f t="shared" si="23"/>
        <v>0</v>
      </c>
      <c r="S27" s="43"/>
      <c r="T27" s="43" t="str">
        <f>IFERROR(VLOOKUP( C27,'1С'!A:B,2,0)," ")</f>
        <v>QB101100517</v>
      </c>
      <c r="U27" s="22" t="str">
        <f>IFERROR(VLOOKUP(T27,'Лист4'!C:I,3,0)," ")</f>
        <v>qeep_melatonin2mg_90tabs</v>
      </c>
      <c r="V27" s="22" t="str">
        <f>IFERROR(VLOOKUP(T27,'Лист4'!C:I,4,0)," ")</f>
        <v>qeep_melatonin2mg_90tabs</v>
      </c>
      <c r="W27" s="22" t="str">
        <f>IFERROR(VLOOKUP(T27,'Лист4'!C:I,5,0)," ")</f>
        <v/>
      </c>
      <c r="X27" s="43" t="str">
        <f>IFERROR(VLOOKUP(T27,'Лист4'!C:I,7,0)," ")</f>
        <v/>
      </c>
      <c r="Y27" s="43" t="str">
        <f>IFERROR(VLOOKUP(T27,'Лист4'!C:I,6,0)," ")</f>
        <v/>
      </c>
      <c r="Z27" s="43"/>
      <c r="AA27" s="43"/>
      <c r="AB27" s="22">
        <v>1.88493994E8</v>
      </c>
      <c r="AC27" s="22">
        <v>1.283138723E9</v>
      </c>
      <c r="AD27" s="22"/>
      <c r="AE27" s="22"/>
      <c r="AF27" s="22"/>
      <c r="AG27" s="43"/>
      <c r="AH27" s="43"/>
      <c r="AI27" s="43" t="str">
        <f>IFERROR(VLOOKUP(T27,'1С'!B:C,2,0)," ")</f>
        <v>БАД Мелатонин 90 таблеток</v>
      </c>
      <c r="AJ27" s="22" t="s">
        <v>538</v>
      </c>
      <c r="AK27" s="22" t="s">
        <v>539</v>
      </c>
      <c r="AL27" s="43"/>
      <c r="AM27" s="43"/>
      <c r="AN27" s="43"/>
      <c r="AO27" s="43"/>
      <c r="AP27" s="43"/>
      <c r="AQ27" s="46" t="s">
        <v>540</v>
      </c>
      <c r="AR27" s="46" t="s">
        <v>541</v>
      </c>
      <c r="AS27" s="43"/>
      <c r="AT27" s="43"/>
      <c r="AU27" s="43"/>
      <c r="AV27" s="43"/>
      <c r="AW27" s="43"/>
      <c r="AX27" s="22" t="s">
        <v>361</v>
      </c>
      <c r="AY27" s="22" t="s">
        <v>539</v>
      </c>
      <c r="AZ27" s="43"/>
      <c r="BA27" s="43"/>
      <c r="BB27" s="43"/>
      <c r="BC27" s="43"/>
      <c r="BD27" s="43"/>
      <c r="BE27" s="43"/>
      <c r="BF27" s="22">
        <f>IFERROR(VLOOKUP(C27,'спецификация'!B:D,3,0)," ")</f>
        <v>4630205146119</v>
      </c>
      <c r="BG27" s="22">
        <v>2.106909808E9</v>
      </c>
      <c r="BH27" s="22" t="str">
        <f>IFERROR(VLOOKUP(C27,'спецификация'!B:AA,5,0)," ")</f>
        <v>AM.01.01.01.003.R.000645.09.23 от 08.09.2023 г.</v>
      </c>
      <c r="BI27" s="22"/>
      <c r="BJ27" s="22" t="str">
        <f>IFERROR(VLOOKUP(C27,'спецификация'!B:AA,6,0)," ")</f>
        <v>ЧЗ</v>
      </c>
      <c r="BK27" s="43"/>
      <c r="BL27" s="43"/>
      <c r="BM27" s="22" t="str">
        <f>IFERROR(VLOOKUP(BF27,'спецификация'!D:H,5,0)," ")</f>
        <v>Мелатонин (из растительного сырья), носители: мальтодекстрин, микрокристаллическая целлюлоза, стеарат кальция, кремний диоксид коллоидный (АЭРОСИЛ@).</v>
      </c>
      <c r="BN27" s="43"/>
      <c r="BO27" s="22" t="str">
        <f>IFERROR(VLOOKUP(C27,'спецификация'!B:AA,10,0)," ")</f>
        <v>взрослым по 1 таблетке в день в вечернее время</v>
      </c>
      <c r="BP27" s="43" t="str">
        <f>IFERROR(VLOOKUP(C27,'спецификация'!B:AA,11,0)," ")</f>
        <v>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v>
      </c>
      <c r="BQ27" s="22" t="str">
        <f>IFERROR(VLOOKUP(C27,'спецификация'!B:AA,12,0)," ")</f>
        <v>хранить в сухом, недоступном для детей месте, при температуре от +5 °С до +25 °С.</v>
      </c>
      <c r="BR27" s="22">
        <v>90.0</v>
      </c>
      <c r="BS27" s="22" t="s">
        <v>210</v>
      </c>
      <c r="BT27" s="22"/>
      <c r="BU27" s="22"/>
      <c r="BV27" s="22" t="s">
        <v>307</v>
      </c>
      <c r="BW27" s="44" t="str">
        <f>IFERROR(VLOOKUP(C27,'спецификация'!B:AA,16,0)," ")</f>
        <v>https://docs.google.com/document/d/1eaOslcbNtStwAj8-U1YvP6ric478pka_5bO-d1TsLTA/edit?usp=sharing</v>
      </c>
      <c r="BX27" s="43"/>
      <c r="BY27" s="43"/>
      <c r="BZ27" s="44" t="str">
        <f>IFERROR(VLOOKUP(BF27,'спецификация'!D:Y,22,0)," ")</f>
        <v>https://drive.google.com/drive/u/0/folders/1uMtKkkJJyhrEKETZWyeSNFEJWFJOvqI2</v>
      </c>
      <c r="CA27" s="43"/>
      <c r="CB27" s="43"/>
      <c r="CC27" s="43"/>
      <c r="CD27" s="43"/>
      <c r="CE27" s="43"/>
      <c r="CF27" s="43"/>
      <c r="CG27" s="49">
        <f>IFERROR(VLOOKUP(C27,CC!A:D,4,0)," ")</f>
        <v>160</v>
      </c>
      <c r="CH27" s="22" t="str">
        <f>IFERROR(VLOOKUP(C27,'спецификация'!B:AA,19,0)," ")</f>
        <v>ООО «Жива Продукт ПРО». 350062, Россия, Краснодарский край, город Краснодар, улица Казбекская, дом 17, кв. (оф.) 85</v>
      </c>
      <c r="CI27" s="22"/>
      <c r="CJ27" s="22" t="s">
        <v>495</v>
      </c>
      <c r="CK27" s="22">
        <f>IFERROR(VLOOKUP(C27,CC!K:M,3,0)," ")</f>
        <v>60</v>
      </c>
      <c r="CL27" s="43"/>
      <c r="CM27" s="43"/>
      <c r="CN27" s="43"/>
      <c r="CO27" s="43"/>
      <c r="CP27" s="43"/>
      <c r="CQ27" s="43"/>
      <c r="CR27" s="43"/>
      <c r="CS27" s="43" t="b">
        <v>0</v>
      </c>
      <c r="CT27" s="43" t="b">
        <v>0</v>
      </c>
      <c r="CU27" s="43" t="b">
        <v>0</v>
      </c>
      <c r="CV27" s="43" t="b">
        <v>0</v>
      </c>
      <c r="CW27" s="43"/>
      <c r="CX27" s="43"/>
      <c r="CY27" s="43"/>
      <c r="CZ27" s="43"/>
      <c r="DA27" s="43"/>
      <c r="DB27" s="43"/>
      <c r="DC27" s="43"/>
      <c r="DD27" s="22">
        <f>IFERROR(VLOOKUP($C27,'Лист4'!$D:$AI,27,0)," ")</f>
        <v>4</v>
      </c>
      <c r="DE27" s="22">
        <f>IFERROR(VLOOKUP($C27,'Лист4'!$D:$AI,28,0)," ")</f>
        <v>7</v>
      </c>
      <c r="DF27" s="22">
        <f>IFERROR(VLOOKUP($C27,'Лист4'!$D:$AI,29,0)," ")</f>
        <v>4</v>
      </c>
      <c r="DG27" s="22">
        <f t="shared" si="3"/>
        <v>112</v>
      </c>
      <c r="DH27" s="22">
        <f>IFERROR(VLOOKUP($C27,'Лист4'!$D:$AI,32,0)," ")</f>
        <v>0.05</v>
      </c>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43"/>
      <c r="EN27" s="43"/>
      <c r="EO27" s="43"/>
      <c r="EP27" s="43"/>
      <c r="EQ27" s="43"/>
      <c r="ER27" s="43"/>
      <c r="ES27" s="43"/>
      <c r="ET27" s="43"/>
      <c r="EU27" s="43"/>
      <c r="EV27" s="43"/>
      <c r="EW27" s="43"/>
      <c r="EX27" s="43"/>
      <c r="EY27" s="43"/>
      <c r="EZ27" s="43"/>
      <c r="FA27" s="43"/>
      <c r="FB27" s="43"/>
      <c r="FC27" s="43"/>
    </row>
    <row r="28" ht="18.0" customHeight="1">
      <c r="A28" s="2"/>
      <c r="B28" s="22" t="str">
        <f>IFERROR(VLOOKUP(C28,'Реестр'!C:AC,27,0)," ")</f>
        <v>Биг-Л</v>
      </c>
      <c r="C28" s="43" t="s">
        <v>547</v>
      </c>
      <c r="D28" s="22" t="str">
        <f>IFERROR(VLOOKUP(C28,'Лист4'!D:P,13,0)," ")</f>
        <v>qeep</v>
      </c>
      <c r="E28" s="22" t="str">
        <f>IF(OR(ISERROR(VLOOKUP(C28,'Актуальность'!A:B,2,0)), VLOOKUP(C28,'Актуальность'!A:B,2,0)=""), "Актуальный", VLOOKUP(C28,'Актуальность'!A:B,2,0))</f>
        <v>Вывод</v>
      </c>
      <c r="F28" s="43" t="str">
        <f>IFERROR(VLOOKUP(C28,'Актуальность'!A:C,3,0)," ")</f>
        <v>Запрес продажи в РФ</v>
      </c>
      <c r="G28" s="43"/>
      <c r="H28" s="22"/>
      <c r="I28" s="22"/>
      <c r="J28" s="43"/>
      <c r="K28" s="43"/>
      <c r="L28" s="22" t="b">
        <f t="shared" ref="L28:R28" si="24">T28&lt;&gt;""</f>
        <v>1</v>
      </c>
      <c r="M28" s="22" t="b">
        <f t="shared" si="24"/>
        <v>1</v>
      </c>
      <c r="N28" s="22" t="b">
        <f t="shared" si="24"/>
        <v>1</v>
      </c>
      <c r="O28" s="22" t="b">
        <f t="shared" si="24"/>
        <v>0</v>
      </c>
      <c r="P28" s="22" t="b">
        <f t="shared" si="24"/>
        <v>0</v>
      </c>
      <c r="Q28" s="22" t="b">
        <f t="shared" si="24"/>
        <v>0</v>
      </c>
      <c r="R28" s="22" t="b">
        <f t="shared" si="24"/>
        <v>0</v>
      </c>
      <c r="S28" s="43"/>
      <c r="T28" s="43" t="str">
        <f>IFERROR(VLOOKUP( C28,'1С'!A:B,2,0)," ")</f>
        <v>QB101100518</v>
      </c>
      <c r="U28" s="22" t="str">
        <f>IFERROR(VLOOKUP(T28,'Лист4'!C:I,3,0)," ")</f>
        <v>qeep_biomelatonin_60caps</v>
      </c>
      <c r="V28" s="22" t="str">
        <f>IFERROR(VLOOKUP(T28,'Лист4'!C:I,4,0)," ")</f>
        <v>qeep_biomelatonin_60caps</v>
      </c>
      <c r="W28" s="22" t="str">
        <f>IFERROR(VLOOKUP(T28,'Лист4'!C:I,5,0)," ")</f>
        <v/>
      </c>
      <c r="X28" s="43" t="str">
        <f>IFERROR(VLOOKUP(T28,'Лист4'!C:I,7,0)," ")</f>
        <v/>
      </c>
      <c r="Y28" s="43" t="str">
        <f>IFERROR(VLOOKUP(T28,'Лист4'!C:I,6,0)," ")</f>
        <v/>
      </c>
      <c r="Z28" s="43"/>
      <c r="AA28" s="43"/>
      <c r="AB28" s="22">
        <v>1.8860269E8</v>
      </c>
      <c r="AC28" s="22">
        <v>1.283143901E9</v>
      </c>
      <c r="AD28" s="22"/>
      <c r="AE28" s="22"/>
      <c r="AF28" s="22"/>
      <c r="AG28" s="43"/>
      <c r="AH28" s="43"/>
      <c r="AI28" s="43" t="str">
        <f>IFERROR(VLOOKUP(T28,'1С'!B:C,2,0)," ")</f>
        <v>БАД Биомелатонин 60 капсул</v>
      </c>
      <c r="AJ28" s="22" t="s">
        <v>550</v>
      </c>
      <c r="AK28" s="22" t="s">
        <v>551</v>
      </c>
      <c r="AL28" s="43"/>
      <c r="AM28" s="43"/>
      <c r="AN28" s="43"/>
      <c r="AO28" s="43"/>
      <c r="AP28" s="43"/>
      <c r="AQ28" s="46" t="s">
        <v>552</v>
      </c>
      <c r="AR28" s="46" t="s">
        <v>553</v>
      </c>
      <c r="AS28" s="43"/>
      <c r="AT28" s="43"/>
      <c r="AU28" s="43"/>
      <c r="AV28" s="43"/>
      <c r="AW28" s="43"/>
      <c r="AX28" s="22" t="s">
        <v>361</v>
      </c>
      <c r="AY28" s="22" t="s">
        <v>551</v>
      </c>
      <c r="AZ28" s="43"/>
      <c r="BA28" s="43"/>
      <c r="BB28" s="43"/>
      <c r="BC28" s="43"/>
      <c r="BD28" s="43"/>
      <c r="BE28" s="43"/>
      <c r="BF28" s="22">
        <f>IFERROR(VLOOKUP(C28,'спецификация'!B:D,3,0)," ")</f>
        <v>4620153905661</v>
      </c>
      <c r="BG28" s="22">
        <v>2.106909808E9</v>
      </c>
      <c r="BH28" s="22" t="str">
        <f>IFERROR(VLOOKUP(C28,'спецификация'!B:AA,5,0)," ")</f>
        <v>RU.77.99.11.003.R.000811.03.23 от 23.03.2023 г.</v>
      </c>
      <c r="BI28" s="22"/>
      <c r="BJ28" s="22" t="str">
        <f>IFERROR(VLOOKUP(C28,'спецификация'!B:AA,6,0)," ")</f>
        <v>ЧЗ</v>
      </c>
      <c r="BK28" s="43"/>
      <c r="BL28" s="43"/>
      <c r="BM28" s="22" t="str">
        <f>IFERROR(VLOOKUP(BF28,'спецификация'!D:H,5,0)," ")</f>
        <v>шлемника байкальского экстракт, лаванды цветков экстракт, коэнзим Q10,  рыбный жир, капсула желатиновая (желатин, глицерин (агент влагоудерживающий), кремния диоксид аморфный (носитель), смесь токоферолов (антиокислитель).</v>
      </c>
      <c r="BN28" s="43"/>
      <c r="BO28" s="22" t="str">
        <f>IFERROR(VLOOKUP(C28,'спецификация'!B:AA,10,0)," ")</f>
        <v>взрослым по 1 капсуле вечером с последним приемом пищи. Продолжительность приема 1 месяц. При необходимости прием можно повторить.</v>
      </c>
      <c r="BP28" s="43" t="str">
        <f>IFERROR(VLOOKUP(C28,'спецификация'!B:AA,11,0),"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28" s="22" t="str">
        <f>IFERROR(VLOOKUP(C28,'спецификация'!B:AA,12,0)," ")</f>
        <v>хранить в недоступном для детей месте, при температуре от +15 ºС до +25 ºС и относительной влажности воздуха не более 60%.</v>
      </c>
      <c r="BR28" s="22">
        <v>60.0</v>
      </c>
      <c r="BS28" s="22" t="s">
        <v>492</v>
      </c>
      <c r="BT28" s="43"/>
      <c r="BU28" s="22"/>
      <c r="BV28" s="22" t="s">
        <v>307</v>
      </c>
      <c r="BW28" s="44" t="str">
        <f>IFERROR(VLOOKUP(C28,'спецификация'!B:AA,16,0)," ")</f>
        <v>https://docs.google.com/document/d/17xTFJTIdvIexPXUmuln5X_o7MW0jlfWQDJROJNhuel8/edit?usp=sharing</v>
      </c>
      <c r="BX28" s="43"/>
      <c r="BY28" s="43"/>
      <c r="BZ28" s="44" t="str">
        <f>IFERROR(VLOOKUP(BF28,'спецификация'!D:Y,22,0)," ")</f>
        <v>https://drive.google.com/drive/u/0/folders/1EJ4tf05-m9tdvTI4jcyzXPrkyCyQU7uY</v>
      </c>
      <c r="CA28" s="43"/>
      <c r="CB28" s="43"/>
      <c r="CC28" s="43"/>
      <c r="CD28" s="43"/>
      <c r="CE28" s="43"/>
      <c r="CF28" s="43"/>
      <c r="CG28" s="49">
        <f>IFERROR(VLOOKUP(C28,CC!A:D,4,0)," ")</f>
        <v>355.96</v>
      </c>
      <c r="CH28" s="22" t="str">
        <f>IFERROR(VLOOKUP(C28,'спецификация'!B:AA,19,0)," ")</f>
        <v>ООО «Сибфармконтракт»</v>
      </c>
      <c r="CI28" s="22"/>
      <c r="CJ28" s="22" t="s">
        <v>562</v>
      </c>
      <c r="CK28" s="22">
        <f>IFERROR(VLOOKUP(C28,CC!K:M,3,0)," ")</f>
        <v>90</v>
      </c>
      <c r="CL28" s="43"/>
      <c r="CM28" s="43"/>
      <c r="CN28" s="43"/>
      <c r="CO28" s="43"/>
      <c r="CP28" s="43"/>
      <c r="CQ28" s="43"/>
      <c r="CR28" s="43"/>
      <c r="CS28" s="43" t="b">
        <v>0</v>
      </c>
      <c r="CT28" s="43" t="b">
        <v>0</v>
      </c>
      <c r="CU28" s="43" t="b">
        <v>0</v>
      </c>
      <c r="CV28" s="43" t="b">
        <v>0</v>
      </c>
      <c r="CW28" s="43"/>
      <c r="CX28" s="43"/>
      <c r="CY28" s="43"/>
      <c r="CZ28" s="43"/>
      <c r="DA28" s="43"/>
      <c r="DB28" s="43"/>
      <c r="DC28" s="43"/>
      <c r="DD28" s="22">
        <f>IFERROR(VLOOKUP($C28,'Лист4'!$D:$AI,27,0)," ")</f>
        <v>4</v>
      </c>
      <c r="DE28" s="22">
        <f>IFERROR(VLOOKUP($C28,'Лист4'!$D:$AI,28,0)," ")</f>
        <v>7</v>
      </c>
      <c r="DF28" s="22">
        <f>IFERROR(VLOOKUP($C28,'Лист4'!$D:$AI,29,0)," ")</f>
        <v>4</v>
      </c>
      <c r="DG28" s="22">
        <f t="shared" si="3"/>
        <v>112</v>
      </c>
      <c r="DH28" s="22">
        <f>IFERROR(VLOOKUP($C28,'Лист4'!$D:$AI,32,0)," ")</f>
        <v>0.05</v>
      </c>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43"/>
      <c r="EN28" s="43"/>
      <c r="EO28" s="43"/>
      <c r="EP28" s="43"/>
      <c r="EQ28" s="43"/>
      <c r="ER28" s="43"/>
      <c r="ES28" s="43"/>
      <c r="ET28" s="43"/>
      <c r="EU28" s="43"/>
      <c r="EV28" s="43"/>
      <c r="EW28" s="43"/>
      <c r="EX28" s="43"/>
      <c r="EY28" s="43"/>
      <c r="EZ28" s="43"/>
      <c r="FA28" s="43"/>
      <c r="FB28" s="43"/>
      <c r="FC28" s="43"/>
    </row>
    <row r="29" ht="18.0" customHeight="1">
      <c r="A29" s="2"/>
      <c r="B29" s="22" t="str">
        <f>IFERROR(VLOOKUP(C29,'Реестр'!C:AC,27,0)," ")</f>
        <v>Биг-Л</v>
      </c>
      <c r="C29" s="43" t="s">
        <v>563</v>
      </c>
      <c r="D29" s="22" t="str">
        <f>IFERROR(VLOOKUP(C29,'Лист4'!D:P,13,0)," ")</f>
        <v>qeep</v>
      </c>
      <c r="E29" s="22" t="str">
        <f>IF(OR(ISERROR(VLOOKUP(C29,'Актуальность'!A:B,2,0)), VLOOKUP(C29,'Актуальность'!A:B,2,0)=""), "Актуальный", VLOOKUP(C29,'Актуальность'!A:B,2,0))</f>
        <v>Актуальный</v>
      </c>
      <c r="F29" s="43" t="str">
        <f>IFERROR(VLOOKUP(C29,'Актуальность'!A:C,3,0)," ")</f>
        <v/>
      </c>
      <c r="G29" s="43"/>
      <c r="H29" s="22" t="s">
        <v>286</v>
      </c>
      <c r="I29" s="22" t="s">
        <v>565</v>
      </c>
      <c r="J29" s="43"/>
      <c r="K29" s="43"/>
      <c r="L29" s="22" t="b">
        <f t="shared" ref="L29:R29" si="25">T29&lt;&gt;""</f>
        <v>1</v>
      </c>
      <c r="M29" s="22" t="b">
        <f t="shared" si="25"/>
        <v>1</v>
      </c>
      <c r="N29" s="22" t="b">
        <f t="shared" si="25"/>
        <v>1</v>
      </c>
      <c r="O29" s="22" t="b">
        <f t="shared" si="25"/>
        <v>1</v>
      </c>
      <c r="P29" s="22" t="b">
        <f t="shared" si="25"/>
        <v>0</v>
      </c>
      <c r="Q29" s="22" t="b">
        <f t="shared" si="25"/>
        <v>1</v>
      </c>
      <c r="R29" s="22" t="b">
        <f t="shared" si="25"/>
        <v>0</v>
      </c>
      <c r="S29" s="43"/>
      <c r="T29" s="43" t="str">
        <f>IFERROR(VLOOKUP( C29,'1С'!A:B,2,0)," ")</f>
        <v>QB101100519</v>
      </c>
      <c r="U29" s="22" t="str">
        <f>IFERROR(VLOOKUP(T29,'Лист4'!C:I,3,0)," ")</f>
        <v>qeep_enzyme_80g</v>
      </c>
      <c r="V29" s="22" t="str">
        <f>IFERROR(VLOOKUP(T29,'Лист4'!C:I,4,0)," ")</f>
        <v>qeep_enzyme_80g</v>
      </c>
      <c r="W29" s="22" t="str">
        <f>IFERROR(VLOOKUP(T29,'Лист4'!C:I,5,0)," ")</f>
        <v>qeep_enzyme_80g</v>
      </c>
      <c r="X29" s="43" t="str">
        <f>IFERROR(VLOOKUP(T29,'Лист4'!C:I,7,0)," ")</f>
        <v/>
      </c>
      <c r="Y29" s="43" t="str">
        <f>IFERROR(VLOOKUP(T29,'Лист4'!C:I,6,0)," ")</f>
        <v>qeep_enzyme_80g</v>
      </c>
      <c r="Z29" s="43"/>
      <c r="AA29" s="43"/>
      <c r="AB29" s="22">
        <v>5.49551191E8</v>
      </c>
      <c r="AC29" s="22">
        <v>2.921727205E9</v>
      </c>
      <c r="AD29" s="22">
        <v>4.693953993E9</v>
      </c>
      <c r="AE29" s="22"/>
      <c r="AF29" s="22" t="s">
        <v>567</v>
      </c>
      <c r="AG29" s="43"/>
      <c r="AH29" s="43"/>
      <c r="AI29" s="43" t="str">
        <f>IFERROR(VLOOKUP(T29,'1С'!B:C,2,0)," ")</f>
        <v>БАД Коэнзим</v>
      </c>
      <c r="AJ29" s="22" t="s">
        <v>568</v>
      </c>
      <c r="AK29" s="22" t="s">
        <v>568</v>
      </c>
      <c r="AL29" s="22" t="s">
        <v>569</v>
      </c>
      <c r="AM29" s="43"/>
      <c r="AN29" s="22" t="s">
        <v>568</v>
      </c>
      <c r="AO29" s="43"/>
      <c r="AP29" s="43"/>
      <c r="AQ29" s="46" t="s">
        <v>570</v>
      </c>
      <c r="AR29" s="46" t="s">
        <v>571</v>
      </c>
      <c r="AS29" s="46" t="s">
        <v>572</v>
      </c>
      <c r="AT29" s="43"/>
      <c r="AU29" s="46" t="s">
        <v>573</v>
      </c>
      <c r="AV29" s="43"/>
      <c r="AW29" s="43"/>
      <c r="AX29" s="22" t="s">
        <v>574</v>
      </c>
      <c r="AY29" s="22" t="s">
        <v>568</v>
      </c>
      <c r="AZ29" s="22" t="s">
        <v>575</v>
      </c>
      <c r="BA29" s="43"/>
      <c r="BB29" s="22" t="s">
        <v>576</v>
      </c>
      <c r="BC29" s="43"/>
      <c r="BD29" s="43"/>
      <c r="BE29" s="43"/>
      <c r="BF29" s="22">
        <f>IFERROR(VLOOKUP(C29,'спецификация'!B:D,3,0)," ")</f>
        <v>4670020499243</v>
      </c>
      <c r="BG29" s="22"/>
      <c r="BH29" s="22" t="s">
        <v>133</v>
      </c>
      <c r="BI29" s="46" t="s">
        <v>577</v>
      </c>
      <c r="BJ29" s="22" t="str">
        <f>IFERROR(VLOOKUP(C29,'спецификация'!B:AA,6,0)," ")</f>
        <v>без ЧЗ</v>
      </c>
      <c r="BK29" s="43"/>
      <c r="BL29" s="43"/>
      <c r="BM29" s="22" t="str">
        <f>IFERROR(VLOOKUP(BF29,'спецификация'!D:H,5,0)," ")</f>
        <v>Corn Starch, Sodium Cocoyl Isethionate, Kaolin, Parfum, Papain, Allantoin, Camellia Sinensis Leaf Extract, Salicylic acid, Аcrylic Рolymer, Inulin, Geraniol, Limonene.</v>
      </c>
      <c r="BN29" s="43"/>
      <c r="BO29" s="22" t="s">
        <v>579</v>
      </c>
      <c r="BP29" s="43" t="str">
        <f>IFERROR(VLOOKUP(C29,'спецификация'!B:AA,11,0)," ")</f>
        <v/>
      </c>
      <c r="BQ29" s="22" t="s">
        <v>380</v>
      </c>
      <c r="BR29" s="22">
        <v>80.0</v>
      </c>
      <c r="BS29" s="22" t="s">
        <v>580</v>
      </c>
      <c r="BT29" s="22"/>
      <c r="BU29" s="22"/>
      <c r="BV29" s="22" t="s">
        <v>307</v>
      </c>
      <c r="BW29" s="44" t="str">
        <f>IFERROR(VLOOKUP(C29,'спецификация'!B:AA,16,0)," ")</f>
        <v>https://docs.google.com/document/d/1c965KEqR4_me16b5rMZlKygryHIZkneAeU-V2WS00CU/edit?tab=t.0</v>
      </c>
      <c r="BX29" s="43"/>
      <c r="BY29" s="43"/>
      <c r="BZ29" s="45" t="str">
        <f>IFERROR(VLOOKUP(BF29,'спецификация'!D:Y,22,0)," ")</f>
        <v/>
      </c>
      <c r="CA29" s="43"/>
      <c r="CB29" s="43"/>
      <c r="CC29" s="43"/>
      <c r="CD29" s="43"/>
      <c r="CE29" s="43"/>
      <c r="CF29" s="43"/>
      <c r="CG29" s="49">
        <f>IFERROR(VLOOKUP(C29,CC!A:D,4,0)," ")</f>
        <v>119</v>
      </c>
      <c r="CH29" s="22" t="str">
        <f>IFERROR(VLOOKUP(C29,'спецификация'!B:AA,19,0)," ")</f>
        <v>ООО ПКФ Две линии (Алтэя)</v>
      </c>
      <c r="CI29" s="22"/>
      <c r="CJ29" s="22" t="s">
        <v>310</v>
      </c>
      <c r="CK29" s="22" t="str">
        <f>IFERROR(VLOOKUP(C29,CC!K:M,3,0)," ")</f>
        <v/>
      </c>
      <c r="CL29" s="43"/>
      <c r="CM29" s="43"/>
      <c r="CN29" s="43"/>
      <c r="CO29" s="43"/>
      <c r="CP29" s="43"/>
      <c r="CQ29" s="43"/>
      <c r="CR29" s="43"/>
      <c r="CS29" s="43" t="b">
        <v>0</v>
      </c>
      <c r="CT29" s="43" t="b">
        <v>0</v>
      </c>
      <c r="CU29" s="43" t="b">
        <v>0</v>
      </c>
      <c r="CV29" s="43" t="b">
        <v>0</v>
      </c>
      <c r="CW29" s="43"/>
      <c r="CX29" s="43"/>
      <c r="CY29" s="43"/>
      <c r="CZ29" s="43"/>
      <c r="DA29" s="43"/>
      <c r="DB29" s="43"/>
      <c r="DC29" s="43"/>
      <c r="DD29" s="22">
        <f>IFERROR(VLOOKUP($C29,'Лист4'!$D:$AI,27,0)," ")</f>
        <v>5</v>
      </c>
      <c r="DE29" s="22">
        <f>IFERROR(VLOOKUP($C29,'Лист4'!$D:$AI,28,0)," ")</f>
        <v>14</v>
      </c>
      <c r="DF29" s="22">
        <f>IFERROR(VLOOKUP($C29,'Лист4'!$D:$AI,29,0)," ")</f>
        <v>5</v>
      </c>
      <c r="DG29" s="22">
        <f t="shared" si="3"/>
        <v>350</v>
      </c>
      <c r="DH29" s="22">
        <f>IFERROR(VLOOKUP($C29,'Лист4'!$D:$AI,32,0)," ")</f>
        <v>0.099</v>
      </c>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43"/>
      <c r="EN29" s="43"/>
      <c r="EO29" s="43"/>
      <c r="EP29" s="43"/>
      <c r="EQ29" s="43"/>
      <c r="ER29" s="43"/>
      <c r="ES29" s="43"/>
      <c r="ET29" s="43"/>
      <c r="EU29" s="43"/>
      <c r="EV29" s="43"/>
      <c r="EW29" s="43"/>
      <c r="EX29" s="43"/>
      <c r="EY29" s="43"/>
      <c r="EZ29" s="43"/>
      <c r="FA29" s="43"/>
      <c r="FB29" s="43"/>
      <c r="FC29" s="43"/>
    </row>
    <row r="30" ht="18.0" customHeight="1">
      <c r="A30" s="2"/>
      <c r="B30" s="22" t="str">
        <f>IFERROR(VLOOKUP(C30,'Реестр'!C:AC,27,0)," ")</f>
        <v>Биг-Л</v>
      </c>
      <c r="C30" s="43" t="s">
        <v>582</v>
      </c>
      <c r="D30" s="22" t="str">
        <f>IFERROR(VLOOKUP(C30,'Лист4'!D:P,13,0)," ")</f>
        <v>qeep</v>
      </c>
      <c r="E30" s="22" t="str">
        <f>IF(OR(ISERROR(VLOOKUP(C30,'Актуальность'!A:B,2,0)), VLOOKUP(C30,'Актуальность'!A:B,2,0)=""), "Актуальный", VLOOKUP(C30,'Актуальность'!A:B,2,0))</f>
        <v>Актуальный</v>
      </c>
      <c r="F30" s="43" t="str">
        <f>IFERROR(VLOOKUP(C30,'Актуальность'!A:C,3,0)," ")</f>
        <v/>
      </c>
      <c r="G30" s="43"/>
      <c r="H30" s="22" t="s">
        <v>286</v>
      </c>
      <c r="I30" s="22" t="s">
        <v>565</v>
      </c>
      <c r="J30" s="43"/>
      <c r="K30" s="43"/>
      <c r="L30" s="22" t="b">
        <f t="shared" ref="L30:R30" si="26">T30&lt;&gt;""</f>
        <v>1</v>
      </c>
      <c r="M30" s="22" t="b">
        <f t="shared" si="26"/>
        <v>1</v>
      </c>
      <c r="N30" s="22" t="b">
        <f t="shared" si="26"/>
        <v>1</v>
      </c>
      <c r="O30" s="22" t="b">
        <f t="shared" si="26"/>
        <v>1</v>
      </c>
      <c r="P30" s="22" t="b">
        <f t="shared" si="26"/>
        <v>0</v>
      </c>
      <c r="Q30" s="22" t="b">
        <f t="shared" si="26"/>
        <v>1</v>
      </c>
      <c r="R30" s="22" t="b">
        <f t="shared" si="26"/>
        <v>1</v>
      </c>
      <c r="S30" s="43"/>
      <c r="T30" s="43" t="str">
        <f>IFERROR(VLOOKUP( C30,'1С'!A:B,2,0)," ")</f>
        <v>QB101100520</v>
      </c>
      <c r="U30" s="22" t="str">
        <f>IFERROR(VLOOKUP(T30,'Лист4'!C:I,3,0)," ")</f>
        <v>qeep_retinolcream_50ml</v>
      </c>
      <c r="V30" s="22" t="str">
        <f>IFERROR(VLOOKUP(T30,'Лист4'!C:I,4,0)," ")</f>
        <v>qeep_retinolcream_50ml</v>
      </c>
      <c r="W30" s="22" t="str">
        <f>IFERROR(VLOOKUP(T30,'Лист4'!C:I,5,0)," ")</f>
        <v>qeep_retinolcream_50ml</v>
      </c>
      <c r="X30" s="43" t="str">
        <f>IFERROR(VLOOKUP(T30,'Лист4'!C:I,7,0)," ")</f>
        <v/>
      </c>
      <c r="Y30" s="43" t="str">
        <f>IFERROR(VLOOKUP(T30,'Лист4'!C:I,6,0)," ")</f>
        <v>qeep_retinolcream_50ml</v>
      </c>
      <c r="Z30" s="22" t="s">
        <v>582</v>
      </c>
      <c r="AA30" s="43"/>
      <c r="AB30" s="22">
        <v>5.49611709E8</v>
      </c>
      <c r="AC30" s="22">
        <v>2.921798266E9</v>
      </c>
      <c r="AD30" s="22">
        <v>4.695750936E9</v>
      </c>
      <c r="AE30" s="22"/>
      <c r="AF30" s="22" t="s">
        <v>585</v>
      </c>
      <c r="AG30" s="22" t="s">
        <v>586</v>
      </c>
      <c r="AH30" s="43"/>
      <c r="AI30" s="43" t="str">
        <f>IFERROR(VLOOKUP(T30,'1С'!B:C,2,0)," ")</f>
        <v>Крем для лица Retinol с ретинолом 0,5%</v>
      </c>
      <c r="AJ30" s="22" t="s">
        <v>587</v>
      </c>
      <c r="AK30" s="22" t="s">
        <v>587</v>
      </c>
      <c r="AL30" s="22" t="s">
        <v>588</v>
      </c>
      <c r="AM30" s="43"/>
      <c r="AN30" s="22" t="s">
        <v>587</v>
      </c>
      <c r="AO30" s="22" t="s">
        <v>587</v>
      </c>
      <c r="AP30" s="43"/>
      <c r="AQ30" s="46" t="s">
        <v>589</v>
      </c>
      <c r="AR30" s="46" t="s">
        <v>590</v>
      </c>
      <c r="AS30" s="46" t="s">
        <v>591</v>
      </c>
      <c r="AT30" s="43"/>
      <c r="AU30" s="46" t="s">
        <v>592</v>
      </c>
      <c r="AV30" s="46" t="s">
        <v>593</v>
      </c>
      <c r="AW30" s="43"/>
      <c r="AX30" s="22" t="s">
        <v>594</v>
      </c>
      <c r="AY30" s="22" t="s">
        <v>587</v>
      </c>
      <c r="AZ30" s="22" t="s">
        <v>595</v>
      </c>
      <c r="BA30" s="43"/>
      <c r="BB30" s="22" t="s">
        <v>596</v>
      </c>
      <c r="BC30" s="22" t="s">
        <v>597</v>
      </c>
      <c r="BD30" s="43"/>
      <c r="BE30" s="43"/>
      <c r="BF30" s="22">
        <f>IFERROR(VLOOKUP(C30,'спецификация'!B:D,3,0)," ")</f>
        <v>4660417421520</v>
      </c>
      <c r="BG30" s="22"/>
      <c r="BH30" s="22" t="s">
        <v>133</v>
      </c>
      <c r="BI30" s="46" t="s">
        <v>598</v>
      </c>
      <c r="BJ30" s="22" t="str">
        <f>IFERROR(VLOOKUP(C30,'спецификация'!B:AA,6,0)," ")</f>
        <v>без ЧЗ</v>
      </c>
      <c r="BK30" s="43"/>
      <c r="BL30" s="43"/>
      <c r="BM30" s="22" t="str">
        <f>IFERROR(VLOOKUP(BF30,'спецификация'!D:H,5,0)," ")</f>
        <v>Aqua, Isopropyl Palmitate, Acrylamide/Sodium Acrylate Copolymer, Niacinamide, Urea, Squalane, Helianthus, Annuus (Sunflower) Seed Oil, Mineral Oil, Cyclopentasiloxane,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v>
      </c>
      <c r="BN30" s="43"/>
      <c r="BO30" s="22" t="s">
        <v>600</v>
      </c>
      <c r="BP30" s="43" t="str">
        <f>IFERROR(VLOOKUP(C30,'спецификация'!B:AA,11,0)," ")</f>
        <v/>
      </c>
      <c r="BQ30" s="22" t="s">
        <v>601</v>
      </c>
      <c r="BR30" s="22">
        <v>50.0</v>
      </c>
      <c r="BS30" s="22" t="s">
        <v>139</v>
      </c>
      <c r="BT30" s="22"/>
      <c r="BU30" s="22"/>
      <c r="BV30" s="22" t="s">
        <v>332</v>
      </c>
      <c r="BW30" s="44" t="str">
        <f>IFERROR(VLOOKUP(C30,'спецификация'!B:AA,16,0)," ")</f>
        <v>https://docs.google.com/document/d/1ITo_sEFvRnQaUKCL19D-_sR4a_h15UPCo037S5gShLs/edit?tab=t.0</v>
      </c>
      <c r="BX30" s="43"/>
      <c r="BY30" s="43"/>
      <c r="BZ30" s="45" t="str">
        <f>IFERROR(VLOOKUP(BF30,'спецификация'!D:Y,22,0)," ")</f>
        <v/>
      </c>
      <c r="CA30" s="54">
        <v>46043.0</v>
      </c>
      <c r="CB30" s="46" t="s">
        <v>6648</v>
      </c>
      <c r="CC30" s="43"/>
      <c r="CD30" s="43"/>
      <c r="CE30" s="43"/>
      <c r="CF30" s="43"/>
      <c r="CG30" s="49">
        <f>IFERROR(VLOOKUP(C30,CC!A:D,4,0)," ")</f>
        <v>92.82</v>
      </c>
      <c r="CH30" s="22" t="str">
        <f>IFERROR(VLOOKUP(C30,'спецификация'!B:AA,19,0)," ")</f>
        <v>Восток-плюс</v>
      </c>
      <c r="CI30" s="22"/>
      <c r="CJ30" s="22" t="s">
        <v>605</v>
      </c>
      <c r="CK30" s="22">
        <f>IFERROR(VLOOKUP(C30,CC!K:M,3,0)," ")</f>
        <v>45</v>
      </c>
      <c r="CL30" s="43"/>
      <c r="CM30" s="43"/>
      <c r="CN30" s="43"/>
      <c r="CO30" s="43"/>
      <c r="CP30" s="43"/>
      <c r="CQ30" s="43"/>
      <c r="CR30" s="43"/>
      <c r="CS30" s="43" t="b">
        <v>0</v>
      </c>
      <c r="CT30" s="43" t="b">
        <v>0</v>
      </c>
      <c r="CU30" s="43" t="b">
        <v>0</v>
      </c>
      <c r="CV30" s="43" t="b">
        <v>0</v>
      </c>
      <c r="CW30" s="43"/>
      <c r="CX30" s="43"/>
      <c r="CY30" s="43"/>
      <c r="CZ30" s="43"/>
      <c r="DA30" s="43"/>
      <c r="DB30" s="43"/>
      <c r="DC30" s="43"/>
      <c r="DD30" s="22">
        <f>IFERROR(VLOOKUP($C30,'Лист4'!$D:$AI,27,0)," ")</f>
        <v>3</v>
      </c>
      <c r="DE30" s="22">
        <f>IFERROR(VLOOKUP($C30,'Лист4'!$D:$AI,28,0)," ")</f>
        <v>11</v>
      </c>
      <c r="DF30" s="22">
        <f>IFERROR(VLOOKUP($C30,'Лист4'!$D:$AI,29,0)," ")</f>
        <v>3</v>
      </c>
      <c r="DG30" s="22">
        <f t="shared" si="3"/>
        <v>99</v>
      </c>
      <c r="DH30" s="22">
        <f>IFERROR(VLOOKUP($C30,'Лист4'!$D:$AI,32,0)," ")</f>
        <v>0.064</v>
      </c>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43"/>
      <c r="EN30" s="43"/>
      <c r="EO30" s="43"/>
      <c r="EP30" s="43"/>
      <c r="EQ30" s="43"/>
      <c r="ER30" s="43"/>
      <c r="ES30" s="43"/>
      <c r="ET30" s="43"/>
      <c r="EU30" s="43"/>
      <c r="EV30" s="43"/>
      <c r="EW30" s="43"/>
      <c r="EX30" s="43"/>
      <c r="EY30" s="43"/>
      <c r="EZ30" s="43"/>
      <c r="FA30" s="43"/>
      <c r="FB30" s="43"/>
      <c r="FC30" s="43"/>
    </row>
    <row r="31" ht="18.0" customHeight="1">
      <c r="A31" s="2"/>
      <c r="B31" s="22" t="str">
        <f>IFERROR(VLOOKUP(C31,'Реестр'!C:AC,27,0)," ")</f>
        <v>Биг-Л</v>
      </c>
      <c r="C31" s="43" t="s">
        <v>606</v>
      </c>
      <c r="D31" s="22" t="str">
        <f>IFERROR(VLOOKUP(C31,'Лист4'!D:P,13,0)," ")</f>
        <v>qeep</v>
      </c>
      <c r="E31" s="22" t="str">
        <f>IF(OR(ISERROR(VLOOKUP(C31,'Актуальность'!A:B,2,0)), VLOOKUP(C31,'Актуальность'!A:B,2,0)=""), "Актуальный", VLOOKUP(C31,'Актуальность'!A:B,2,0))</f>
        <v>Актуальный</v>
      </c>
      <c r="F31" s="43" t="str">
        <f>IFERROR(VLOOKUP(C31,'Актуальность'!A:C,3,0)," ")</f>
        <v/>
      </c>
      <c r="G31" s="43"/>
      <c r="H31" s="22" t="s">
        <v>361</v>
      </c>
      <c r="I31" s="22" t="s">
        <v>476</v>
      </c>
      <c r="J31" s="43"/>
      <c r="K31" s="43"/>
      <c r="L31" s="22" t="b">
        <f t="shared" ref="L31:R31" si="27">T31&lt;&gt;""</f>
        <v>1</v>
      </c>
      <c r="M31" s="22" t="b">
        <f t="shared" si="27"/>
        <v>1</v>
      </c>
      <c r="N31" s="22" t="b">
        <f t="shared" si="27"/>
        <v>1</v>
      </c>
      <c r="O31" s="22" t="b">
        <f t="shared" si="27"/>
        <v>1</v>
      </c>
      <c r="P31" s="22" t="b">
        <f t="shared" si="27"/>
        <v>0</v>
      </c>
      <c r="Q31" s="22" t="b">
        <f t="shared" si="27"/>
        <v>0</v>
      </c>
      <c r="R31" s="22" t="b">
        <f t="shared" si="27"/>
        <v>0</v>
      </c>
      <c r="S31" s="43"/>
      <c r="T31" s="43" t="str">
        <f>IFERROR(VLOOKUP( C31,'1С'!A:B,2,0)," ")</f>
        <v>QB101100521</v>
      </c>
      <c r="U31" s="22" t="str">
        <f>IFERROR(VLOOKUP(T31,'Лист4'!C:I,3,0)," ")</f>
        <v>qeep_inositol1500mg_60caps</v>
      </c>
      <c r="V31" s="22" t="str">
        <f>IFERROR(VLOOKUP(T31,'Лист4'!C:I,4,0)," ")</f>
        <v>qeep_inositol1500mg_60caps</v>
      </c>
      <c r="W31" s="22" t="str">
        <f>IFERROR(VLOOKUP(T31,'Лист4'!C:I,5,0)," ")</f>
        <v>qeep_inositol1500mg_60caps</v>
      </c>
      <c r="X31" s="43" t="str">
        <f>IFERROR(VLOOKUP(T31,'Лист4'!C:I,7,0)," ")</f>
        <v/>
      </c>
      <c r="Y31" s="43" t="str">
        <f>IFERROR(VLOOKUP(T31,'Лист4'!C:I,6,0)," ")</f>
        <v/>
      </c>
      <c r="Z31" s="43"/>
      <c r="AA31" s="43"/>
      <c r="AB31" s="22">
        <v>5.59173569E8</v>
      </c>
      <c r="AC31" s="22">
        <v>2.946850815E9</v>
      </c>
      <c r="AD31" s="22">
        <v>4.737110307E9</v>
      </c>
      <c r="AE31" s="22"/>
      <c r="AF31" s="22"/>
      <c r="AG31" s="43"/>
      <c r="AH31" s="43"/>
      <c r="AI31" s="43" t="str">
        <f>IFERROR(VLOOKUP(T31,'1С'!B:C,2,0)," ")</f>
        <v>БАД Инозитол 1500 мг</v>
      </c>
      <c r="AJ31" s="22" t="s">
        <v>609</v>
      </c>
      <c r="AK31" s="22" t="s">
        <v>610</v>
      </c>
      <c r="AL31" s="22" t="s">
        <v>611</v>
      </c>
      <c r="AM31" s="43"/>
      <c r="AN31" s="43"/>
      <c r="AO31" s="43"/>
      <c r="AP31" s="43"/>
      <c r="AQ31" s="46" t="s">
        <v>612</v>
      </c>
      <c r="AR31" s="46" t="s">
        <v>613</v>
      </c>
      <c r="AS31" s="46" t="s">
        <v>614</v>
      </c>
      <c r="AT31" s="43"/>
      <c r="AU31" s="43"/>
      <c r="AV31" s="43"/>
      <c r="AW31" s="43"/>
      <c r="AX31" s="22" t="s">
        <v>361</v>
      </c>
      <c r="AY31" s="22" t="s">
        <v>610</v>
      </c>
      <c r="AZ31" s="22" t="s">
        <v>372</v>
      </c>
      <c r="BA31" s="43"/>
      <c r="BB31" s="43"/>
      <c r="BC31" s="43"/>
      <c r="BD31" s="43"/>
      <c r="BE31" s="43"/>
      <c r="BF31" s="22">
        <f>IFERROR(VLOOKUP(C31,'спецификация'!B:D,3,0)," ")</f>
        <v>4630263906380</v>
      </c>
      <c r="BG31" s="22"/>
      <c r="BH31" s="22" t="str">
        <f>IFERROR(VLOOKUP(C31,'спецификация'!B:AA,5,0)," ")</f>
        <v>AM.01.11.01.003.R.000430.07.24 от 26.07.2024</v>
      </c>
      <c r="BI31" s="46" t="s">
        <v>616</v>
      </c>
      <c r="BJ31" s="22" t="str">
        <f>IFERROR(VLOOKUP(C31,'спецификация'!B:AA,6,0)," ")</f>
        <v>ЧЗ</v>
      </c>
      <c r="BK31" s="43"/>
      <c r="BL31" s="43"/>
      <c r="BM31" s="22" t="str">
        <f>IFERROR(VLOOKUP(BF31,'спецификация'!D:H,5,0)," ")</f>
        <v>инозитол, оболочка капсулы (желатин), агент антислеживающий магниевая соль стеариновой кислоты, агент антислеживающий кремния диоксид, фолиевая кислота (витамин В9).</v>
      </c>
      <c r="BN31" s="43"/>
      <c r="BO31" s="22" t="s">
        <v>618</v>
      </c>
      <c r="BP31" s="22" t="s">
        <v>619</v>
      </c>
      <c r="BQ31" s="22" t="s">
        <v>620</v>
      </c>
      <c r="BR31" s="22">
        <v>60.0</v>
      </c>
      <c r="BS31" s="22" t="s">
        <v>621</v>
      </c>
      <c r="BT31" s="22"/>
      <c r="BU31" s="22"/>
      <c r="BV31" s="22" t="s">
        <v>307</v>
      </c>
      <c r="BW31" s="44" t="str">
        <f>IFERROR(VLOOKUP(C31,'спецификация'!B:AA,16,0)," ")</f>
        <v>https://docs.google.com/document/d/1Nqifi53A5eDt5AMOmmlHJBPbM8QPakcsGrHCvS6La7g/edit?tab=t.0</v>
      </c>
      <c r="BX31" s="43"/>
      <c r="BY31" s="43"/>
      <c r="BZ31" s="45" t="str">
        <f>IFERROR(VLOOKUP(BF31,'спецификация'!D:Y,22,0)," ")</f>
        <v/>
      </c>
      <c r="CA31" s="54">
        <v>46043.0</v>
      </c>
      <c r="CB31" s="46" t="s">
        <v>623</v>
      </c>
      <c r="CC31" s="43"/>
      <c r="CD31" s="43"/>
      <c r="CE31" s="43"/>
      <c r="CF31" s="43"/>
      <c r="CG31" s="49">
        <f>IFERROR(VLOOKUP(C31,CC!A:D,4,0)," ")</f>
        <v>199</v>
      </c>
      <c r="CH31" s="22" t="str">
        <f>IFERROR(VLOOKUP(C31,'спецификация'!B:AA,19,0)," ")</f>
        <v>ООО "ЮНИЭКО"</v>
      </c>
      <c r="CI31" s="22"/>
      <c r="CJ31" s="22" t="s">
        <v>625</v>
      </c>
      <c r="CK31" s="22" t="str">
        <f>IFERROR(VLOOKUP(C31,CC!K:M,3,0)," ")</f>
        <v/>
      </c>
      <c r="CL31" s="43"/>
      <c r="CM31" s="43"/>
      <c r="CN31" s="43"/>
      <c r="CO31" s="43"/>
      <c r="CP31" s="43"/>
      <c r="CQ31" s="43"/>
      <c r="CR31" s="43"/>
      <c r="CS31" s="43" t="b">
        <v>0</v>
      </c>
      <c r="CT31" s="43" t="b">
        <v>0</v>
      </c>
      <c r="CU31" s="43" t="b">
        <v>0</v>
      </c>
      <c r="CV31" s="43" t="b">
        <v>0</v>
      </c>
      <c r="CW31" s="43"/>
      <c r="CX31" s="43"/>
      <c r="CY31" s="43"/>
      <c r="CZ31" s="43"/>
      <c r="DA31" s="43"/>
      <c r="DB31" s="43"/>
      <c r="DC31" s="43"/>
      <c r="DD31" s="22">
        <f>IFERROR(VLOOKUP($C31,'Лист4'!$D:$AI,27,0)," ")</f>
        <v>5</v>
      </c>
      <c r="DE31" s="22">
        <f>IFERROR(VLOOKUP($C31,'Лист4'!$D:$AI,28,0)," ")</f>
        <v>11</v>
      </c>
      <c r="DF31" s="22">
        <f>IFERROR(VLOOKUP($C31,'Лист4'!$D:$AI,29,0)," ")</f>
        <v>5</v>
      </c>
      <c r="DG31" s="22">
        <f t="shared" si="3"/>
        <v>275</v>
      </c>
      <c r="DH31" s="22">
        <f>IFERROR(VLOOKUP($C31,'Лист4'!$D:$AI,32,0)," ")</f>
        <v>0.82</v>
      </c>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43"/>
      <c r="EN31" s="43"/>
      <c r="EO31" s="43"/>
      <c r="EP31" s="43"/>
      <c r="EQ31" s="43"/>
      <c r="ER31" s="43"/>
      <c r="ES31" s="43"/>
      <c r="ET31" s="43"/>
      <c r="EU31" s="43"/>
      <c r="EV31" s="43"/>
      <c r="EW31" s="43"/>
      <c r="EX31" s="43"/>
      <c r="EY31" s="43"/>
      <c r="EZ31" s="43"/>
      <c r="FA31" s="43"/>
      <c r="FB31" s="43"/>
      <c r="FC31" s="43"/>
    </row>
    <row r="32" ht="18.0" customHeight="1">
      <c r="A32" s="2"/>
      <c r="B32" s="22" t="str">
        <f>IFERROR(VLOOKUP(C32,'Реестр'!C:AC,27,0)," ")</f>
        <v>Биг-Л</v>
      </c>
      <c r="C32" s="43" t="s">
        <v>626</v>
      </c>
      <c r="D32" s="22" t="str">
        <f>IFERROR(VLOOKUP(C32,'Лист4'!D:P,13,0)," ")</f>
        <v>Harly</v>
      </c>
      <c r="E32" s="22" t="str">
        <f>IF(OR(ISERROR(VLOOKUP(C32,'Актуальность'!A:B,2,0)), VLOOKUP(C32,'Актуальность'!A:B,2,0)=""), "Актуальный", VLOOKUP(C32,'Актуальность'!A:B,2,0))</f>
        <v>Актуальный</v>
      </c>
      <c r="F32" s="43" t="str">
        <f>IFERROR(VLOOKUP(C32,'Актуальность'!A:C,3,0)," ")</f>
        <v/>
      </c>
      <c r="G32" s="43"/>
      <c r="H32" s="22" t="s">
        <v>443</v>
      </c>
      <c r="I32" s="22" t="s">
        <v>444</v>
      </c>
      <c r="J32" s="43"/>
      <c r="K32" s="43"/>
      <c r="L32" s="22" t="b">
        <f t="shared" ref="L32:R32" si="28">T32&lt;&gt;""</f>
        <v>1</v>
      </c>
      <c r="M32" s="22" t="b">
        <f t="shared" si="28"/>
        <v>1</v>
      </c>
      <c r="N32" s="22" t="b">
        <f t="shared" si="28"/>
        <v>1</v>
      </c>
      <c r="O32" s="22" t="b">
        <f t="shared" si="28"/>
        <v>1</v>
      </c>
      <c r="P32" s="22" t="b">
        <f t="shared" si="28"/>
        <v>1</v>
      </c>
      <c r="Q32" s="22" t="b">
        <f t="shared" si="28"/>
        <v>1</v>
      </c>
      <c r="R32" s="22" t="b">
        <f t="shared" si="28"/>
        <v>0</v>
      </c>
      <c r="S32" s="43"/>
      <c r="T32" s="43" t="str">
        <f>IFERROR(VLOOKUP( C32,'1С'!A:B,2,0)," ")</f>
        <v>HC101100411</v>
      </c>
      <c r="U32" s="43" t="s">
        <v>626</v>
      </c>
      <c r="V32" s="43" t="s">
        <v>626</v>
      </c>
      <c r="W32" s="43" t="s">
        <v>626</v>
      </c>
      <c r="X32" s="43" t="str">
        <f>IFERROR(VLOOKUP(T32,'Лист4'!C:I,7,0)," ")</f>
        <v> </v>
      </c>
      <c r="Y32" s="43" t="str">
        <f>IFERROR(VLOOKUP(T32,'Лист4'!C:I,6,0)," ")</f>
        <v> </v>
      </c>
      <c r="Z32" s="43"/>
      <c r="AA32" s="43"/>
      <c r="AB32" s="22">
        <v>5.5922502E8</v>
      </c>
      <c r="AC32" s="22">
        <v>1.503121227E9</v>
      </c>
      <c r="AD32" s="22">
        <v>4.7283264E9</v>
      </c>
      <c r="AE32" s="22"/>
      <c r="AF32" s="22"/>
      <c r="AG32" s="43"/>
      <c r="AH32" s="43"/>
      <c r="AI32" s="43" t="str">
        <f>IFERROR(VLOOKUP(T32,'1С'!B:C,2,0)," ")</f>
        <v>Воск для лап для собак и кошек 50 мл</v>
      </c>
      <c r="AJ32" s="22" t="s">
        <v>463</v>
      </c>
      <c r="AK32" s="22" t="s">
        <v>629</v>
      </c>
      <c r="AL32" s="22" t="s">
        <v>630</v>
      </c>
      <c r="AM32" s="43"/>
      <c r="AN32" s="43"/>
      <c r="AO32" s="43"/>
      <c r="AP32" s="43"/>
      <c r="AQ32" s="46" t="s">
        <v>631</v>
      </c>
      <c r="AR32" s="46" t="s">
        <v>632</v>
      </c>
      <c r="AS32" s="46" t="s">
        <v>633</v>
      </c>
      <c r="AT32" s="43"/>
      <c r="AU32" s="43"/>
      <c r="AV32" s="43"/>
      <c r="AW32" s="43"/>
      <c r="AX32" s="22" t="s">
        <v>634</v>
      </c>
      <c r="AY32" s="22" t="s">
        <v>629</v>
      </c>
      <c r="AZ32" s="22" t="s">
        <v>635</v>
      </c>
      <c r="BA32" s="43"/>
      <c r="BB32" s="43"/>
      <c r="BC32" s="43"/>
      <c r="BD32" s="43"/>
      <c r="BE32" s="43"/>
      <c r="BF32" s="22" t="str">
        <f>IFERROR(VLOOKUP(C32,'спецификация'!B:D,3,0)," ")</f>
        <v>4670207150202; 4657786831487</v>
      </c>
      <c r="BG32" s="22"/>
      <c r="BH32" s="22" t="s">
        <v>133</v>
      </c>
      <c r="BI32" s="46" t="s">
        <v>637</v>
      </c>
      <c r="BJ32" s="22" t="str">
        <f>IFERROR(VLOOKUP(C32,'спецификация'!B:AA,6,0)," ")</f>
        <v>без ЧЗ</v>
      </c>
      <c r="BK32" s="43"/>
      <c r="BL32" s="43"/>
      <c r="BM32" s="22" t="str">
        <f>IFERROR(VLOOKUP(BF32,'спецификация'!D:H,5,0)," ")</f>
        <v>то же самое, что и 30 мл</v>
      </c>
      <c r="BN32" s="43"/>
      <c r="BO32" s="22" t="s">
        <v>469</v>
      </c>
      <c r="BP32" s="43" t="str">
        <f>IFERROR(VLOOKUP(C32,'спецификация'!B:AA,11,0)," ")</f>
        <v/>
      </c>
      <c r="BQ32" s="22" t="s">
        <v>470</v>
      </c>
      <c r="BR32" s="22">
        <v>50.0</v>
      </c>
      <c r="BS32" s="22" t="s">
        <v>139</v>
      </c>
      <c r="BT32" s="22"/>
      <c r="BU32" s="22"/>
      <c r="BV32" s="22" t="s">
        <v>307</v>
      </c>
      <c r="BW32" s="45" t="str">
        <f>IFERROR(VLOOKUP(C32,'спецификация'!B:AA,16,0)," ")</f>
        <v>то же самое, что и 30 мл</v>
      </c>
      <c r="BX32" s="43"/>
      <c r="BY32" s="43"/>
      <c r="BZ32" s="45" t="str">
        <f>IFERROR(VLOOKUP(BF32,'спецификация'!D:Y,22,0)," ")</f>
        <v/>
      </c>
      <c r="CA32" s="43"/>
      <c r="CB32" s="43"/>
      <c r="CC32" s="43"/>
      <c r="CD32" s="43"/>
      <c r="CE32" s="43"/>
      <c r="CF32" s="43"/>
      <c r="CG32" s="49">
        <f>IFERROR(VLOOKUP(C32,CC!A:D,4,0)," ")</f>
        <v>185.4</v>
      </c>
      <c r="CH32" s="22" t="str">
        <f>IFERROR(VLOOKUP(C32,'спецификация'!B:AA,19,0)," ")</f>
        <v>ООО «М9 Фарм» 445043, Самарская обл, Тольятти г, Южное шоссе, влд. 14 стр.3, помещение 31, 32.</v>
      </c>
      <c r="CI32" s="22"/>
      <c r="CJ32" s="43"/>
      <c r="CK32" s="22" t="str">
        <f>IFERROR(VLOOKUP(C32,CC!K:M,3,0)," ")</f>
        <v/>
      </c>
      <c r="CL32" s="43"/>
      <c r="CM32" s="43"/>
      <c r="CN32" s="43"/>
      <c r="CO32" s="43"/>
      <c r="CP32" s="43"/>
      <c r="CQ32" s="43"/>
      <c r="CR32" s="43"/>
      <c r="CS32" s="43" t="b">
        <v>0</v>
      </c>
      <c r="CT32" s="43" t="b">
        <v>0</v>
      </c>
      <c r="CU32" s="43" t="b">
        <v>0</v>
      </c>
      <c r="CV32" s="43" t="b">
        <v>0</v>
      </c>
      <c r="CW32" s="43"/>
      <c r="CX32" s="43"/>
      <c r="CY32" s="43"/>
      <c r="CZ32" s="43"/>
      <c r="DA32" s="43"/>
      <c r="DB32" s="43"/>
      <c r="DC32" s="43"/>
      <c r="DD32" s="22">
        <f>IFERROR(VLOOKUP($C32,'Лист4'!$D:$AI,27,0)," ")</f>
        <v>5</v>
      </c>
      <c r="DE32" s="22">
        <f>IFERROR(VLOOKUP($C32,'Лист4'!$D:$AI,28,0)," ")</f>
        <v>11</v>
      </c>
      <c r="DF32" s="22">
        <f>IFERROR(VLOOKUP($C32,'Лист4'!$D:$AI,29,0)," ")</f>
        <v>5</v>
      </c>
      <c r="DG32" s="22">
        <f t="shared" si="3"/>
        <v>275</v>
      </c>
      <c r="DH32" s="22">
        <f>IFERROR(VLOOKUP($C32,'Лист4'!$D:$AI,32,0)," ")</f>
        <v>0.081</v>
      </c>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43"/>
      <c r="EN32" s="43"/>
      <c r="EO32" s="43"/>
      <c r="EP32" s="43"/>
      <c r="EQ32" s="43"/>
      <c r="ER32" s="43"/>
      <c r="ES32" s="43"/>
      <c r="ET32" s="43"/>
      <c r="EU32" s="43"/>
      <c r="EV32" s="43"/>
      <c r="EW32" s="43"/>
      <c r="EX32" s="43"/>
      <c r="EY32" s="43"/>
      <c r="EZ32" s="43"/>
      <c r="FA32" s="43"/>
      <c r="FB32" s="43"/>
      <c r="FC32" s="43"/>
    </row>
    <row r="33" ht="18.0" customHeight="1">
      <c r="A33" s="2"/>
      <c r="B33" s="22" t="str">
        <f>IFERROR(VLOOKUP(C33,'Реестр'!C:AC,27,0)," ")</f>
        <v>Биг-Л</v>
      </c>
      <c r="C33" s="43" t="s">
        <v>639</v>
      </c>
      <c r="D33" s="22" t="str">
        <f>IFERROR(VLOOKUP(C33,'Лист4'!D:P,13,0)," ")</f>
        <v>qeep</v>
      </c>
      <c r="E33" s="22" t="str">
        <f>IF(OR(ISERROR(VLOOKUP(C33,'Актуальность'!A:B,2,0)), VLOOKUP(C33,'Актуальность'!A:B,2,0)=""), "Актуальный", VLOOKUP(C33,'Актуальность'!A:B,2,0))</f>
        <v>Актуальный</v>
      </c>
      <c r="F33" s="43" t="str">
        <f>IFERROR(VLOOKUP(C33,'Актуальность'!A:C,3,0)," ")</f>
        <v>КЗ Внешка</v>
      </c>
      <c r="G33" s="43"/>
      <c r="H33" s="22" t="s">
        <v>361</v>
      </c>
      <c r="I33" s="22" t="s">
        <v>641</v>
      </c>
      <c r="J33" s="43"/>
      <c r="K33" s="43"/>
      <c r="L33" s="22" t="b">
        <f t="shared" ref="L33:R33" si="29">T33&lt;&gt;""</f>
        <v>1</v>
      </c>
      <c r="M33" s="22" t="b">
        <f t="shared" si="29"/>
        <v>1</v>
      </c>
      <c r="N33" s="22" t="b">
        <f t="shared" si="29"/>
        <v>1</v>
      </c>
      <c r="O33" s="22" t="b">
        <f t="shared" si="29"/>
        <v>1</v>
      </c>
      <c r="P33" s="22" t="b">
        <f t="shared" si="29"/>
        <v>0</v>
      </c>
      <c r="Q33" s="22" t="b">
        <f t="shared" si="29"/>
        <v>0</v>
      </c>
      <c r="R33" s="22" t="b">
        <f t="shared" si="29"/>
        <v>0</v>
      </c>
      <c r="S33" s="43"/>
      <c r="T33" s="43" t="str">
        <f>IFERROR(VLOOKUP( C33,'1С'!A:B,2,0)," ")</f>
        <v>QB101100523</v>
      </c>
      <c r="U33" s="22" t="str">
        <f>IFERROR(VLOOKUP(T33,'Лист4'!C:I,3,0)," ")</f>
        <v>qeep_probioticdetox_60caps</v>
      </c>
      <c r="V33" s="22" t="str">
        <f>IFERROR(VLOOKUP(T33,'Лист4'!C:I,4,0)," ")</f>
        <v>qeep_probioticdetox_60caps</v>
      </c>
      <c r="W33" s="22" t="str">
        <f>IFERROR(VLOOKUP(T33,'Лист4'!C:I,5,0)," ")</f>
        <v>qeep_probioticdetox_60caps</v>
      </c>
      <c r="X33" s="43" t="str">
        <f>IFERROR(VLOOKUP(T33,'Лист4'!C:I,7,0)," ")</f>
        <v/>
      </c>
      <c r="Y33" s="43" t="str">
        <f>IFERROR(VLOOKUP(T33,'Лист4'!C:I,6,0)," ")</f>
        <v/>
      </c>
      <c r="Z33" s="43"/>
      <c r="AA33" s="43"/>
      <c r="AB33" s="22">
        <v>5.6866731E8</v>
      </c>
      <c r="AC33" s="22">
        <v>3.010994519E9</v>
      </c>
      <c r="AD33" s="22">
        <v>4.737198096E9</v>
      </c>
      <c r="AE33" s="22"/>
      <c r="AF33" s="22"/>
      <c r="AG33" s="43"/>
      <c r="AH33" s="43"/>
      <c r="AI33" s="43" t="str">
        <f>IFERROR(VLOOKUP(T33,'1С'!B:C,2,0)," ")</f>
        <v>БАД Пробиотик детокс</v>
      </c>
      <c r="AJ33" s="22" t="s">
        <v>643</v>
      </c>
      <c r="AK33" s="22" t="s">
        <v>644</v>
      </c>
      <c r="AL33" s="22" t="s">
        <v>645</v>
      </c>
      <c r="AM33" s="43"/>
      <c r="AN33" s="43"/>
      <c r="AO33" s="43"/>
      <c r="AP33" s="43"/>
      <c r="AQ33" s="46" t="s">
        <v>646</v>
      </c>
      <c r="AR33" s="46" t="s">
        <v>647</v>
      </c>
      <c r="AS33" s="46" t="s">
        <v>648</v>
      </c>
      <c r="AT33" s="43"/>
      <c r="AU33" s="43"/>
      <c r="AV33" s="43"/>
      <c r="AW33" s="43"/>
      <c r="AX33" s="22" t="s">
        <v>649</v>
      </c>
      <c r="AY33" s="22" t="s">
        <v>644</v>
      </c>
      <c r="AZ33" s="22" t="s">
        <v>372</v>
      </c>
      <c r="BA33" s="43"/>
      <c r="BB33" s="43"/>
      <c r="BC33" s="43"/>
      <c r="BD33" s="43"/>
      <c r="BE33" s="43"/>
      <c r="BF33" s="22">
        <f>IFERROR(VLOOKUP(C33,'спецификация'!B:D,3,0)," ")</f>
        <v>4657796830517</v>
      </c>
      <c r="BG33" s="22">
        <v>2.106909808E9</v>
      </c>
      <c r="BH33" s="22" t="s">
        <v>133</v>
      </c>
      <c r="BI33" s="46" t="s">
        <v>650</v>
      </c>
      <c r="BJ33" s="22" t="str">
        <f>IFERROR(VLOOKUP(C33,'спецификация'!B:AA,6,0)," ")</f>
        <v>без ЧЗ</v>
      </c>
      <c r="BK33" s="43"/>
      <c r="BL33" s="43"/>
      <c r="BM33" s="22" t="str">
        <f>IFERROR(VLOOKUP(BF33,'спецификация'!D:H,5,0)," ")</f>
        <v>Lactobacillus acidophilus, Bifidobacterium lactis, Lactobacillus rhamnosus, Lactobacillus plantarum, Bifidobacterium longum, Bifidobacterium breve, Lactobacillus casei, Lactobacillus salivarius, стеарат магния и диоксид кремния (антислеживающие агенты), целлюлоза микрокристаллическая (носитель), гидроксипропилметилцеллюлоза (оболочка).</v>
      </c>
      <c r="BN33" s="43"/>
      <c r="BO33" s="22" t="s">
        <v>652</v>
      </c>
      <c r="BP33" s="22" t="s">
        <v>653</v>
      </c>
      <c r="BQ33" s="22" t="s">
        <v>654</v>
      </c>
      <c r="BR33" s="22">
        <v>60.0</v>
      </c>
      <c r="BS33" s="22" t="s">
        <v>621</v>
      </c>
      <c r="BT33" s="22"/>
      <c r="BU33" s="22"/>
      <c r="BV33" s="22" t="s">
        <v>307</v>
      </c>
      <c r="BW33" s="44" t="str">
        <f>IFERROR(VLOOKUP(C33,'спецификация'!B:AA,16,0)," ")</f>
        <v>https://docs.google.com/document/d/1D18PC_n37C59tahp-aWwfDTYcMsxYgE6ImIIoDSCzHI/edit?tab=t.0</v>
      </c>
      <c r="BX33" s="43"/>
      <c r="BY33" s="43"/>
      <c r="BZ33" s="45" t="str">
        <f>IFERROR(VLOOKUP(BF33,'спецификация'!D:Y,22,0)," ")</f>
        <v/>
      </c>
      <c r="CA33" s="43"/>
      <c r="CB33" s="43"/>
      <c r="CC33" s="43"/>
      <c r="CD33" s="43"/>
      <c r="CE33" s="43"/>
      <c r="CF33" s="43"/>
      <c r="CG33" s="49">
        <f>IFERROR(VLOOKUP(C33,CC!A:D,4,0)," ")</f>
        <v>147.33</v>
      </c>
      <c r="CH33" s="22" t="str">
        <f>IFERROR(VLOOKUP(C33,'спецификация'!B:AA,19,0)," ")</f>
        <v>НПК Биосинергия</v>
      </c>
      <c r="CI33" s="22"/>
      <c r="CJ33" s="22" t="s">
        <v>658</v>
      </c>
      <c r="CK33" s="22" t="str">
        <f>IFERROR(VLOOKUP(C33,CC!K:M,3,0)," ")</f>
        <v/>
      </c>
      <c r="CL33" s="43"/>
      <c r="CM33" s="43"/>
      <c r="CN33" s="43"/>
      <c r="CO33" s="43"/>
      <c r="CP33" s="43"/>
      <c r="CQ33" s="43"/>
      <c r="CR33" s="43"/>
      <c r="CS33" s="43" t="b">
        <v>0</v>
      </c>
      <c r="CT33" s="43" t="b">
        <v>0</v>
      </c>
      <c r="CU33" s="43" t="b">
        <v>0</v>
      </c>
      <c r="CV33" s="43" t="b">
        <v>0</v>
      </c>
      <c r="CW33" s="43"/>
      <c r="CX33" s="43"/>
      <c r="CY33" s="43"/>
      <c r="CZ33" s="43"/>
      <c r="DA33" s="43"/>
      <c r="DB33" s="43"/>
      <c r="DC33" s="43"/>
      <c r="DD33" s="22">
        <f>IFERROR(VLOOKUP($C33,'Лист4'!$D:$AI,27,0)," ")</f>
        <v>5</v>
      </c>
      <c r="DE33" s="22">
        <f>IFERROR(VLOOKUP($C33,'Лист4'!$D:$AI,28,0)," ")</f>
        <v>5</v>
      </c>
      <c r="DF33" s="22">
        <f>IFERROR(VLOOKUP($C33,'Лист4'!$D:$AI,29,0)," ")</f>
        <v>5</v>
      </c>
      <c r="DG33" s="22">
        <f t="shared" si="3"/>
        <v>125</v>
      </c>
      <c r="DH33" s="22">
        <f>IFERROR(VLOOKUP($C33,'Лист4'!$D:$AI,32,0)," ")</f>
        <v>0.05</v>
      </c>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43"/>
      <c r="EN33" s="43"/>
      <c r="EO33" s="43"/>
      <c r="EP33" s="43"/>
      <c r="EQ33" s="43"/>
      <c r="ER33" s="43"/>
      <c r="ES33" s="43"/>
      <c r="ET33" s="43"/>
      <c r="EU33" s="43"/>
      <c r="EV33" s="43"/>
      <c r="EW33" s="43"/>
      <c r="EX33" s="43"/>
      <c r="EY33" s="43"/>
      <c r="EZ33" s="43"/>
      <c r="FA33" s="43"/>
      <c r="FB33" s="43"/>
      <c r="FC33" s="43"/>
    </row>
    <row r="34" ht="18.0" customHeight="1">
      <c r="A34" s="2"/>
      <c r="B34" s="22" t="str">
        <f>IFERROR(VLOOKUP(C34,'Реестр'!C:AC,27,0)," ")</f>
        <v>Биг-Л</v>
      </c>
      <c r="C34" s="43" t="s">
        <v>659</v>
      </c>
      <c r="D34" s="22" t="str">
        <f>IFERROR(VLOOKUP(C34,'Лист4'!D:P,13,0)," ")</f>
        <v>qeep</v>
      </c>
      <c r="E34" s="22" t="str">
        <f>IF(OR(ISERROR(VLOOKUP(C34,'Актуальность'!A:B,2,0)), VLOOKUP(C34,'Актуальность'!A:B,2,0)=""), "Актуальный", VLOOKUP(C34,'Актуальность'!A:B,2,0))</f>
        <v>Актуальный</v>
      </c>
      <c r="F34" s="43" t="str">
        <f>IFERROR(VLOOKUP(C34,'Актуальность'!A:C,3,0)," ")</f>
        <v>Цена ВБ</v>
      </c>
      <c r="G34" s="43"/>
      <c r="H34" s="22" t="s">
        <v>361</v>
      </c>
      <c r="I34" s="22" t="s">
        <v>662</v>
      </c>
      <c r="J34" s="43"/>
      <c r="K34" s="43"/>
      <c r="L34" s="22" t="b">
        <f t="shared" ref="L34:R34" si="30">T34&lt;&gt;""</f>
        <v>1</v>
      </c>
      <c r="M34" s="22" t="b">
        <f t="shared" si="30"/>
        <v>1</v>
      </c>
      <c r="N34" s="22" t="b">
        <f t="shared" si="30"/>
        <v>1</v>
      </c>
      <c r="O34" s="22" t="b">
        <f t="shared" si="30"/>
        <v>1</v>
      </c>
      <c r="P34" s="22" t="b">
        <f t="shared" si="30"/>
        <v>0</v>
      </c>
      <c r="Q34" s="22" t="b">
        <f t="shared" si="30"/>
        <v>0</v>
      </c>
      <c r="R34" s="22" t="b">
        <f t="shared" si="30"/>
        <v>0</v>
      </c>
      <c r="S34" s="43"/>
      <c r="T34" s="43" t="str">
        <f>IFERROR(VLOOKUP( C34,'1С'!A:B,2,0)," ")</f>
        <v>QB101100524</v>
      </c>
      <c r="U34" s="22" t="str">
        <f>IFERROR(VLOOKUP(T34,'Лист4'!C:I,3,0)," ")</f>
        <v>qeep_zma_120caps_v2</v>
      </c>
      <c r="V34" s="22" t="str">
        <f>IFERROR(VLOOKUP(T34,'Лист4'!C:I,4,0)," ")</f>
        <v>qeep_zma_120caps_v2</v>
      </c>
      <c r="W34" s="22" t="str">
        <f>IFERROR(VLOOKUP(T34,'Лист4'!C:I,5,0)," ")</f>
        <v>qeep_zma_120caps_v2</v>
      </c>
      <c r="X34" s="43" t="str">
        <f>IFERROR(VLOOKUP(T34,'Лист4'!C:I,7,0)," ")</f>
        <v/>
      </c>
      <c r="Y34" s="43" t="str">
        <f>IFERROR(VLOOKUP(T34,'Лист4'!C:I,6,0)," ")</f>
        <v/>
      </c>
      <c r="Z34" s="43"/>
      <c r="AA34" s="43"/>
      <c r="AB34" s="22">
        <v>5.88937927E8</v>
      </c>
      <c r="AC34" s="22">
        <v>3.044876607E9</v>
      </c>
      <c r="AD34" s="22">
        <v>4.737102558E9</v>
      </c>
      <c r="AE34" s="22"/>
      <c r="AF34" s="22"/>
      <c r="AG34" s="43"/>
      <c r="AH34" s="43"/>
      <c r="AI34" s="43" t="str">
        <f>IFERROR(VLOOKUP(T34,'1С'!B:C,2,0)," ")</f>
        <v>БАД ZMA 120 капсул</v>
      </c>
      <c r="AJ34" s="22" t="s">
        <v>664</v>
      </c>
      <c r="AK34" s="22" t="s">
        <v>665</v>
      </c>
      <c r="AL34" s="22" t="s">
        <v>665</v>
      </c>
      <c r="AM34" s="43"/>
      <c r="AN34" s="43"/>
      <c r="AO34" s="43"/>
      <c r="AP34" s="43"/>
      <c r="AQ34" s="46" t="s">
        <v>666</v>
      </c>
      <c r="AR34" s="46" t="s">
        <v>667</v>
      </c>
      <c r="AS34" s="46" t="s">
        <v>668</v>
      </c>
      <c r="AT34" s="43"/>
      <c r="AU34" s="43"/>
      <c r="AV34" s="43"/>
      <c r="AW34" s="43"/>
      <c r="AX34" s="22" t="s">
        <v>669</v>
      </c>
      <c r="AY34" s="22" t="s">
        <v>665</v>
      </c>
      <c r="AZ34" s="22" t="s">
        <v>670</v>
      </c>
      <c r="BA34" s="43"/>
      <c r="BB34" s="43"/>
      <c r="BC34" s="43"/>
      <c r="BD34" s="43"/>
      <c r="BE34" s="43"/>
      <c r="BF34" s="22">
        <f>IFERROR(VLOOKUP(C34,'спецификация'!B:D,3,0)," ")</f>
        <v>4627102679765</v>
      </c>
      <c r="BG34" s="22">
        <v>2.106909808E9</v>
      </c>
      <c r="BH34" s="22" t="str">
        <f>IFERROR(VLOOKUP(C34,'спецификация'!B:AA,5,0)," ")</f>
        <v>AM.01.11.01.003.R.000356.06.24 от 04.06.2024
</v>
      </c>
      <c r="BI34" s="46" t="s">
        <v>672</v>
      </c>
      <c r="BJ34" s="22" t="str">
        <f>IFERROR(VLOOKUP(C34,'спецификация'!B:AA,6,0)," ")</f>
        <v>ЧЗ</v>
      </c>
      <c r="BK34" s="43"/>
      <c r="BL34" s="43"/>
      <c r="BM34" s="22" t="str">
        <f>IFERROR(VLOOKUP(BF34,'спецификация'!D:H,5,0)," ")</f>
        <v>магния цитрат, микрокристаллическая целлюлоза (агент антислеживающий), желатин*, цитрат цинка, аспарагиновая кислота, витамин В6 (пиридоксина гидрохлорид).</v>
      </c>
      <c r="BN34" s="43"/>
      <c r="BO34" s="22" t="s">
        <v>674</v>
      </c>
      <c r="BP34" s="22" t="s">
        <v>675</v>
      </c>
      <c r="BQ34" s="22" t="s">
        <v>676</v>
      </c>
      <c r="BR34" s="22">
        <v>120.0</v>
      </c>
      <c r="BS34" s="22" t="s">
        <v>621</v>
      </c>
      <c r="BT34" s="22"/>
      <c r="BU34" s="22"/>
      <c r="BV34" s="22" t="s">
        <v>307</v>
      </c>
      <c r="BW34" s="44" t="str">
        <f>IFERROR(VLOOKUP(C34,'спецификация'!B:AA,16,0)," ")</f>
        <v>https://docs.google.com/document/d/1Pql-dvczOf-_ICvb7bpO4To-neBst-RQ2vw-bPcx6HI/edit?tab=t.0</v>
      </c>
      <c r="BX34" s="43"/>
      <c r="BY34" s="43"/>
      <c r="BZ34" s="45" t="str">
        <f>IFERROR(VLOOKUP(BF34,'спецификация'!D:Y,22,0)," ")</f>
        <v/>
      </c>
      <c r="CA34" s="43"/>
      <c r="CB34" s="43"/>
      <c r="CC34" s="43"/>
      <c r="CD34" s="43"/>
      <c r="CE34" s="43"/>
      <c r="CF34" s="43"/>
      <c r="CG34" s="49">
        <f>IFERROR(VLOOKUP(C34,CC!A:D,4,0)," ")</f>
        <v>196.22</v>
      </c>
      <c r="CH34" s="22" t="str">
        <f>IFERROR(VLOOKUP(C34,'спецификация'!B:AA,19,0)," ")</f>
        <v>ООО "Лайфавит"</v>
      </c>
      <c r="CI34" s="22"/>
      <c r="CJ34" s="22" t="s">
        <v>679</v>
      </c>
      <c r="CK34" s="22" t="str">
        <f>IFERROR(VLOOKUP(C34,CC!K:M,3,0)," ")</f>
        <v/>
      </c>
      <c r="CL34" s="43"/>
      <c r="CM34" s="43"/>
      <c r="CN34" s="43"/>
      <c r="CO34" s="43"/>
      <c r="CP34" s="43"/>
      <c r="CQ34" s="43"/>
      <c r="CR34" s="43"/>
      <c r="CS34" s="43" t="b">
        <v>0</v>
      </c>
      <c r="CT34" s="43" t="b">
        <v>0</v>
      </c>
      <c r="CU34" s="43" t="b">
        <v>0</v>
      </c>
      <c r="CV34" s="43" t="b">
        <v>0</v>
      </c>
      <c r="CW34" s="43"/>
      <c r="CX34" s="43"/>
      <c r="CY34" s="43"/>
      <c r="CZ34" s="43"/>
      <c r="DA34" s="43"/>
      <c r="DB34" s="43"/>
      <c r="DC34" s="43"/>
      <c r="DD34" s="22">
        <f>IFERROR(VLOOKUP($C34,'Лист4'!$D:$AI,27,0)," ")</f>
        <v>6</v>
      </c>
      <c r="DE34" s="22">
        <f>IFERROR(VLOOKUP($C34,'Лист4'!$D:$AI,28,0)," ")</f>
        <v>11</v>
      </c>
      <c r="DF34" s="22">
        <f>IFERROR(VLOOKUP($C34,'Лист4'!$D:$AI,29,0)," ")</f>
        <v>6</v>
      </c>
      <c r="DG34" s="22">
        <f t="shared" si="3"/>
        <v>396</v>
      </c>
      <c r="DH34" s="22">
        <f>IFERROR(VLOOKUP($C34,'Лист4'!$D:$AI,32,0)," ")</f>
        <v>0.133</v>
      </c>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43"/>
      <c r="EN34" s="43"/>
      <c r="EO34" s="43"/>
      <c r="EP34" s="43"/>
      <c r="EQ34" s="43"/>
      <c r="ER34" s="43"/>
      <c r="ES34" s="43"/>
      <c r="ET34" s="43"/>
      <c r="EU34" s="43"/>
      <c r="EV34" s="43"/>
      <c r="EW34" s="43"/>
      <c r="EX34" s="43"/>
      <c r="EY34" s="43"/>
      <c r="EZ34" s="43"/>
      <c r="FA34" s="43"/>
      <c r="FB34" s="43"/>
      <c r="FC34" s="43"/>
    </row>
    <row r="35" ht="18.0" customHeight="1">
      <c r="A35" s="2"/>
      <c r="B35" s="22" t="str">
        <f>IFERROR(VLOOKUP(C35,'Реестр'!C:AC,27,0)," ")</f>
        <v>Биг-Л</v>
      </c>
      <c r="C35" s="43" t="s">
        <v>680</v>
      </c>
      <c r="D35" s="22" t="str">
        <f>IFERROR(VLOOKUP(C35,'Лист4'!D:P,13,0)," ")</f>
        <v>Harly</v>
      </c>
      <c r="E35" s="22" t="str">
        <f>IF(OR(ISERROR(VLOOKUP(C35,'Актуальность'!A:B,2,0)), VLOOKUP(C35,'Актуальность'!A:B,2,0)=""), "Актуальный", VLOOKUP(C35,'Актуальность'!A:B,2,0))</f>
        <v>Актуальный</v>
      </c>
      <c r="F35" s="43" t="str">
        <f>IFERROR(VLOOKUP(C35,'Актуальность'!A:C,3,0)," ")</f>
        <v/>
      </c>
      <c r="G35" s="43"/>
      <c r="H35" s="22" t="s">
        <v>121</v>
      </c>
      <c r="I35" s="22" t="s">
        <v>682</v>
      </c>
      <c r="J35" s="43"/>
      <c r="K35" s="43"/>
      <c r="L35" s="22" t="b">
        <f t="shared" ref="L35:R35" si="31">T35&lt;&gt;""</f>
        <v>1</v>
      </c>
      <c r="M35" s="22" t="b">
        <f t="shared" si="31"/>
        <v>1</v>
      </c>
      <c r="N35" s="22" t="b">
        <f t="shared" si="31"/>
        <v>1</v>
      </c>
      <c r="O35" s="22" t="b">
        <f t="shared" si="31"/>
        <v>1</v>
      </c>
      <c r="P35" s="22" t="b">
        <f t="shared" si="31"/>
        <v>0</v>
      </c>
      <c r="Q35" s="22" t="b">
        <f t="shared" si="31"/>
        <v>0</v>
      </c>
      <c r="R35" s="22" t="b">
        <f t="shared" si="31"/>
        <v>0</v>
      </c>
      <c r="S35" s="43"/>
      <c r="T35" s="43" t="str">
        <f>IFERROR(VLOOKUP( C35,'1С'!A:B,2,0)," ")</f>
        <v>HB101100410</v>
      </c>
      <c r="U35" s="22" t="str">
        <f>IFERROR(VLOOKUP(T35,'Лист4'!C:I,3,0)," ")</f>
        <v>harly_salmonoil_250ml</v>
      </c>
      <c r="V35" s="22" t="str">
        <f>IFERROR(VLOOKUP(T35,'Лист4'!C:I,4,0)," ")</f>
        <v>harly_salmonoil_250ml</v>
      </c>
      <c r="W35" s="22" t="str">
        <f>IFERROR(VLOOKUP(T35,'Лист4'!C:I,5,0)," ")</f>
        <v>harly_salmonoil_250ml</v>
      </c>
      <c r="X35" s="43" t="str">
        <f>IFERROR(VLOOKUP(T35,'Лист4'!C:I,7,0)," ")</f>
        <v/>
      </c>
      <c r="Y35" s="43" t="str">
        <f>IFERROR(VLOOKUP(T35,'Лист4'!C:I,6,0)," ")</f>
        <v/>
      </c>
      <c r="Z35" s="43"/>
      <c r="AA35" s="43"/>
      <c r="AB35" s="22">
        <v>6.17717249E8</v>
      </c>
      <c r="AC35" s="22">
        <v>3.106984552E9</v>
      </c>
      <c r="AD35" s="22">
        <v>4.764708144E9</v>
      </c>
      <c r="AE35" s="22"/>
      <c r="AF35" s="22"/>
      <c r="AG35" s="43"/>
      <c r="AH35" s="43"/>
      <c r="AI35" s="43" t="str">
        <f>IFERROR(VLOOKUP(T35,'1С'!B:C,2,0)," ")</f>
        <v>Масло лосося для собак и кошек 250 мл</v>
      </c>
      <c r="AJ35" s="22" t="s">
        <v>684</v>
      </c>
      <c r="AK35" s="22" t="s">
        <v>685</v>
      </c>
      <c r="AL35" s="22" t="s">
        <v>686</v>
      </c>
      <c r="AM35" s="43"/>
      <c r="AN35" s="43"/>
      <c r="AO35" s="43"/>
      <c r="AP35" s="43"/>
      <c r="AQ35" s="46" t="s">
        <v>687</v>
      </c>
      <c r="AR35" s="46" t="s">
        <v>688</v>
      </c>
      <c r="AS35" s="46" t="s">
        <v>689</v>
      </c>
      <c r="AT35" s="43"/>
      <c r="AU35" s="43"/>
      <c r="AV35" s="43"/>
      <c r="AW35" s="43"/>
      <c r="AX35" s="22" t="s">
        <v>156</v>
      </c>
      <c r="AY35" s="22" t="s">
        <v>685</v>
      </c>
      <c r="AZ35" s="22" t="s">
        <v>221</v>
      </c>
      <c r="BA35" s="43"/>
      <c r="BB35" s="43"/>
      <c r="BC35" s="43"/>
      <c r="BD35" s="43"/>
      <c r="BE35" s="43"/>
      <c r="BF35" s="22">
        <f>IFERROR(VLOOKUP(C35,'спецификация'!B:D,3,0)," ")</f>
        <v>4620290621356</v>
      </c>
      <c r="BG35" s="22">
        <v>2.309109E9</v>
      </c>
      <c r="BH35" s="22" t="str">
        <f>IFERROR(VLOOKUP(C35,'спецификация'!B:AA,5,0)," ")</f>
        <v>РОСС RU Д-RU.РА01.В.08426/25 от 18.03.2025 по 17.03.2030</v>
      </c>
      <c r="BI35" s="46" t="s">
        <v>691</v>
      </c>
      <c r="BJ35" s="22" t="str">
        <f>IFERROR(VLOOKUP(C35,'спецификация'!B:AA,6,0)," ")</f>
        <v>ЧЗ</v>
      </c>
      <c r="BK35" s="43"/>
      <c r="BL35" s="43"/>
      <c r="BM35" s="22" t="str">
        <f>IFERROR(VLOOKUP(BF35,'спецификация'!D:H,5,0)," ")</f>
        <v>100% натуральное масло лосося</v>
      </c>
      <c r="BN35" s="43"/>
      <c r="BO35" s="22" t="s">
        <v>693</v>
      </c>
      <c r="BP35" s="43" t="str">
        <f>IFERROR(VLOOKUP(C35,'спецификация'!B:AA,11,0)," ")</f>
        <v/>
      </c>
      <c r="BQ35" s="22" t="s">
        <v>694</v>
      </c>
      <c r="BR35" s="22">
        <v>250.0</v>
      </c>
      <c r="BS35" s="22" t="s">
        <v>139</v>
      </c>
      <c r="BT35" s="22"/>
      <c r="BU35" s="22"/>
      <c r="BV35" s="22" t="s">
        <v>140</v>
      </c>
      <c r="BW35" s="45" t="str">
        <f>IFERROR(VLOOKUP(C35,'спецификация'!B:AA,16,0)," ")</f>
        <v>то же самое, что и 250 мл</v>
      </c>
      <c r="BX35" s="43"/>
      <c r="BY35" s="43"/>
      <c r="BZ35" s="45" t="str">
        <f>IFERROR(VLOOKUP(BF35,'спецификация'!D:Y,22,0)," ")</f>
        <v/>
      </c>
      <c r="CA35" s="43"/>
      <c r="CB35" s="43"/>
      <c r="CC35" s="43"/>
      <c r="CD35" s="43"/>
      <c r="CE35" s="43"/>
      <c r="CF35" s="43"/>
      <c r="CG35" s="49">
        <f>IFERROR(VLOOKUP(C35,CC!A:D,4,0)," ")</f>
        <v>278</v>
      </c>
      <c r="CH35" s="22" t="str">
        <f>IFERROR(VLOOKUP(C35,'спецификация'!B:AA,19,0)," ")</f>
        <v>ООО Терра-пласт</v>
      </c>
      <c r="CI35" s="22"/>
      <c r="CJ35" s="22" t="s">
        <v>251</v>
      </c>
      <c r="CK35" s="22">
        <f>IFERROR(VLOOKUP(C35,CC!K:M,3,0)," ")</f>
        <v>60</v>
      </c>
      <c r="CL35" s="43"/>
      <c r="CM35" s="43"/>
      <c r="CN35" s="43"/>
      <c r="CO35" s="43"/>
      <c r="CP35" s="43"/>
      <c r="CQ35" s="43"/>
      <c r="CR35" s="43"/>
      <c r="CS35" s="43" t="b">
        <v>0</v>
      </c>
      <c r="CT35" s="43" t="b">
        <v>0</v>
      </c>
      <c r="CU35" s="43" t="b">
        <v>0</v>
      </c>
      <c r="CV35" s="43" t="b">
        <v>0</v>
      </c>
      <c r="CW35" s="43"/>
      <c r="CX35" s="43"/>
      <c r="CY35" s="43"/>
      <c r="CZ35" s="43"/>
      <c r="DA35" s="43"/>
      <c r="DB35" s="43"/>
      <c r="DC35" s="43"/>
      <c r="DD35" s="22">
        <f>IFERROR(VLOOKUP($C35,'Лист4'!$D:$AI,27,0)," ")</f>
        <v>7</v>
      </c>
      <c r="DE35" s="22">
        <f>IFERROR(VLOOKUP($C35,'Лист4'!$D:$AI,28,0)," ")</f>
        <v>17</v>
      </c>
      <c r="DF35" s="22">
        <f>IFERROR(VLOOKUP($C35,'Лист4'!$D:$AI,29,0)," ")</f>
        <v>7</v>
      </c>
      <c r="DG35" s="22">
        <f t="shared" si="3"/>
        <v>833</v>
      </c>
      <c r="DH35" s="22">
        <f>IFERROR(VLOOKUP($C35,'Лист4'!$D:$AI,32,0)," ")</f>
        <v>0.236</v>
      </c>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43"/>
      <c r="EN35" s="43"/>
      <c r="EO35" s="43"/>
      <c r="EP35" s="43"/>
      <c r="EQ35" s="43"/>
      <c r="ER35" s="43"/>
      <c r="ES35" s="43"/>
      <c r="ET35" s="43"/>
      <c r="EU35" s="43"/>
      <c r="EV35" s="43"/>
      <c r="EW35" s="43"/>
      <c r="EX35" s="43"/>
      <c r="EY35" s="43"/>
      <c r="EZ35" s="43"/>
      <c r="FA35" s="43"/>
      <c r="FB35" s="43"/>
      <c r="FC35" s="43"/>
    </row>
    <row r="36" ht="18.0" customHeight="1">
      <c r="A36" s="2"/>
      <c r="B36" s="22" t="str">
        <f>IFERROR(VLOOKUP(C36,'Реестр'!C:AC,27,0)," ")</f>
        <v>Биг-Л</v>
      </c>
      <c r="C36" s="43" t="s">
        <v>697</v>
      </c>
      <c r="D36" s="22" t="str">
        <f>IFERROR(VLOOKUP(C36,'Лист4'!D:P,13,0)," ")</f>
        <v>qeep</v>
      </c>
      <c r="E36" s="22" t="str">
        <f>IF(OR(ISERROR(VLOOKUP(C36,'Актуальность'!A:B,2,0)), VLOOKUP(C36,'Актуальность'!A:B,2,0)=""), "Актуальный", VLOOKUP(C36,'Актуальность'!A:B,2,0))</f>
        <v>Актуальный</v>
      </c>
      <c r="F36" s="43" t="str">
        <f>IFERROR(VLOOKUP(C36,'Актуальность'!A:C,3,0)," ")</f>
        <v/>
      </c>
      <c r="G36" s="43"/>
      <c r="H36" s="22" t="s">
        <v>361</v>
      </c>
      <c r="I36" s="22" t="s">
        <v>641</v>
      </c>
      <c r="J36" s="43"/>
      <c r="K36" s="43"/>
      <c r="L36" s="22" t="b">
        <f t="shared" ref="L36:R36" si="32">T36&lt;&gt;""</f>
        <v>1</v>
      </c>
      <c r="M36" s="22" t="b">
        <f t="shared" si="32"/>
        <v>1</v>
      </c>
      <c r="N36" s="22" t="b">
        <f t="shared" si="32"/>
        <v>1</v>
      </c>
      <c r="O36" s="22" t="b">
        <f t="shared" si="32"/>
        <v>1</v>
      </c>
      <c r="P36" s="22" t="b">
        <f t="shared" si="32"/>
        <v>0</v>
      </c>
      <c r="Q36" s="22" t="b">
        <f t="shared" si="32"/>
        <v>0</v>
      </c>
      <c r="R36" s="22" t="b">
        <f t="shared" si="32"/>
        <v>0</v>
      </c>
      <c r="S36" s="43"/>
      <c r="T36" s="43" t="str">
        <f>IFERROR(VLOOKUP( C36,'1С'!A:B,2,0)," ")</f>
        <v>QB101100515</v>
      </c>
      <c r="U36" s="22" t="str">
        <f>IFERROR(VLOOKUP(T36,'Лист4'!C:I,3,0)," ")</f>
        <v>qeep_chlorophyll_500ml_v2</v>
      </c>
      <c r="V36" s="22" t="str">
        <f>IFERROR(VLOOKUP(T36,'Лист4'!C:I,4,0)," ")</f>
        <v>qeep_chlorophyll_500ml_v2</v>
      </c>
      <c r="W36" s="22" t="str">
        <f>IFERROR(VLOOKUP(T36,'Лист4'!C:I,5,0)," ")</f>
        <v>qeep_chlorophyll_500ml_v2</v>
      </c>
      <c r="X36" s="43" t="str">
        <f>IFERROR(VLOOKUP(T36,'Лист4'!C:I,7,0)," ")</f>
        <v/>
      </c>
      <c r="Y36" s="43" t="str">
        <f>IFERROR(VLOOKUP(T36,'Лист4'!C:I,6,0)," ")</f>
        <v/>
      </c>
      <c r="Z36" s="43"/>
      <c r="AA36" s="43"/>
      <c r="AB36" s="22">
        <v>1.65592674E8</v>
      </c>
      <c r="AC36" s="22">
        <v>3.108027348E9</v>
      </c>
      <c r="AD36" s="22">
        <v>1.02055263406E11</v>
      </c>
      <c r="AE36" s="22"/>
      <c r="AF36" s="22"/>
      <c r="AG36" s="43"/>
      <c r="AH36" s="43"/>
      <c r="AI36" s="43" t="str">
        <f>IFERROR(VLOOKUP(T36,'1С'!B:C,2,0)," ")</f>
        <v>БАД Хлорофилл 500 мл</v>
      </c>
      <c r="AJ36" s="22" t="s">
        <v>700</v>
      </c>
      <c r="AK36" s="22" t="s">
        <v>701</v>
      </c>
      <c r="AL36" s="22" t="s">
        <v>702</v>
      </c>
      <c r="AM36" s="43"/>
      <c r="AN36" s="43"/>
      <c r="AO36" s="43"/>
      <c r="AP36" s="43"/>
      <c r="AQ36" s="46" t="s">
        <v>703</v>
      </c>
      <c r="AR36" s="46" t="s">
        <v>704</v>
      </c>
      <c r="AS36" s="46" t="s">
        <v>705</v>
      </c>
      <c r="AT36" s="43"/>
      <c r="AU36" s="43"/>
      <c r="AV36" s="43"/>
      <c r="AW36" s="43"/>
      <c r="AX36" s="22" t="s">
        <v>361</v>
      </c>
      <c r="AY36" s="22" t="s">
        <v>701</v>
      </c>
      <c r="AZ36" s="22" t="s">
        <v>372</v>
      </c>
      <c r="BA36" s="43"/>
      <c r="BB36" s="43"/>
      <c r="BC36" s="43"/>
      <c r="BD36" s="43"/>
      <c r="BE36" s="43"/>
      <c r="BF36" s="22" t="str">
        <f>IFERROR(VLOOKUP(C36,'спецификация'!B:D,3,0)," ")</f>
        <v>4630205142852</v>
      </c>
      <c r="BG36" s="22">
        <v>2.106909808E9</v>
      </c>
      <c r="BH36" s="22" t="s">
        <v>707</v>
      </c>
      <c r="BI36" s="46" t="s">
        <v>708</v>
      </c>
      <c r="BJ36" s="22" t="s">
        <v>245</v>
      </c>
      <c r="BK36" s="43"/>
      <c r="BL36" s="43"/>
      <c r="BM36" s="22" t="str">
        <f>IFERROR(VLOOKUP(BF36,'спецификация'!D:H,5,0)," ")</f>
        <v>медный комплекс хлорофилла, столовая минеральная вода, регулятор кислотности лимонная кислота, эфирное масло мяты, консерванты: бензоат натрия и сорбат калия.</v>
      </c>
      <c r="BN36" s="43"/>
      <c r="BO36" s="22" t="s">
        <v>710</v>
      </c>
      <c r="BP36" s="43" t="str">
        <f>IFERROR(VLOOKUP(C36,'спецификация'!B:AA,11,0)," ")</f>
        <v/>
      </c>
      <c r="BQ36" s="22" t="s">
        <v>711</v>
      </c>
      <c r="BR36" s="22">
        <v>500.0</v>
      </c>
      <c r="BS36" s="22" t="s">
        <v>139</v>
      </c>
      <c r="BT36" s="43"/>
      <c r="BU36" s="22"/>
      <c r="BV36" s="22"/>
      <c r="BW36" s="45" t="str">
        <f>IFERROR(VLOOKUP(C36,'спецификация'!B:AA,16,0)," ")</f>
        <v/>
      </c>
      <c r="BX36" s="43"/>
      <c r="BY36" s="43"/>
      <c r="BZ36" s="45" t="str">
        <f>IFERROR(VLOOKUP(BF36,'спецификация'!D:Y,22,0)," ")</f>
        <v/>
      </c>
      <c r="CA36" s="43"/>
      <c r="CB36" s="43"/>
      <c r="CC36" s="43"/>
      <c r="CD36" s="43"/>
      <c r="CE36" s="43"/>
      <c r="CF36" s="43"/>
      <c r="CG36" s="49">
        <f>IFERROR(VLOOKUP(C36,CC!A:D,4,0)," ")</f>
        <v>400</v>
      </c>
      <c r="CH36" s="22" t="s">
        <v>494</v>
      </c>
      <c r="CI36" s="22"/>
      <c r="CJ36" s="22" t="s">
        <v>495</v>
      </c>
      <c r="CK36" s="22">
        <f>IFERROR(VLOOKUP(C36,CC!K:M,3,0)," ")</f>
        <v>60</v>
      </c>
      <c r="CL36" s="43"/>
      <c r="CM36" s="43"/>
      <c r="CN36" s="43"/>
      <c r="CO36" s="43"/>
      <c r="CP36" s="43"/>
      <c r="CQ36" s="43"/>
      <c r="CR36" s="43"/>
      <c r="CS36" s="43" t="b">
        <v>0</v>
      </c>
      <c r="CT36" s="43" t="b">
        <v>0</v>
      </c>
      <c r="CU36" s="43" t="b">
        <v>0</v>
      </c>
      <c r="CV36" s="43" t="b">
        <v>0</v>
      </c>
      <c r="CW36" s="43"/>
      <c r="CX36" s="43"/>
      <c r="CY36" s="43"/>
      <c r="CZ36" s="43"/>
      <c r="DA36" s="43"/>
      <c r="DB36" s="43"/>
      <c r="DC36" s="43"/>
      <c r="DD36" s="22">
        <f>IFERROR(VLOOKUP($C36,'Лист4'!$D:$AI,27,0)," ")</f>
        <v>6</v>
      </c>
      <c r="DE36" s="22">
        <f>IFERROR(VLOOKUP($C36,'Лист4'!$D:$AI,28,0)," ")</f>
        <v>21</v>
      </c>
      <c r="DF36" s="22">
        <f>IFERROR(VLOOKUP($C36,'Лист4'!$D:$AI,29,0)," ")</f>
        <v>6</v>
      </c>
      <c r="DG36" s="22">
        <f t="shared" si="3"/>
        <v>756</v>
      </c>
      <c r="DH36" s="22">
        <f>IFERROR(VLOOKUP($C36,'Лист4'!$D:$AI,32,0)," ")</f>
        <v>0.576</v>
      </c>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43"/>
      <c r="EN36" s="43"/>
      <c r="EO36" s="43"/>
      <c r="EP36" s="43"/>
      <c r="EQ36" s="43"/>
      <c r="ER36" s="43"/>
      <c r="ES36" s="43"/>
      <c r="ET36" s="43"/>
      <c r="EU36" s="43"/>
      <c r="EV36" s="43"/>
      <c r="EW36" s="43"/>
      <c r="EX36" s="43"/>
      <c r="EY36" s="43"/>
      <c r="EZ36" s="43"/>
      <c r="FA36" s="43"/>
      <c r="FB36" s="43"/>
      <c r="FC36" s="43"/>
    </row>
    <row r="37" ht="18.0" customHeight="1">
      <c r="A37" s="2"/>
      <c r="B37" s="22" t="str">
        <f>IFERROR(VLOOKUP(C37,'Реестр'!C:AC,27,0)," ")</f>
        <v>Биг-Л</v>
      </c>
      <c r="C37" s="43" t="s">
        <v>714</v>
      </c>
      <c r="D37" s="22" t="str">
        <f>IFERROR(VLOOKUP(C37,'Лист4'!D:P,13,0)," ")</f>
        <v>qeep</v>
      </c>
      <c r="E37" s="22" t="str">
        <f>IF(OR(ISERROR(VLOOKUP(C37,'Актуальность'!A:B,2,0)), VLOOKUP(C37,'Актуальность'!A:B,2,0)=""), "Актуальный", VLOOKUP(C37,'Актуальность'!A:B,2,0))</f>
        <v>Актуальный</v>
      </c>
      <c r="F37" s="43" t="str">
        <f>IFERROR(VLOOKUP(C37,'Актуальность'!A:C,3,0)," ")</f>
        <v/>
      </c>
      <c r="G37" s="43"/>
      <c r="H37" s="22" t="s">
        <v>286</v>
      </c>
      <c r="I37" s="22" t="s">
        <v>565</v>
      </c>
      <c r="J37" s="43"/>
      <c r="K37" s="43"/>
      <c r="L37" s="22" t="b">
        <f t="shared" ref="L37:R37" si="33">T37&lt;&gt;""</f>
        <v>1</v>
      </c>
      <c r="M37" s="22" t="b">
        <f t="shared" si="33"/>
        <v>1</v>
      </c>
      <c r="N37" s="22" t="b">
        <f t="shared" si="33"/>
        <v>1</v>
      </c>
      <c r="O37" s="22" t="b">
        <f t="shared" si="33"/>
        <v>1</v>
      </c>
      <c r="P37" s="22" t="b">
        <f t="shared" si="33"/>
        <v>0</v>
      </c>
      <c r="Q37" s="22" t="b">
        <f t="shared" si="33"/>
        <v>0</v>
      </c>
      <c r="R37" s="22" t="b">
        <f t="shared" si="33"/>
        <v>0</v>
      </c>
      <c r="S37" s="43"/>
      <c r="T37" s="43" t="str">
        <f>IFERROR(VLOOKUP( C37,'1С'!A:B,2,0)," ")</f>
        <v>QC101100414</v>
      </c>
      <c r="U37" s="22" t="str">
        <f>IFERROR(VLOOKUP(T37,'Лист4'!C:I,3,0)," ")</f>
        <v>qeep_spf50_50ml</v>
      </c>
      <c r="V37" s="22" t="str">
        <f>IFERROR(VLOOKUP(T37,'Лист4'!C:I,4,0)," ")</f>
        <v>qeep_spf50_50ml</v>
      </c>
      <c r="W37" s="55" t="s">
        <v>714</v>
      </c>
      <c r="X37" s="43" t="str">
        <f>IFERROR(VLOOKUP(T37,'Лист4'!C:I,7,0)," ")</f>
        <v/>
      </c>
      <c r="Y37" s="43" t="str">
        <f>IFERROR(VLOOKUP(T37,'Лист4'!C:I,6,0)," ")</f>
        <v/>
      </c>
      <c r="Z37" s="43"/>
      <c r="AA37" s="43"/>
      <c r="AB37" s="22">
        <v>6.81199239E8</v>
      </c>
      <c r="AC37" s="22">
        <v>3.1909721E9</v>
      </c>
      <c r="AD37" s="22">
        <v>4.824577371E9</v>
      </c>
      <c r="AE37" s="22"/>
      <c r="AF37" s="22"/>
      <c r="AG37" s="43"/>
      <c r="AH37" s="43"/>
      <c r="AI37" s="43" t="str">
        <f>IFERROR(VLOOKUP(T37,'1С'!B:C,2,0)," ")</f>
        <v>Крем SPF 50  солнцезащитный 50 мл</v>
      </c>
      <c r="AJ37" s="22" t="s">
        <v>717</v>
      </c>
      <c r="AK37" s="22" t="s">
        <v>717</v>
      </c>
      <c r="AL37" s="22" t="s">
        <v>718</v>
      </c>
      <c r="AM37" s="43"/>
      <c r="AN37" s="43"/>
      <c r="AO37" s="43"/>
      <c r="AP37" s="43"/>
      <c r="AQ37" s="46" t="s">
        <v>719</v>
      </c>
      <c r="AR37" s="46" t="s">
        <v>720</v>
      </c>
      <c r="AS37" s="46" t="s">
        <v>721</v>
      </c>
      <c r="AT37" s="43"/>
      <c r="AU37" s="43"/>
      <c r="AV37" s="43"/>
      <c r="AW37" s="43"/>
      <c r="AX37" s="22" t="s">
        <v>594</v>
      </c>
      <c r="AY37" s="22" t="s">
        <v>717</v>
      </c>
      <c r="AZ37" s="22" t="s">
        <v>722</v>
      </c>
      <c r="BA37" s="43"/>
      <c r="BB37" s="43"/>
      <c r="BC37" s="43"/>
      <c r="BD37" s="43"/>
      <c r="BE37" s="43"/>
      <c r="BF37" s="22">
        <f>IFERROR(VLOOKUP(C37,'спецификация'!B:D,3,0)," ")</f>
        <v>4660417421773</v>
      </c>
      <c r="BG37" s="22"/>
      <c r="BH37" s="22" t="s">
        <v>133</v>
      </c>
      <c r="BI37" s="46" t="s">
        <v>723</v>
      </c>
      <c r="BJ37" s="22" t="str">
        <f>IFERROR(VLOOKUP(C37,'спецификация'!B:AA,6,0)," ")</f>
        <v>ЧЗ</v>
      </c>
      <c r="BK37" s="43"/>
      <c r="BL37" s="43"/>
      <c r="BM37" s="22" t="str">
        <f>IFERROR(VLOOKUP(BF37,'спецификация'!D:H,5,0)," ")</f>
        <v>Deionized Water, Methylene Bis-Benzotriazolyl Tetramethylbutylphenol, Diethylamino Hydroxybenzoyl Hexyl Benzoate, Ceto Stearyl Alcohol, Isoamyl laurate, Hyaluronic Acid, Sodium acrylates copolymer (and) Lecithin, Green Tea Leaf Extract, Glycerin, Glycerol monostearate, Glyceryl Stearate, Ceteareth-20, Ceteareth-12, Cetearyl Alcohol, Cetyl Palmitate, Bis-Ethylhexyloxyphenol Methoxyphenyl Triazine, Phenoxyethanol, Ethylhexylglycerin, Divinyldimethicone, Ethylhexyl Triazone, Coenzyme Q10, Coenzyme Q10, Disodium edta, , Ceramides Complex CR/Water, Pentylene Glycol, Phospholipids, Sphingolipids, Niacinamide, Tapioca Starch, Sodium Polyacrylate, Panthenol, Butyrospermum Parkii, Prunus Amygdalus Dulcis Oil, CI 17200, Parfum</v>
      </c>
      <c r="BN37" s="43"/>
      <c r="BO37" s="22" t="s">
        <v>725</v>
      </c>
      <c r="BP37" s="43" t="str">
        <f>IFERROR(VLOOKUP(C37,'спецификация'!B:AA,11,0)," ")</f>
        <v/>
      </c>
      <c r="BQ37" s="22" t="s">
        <v>601</v>
      </c>
      <c r="BR37" s="22">
        <v>50.0</v>
      </c>
      <c r="BS37" s="22" t="s">
        <v>139</v>
      </c>
      <c r="BT37" s="43"/>
      <c r="BU37" s="22"/>
      <c r="BV37" s="22" t="s">
        <v>727</v>
      </c>
      <c r="BW37" s="44" t="str">
        <f>IFERROR(VLOOKUP(C37,'спецификация'!B:AA,16,0)," ")</f>
        <v>https://docs.google.com/document/d/1_ZRzckXpOl9Dc9S0bk4Sbj69ercMb3ffBIya-yui4XI/edit?tab=t.0</v>
      </c>
      <c r="BX37" s="43"/>
      <c r="BY37" s="43"/>
      <c r="BZ37" s="45" t="str">
        <f>IFERROR(VLOOKUP(BF37,'спецификация'!D:Y,22,0)," ")</f>
        <v/>
      </c>
      <c r="CA37" s="43"/>
      <c r="CB37" s="43"/>
      <c r="CC37" s="43"/>
      <c r="CD37" s="43"/>
      <c r="CE37" s="43"/>
      <c r="CF37" s="43"/>
      <c r="CG37" s="49">
        <f>IFERROR(VLOOKUP(C37,CC!A:D,4,0)," ")</f>
        <v>130</v>
      </c>
      <c r="CH37" s="22" t="str">
        <f>IFERROR(VLOOKUP(C37,'спецификация'!B:AA,19,0)," ")</f>
        <v>Восток-плюс</v>
      </c>
      <c r="CI37" s="22"/>
      <c r="CJ37" s="22" t="s">
        <v>605</v>
      </c>
      <c r="CK37" s="22">
        <f>IFERROR(VLOOKUP(C37,CC!K:M,3,0)," ")</f>
        <v>45</v>
      </c>
      <c r="CL37" s="43"/>
      <c r="CM37" s="43"/>
      <c r="CN37" s="43"/>
      <c r="CO37" s="43"/>
      <c r="CP37" s="43"/>
      <c r="CQ37" s="43"/>
      <c r="CR37" s="43"/>
      <c r="CS37" s="43" t="b">
        <v>0</v>
      </c>
      <c r="CT37" s="43" t="b">
        <v>0</v>
      </c>
      <c r="CU37" s="43" t="b">
        <v>0</v>
      </c>
      <c r="CV37" s="43" t="b">
        <v>0</v>
      </c>
      <c r="CW37" s="43"/>
      <c r="CX37" s="43"/>
      <c r="CY37" s="43"/>
      <c r="CZ37" s="43"/>
      <c r="DA37" s="43"/>
      <c r="DB37" s="43"/>
      <c r="DC37" s="43"/>
      <c r="DD37" s="22">
        <f>IFERROR(VLOOKUP($C37,'Лист4'!$D:$AI,27,0)," ")</f>
        <v>1</v>
      </c>
      <c r="DE37" s="22">
        <f>IFERROR(VLOOKUP($C37,'Лист4'!$D:$AI,28,0)," ")</f>
        <v>1</v>
      </c>
      <c r="DF37" s="22">
        <f>IFERROR(VLOOKUP($C37,'Лист4'!$D:$AI,29,0)," ")</f>
        <v>1</v>
      </c>
      <c r="DG37" s="22">
        <f t="shared" si="3"/>
        <v>1</v>
      </c>
      <c r="DH37" s="22">
        <f>IFERROR(VLOOKUP($C37,'Лист4'!$D:$AI,32,0)," ")</f>
        <v>1</v>
      </c>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43"/>
      <c r="EN37" s="43"/>
      <c r="EO37" s="43"/>
      <c r="EP37" s="43"/>
      <c r="EQ37" s="43"/>
      <c r="ER37" s="43"/>
      <c r="ES37" s="43"/>
      <c r="ET37" s="43"/>
      <c r="EU37" s="43"/>
      <c r="EV37" s="43"/>
      <c r="EW37" s="43"/>
      <c r="EX37" s="43"/>
      <c r="EY37" s="43"/>
      <c r="EZ37" s="43"/>
      <c r="FA37" s="43"/>
      <c r="FB37" s="43"/>
      <c r="FC37" s="43"/>
    </row>
    <row r="38" ht="18.0" customHeight="1">
      <c r="A38" s="2"/>
      <c r="B38" s="22" t="str">
        <f>IFERROR(VLOOKUP(C38,'Реестр'!C:AC,27,0)," ")</f>
        <v>Биг-Л</v>
      </c>
      <c r="C38" s="43" t="s">
        <v>729</v>
      </c>
      <c r="D38" s="22" t="str">
        <f>IFERROR(VLOOKUP(C38,'Лист4'!D:P,13,0)," ")</f>
        <v>qeep</v>
      </c>
      <c r="E38" s="22" t="str">
        <f>IF(OR(ISERROR(VLOOKUP(C38,'Актуальность'!A:B,2,0)), VLOOKUP(C38,'Актуальность'!A:B,2,0)=""), "Актуальный", VLOOKUP(C38,'Актуальность'!A:B,2,0))</f>
        <v>Актуальный</v>
      </c>
      <c r="F38" s="43" t="str">
        <f>IFERROR(VLOOKUP(C38,'Актуальность'!A:C,3,0)," ")</f>
        <v/>
      </c>
      <c r="G38" s="43"/>
      <c r="H38" s="22" t="s">
        <v>286</v>
      </c>
      <c r="I38" s="22" t="s">
        <v>565</v>
      </c>
      <c r="J38" s="43"/>
      <c r="K38" s="43"/>
      <c r="L38" s="22" t="b">
        <f t="shared" ref="L38:R38" si="34">T38&lt;&gt;""</f>
        <v>1</v>
      </c>
      <c r="M38" s="22" t="b">
        <f t="shared" si="34"/>
        <v>1</v>
      </c>
      <c r="N38" s="22" t="b">
        <f t="shared" si="34"/>
        <v>1</v>
      </c>
      <c r="O38" s="22" t="b">
        <f t="shared" si="34"/>
        <v>1</v>
      </c>
      <c r="P38" s="22" t="b">
        <f t="shared" si="34"/>
        <v>0</v>
      </c>
      <c r="Q38" s="22" t="b">
        <f t="shared" si="34"/>
        <v>0</v>
      </c>
      <c r="R38" s="22" t="b">
        <f t="shared" si="34"/>
        <v>0</v>
      </c>
      <c r="S38" s="43"/>
      <c r="T38" s="43" t="str">
        <f>IFERROR(VLOOKUP( C38,'1С'!A:B,2,0)," ")</f>
        <v>QC101100412</v>
      </c>
      <c r="U38" s="22" t="str">
        <f>IFERROR(VLOOKUP(T38,'Лист4'!C:I,3,0)," ")</f>
        <v>qeep_retinolcream1_50ml</v>
      </c>
      <c r="V38" s="22" t="str">
        <f>IFERROR(VLOOKUP(T38,'Лист4'!C:I,4,0)," ")</f>
        <v>qeep_retinolcream1_50ml</v>
      </c>
      <c r="W38" s="55" t="s">
        <v>729</v>
      </c>
      <c r="X38" s="43" t="str">
        <f>IFERROR(VLOOKUP(T38,'Лист4'!C:I,7,0)," ")</f>
        <v/>
      </c>
      <c r="Y38" s="43" t="str">
        <f>IFERROR(VLOOKUP(T38,'Лист4'!C:I,6,0)," ")</f>
        <v/>
      </c>
      <c r="Z38" s="43"/>
      <c r="AA38" s="43"/>
      <c r="AB38" s="22">
        <v>6.87712933E8</v>
      </c>
      <c r="AC38" s="22">
        <v>3.219081694E9</v>
      </c>
      <c r="AD38" s="22">
        <v>4.842304692E9</v>
      </c>
      <c r="AE38" s="22"/>
      <c r="AF38" s="22"/>
      <c r="AG38" s="43"/>
      <c r="AH38" s="43"/>
      <c r="AI38" s="43" t="str">
        <f>IFERROR(VLOOKUP(T38,'1С'!B:C,2,0)," ")</f>
        <v>Крем для лица Retinol с ретинолом 1%, 50 мл</v>
      </c>
      <c r="AJ38" s="22" t="s">
        <v>732</v>
      </c>
      <c r="AK38" s="22" t="s">
        <v>732</v>
      </c>
      <c r="AL38" s="22" t="s">
        <v>733</v>
      </c>
      <c r="AM38" s="43"/>
      <c r="AN38" s="43"/>
      <c r="AO38" s="43"/>
      <c r="AP38" s="43"/>
      <c r="AQ38" s="46" t="s">
        <v>734</v>
      </c>
      <c r="AR38" s="46" t="s">
        <v>735</v>
      </c>
      <c r="AS38" s="46" t="s">
        <v>736</v>
      </c>
      <c r="AT38" s="43"/>
      <c r="AU38" s="43"/>
      <c r="AV38" s="43"/>
      <c r="AW38" s="43"/>
      <c r="AX38" s="22" t="s">
        <v>594</v>
      </c>
      <c r="AY38" s="22" t="s">
        <v>732</v>
      </c>
      <c r="AZ38" s="22" t="s">
        <v>595</v>
      </c>
      <c r="BA38" s="43"/>
      <c r="BB38" s="43"/>
      <c r="BC38" s="43"/>
      <c r="BD38" s="43"/>
      <c r="BE38" s="43"/>
      <c r="BF38" s="22" t="str">
        <f>IFERROR(VLOOKUP(C38,'спецификация'!B:D,3,0)," ")</f>
        <v>4660417421780</v>
      </c>
      <c r="BG38" s="22"/>
      <c r="BH38" s="22" t="s">
        <v>133</v>
      </c>
      <c r="BI38" s="22"/>
      <c r="BJ38" s="22" t="str">
        <f>IFERROR(VLOOKUP(C38,'спецификация'!B:AA,6,0)," ")</f>
        <v>ЧЗ</v>
      </c>
      <c r="BK38" s="43"/>
      <c r="BL38" s="43"/>
      <c r="BM38" s="22" t="str">
        <f>IFERROR(VLOOKUP(BF38,'спецификация'!D:H,5,0)," ")</f>
        <v>Aqua, Isopropyl Palmitate, Acrylamide/Sodium Acrylate Copolymer, Niacinamide, Urea, Squalane, Helianthus, Annuus (Sunflower) Seed Oil, Mineral Oil, Cyclopentasiloxane,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v>
      </c>
      <c r="BN38" s="43"/>
      <c r="BO38" s="22" t="s">
        <v>600</v>
      </c>
      <c r="BP38" s="43" t="str">
        <f>IFERROR(VLOOKUP(C38,'спецификация'!B:AA,11,0)," ")</f>
        <v/>
      </c>
      <c r="BQ38" s="22" t="s">
        <v>601</v>
      </c>
      <c r="BR38" s="22">
        <v>50.0</v>
      </c>
      <c r="BS38" s="22" t="s">
        <v>139</v>
      </c>
      <c r="BT38" s="43"/>
      <c r="BU38" s="22"/>
      <c r="BV38" s="22" t="s">
        <v>332</v>
      </c>
      <c r="BW38" s="44" t="str">
        <f>IFERROR(VLOOKUP(C38,'спецификация'!B:AA,16,0)," ")</f>
        <v>https://docs.google.com/document/d/19loz_S6MoghRtwGPBPaBA67dYGaqjoNVU0hzqH3ehCs/edit?tab=t.0</v>
      </c>
      <c r="BX38" s="43"/>
      <c r="BY38" s="43"/>
      <c r="BZ38" s="45" t="str">
        <f>IFERROR(VLOOKUP(BF38,'спецификация'!D:Y,22,0)," ")</f>
        <v/>
      </c>
      <c r="CA38" s="54">
        <v>46043.0</v>
      </c>
      <c r="CB38" s="46" t="s">
        <v>739</v>
      </c>
      <c r="CC38" s="43"/>
      <c r="CD38" s="43"/>
      <c r="CE38" s="43"/>
      <c r="CF38" s="43"/>
      <c r="CG38" s="49">
        <f>IFERROR(VLOOKUP(C38,CC!A:D,4,0)," ")</f>
        <v>99.73</v>
      </c>
      <c r="CH38" s="22" t="str">
        <f>IFERROR(VLOOKUP(C38,'спецификация'!B:AA,19,0)," ")</f>
        <v>Восток-плюс</v>
      </c>
      <c r="CI38" s="22"/>
      <c r="CJ38" s="22" t="s">
        <v>605</v>
      </c>
      <c r="CK38" s="22">
        <f>IFERROR(VLOOKUP(C38,CC!K:M,3,0)," ")</f>
        <v>45</v>
      </c>
      <c r="CL38" s="43"/>
      <c r="CM38" s="43"/>
      <c r="CN38" s="43"/>
      <c r="CO38" s="43"/>
      <c r="CP38" s="43"/>
      <c r="CQ38" s="43"/>
      <c r="CR38" s="43"/>
      <c r="CS38" s="43" t="b">
        <v>0</v>
      </c>
      <c r="CT38" s="43" t="b">
        <v>0</v>
      </c>
      <c r="CU38" s="43" t="b">
        <v>0</v>
      </c>
      <c r="CV38" s="43" t="b">
        <v>0</v>
      </c>
      <c r="CW38" s="43"/>
      <c r="CX38" s="43"/>
      <c r="CY38" s="43"/>
      <c r="CZ38" s="43"/>
      <c r="DA38" s="43"/>
      <c r="DB38" s="43"/>
      <c r="DC38" s="43"/>
      <c r="DD38" s="22">
        <f>IFERROR(VLOOKUP($C38,'Лист4'!$D:$AI,27,0)," ")</f>
        <v>1</v>
      </c>
      <c r="DE38" s="22">
        <f>IFERROR(VLOOKUP($C38,'Лист4'!$D:$AI,28,0)," ")</f>
        <v>1</v>
      </c>
      <c r="DF38" s="22">
        <f>IFERROR(VLOOKUP($C38,'Лист4'!$D:$AI,29,0)," ")</f>
        <v>1</v>
      </c>
      <c r="DG38" s="22">
        <f t="shared" si="3"/>
        <v>1</v>
      </c>
      <c r="DH38" s="22">
        <f>IFERROR(VLOOKUP($C38,'Лист4'!$D:$AI,32,0)," ")</f>
        <v>1</v>
      </c>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43"/>
      <c r="EN38" s="43"/>
      <c r="EO38" s="43"/>
      <c r="EP38" s="43"/>
      <c r="EQ38" s="43"/>
      <c r="ER38" s="43"/>
      <c r="ES38" s="43"/>
      <c r="ET38" s="43"/>
      <c r="EU38" s="43"/>
      <c r="EV38" s="43"/>
      <c r="EW38" s="43"/>
      <c r="EX38" s="43"/>
      <c r="EY38" s="43"/>
      <c r="EZ38" s="43"/>
      <c r="FA38" s="43"/>
      <c r="FB38" s="43"/>
      <c r="FC38" s="43"/>
    </row>
    <row r="39" ht="18.0" customHeight="1">
      <c r="A39" s="2"/>
      <c r="B39" s="22" t="str">
        <f>IFERROR(VLOOKUP(C39,'Реестр'!C:AC,27,0)," ")</f>
        <v>Биг-Л</v>
      </c>
      <c r="C39" s="43" t="s">
        <v>740</v>
      </c>
      <c r="D39" s="22" t="str">
        <f>IFERROR(VLOOKUP(C39,'Лист4'!D:P,13,0)," ")</f>
        <v>qeep</v>
      </c>
      <c r="E39" s="22" t="str">
        <f>IF(OR(ISERROR(VLOOKUP(C39,'Актуальность'!A:B,2,0)), VLOOKUP(C39,'Актуальность'!A:B,2,0)=""), "Актуальный", VLOOKUP(C39,'Актуальность'!A:B,2,0))</f>
        <v>Актуальный</v>
      </c>
      <c r="F39" s="43" t="str">
        <f>IFERROR(VLOOKUP(C39,'Актуальность'!A:C,3,0)," ")</f>
        <v/>
      </c>
      <c r="G39" s="43"/>
      <c r="H39" s="22" t="s">
        <v>286</v>
      </c>
      <c r="I39" s="22" t="s">
        <v>565</v>
      </c>
      <c r="J39" s="43"/>
      <c r="K39" s="43"/>
      <c r="L39" s="22" t="b">
        <f t="shared" ref="L39:R39" si="35">T39&lt;&gt;""</f>
        <v>1</v>
      </c>
      <c r="M39" s="22" t="b">
        <f t="shared" si="35"/>
        <v>1</v>
      </c>
      <c r="N39" s="22" t="b">
        <f t="shared" si="35"/>
        <v>1</v>
      </c>
      <c r="O39" s="22" t="b">
        <f t="shared" si="35"/>
        <v>1</v>
      </c>
      <c r="P39" s="22" t="b">
        <f t="shared" si="35"/>
        <v>0</v>
      </c>
      <c r="Q39" s="22" t="b">
        <f t="shared" si="35"/>
        <v>0</v>
      </c>
      <c r="R39" s="22" t="b">
        <f t="shared" si="35"/>
        <v>0</v>
      </c>
      <c r="S39" s="43"/>
      <c r="T39" s="43" t="str">
        <f>IFERROR(VLOOKUP( C39,'1С'!A:B,2,0)," ")</f>
        <v>QC101100413</v>
      </c>
      <c r="U39" s="22" t="str">
        <f>IFERROR(VLOOKUP(T39,'Лист4'!C:I,3,0)," ")</f>
        <v>qeep_retinolcream15_50ml</v>
      </c>
      <c r="V39" s="22" t="str">
        <f>IFERROR(VLOOKUP(T39,'Лист4'!C:I,4,0)," ")</f>
        <v>qeep_retinolcream15_50ml</v>
      </c>
      <c r="W39" s="55" t="s">
        <v>740</v>
      </c>
      <c r="X39" s="43" t="str">
        <f>IFERROR(VLOOKUP(T39,'Лист4'!C:I,7,0)," ")</f>
        <v/>
      </c>
      <c r="Y39" s="43" t="str">
        <f>IFERROR(VLOOKUP(T39,'Лист4'!C:I,6,0)," ")</f>
        <v/>
      </c>
      <c r="Z39" s="43"/>
      <c r="AA39" s="43"/>
      <c r="AB39" s="22">
        <v>6.92599189E8</v>
      </c>
      <c r="AC39" s="22">
        <v>3.220730122E9</v>
      </c>
      <c r="AD39" s="22">
        <v>4.842314518E9</v>
      </c>
      <c r="AE39" s="22"/>
      <c r="AF39" s="22"/>
      <c r="AG39" s="43"/>
      <c r="AH39" s="43"/>
      <c r="AI39" s="43" t="str">
        <f>IFERROR(VLOOKUP(T39,'1С'!B:C,2,0)," ")</f>
        <v>Крем для лица Retinol с ретинолом 1,5%, 50 мл</v>
      </c>
      <c r="AJ39" s="22" t="s">
        <v>743</v>
      </c>
      <c r="AK39" s="22" t="s">
        <v>743</v>
      </c>
      <c r="AL39" s="22" t="s">
        <v>744</v>
      </c>
      <c r="AM39" s="43"/>
      <c r="AN39" s="43"/>
      <c r="AO39" s="43"/>
      <c r="AP39" s="43"/>
      <c r="AQ39" s="46" t="s">
        <v>745</v>
      </c>
      <c r="AR39" s="46" t="s">
        <v>746</v>
      </c>
      <c r="AS39" s="46" t="s">
        <v>747</v>
      </c>
      <c r="AT39" s="43"/>
      <c r="AU39" s="43"/>
      <c r="AV39" s="43"/>
      <c r="AW39" s="43"/>
      <c r="AX39" s="22" t="s">
        <v>594</v>
      </c>
      <c r="AY39" s="22" t="s">
        <v>743</v>
      </c>
      <c r="AZ39" s="22" t="s">
        <v>595</v>
      </c>
      <c r="BA39" s="43"/>
      <c r="BB39" s="43"/>
      <c r="BC39" s="43"/>
      <c r="BD39" s="43"/>
      <c r="BE39" s="43"/>
      <c r="BF39" s="22" t="str">
        <f>IFERROR(VLOOKUP(C39,'спецификация'!B:D,3,0)," ")</f>
        <v>4660417421742</v>
      </c>
      <c r="BG39" s="22"/>
      <c r="BH39" s="22" t="s">
        <v>133</v>
      </c>
      <c r="BI39" s="22"/>
      <c r="BJ39" s="22" t="str">
        <f>IFERROR(VLOOKUP(C39,'спецификация'!B:AA,6,0)," ")</f>
        <v>ЧЗ</v>
      </c>
      <c r="BK39" s="43"/>
      <c r="BL39" s="43"/>
      <c r="BM39" s="22" t="str">
        <f>IFERROR(VLOOKUP(BF39,'спецификация'!D:H,5,0)," ")</f>
        <v>Aqua, Isopropyl Palmitate, Acrylamide/Sodium Acrylate Copolymer, Niacinamide, Urea, Squalane, Helianthus, Annuus (Sunflower) Seed Oil, Mineral Oil, Cyclopentasiloxane,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v>
      </c>
      <c r="BN39" s="43"/>
      <c r="BO39" s="22" t="s">
        <v>600</v>
      </c>
      <c r="BP39" s="43" t="str">
        <f>IFERROR(VLOOKUP(C39,'спецификация'!B:AA,11,0)," ")</f>
        <v/>
      </c>
      <c r="BQ39" s="22" t="s">
        <v>601</v>
      </c>
      <c r="BR39" s="22">
        <v>50.0</v>
      </c>
      <c r="BS39" s="22" t="s">
        <v>139</v>
      </c>
      <c r="BT39" s="43"/>
      <c r="BU39" s="22"/>
      <c r="BV39" s="22" t="s">
        <v>332</v>
      </c>
      <c r="BW39" s="44" t="str">
        <f>IFERROR(VLOOKUP(C39,'спецификация'!B:AA,16,0)," ")</f>
        <v>https://docs.google.com/document/d/1MAA6ZzERRG3dnphO-1JyLfa2yb4d8I9nH72L7T3jQzg/edit?tab=t.0</v>
      </c>
      <c r="BX39" s="43"/>
      <c r="BY39" s="43"/>
      <c r="BZ39" s="45" t="str">
        <f>IFERROR(VLOOKUP(BF39,'спецификация'!D:Y,22,0)," ")</f>
        <v/>
      </c>
      <c r="CA39" s="54">
        <v>46043.0</v>
      </c>
      <c r="CB39" s="46" t="s">
        <v>6649</v>
      </c>
      <c r="CC39" s="43"/>
      <c r="CD39" s="43"/>
      <c r="CE39" s="43"/>
      <c r="CF39" s="43"/>
      <c r="CG39" s="49">
        <f>IFERROR(VLOOKUP(C39,CC!A:D,4,0)," ")</f>
        <v>104.83</v>
      </c>
      <c r="CH39" s="22" t="str">
        <f>IFERROR(VLOOKUP(C39,'спецификация'!B:AA,19,0)," ")</f>
        <v>Восток-плюс</v>
      </c>
      <c r="CI39" s="22"/>
      <c r="CJ39" s="22" t="s">
        <v>605</v>
      </c>
      <c r="CK39" s="22">
        <f>IFERROR(VLOOKUP(C39,CC!K:M,3,0)," ")</f>
        <v>45</v>
      </c>
      <c r="CL39" s="43"/>
      <c r="CM39" s="43"/>
      <c r="CN39" s="43"/>
      <c r="CO39" s="43"/>
      <c r="CP39" s="43"/>
      <c r="CQ39" s="43"/>
      <c r="CR39" s="43"/>
      <c r="CS39" s="43" t="b">
        <v>0</v>
      </c>
      <c r="CT39" s="43" t="b">
        <v>0</v>
      </c>
      <c r="CU39" s="43" t="b">
        <v>0</v>
      </c>
      <c r="CV39" s="43" t="b">
        <v>0</v>
      </c>
      <c r="CW39" s="43"/>
      <c r="CX39" s="43"/>
      <c r="CY39" s="43"/>
      <c r="CZ39" s="43"/>
      <c r="DA39" s="43"/>
      <c r="DB39" s="43"/>
      <c r="DC39" s="43"/>
      <c r="DD39" s="22">
        <f>IFERROR(VLOOKUP($C39,'Лист4'!$D:$AI,27,0)," ")</f>
        <v>1</v>
      </c>
      <c r="DE39" s="22">
        <f>IFERROR(VLOOKUP($C39,'Лист4'!$D:$AI,28,0)," ")</f>
        <v>1</v>
      </c>
      <c r="DF39" s="22">
        <f>IFERROR(VLOOKUP($C39,'Лист4'!$D:$AI,29,0)," ")</f>
        <v>1</v>
      </c>
      <c r="DG39" s="22">
        <f t="shared" si="3"/>
        <v>1</v>
      </c>
      <c r="DH39" s="22">
        <f>IFERROR(VLOOKUP($C39,'Лист4'!$D:$AI,32,0)," ")</f>
        <v>1</v>
      </c>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43"/>
      <c r="EN39" s="43"/>
      <c r="EO39" s="43"/>
      <c r="EP39" s="43"/>
      <c r="EQ39" s="43"/>
      <c r="ER39" s="43"/>
      <c r="ES39" s="43"/>
      <c r="ET39" s="43"/>
      <c r="EU39" s="43"/>
      <c r="EV39" s="43"/>
      <c r="EW39" s="43"/>
      <c r="EX39" s="43"/>
      <c r="EY39" s="43"/>
      <c r="EZ39" s="43"/>
      <c r="FA39" s="43"/>
      <c r="FB39" s="43"/>
      <c r="FC39" s="43"/>
    </row>
    <row r="40" ht="18.0" customHeight="1">
      <c r="A40" s="2"/>
      <c r="B40" s="22" t="str">
        <f>IFERROR(VLOOKUP(C40,'Реестр'!C:AC,27,0)," ")</f>
        <v>Биг-Л</v>
      </c>
      <c r="C40" s="43" t="s">
        <v>750</v>
      </c>
      <c r="D40" s="22" t="str">
        <f>IFERROR(VLOOKUP(C40,'Лист4'!D:P,13,0)," ")</f>
        <v>qeep</v>
      </c>
      <c r="E40" s="22" t="str">
        <f>IF(OR(ISERROR(VLOOKUP(C40,'Актуальность'!A:B,2,0)), VLOOKUP(C40,'Актуальность'!A:B,2,0)=""), "Актуальный", VLOOKUP(C40,'Актуальность'!A:B,2,0))</f>
        <v>Актуальный</v>
      </c>
      <c r="F40" s="43" t="str">
        <f>IFERROR(VLOOKUP(C40,'Актуальность'!A:C,3,0)," ")</f>
        <v>Фокус + КЗ</v>
      </c>
      <c r="G40" s="43"/>
      <c r="H40" s="22" t="s">
        <v>361</v>
      </c>
      <c r="I40" s="22" t="s">
        <v>476</v>
      </c>
      <c r="J40" s="43"/>
      <c r="K40" s="43"/>
      <c r="L40" s="22" t="b">
        <f t="shared" ref="L40:R40" si="36">T40&lt;&gt;""</f>
        <v>1</v>
      </c>
      <c r="M40" s="22" t="b">
        <f t="shared" si="36"/>
        <v>1</v>
      </c>
      <c r="N40" s="22" t="b">
        <f t="shared" si="36"/>
        <v>1</v>
      </c>
      <c r="O40" s="22" t="b">
        <f t="shared" si="36"/>
        <v>1</v>
      </c>
      <c r="P40" s="22" t="b">
        <f t="shared" si="36"/>
        <v>1</v>
      </c>
      <c r="Q40" s="22" t="b">
        <f t="shared" si="36"/>
        <v>0</v>
      </c>
      <c r="R40" s="22" t="b">
        <f t="shared" si="36"/>
        <v>0</v>
      </c>
      <c r="S40" s="43"/>
      <c r="T40" s="43" t="str">
        <f>IFERROR(VLOOKUP( C40,'1С'!A:B,2,0)," ")</f>
        <v>QB101100509</v>
      </c>
      <c r="U40" s="22" t="str">
        <f>IFERROR(VLOOKUP(T40,'Лист4'!C:I,3,0)," ")</f>
        <v>qeep_biotin_10000_60caps</v>
      </c>
      <c r="V40" s="22" t="str">
        <f>IFERROR(VLOOKUP(T40,'Лист4'!C:I,4,0)," ")</f>
        <v>qeep_biotin_10000_60caps</v>
      </c>
      <c r="W40" s="22" t="str">
        <f>IFERROR(VLOOKUP(T40,'Лист4'!C:I,5,0)," ")</f>
        <v>qeep_biotin_10000_60caps</v>
      </c>
      <c r="X40" s="43" t="str">
        <f>IFERROR(VLOOKUP(T40,'Лист4'!C:I,7,0)," ")</f>
        <v>qeep_biotin_10000_60caps</v>
      </c>
      <c r="Y40" s="43" t="str">
        <f>IFERROR(VLOOKUP(T40,'Лист4'!C:I,6,0)," ")</f>
        <v/>
      </c>
      <c r="Z40" s="43"/>
      <c r="AA40" s="43"/>
      <c r="AB40" s="22">
        <v>3.11795896E8</v>
      </c>
      <c r="AC40" s="22">
        <v>1.77339413E9</v>
      </c>
      <c r="AD40" s="22">
        <v>1.03665479999E11</v>
      </c>
      <c r="AE40" s="22">
        <v>9.9000117795E10</v>
      </c>
      <c r="AF40" s="22"/>
      <c r="AG40" s="43"/>
      <c r="AH40" s="43"/>
      <c r="AI40" s="43" t="str">
        <f>IFERROR(VLOOKUP(T40,'1С'!B:C,2,0)," ")</f>
        <v>Биотин 10000 мкг ,qeep, 60 капсул</v>
      </c>
      <c r="AJ40" s="22" t="s">
        <v>754</v>
      </c>
      <c r="AK40" s="22" t="s">
        <v>755</v>
      </c>
      <c r="AL40" s="22" t="s">
        <v>756</v>
      </c>
      <c r="AM40" s="22" t="s">
        <v>757</v>
      </c>
      <c r="AN40" s="43"/>
      <c r="AO40" s="43"/>
      <c r="AP40" s="43"/>
      <c r="AQ40" s="46" t="s">
        <v>758</v>
      </c>
      <c r="AR40" s="46" t="s">
        <v>759</v>
      </c>
      <c r="AS40" s="46" t="s">
        <v>760</v>
      </c>
      <c r="AT40" s="46" t="s">
        <v>761</v>
      </c>
      <c r="AU40" s="43"/>
      <c r="AV40" s="43"/>
      <c r="AW40" s="43"/>
      <c r="AX40" s="22" t="s">
        <v>649</v>
      </c>
      <c r="AY40" s="22" t="s">
        <v>755</v>
      </c>
      <c r="AZ40" s="22" t="s">
        <v>372</v>
      </c>
      <c r="BA40" s="22" t="s">
        <v>373</v>
      </c>
      <c r="BB40" s="43"/>
      <c r="BC40" s="43"/>
      <c r="BD40" s="43"/>
      <c r="BE40" s="43"/>
      <c r="BF40" s="22">
        <f>IFERROR(VLOOKUP(C40,'спецификация'!B:D,3,0)," ")</f>
        <v>4670227416890</v>
      </c>
      <c r="BG40" s="22"/>
      <c r="BH40" s="22" t="str">
        <f>IFERROR(VLOOKUP(C40,'спецификация'!B:AA,5,0)," ")</f>
        <v>ЕАЭС N RU Д-RU.РА03.В.41003/23 от 21.04.2023 до 19.04.2026</v>
      </c>
      <c r="BI40" s="46" t="s">
        <v>763</v>
      </c>
      <c r="BJ40" s="22" t="str">
        <f>IFERROR(VLOOKUP(C40,'спецификация'!B:AA,6,0)," ")</f>
        <v>без ЧЗ</v>
      </c>
      <c r="BK40" s="43"/>
      <c r="BL40" s="43"/>
      <c r="BM40" s="22" t="str">
        <f>IFERROR(VLOOKUP(BF40,'спецификация'!D:H,5,0)," ")</f>
        <v>биотин, микрокристаллическая целлюлоза (носитель), капсула целлюлозная.</v>
      </c>
      <c r="BN40" s="43"/>
      <c r="BO40" s="22" t="str">
        <f>IFERROR(VLOOKUP(C40,'спецификация'!B:AA,10,0)," ")</f>
        <v>взрослым принимать по 1 капсуле 1 раз в день, вне приема пищи. Продолжительность приема: 1 месяц.</v>
      </c>
      <c r="BP40" s="43" t="str">
        <f>IFERROR(VLOOKUP(C40,'спецификация'!B:AA,11,0)," ")</f>
        <v>индивидуальная непереносимость компонентов продукта, беременность, кормление грудью. Перед применением проконсультироваться с врачом.</v>
      </c>
      <c r="BQ40" s="22" t="s">
        <v>711</v>
      </c>
      <c r="BR40" s="22">
        <v>60.0</v>
      </c>
      <c r="BS40" s="22" t="s">
        <v>421</v>
      </c>
      <c r="BT40" s="22"/>
      <c r="BU40" s="22"/>
      <c r="BV40" s="22" t="s">
        <v>307</v>
      </c>
      <c r="BW40" s="44" t="str">
        <f>IFERROR(VLOOKUP(C40,'спецификация'!B:AA,16,0)," ")</f>
        <v>https://docs.google.com/document/d/13hyDvniBc4P4K1GrV4sx8EJIsQ3I-GOIthGYpRptuHg/edit?usp=sharing</v>
      </c>
      <c r="BX40" s="43"/>
      <c r="BY40" s="43"/>
      <c r="BZ40" s="45" t="str">
        <f>IFERROR(VLOOKUP(BF40,'спецификация'!D:Y,22,0)," ")</f>
        <v/>
      </c>
      <c r="CA40" s="43"/>
      <c r="CB40" s="43"/>
      <c r="CC40" s="43"/>
      <c r="CD40" s="43"/>
      <c r="CE40" s="43"/>
      <c r="CF40" s="43"/>
      <c r="CG40" s="49">
        <f>IFERROR(VLOOKUP(C40,CC!A:D,4,0)," ")</f>
        <v>220</v>
      </c>
      <c r="CH40" s="22" t="str">
        <f>IFERROR(VLOOKUP(C40,'спецификация'!B:AA,19,0)," ")</f>
        <v>ООО «Жива Продукт ПРО». 350062, Россия, Краснодарский край, город Краснодар, улица Казбекская, дом 17, кв. (оф.) 85</v>
      </c>
      <c r="CI40" s="22"/>
      <c r="CJ40" s="22" t="s">
        <v>495</v>
      </c>
      <c r="CK40" s="22">
        <f>IFERROR(VLOOKUP(C40,CC!K:M,3,0)," ")</f>
        <v>60</v>
      </c>
      <c r="CL40" s="43"/>
      <c r="CM40" s="43"/>
      <c r="CN40" s="43"/>
      <c r="CO40" s="43"/>
      <c r="CP40" s="43"/>
      <c r="CQ40" s="43"/>
      <c r="CR40" s="43"/>
      <c r="CS40" s="43" t="b">
        <v>0</v>
      </c>
      <c r="CT40" s="43" t="b">
        <v>0</v>
      </c>
      <c r="CU40" s="43" t="b">
        <v>0</v>
      </c>
      <c r="CV40" s="43" t="b">
        <v>0</v>
      </c>
      <c r="CW40" s="43"/>
      <c r="CX40" s="43"/>
      <c r="CY40" s="43"/>
      <c r="CZ40" s="43"/>
      <c r="DA40" s="43"/>
      <c r="DB40" s="43"/>
      <c r="DC40" s="43"/>
      <c r="DD40" s="22">
        <f>IFERROR(VLOOKUP($C40,'Лист4'!$D:$AI,27,0)," ")</f>
        <v>12</v>
      </c>
      <c r="DE40" s="22">
        <f>IFERROR(VLOOKUP($C40,'Лист4'!$D:$AI,28,0)," ")</f>
        <v>6</v>
      </c>
      <c r="DF40" s="22">
        <f>IFERROR(VLOOKUP($C40,'Лист4'!$D:$AI,29,0)," ")</f>
        <v>12</v>
      </c>
      <c r="DG40" s="22">
        <f t="shared" si="3"/>
        <v>864</v>
      </c>
      <c r="DH40" s="22">
        <f>IFERROR(VLOOKUP($C40,'Лист4'!$D:$AI,32,0)," ")</f>
        <v>0.074</v>
      </c>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43"/>
      <c r="EN40" s="43"/>
      <c r="EO40" s="43"/>
      <c r="EP40" s="43"/>
      <c r="EQ40" s="43"/>
      <c r="ER40" s="43"/>
      <c r="ES40" s="43"/>
      <c r="ET40" s="43"/>
      <c r="EU40" s="43"/>
      <c r="EV40" s="43"/>
      <c r="EW40" s="43"/>
      <c r="EX40" s="43"/>
      <c r="EY40" s="43"/>
      <c r="EZ40" s="43"/>
      <c r="FA40" s="43"/>
      <c r="FB40" s="43"/>
      <c r="FC40" s="43"/>
    </row>
    <row r="41" ht="18.0" customHeight="1">
      <c r="A41" s="2"/>
      <c r="B41" s="22" t="str">
        <f>IFERROR(VLOOKUP(C41,'Реестр'!C:AC,27,0)," ")</f>
        <v>Биг-Л</v>
      </c>
      <c r="C41" s="43" t="s">
        <v>768</v>
      </c>
      <c r="D41" s="22" t="str">
        <f>IFERROR(VLOOKUP(C41,'Лист4'!D:P,13,0)," ")</f>
        <v>qeep</v>
      </c>
      <c r="E41" s="22" t="str">
        <f>IF(OR(ISERROR(VLOOKUP(C41,'Актуальность'!A:B,2,0)), VLOOKUP(C41,'Актуальность'!A:B,2,0)=""), "Актуальный", VLOOKUP(C41,'Актуальность'!A:B,2,0))</f>
        <v>Актуальный</v>
      </c>
      <c r="F41" s="43" t="str">
        <f>IFERROR(VLOOKUP(C41,'Актуальность'!A:C,3,0)," ")</f>
        <v/>
      </c>
      <c r="G41" s="43"/>
      <c r="H41" s="22" t="s">
        <v>361</v>
      </c>
      <c r="I41" s="22" t="s">
        <v>476</v>
      </c>
      <c r="J41" s="43"/>
      <c r="K41" s="43"/>
      <c r="L41" s="22" t="b">
        <f t="shared" ref="L41:R41" si="37">T41&lt;&gt;""</f>
        <v>1</v>
      </c>
      <c r="M41" s="22" t="b">
        <f t="shared" si="37"/>
        <v>1</v>
      </c>
      <c r="N41" s="22" t="b">
        <f t="shared" si="37"/>
        <v>1</v>
      </c>
      <c r="O41" s="22" t="b">
        <f t="shared" si="37"/>
        <v>1</v>
      </c>
      <c r="P41" s="22" t="b">
        <f t="shared" si="37"/>
        <v>1</v>
      </c>
      <c r="Q41" s="22" t="b">
        <f t="shared" si="37"/>
        <v>0</v>
      </c>
      <c r="R41" s="22" t="b">
        <f t="shared" si="37"/>
        <v>0</v>
      </c>
      <c r="S41" s="43"/>
      <c r="T41" s="43" t="str">
        <f>IFERROR(VLOOKUP( C41,'1С'!A:B,2,0)," ")</f>
        <v>QB101100514</v>
      </c>
      <c r="U41" s="22" t="str">
        <f>IFERROR(VLOOKUP(T41,'Лист4'!C:I,3,0)," ")</f>
        <v>qeep_pqq_30caps</v>
      </c>
      <c r="V41" s="22" t="str">
        <f>IFERROR(VLOOKUP(T41,'Лист4'!C:I,4,0)," ")</f>
        <v>qeep_pqq_30caps</v>
      </c>
      <c r="W41" s="22" t="str">
        <f>IFERROR(VLOOKUP(T41,'Лист4'!C:I,5,0)," ")</f>
        <v>qeep_pqq_30caps</v>
      </c>
      <c r="X41" s="43" t="str">
        <f>IFERROR(VLOOKUP(T41,'Лист4'!C:I,7,0)," ")</f>
        <v>qeep_pqq_30caps</v>
      </c>
      <c r="Y41" s="43" t="str">
        <f>IFERROR(VLOOKUP(T41,'Лист4'!C:I,6,0)," ")</f>
        <v/>
      </c>
      <c r="Z41" s="43"/>
      <c r="AA41" s="43"/>
      <c r="AB41" s="22">
        <v>3.02436449E8</v>
      </c>
      <c r="AC41" s="22">
        <v>1.785810392E9</v>
      </c>
      <c r="AD41" s="22">
        <v>1.03689767957E11</v>
      </c>
      <c r="AE41" s="22">
        <v>9.9000117793E10</v>
      </c>
      <c r="AF41" s="22"/>
      <c r="AG41" s="43"/>
      <c r="AH41" s="43"/>
      <c r="AI41" s="43" t="str">
        <f>IFERROR(VLOOKUP(T41,'1С'!B:C,2,0)," ")</f>
        <v>PQQ Q10 Витамины для сердца ,qeep, 30 капсул</v>
      </c>
      <c r="AJ41" s="22" t="s">
        <v>771</v>
      </c>
      <c r="AK41" s="22" t="s">
        <v>772</v>
      </c>
      <c r="AL41" s="22" t="s">
        <v>773</v>
      </c>
      <c r="AM41" s="22" t="s">
        <v>774</v>
      </c>
      <c r="AN41" s="43"/>
      <c r="AO41" s="43"/>
      <c r="AP41" s="43"/>
      <c r="AQ41" s="46" t="s">
        <v>775</v>
      </c>
      <c r="AR41" s="46" t="s">
        <v>776</v>
      </c>
      <c r="AS41" s="46" t="s">
        <v>777</v>
      </c>
      <c r="AT41" s="43"/>
      <c r="AU41" s="43"/>
      <c r="AV41" s="43"/>
      <c r="AW41" s="43"/>
      <c r="AX41" s="22" t="s">
        <v>649</v>
      </c>
      <c r="AY41" s="22" t="s">
        <v>772</v>
      </c>
      <c r="AZ41" s="22" t="s">
        <v>372</v>
      </c>
      <c r="BA41" s="22" t="s">
        <v>778</v>
      </c>
      <c r="BB41" s="43"/>
      <c r="BC41" s="43"/>
      <c r="BD41" s="43"/>
      <c r="BE41" s="43"/>
      <c r="BF41" s="22">
        <f>IFERROR(VLOOKUP(C41,'спецификация'!B:D,3,0)," ")</f>
        <v>4680162842876</v>
      </c>
      <c r="BG41" s="22">
        <v>2.914698E9</v>
      </c>
      <c r="BH41" s="22" t="str">
        <f>IFERROR(VLOOKUP(C41,'спецификация'!B:AA,5,0)," ")</f>
        <v>ЕАЭС N RU Д-RU.РА10.В.31748/24 от 08.11.2024 по 07.11.2029</v>
      </c>
      <c r="BI41" s="46" t="s">
        <v>780</v>
      </c>
      <c r="BJ41" s="22" t="str">
        <f>IFERROR(VLOOKUP(C41,'спецификация'!B:AA,6,0)," ")</f>
        <v>без ЧЗ</v>
      </c>
      <c r="BK41" s="43"/>
      <c r="BL41" s="43"/>
      <c r="BM41" s="22" t="str">
        <f>IFERROR(VLOOKUP(BF41,'спецификация'!D:H,5,0)," ")</f>
        <v>астаксантин, глутатион, коэнзим Q10 (убихинон), пирролохинолинхинона динатриевая соль, микрокристаллическая целлюлоза (носитель), магния стеарат (антислеживающий агент); желатин – оболочка капсулы. </v>
      </c>
      <c r="BN41" s="43"/>
      <c r="BO41" s="22" t="s">
        <v>782</v>
      </c>
      <c r="BP41" s="22" t="s">
        <v>783</v>
      </c>
      <c r="BQ41" s="22" t="s">
        <v>784</v>
      </c>
      <c r="BR41" s="22">
        <v>30.0</v>
      </c>
      <c r="BS41" s="22" t="s">
        <v>421</v>
      </c>
      <c r="BT41" s="22"/>
      <c r="BU41" s="22"/>
      <c r="BV41" s="22" t="s">
        <v>307</v>
      </c>
      <c r="BW41" s="44" t="str">
        <f>IFERROR(VLOOKUP(C41,'спецификация'!B:AA,16,0)," ")</f>
        <v>https://docs.google.com/document/d/1jvekMTUpAs6HSt_spJB0RedxivbBxQB_stcPrNSUEHk/edit?tab=t.0</v>
      </c>
      <c r="BX41" s="43"/>
      <c r="BY41" s="43"/>
      <c r="BZ41" s="45" t="str">
        <f>IFERROR(VLOOKUP(BF41,'спецификация'!D:Y,22,0)," ")</f>
        <v/>
      </c>
      <c r="CA41" s="43"/>
      <c r="CB41" s="43"/>
      <c r="CC41" s="43"/>
      <c r="CD41" s="43"/>
      <c r="CE41" s="43"/>
      <c r="CF41" s="43"/>
      <c r="CG41" s="49">
        <f>IFERROR(VLOOKUP(C41,CC!A:D,4,0)," ")</f>
        <v>490</v>
      </c>
      <c r="CH41" s="22" t="str">
        <f>IFERROR(VLOOKUP(C41,'спецификация'!B:AA,19,0)," ")</f>
        <v>НПК Миламед</v>
      </c>
      <c r="CI41" s="22"/>
      <c r="CJ41" s="22" t="s">
        <v>787</v>
      </c>
      <c r="CK41" s="22">
        <f>IFERROR(VLOOKUP(C41,CC!K:M,3,0)," ")</f>
        <v>90</v>
      </c>
      <c r="CL41" s="43"/>
      <c r="CM41" s="43"/>
      <c r="CN41" s="43"/>
      <c r="CO41" s="43"/>
      <c r="CP41" s="43"/>
      <c r="CQ41" s="43"/>
      <c r="CR41" s="43"/>
      <c r="CS41" s="43" t="b">
        <v>0</v>
      </c>
      <c r="CT41" s="43" t="b">
        <v>0</v>
      </c>
      <c r="CU41" s="43" t="b">
        <v>0</v>
      </c>
      <c r="CV41" s="43" t="b">
        <v>0</v>
      </c>
      <c r="CW41" s="43"/>
      <c r="CX41" s="43"/>
      <c r="CY41" s="43"/>
      <c r="CZ41" s="43"/>
      <c r="DA41" s="43"/>
      <c r="DB41" s="43"/>
      <c r="DC41" s="43"/>
      <c r="DD41" s="22">
        <f>IFERROR(VLOOKUP($C41,'Лист4'!$D:$AI,27,0)," ")</f>
        <v>9</v>
      </c>
      <c r="DE41" s="22">
        <f>IFERROR(VLOOKUP($C41,'Лист4'!$D:$AI,28,0)," ")</f>
        <v>4</v>
      </c>
      <c r="DF41" s="22">
        <f>IFERROR(VLOOKUP($C41,'Лист4'!$D:$AI,29,0)," ")</f>
        <v>9</v>
      </c>
      <c r="DG41" s="22">
        <f t="shared" si="3"/>
        <v>324</v>
      </c>
      <c r="DH41" s="22">
        <f>IFERROR(VLOOKUP($C41,'Лист4'!$D:$AI,32,0)," ")</f>
        <v>0.043</v>
      </c>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43"/>
      <c r="EN41" s="43"/>
      <c r="EO41" s="43"/>
      <c r="EP41" s="43"/>
      <c r="EQ41" s="43"/>
      <c r="ER41" s="43"/>
      <c r="ES41" s="43"/>
      <c r="ET41" s="43"/>
      <c r="EU41" s="43"/>
      <c r="EV41" s="43"/>
      <c r="EW41" s="43"/>
      <c r="EX41" s="43"/>
      <c r="EY41" s="43"/>
      <c r="EZ41" s="43"/>
      <c r="FA41" s="43"/>
      <c r="FB41" s="43"/>
      <c r="FC41" s="43"/>
    </row>
    <row r="42" ht="18.0" customHeight="1">
      <c r="A42" s="2"/>
      <c r="B42" s="22" t="str">
        <f>IFERROR(VLOOKUP(C42,'Реестр'!C:AC,27,0)," ")</f>
        <v>Биг-Л</v>
      </c>
      <c r="C42" s="43" t="s">
        <v>788</v>
      </c>
      <c r="D42" s="22" t="str">
        <f>IFERROR(VLOOKUP(C42,'Лист4'!D:P,13,0)," ")</f>
        <v>qeep</v>
      </c>
      <c r="E42" s="22" t="str">
        <f>IF(OR(ISERROR(VLOOKUP(C42,'Актуальность'!A:B,2,0)), VLOOKUP(C42,'Актуальность'!A:B,2,0)=""), "Актуальный", VLOOKUP(C42,'Актуальность'!A:B,2,0))</f>
        <v>Актуальный</v>
      </c>
      <c r="F42" s="43" t="str">
        <f>IFERROR(VLOOKUP(C42,'Актуальность'!A:C,3,0)," ")</f>
        <v/>
      </c>
      <c r="G42" s="43"/>
      <c r="H42" s="22" t="s">
        <v>361</v>
      </c>
      <c r="I42" s="22" t="s">
        <v>476</v>
      </c>
      <c r="J42" s="43"/>
      <c r="K42" s="43"/>
      <c r="L42" s="22" t="b">
        <f t="shared" ref="L42:R42" si="38">T42&lt;&gt;""</f>
        <v>1</v>
      </c>
      <c r="M42" s="22" t="b">
        <f t="shared" si="38"/>
        <v>1</v>
      </c>
      <c r="N42" s="22" t="b">
        <f t="shared" si="38"/>
        <v>1</v>
      </c>
      <c r="O42" s="22" t="b">
        <f t="shared" si="38"/>
        <v>1</v>
      </c>
      <c r="P42" s="22" t="b">
        <f t="shared" si="38"/>
        <v>0</v>
      </c>
      <c r="Q42" s="22" t="b">
        <f t="shared" si="38"/>
        <v>0</v>
      </c>
      <c r="R42" s="22" t="b">
        <f t="shared" si="38"/>
        <v>0</v>
      </c>
      <c r="S42" s="43"/>
      <c r="T42" s="43" t="str">
        <f>IFERROR(VLOOKUP( C42,'1С'!A:B,2,0)," ")</f>
        <v>QB101100508</v>
      </c>
      <c r="U42" s="22" t="str">
        <f>IFERROR(VLOOKUP(T42,'Лист4'!C:I,3,0)," ")</f>
        <v>qeep_biopurin_60caps</v>
      </c>
      <c r="V42" s="22" t="str">
        <f>IFERROR(VLOOKUP(T42,'Лист4'!C:I,4,0)," ")</f>
        <v>qeep_biopurin_60caps</v>
      </c>
      <c r="W42" s="22" t="str">
        <f>IFERROR(VLOOKUP(T42,'Лист4'!C:I,5,0)," ")</f>
        <v>qeep_biopurin_60caps</v>
      </c>
      <c r="X42" s="43" t="str">
        <f>IFERROR(VLOOKUP(T42,'Лист4'!C:I,7,0)," ")</f>
        <v/>
      </c>
      <c r="Y42" s="43" t="str">
        <f>IFERROR(VLOOKUP(T42,'Лист4'!C:I,6,0)," ")</f>
        <v/>
      </c>
      <c r="Z42" s="43"/>
      <c r="AA42" s="43"/>
      <c r="AB42" s="22">
        <v>3.37468231E8</v>
      </c>
      <c r="AC42" s="22">
        <v>1.884226546E9</v>
      </c>
      <c r="AD42" s="22">
        <v>1.03812558261E11</v>
      </c>
      <c r="AE42" s="22"/>
      <c r="AF42" s="22"/>
      <c r="AG42" s="43"/>
      <c r="AH42" s="43"/>
      <c r="AI42" s="43" t="str">
        <f>IFERROR(VLOOKUP(T42,'1С'!B:C,2,0)," ")</f>
        <v>Биопурин от подагры ,qeep, 60 капсул</v>
      </c>
      <c r="AJ42" s="22" t="s">
        <v>791</v>
      </c>
      <c r="AK42" s="22" t="s">
        <v>792</v>
      </c>
      <c r="AL42" s="22" t="s">
        <v>793</v>
      </c>
      <c r="AM42" s="43"/>
      <c r="AN42" s="43"/>
      <c r="AO42" s="43"/>
      <c r="AP42" s="43"/>
      <c r="AQ42" s="46" t="s">
        <v>794</v>
      </c>
      <c r="AR42" s="46" t="s">
        <v>795</v>
      </c>
      <c r="AS42" s="46" t="s">
        <v>796</v>
      </c>
      <c r="AT42" s="43"/>
      <c r="AU42" s="43"/>
      <c r="AV42" s="43"/>
      <c r="AW42" s="43"/>
      <c r="AX42" s="22" t="s">
        <v>649</v>
      </c>
      <c r="AY42" s="22" t="s">
        <v>792</v>
      </c>
      <c r="AZ42" s="22" t="s">
        <v>797</v>
      </c>
      <c r="BA42" s="43"/>
      <c r="BB42" s="43"/>
      <c r="BC42" s="43"/>
      <c r="BD42" s="43"/>
      <c r="BE42" s="43"/>
      <c r="BF42" s="22" t="str">
        <f>IFERROR(VLOOKUP(C42,'спецификация'!B:D,3,0)," ")</f>
        <v>4610030634050</v>
      </c>
      <c r="BG42" s="22"/>
      <c r="BH42" s="22" t="str">
        <f>IFERROR(VLOOKUP(C42,'спецификация'!B:AA,5,0)," ")</f>
        <v>ЕАЭС N RU Д-RU.РА11.В.10611/24 от 03.12.2024 по 02.12.2029</v>
      </c>
      <c r="BI42" s="46" t="s">
        <v>800</v>
      </c>
      <c r="BJ42" s="22" t="str">
        <f>IFERROR(VLOOKUP(C42,'спецификация'!B:AA,6,0)," ")</f>
        <v>без ЧЗ</v>
      </c>
      <c r="BK42" s="43"/>
      <c r="BL42" s="43"/>
      <c r="BM42" s="22" t="str">
        <f>IFERROR(VLOOKUP(BF42,'спецификация'!D:H,5,0)," ")</f>
        <v>экстракт мартинии душистой, экстракт хвоща, экстракт чистотела, экстракт босвелии, экстракт корня солодки, агент антислёживающий: диоксид кремния аморфный, агент антислёживающий: магниевая соль стеариновой кислоты, оболочка капсулы белого цвета (желатин, краситель оксид цинка), целлюлоза микрокристаллическая.</v>
      </c>
      <c r="BN42" s="43"/>
      <c r="BO42" s="22" t="s">
        <v>802</v>
      </c>
      <c r="BP42" s="22" t="s">
        <v>675</v>
      </c>
      <c r="BQ42" s="22" t="s">
        <v>784</v>
      </c>
      <c r="BR42" s="22">
        <v>60.0</v>
      </c>
      <c r="BS42" s="22" t="s">
        <v>421</v>
      </c>
      <c r="BT42" s="22"/>
      <c r="BU42" s="22"/>
      <c r="BV42" s="22" t="s">
        <v>307</v>
      </c>
      <c r="BW42" s="44" t="str">
        <f>IFERROR(VLOOKUP(C42,'спецификация'!B:AA,16,0)," ")</f>
        <v>https://docs.google.com/document/d/13YTmPCWXCsDtYIPf6uCLMEQ31B-h9-WRJ5gKLA_hAFg/edit?tab=t.0</v>
      </c>
      <c r="BX42" s="43"/>
      <c r="BY42" s="43"/>
      <c r="BZ42" s="45" t="str">
        <f>IFERROR(VLOOKUP(BF42,'спецификация'!D:Y,22,0)," ")</f>
        <v/>
      </c>
      <c r="CA42" s="43"/>
      <c r="CB42" s="43"/>
      <c r="CC42" s="43"/>
      <c r="CD42" s="43"/>
      <c r="CE42" s="43"/>
      <c r="CF42" s="43"/>
      <c r="CG42" s="49">
        <f>IFERROR(VLOOKUP(C42,CC!A:D,4,0)," ")</f>
        <v>182.97</v>
      </c>
      <c r="CH42" s="22" t="str">
        <f>IFERROR(VLOOKUP(C42,'спецификация'!B:AA,19,0)," ")</f>
        <v>ООО "ЗдравФарм"</v>
      </c>
      <c r="CI42" s="22"/>
      <c r="CJ42" s="22" t="s">
        <v>805</v>
      </c>
      <c r="CK42" s="22">
        <f>IFERROR(VLOOKUP(C42,CC!K:M,3,0)," ")</f>
        <v>90</v>
      </c>
      <c r="CL42" s="43"/>
      <c r="CM42" s="43"/>
      <c r="CN42" s="43"/>
      <c r="CO42" s="43"/>
      <c r="CP42" s="43"/>
      <c r="CQ42" s="43"/>
      <c r="CR42" s="43"/>
      <c r="CS42" s="43" t="b">
        <v>0</v>
      </c>
      <c r="CT42" s="43" t="b">
        <v>0</v>
      </c>
      <c r="CU42" s="43" t="b">
        <v>0</v>
      </c>
      <c r="CV42" s="43" t="b">
        <v>0</v>
      </c>
      <c r="CW42" s="43"/>
      <c r="CX42" s="43"/>
      <c r="CY42" s="43"/>
      <c r="CZ42" s="43"/>
      <c r="DA42" s="43"/>
      <c r="DB42" s="43"/>
      <c r="DC42" s="43"/>
      <c r="DD42" s="22">
        <f>IFERROR(VLOOKUP($C42,'Лист4'!$D:$AI,27,0)," ")</f>
        <v>5</v>
      </c>
      <c r="DE42" s="22">
        <f>IFERROR(VLOOKUP($C42,'Лист4'!$D:$AI,28,0)," ")</f>
        <v>9</v>
      </c>
      <c r="DF42" s="22">
        <f>IFERROR(VLOOKUP($C42,'Лист4'!$D:$AI,29,0)," ")</f>
        <v>5</v>
      </c>
      <c r="DG42" s="22">
        <f t="shared" si="3"/>
        <v>225</v>
      </c>
      <c r="DH42" s="22">
        <f>IFERROR(VLOOKUP($C42,'Лист4'!$D:$AI,32,0)," ")</f>
        <v>0.047</v>
      </c>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43"/>
      <c r="EN42" s="43"/>
      <c r="EO42" s="43"/>
      <c r="EP42" s="43"/>
      <c r="EQ42" s="43"/>
      <c r="ER42" s="43"/>
      <c r="ES42" s="43"/>
      <c r="ET42" s="43"/>
      <c r="EU42" s="43"/>
      <c r="EV42" s="43"/>
      <c r="EW42" s="43"/>
      <c r="EX42" s="43"/>
      <c r="EY42" s="43"/>
      <c r="EZ42" s="43"/>
      <c r="FA42" s="43"/>
      <c r="FB42" s="43"/>
      <c r="FC42" s="43"/>
    </row>
    <row r="43" ht="18.0" customHeight="1">
      <c r="A43" s="2"/>
      <c r="B43" s="22" t="str">
        <f>IFERROR(VLOOKUP(C43,'Реестр'!C:AC,27,0)," ")</f>
        <v>Биг-Л</v>
      </c>
      <c r="C43" s="43" t="s">
        <v>806</v>
      </c>
      <c r="D43" s="22" t="str">
        <f>IFERROR(VLOOKUP(C43,'Лист4'!D:P,13,0)," ")</f>
        <v>qeep</v>
      </c>
      <c r="E43" s="22" t="str">
        <f>IF(OR(ISERROR(VLOOKUP(C43,'Актуальность'!A:B,2,0)), VLOOKUP(C43,'Актуальность'!A:B,2,0)=""), "Актуальный", VLOOKUP(C43,'Актуальность'!A:B,2,0))</f>
        <v>Вывод</v>
      </c>
      <c r="F43" s="43" t="str">
        <f>IFERROR(VLOOKUP(C43,'Актуальность'!A:C,3,0)," ")</f>
        <v>Неконкурентная цена</v>
      </c>
      <c r="G43" s="43"/>
      <c r="H43" s="22" t="s">
        <v>361</v>
      </c>
      <c r="I43" s="22" t="s">
        <v>476</v>
      </c>
      <c r="J43" s="43"/>
      <c r="K43" s="43"/>
      <c r="L43" s="22" t="b">
        <f t="shared" ref="L43:R43" si="39">T43&lt;&gt;""</f>
        <v>1</v>
      </c>
      <c r="M43" s="22" t="b">
        <f t="shared" si="39"/>
        <v>1</v>
      </c>
      <c r="N43" s="22" t="b">
        <f t="shared" si="39"/>
        <v>1</v>
      </c>
      <c r="O43" s="22" t="b">
        <f t="shared" si="39"/>
        <v>1</v>
      </c>
      <c r="P43" s="22" t="b">
        <f t="shared" si="39"/>
        <v>0</v>
      </c>
      <c r="Q43" s="22" t="b">
        <f t="shared" si="39"/>
        <v>0</v>
      </c>
      <c r="R43" s="22" t="b">
        <f t="shared" si="39"/>
        <v>0</v>
      </c>
      <c r="S43" s="43"/>
      <c r="T43" s="43" t="str">
        <f>IFERROR(VLOOKUP( C43,'1С'!A:B,2,0)," ")</f>
        <v>QB101100411</v>
      </c>
      <c r="U43" s="22" t="str">
        <f>IFERROR(VLOOKUP(T43,'Лист4'!C:I,3,0)," ")</f>
        <v>qeep_bcomplex_90caps</v>
      </c>
      <c r="V43" s="22" t="str">
        <f>IFERROR(VLOOKUP(T43,'Лист4'!C:I,4,0)," ")</f>
        <v>qeep_bcomplex_90caps</v>
      </c>
      <c r="W43" s="22" t="str">
        <f>IFERROR(VLOOKUP(T43,'Лист4'!C:I,5,0)," ")</f>
        <v>qeep_bcomplex_90caps</v>
      </c>
      <c r="X43" s="43" t="str">
        <f>IFERROR(VLOOKUP(T43,'Лист4'!C:I,7,0)," ")</f>
        <v/>
      </c>
      <c r="Y43" s="43" t="str">
        <f>IFERROR(VLOOKUP(T43,'Лист4'!C:I,6,0)," ")</f>
        <v/>
      </c>
      <c r="Z43" s="43"/>
      <c r="AA43" s="43"/>
      <c r="AB43" s="22">
        <v>2.060201E8</v>
      </c>
      <c r="AC43" s="22">
        <v>1.408084489E9</v>
      </c>
      <c r="AD43" s="22"/>
      <c r="AE43" s="22"/>
      <c r="AF43" s="22"/>
      <c r="AG43" s="43"/>
      <c r="AH43" s="43"/>
      <c r="AI43" s="43" t="str">
        <f>IFERROR(VLOOKUP(T43,'1С'!B:C,2,0)," ")</f>
        <v>БАД Витамины группы B ,qeep, 90 капсул</v>
      </c>
      <c r="AJ43" s="22" t="s">
        <v>810</v>
      </c>
      <c r="AK43" s="22" t="s">
        <v>811</v>
      </c>
      <c r="AL43" s="43"/>
      <c r="AM43" s="43"/>
      <c r="AN43" s="43"/>
      <c r="AO43" s="43"/>
      <c r="AP43" s="43"/>
      <c r="AQ43" s="46" t="s">
        <v>812</v>
      </c>
      <c r="AR43" s="46" t="s">
        <v>813</v>
      </c>
      <c r="AS43" s="43"/>
      <c r="AT43" s="43"/>
      <c r="AU43" s="43"/>
      <c r="AV43" s="43"/>
      <c r="AW43" s="43"/>
      <c r="AX43" s="22" t="s">
        <v>361</v>
      </c>
      <c r="AY43" s="22" t="s">
        <v>811</v>
      </c>
      <c r="AZ43" s="43"/>
      <c r="BA43" s="43"/>
      <c r="BB43" s="43"/>
      <c r="BC43" s="43"/>
      <c r="BD43" s="43"/>
      <c r="BE43" s="43"/>
      <c r="BF43" s="22">
        <f>IFERROR(VLOOKUP(C43,'спецификация'!B:D,3,0)," ")</f>
        <v>4620153906576</v>
      </c>
      <c r="BG43" s="22">
        <v>2.106909808E9</v>
      </c>
      <c r="BH43" s="22" t="str">
        <f>IFERROR(VLOOKUP(C43,'спецификация'!B:AA,5,0)," ")</f>
        <v>RU.77.99.11.003.R.001885.07.23 от 18.07.2023 г.</v>
      </c>
      <c r="BI43" s="46" t="s">
        <v>815</v>
      </c>
      <c r="BJ43" s="22" t="str">
        <f>IFERROR(VLOOKUP(C43,'спецификация'!B:AA,6,0)," ")</f>
        <v>ЧЗ</v>
      </c>
      <c r="BK43" s="43"/>
      <c r="BL43" s="43"/>
      <c r="BM43" s="22" t="str">
        <f>IFERROR(VLOOKUP(BF43,'спецификация'!D:H,5,0)," ")</f>
        <v>витамин В3 (никотинамид), витамин В5 (пантотенат кальция), кальциевая соль стеариновой кислоты (агент антислеживающий), кремния диоксид (агент антислеживающий), витамин В6 (пиридоксина гидрохлорид), витамин В1 (тиамина гидрохлорид), витамин В2 (рибофлавин), витамин В9 (L-метилфолат кальция), витамин Н (биотин), витамин В12 (метилкобаламин). целлюлоза микрокристаллическая (носитель), парааминобензойная кислота, крахмал картофельный (носитель), капсула желатиновая (желатин (носитель), глицерин (агент влагоудерживающий)),</v>
      </c>
      <c r="BN43" s="43"/>
      <c r="BO43" s="22" t="s">
        <v>817</v>
      </c>
      <c r="BP43" s="22" t="s">
        <v>675</v>
      </c>
      <c r="BQ43" s="22" t="s">
        <v>784</v>
      </c>
      <c r="BR43" s="22">
        <v>90.0</v>
      </c>
      <c r="BS43" s="22" t="s">
        <v>492</v>
      </c>
      <c r="BT43" s="43"/>
      <c r="BU43" s="22"/>
      <c r="BV43" s="22" t="s">
        <v>307</v>
      </c>
      <c r="BW43" s="44" t="str">
        <f>IFERROR(VLOOKUP(C43,'спецификация'!B:AA,16,0)," ")</f>
        <v>https://docs.google.com/document/d/1gKWYWK8CR0ynPcSLie6iQAJD1n0kQ3YKkTGHmbWGNRo/edit?usp=sharing</v>
      </c>
      <c r="BX43" s="43"/>
      <c r="BY43" s="43"/>
      <c r="BZ43" s="45" t="str">
        <f>IFERROR(VLOOKUP(BF43,'спецификация'!D:Y,22,0)," ")</f>
        <v/>
      </c>
      <c r="CA43" s="43"/>
      <c r="CB43" s="43"/>
      <c r="CC43" s="43"/>
      <c r="CD43" s="43"/>
      <c r="CE43" s="43"/>
      <c r="CF43" s="43"/>
      <c r="CG43" s="49">
        <f>IFERROR(VLOOKUP(C43,CC!A:D,4,0)," ")</f>
        <v>220.77</v>
      </c>
      <c r="CH43" s="22" t="str">
        <f>IFERROR(VLOOKUP(C43,'спецификация'!B:AA,19,0)," ")</f>
        <v>ООО «Сибфармконтракт»</v>
      </c>
      <c r="CI43" s="22"/>
      <c r="CJ43" s="22" t="s">
        <v>562</v>
      </c>
      <c r="CK43" s="22">
        <f>IFERROR(VLOOKUP(C43,CC!K:M,3,0)," ")</f>
        <v>90</v>
      </c>
      <c r="CL43" s="43"/>
      <c r="CM43" s="43"/>
      <c r="CN43" s="43"/>
      <c r="CO43" s="43"/>
      <c r="CP43" s="43"/>
      <c r="CQ43" s="43"/>
      <c r="CR43" s="43"/>
      <c r="CS43" s="43" t="b">
        <v>0</v>
      </c>
      <c r="CT43" s="43" t="b">
        <v>0</v>
      </c>
      <c r="CU43" s="43" t="b">
        <v>0</v>
      </c>
      <c r="CV43" s="43" t="b">
        <v>0</v>
      </c>
      <c r="CW43" s="43"/>
      <c r="CX43" s="43"/>
      <c r="CY43" s="43"/>
      <c r="CZ43" s="43"/>
      <c r="DA43" s="43"/>
      <c r="DB43" s="43"/>
      <c r="DC43" s="43"/>
      <c r="DD43" s="22">
        <f>IFERROR(VLOOKUP($C43,'Лист4'!$D:$AI,27,0)," ")</f>
        <v>4</v>
      </c>
      <c r="DE43" s="22">
        <f>IFERROR(VLOOKUP($C43,'Лист4'!$D:$AI,28,0)," ")</f>
        <v>9</v>
      </c>
      <c r="DF43" s="22">
        <f>IFERROR(VLOOKUP($C43,'Лист4'!$D:$AI,29,0)," ")</f>
        <v>4</v>
      </c>
      <c r="DG43" s="22">
        <f t="shared" si="3"/>
        <v>144</v>
      </c>
      <c r="DH43" s="22">
        <f>IFERROR(VLOOKUP($C43,'Лист4'!$D:$AI,32,0)," ")</f>
        <v>0.062</v>
      </c>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43"/>
      <c r="EN43" s="43"/>
      <c r="EO43" s="43"/>
      <c r="EP43" s="43"/>
      <c r="EQ43" s="43"/>
      <c r="ER43" s="43"/>
      <c r="ES43" s="43"/>
      <c r="ET43" s="43"/>
      <c r="EU43" s="43"/>
      <c r="EV43" s="43"/>
      <c r="EW43" s="43"/>
      <c r="EX43" s="43"/>
      <c r="EY43" s="43"/>
      <c r="EZ43" s="43"/>
      <c r="FA43" s="43"/>
      <c r="FB43" s="43"/>
      <c r="FC43" s="43"/>
    </row>
    <row r="44" ht="18.0" customHeight="1">
      <c r="A44" s="2"/>
      <c r="B44" s="22" t="str">
        <f>IFERROR(VLOOKUP(C44,'Реестр'!C:AC,27,0)," ")</f>
        <v>Биг-Л</v>
      </c>
      <c r="C44" s="43" t="s">
        <v>819</v>
      </c>
      <c r="D44" s="22" t="str">
        <f>IFERROR(VLOOKUP(C44,'Лист4'!D:P,13,0)," ")</f>
        <v>qeep</v>
      </c>
      <c r="E44" s="22" t="str">
        <f>IF(OR(ISERROR(VLOOKUP(C44,'Актуальность'!A:B,2,0)), VLOOKUP(C44,'Актуальность'!A:B,2,0)=""), "Актуальный", VLOOKUP(C44,'Актуальность'!A:B,2,0))</f>
        <v>Актуальный</v>
      </c>
      <c r="F44" s="43" t="str">
        <f>IFERROR(VLOOKUP(C44,'Актуальность'!A:C,3,0)," ")</f>
        <v>Фокус + КЗ</v>
      </c>
      <c r="G44" s="43"/>
      <c r="H44" s="22" t="s">
        <v>361</v>
      </c>
      <c r="I44" s="22" t="s">
        <v>476</v>
      </c>
      <c r="J44" s="43"/>
      <c r="K44" s="43"/>
      <c r="L44" s="22" t="b">
        <f t="shared" ref="L44:R44" si="40">T44&lt;&gt;""</f>
        <v>1</v>
      </c>
      <c r="M44" s="22" t="b">
        <f t="shared" si="40"/>
        <v>1</v>
      </c>
      <c r="N44" s="22" t="b">
        <f t="shared" si="40"/>
        <v>1</v>
      </c>
      <c r="O44" s="22" t="b">
        <f t="shared" si="40"/>
        <v>1</v>
      </c>
      <c r="P44" s="22" t="b">
        <f t="shared" si="40"/>
        <v>1</v>
      </c>
      <c r="Q44" s="22" t="b">
        <f t="shared" si="40"/>
        <v>0</v>
      </c>
      <c r="R44" s="22" t="b">
        <f t="shared" si="40"/>
        <v>0</v>
      </c>
      <c r="S44" s="43"/>
      <c r="T44" s="43" t="str">
        <f>IFERROR(VLOOKUP( C44,'1С'!A:B,2,0)," ")</f>
        <v>QB101100412</v>
      </c>
      <c r="U44" s="22" t="str">
        <f>IFERROR(VLOOKUP(T44,'Лист4'!C:I,3,0)," ")</f>
        <v>qeep_perfectwoman_60caps</v>
      </c>
      <c r="V44" s="22" t="str">
        <f>IFERROR(VLOOKUP(T44,'Лист4'!C:I,4,0)," ")</f>
        <v>qeep_perfectwoman_60caps</v>
      </c>
      <c r="W44" s="22" t="str">
        <f>IFERROR(VLOOKUP(T44,'Лист4'!C:I,5,0)," ")</f>
        <v>qeep_perfectwoman_60caps</v>
      </c>
      <c r="X44" s="43" t="str">
        <f>IFERROR(VLOOKUP(T44,'Лист4'!C:I,7,0)," ")</f>
        <v>qeep_perfectwoman_60caps</v>
      </c>
      <c r="Y44" s="43" t="str">
        <f>IFERROR(VLOOKUP(T44,'Лист4'!C:I,6,0)," ")</f>
        <v/>
      </c>
      <c r="Z44" s="43"/>
      <c r="AA44" s="43"/>
      <c r="AB44" s="22">
        <v>2.16488606E8</v>
      </c>
      <c r="AC44" s="22">
        <v>1.500211407E9</v>
      </c>
      <c r="AD44" s="22">
        <v>1.03398256606E11</v>
      </c>
      <c r="AE44" s="22">
        <v>9.9000118341E10</v>
      </c>
      <c r="AF44" s="22"/>
      <c r="AG44" s="43"/>
      <c r="AH44" s="43"/>
      <c r="AI44" s="43" t="str">
        <f>IFERROR(VLOOKUP(T44,'1С'!B:C,2,0)," ")</f>
        <v>БАД Витамины для женщин ,qeep, 60 капсул</v>
      </c>
      <c r="AJ44" s="22" t="s">
        <v>822</v>
      </c>
      <c r="AK44" s="22" t="s">
        <v>823</v>
      </c>
      <c r="AL44" s="22" t="s">
        <v>824</v>
      </c>
      <c r="AM44" s="22" t="s">
        <v>825</v>
      </c>
      <c r="AN44" s="43"/>
      <c r="AO44" s="43"/>
      <c r="AP44" s="43"/>
      <c r="AQ44" s="46" t="s">
        <v>826</v>
      </c>
      <c r="AR44" s="46" t="s">
        <v>827</v>
      </c>
      <c r="AS44" s="46" t="s">
        <v>828</v>
      </c>
      <c r="AT44" s="43"/>
      <c r="AU44" s="43"/>
      <c r="AV44" s="43"/>
      <c r="AW44" s="43"/>
      <c r="AX44" s="22" t="s">
        <v>361</v>
      </c>
      <c r="AY44" s="22" t="s">
        <v>823</v>
      </c>
      <c r="AZ44" s="22" t="s">
        <v>372</v>
      </c>
      <c r="BA44" s="22" t="s">
        <v>778</v>
      </c>
      <c r="BB44" s="43"/>
      <c r="BC44" s="43"/>
      <c r="BD44" s="43"/>
      <c r="BE44" s="43"/>
      <c r="BF44" s="22">
        <f>IFERROR(VLOOKUP(C44,'спецификация'!B:D,3,0)," ")</f>
        <v>4680162842333</v>
      </c>
      <c r="BG44" s="22">
        <v>2.106909808E9</v>
      </c>
      <c r="BH44" s="22" t="str">
        <f>IFERROR(VLOOKUP(C44,'спецификация'!B:AA,5,0)," ")</f>
        <v>RU.77.99.11.003.R.001764.07.23 от 11.07.2023</v>
      </c>
      <c r="BI44" s="46" t="s">
        <v>830</v>
      </c>
      <c r="BJ44" s="22" t="str">
        <f>IFERROR(VLOOKUP(C44,'спецификация'!B:AA,6,0)," ")</f>
        <v>ЧЗ</v>
      </c>
      <c r="BK44" s="43"/>
      <c r="BL44" s="43"/>
      <c r="BM44" s="22" t="str">
        <f>IFERROR(VLOOKUP(BF44,'спецификация'!D:H,5,0)," ")</f>
        <v>микрокристаллическая целлюлоза (носитель), желатин (оболочка капсулы), витаминный премикс (лактоза (носитель), L-аскорбат натрия, никотинамид, D-альфа-токоферола ацетат, пантотенат кальция, рибофлавин, пиридоксина гидрохлорид, тиамина мононитрат, ретинола ацетат, фолиевая кислота, D-биотин, холекальциферол, цианокобаламин), метилсульфонилметан, экстракты побегов бамбука, листьев крапивы двудомной, травы хвоща полевого, коллаген гидролизованный говяжий, экстракты цветков клевера лугового, корневищ дикого ямса, меди глюконат.</v>
      </c>
      <c r="BN44" s="43"/>
      <c r="BO44" s="22" t="str">
        <f>IFERROR(VLOOKUP(C44,'спецификация'!B:AA,10,0)," ")</f>
        <v>Взрослым по 1 капсуле 2 раза в день непосредственно после еды. Продолжительность приема – 1 месяц.</v>
      </c>
      <c r="BP44" s="22" t="s">
        <v>675</v>
      </c>
      <c r="BQ44" s="22" t="s">
        <v>784</v>
      </c>
      <c r="BR44" s="22">
        <v>60.0</v>
      </c>
      <c r="BS44" s="22" t="s">
        <v>492</v>
      </c>
      <c r="BT44" s="43"/>
      <c r="BU44" s="22"/>
      <c r="BV44" s="22" t="s">
        <v>307</v>
      </c>
      <c r="BW44" s="44" t="str">
        <f>IFERROR(VLOOKUP(C44,'спецификация'!B:AA,16,0)," ")</f>
        <v>https://docs.google.com/document/d/1QA90Z-gegoCS_9yMWQSy4k5MWVkDIWvVx5oPSvbSSkw/edit?usp=sharing</v>
      </c>
      <c r="BX44" s="43"/>
      <c r="BY44" s="43"/>
      <c r="BZ44" s="45" t="str">
        <f>IFERROR(VLOOKUP(BF44,'спецификация'!D:Y,22,0)," ")</f>
        <v/>
      </c>
      <c r="CA44" s="43"/>
      <c r="CB44" s="43"/>
      <c r="CC44" s="43"/>
      <c r="CD44" s="43"/>
      <c r="CE44" s="43"/>
      <c r="CF44" s="43"/>
      <c r="CG44" s="49">
        <f>IFERROR(VLOOKUP(C44,CC!A:D,4,0)," ")</f>
        <v>250</v>
      </c>
      <c r="CH44" s="22" t="str">
        <f>IFERROR(VLOOKUP(C44,'спецификация'!B:AA,19,0)," ")</f>
        <v>НПК Миламед</v>
      </c>
      <c r="CI44" s="22"/>
      <c r="CJ44" s="22" t="s">
        <v>787</v>
      </c>
      <c r="CK44" s="22">
        <f>IFERROR(VLOOKUP(C44,CC!K:M,3,0)," ")</f>
        <v>90</v>
      </c>
      <c r="CL44" s="43"/>
      <c r="CM44" s="43"/>
      <c r="CN44" s="43"/>
      <c r="CO44" s="43"/>
      <c r="CP44" s="43"/>
      <c r="CQ44" s="43"/>
      <c r="CR44" s="43"/>
      <c r="CS44" s="43" t="b">
        <v>0</v>
      </c>
      <c r="CT44" s="43" t="b">
        <v>0</v>
      </c>
      <c r="CU44" s="43" t="b">
        <v>0</v>
      </c>
      <c r="CV44" s="43" t="b">
        <v>0</v>
      </c>
      <c r="CW44" s="43"/>
      <c r="CX44" s="43"/>
      <c r="CY44" s="43"/>
      <c r="CZ44" s="43"/>
      <c r="DA44" s="43"/>
      <c r="DB44" s="43"/>
      <c r="DC44" s="43"/>
      <c r="DD44" s="22">
        <f>IFERROR(VLOOKUP($C44,'Лист4'!$D:$AI,27,0)," ")</f>
        <v>5</v>
      </c>
      <c r="DE44" s="22">
        <f>IFERROR(VLOOKUP($C44,'Лист4'!$D:$AI,28,0)," ")</f>
        <v>9</v>
      </c>
      <c r="DF44" s="22">
        <f>IFERROR(VLOOKUP($C44,'Лист4'!$D:$AI,29,0)," ")</f>
        <v>5</v>
      </c>
      <c r="DG44" s="22">
        <f t="shared" si="3"/>
        <v>225</v>
      </c>
      <c r="DH44" s="22">
        <f>IFERROR(VLOOKUP($C44,'Лист4'!$D:$AI,32,0)," ")</f>
        <v>0.062</v>
      </c>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43"/>
      <c r="EN44" s="43"/>
      <c r="EO44" s="43"/>
      <c r="EP44" s="43"/>
      <c r="EQ44" s="43"/>
      <c r="ER44" s="43"/>
      <c r="ES44" s="43"/>
      <c r="ET44" s="43"/>
      <c r="EU44" s="43"/>
      <c r="EV44" s="43"/>
      <c r="EW44" s="43"/>
      <c r="EX44" s="43"/>
      <c r="EY44" s="43"/>
      <c r="EZ44" s="43"/>
      <c r="FA44" s="43"/>
      <c r="FB44" s="43"/>
      <c r="FC44" s="43"/>
    </row>
    <row r="45" ht="18.0" customHeight="1">
      <c r="A45" s="2"/>
      <c r="B45" s="22" t="str">
        <f>IFERROR(VLOOKUP(C45,'Реестр'!C:AC,27,0)," ")</f>
        <v>Биг-Л</v>
      </c>
      <c r="C45" s="43" t="s">
        <v>834</v>
      </c>
      <c r="D45" s="22" t="str">
        <f>IFERROR(VLOOKUP(C45,'Лист4'!D:P,13,0)," ")</f>
        <v>qeep</v>
      </c>
      <c r="E45" s="22" t="str">
        <f>IF(OR(ISERROR(VLOOKUP(C45,'Актуальность'!A:B,2,0)), VLOOKUP(C45,'Актуальность'!A:B,2,0)=""), "Актуальный", VLOOKUP(C45,'Актуальность'!A:B,2,0))</f>
        <v>Актуальный</v>
      </c>
      <c r="F45" s="43" t="str">
        <f>IFERROR(VLOOKUP(C45,'Актуальность'!A:C,3,0)," ")</f>
        <v>ПОСТАВКА</v>
      </c>
      <c r="G45" s="43"/>
      <c r="H45" s="22" t="s">
        <v>361</v>
      </c>
      <c r="I45" s="22" t="s">
        <v>476</v>
      </c>
      <c r="J45" s="43"/>
      <c r="K45" s="43"/>
      <c r="L45" s="22" t="b">
        <f t="shared" ref="L45:R45" si="41">T45&lt;&gt;""</f>
        <v>1</v>
      </c>
      <c r="M45" s="22" t="b">
        <f t="shared" si="41"/>
        <v>1</v>
      </c>
      <c r="N45" s="22" t="b">
        <f t="shared" si="41"/>
        <v>1</v>
      </c>
      <c r="O45" s="22" t="b">
        <f t="shared" si="41"/>
        <v>1</v>
      </c>
      <c r="P45" s="22" t="b">
        <f t="shared" si="41"/>
        <v>0</v>
      </c>
      <c r="Q45" s="22" t="b">
        <f t="shared" si="41"/>
        <v>0</v>
      </c>
      <c r="R45" s="22" t="b">
        <f t="shared" si="41"/>
        <v>0</v>
      </c>
      <c r="S45" s="43"/>
      <c r="T45" s="43" t="str">
        <f>IFERROR(VLOOKUP( C45,'1С'!A:B,2,0)," ")</f>
        <v>QB101100424</v>
      </c>
      <c r="U45" s="22" t="str">
        <f>IFERROR(VLOOKUP(T45,'Лист4'!C:I,3,0)," ")</f>
        <v>qeepantioxy</v>
      </c>
      <c r="V45" s="22" t="str">
        <f>IFERROR(VLOOKUP(T45,'Лист4'!C:I,4,0)," ")</f>
        <v>qeepantioxy</v>
      </c>
      <c r="W45" s="22" t="str">
        <f>IFERROR(VLOOKUP(T45,'Лист4'!C:I,5,0)," ")</f>
        <v>qeepantioxy</v>
      </c>
      <c r="X45" s="43" t="str">
        <f>IFERROR(VLOOKUP(T45,'Лист4'!C:I,7,0)," ")</f>
        <v/>
      </c>
      <c r="Y45" s="43" t="str">
        <f>IFERROR(VLOOKUP(T45,'Лист4'!C:I,6,0)," ")</f>
        <v/>
      </c>
      <c r="Z45" s="43"/>
      <c r="AA45" s="43"/>
      <c r="AB45" s="22">
        <v>9.1969061E7</v>
      </c>
      <c r="AC45" s="22">
        <v>6.50452213E8</v>
      </c>
      <c r="AD45" s="22">
        <v>1.0180512067E11</v>
      </c>
      <c r="AE45" s="22"/>
      <c r="AF45" s="22"/>
      <c r="AG45" s="43"/>
      <c r="AH45" s="43"/>
      <c r="AI45" s="43" t="str">
        <f>IFERROR(VLOOKUP(T45,'1С'!B:C,2,0)," ")</f>
        <v>БАД Дигидрокверцетин ,qeep, 30 капсул</v>
      </c>
      <c r="AJ45" s="22" t="s">
        <v>838</v>
      </c>
      <c r="AK45" s="22" t="s">
        <v>839</v>
      </c>
      <c r="AL45" s="22" t="s">
        <v>840</v>
      </c>
      <c r="AM45" s="43"/>
      <c r="AN45" s="43"/>
      <c r="AO45" s="43"/>
      <c r="AP45" s="43"/>
      <c r="AQ45" s="46" t="s">
        <v>841</v>
      </c>
      <c r="AR45" s="46" t="s">
        <v>842</v>
      </c>
      <c r="AS45" s="46" t="s">
        <v>843</v>
      </c>
      <c r="AT45" s="43"/>
      <c r="AU45" s="43"/>
      <c r="AV45" s="43"/>
      <c r="AW45" s="43"/>
      <c r="AX45" s="22" t="s">
        <v>361</v>
      </c>
      <c r="AY45" s="22" t="s">
        <v>839</v>
      </c>
      <c r="AZ45" s="22" t="s">
        <v>372</v>
      </c>
      <c r="BA45" s="43"/>
      <c r="BB45" s="43"/>
      <c r="BC45" s="43"/>
      <c r="BD45" s="43"/>
      <c r="BE45" s="43"/>
      <c r="BF45" s="22" t="str">
        <f>IFERROR(VLOOKUP(C45,'спецификация'!B:D,3,0)," ")</f>
        <v>4630040228506</v>
      </c>
      <c r="BG45" s="22">
        <v>2.106909808E9</v>
      </c>
      <c r="BH45" s="22" t="str">
        <f>IFERROR(VLOOKUP(C45,'спецификация'!B:AA,5,0)," ")</f>
        <v>RU.77.99.88.003.R.000885.03.20 </v>
      </c>
      <c r="BI45" s="22"/>
      <c r="BJ45" s="22" t="str">
        <f>IFERROR(VLOOKUP(C45,'спецификация'!B:AA,6,0)," ")</f>
        <v>ЧЗ</v>
      </c>
      <c r="BK45" s="43"/>
      <c r="BL45" s="43"/>
      <c r="BM45" s="22" t="str">
        <f>IFERROR(VLOOKUP(BF45,'спецификация'!D:H,5,0)," ")</f>
        <v>масло виноградной косточки, капсула желатиновая (желатин, глицерин), витамин С (аскорбил пальмитат), лавитол (дигидрокверцетин), витамин Е (токоферола ацетат), витамин А (ретинола пальмитат), антиокислитель гриндокс (аскорбилпальмитат, натуральный концентрат смеси токоферолов, лецитин, рапсовое масло).</v>
      </c>
      <c r="BN45" s="43"/>
      <c r="BO45" s="22" t="str">
        <f>IFERROR(VLOOKUP(C45,'спецификация'!B:AA,10,0)," ")</f>
        <v>взрослым по 1 капсуле в день во время еды. Продолжительность приёма 1 месяц.</v>
      </c>
      <c r="BP45" s="43" t="str">
        <f>IFERROR(VLOOKUP(C45,'спецификация'!B:AA,11,0),"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45" s="22" t="str">
        <f>IFERROR(VLOOKUP(C45,'спецификация'!B:AA,12,0)," ")</f>
        <v>Хранить в недоступном для детей месте, при температуре от 15 до 25ºС и относительной влажности воздуха не более 60%.</v>
      </c>
      <c r="BR45" s="22">
        <v>30.0</v>
      </c>
      <c r="BS45" s="22" t="s">
        <v>492</v>
      </c>
      <c r="BT45" s="22"/>
      <c r="BU45" s="22"/>
      <c r="BV45" s="22" t="s">
        <v>307</v>
      </c>
      <c r="BW45" s="44" t="str">
        <f>IFERROR(VLOOKUP(C45,'спецификация'!B:AA,16,0)," ")</f>
        <v>https://drive.google.com/drive/u/0/folders/1SFz8_HQVxubQNufAu82-e2JnaongccTm</v>
      </c>
      <c r="BX45" s="43"/>
      <c r="BY45" s="43"/>
      <c r="BZ45" s="44" t="str">
        <f>IFERROR(VLOOKUP(BF45,'спецификация'!D:Y,22,0)," ")</f>
        <v>https://drive.google.com/drive/u/0/folders/1SFz8_HQVxubQNufAu82-e2JnaongccTm</v>
      </c>
      <c r="CA45" s="43"/>
      <c r="CB45" s="43"/>
      <c r="CC45" s="43"/>
      <c r="CD45" s="43"/>
      <c r="CE45" s="43"/>
      <c r="CF45" s="43"/>
      <c r="CG45" s="49">
        <f>IFERROR(VLOOKUP(C45,CC!A:D,4,0)," ")</f>
        <v>144.55</v>
      </c>
      <c r="CH45" s="22" t="s">
        <v>851</v>
      </c>
      <c r="CI45" s="22"/>
      <c r="CJ45" s="22" t="s">
        <v>562</v>
      </c>
      <c r="CK45" s="22" t="str">
        <f>IFERROR(VLOOKUP(C45,CC!K:M,3,0)," ")</f>
        <v> </v>
      </c>
      <c r="CL45" s="43"/>
      <c r="CM45" s="43"/>
      <c r="CN45" s="43"/>
      <c r="CO45" s="43"/>
      <c r="CP45" s="43"/>
      <c r="CQ45" s="43"/>
      <c r="CR45" s="43"/>
      <c r="CS45" s="43" t="b">
        <v>0</v>
      </c>
      <c r="CT45" s="43" t="b">
        <v>0</v>
      </c>
      <c r="CU45" s="43" t="b">
        <v>0</v>
      </c>
      <c r="CV45" s="43" t="b">
        <v>0</v>
      </c>
      <c r="CW45" s="43"/>
      <c r="CX45" s="43"/>
      <c r="CY45" s="43"/>
      <c r="CZ45" s="43"/>
      <c r="DA45" s="43"/>
      <c r="DB45" s="43"/>
      <c r="DC45" s="43"/>
      <c r="DD45" s="22">
        <f>IFERROR(VLOOKUP($C45,'Лист4'!$D:$AI,27,0)," ")</f>
        <v>9</v>
      </c>
      <c r="DE45" s="22">
        <f>IFERROR(VLOOKUP($C45,'Лист4'!$D:$AI,28,0)," ")</f>
        <v>5</v>
      </c>
      <c r="DF45" s="22">
        <f>IFERROR(VLOOKUP($C45,'Лист4'!$D:$AI,29,0)," ")</f>
        <v>9</v>
      </c>
      <c r="DG45" s="22">
        <f t="shared" si="3"/>
        <v>405</v>
      </c>
      <c r="DH45" s="22">
        <f>IFERROR(VLOOKUP($C45,'Лист4'!$D:$AI,32,0)," ")</f>
        <v>0.049</v>
      </c>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43"/>
      <c r="EN45" s="43"/>
      <c r="EO45" s="43"/>
      <c r="EP45" s="43"/>
      <c r="EQ45" s="43"/>
      <c r="ER45" s="43"/>
      <c r="ES45" s="43"/>
      <c r="ET45" s="43"/>
      <c r="EU45" s="43"/>
      <c r="EV45" s="43"/>
      <c r="EW45" s="43"/>
      <c r="EX45" s="43"/>
      <c r="EY45" s="43"/>
      <c r="EZ45" s="43"/>
      <c r="FA45" s="43"/>
      <c r="FB45" s="43"/>
      <c r="FC45" s="43"/>
    </row>
    <row r="46" ht="18.0" customHeight="1">
      <c r="A46" s="2"/>
      <c r="B46" s="22" t="str">
        <f>IFERROR(VLOOKUP(C46,'Реестр'!C:AC,27,0)," ")</f>
        <v>Биг-Л</v>
      </c>
      <c r="C46" s="43" t="s">
        <v>852</v>
      </c>
      <c r="D46" s="22" t="str">
        <f>IFERROR(VLOOKUP(C46,'Лист4'!D:P,13,0)," ")</f>
        <v>qeep</v>
      </c>
      <c r="E46" s="22" t="str">
        <f>IF(OR(ISERROR(VLOOKUP(C46,'Актуальность'!A:B,2,0)), VLOOKUP(C46,'Актуальность'!A:B,2,0)=""), "Актуальный", VLOOKUP(C46,'Актуальность'!A:B,2,0))</f>
        <v>Перезапуск</v>
      </c>
      <c r="F46" s="43" t="str">
        <f>IFERROR(VLOOKUP(C46,'Актуальность'!A:C,3,0)," ")</f>
        <v>Пересмотреть позиционирование - воронка</v>
      </c>
      <c r="G46" s="43"/>
      <c r="H46" s="22" t="s">
        <v>361</v>
      </c>
      <c r="I46" s="22" t="s">
        <v>476</v>
      </c>
      <c r="J46" s="43"/>
      <c r="K46" s="43"/>
      <c r="L46" s="22" t="b">
        <f t="shared" ref="L46:R46" si="42">T46&lt;&gt;""</f>
        <v>1</v>
      </c>
      <c r="M46" s="22" t="b">
        <f t="shared" si="42"/>
        <v>1</v>
      </c>
      <c r="N46" s="22" t="b">
        <f t="shared" si="42"/>
        <v>1</v>
      </c>
      <c r="O46" s="22" t="b">
        <f t="shared" si="42"/>
        <v>1</v>
      </c>
      <c r="P46" s="22" t="b">
        <f t="shared" si="42"/>
        <v>1</v>
      </c>
      <c r="Q46" s="22" t="b">
        <f t="shared" si="42"/>
        <v>0</v>
      </c>
      <c r="R46" s="22" t="b">
        <f t="shared" si="42"/>
        <v>0</v>
      </c>
      <c r="S46" s="43"/>
      <c r="T46" s="43" t="str">
        <f>IFERROR(VLOOKUP( C46,'1С'!A:B,2,0)," ")</f>
        <v>QB101100456</v>
      </c>
      <c r="U46" s="22" t="str">
        <f>IFERROR(VLOOKUP(T46,'Лист4'!C:I,3,0)," ")</f>
        <v>qeep_si_beauty_90caps</v>
      </c>
      <c r="V46" s="22" t="str">
        <f>IFERROR(VLOOKUP(T46,'Лист4'!C:I,4,0)," ")</f>
        <v>qeep_si_beauty_90caps</v>
      </c>
      <c r="W46" s="22" t="str">
        <f>IFERROR(VLOOKUP(T46,'Лист4'!C:I,5,0)," ")</f>
        <v>qeep_si_beauty_90caps</v>
      </c>
      <c r="X46" s="43" t="str">
        <f>IFERROR(VLOOKUP(T46,'Лист4'!C:I,7,0)," ")</f>
        <v>qeep_si_beauty_90caps</v>
      </c>
      <c r="Y46" s="43" t="str">
        <f>IFERROR(VLOOKUP(T46,'Лист4'!C:I,6,0)," ")</f>
        <v/>
      </c>
      <c r="Z46" s="43"/>
      <c r="AA46" s="43"/>
      <c r="AB46" s="22">
        <v>2.06027291E8</v>
      </c>
      <c r="AC46" s="22">
        <v>1.40811628E9</v>
      </c>
      <c r="AD46" s="22">
        <v>1.03398260189E11</v>
      </c>
      <c r="AE46" s="22">
        <v>9.9000118641E10</v>
      </c>
      <c r="AF46" s="22"/>
      <c r="AG46" s="43"/>
      <c r="AH46" s="43"/>
      <c r="AI46" s="43" t="str">
        <f>IFERROR(VLOOKUP(T46,'1С'!B:C,2,0)," ")</f>
        <v>БАД Кремний 35 мг ,qeep, 90 капсул</v>
      </c>
      <c r="AJ46" s="22" t="s">
        <v>857</v>
      </c>
      <c r="AK46" s="22" t="s">
        <v>858</v>
      </c>
      <c r="AL46" s="22" t="s">
        <v>859</v>
      </c>
      <c r="AM46" s="22" t="s">
        <v>860</v>
      </c>
      <c r="AN46" s="43"/>
      <c r="AO46" s="43"/>
      <c r="AP46" s="43"/>
      <c r="AQ46" s="46" t="s">
        <v>861</v>
      </c>
      <c r="AR46" s="46" t="s">
        <v>862</v>
      </c>
      <c r="AS46" s="46" t="s">
        <v>863</v>
      </c>
      <c r="AT46" s="46" t="s">
        <v>864</v>
      </c>
      <c r="AU46" s="43"/>
      <c r="AV46" s="43"/>
      <c r="AW46" s="43"/>
      <c r="AX46" s="22" t="s">
        <v>649</v>
      </c>
      <c r="AY46" s="22" t="s">
        <v>858</v>
      </c>
      <c r="AZ46" s="22" t="s">
        <v>372</v>
      </c>
      <c r="BA46" s="22" t="s">
        <v>373</v>
      </c>
      <c r="BB46" s="43"/>
      <c r="BC46" s="43"/>
      <c r="BD46" s="43"/>
      <c r="BE46" s="43"/>
      <c r="BF46" s="22">
        <f>IFERROR(VLOOKUP(C46,'спецификация'!B:D,3,0)," ")</f>
        <v>4620153906644</v>
      </c>
      <c r="BG46" s="22">
        <v>2.106909808E9</v>
      </c>
      <c r="BH46" s="22" t="str">
        <f>IFERROR(VLOOKUP(C46,'спецификация'!B:AA,5,0)," ")</f>
        <v>RU.77.99.32.003.R.003779.11.22 от 01.11.2022 г.</v>
      </c>
      <c r="BI46" s="46" t="s">
        <v>866</v>
      </c>
      <c r="BJ46" s="22" t="str">
        <f>IFERROR(VLOOKUP(C46,'спецификация'!B:AA,6,0)," ")</f>
        <v>ЧЗ</v>
      </c>
      <c r="BK46" s="43"/>
      <c r="BL46" s="43"/>
      <c r="BM46" s="22" t="str">
        <f>IFERROR(VLOOKUP(BF46,'спецификация'!D:H,5,0)," ")</f>
        <v>хвоща травы экстракт, капсула разъёмная твердая желатиновая (желатин (носитель), глицерин (агент влагоудерживающий)), крахмал картофельный (носитель), бамбука экстракт, витамин С (аскорбиновая кислота), крапивы листа экстракт, гиалуроновая кислота, винограда косточек экстракт, кальциевая соль стеариновой кислоты (агент антислеживающий), кремния диоксид (агент антислеживающий), витамин Н (биотин).</v>
      </c>
      <c r="BN46" s="43"/>
      <c r="BO46" s="22" t="str">
        <f>IFERROR(VLOOKUP(C46,'спецификация'!B:AA,10,0)," ")</f>
        <v>взрослым по 1 капсуле в день во время еды. </v>
      </c>
      <c r="BP46" s="22" t="s">
        <v>675</v>
      </c>
      <c r="BQ46" s="22" t="s">
        <v>784</v>
      </c>
      <c r="BR46" s="22">
        <v>90.0</v>
      </c>
      <c r="BS46" s="22" t="s">
        <v>492</v>
      </c>
      <c r="BT46" s="43"/>
      <c r="BU46" s="22"/>
      <c r="BV46" s="22" t="s">
        <v>307</v>
      </c>
      <c r="BW46" s="44" t="str">
        <f>IFERROR(VLOOKUP(C46,'спецификация'!B:AA,16,0)," ")</f>
        <v>https://docs.google.com/document/d/1SLVMaKVgZB6hCS4R172IbAFGfwyfLUSUqXl3Y0BCyrM/edit?usp=sharing</v>
      </c>
      <c r="BX46" s="43"/>
      <c r="BY46" s="43"/>
      <c r="BZ46" s="45" t="str">
        <f>IFERROR(VLOOKUP(BF46,'спецификация'!D:Y,22,0)," ")</f>
        <v/>
      </c>
      <c r="CA46" s="43"/>
      <c r="CB46" s="43"/>
      <c r="CC46" s="43"/>
      <c r="CD46" s="43"/>
      <c r="CE46" s="43"/>
      <c r="CF46" s="43"/>
      <c r="CG46" s="49">
        <f>IFERROR(VLOOKUP(C46,CC!A:D,4,0)," ")</f>
        <v>443.21</v>
      </c>
      <c r="CH46" s="22" t="str">
        <f>IFERROR(VLOOKUP(C46,'спецификация'!B:AA,19,0)," ")</f>
        <v>ООО «Сибфармконтракт»</v>
      </c>
      <c r="CI46" s="22"/>
      <c r="CJ46" s="22" t="s">
        <v>562</v>
      </c>
      <c r="CK46" s="22">
        <f>IFERROR(VLOOKUP(C46,CC!K:M,3,0)," ")</f>
        <v>90</v>
      </c>
      <c r="CL46" s="43"/>
      <c r="CM46" s="43"/>
      <c r="CN46" s="43"/>
      <c r="CO46" s="43"/>
      <c r="CP46" s="43"/>
      <c r="CQ46" s="43"/>
      <c r="CR46" s="43"/>
      <c r="CS46" s="43" t="b">
        <v>0</v>
      </c>
      <c r="CT46" s="43" t="b">
        <v>0</v>
      </c>
      <c r="CU46" s="43" t="b">
        <v>0</v>
      </c>
      <c r="CV46" s="43" t="b">
        <v>0</v>
      </c>
      <c r="CW46" s="43"/>
      <c r="CX46" s="43"/>
      <c r="CY46" s="43"/>
      <c r="CZ46" s="43"/>
      <c r="DA46" s="43"/>
      <c r="DB46" s="43"/>
      <c r="DC46" s="43"/>
      <c r="DD46" s="22">
        <f>IFERROR(VLOOKUP($C46,'Лист4'!$D:$AI,27,0)," ")</f>
        <v>6</v>
      </c>
      <c r="DE46" s="22">
        <f>IFERROR(VLOOKUP($C46,'Лист4'!$D:$AI,28,0)," ")</f>
        <v>5</v>
      </c>
      <c r="DF46" s="22">
        <f>IFERROR(VLOOKUP($C46,'Лист4'!$D:$AI,29,0)," ")</f>
        <v>6</v>
      </c>
      <c r="DG46" s="22">
        <f t="shared" si="3"/>
        <v>180</v>
      </c>
      <c r="DH46" s="22">
        <f>IFERROR(VLOOKUP($C46,'Лист4'!$D:$AI,32,0)," ")</f>
        <v>0.08</v>
      </c>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43"/>
      <c r="EN46" s="43"/>
      <c r="EO46" s="43"/>
      <c r="EP46" s="43"/>
      <c r="EQ46" s="43"/>
      <c r="ER46" s="43"/>
      <c r="ES46" s="43"/>
      <c r="ET46" s="43"/>
      <c r="EU46" s="43"/>
      <c r="EV46" s="43"/>
      <c r="EW46" s="43"/>
      <c r="EX46" s="43"/>
      <c r="EY46" s="43"/>
      <c r="EZ46" s="43"/>
      <c r="FA46" s="43"/>
      <c r="FB46" s="43"/>
      <c r="FC46" s="43"/>
    </row>
    <row r="47" ht="18.0" customHeight="1">
      <c r="A47" s="2"/>
      <c r="B47" s="22" t="str">
        <f>IFERROR(VLOOKUP(C47,'Реестр'!C:AC,27,0)," ")</f>
        <v>Биг-Л</v>
      </c>
      <c r="C47" s="43" t="s">
        <v>870</v>
      </c>
      <c r="D47" s="22" t="str">
        <f>IFERROR(VLOOKUP(C47,'Лист4'!D:P,13,0)," ")</f>
        <v>qeep</v>
      </c>
      <c r="E47" s="22" t="str">
        <f>IF(OR(ISERROR(VLOOKUP(C47,'Актуальность'!A:B,2,0)), VLOOKUP(C47,'Актуальность'!A:B,2,0)=""), "Актуальный", VLOOKUP(C47,'Актуальность'!A:B,2,0))</f>
        <v>Актуальный</v>
      </c>
      <c r="F47" s="43" t="str">
        <f>IFERROR(VLOOKUP(C47,'Актуальность'!A:C,3,0)," ")</f>
        <v/>
      </c>
      <c r="G47" s="43"/>
      <c r="H47" s="22" t="s">
        <v>361</v>
      </c>
      <c r="I47" s="22" t="s">
        <v>476</v>
      </c>
      <c r="J47" s="43"/>
      <c r="K47" s="43"/>
      <c r="L47" s="22" t="b">
        <f t="shared" ref="L47:R47" si="43">T47&lt;&gt;""</f>
        <v>1</v>
      </c>
      <c r="M47" s="22" t="b">
        <f t="shared" si="43"/>
        <v>1</v>
      </c>
      <c r="N47" s="22" t="b">
        <f t="shared" si="43"/>
        <v>1</v>
      </c>
      <c r="O47" s="22" t="b">
        <f t="shared" si="43"/>
        <v>1</v>
      </c>
      <c r="P47" s="22" t="b">
        <f t="shared" si="43"/>
        <v>0</v>
      </c>
      <c r="Q47" s="22" t="b">
        <f t="shared" si="43"/>
        <v>0</v>
      </c>
      <c r="R47" s="22" t="b">
        <f t="shared" si="43"/>
        <v>0</v>
      </c>
      <c r="S47" s="43"/>
      <c r="T47" s="43" t="str">
        <f>IFERROR(VLOOKUP( C47,'1С'!A:B,2,0)," ")</f>
        <v>QB101100454</v>
      </c>
      <c r="U47" s="22" t="str">
        <f>IFERROR(VLOOKUP(T47,'Лист4'!C:I,3,0)," ")</f>
        <v>qoenzyme</v>
      </c>
      <c r="V47" s="22" t="str">
        <f>IFERROR(VLOOKUP(T47,'Лист4'!C:I,4,0)," ")</f>
        <v>qoenzyme</v>
      </c>
      <c r="W47" s="22" t="str">
        <f>IFERROR(VLOOKUP(T47,'Лист4'!C:I,5,0)," ")</f>
        <v>qoenzyme</v>
      </c>
      <c r="X47" s="43" t="str">
        <f>IFERROR(VLOOKUP(T47,'Лист4'!C:I,7,0)," ")</f>
        <v/>
      </c>
      <c r="Y47" s="43" t="str">
        <f>IFERROR(VLOOKUP(T47,'Лист4'!C:I,6,0)," ")</f>
        <v/>
      </c>
      <c r="Z47" s="43"/>
      <c r="AA47" s="43"/>
      <c r="AB47" s="22">
        <v>9.0343752E7</v>
      </c>
      <c r="AC47" s="22">
        <v>6.16948885E8</v>
      </c>
      <c r="AD47" s="22">
        <v>1.01824298336E11</v>
      </c>
      <c r="AE47" s="22"/>
      <c r="AF47" s="22"/>
      <c r="AG47" s="43"/>
      <c r="AH47" s="43"/>
      <c r="AI47" s="43" t="str">
        <f>IFERROR(VLOOKUP(T47,'1С'!B:C,2,0)," ")</f>
        <v>БАД Коэнзим q10 30 мг ,qeep, 30 капсул</v>
      </c>
      <c r="AJ47" s="22" t="s">
        <v>873</v>
      </c>
      <c r="AK47" s="22" t="s">
        <v>874</v>
      </c>
      <c r="AL47" s="22" t="s">
        <v>875</v>
      </c>
      <c r="AM47" s="43"/>
      <c r="AN47" s="43"/>
      <c r="AO47" s="43"/>
      <c r="AP47" s="43"/>
      <c r="AQ47" s="46" t="s">
        <v>876</v>
      </c>
      <c r="AR47" s="46" t="s">
        <v>877</v>
      </c>
      <c r="AS47" s="43"/>
      <c r="AT47" s="43"/>
      <c r="AU47" s="43"/>
      <c r="AV47" s="43"/>
      <c r="AW47" s="43"/>
      <c r="AX47" s="22" t="s">
        <v>361</v>
      </c>
      <c r="AY47" s="22" t="s">
        <v>874</v>
      </c>
      <c r="AZ47" s="22" t="s">
        <v>372</v>
      </c>
      <c r="BA47" s="43"/>
      <c r="BB47" s="43"/>
      <c r="BC47" s="43"/>
      <c r="BD47" s="43"/>
      <c r="BE47" s="43"/>
      <c r="BF47" s="22" t="str">
        <f>IFERROR(VLOOKUP(C47,'спецификация'!B:D,3,0)," ")</f>
        <v>4630040228346</v>
      </c>
      <c r="BG47" s="22">
        <v>2.106909808E9</v>
      </c>
      <c r="BH47" s="22" t="str">
        <f>IFERROR(VLOOKUP(C47,'спецификация'!B:AA,5,0)," ")</f>
        <v>RU.77.99.88.003.Е.003181.09.19 от 05.09.2019 г.</v>
      </c>
      <c r="BI47" s="22"/>
      <c r="BJ47" s="22" t="str">
        <f>IFERROR(VLOOKUP(C47,'спецификация'!B:AA,6,0)," ")</f>
        <v>ЧЗ</v>
      </c>
      <c r="BK47" s="43"/>
      <c r="BL47" s="43"/>
      <c r="BM47" s="22" t="str">
        <f>IFERROR(VLOOKUP(BF47,'спецификация'!D:H,5,0)," ")</f>
        <v>оливковое масло нерафинированное, витамин В3 (никотинамид), кверцетин, коэнзим Q10, витамин В5 (пантотенат кальция), витамин В6 (пиридоксина гидрохлорид), витамин В1 (тиамина мононитрат), витамин В2 (рибофлавин), витамин В9 (фолиевая кислота), витамин Н (биотин), витамин В12 (цианокобаламин). Вспомогательные вещества: капсула желатиновая (желатин, глицерин агент влагоудерживающий, сорбит агент влагоудерживающий), кремния диоксид (носитель), антиокислитель гриндокс (аскорбилпальмитат, натуральный концентрат смеси токоферолов, лецитин, рапсовое масло).</v>
      </c>
      <c r="BN47" s="43"/>
      <c r="BO47" s="22" t="str">
        <f>IFERROR(VLOOKUP(C47,'спецификация'!B:AA,10,0)," ")</f>
        <v>взрослым по 1 капсуле 1-2 раза в день во время еды. Продолжительность приёма 1 месяц.</v>
      </c>
      <c r="BP47" s="43" t="str">
        <f>IFERROR(VLOOKUP(C47,'спецификация'!B:AA,11,0),"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47" s="22" t="str">
        <f>IFERROR(VLOOKUP(C47,'спецификация'!B:AA,12,0)," ")</f>
        <v>в недоступном для детей месте, при температуре от +15 до +25ºС и относительной влажности воздуха не более 60%.</v>
      </c>
      <c r="BR47" s="22">
        <v>30.0</v>
      </c>
      <c r="BS47" s="22" t="s">
        <v>421</v>
      </c>
      <c r="BT47" s="22"/>
      <c r="BU47" s="22"/>
      <c r="BV47" s="22" t="s">
        <v>307</v>
      </c>
      <c r="BW47" s="44" t="str">
        <f>IFERROR(VLOOKUP(C47,'спецификация'!B:AA,16,0)," ")</f>
        <v>https://drive.google.com/drive/u/0/folders/1xTYWZ7bYXSRSlW4kuRn83L9-D20CJ21r</v>
      </c>
      <c r="BX47" s="43"/>
      <c r="BY47" s="43"/>
      <c r="BZ47" s="44" t="str">
        <f>IFERROR(VLOOKUP(BF47,'спецификация'!D:Y,22,0)," ")</f>
        <v>https://drive.google.com/drive/u/0/folders/1xTYWZ7bYXSRSlW4kuRn83L9-D20CJ21r</v>
      </c>
      <c r="CA47" s="43"/>
      <c r="CB47" s="43"/>
      <c r="CC47" s="43"/>
      <c r="CD47" s="43"/>
      <c r="CE47" s="43"/>
      <c r="CF47" s="43"/>
      <c r="CG47" s="49">
        <f>IFERROR(VLOOKUP(C47,CC!A:D,4,0)," ")</f>
        <v>145.8</v>
      </c>
      <c r="CH47" s="22" t="str">
        <f>IFERROR(VLOOKUP(C47,'спецификация'!B:AA,19,0)," ")</f>
        <v>ООО «Сибфармконтракт», Россия, 634034, г. Томск, ул. Нахимова 8, стр. 11.</v>
      </c>
      <c r="CI47" s="22"/>
      <c r="CJ47" s="22" t="s">
        <v>562</v>
      </c>
      <c r="CK47" s="22" t="str">
        <f>IFERROR(VLOOKUP(C47,CC!K:M,3,0)," ")</f>
        <v> </v>
      </c>
      <c r="CL47" s="43"/>
      <c r="CM47" s="43"/>
      <c r="CN47" s="43"/>
      <c r="CO47" s="43"/>
      <c r="CP47" s="43"/>
      <c r="CQ47" s="43"/>
      <c r="CR47" s="43"/>
      <c r="CS47" s="43" t="b">
        <v>0</v>
      </c>
      <c r="CT47" s="43" t="b">
        <v>0</v>
      </c>
      <c r="CU47" s="43" t="b">
        <v>0</v>
      </c>
      <c r="CV47" s="43" t="b">
        <v>0</v>
      </c>
      <c r="CW47" s="43"/>
      <c r="CX47" s="43"/>
      <c r="CY47" s="43"/>
      <c r="CZ47" s="43"/>
      <c r="DA47" s="43"/>
      <c r="DB47" s="43"/>
      <c r="DC47" s="43"/>
      <c r="DD47" s="22">
        <f>IFERROR(VLOOKUP($C47,'Лист4'!$D:$AI,27,0)," ")</f>
        <v>10</v>
      </c>
      <c r="DE47" s="22">
        <f>IFERROR(VLOOKUP($C47,'Лист4'!$D:$AI,28,0)," ")</f>
        <v>5</v>
      </c>
      <c r="DF47" s="22">
        <f>IFERROR(VLOOKUP($C47,'Лист4'!$D:$AI,29,0)," ")</f>
        <v>10</v>
      </c>
      <c r="DG47" s="22">
        <f t="shared" si="3"/>
        <v>500</v>
      </c>
      <c r="DH47" s="22">
        <f>IFERROR(VLOOKUP($C47,'Лист4'!$D:$AI,32,0)," ")</f>
        <v>0.1</v>
      </c>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43"/>
      <c r="EN47" s="43"/>
      <c r="EO47" s="43"/>
      <c r="EP47" s="43"/>
      <c r="EQ47" s="43"/>
      <c r="ER47" s="43"/>
      <c r="ES47" s="43"/>
      <c r="ET47" s="43"/>
      <c r="EU47" s="43"/>
      <c r="EV47" s="43"/>
      <c r="EW47" s="43"/>
      <c r="EX47" s="43"/>
      <c r="EY47" s="43"/>
      <c r="EZ47" s="43"/>
      <c r="FA47" s="43"/>
      <c r="FB47" s="43"/>
      <c r="FC47" s="43"/>
    </row>
    <row r="48" ht="18.0" customHeight="1">
      <c r="A48" s="2"/>
      <c r="B48" s="22" t="str">
        <f>IFERROR(VLOOKUP(C48,'Реестр'!C:AC,27,0)," ")</f>
        <v>Биг-Л</v>
      </c>
      <c r="C48" s="43" t="s">
        <v>884</v>
      </c>
      <c r="D48" s="22" t="str">
        <f>IFERROR(VLOOKUP(C48,'Лист4'!D:P,13,0)," ")</f>
        <v>qeep</v>
      </c>
      <c r="E48" s="22" t="str">
        <f>IF(OR(ISERROR(VLOOKUP(C48,'Актуальность'!A:B,2,0)), VLOOKUP(C48,'Актуальность'!A:B,2,0)=""), "Актуальный", VLOOKUP(C48,'Актуальность'!A:B,2,0))</f>
        <v>Актуальный</v>
      </c>
      <c r="F48" s="43" t="str">
        <f>IFERROR(VLOOKUP(C48,'Актуальность'!A:C,3,0)," ")</f>
        <v>Фокус + КЗ</v>
      </c>
      <c r="G48" s="43"/>
      <c r="H48" s="22" t="s">
        <v>361</v>
      </c>
      <c r="I48" s="22" t="s">
        <v>476</v>
      </c>
      <c r="J48" s="43"/>
      <c r="K48" s="43"/>
      <c r="L48" s="22" t="b">
        <f t="shared" ref="L48:R48" si="44">T48&lt;&gt;""</f>
        <v>1</v>
      </c>
      <c r="M48" s="22" t="b">
        <f t="shared" si="44"/>
        <v>1</v>
      </c>
      <c r="N48" s="22" t="b">
        <f t="shared" si="44"/>
        <v>1</v>
      </c>
      <c r="O48" s="22" t="b">
        <f t="shared" si="44"/>
        <v>1</v>
      </c>
      <c r="P48" s="22" t="b">
        <f t="shared" si="44"/>
        <v>1</v>
      </c>
      <c r="Q48" s="22" t="b">
        <f t="shared" si="44"/>
        <v>0</v>
      </c>
      <c r="R48" s="22" t="b">
        <f t="shared" si="44"/>
        <v>0</v>
      </c>
      <c r="S48" s="43"/>
      <c r="T48" s="43" t="str">
        <f>IFERROR(VLOOKUP( C48,'1С'!A:B,2,0)," ")</f>
        <v>QB101100476</v>
      </c>
      <c r="U48" s="22" t="str">
        <f>IFERROR(VLOOKUP(T48,'Лист4'!C:I,3,0)," ")</f>
        <v>qeep_chrom250_60caps</v>
      </c>
      <c r="V48" s="22" t="str">
        <f>IFERROR(VLOOKUP(T48,'Лист4'!C:I,4,0)," ")</f>
        <v>qeep_chrom250_60caps</v>
      </c>
      <c r="W48" s="22" t="str">
        <f>IFERROR(VLOOKUP(T48,'Лист4'!C:I,5,0)," ")</f>
        <v>qeep_chrom250_60caps</v>
      </c>
      <c r="X48" s="43" t="str">
        <f>IFERROR(VLOOKUP(T48,'Лист4'!C:I,7,0)," ")</f>
        <v>qeep_chrom250_60caps</v>
      </c>
      <c r="Y48" s="43" t="str">
        <f>IFERROR(VLOOKUP(T48,'Лист4'!C:I,6,0)," ")</f>
        <v/>
      </c>
      <c r="Z48" s="43"/>
      <c r="AA48" s="43"/>
      <c r="AB48" s="22">
        <v>4.17262785E8</v>
      </c>
      <c r="AC48" s="22">
        <v>2.168454928E9</v>
      </c>
      <c r="AD48" s="22">
        <v>4.476682176E9</v>
      </c>
      <c r="AE48" s="22">
        <v>9.9000117796E10</v>
      </c>
      <c r="AF48" s="22"/>
      <c r="AG48" s="43"/>
      <c r="AH48" s="43"/>
      <c r="AI48" s="43" t="str">
        <f>IFERROR(VLOOKUP(T48,'1С'!B:C,2,0)," ")</f>
        <v>БАД Пиколинат хрома ,qeep, 60 капсул</v>
      </c>
      <c r="AJ48" s="22" t="s">
        <v>887</v>
      </c>
      <c r="AK48" s="22" t="s">
        <v>887</v>
      </c>
      <c r="AL48" s="22" t="s">
        <v>888</v>
      </c>
      <c r="AM48" s="22" t="s">
        <v>889</v>
      </c>
      <c r="AN48" s="43"/>
      <c r="AO48" s="43"/>
      <c r="AP48" s="43"/>
      <c r="AQ48" s="46" t="s">
        <v>890</v>
      </c>
      <c r="AR48" s="46" t="s">
        <v>891</v>
      </c>
      <c r="AS48" s="46" t="s">
        <v>892</v>
      </c>
      <c r="AT48" s="46" t="s">
        <v>893</v>
      </c>
      <c r="AU48" s="43"/>
      <c r="AV48" s="43"/>
      <c r="AW48" s="43"/>
      <c r="AX48" s="22" t="s">
        <v>361</v>
      </c>
      <c r="AY48" s="22" t="s">
        <v>887</v>
      </c>
      <c r="AZ48" s="22" t="s">
        <v>372</v>
      </c>
      <c r="BA48" s="22" t="s">
        <v>373</v>
      </c>
      <c r="BB48" s="43"/>
      <c r="BC48" s="43"/>
      <c r="BD48" s="43"/>
      <c r="BE48" s="43"/>
      <c r="BF48" s="22">
        <f>IFERROR(VLOOKUP(C48,'спецификация'!B:D,3,0)," ")</f>
        <v>4607025204626</v>
      </c>
      <c r="BG48" s="22"/>
      <c r="BH48" s="22" t="str">
        <f>IFERROR(VLOOKUP(C48,'спецификация'!B:AA,5,0)," ")</f>
        <v>RU.77.99.11.003.R.001919.07.23 от 17.07.2023</v>
      </c>
      <c r="BI48" s="46" t="s">
        <v>895</v>
      </c>
      <c r="BJ48" s="22" t="str">
        <f>IFERROR(VLOOKUP(C48,'спецификация'!B:AA,6,0)," ")</f>
        <v>ЧЗ</v>
      </c>
      <c r="BK48" s="43"/>
      <c r="BL48" s="43"/>
      <c r="BM48" s="22" t="str">
        <f>IFERROR(VLOOKUP(BF48,'спецификация'!D:H,5,0)," ")</f>
        <v>микрокристаллическая целлюлоза (Е460, носитель), хрома пиколинат, оболочка капсулы: желатин.</v>
      </c>
      <c r="BN48" s="43"/>
      <c r="BO48" s="22" t="s">
        <v>897</v>
      </c>
      <c r="BP48" s="22" t="s">
        <v>898</v>
      </c>
      <c r="BQ48" s="22" t="s">
        <v>398</v>
      </c>
      <c r="BR48" s="22">
        <v>60.0</v>
      </c>
      <c r="BS48" s="22" t="s">
        <v>621</v>
      </c>
      <c r="BT48" s="22"/>
      <c r="BU48" s="22"/>
      <c r="BV48" s="22" t="s">
        <v>307</v>
      </c>
      <c r="BW48" s="44" t="str">
        <f>IFERROR(VLOOKUP(C48,'спецификация'!B:AA,16,0)," ")</f>
        <v>https://docs.google.com/document/d/15LyNRSZoQgW_dbJXEk_7ukUNxtR741jLIcuSXlytGKQ/edit?tab=t.0</v>
      </c>
      <c r="BX48" s="43"/>
      <c r="BY48" s="43"/>
      <c r="BZ48" s="45" t="str">
        <f>IFERROR(VLOOKUP(BF48,'спецификация'!D:Y,22,0)," ")</f>
        <v/>
      </c>
      <c r="CA48" s="43"/>
      <c r="CB48" s="43"/>
      <c r="CC48" s="43"/>
      <c r="CD48" s="43"/>
      <c r="CE48" s="43"/>
      <c r="CF48" s="43"/>
      <c r="CG48" s="49">
        <f>IFERROR(VLOOKUP(C48,CC!A:D,4,0)," ")</f>
        <v>136.8</v>
      </c>
      <c r="CH48" s="22" t="str">
        <f>IFERROR(VLOOKUP(C48,'спецификация'!B:AA,19,0)," ")</f>
        <v>ООО «Витамер», 117623, РФ, г. Москва, вн.тер.г. муниципальный округ Южное Бутово, ул. 2-я Мелитопольская, д.19, к.2, кв.57. Адрес производства: 601144, РФ, Владимирская обл., г. Петушки, ул. Совхозная, д. 11</v>
      </c>
      <c r="CI48" s="22"/>
      <c r="CJ48" s="22" t="s">
        <v>902</v>
      </c>
      <c r="CK48" s="22">
        <f>IFERROR(VLOOKUP(C48,CC!K:M,3,0)," ")</f>
        <v>60</v>
      </c>
      <c r="CL48" s="43"/>
      <c r="CM48" s="43"/>
      <c r="CN48" s="43"/>
      <c r="CO48" s="43"/>
      <c r="CP48" s="43"/>
      <c r="CQ48" s="43"/>
      <c r="CR48" s="43"/>
      <c r="CS48" s="43" t="b">
        <v>0</v>
      </c>
      <c r="CT48" s="43" t="b">
        <v>0</v>
      </c>
      <c r="CU48" s="43" t="b">
        <v>0</v>
      </c>
      <c r="CV48" s="43" t="b">
        <v>0</v>
      </c>
      <c r="CW48" s="43"/>
      <c r="CX48" s="43"/>
      <c r="CY48" s="43"/>
      <c r="CZ48" s="43"/>
      <c r="DA48" s="43"/>
      <c r="DB48" s="43"/>
      <c r="DC48" s="43"/>
      <c r="DD48" s="22">
        <f>IFERROR(VLOOKUP($C48,'Лист4'!$D:$AI,27,0)," ")</f>
        <v>6</v>
      </c>
      <c r="DE48" s="22">
        <f>IFERROR(VLOOKUP($C48,'Лист4'!$D:$AI,28,0)," ")</f>
        <v>10</v>
      </c>
      <c r="DF48" s="22">
        <f>IFERROR(VLOOKUP($C48,'Лист4'!$D:$AI,29,0)," ")</f>
        <v>6</v>
      </c>
      <c r="DG48" s="22">
        <f t="shared" si="3"/>
        <v>360</v>
      </c>
      <c r="DH48" s="22">
        <f>IFERROR(VLOOKUP($C48,'Лист4'!$D:$AI,32,0)," ")</f>
        <v>0.035</v>
      </c>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43"/>
      <c r="EN48" s="43"/>
      <c r="EO48" s="43"/>
      <c r="EP48" s="43"/>
      <c r="EQ48" s="43"/>
      <c r="ER48" s="43"/>
      <c r="ES48" s="43"/>
      <c r="ET48" s="43"/>
      <c r="EU48" s="43"/>
      <c r="EV48" s="43"/>
      <c r="EW48" s="43"/>
      <c r="EX48" s="43"/>
      <c r="EY48" s="43"/>
      <c r="EZ48" s="43"/>
      <c r="FA48" s="43"/>
      <c r="FB48" s="43"/>
      <c r="FC48" s="43"/>
    </row>
    <row r="49" ht="18.0" customHeight="1">
      <c r="A49" s="2"/>
      <c r="B49" s="22" t="str">
        <f>IFERROR(VLOOKUP(C49,'Реестр'!C:AC,27,0)," ")</f>
        <v>Биг-Л</v>
      </c>
      <c r="C49" s="43" t="s">
        <v>903</v>
      </c>
      <c r="D49" s="22" t="str">
        <f>IFERROR(VLOOKUP(C49,'Лист4'!D:P,13,0)," ")</f>
        <v>qeep</v>
      </c>
      <c r="E49" s="22" t="str">
        <f>IF(OR(ISERROR(VLOOKUP(C49,'Актуальность'!A:B,2,0)), VLOOKUP(C49,'Актуальность'!A:B,2,0)=""), "Актуальный", VLOOKUP(C49,'Актуальность'!A:B,2,0))</f>
        <v>Актуальный</v>
      </c>
      <c r="F49" s="43" t="str">
        <f>IFERROR(VLOOKUP(C49,'Актуальность'!A:C,3,0)," ")</f>
        <v>Фокус + КЗ</v>
      </c>
      <c r="G49" s="43"/>
      <c r="H49" s="22" t="s">
        <v>361</v>
      </c>
      <c r="I49" s="22" t="s">
        <v>476</v>
      </c>
      <c r="J49" s="43"/>
      <c r="K49" s="43"/>
      <c r="L49" s="22" t="b">
        <f t="shared" ref="L49:R49" si="45">T49&lt;&gt;""</f>
        <v>1</v>
      </c>
      <c r="M49" s="22" t="b">
        <f t="shared" si="45"/>
        <v>1</v>
      </c>
      <c r="N49" s="22" t="b">
        <f t="shared" si="45"/>
        <v>1</v>
      </c>
      <c r="O49" s="22" t="b">
        <f t="shared" si="45"/>
        <v>1</v>
      </c>
      <c r="P49" s="22" t="b">
        <f t="shared" si="45"/>
        <v>1</v>
      </c>
      <c r="Q49" s="22" t="b">
        <f t="shared" si="45"/>
        <v>0</v>
      </c>
      <c r="R49" s="22" t="b">
        <f t="shared" si="45"/>
        <v>0</v>
      </c>
      <c r="S49" s="43"/>
      <c r="T49" s="43" t="str">
        <f>IFERROR(VLOOKUP( C49,'1С'!A:B,2,0)," ")</f>
        <v>QB101100433</v>
      </c>
      <c r="U49" s="22" t="str">
        <f>IFERROR(VLOOKUP(T49,'Лист4'!C:I,3,0)," ")</f>
        <v>qeep_iron40mg_60caps</v>
      </c>
      <c r="V49" s="22" t="str">
        <f>IFERROR(VLOOKUP(T49,'Лист4'!C:I,4,0)," ")</f>
        <v>qeep_iron40mg_60caps</v>
      </c>
      <c r="W49" s="22" t="str">
        <f>IFERROR(VLOOKUP(T49,'Лист4'!C:I,5,0)," ")</f>
        <v>qeep_iron40mg_60caps</v>
      </c>
      <c r="X49" s="43" t="str">
        <f>IFERROR(VLOOKUP(T49,'Лист4'!C:I,7,0)," ")</f>
        <v>qeep_iron40mg_60caps</v>
      </c>
      <c r="Y49" s="43" t="str">
        <f>IFERROR(VLOOKUP(T49,'Лист4'!C:I,6,0)," ")</f>
        <v/>
      </c>
      <c r="Z49" s="43"/>
      <c r="AA49" s="43"/>
      <c r="AB49" s="22">
        <v>2.66214623E8</v>
      </c>
      <c r="AC49" s="22">
        <v>1.713242647E9</v>
      </c>
      <c r="AD49" s="22">
        <v>1.03555039362E11</v>
      </c>
      <c r="AE49" s="22">
        <v>9.9000121328E10</v>
      </c>
      <c r="AF49" s="22"/>
      <c r="AG49" s="43"/>
      <c r="AH49" s="43"/>
      <c r="AI49" s="43" t="str">
        <f>IFERROR(VLOOKUP(T49,'1С'!B:C,2,0)," ")</f>
        <v>БАД Железо хелат ,qeep, 60 капсул</v>
      </c>
      <c r="AJ49" s="22" t="s">
        <v>906</v>
      </c>
      <c r="AK49" s="22" t="s">
        <v>907</v>
      </c>
      <c r="AL49" s="22" t="s">
        <v>908</v>
      </c>
      <c r="AM49" s="22" t="s">
        <v>909</v>
      </c>
      <c r="AN49" s="43"/>
      <c r="AO49" s="43"/>
      <c r="AP49" s="43"/>
      <c r="AQ49" s="46" t="s">
        <v>910</v>
      </c>
      <c r="AR49" s="46" t="s">
        <v>911</v>
      </c>
      <c r="AS49" s="46" t="s">
        <v>912</v>
      </c>
      <c r="AT49" s="46" t="s">
        <v>913</v>
      </c>
      <c r="AU49" s="43"/>
      <c r="AV49" s="43"/>
      <c r="AW49" s="43"/>
      <c r="AX49" s="22" t="s">
        <v>361</v>
      </c>
      <c r="AY49" s="22" t="s">
        <v>907</v>
      </c>
      <c r="AZ49" s="22" t="s">
        <v>372</v>
      </c>
      <c r="BA49" s="22" t="s">
        <v>373</v>
      </c>
      <c r="BB49" s="43"/>
      <c r="BC49" s="43"/>
      <c r="BD49" s="43"/>
      <c r="BE49" s="43"/>
      <c r="BF49" s="22" t="str">
        <f>IFERROR(VLOOKUP(C49,'спецификация'!B:D,3,0)," ")</f>
        <v>4670227414926</v>
      </c>
      <c r="BG49" s="22">
        <v>2.106909808E9</v>
      </c>
      <c r="BH49" s="22" t="str">
        <f>IFERROR(VLOOKUP(C49,'спецификация'!B:AA,5,0)," ")</f>
        <v>AM.01.01.01.003.R.000361.07.22 от 29.07.2022 г.</v>
      </c>
      <c r="BI49" s="46" t="s">
        <v>916</v>
      </c>
      <c r="BJ49" s="22" t="str">
        <f>IFERROR(VLOOKUP(C49,'спецификация'!B:AA,6,0)," ")</f>
        <v>ЧЗ</v>
      </c>
      <c r="BK49" s="43"/>
      <c r="BL49" s="43"/>
      <c r="BM49" s="22" t="str">
        <f>IFERROR(VLOOKUP(BF49,'спецификация'!D:H,5,0)," ")</f>
        <v>бисглицинат железа, микрокристаллическая целлюлоза (носитель), капсула целлюлозная.</v>
      </c>
      <c r="BN49" s="43"/>
      <c r="BO49" s="22" t="str">
        <f>IFERROR(VLOOKUP(C49,'спецификация'!B:AA,10,0)," ")</f>
        <v>взрослым по 1 капсуле в любое время дня.
Продолжительность приёма: 1 месяц. При необходимости повторить.</v>
      </c>
      <c r="BP49" s="22" t="s">
        <v>919</v>
      </c>
      <c r="BQ49" s="22" t="s">
        <v>491</v>
      </c>
      <c r="BR49" s="22">
        <v>60.0</v>
      </c>
      <c r="BS49" s="22" t="s">
        <v>492</v>
      </c>
      <c r="BT49" s="43"/>
      <c r="BU49" s="22"/>
      <c r="BV49" s="22" t="s">
        <v>307</v>
      </c>
      <c r="BW49" s="44" t="str">
        <f>IFERROR(VLOOKUP(C49,'спецификация'!B:AA,16,0)," ")</f>
        <v>https://docs.google.com/document/d/1iHFOdSKWC-0jKOZLzM1EK9MGfF3PctiGyZlOGzqK0oI/edit</v>
      </c>
      <c r="BX49" s="43"/>
      <c r="BY49" s="43"/>
      <c r="BZ49" s="45" t="str">
        <f>IFERROR(VLOOKUP(BF49,'спецификация'!D:Y,22,0)," ")</f>
        <v/>
      </c>
      <c r="CA49" s="43"/>
      <c r="CB49" s="43"/>
      <c r="CC49" s="43"/>
      <c r="CD49" s="43"/>
      <c r="CE49" s="43"/>
      <c r="CF49" s="43"/>
      <c r="CG49" s="49">
        <f>IFERROR(VLOOKUP(C49,CC!A:D,4,0)," ")</f>
        <v>261</v>
      </c>
      <c r="CH49" s="22" t="str">
        <f>IFERROR(VLOOKUP(C49,'спецификация'!B:AA,19,0)," ")</f>
        <v>ООО «Жива Продукт ПРО». 350062, Россия, Краснодарский край, город Краснодар, улица Казбекская, дом 17, кв. (оф.) 85</v>
      </c>
      <c r="CI49" s="22"/>
      <c r="CJ49" s="22" t="s">
        <v>495</v>
      </c>
      <c r="CK49" s="22">
        <f>IFERROR(VLOOKUP(C49,CC!K:M,3,0)," ")</f>
        <v>60</v>
      </c>
      <c r="CL49" s="43"/>
      <c r="CM49" s="43"/>
      <c r="CN49" s="43"/>
      <c r="CO49" s="43"/>
      <c r="CP49" s="43"/>
      <c r="CQ49" s="43"/>
      <c r="CR49" s="43"/>
      <c r="CS49" s="43" t="b">
        <v>0</v>
      </c>
      <c r="CT49" s="43" t="b">
        <v>0</v>
      </c>
      <c r="CU49" s="43" t="b">
        <v>0</v>
      </c>
      <c r="CV49" s="43" t="b">
        <v>0</v>
      </c>
      <c r="CW49" s="43"/>
      <c r="CX49" s="43"/>
      <c r="CY49" s="43"/>
      <c r="CZ49" s="43"/>
      <c r="DA49" s="43"/>
      <c r="DB49" s="43"/>
      <c r="DC49" s="43"/>
      <c r="DD49" s="22">
        <f>IFERROR(VLOOKUP($C49,'Лист4'!$D:$AI,27,0)," ")</f>
        <v>11</v>
      </c>
      <c r="DE49" s="22">
        <f>IFERROR(VLOOKUP($C49,'Лист4'!$D:$AI,28,0)," ")</f>
        <v>6</v>
      </c>
      <c r="DF49" s="22">
        <f>IFERROR(VLOOKUP($C49,'Лист4'!$D:$AI,29,0)," ")</f>
        <v>11</v>
      </c>
      <c r="DG49" s="22">
        <f t="shared" si="3"/>
        <v>726</v>
      </c>
      <c r="DH49" s="22">
        <f>IFERROR(VLOOKUP($C49,'Лист4'!$D:$AI,32,0)," ")</f>
        <v>0.069</v>
      </c>
      <c r="DI49" s="22"/>
      <c r="DJ49" s="22"/>
      <c r="DK49" s="22"/>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43"/>
      <c r="EN49" s="43"/>
      <c r="EO49" s="43"/>
      <c r="EP49" s="43"/>
      <c r="EQ49" s="43"/>
      <c r="ER49" s="43"/>
      <c r="ES49" s="43"/>
      <c r="ET49" s="43"/>
      <c r="EU49" s="43"/>
      <c r="EV49" s="43"/>
      <c r="EW49" s="43"/>
      <c r="EX49" s="43"/>
      <c r="EY49" s="43"/>
      <c r="EZ49" s="43"/>
      <c r="FA49" s="43"/>
      <c r="FB49" s="43"/>
      <c r="FC49" s="43"/>
    </row>
    <row r="50" ht="18.0" customHeight="1">
      <c r="A50" s="2"/>
      <c r="B50" s="22" t="str">
        <f>IFERROR(VLOOKUP(C50,'Реестр'!C:AC,27,0)," ")</f>
        <v>Биг-Л</v>
      </c>
      <c r="C50" s="43" t="s">
        <v>922</v>
      </c>
      <c r="D50" s="22" t="str">
        <f>IFERROR(VLOOKUP(C50,'Лист4'!D:P,13,0)," ")</f>
        <v>qeep</v>
      </c>
      <c r="E50" s="22" t="str">
        <f>IF(OR(ISERROR(VLOOKUP(C50,'Актуальность'!A:B,2,0)), VLOOKUP(C50,'Актуальность'!A:B,2,0)=""), "Актуальный", VLOOKUP(C50,'Актуальность'!A:B,2,0))</f>
        <v>Вывод</v>
      </c>
      <c r="F50" s="43" t="str">
        <f>IFERROR(VLOOKUP(C50,'Актуальность'!A:C,3,0)," ")</f>
        <v>Пересмотреть позиционирование</v>
      </c>
      <c r="G50" s="43"/>
      <c r="H50" s="22" t="s">
        <v>361</v>
      </c>
      <c r="I50" s="22" t="s">
        <v>476</v>
      </c>
      <c r="J50" s="43"/>
      <c r="K50" s="43"/>
      <c r="L50" s="22" t="b">
        <f t="shared" ref="L50:R50" si="46">T50&lt;&gt;""</f>
        <v>1</v>
      </c>
      <c r="M50" s="22" t="b">
        <f t="shared" si="46"/>
        <v>1</v>
      </c>
      <c r="N50" s="22" t="b">
        <f t="shared" si="46"/>
        <v>1</v>
      </c>
      <c r="O50" s="22" t="b">
        <f t="shared" si="46"/>
        <v>1</v>
      </c>
      <c r="P50" s="22" t="b">
        <f t="shared" si="46"/>
        <v>0</v>
      </c>
      <c r="Q50" s="22" t="b">
        <f t="shared" si="46"/>
        <v>0</v>
      </c>
      <c r="R50" s="22" t="b">
        <f t="shared" si="46"/>
        <v>0</v>
      </c>
      <c r="S50" s="43"/>
      <c r="T50" s="43" t="str">
        <f>IFERROR(VLOOKUP( C50,'1С'!A:B,2,0)," ")</f>
        <v>QB101100479</v>
      </c>
      <c r="U50" s="22" t="str">
        <f>IFERROR(VLOOKUP(T50,'Лист4'!C:I,3,0)," ")</f>
        <v>qeep_climafem_60caps</v>
      </c>
      <c r="V50" s="22" t="str">
        <f>IFERROR(VLOOKUP(T50,'Лист4'!C:I,4,0)," ")</f>
        <v>qeep_climafem_60caps</v>
      </c>
      <c r="W50" s="22" t="str">
        <f>IFERROR(VLOOKUP(T50,'Лист4'!C:I,5,0)," ")</f>
        <v>qeep_climafem_60caps</v>
      </c>
      <c r="X50" s="43" t="str">
        <f>IFERROR(VLOOKUP(T50,'Лист4'!C:I,7,0)," ")</f>
        <v/>
      </c>
      <c r="Y50" s="43" t="str">
        <f>IFERROR(VLOOKUP(T50,'Лист4'!C:I,6,0)," ")</f>
        <v/>
      </c>
      <c r="Z50" s="43"/>
      <c r="AA50" s="43"/>
      <c r="AB50" s="22">
        <v>2.71680783E8</v>
      </c>
      <c r="AC50" s="22">
        <v>1.738941767E9</v>
      </c>
      <c r="AD50" s="22">
        <v>4.29561052E9</v>
      </c>
      <c r="AE50" s="22"/>
      <c r="AF50" s="22"/>
      <c r="AG50" s="43"/>
      <c r="AH50" s="43"/>
      <c r="AI50" s="43" t="str">
        <f>IFERROR(VLOOKUP(T50,'1С'!B:C,2,0)," ")</f>
        <v>БАД при климаксе Climafem ,qeep, 60 капсул</v>
      </c>
      <c r="AJ50" s="22" t="s">
        <v>926</v>
      </c>
      <c r="AK50" s="22" t="s">
        <v>927</v>
      </c>
      <c r="AL50" s="22" t="s">
        <v>927</v>
      </c>
      <c r="AM50" s="43"/>
      <c r="AN50" s="43"/>
      <c r="AO50" s="43"/>
      <c r="AP50" s="43"/>
      <c r="AQ50" s="46" t="s">
        <v>928</v>
      </c>
      <c r="AR50" s="46" t="s">
        <v>929</v>
      </c>
      <c r="AS50" s="46" t="s">
        <v>930</v>
      </c>
      <c r="AT50" s="43"/>
      <c r="AU50" s="43"/>
      <c r="AV50" s="43"/>
      <c r="AW50" s="43"/>
      <c r="AX50" s="22" t="s">
        <v>361</v>
      </c>
      <c r="AY50" s="22" t="s">
        <v>927</v>
      </c>
      <c r="AZ50" s="22" t="s">
        <v>372</v>
      </c>
      <c r="BA50" s="43"/>
      <c r="BB50" s="43"/>
      <c r="BC50" s="43"/>
      <c r="BD50" s="43"/>
      <c r="BE50" s="43"/>
      <c r="BF50" s="22">
        <f>IFERROR(VLOOKUP(C50,'спецификация'!B:D,3,0)," ")</f>
        <v>4610030631868</v>
      </c>
      <c r="BG50" s="22">
        <v>2.106909808E9</v>
      </c>
      <c r="BH50" s="22" t="str">
        <f>IFERROR(VLOOKUP(C50,'спецификация'!B:AA,5,0)," ")</f>
        <v>AM.01.06.01.003.R.000199.05.24 от 16.05.2024 г.</v>
      </c>
      <c r="BI50" s="22"/>
      <c r="BJ50" s="22" t="str">
        <f>IFERROR(VLOOKUP(C50,'спецификация'!B:AA,6,0)," ")</f>
        <v>ЧЗ</v>
      </c>
      <c r="BK50" s="43"/>
      <c r="BL50" s="43"/>
      <c r="BM50" s="22" t="str">
        <f>IFERROR(VLOOKUP(BF50,'спецификация'!D:H,5,0)," ")</f>
        <v>экстракт цимицифуги, экстракт сои, экстракт травы пустырника, магниевая соль стеариновой кислоты, диоксид кремния аморфный, витамин В9 (фолиевая кислота), оболочка капсулы белого цвета (желатин, оксид цинка), целлюлоза микрокристаллическая</v>
      </c>
      <c r="BN50" s="43"/>
      <c r="BO50" s="22" t="s">
        <v>802</v>
      </c>
      <c r="BP50" s="22" t="s">
        <v>675</v>
      </c>
      <c r="BQ50" s="22" t="s">
        <v>491</v>
      </c>
      <c r="BR50" s="22">
        <v>60.0</v>
      </c>
      <c r="BS50" s="22" t="s">
        <v>492</v>
      </c>
      <c r="BT50" s="43"/>
      <c r="BU50" s="22"/>
      <c r="BV50" s="22" t="s">
        <v>307</v>
      </c>
      <c r="BW50" s="44" t="str">
        <f>IFERROR(VLOOKUP(C50,'спецификация'!B:AA,16,0)," ")</f>
        <v>https://docs.google.com/document/d/1N9vH076zUFnzarQva1zuDXMEr1ij0XS-dfLaDMB7cm8/edit</v>
      </c>
      <c r="BX50" s="43"/>
      <c r="BY50" s="43"/>
      <c r="BZ50" s="45" t="str">
        <f>IFERROR(VLOOKUP(BF50,'спецификация'!D:Y,22,0)," ")</f>
        <v/>
      </c>
      <c r="CA50" s="43"/>
      <c r="CB50" s="43"/>
      <c r="CC50" s="43"/>
      <c r="CD50" s="43"/>
      <c r="CE50" s="43"/>
      <c r="CF50" s="43"/>
      <c r="CG50" s="49">
        <f>IFERROR(VLOOKUP(C50,CC!A:D,4,0)," ")</f>
        <v>174.15</v>
      </c>
      <c r="CH50" s="22" t="str">
        <f>IFERROR(VLOOKUP(C50,'спецификация'!B:AA,19,0)," ")</f>
        <v>ООО "ЗдравФарм"</v>
      </c>
      <c r="CI50" s="22"/>
      <c r="CJ50" s="22" t="s">
        <v>805</v>
      </c>
      <c r="CK50" s="22">
        <f>IFERROR(VLOOKUP(C50,CC!K:M,3,0)," ")</f>
        <v>90</v>
      </c>
      <c r="CL50" s="43"/>
      <c r="CM50" s="43"/>
      <c r="CN50" s="43"/>
      <c r="CO50" s="43"/>
      <c r="CP50" s="43"/>
      <c r="CQ50" s="43"/>
      <c r="CR50" s="43"/>
      <c r="CS50" s="43" t="b">
        <v>0</v>
      </c>
      <c r="CT50" s="43" t="b">
        <v>0</v>
      </c>
      <c r="CU50" s="43" t="b">
        <v>0</v>
      </c>
      <c r="CV50" s="43" t="b">
        <v>0</v>
      </c>
      <c r="CW50" s="43"/>
      <c r="CX50" s="43"/>
      <c r="CY50" s="43"/>
      <c r="CZ50" s="43"/>
      <c r="DA50" s="43"/>
      <c r="DB50" s="43"/>
      <c r="DC50" s="43"/>
      <c r="DD50" s="22">
        <f>IFERROR(VLOOKUP($C50,'Лист4'!$D:$AI,27,0)," ")</f>
        <v>4</v>
      </c>
      <c r="DE50" s="22">
        <f>IFERROR(VLOOKUP($C50,'Лист4'!$D:$AI,28,0)," ")</f>
        <v>8</v>
      </c>
      <c r="DF50" s="22">
        <f>IFERROR(VLOOKUP($C50,'Лист4'!$D:$AI,29,0)," ")</f>
        <v>4</v>
      </c>
      <c r="DG50" s="22">
        <f t="shared" si="3"/>
        <v>128</v>
      </c>
      <c r="DH50" s="22">
        <f>IFERROR(VLOOKUP($C50,'Лист4'!$D:$AI,32,0)," ")</f>
        <v>0.045</v>
      </c>
      <c r="DI50" s="22"/>
      <c r="DJ50" s="22"/>
      <c r="DK50" s="22"/>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43"/>
      <c r="EN50" s="43"/>
      <c r="EO50" s="43"/>
      <c r="EP50" s="43"/>
      <c r="EQ50" s="43"/>
      <c r="ER50" s="43"/>
      <c r="ES50" s="43"/>
      <c r="ET50" s="43"/>
      <c r="EU50" s="43"/>
      <c r="EV50" s="43"/>
      <c r="EW50" s="43"/>
      <c r="EX50" s="43"/>
      <c r="EY50" s="43"/>
      <c r="EZ50" s="43"/>
      <c r="FA50" s="43"/>
      <c r="FB50" s="43"/>
      <c r="FC50" s="43"/>
    </row>
    <row r="51" ht="18.0" customHeight="1">
      <c r="A51" s="2"/>
      <c r="B51" s="22" t="str">
        <f>IFERROR(VLOOKUP(C51,'Реестр'!C:AC,27,0)," ")</f>
        <v>Биг-Л</v>
      </c>
      <c r="C51" s="43" t="s">
        <v>934</v>
      </c>
      <c r="D51" s="22" t="str">
        <f>IFERROR(VLOOKUP(C51,'Лист4'!D:P,13,0)," ")</f>
        <v>qeep</v>
      </c>
      <c r="E51" s="22" t="str">
        <f>IF(OR(ISERROR(VLOOKUP(C51,'Актуальность'!A:B,2,0)), VLOOKUP(C51,'Актуальность'!A:B,2,0)=""), "Актуальный", VLOOKUP(C51,'Актуальность'!A:B,2,0))</f>
        <v>Актуальный</v>
      </c>
      <c r="F51" s="43" t="str">
        <f>IFERROR(VLOOKUP(C51,'Актуальность'!A:C,3,0)," ")</f>
        <v/>
      </c>
      <c r="G51" s="43"/>
      <c r="H51" s="22" t="s">
        <v>361</v>
      </c>
      <c r="I51" s="22" t="s">
        <v>641</v>
      </c>
      <c r="J51" s="43"/>
      <c r="K51" s="43"/>
      <c r="L51" s="22" t="b">
        <f t="shared" ref="L51:R51" si="47">T51&lt;&gt;""</f>
        <v>1</v>
      </c>
      <c r="M51" s="22" t="b">
        <f t="shared" si="47"/>
        <v>1</v>
      </c>
      <c r="N51" s="22" t="b">
        <f t="shared" si="47"/>
        <v>1</v>
      </c>
      <c r="O51" s="22" t="b">
        <f t="shared" si="47"/>
        <v>1</v>
      </c>
      <c r="P51" s="22" t="b">
        <f t="shared" si="47"/>
        <v>1</v>
      </c>
      <c r="Q51" s="22" t="b">
        <f t="shared" si="47"/>
        <v>0</v>
      </c>
      <c r="R51" s="22" t="b">
        <f t="shared" si="47"/>
        <v>0</v>
      </c>
      <c r="S51" s="43"/>
      <c r="T51" s="43" t="str">
        <f>IFERROR(VLOOKUP( C51,'1С'!A:B,2,0)," ")</f>
        <v>QB101100484</v>
      </c>
      <c r="U51" s="22" t="str">
        <f>IFERROR(VLOOKUP(T51,'Лист4'!C:I,3,0)," ")</f>
        <v>qeepprobiotics</v>
      </c>
      <c r="V51" s="22" t="str">
        <f>IFERROR(VLOOKUP(T51,'Лист4'!C:I,4,0)," ")</f>
        <v>qeepprobiotics</v>
      </c>
      <c r="W51" s="22" t="str">
        <f>IFERROR(VLOOKUP(T51,'Лист4'!C:I,5,0)," ")</f>
        <v>qeepprobiotics</v>
      </c>
      <c r="X51" s="43" t="str">
        <f>IFERROR(VLOOKUP(T51,'Лист4'!C:I,7,0)," ")</f>
        <v>qeepprobiotics</v>
      </c>
      <c r="Y51" s="43" t="str">
        <f>IFERROR(VLOOKUP(T51,'Лист4'!C:I,6,0)," ")</f>
        <v/>
      </c>
      <c r="Z51" s="43"/>
      <c r="AA51" s="43"/>
      <c r="AB51" s="22">
        <v>9.196935E7</v>
      </c>
      <c r="AC51" s="22">
        <v>6.50348972E8</v>
      </c>
      <c r="AD51" s="22">
        <v>1.01871358737E11</v>
      </c>
      <c r="AE51" s="22">
        <v>9.9000122455E10</v>
      </c>
      <c r="AF51" s="22"/>
      <c r="AG51" s="43"/>
      <c r="AH51" s="43"/>
      <c r="AI51" s="43" t="str">
        <f>IFERROR(VLOOKUP(T51,'1С'!B:C,2,0)," ")</f>
        <v>БАД Пробиотики ,qeep, 30 капсул</v>
      </c>
      <c r="AJ51" s="22" t="s">
        <v>643</v>
      </c>
      <c r="AK51" s="22" t="s">
        <v>937</v>
      </c>
      <c r="AL51" s="22" t="s">
        <v>938</v>
      </c>
      <c r="AM51" s="22" t="s">
        <v>939</v>
      </c>
      <c r="AN51" s="43"/>
      <c r="AO51" s="43"/>
      <c r="AP51" s="43"/>
      <c r="AQ51" s="46" t="s">
        <v>940</v>
      </c>
      <c r="AR51" s="46" t="s">
        <v>941</v>
      </c>
      <c r="AS51" s="43"/>
      <c r="AT51" s="43"/>
      <c r="AU51" s="43"/>
      <c r="AV51" s="43"/>
      <c r="AW51" s="43"/>
      <c r="AX51" s="22" t="s">
        <v>361</v>
      </c>
      <c r="AY51" s="22" t="s">
        <v>937</v>
      </c>
      <c r="AZ51" s="22" t="s">
        <v>942</v>
      </c>
      <c r="BA51" s="22" t="s">
        <v>373</v>
      </c>
      <c r="BB51" s="43"/>
      <c r="BC51" s="43"/>
      <c r="BD51" s="43"/>
      <c r="BE51" s="43"/>
      <c r="BF51" s="22">
        <f>IFERROR(VLOOKUP(C51,'спецификация'!B:D,3,0)," ")</f>
        <v>4630040228322</v>
      </c>
      <c r="BG51" s="22">
        <v>2.106909808E9</v>
      </c>
      <c r="BH51" s="22" t="str">
        <f>IFERROR(VLOOKUP(C51,'спецификация'!B:AA,5,0)," ")</f>
        <v>AM.01.06.01.003.R.000233.12.21 от 01.12.2021</v>
      </c>
      <c r="BI51" s="22"/>
      <c r="BJ51" s="22" t="str">
        <f>IFERROR(VLOOKUP(C51,'спецификация'!B:AA,6,0)," ")</f>
        <v>ЧЗ</v>
      </c>
      <c r="BK51" s="43"/>
      <c r="BL51" s="43"/>
      <c r="BM51" s="22" t="str">
        <f>IFERROR(VLOOKUP(BF51,'спецификация'!D:H,5,0)," ")</f>
        <v>биомасса бактерий селективная сухая BB-Bf серии «Панбиом» («Panbiom») (Bifidobacterium bifidum ARTB-187), биомасса бактерий селективная сухая LB-Pl серии «Панбиом» («Panbiom») (Lactobacillus plantarum ARTB-135), биомасса бактерий селективная сухая PR-Frd серии «Панбиом» («Panbiom») (Propionibacterium freudenreichii ARTB-137), инулин, «Метафул (Metafull)» (комбуча концентрат, биомасса гидролизованная «УЛЬТРАЛИЗАТ ПЕПТИДНЫЙ» BB-Bf Bifidobacterium bifidum (ARTB-187), BB-Ad Bifidobacterium adolescentis (ARTB-127), BB-An Bifidobacterium animalis (ARTB-128), BB-Ln Bifidobacterium longum (ARTB-184), BB-Br Bifidobacterium breve (ARTB-129), BB-If Bifidobacterium infantis (ARTB-189), LB-Ac Lactobacillus acidophilus (ARTB-130), LB-Ac Lactobacillus acidophilus (ARTB-177), LB-Pl Lactobacillus plantarum (ARTB-135), LB-Pl Lactobacillus plantarum (ARTB-175), LB-Bg Lactobacillus delbrueckii subsp.bulgaricus (ARTB-131), LB-Sl Lactobacillus salivarius (ARTB-136), LB-Sl Lactobacillus salivarius (ARTB-142), LB-Rm Lactobacillus rhamnosus (ARTB-183), LB-Rm Lactobacillus rhamnosus (ARTB-180), LB-Hl Lactobacillus helveticus (ARTB-133), LB-Hl Lactobacillus helveticus (ARTB-174), гуммиарабик, молочная кислота, мальтодекстрин, гуаровая камедь (галактоманнан), ксантановая камедь (глюкоманнан)).
Вспомогательные вещества: капсула твердая разъёмная желатиновая (желатин (носитель), глицерин (агент влагоудерживающий)), антислеживатели: кальция стеарат, кремния диоксид.
</v>
      </c>
      <c r="BN51" s="43"/>
      <c r="BO51" s="22" t="str">
        <f>IFERROR(VLOOKUP(C51,'спецификация'!B:AA,10,0)," ")</f>
        <v>взрослым по 1 капсуле 1-3 раза в день во время еды. Продолжительность приема 1 месяц.</v>
      </c>
      <c r="BP51" s="43" t="str">
        <f>IFERROR(VLOOKUP(C51,'спецификация'!B:AA,11,0),"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51" s="22" t="str">
        <f>IFERROR(VLOOKUP(C51,'спецификация'!B:AA,12,0)," ")</f>
        <v>хранить в недоступном для детей месте, при температуре не выше 25⁰С и относительной влажности воздуха не более 60%.
</v>
      </c>
      <c r="BR51" s="22">
        <v>30.0</v>
      </c>
      <c r="BS51" s="22" t="s">
        <v>421</v>
      </c>
      <c r="BT51" s="22"/>
      <c r="BU51" s="22"/>
      <c r="BV51" s="22" t="s">
        <v>307</v>
      </c>
      <c r="BW51" s="44" t="str">
        <f>IFERROR(VLOOKUP(C51,'спецификация'!B:AA,16,0)," ")</f>
        <v>https://drive.google.com/drive/u/0/folders/1ys4mC4OTFH_BP85zDm4KRvMOf2YheWCY</v>
      </c>
      <c r="BX51" s="43"/>
      <c r="BY51" s="43"/>
      <c r="BZ51" s="45" t="str">
        <f>IFERROR(VLOOKUP(BF51,'спецификация'!D:Y,22,0)," ")</f>
        <v/>
      </c>
      <c r="CA51" s="43"/>
      <c r="CB51" s="43"/>
      <c r="CC51" s="43"/>
      <c r="CD51" s="43"/>
      <c r="CE51" s="43"/>
      <c r="CF51" s="43"/>
      <c r="CG51" s="49">
        <f>IFERROR(VLOOKUP(C51,CC!A:D,4,0)," ")</f>
        <v>155.15</v>
      </c>
      <c r="CH51" s="22" t="str">
        <f>IFERROR(VLOOKUP(C51,'спецификация'!B:AA,19,0)," ")</f>
        <v>ООО «Сибфармконтракт», Россия, 634034, г. Томск, ул. Нахимова 8, стр. 11.</v>
      </c>
      <c r="CI51" s="22"/>
      <c r="CJ51" s="22" t="s">
        <v>562</v>
      </c>
      <c r="CK51" s="22" t="str">
        <f>IFERROR(VLOOKUP(C51,CC!K:M,3,0)," ")</f>
        <v> </v>
      </c>
      <c r="CL51" s="43"/>
      <c r="CM51" s="43"/>
      <c r="CN51" s="43"/>
      <c r="CO51" s="43"/>
      <c r="CP51" s="43"/>
      <c r="CQ51" s="43"/>
      <c r="CR51" s="43"/>
      <c r="CS51" s="43" t="b">
        <v>0</v>
      </c>
      <c r="CT51" s="43" t="b">
        <v>0</v>
      </c>
      <c r="CU51" s="43" t="b">
        <v>0</v>
      </c>
      <c r="CV51" s="43" t="b">
        <v>0</v>
      </c>
      <c r="CW51" s="43"/>
      <c r="CX51" s="43"/>
      <c r="CY51" s="43"/>
      <c r="CZ51" s="43"/>
      <c r="DA51" s="43"/>
      <c r="DB51" s="43"/>
      <c r="DC51" s="43"/>
      <c r="DD51" s="22">
        <f>IFERROR(VLOOKUP($C51,'Лист4'!$D:$AI,27,0)," ")</f>
        <v>2</v>
      </c>
      <c r="DE51" s="22">
        <f>IFERROR(VLOOKUP($C51,'Лист4'!$D:$AI,28,0)," ")</f>
        <v>10</v>
      </c>
      <c r="DF51" s="22">
        <f>IFERROR(VLOOKUP($C51,'Лист4'!$D:$AI,29,0)," ")</f>
        <v>2</v>
      </c>
      <c r="DG51" s="22">
        <f t="shared" si="3"/>
        <v>40</v>
      </c>
      <c r="DH51" s="22">
        <f>IFERROR(VLOOKUP($C51,'Лист4'!$D:$AI,32,0)," ")</f>
        <v>0.05</v>
      </c>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43"/>
      <c r="EN51" s="43"/>
      <c r="EO51" s="43"/>
      <c r="EP51" s="43"/>
      <c r="EQ51" s="43"/>
      <c r="ER51" s="43"/>
      <c r="ES51" s="43"/>
      <c r="ET51" s="43"/>
      <c r="EU51" s="43"/>
      <c r="EV51" s="43"/>
      <c r="EW51" s="43"/>
      <c r="EX51" s="43"/>
      <c r="EY51" s="43"/>
      <c r="EZ51" s="43"/>
      <c r="FA51" s="43"/>
      <c r="FB51" s="43"/>
      <c r="FC51" s="43"/>
    </row>
    <row r="52" ht="18.0" customHeight="1">
      <c r="A52" s="2"/>
      <c r="B52" s="22" t="str">
        <f>IFERROR(VLOOKUP(C52,'Реестр'!C:AC,27,0)," ")</f>
        <v>Биг-Л</v>
      </c>
      <c r="C52" s="43" t="s">
        <v>950</v>
      </c>
      <c r="D52" s="22" t="str">
        <f>IFERROR(VLOOKUP(C52,'Лист4'!D:P,13,0)," ")</f>
        <v>qeep</v>
      </c>
      <c r="E52" s="22" t="str">
        <f>IF(OR(ISERROR(VLOOKUP(C52,'Актуальность'!A:B,2,0)), VLOOKUP(C52,'Актуальность'!A:B,2,0)=""), "Актуальный", VLOOKUP(C52,'Актуальность'!A:B,2,0))</f>
        <v>Вывод</v>
      </c>
      <c r="F52" s="43" t="str">
        <f>IFERROR(VLOOKUP(C52,'Актуальность'!A:C,3,0)," ")</f>
        <v>Пробуем КЗ</v>
      </c>
      <c r="G52" s="43"/>
      <c r="H52" s="22" t="s">
        <v>361</v>
      </c>
      <c r="I52" s="22" t="s">
        <v>641</v>
      </c>
      <c r="J52" s="43"/>
      <c r="K52" s="43"/>
      <c r="L52" s="22" t="b">
        <f t="shared" ref="L52:R52" si="48">T52&lt;&gt;""</f>
        <v>1</v>
      </c>
      <c r="M52" s="22" t="b">
        <f t="shared" si="48"/>
        <v>1</v>
      </c>
      <c r="N52" s="22" t="b">
        <f t="shared" si="48"/>
        <v>1</v>
      </c>
      <c r="O52" s="22" t="b">
        <f t="shared" si="48"/>
        <v>1</v>
      </c>
      <c r="P52" s="22" t="b">
        <f t="shared" si="48"/>
        <v>0</v>
      </c>
      <c r="Q52" s="22" t="b">
        <f t="shared" si="48"/>
        <v>0</v>
      </c>
      <c r="R52" s="22" t="b">
        <f t="shared" si="48"/>
        <v>0</v>
      </c>
      <c r="S52" s="43"/>
      <c r="T52" s="43" t="str">
        <f>IFERROR(VLOOKUP( C52,'1С'!A:B,2,0)," ")</f>
        <v>QB101100403</v>
      </c>
      <c r="U52" s="22" t="str">
        <f>IFERROR(VLOOKUP(T52,'Лист4'!C:I,3,0)," ")</f>
        <v>qeep_Antiparasite_60caps</v>
      </c>
      <c r="V52" s="22" t="str">
        <f>IFERROR(VLOOKUP(T52,'Лист4'!C:I,4,0)," ")</f>
        <v>qeep_Antiparasite_60caps</v>
      </c>
      <c r="W52" s="22" t="str">
        <f>IFERROR(VLOOKUP(T52,'Лист4'!C:I,5,0)," ")</f>
        <v>qeep_Antiparasite_60caps</v>
      </c>
      <c r="X52" s="43" t="str">
        <f>IFERROR(VLOOKUP(T52,'Лист4'!C:I,7,0)," ")</f>
        <v/>
      </c>
      <c r="Y52" s="43" t="str">
        <f>IFERROR(VLOOKUP(T52,'Лист4'!C:I,6,0)," ")</f>
        <v/>
      </c>
      <c r="Z52" s="43"/>
      <c r="AA52" s="43"/>
      <c r="AB52" s="22">
        <v>1.9312388E8</v>
      </c>
      <c r="AC52" s="22">
        <v>1.323353605E9</v>
      </c>
      <c r="AD52" s="22">
        <v>1.02621786592E11</v>
      </c>
      <c r="AE52" s="22"/>
      <c r="AF52" s="22"/>
      <c r="AG52" s="43"/>
      <c r="AH52" s="43"/>
      <c r="AI52" s="43" t="str">
        <f>IFERROR(VLOOKUP(T52,'1С'!B:C,2,0)," ")</f>
        <v>БАД Антипаразитарный комплекс ,qeep, 60 капсул</v>
      </c>
      <c r="AJ52" s="22" t="s">
        <v>954</v>
      </c>
      <c r="AK52" s="22" t="s">
        <v>955</v>
      </c>
      <c r="AL52" s="22" t="s">
        <v>956</v>
      </c>
      <c r="AM52" s="43"/>
      <c r="AN52" s="43"/>
      <c r="AO52" s="43"/>
      <c r="AP52" s="43"/>
      <c r="AQ52" s="46" t="s">
        <v>957</v>
      </c>
      <c r="AR52" s="46" t="s">
        <v>958</v>
      </c>
      <c r="AS52" s="46" t="s">
        <v>959</v>
      </c>
      <c r="AT52" s="43"/>
      <c r="AU52" s="43"/>
      <c r="AV52" s="43"/>
      <c r="AW52" s="43"/>
      <c r="AX52" s="22" t="s">
        <v>960</v>
      </c>
      <c r="AY52" s="22" t="s">
        <v>955</v>
      </c>
      <c r="AZ52" s="22" t="s">
        <v>372</v>
      </c>
      <c r="BA52" s="43"/>
      <c r="BB52" s="43"/>
      <c r="BC52" s="43"/>
      <c r="BD52" s="43"/>
      <c r="BE52" s="43"/>
      <c r="BF52" s="22">
        <f>IFERROR(VLOOKUP(C52,'спецификация'!B:D,3,0)," ")</f>
        <v>4670142965350</v>
      </c>
      <c r="BG52" s="22">
        <v>2.106909808E9</v>
      </c>
      <c r="BH52" s="22" t="str">
        <f>IFERROR(VLOOKUP(C52,'спецификация'!B:AA,5,0)," ")</f>
        <v>AM.01.11.01.003.R.000306.08.23 от 25.08.2023 г.</v>
      </c>
      <c r="BI52" s="46" t="s">
        <v>962</v>
      </c>
      <c r="BJ52" s="22" t="str">
        <f>IFERROR(VLOOKUP(C52,'спецификация'!B:AA,6,0)," ")</f>
        <v>ЧЗ</v>
      </c>
      <c r="BK52" s="43"/>
      <c r="BL52" s="43"/>
      <c r="BM52" s="22" t="str">
        <f>IFERROR(VLOOKUP(BF52,'спецификация'!D:H,5,0)," ")</f>
        <v>экстракты концентрированные сухие коры осины обыкновенной (Populus tremula L.), цветков пижмы обыкновенной (Tanacetum vulgare L.), травы тысячелистника обыкновенного (Achillea millefolium L.), травы зверобоя продырявленного (Hypericum perforatum L.), перегородок грецкого ореха (Juglans regia L.), цветков бессмертника песчаного (Helichrysum arenarium L.), крахмал кукурузный, стеарат кальция.</v>
      </c>
      <c r="BN52" s="43"/>
      <c r="BO52" s="22" t="str">
        <f>IFERROR(VLOOKUP(C52,'спецификация'!B:AA,10,0)," ")</f>
        <v>взрослым принимать по 2 капсулы 3 раза в день во время еды.
Продолжительность приема: 10 дней. При необходимости прием можно повторить.</v>
      </c>
      <c r="BP52" s="43" t="str">
        <f>IFERROR(VLOOKUP(C52,'спецификация'!B:AA,11,0)," ")</f>
        <v>индивидуальная непереносимость компонентов продукта, беременность, кормление грудью. </v>
      </c>
      <c r="BQ52" s="22" t="str">
        <f>IFERROR(VLOOKUP(C52,'спецификация'!B:AA,12,0)," ")</f>
        <v>хранить при температуре от 0 ºС до +25 ºС и относительной влажности воздуха не более 75%, в защищенном от света и недоступном для детей месте.</v>
      </c>
      <c r="BR52" s="22">
        <v>60.0</v>
      </c>
      <c r="BS52" s="22" t="s">
        <v>492</v>
      </c>
      <c r="BT52" s="43"/>
      <c r="BU52" s="22"/>
      <c r="BV52" s="22" t="s">
        <v>727</v>
      </c>
      <c r="BW52" s="44" t="str">
        <f>IFERROR(VLOOKUP(C52,'спецификация'!B:AA,16,0)," ")</f>
        <v>https://docs.google.com/document/d/1BgASHF8aR4NOXw1SFN33xvmAXN4kEDtRAcVUF6XGb0o/edit?usp=sharing</v>
      </c>
      <c r="BX52" s="43"/>
      <c r="BY52" s="43"/>
      <c r="BZ52" s="45" t="str">
        <f>IFERROR(VLOOKUP(BF52,'спецификация'!D:Y,22,0)," ")</f>
        <v/>
      </c>
      <c r="CA52" s="43"/>
      <c r="CB52" s="43"/>
      <c r="CC52" s="43"/>
      <c r="CD52" s="43"/>
      <c r="CE52" s="43"/>
      <c r="CF52" s="43"/>
      <c r="CG52" s="49">
        <f>IFERROR(VLOOKUP(C52,CC!A:D,4,0)," ")</f>
        <v>240</v>
      </c>
      <c r="CH52" s="22" t="str">
        <f>IFERROR(VLOOKUP(C52,'спецификация'!B:AA,19,0)," ")</f>
        <v>ООО «Биолит», 634055, Россия, г. Томск, пр. Академический, д. 4, стр. 3.</v>
      </c>
      <c r="CI52" s="22"/>
      <c r="CJ52" s="22" t="s">
        <v>969</v>
      </c>
      <c r="CK52" s="22">
        <f>IFERROR(VLOOKUP(C52,CC!K:M,3,0)," ")</f>
        <v>60</v>
      </c>
      <c r="CL52" s="43"/>
      <c r="CM52" s="43"/>
      <c r="CN52" s="43"/>
      <c r="CO52" s="43"/>
      <c r="CP52" s="43"/>
      <c r="CQ52" s="43"/>
      <c r="CR52" s="43"/>
      <c r="CS52" s="43" t="b">
        <v>0</v>
      </c>
      <c r="CT52" s="43" t="b">
        <v>0</v>
      </c>
      <c r="CU52" s="43" t="b">
        <v>0</v>
      </c>
      <c r="CV52" s="43" t="b">
        <v>0</v>
      </c>
      <c r="CW52" s="43"/>
      <c r="CX52" s="43"/>
      <c r="CY52" s="43"/>
      <c r="CZ52" s="43"/>
      <c r="DA52" s="43"/>
      <c r="DB52" s="43"/>
      <c r="DC52" s="43"/>
      <c r="DD52" s="22">
        <f>IFERROR(VLOOKUP($C52,'Лист4'!$D:$AI,27,0)," ")</f>
        <v>8</v>
      </c>
      <c r="DE52" s="22">
        <f>IFERROR(VLOOKUP($C52,'Лист4'!$D:$AI,28,0)," ")</f>
        <v>11</v>
      </c>
      <c r="DF52" s="22">
        <f>IFERROR(VLOOKUP($C52,'Лист4'!$D:$AI,29,0)," ")</f>
        <v>8</v>
      </c>
      <c r="DG52" s="22">
        <f t="shared" si="3"/>
        <v>704</v>
      </c>
      <c r="DH52" s="22">
        <f>IFERROR(VLOOKUP($C52,'Лист4'!$D:$AI,32,0)," ")</f>
        <v>0.06</v>
      </c>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43"/>
      <c r="EN52" s="43"/>
      <c r="EO52" s="43"/>
      <c r="EP52" s="43"/>
      <c r="EQ52" s="43"/>
      <c r="ER52" s="43"/>
      <c r="ES52" s="43"/>
      <c r="ET52" s="43"/>
      <c r="EU52" s="43"/>
      <c r="EV52" s="43"/>
      <c r="EW52" s="43"/>
      <c r="EX52" s="43"/>
      <c r="EY52" s="43"/>
      <c r="EZ52" s="43"/>
      <c r="FA52" s="43"/>
      <c r="FB52" s="43"/>
      <c r="FC52" s="43"/>
    </row>
    <row r="53" ht="18.0" customHeight="1">
      <c r="A53" s="2"/>
      <c r="B53" s="22" t="str">
        <f>IFERROR(VLOOKUP(C53,'Реестр'!C:AC,27,0)," ")</f>
        <v>Биг-Л</v>
      </c>
      <c r="C53" s="43" t="s">
        <v>970</v>
      </c>
      <c r="D53" s="22" t="str">
        <f>IFERROR(VLOOKUP(C53,'Лист4'!D:P,13,0)," ")</f>
        <v>qeep</v>
      </c>
      <c r="E53" s="22" t="str">
        <f>IF(OR(ISERROR(VLOOKUP(C53,'Актуальность'!A:B,2,0)), VLOOKUP(C53,'Актуальность'!A:B,2,0)=""), "Актуальный", VLOOKUP(C53,'Актуальность'!A:B,2,0))</f>
        <v>Вывод</v>
      </c>
      <c r="F53" s="43" t="str">
        <f>IFERROR(VLOOKUP(C53,'Актуальность'!A:C,3,0)," ")</f>
        <v>Неконкурентный товар</v>
      </c>
      <c r="G53" s="43"/>
      <c r="H53" s="22" t="s">
        <v>361</v>
      </c>
      <c r="I53" s="22" t="s">
        <v>641</v>
      </c>
      <c r="J53" s="43"/>
      <c r="K53" s="43"/>
      <c r="L53" s="22" t="b">
        <f t="shared" ref="L53:R53" si="49">T53&lt;&gt;""</f>
        <v>1</v>
      </c>
      <c r="M53" s="22" t="b">
        <f t="shared" si="49"/>
        <v>1</v>
      </c>
      <c r="N53" s="22" t="b">
        <f t="shared" si="49"/>
        <v>1</v>
      </c>
      <c r="O53" s="22" t="b">
        <f t="shared" si="49"/>
        <v>1</v>
      </c>
      <c r="P53" s="22" t="b">
        <f t="shared" si="49"/>
        <v>1</v>
      </c>
      <c r="Q53" s="22" t="b">
        <f t="shared" si="49"/>
        <v>0</v>
      </c>
      <c r="R53" s="22" t="b">
        <f t="shared" si="49"/>
        <v>0</v>
      </c>
      <c r="S53" s="43"/>
      <c r="T53" s="43" t="str">
        <f>IFERROR(VLOOKUP( C53,'1С'!A:B,2,0)," ")</f>
        <v>QB101100406</v>
      </c>
      <c r="U53" s="22" t="str">
        <f>IFERROR(VLOOKUP(T53,'Лист4'!C:I,3,0)," ")</f>
        <v>qeep_betain_60caps</v>
      </c>
      <c r="V53" s="22" t="str">
        <f>IFERROR(VLOOKUP(T53,'Лист4'!C:I,4,0)," ")</f>
        <v>qeep_betain_60caps</v>
      </c>
      <c r="W53" s="22" t="str">
        <f>IFERROR(VLOOKUP(T53,'Лист4'!C:I,5,0)," ")</f>
        <v>qeep_betain_60caps</v>
      </c>
      <c r="X53" s="43" t="str">
        <f>IFERROR(VLOOKUP(T53,'Лист4'!C:I,7,0)," ")</f>
        <v>qeep_betain_60caps</v>
      </c>
      <c r="Y53" s="43" t="str">
        <f>IFERROR(VLOOKUP(T53,'Лист4'!C:I,6,0)," ")</f>
        <v/>
      </c>
      <c r="Z53" s="43"/>
      <c r="AA53" s="43"/>
      <c r="AB53" s="22">
        <v>1.69963867E8</v>
      </c>
      <c r="AC53" s="22">
        <v>1.101330936E9</v>
      </c>
      <c r="AD53" s="22">
        <v>1.0262604369E11</v>
      </c>
      <c r="AE53" s="22">
        <v>9.9000118639E10</v>
      </c>
      <c r="AF53" s="22"/>
      <c r="AG53" s="43"/>
      <c r="AH53" s="43"/>
      <c r="AI53" s="43" t="str">
        <f>IFERROR(VLOOKUP(T53,'1С'!B:C,2,0)," ")</f>
        <v>БАД Бетаин 600 мг ,qeep, 60 капсул</v>
      </c>
      <c r="AJ53" s="22" t="s">
        <v>974</v>
      </c>
      <c r="AK53" s="22" t="s">
        <v>975</v>
      </c>
      <c r="AL53" s="22" t="s">
        <v>976</v>
      </c>
      <c r="AM53" s="22" t="s">
        <v>977</v>
      </c>
      <c r="AN53" s="43"/>
      <c r="AO53" s="43"/>
      <c r="AP53" s="43"/>
      <c r="AQ53" s="46" t="s">
        <v>978</v>
      </c>
      <c r="AR53" s="46" t="s">
        <v>979</v>
      </c>
      <c r="AS53" s="46" t="s">
        <v>980</v>
      </c>
      <c r="AT53" s="43"/>
      <c r="AU53" s="43"/>
      <c r="AV53" s="43"/>
      <c r="AW53" s="43"/>
      <c r="AX53" s="22" t="s">
        <v>361</v>
      </c>
      <c r="AY53" s="22" t="s">
        <v>975</v>
      </c>
      <c r="AZ53" s="22" t="s">
        <v>372</v>
      </c>
      <c r="BA53" s="22" t="s">
        <v>778</v>
      </c>
      <c r="BB53" s="43"/>
      <c r="BC53" s="43"/>
      <c r="BD53" s="43"/>
      <c r="BE53" s="43"/>
      <c r="BF53" s="22" t="str">
        <f>IFERROR(VLOOKUP(C53,'спецификация'!B:D,3,0)," ")</f>
        <v>4627150924015 
4660401460016 
4660401460054</v>
      </c>
      <c r="BG53" s="22">
        <v>2.106909808E9</v>
      </c>
      <c r="BH53" s="22" t="str">
        <f>IFERROR(VLOOKUP(C53,'спецификация'!B:AA,5,0)," ")</f>
        <v>AM.01.01.01.003.R.000335.05.23 от 04.05.2023 г.</v>
      </c>
      <c r="BI53" s="46" t="s">
        <v>983</v>
      </c>
      <c r="BJ53" s="22" t="str">
        <f>IFERROR(VLOOKUP(C53,'спецификация'!B:AA,6,0)," ")</f>
        <v>ЧЗ</v>
      </c>
      <c r="BK53" s="43"/>
      <c r="BL53" s="43"/>
      <c r="BM53" s="22" t="str">
        <f>IFERROR(VLOOKUP(BF53,'спецификация'!D:H,5,0)," ")</f>
        <v>бетаин гидрохлорид, стеарат кальция, твёрдая желатиновая капсула.</v>
      </c>
      <c r="BN53" s="43"/>
      <c r="BO53" s="22" t="str">
        <f>IFERROR(VLOOKUP(C53,'спецификация'!B:AA,10,0)," ")</f>
        <v> Взрослым по 1 капсуле в день.
</v>
      </c>
      <c r="BP53" s="43" t="str">
        <f>IFERROR(VLOOKUP(C53,'спецификация'!B:AA,11,0)," ")</f>
        <v> 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
</v>
      </c>
      <c r="BQ53" s="22" t="str">
        <f>IFERROR(VLOOKUP(C53,'спецификация'!B:AA,12,0)," ")</f>
        <v> хранить в сухом, недоступном для детей месте, при температуре от +5 °С до +25 °С.
</v>
      </c>
      <c r="BR53" s="22">
        <v>60.0</v>
      </c>
      <c r="BS53" s="22" t="s">
        <v>492</v>
      </c>
      <c r="BT53" s="43"/>
      <c r="BU53" s="22"/>
      <c r="BV53" s="22" t="s">
        <v>307</v>
      </c>
      <c r="BW53" s="44" t="str">
        <f>IFERROR(VLOOKUP(C53,'спецификация'!B:AA,16,0)," ")</f>
        <v>https://docs.google.com/document/d/1btMLoKjGiPiNbhwZ2f6qDmBwM2xegs1lppoz6n2azxw/edit</v>
      </c>
      <c r="BX53" s="43"/>
      <c r="BY53" s="43"/>
      <c r="BZ53" s="44" t="str">
        <f>IFERROR(VLOOKUP(BF53,'спецификация'!D:Y,22,0)," ")</f>
        <v>https://drive.google.com/drive/u/0/folders/1MG-BzuApIlExV8-3nD7wX6WFiSm3kP14</v>
      </c>
      <c r="CA53" s="43"/>
      <c r="CB53" s="43"/>
      <c r="CC53" s="43"/>
      <c r="CD53" s="43"/>
      <c r="CE53" s="43"/>
      <c r="CF53" s="43"/>
      <c r="CG53" s="49">
        <f>IFERROR(VLOOKUP(C53,CC!A:D,4,0)," ")</f>
        <v>268</v>
      </c>
      <c r="CH53" s="22" t="str">
        <f>IFERROR(VLOOKUP(C53,'спецификация'!B:AA,19,0)," ")</f>
        <v>ООО «Жива Продукт ПРО». 350062, Россия, Краснодарский край, город Краснодар, улица Казбекская, дом 17, кв. (оф.) 85</v>
      </c>
      <c r="CI53" s="22"/>
      <c r="CJ53" s="22" t="s">
        <v>990</v>
      </c>
      <c r="CK53" s="22">
        <f>IFERROR(VLOOKUP(C53,CC!K:M,3,0)," ")</f>
        <v>60</v>
      </c>
      <c r="CL53" s="43"/>
      <c r="CM53" s="43"/>
      <c r="CN53" s="43"/>
      <c r="CO53" s="43"/>
      <c r="CP53" s="43"/>
      <c r="CQ53" s="43"/>
      <c r="CR53" s="43"/>
      <c r="CS53" s="43" t="b">
        <v>0</v>
      </c>
      <c r="CT53" s="43" t="b">
        <v>0</v>
      </c>
      <c r="CU53" s="43" t="b">
        <v>0</v>
      </c>
      <c r="CV53" s="43" t="b">
        <v>0</v>
      </c>
      <c r="CW53" s="43"/>
      <c r="CX53" s="43"/>
      <c r="CY53" s="43"/>
      <c r="CZ53" s="43"/>
      <c r="DA53" s="43"/>
      <c r="DB53" s="43"/>
      <c r="DC53" s="43"/>
      <c r="DD53" s="22">
        <f>IFERROR(VLOOKUP($C53,'Лист4'!$D:$AI,27,0)," ")</f>
        <v>5</v>
      </c>
      <c r="DE53" s="22">
        <f>IFERROR(VLOOKUP($C53,'Лист4'!$D:$AI,28,0)," ")</f>
        <v>15</v>
      </c>
      <c r="DF53" s="22">
        <f>IFERROR(VLOOKUP($C53,'Лист4'!$D:$AI,29,0)," ")</f>
        <v>5</v>
      </c>
      <c r="DG53" s="22">
        <f t="shared" si="3"/>
        <v>375</v>
      </c>
      <c r="DH53" s="22">
        <f>IFERROR(VLOOKUP($C53,'Лист4'!$D:$AI,32,0)," ")</f>
        <v>0.088</v>
      </c>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43"/>
      <c r="EN53" s="43"/>
      <c r="EO53" s="43"/>
      <c r="EP53" s="43"/>
      <c r="EQ53" s="43"/>
      <c r="ER53" s="43"/>
      <c r="ES53" s="43"/>
      <c r="ET53" s="43"/>
      <c r="EU53" s="43"/>
      <c r="EV53" s="43"/>
      <c r="EW53" s="43"/>
      <c r="EX53" s="43"/>
      <c r="EY53" s="43"/>
      <c r="EZ53" s="43"/>
      <c r="FA53" s="43"/>
      <c r="FB53" s="43"/>
      <c r="FC53" s="43"/>
    </row>
    <row r="54" ht="18.0" customHeight="1">
      <c r="A54" s="2"/>
      <c r="B54" s="22" t="str">
        <f>IFERROR(VLOOKUP(C54,'Реестр'!C:AC,27,0)," ")</f>
        <v>Биг-Л</v>
      </c>
      <c r="C54" s="43" t="s">
        <v>991</v>
      </c>
      <c r="D54" s="22" t="str">
        <f>IFERROR(VLOOKUP(C54,'Лист4'!D:P,13,0)," ")</f>
        <v>qeep</v>
      </c>
      <c r="E54" s="22" t="str">
        <f>IF(OR(ISERROR(VLOOKUP(C54,'Актуальность'!A:B,2,0)), VLOOKUP(C54,'Актуальность'!A:B,2,0)=""), "Актуальный", VLOOKUP(C54,'Актуальность'!A:B,2,0))</f>
        <v>Вывод</v>
      </c>
      <c r="F54" s="43" t="str">
        <f>IFERROR(VLOOKUP(C54,'Актуальность'!A:C,3,0)," ")</f>
        <v>Узкий рынок</v>
      </c>
      <c r="G54" s="43"/>
      <c r="H54" s="22" t="s">
        <v>361</v>
      </c>
      <c r="I54" s="22" t="s">
        <v>641</v>
      </c>
      <c r="J54" s="43"/>
      <c r="K54" s="43"/>
      <c r="L54" s="22" t="b">
        <f t="shared" ref="L54:R54" si="50">T54&lt;&gt;""</f>
        <v>1</v>
      </c>
      <c r="M54" s="22" t="b">
        <f t="shared" si="50"/>
        <v>1</v>
      </c>
      <c r="N54" s="22" t="b">
        <f t="shared" si="50"/>
        <v>1</v>
      </c>
      <c r="O54" s="22" t="b">
        <f t="shared" si="50"/>
        <v>1</v>
      </c>
      <c r="P54" s="22" t="b">
        <f t="shared" si="50"/>
        <v>0</v>
      </c>
      <c r="Q54" s="22" t="b">
        <f t="shared" si="50"/>
        <v>0</v>
      </c>
      <c r="R54" s="22" t="b">
        <f t="shared" si="50"/>
        <v>0</v>
      </c>
      <c r="S54" s="43"/>
      <c r="T54" s="43" t="str">
        <f>IFERROR(VLOOKUP( C54,'1С'!A:B,2,0)," ")</f>
        <v>QB101100487</v>
      </c>
      <c r="U54" s="22" t="str">
        <f>IFERROR(VLOOKUP(T54,'Лист4'!C:I,3,0)," ")</f>
        <v>qeep_livercomplex_60caps</v>
      </c>
      <c r="V54" s="22" t="str">
        <f>IFERROR(VLOOKUP(T54,'Лист4'!C:I,4,0)," ")</f>
        <v>qeep_livercomplex_60caps</v>
      </c>
      <c r="W54" s="22" t="str">
        <f>IFERROR(VLOOKUP(T54,'Лист4'!C:I,5,0)," ")</f>
        <v>qeep_livercomplex_60caps</v>
      </c>
      <c r="X54" s="43" t="str">
        <f>IFERROR(VLOOKUP(T54,'Лист4'!C:I,7,0)," ")</f>
        <v/>
      </c>
      <c r="Y54" s="43" t="str">
        <f>IFERROR(VLOOKUP(T54,'Лист4'!C:I,6,0)," ")</f>
        <v/>
      </c>
      <c r="Z54" s="43"/>
      <c r="AA54" s="43"/>
      <c r="AB54" s="22">
        <v>1.61526543E8</v>
      </c>
      <c r="AC54" s="22">
        <v>9.85677823E8</v>
      </c>
      <c r="AD54" s="22">
        <v>4.997621076E9</v>
      </c>
      <c r="AE54" s="22"/>
      <c r="AF54" s="22"/>
      <c r="AG54" s="43"/>
      <c r="AH54" s="43"/>
      <c r="AI54" s="43" t="str">
        <f>IFERROR(VLOOKUP(T54,'1С'!B:C,2,0)," ")</f>
        <v>БАД Расторопша для печени ,qeep, 60 капсул</v>
      </c>
      <c r="AJ54" s="22" t="s">
        <v>995</v>
      </c>
      <c r="AK54" s="22" t="s">
        <v>996</v>
      </c>
      <c r="AL54" s="22" t="s">
        <v>997</v>
      </c>
      <c r="AM54" s="43"/>
      <c r="AN54" s="43"/>
      <c r="AO54" s="43"/>
      <c r="AP54" s="43"/>
      <c r="AQ54" s="46" t="s">
        <v>998</v>
      </c>
      <c r="AR54" s="46" t="s">
        <v>999</v>
      </c>
      <c r="AS54" s="43"/>
      <c r="AT54" s="43"/>
      <c r="AU54" s="43"/>
      <c r="AV54" s="43"/>
      <c r="AW54" s="43"/>
      <c r="AX54" s="22" t="s">
        <v>361</v>
      </c>
      <c r="AY54" s="22" t="s">
        <v>996</v>
      </c>
      <c r="AZ54" s="22" t="s">
        <v>372</v>
      </c>
      <c r="BA54" s="43"/>
      <c r="BB54" s="43"/>
      <c r="BC54" s="43"/>
      <c r="BD54" s="43"/>
      <c r="BE54" s="43"/>
      <c r="BF54" s="22">
        <f>IFERROR(VLOOKUP(C54,'спецификация'!B:D,3,0)," ")</f>
        <v>4670142964537</v>
      </c>
      <c r="BG54" s="22">
        <v>2.106909808E9</v>
      </c>
      <c r="BH54" s="22" t="str">
        <f>IFERROR(VLOOKUP(C54,'спецификация'!B:AA,5,0)," ")</f>
        <v>AM.01.01.01.003.R.000372.08.22 от 01.08.2022 г.</v>
      </c>
      <c r="BI54" s="46" t="s">
        <v>1001</v>
      </c>
      <c r="BJ54" s="22" t="str">
        <f>IFERROR(VLOOKUP(C54,'спецификация'!B:AA,6,0)," ")</f>
        <v>ЧЗ</v>
      </c>
      <c r="BK54" s="43"/>
      <c r="BL54" s="43"/>
      <c r="BM54" s="22" t="str">
        <f>IFERROR(VLOOKUP(BF54,'спецификация'!D:H,5,0)," ")</f>
        <v>экстракты концентрированные сухие травы солянки холмовой (Salsola collina Pall), расторопши пятнистой (Sílybum marianum), травы овса посевного молочной спелости (Avena sativa), крахмал кукурузный, стеарат кальция</v>
      </c>
      <c r="BN54" s="43"/>
      <c r="BO54" s="22" t="str">
        <f>IFERROR(VLOOKUP(C54,'спецификация'!B:AA,10,0)," ")</f>
        <v>взрослым по 1 капсуле 2 раза в день во время еды.
Перед применением рекомендуется проконсультироваться с врачом.
Продолжительность приема: 30 дней. При необходимости прием можно повторить.</v>
      </c>
      <c r="BP54" s="43" t="str">
        <f>IFERROR(VLOOKUP(C54,'спецификация'!B:AA,11,0)," ")</f>
        <v>индивидуальная непереносимость компонентов продукта, беременность, кормление грудью. </v>
      </c>
      <c r="BQ54" s="22" t="str">
        <f>IFERROR(VLOOKUP(C54,'спецификация'!B:AA,12,0)," ")</f>
        <v>хранить при температуре от 0 ºС до +25ºС и относительной влажности воздуха не более 75%, в защищенном от света и недоступном для детей месте.</v>
      </c>
      <c r="BR54" s="22">
        <v>60.0</v>
      </c>
      <c r="BS54" s="22" t="s">
        <v>492</v>
      </c>
      <c r="BT54" s="43"/>
      <c r="BU54" s="22"/>
      <c r="BV54" s="22" t="s">
        <v>307</v>
      </c>
      <c r="BW54" s="44" t="str">
        <f>IFERROR(VLOOKUP(C54,'спецификация'!B:AA,16,0)," ")</f>
        <v>https://docs.google.com/document/d/1u4s30Tp4BCPPO9U3tTIxjOOGRR_1kc3nNCCYXEN0oU4/edit?usp=sharing</v>
      </c>
      <c r="BX54" s="43"/>
      <c r="BY54" s="43"/>
      <c r="BZ54" s="44" t="str">
        <f>IFERROR(VLOOKUP(BF54,'спецификация'!D:Y,22,0)," ")</f>
        <v>https://drive.google.com/drive/u/0/folders/1sL3txEX1OSsv1WQ0PP1X_zYsx82wBbYE</v>
      </c>
      <c r="CA54" s="43"/>
      <c r="CB54" s="43"/>
      <c r="CC54" s="43"/>
      <c r="CD54" s="43"/>
      <c r="CE54" s="43"/>
      <c r="CF54" s="43"/>
      <c r="CG54" s="49">
        <f>IFERROR(VLOOKUP(C54,CC!A:D,4,0)," ")</f>
        <v>235</v>
      </c>
      <c r="CH54" s="22" t="str">
        <f>IFERROR(VLOOKUP(C54,'спецификация'!B:AA,19,0)," ")</f>
        <v>ООО «Биолит», 634055, Россия, г. Томск, пр. Академический, д. 4, стр. 3.</v>
      </c>
      <c r="CI54" s="22"/>
      <c r="CJ54" s="22" t="s">
        <v>969</v>
      </c>
      <c r="CK54" s="22">
        <f>IFERROR(VLOOKUP(C54,CC!K:M,3,0)," ")</f>
        <v>60</v>
      </c>
      <c r="CL54" s="43"/>
      <c r="CM54" s="43"/>
      <c r="CN54" s="43"/>
      <c r="CO54" s="43"/>
      <c r="CP54" s="43"/>
      <c r="CQ54" s="43"/>
      <c r="CR54" s="43"/>
      <c r="CS54" s="43" t="b">
        <v>0</v>
      </c>
      <c r="CT54" s="43" t="b">
        <v>0</v>
      </c>
      <c r="CU54" s="43" t="b">
        <v>0</v>
      </c>
      <c r="CV54" s="43" t="b">
        <v>0</v>
      </c>
      <c r="CW54" s="43"/>
      <c r="CX54" s="43"/>
      <c r="CY54" s="43"/>
      <c r="CZ54" s="43"/>
      <c r="DA54" s="43"/>
      <c r="DB54" s="43"/>
      <c r="DC54" s="43"/>
      <c r="DD54" s="22">
        <f>IFERROR(VLOOKUP($C54,'Лист4'!$D:$AI,27,0)," ")</f>
        <v>10</v>
      </c>
      <c r="DE54" s="22">
        <f>IFERROR(VLOOKUP($C54,'Лист4'!$D:$AI,28,0)," ")</f>
        <v>5</v>
      </c>
      <c r="DF54" s="22">
        <f>IFERROR(VLOOKUP($C54,'Лист4'!$D:$AI,29,0)," ")</f>
        <v>10</v>
      </c>
      <c r="DG54" s="22">
        <f t="shared" si="3"/>
        <v>500</v>
      </c>
      <c r="DH54" s="22">
        <f>IFERROR(VLOOKUP($C54,'Лист4'!$D:$AI,32,0)," ")</f>
        <v>0.063</v>
      </c>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43"/>
      <c r="EN54" s="43"/>
      <c r="EO54" s="43"/>
      <c r="EP54" s="43"/>
      <c r="EQ54" s="43"/>
      <c r="ER54" s="43"/>
      <c r="ES54" s="43"/>
      <c r="ET54" s="43"/>
      <c r="EU54" s="43"/>
      <c r="EV54" s="43"/>
      <c r="EW54" s="43"/>
      <c r="EX54" s="43"/>
      <c r="EY54" s="43"/>
      <c r="EZ54" s="43"/>
      <c r="FA54" s="43"/>
      <c r="FB54" s="43"/>
      <c r="FC54" s="43"/>
    </row>
    <row r="55" ht="18.0" customHeight="1">
      <c r="A55" s="2"/>
      <c r="B55" s="22" t="str">
        <f>IFERROR(VLOOKUP(C55,'Реестр'!C:AC,27,0)," ")</f>
        <v>Биг-Л</v>
      </c>
      <c r="C55" s="43" t="s">
        <v>1007</v>
      </c>
      <c r="D55" s="22" t="str">
        <f>IFERROR(VLOOKUP(C55,'Лист4'!D:P,13,0)," ")</f>
        <v>Harly</v>
      </c>
      <c r="E55" s="22" t="str">
        <f>IF(OR(ISERROR(VLOOKUP(C55,'Актуальность'!A:B,2,0)), VLOOKUP(C55,'Актуальность'!A:B,2,0)=""), "Актуальный", VLOOKUP(C55,'Актуальность'!A:B,2,0))</f>
        <v>Актуальный</v>
      </c>
      <c r="F55" s="43" t="str">
        <f>IFERROR(VLOOKUP(C55,'Актуальность'!A:C,3,0)," ")</f>
        <v/>
      </c>
      <c r="G55" s="43"/>
      <c r="H55" s="22" t="s">
        <v>443</v>
      </c>
      <c r="I55" s="22" t="s">
        <v>1009</v>
      </c>
      <c r="J55" s="43"/>
      <c r="K55" s="43"/>
      <c r="L55" s="22" t="b">
        <f t="shared" ref="L55:R55" si="51">T55&lt;&gt;""</f>
        <v>1</v>
      </c>
      <c r="M55" s="22" t="b">
        <f t="shared" si="51"/>
        <v>1</v>
      </c>
      <c r="N55" s="22" t="b">
        <f t="shared" si="51"/>
        <v>1</v>
      </c>
      <c r="O55" s="22" t="b">
        <f t="shared" si="51"/>
        <v>1</v>
      </c>
      <c r="P55" s="22" t="b">
        <f t="shared" si="51"/>
        <v>0</v>
      </c>
      <c r="Q55" s="22" t="b">
        <f t="shared" si="51"/>
        <v>0</v>
      </c>
      <c r="R55" s="22" t="b">
        <f t="shared" si="51"/>
        <v>0</v>
      </c>
      <c r="S55" s="43"/>
      <c r="T55" s="43" t="str">
        <f>IFERROR(VLOOKUP( C55,'1С'!A:B,2,0)," ")</f>
        <v>HC101100401</v>
      </c>
      <c r="U55" s="22" t="str">
        <f>IFERROR(VLOOKUP(T55,'Лист4'!C:I,3,0)," ")</f>
        <v>harly_toothpaste_50ml</v>
      </c>
      <c r="V55" s="22" t="str">
        <f>IFERROR(VLOOKUP(T55,'Лист4'!C:I,4,0)," ")</f>
        <v>harly_toothpaste_50ml</v>
      </c>
      <c r="W55" s="22" t="str">
        <f>IFERROR(VLOOKUP(T55,'Лист4'!C:I,5,0)," ")</f>
        <v>harly_toothpaste_50ml</v>
      </c>
      <c r="X55" s="43" t="str">
        <f>IFERROR(VLOOKUP(T55,'Лист4'!C:I,7,0)," ")</f>
        <v/>
      </c>
      <c r="Y55" s="43" t="str">
        <f>IFERROR(VLOOKUP(T55,'Лист4'!C:I,6,0)," ")</f>
        <v/>
      </c>
      <c r="Z55" s="43"/>
      <c r="AA55" s="43"/>
      <c r="AB55" s="22">
        <v>4.94708852E8</v>
      </c>
      <c r="AC55" s="22">
        <v>2.686479094E9</v>
      </c>
      <c r="AD55" s="22">
        <v>4.602254449E9</v>
      </c>
      <c r="AE55" s="22"/>
      <c r="AF55" s="22"/>
      <c r="AG55" s="43"/>
      <c r="AH55" s="43"/>
      <c r="AI55" s="43" t="str">
        <f>IFERROR(VLOOKUP(T55,'1С'!B:C,2,0)," ")</f>
        <v>Паста зубная для собак и кошек, Harly, 50 мл</v>
      </c>
      <c r="AJ55" s="22" t="s">
        <v>1011</v>
      </c>
      <c r="AK55" s="22" t="s">
        <v>1011</v>
      </c>
      <c r="AL55" s="22" t="s">
        <v>1012</v>
      </c>
      <c r="AM55" s="43"/>
      <c r="AN55" s="43"/>
      <c r="AO55" s="43"/>
      <c r="AP55" s="43"/>
      <c r="AQ55" s="46" t="s">
        <v>1013</v>
      </c>
      <c r="AR55" s="46" t="s">
        <v>1014</v>
      </c>
      <c r="AS55" s="46" t="s">
        <v>1015</v>
      </c>
      <c r="AT55" s="43"/>
      <c r="AU55" s="43"/>
      <c r="AV55" s="43"/>
      <c r="AW55" s="43"/>
      <c r="AX55" s="22" t="s">
        <v>128</v>
      </c>
      <c r="AY55" s="22" t="s">
        <v>1011</v>
      </c>
      <c r="AZ55" s="22" t="s">
        <v>1016</v>
      </c>
      <c r="BA55" s="43"/>
      <c r="BB55" s="43"/>
      <c r="BC55" s="43"/>
      <c r="BD55" s="43"/>
      <c r="BE55" s="43"/>
      <c r="BF55" s="22" t="str">
        <f>IFERROR(VLOOKUP(C55,'спецификация'!B:D,3,0)," ")</f>
        <v>4620290621325</v>
      </c>
      <c r="BG55" s="22"/>
      <c r="BH55" s="22" t="str">
        <f>IFERROR(VLOOKUP(C55,'спецификация'!B:AA,5,0)," ")</f>
        <v>Отказное письмо № ОП/11-0028 от 06.11.2024 г.</v>
      </c>
      <c r="BI55" s="46" t="s">
        <v>1019</v>
      </c>
      <c r="BJ55" s="22" t="str">
        <f>IFERROR(VLOOKUP(C55,'спецификация'!B:AA,6,0)," ")</f>
        <v>без ЧЗ</v>
      </c>
      <c r="BK55" s="43"/>
      <c r="BL55" s="43"/>
      <c r="BM55" s="22" t="str">
        <f>IFERROR(VLOOKUP(BF55,'спецификация'!D:H,5,0)," ")</f>
        <v>вода, глицерин, гидроксиэтилцеллюлоза, ПЭГ 40, гидрогенизированное касторовое масло, ПЭГ-400 полиэтиленгликоль, аллантоин, экстракт прополиса, экстракт ромашки, экстракт коры дуба, пропиленгликоль, хлорид натрия, ментол, субтилизин, глюкозооксидаза, д-пантенол, подсластитель, сорбат калия, бензоат натрия.</v>
      </c>
      <c r="BN55" s="56">
        <v>46044.0</v>
      </c>
      <c r="BO55" s="22" t="str">
        <f>IFERROR(VLOOKUP(C55,'спецификация'!B:AA,10,0)," ")</f>
        <v>гель нанести на десны и зубы питомца при помощи специальной зубной щетки, ватной палочки или чистого пальца, и круговыми движениями обработать зубы. Не требует смывания.</v>
      </c>
      <c r="BP55" s="43" t="str">
        <f>IFERROR(VLOOKUP(C55,'спецификация'!B:AA,11,0)," ")</f>
        <v/>
      </c>
      <c r="BQ55" s="22" t="s">
        <v>1022</v>
      </c>
      <c r="BR55" s="22">
        <v>50.0</v>
      </c>
      <c r="BS55" s="22" t="s">
        <v>139</v>
      </c>
      <c r="BT55" s="22"/>
      <c r="BU55" s="22"/>
      <c r="BV55" s="22" t="s">
        <v>332</v>
      </c>
      <c r="BW55" s="44" t="str">
        <f>IFERROR(VLOOKUP(C55,'спецификация'!B:AA,16,0)," ")</f>
        <v>https://docs.google.com/document/d/1Sz0LP9aVbdQfEU2WMRCtI-DDfLzGptLZvgLBIQURHDM/edit?tab=t.0</v>
      </c>
      <c r="BX55" s="43"/>
      <c r="BY55" s="43"/>
      <c r="BZ55" s="45" t="str">
        <f>IFERROR(VLOOKUP(BF55,'спецификация'!D:Y,22,0)," ")</f>
        <v/>
      </c>
      <c r="CA55" s="43"/>
      <c r="CB55" s="43"/>
      <c r="CC55" s="43"/>
      <c r="CD55" s="43"/>
      <c r="CE55" s="43"/>
      <c r="CF55" s="43"/>
      <c r="CG55" s="49">
        <f>IFERROR(VLOOKUP(C55,CC!A:D,4,0)," ")</f>
        <v>116</v>
      </c>
      <c r="CH55" s="22" t="str">
        <f>IFERROR(VLOOKUP(C55,'спецификация'!B:AA,19,0)," ")</f>
        <v>ООО Терра-пласт</v>
      </c>
      <c r="CI55" s="22"/>
      <c r="CJ55" s="22" t="s">
        <v>251</v>
      </c>
      <c r="CK55" s="22">
        <f>IFERROR(VLOOKUP(C55,CC!K:M,3,0)," ")</f>
        <v>60</v>
      </c>
      <c r="CL55" s="43"/>
      <c r="CM55" s="43"/>
      <c r="CN55" s="43"/>
      <c r="CO55" s="43"/>
      <c r="CP55" s="43"/>
      <c r="CQ55" s="43"/>
      <c r="CR55" s="43"/>
      <c r="CS55" s="43" t="b">
        <v>0</v>
      </c>
      <c r="CT55" s="43" t="b">
        <v>0</v>
      </c>
      <c r="CU55" s="43" t="b">
        <v>0</v>
      </c>
      <c r="CV55" s="43" t="b">
        <v>0</v>
      </c>
      <c r="CW55" s="43"/>
      <c r="CX55" s="43"/>
      <c r="CY55" s="43"/>
      <c r="CZ55" s="43"/>
      <c r="DA55" s="43"/>
      <c r="DB55" s="43"/>
      <c r="DC55" s="43"/>
      <c r="DD55" s="22">
        <f>IFERROR(VLOOKUP($C55,'Лист4'!$D:$AI,27,0)," ")</f>
        <v>4</v>
      </c>
      <c r="DE55" s="22">
        <f>IFERROR(VLOOKUP($C55,'Лист4'!$D:$AI,28,0)," ")</f>
        <v>41</v>
      </c>
      <c r="DF55" s="22">
        <f>IFERROR(VLOOKUP($C55,'Лист4'!$D:$AI,29,0)," ")</f>
        <v>4</v>
      </c>
      <c r="DG55" s="22">
        <f t="shared" si="3"/>
        <v>656</v>
      </c>
      <c r="DH55" s="22">
        <f>IFERROR(VLOOKUP($C55,'Лист4'!$D:$AI,32,0)," ")</f>
        <v>0.061</v>
      </c>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43"/>
      <c r="EN55" s="43"/>
      <c r="EO55" s="43"/>
      <c r="EP55" s="43"/>
      <c r="EQ55" s="43"/>
      <c r="ER55" s="43"/>
      <c r="ES55" s="43"/>
      <c r="ET55" s="43"/>
      <c r="EU55" s="43"/>
      <c r="EV55" s="43"/>
      <c r="EW55" s="43"/>
      <c r="EX55" s="43"/>
      <c r="EY55" s="43"/>
      <c r="EZ55" s="43"/>
      <c r="FA55" s="43"/>
      <c r="FB55" s="43"/>
      <c r="FC55" s="43"/>
    </row>
    <row r="56" ht="18.0" customHeight="1">
      <c r="A56" s="2"/>
      <c r="B56" s="22" t="str">
        <f>IFERROR(VLOOKUP(C56,'Реестр'!C:AC,27,0)," ")</f>
        <v>Биг-Л</v>
      </c>
      <c r="C56" s="43" t="s">
        <v>1025</v>
      </c>
      <c r="D56" s="22" t="str">
        <f>IFERROR(VLOOKUP(C56,'Лист4'!D:P,13,0)," ")</f>
        <v>qeep</v>
      </c>
      <c r="E56" s="22" t="str">
        <f>IF(OR(ISERROR(VLOOKUP(C56,'Актуальность'!A:B,2,0)), VLOOKUP(C56,'Актуальность'!A:B,2,0)=""), "Актуальный", VLOOKUP(C56,'Актуальность'!A:B,2,0))</f>
        <v>Актуальный</v>
      </c>
      <c r="F56" s="43" t="str">
        <f>IFERROR(VLOOKUP(C56,'Актуальность'!A:C,3,0)," ")</f>
        <v/>
      </c>
      <c r="G56" s="43"/>
      <c r="H56" s="22" t="s">
        <v>361</v>
      </c>
      <c r="I56" s="22" t="s">
        <v>1027</v>
      </c>
      <c r="J56" s="43"/>
      <c r="K56" s="43"/>
      <c r="L56" s="22" t="b">
        <f t="shared" ref="L56:R56" si="52">T56&lt;&gt;""</f>
        <v>1</v>
      </c>
      <c r="M56" s="22" t="b">
        <f t="shared" si="52"/>
        <v>1</v>
      </c>
      <c r="N56" s="22" t="b">
        <f t="shared" si="52"/>
        <v>1</v>
      </c>
      <c r="O56" s="22" t="b">
        <f t="shared" si="52"/>
        <v>1</v>
      </c>
      <c r="P56" s="22" t="b">
        <f t="shared" si="52"/>
        <v>1</v>
      </c>
      <c r="Q56" s="22" t="b">
        <f t="shared" si="52"/>
        <v>0</v>
      </c>
      <c r="R56" s="22" t="b">
        <f t="shared" si="52"/>
        <v>0</v>
      </c>
      <c r="S56" s="43"/>
      <c r="T56" s="43" t="str">
        <f>IFERROR(VLOOKUP( C56,'1С'!A:B,2,0)," ")</f>
        <v>QB101100473</v>
      </c>
      <c r="U56" s="22" t="str">
        <f>IFERROR(VLOOKUP(T56,'Лист4'!C:I,3,0)," ")</f>
        <v>qeep_omega_3_1620_90caps</v>
      </c>
      <c r="V56" s="22" t="str">
        <f>IFERROR(VLOOKUP(T56,'Лист4'!C:I,4,0)," ")</f>
        <v>qeep_omega_3_1620_90caps</v>
      </c>
      <c r="W56" s="22" t="str">
        <f>IFERROR(VLOOKUP(T56,'Лист4'!C:I,5,0)," ")</f>
        <v>qeep_omega_3_1620_90caps</v>
      </c>
      <c r="X56" s="43" t="str">
        <f>IFERROR(VLOOKUP(T56,'Лист4'!C:I,7,0)," ")</f>
        <v>qeep_omega_3_1620_90caps</v>
      </c>
      <c r="Y56" s="43" t="str">
        <f>IFERROR(VLOOKUP(T56,'Лист4'!C:I,6,0)," ")</f>
        <v/>
      </c>
      <c r="Z56" s="43"/>
      <c r="AA56" s="43"/>
      <c r="AB56" s="22">
        <v>1.61948275E8</v>
      </c>
      <c r="AC56" s="22">
        <v>9.89542196E8</v>
      </c>
      <c r="AD56" s="22">
        <v>1.02071901773E11</v>
      </c>
      <c r="AE56" s="22">
        <v>9.9000118638E10</v>
      </c>
      <c r="AF56" s="22"/>
      <c r="AG56" s="43"/>
      <c r="AH56" s="43"/>
      <c r="AI56" s="43" t="str">
        <f>IFERROR(VLOOKUP(T56,'1С'!B:C,2,0)," ")</f>
        <v>БАД Омега 1620 мг ,qeep, 90 капсул</v>
      </c>
      <c r="AJ56" s="22" t="s">
        <v>1029</v>
      </c>
      <c r="AK56" s="22" t="s">
        <v>1030</v>
      </c>
      <c r="AL56" s="22" t="s">
        <v>1031</v>
      </c>
      <c r="AM56" s="22" t="s">
        <v>1032</v>
      </c>
      <c r="AN56" s="43"/>
      <c r="AO56" s="43"/>
      <c r="AP56" s="43"/>
      <c r="AQ56" s="46" t="s">
        <v>1033</v>
      </c>
      <c r="AR56" s="46" t="s">
        <v>1034</v>
      </c>
      <c r="AS56" s="46" t="s">
        <v>1035</v>
      </c>
      <c r="AT56" s="46" t="s">
        <v>1036</v>
      </c>
      <c r="AU56" s="43"/>
      <c r="AV56" s="43"/>
      <c r="AW56" s="43"/>
      <c r="AX56" s="22" t="s">
        <v>361</v>
      </c>
      <c r="AY56" s="22" t="s">
        <v>1030</v>
      </c>
      <c r="AZ56" s="22" t="s">
        <v>372</v>
      </c>
      <c r="BA56" s="22" t="s">
        <v>373</v>
      </c>
      <c r="BB56" s="43"/>
      <c r="BC56" s="43"/>
      <c r="BD56" s="43"/>
      <c r="BE56" s="43"/>
      <c r="BF56" s="22">
        <f>IFERROR(VLOOKUP(C56,'спецификация'!B:D,3,0)," ")</f>
        <v>4620153902592</v>
      </c>
      <c r="BG56" s="22">
        <v>2.106909808E9</v>
      </c>
      <c r="BH56" s="22" t="str">
        <f>IFERROR(VLOOKUP(C56,'спецификация'!B:AA,5,0)," ")</f>
        <v>AM.01.48.01.003.Е.000045.04.19</v>
      </c>
      <c r="BI56" s="46" t="s">
        <v>1038</v>
      </c>
      <c r="BJ56" s="22" t="str">
        <f>IFERROR(VLOOKUP(C56,'спецификация'!B:AA,6,0)," ")</f>
        <v>ЧЗ</v>
      </c>
      <c r="BK56" s="43"/>
      <c r="BL56" s="43"/>
      <c r="BM56" s="22" t="str">
        <f>IFERROR(VLOOKUP(BF56,'спецификация'!D:H,5,0)," ")</f>
        <v>рыбий жир, капсула желатиновая (желатин (носитель), глицерин (агент влагоудерживающий)), витамин Е (антиокислитель).</v>
      </c>
      <c r="BN56" s="43"/>
      <c r="BO56" s="22" t="str">
        <f>IFERROR(VLOOKUP(C56,'спецификация'!B:AA,10,0)," ")</f>
        <v>принимать взрослым и детям с трех лет во время еды в течение 1 месяца (по рекомендации специалиста доза может быть увеличена) по 1- 2 капсулы в день.</v>
      </c>
      <c r="BP56" s="43" t="str">
        <f>IFERROR(VLOOKUP(C56,'спецификация'!B:AA,11,0),"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
</v>
      </c>
      <c r="BQ56" s="22" t="str">
        <f>IFERROR(VLOOKUP(C56,'спецификация'!B:AA,12,0)," ")</f>
        <v>в недоступном для детей месте, при температуре от +15 до +25ºС и относительной влажности воздуха не более 60%.
</v>
      </c>
      <c r="BR56" s="22">
        <v>90.0</v>
      </c>
      <c r="BS56" s="22" t="s">
        <v>492</v>
      </c>
      <c r="BT56" s="43"/>
      <c r="BU56" s="22"/>
      <c r="BV56" s="22" t="s">
        <v>307</v>
      </c>
      <c r="BW56" s="44" t="str">
        <f>IFERROR(VLOOKUP(C56,'спецификация'!B:AA,16,0)," ")</f>
        <v>https://drive.google.com/drive/u/0/folders/1YYRoKT7rU8dhG1zHTW4AyaJkpbdYipaV</v>
      </c>
      <c r="BX56" s="43"/>
      <c r="BY56" s="43"/>
      <c r="BZ56" s="44" t="str">
        <f>IFERROR(VLOOKUP(BF56,'спецификация'!D:Y,22,0)," ")</f>
        <v>https://drive.google.com/drive/u/0/folders/1YYRoKT7rU8dhG1zHTW4AyaJkpbdYipaV</v>
      </c>
      <c r="CA56" s="43"/>
      <c r="CB56" s="43"/>
      <c r="CC56" s="43"/>
      <c r="CD56" s="43"/>
      <c r="CE56" s="43"/>
      <c r="CF56" s="43"/>
      <c r="CG56" s="49">
        <f>IFERROR(VLOOKUP(C56,CC!A:D,4,0)," ")</f>
        <v>475.01</v>
      </c>
      <c r="CH56" s="22" t="str">
        <f>IFERROR(VLOOKUP(C56,'спецификация'!B:AA,19,0)," ")</f>
        <v>ООО «Сибфармконтракт», Россия, 634034, г. Томск, ул. Нахимова 8, стр. 11.</v>
      </c>
      <c r="CI56" s="22"/>
      <c r="CJ56" s="22" t="s">
        <v>562</v>
      </c>
      <c r="CK56" s="22">
        <f>IFERROR(VLOOKUP(C56,CC!K:M,3,0)," ")</f>
        <v>90</v>
      </c>
      <c r="CL56" s="43"/>
      <c r="CM56" s="43"/>
      <c r="CN56" s="43"/>
      <c r="CO56" s="43"/>
      <c r="CP56" s="43"/>
      <c r="CQ56" s="43"/>
      <c r="CR56" s="43"/>
      <c r="CS56" s="43" t="b">
        <v>0</v>
      </c>
      <c r="CT56" s="43" t="b">
        <v>0</v>
      </c>
      <c r="CU56" s="43" t="b">
        <v>0</v>
      </c>
      <c r="CV56" s="43" t="b">
        <v>0</v>
      </c>
      <c r="CW56" s="43"/>
      <c r="CX56" s="43"/>
      <c r="CY56" s="43"/>
      <c r="CZ56" s="43"/>
      <c r="DA56" s="43"/>
      <c r="DB56" s="43"/>
      <c r="DC56" s="43"/>
      <c r="DD56" s="22">
        <f>IFERROR(VLOOKUP($C56,'Лист4'!$D:$AI,27,0)," ")</f>
        <v>6</v>
      </c>
      <c r="DE56" s="22">
        <f>IFERROR(VLOOKUP($C56,'Лист4'!$D:$AI,28,0)," ")</f>
        <v>11</v>
      </c>
      <c r="DF56" s="22">
        <f>IFERROR(VLOOKUP($C56,'Лист4'!$D:$AI,29,0)," ")</f>
        <v>6</v>
      </c>
      <c r="DG56" s="22">
        <f t="shared" si="3"/>
        <v>396</v>
      </c>
      <c r="DH56" s="22">
        <f>IFERROR(VLOOKUP($C56,'Лист4'!$D:$AI,32,0)," ")</f>
        <v>0.176</v>
      </c>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43"/>
      <c r="EN56" s="43"/>
      <c r="EO56" s="43"/>
      <c r="EP56" s="43"/>
      <c r="EQ56" s="43"/>
      <c r="ER56" s="43"/>
      <c r="ES56" s="43"/>
      <c r="ET56" s="43"/>
      <c r="EU56" s="43"/>
      <c r="EV56" s="43"/>
      <c r="EW56" s="43"/>
      <c r="EX56" s="43"/>
      <c r="EY56" s="43"/>
      <c r="EZ56" s="43"/>
      <c r="FA56" s="43"/>
      <c r="FB56" s="43"/>
      <c r="FC56" s="43"/>
    </row>
    <row r="57" ht="18.0" customHeight="1">
      <c r="A57" s="2"/>
      <c r="B57" s="22" t="str">
        <f>IFERROR(VLOOKUP(C57,'Реестр'!C:AC,27,0)," ")</f>
        <v>Биг-Л</v>
      </c>
      <c r="C57" s="43" t="s">
        <v>1045</v>
      </c>
      <c r="D57" s="22" t="str">
        <f>IFERROR(VLOOKUP(C57,'Лист4'!D:P,13,0)," ")</f>
        <v>qeep</v>
      </c>
      <c r="E57" s="22" t="str">
        <f>IF(OR(ISERROR(VLOOKUP(C57,'Актуальность'!A:B,2,0)), VLOOKUP(C57,'Актуальность'!A:B,2,0)=""), "Актуальный", VLOOKUP(C57,'Актуальность'!A:B,2,0))</f>
        <v>Актуальный</v>
      </c>
      <c r="F57" s="43" t="str">
        <f>IFERROR(VLOOKUP(C57,'Актуальность'!A:C,3,0)," ")</f>
        <v>Цена</v>
      </c>
      <c r="G57" s="43"/>
      <c r="H57" s="22" t="s">
        <v>361</v>
      </c>
      <c r="I57" s="22" t="s">
        <v>1027</v>
      </c>
      <c r="J57" s="43"/>
      <c r="K57" s="43"/>
      <c r="L57" s="22" t="b">
        <f t="shared" ref="L57:R57" si="53">T57&lt;&gt;""</f>
        <v>1</v>
      </c>
      <c r="M57" s="22" t="b">
        <f t="shared" si="53"/>
        <v>1</v>
      </c>
      <c r="N57" s="22" t="b">
        <f t="shared" si="53"/>
        <v>1</v>
      </c>
      <c r="O57" s="22" t="b">
        <f t="shared" si="53"/>
        <v>1</v>
      </c>
      <c r="P57" s="22" t="b">
        <f t="shared" si="53"/>
        <v>1</v>
      </c>
      <c r="Q57" s="22" t="b">
        <f t="shared" si="53"/>
        <v>0</v>
      </c>
      <c r="R57" s="22" t="b">
        <f t="shared" si="53"/>
        <v>0</v>
      </c>
      <c r="S57" s="43"/>
      <c r="T57" s="43" t="str">
        <f>IFERROR(VLOOKUP( C57,'1С'!A:B,2,0)," ")</f>
        <v>QB101100513</v>
      </c>
      <c r="U57" s="22" t="str">
        <f>IFERROR(VLOOKUP(T57,'Лист4'!C:I,3,0)," ")</f>
        <v>qeep_nac_90caps</v>
      </c>
      <c r="V57" s="22" t="str">
        <f>IFERROR(VLOOKUP(T57,'Лист4'!C:I,4,0)," ")</f>
        <v>qeep_nac_90caps</v>
      </c>
      <c r="W57" s="22" t="str">
        <f>IFERROR(VLOOKUP(T57,'Лист4'!C:I,5,0)," ")</f>
        <v>qeep_nac_90caps</v>
      </c>
      <c r="X57" s="43" t="str">
        <f>IFERROR(VLOOKUP(T57,'Лист4'!C:I,7,0)," ")</f>
        <v>qeep_nac_90caps</v>
      </c>
      <c r="Y57" s="43" t="str">
        <f>IFERROR(VLOOKUP(T57,'Лист4'!C:I,6,0)," ")</f>
        <v/>
      </c>
      <c r="Z57" s="43"/>
      <c r="AA57" s="43"/>
      <c r="AB57" s="22">
        <v>2.40166228E8</v>
      </c>
      <c r="AC57" s="22">
        <v>1.613724697E9</v>
      </c>
      <c r="AD57" s="22">
        <v>1.03396767624E11</v>
      </c>
      <c r="AE57" s="22">
        <v>9.9000118345E10</v>
      </c>
      <c r="AF57" s="22"/>
      <c r="AG57" s="43"/>
      <c r="AH57" s="43"/>
      <c r="AI57" s="43" t="str">
        <f>IFERROR(VLOOKUP(T57,'1С'!B:C,2,0)," ")</f>
        <v>NAC комплекс от ОРВИ ,qeep, 90 капсул</v>
      </c>
      <c r="AJ57" s="22" t="s">
        <v>1049</v>
      </c>
      <c r="AK57" s="22" t="s">
        <v>1050</v>
      </c>
      <c r="AL57" s="22" t="s">
        <v>1051</v>
      </c>
      <c r="AM57" s="22" t="s">
        <v>1052</v>
      </c>
      <c r="AN57" s="43"/>
      <c r="AO57" s="43"/>
      <c r="AP57" s="43"/>
      <c r="AQ57" s="46" t="s">
        <v>1053</v>
      </c>
      <c r="AR57" s="46" t="s">
        <v>1054</v>
      </c>
      <c r="AS57" s="46" t="s">
        <v>1055</v>
      </c>
      <c r="AT57" s="46" t="s">
        <v>1056</v>
      </c>
      <c r="AU57" s="43"/>
      <c r="AV57" s="43"/>
      <c r="AW57" s="43"/>
      <c r="AX57" s="22" t="s">
        <v>649</v>
      </c>
      <c r="AY57" s="22" t="s">
        <v>1050</v>
      </c>
      <c r="AZ57" s="22" t="s">
        <v>372</v>
      </c>
      <c r="BA57" s="22" t="s">
        <v>373</v>
      </c>
      <c r="BB57" s="43"/>
      <c r="BC57" s="43"/>
      <c r="BD57" s="43"/>
      <c r="BE57" s="43"/>
      <c r="BF57" s="22" t="str">
        <f>IFERROR(VLOOKUP(C57,'спецификация'!B:D,3,0)," ")</f>
        <v>4670227414018</v>
      </c>
      <c r="BG57" s="22">
        <v>2.106909808E9</v>
      </c>
      <c r="BH57" s="22" t="str">
        <f>IFERROR(VLOOKUP(C57,'спецификация'!B:AA,5,0)," ")</f>
        <v>ЕАЭС N RU Д-RU.РА01.В.18739/24 от 19.01.2024 до 16.01.2027</v>
      </c>
      <c r="BI57" s="46" t="s">
        <v>1059</v>
      </c>
      <c r="BJ57" s="22" t="str">
        <f>IFERROR(VLOOKUP(C57,'спецификация'!B:AA,6,0)," ")</f>
        <v>без ЧЗ</v>
      </c>
      <c r="BK57" s="43"/>
      <c r="BL57" s="43"/>
      <c r="BM57" s="22" t="str">
        <f>IFERROR(VLOOKUP(BF57,'спецификация'!D:H,5,0)," ")</f>
        <v>N-Ацетил L-Цистеин, носители: микрокристаллическая целлюлоза, твёрдая желатиновая капсула.</v>
      </c>
      <c r="BN57" s="43"/>
      <c r="BO57" s="22" t="str">
        <f>IFERROR(VLOOKUP(C57,'спецификация'!B:AA,10,0)," ")</f>
        <v>взрослым принимать по 1 капсуле 2 раза в день.</v>
      </c>
      <c r="BP57" s="43" t="str">
        <f>IFERROR(VLOOKUP(C57,'спецификация'!B:AA,11,0)," ")</f>
        <v>индивидуальная непереносимость компонентов продукта, беременность, кормление грудью. Перед применением проконсультироваться с врачом.</v>
      </c>
      <c r="BQ57" s="22" t="s">
        <v>1004</v>
      </c>
      <c r="BR57" s="22">
        <v>90.0</v>
      </c>
      <c r="BS57" s="22" t="s">
        <v>492</v>
      </c>
      <c r="BT57" s="43"/>
      <c r="BU57" s="22"/>
      <c r="BV57" s="22" t="s">
        <v>307</v>
      </c>
      <c r="BW57" s="44" t="str">
        <f>IFERROR(VLOOKUP(C57,'спецификация'!B:AA,16,0)," ")</f>
        <v>https://docs.google.com/document/d/17vMGodUH7Jw1G3-QJzBkrGHB_tV4WW7o0BQWlmeKG94/edit</v>
      </c>
      <c r="BX57" s="43"/>
      <c r="BY57" s="43"/>
      <c r="BZ57" s="45" t="str">
        <f>IFERROR(VLOOKUP(BF57,'спецификация'!D:Y,22,0)," ")</f>
        <v/>
      </c>
      <c r="CA57" s="43"/>
      <c r="CB57" s="43"/>
      <c r="CC57" s="43"/>
      <c r="CD57" s="43"/>
      <c r="CE57" s="43"/>
      <c r="CF57" s="43"/>
      <c r="CG57" s="49">
        <f>IFERROR(VLOOKUP(C57,CC!A:D,4,0)," ")</f>
        <v>427</v>
      </c>
      <c r="CH57" s="22" t="str">
        <f>IFERROR(VLOOKUP(C57,'спецификация'!B:AA,19,0)," ")</f>
        <v>ООО «Жива Продукт ПРО». 350062, Россия, Краснодарский край, город Краснодар, улица Казбекская, дом 17, кв. (оф.) 85</v>
      </c>
      <c r="CI57" s="22"/>
      <c r="CJ57" s="22" t="s">
        <v>495</v>
      </c>
      <c r="CK57" s="22">
        <f>IFERROR(VLOOKUP(C57,CC!K:M,3,0)," ")</f>
        <v>60</v>
      </c>
      <c r="CL57" s="43"/>
      <c r="CM57" s="43"/>
      <c r="CN57" s="43"/>
      <c r="CO57" s="43"/>
      <c r="CP57" s="43"/>
      <c r="CQ57" s="43"/>
      <c r="CR57" s="43"/>
      <c r="CS57" s="43" t="b">
        <v>0</v>
      </c>
      <c r="CT57" s="43" t="b">
        <v>0</v>
      </c>
      <c r="CU57" s="43" t="b">
        <v>0</v>
      </c>
      <c r="CV57" s="43" t="b">
        <v>0</v>
      </c>
      <c r="CW57" s="43"/>
      <c r="CX57" s="43"/>
      <c r="CY57" s="43"/>
      <c r="CZ57" s="43"/>
      <c r="DA57" s="43"/>
      <c r="DB57" s="43"/>
      <c r="DC57" s="43"/>
      <c r="DD57" s="22">
        <f>IFERROR(VLOOKUP($C57,'Лист4'!$D:$AI,27,0)," ")</f>
        <v>6</v>
      </c>
      <c r="DE57" s="22">
        <f>IFERROR(VLOOKUP($C57,'Лист4'!$D:$AI,28,0)," ")</f>
        <v>12</v>
      </c>
      <c r="DF57" s="22">
        <f>IFERROR(VLOOKUP($C57,'Лист4'!$D:$AI,29,0)," ")</f>
        <v>6</v>
      </c>
      <c r="DG57" s="22">
        <f t="shared" si="3"/>
        <v>432</v>
      </c>
      <c r="DH57" s="22">
        <f>IFERROR(VLOOKUP($C57,'Лист4'!$D:$AI,32,0)," ")</f>
        <v>0.122</v>
      </c>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43"/>
      <c r="EN57" s="43"/>
      <c r="EO57" s="43"/>
      <c r="EP57" s="43"/>
      <c r="EQ57" s="43"/>
      <c r="ER57" s="43"/>
      <c r="ES57" s="43"/>
      <c r="ET57" s="43"/>
      <c r="EU57" s="43"/>
      <c r="EV57" s="43"/>
      <c r="EW57" s="43"/>
      <c r="EX57" s="43"/>
      <c r="EY57" s="43"/>
      <c r="EZ57" s="43"/>
      <c r="FA57" s="43"/>
      <c r="FB57" s="43"/>
      <c r="FC57" s="43"/>
    </row>
    <row r="58" ht="18.0" customHeight="1">
      <c r="A58" s="2"/>
      <c r="B58" s="22" t="str">
        <f>IFERROR(VLOOKUP(C58,'Реестр'!C:AC,27,0)," ")</f>
        <v>Биг-Л</v>
      </c>
      <c r="C58" s="43" t="s">
        <v>1063</v>
      </c>
      <c r="D58" s="22" t="str">
        <f>IFERROR(VLOOKUP(C58,'Лист4'!D:P,13,0)," ")</f>
        <v>qeep</v>
      </c>
      <c r="E58" s="22" t="str">
        <f>IF(OR(ISERROR(VLOOKUP(C58,'Актуальность'!A:B,2,0)), VLOOKUP(C58,'Актуальность'!A:B,2,0)=""), "Актуальный", VLOOKUP(C58,'Актуальность'!A:B,2,0))</f>
        <v>Вывод</v>
      </c>
      <c r="F58" s="43" t="str">
        <f>IFERROR(VLOOKUP(C58,'Актуальность'!A:C,3,0)," ")</f>
        <v>Сокращение товарной матрицы</v>
      </c>
      <c r="G58" s="43"/>
      <c r="H58" s="22" t="s">
        <v>361</v>
      </c>
      <c r="I58" s="22" t="s">
        <v>1027</v>
      </c>
      <c r="J58" s="43"/>
      <c r="K58" s="43"/>
      <c r="L58" s="22" t="b">
        <f t="shared" ref="L58:R58" si="54">T58&lt;&gt;""</f>
        <v>1</v>
      </c>
      <c r="M58" s="22" t="b">
        <f t="shared" si="54"/>
        <v>1</v>
      </c>
      <c r="N58" s="22" t="b">
        <f t="shared" si="54"/>
        <v>1</v>
      </c>
      <c r="O58" s="22" t="b">
        <f t="shared" si="54"/>
        <v>1</v>
      </c>
      <c r="P58" s="22" t="b">
        <f t="shared" si="54"/>
        <v>0</v>
      </c>
      <c r="Q58" s="22" t="b">
        <f t="shared" si="54"/>
        <v>0</v>
      </c>
      <c r="R58" s="22" t="b">
        <f t="shared" si="54"/>
        <v>0</v>
      </c>
      <c r="S58" s="43"/>
      <c r="T58" s="43" t="str">
        <f>IFERROR(VLOOKUP( C58,'1С'!A:B,2,0)," ")</f>
        <v>QB101100470</v>
      </c>
      <c r="U58" s="22" t="str">
        <f>IFERROR(VLOOKUP(T58,'Лист4'!C:I,3,0)," ")</f>
        <v>qeep_omega3_180caps</v>
      </c>
      <c r="V58" s="22" t="str">
        <f>IFERROR(VLOOKUP(T58,'Лист4'!C:I,4,0)," ")</f>
        <v>qeep_omega3_180caps</v>
      </c>
      <c r="W58" s="22" t="str">
        <f>IFERROR(VLOOKUP(T58,'Лист4'!C:I,5,0)," ")</f>
        <v>qeep_omega3_180caps</v>
      </c>
      <c r="X58" s="43" t="str">
        <f>IFERROR(VLOOKUP(T58,'Лист4'!C:I,7,0)," ")</f>
        <v/>
      </c>
      <c r="Y58" s="43" t="str">
        <f>IFERROR(VLOOKUP(T58,'Лист4'!C:I,6,0)," ")</f>
        <v/>
      </c>
      <c r="Z58" s="43"/>
      <c r="AA58" s="43"/>
      <c r="AB58" s="22">
        <v>2.28331343E8</v>
      </c>
      <c r="AC58" s="22">
        <v>1.566735886E9</v>
      </c>
      <c r="AD58" s="22">
        <v>1.03824496894E11</v>
      </c>
      <c r="AE58" s="22"/>
      <c r="AF58" s="22"/>
      <c r="AG58" s="43"/>
      <c r="AH58" s="43"/>
      <c r="AI58" s="43" t="str">
        <f>IFERROR(VLOOKUP(T58,'1С'!B:C,2,0)," ")</f>
        <v>БАД Омега 1320 мг ,qeep, 180 капсул</v>
      </c>
      <c r="AJ58" s="22" t="s">
        <v>1067</v>
      </c>
      <c r="AK58" s="22" t="s">
        <v>1068</v>
      </c>
      <c r="AL58" s="22" t="s">
        <v>1069</v>
      </c>
      <c r="AM58" s="43"/>
      <c r="AN58" s="43"/>
      <c r="AO58" s="43"/>
      <c r="AP58" s="43"/>
      <c r="AQ58" s="46" t="s">
        <v>1070</v>
      </c>
      <c r="AR58" s="46" t="s">
        <v>1071</v>
      </c>
      <c r="AS58" s="46" t="s">
        <v>1072</v>
      </c>
      <c r="AT58" s="43"/>
      <c r="AU58" s="43"/>
      <c r="AV58" s="43"/>
      <c r="AW58" s="43"/>
      <c r="AX58" s="22" t="s">
        <v>361</v>
      </c>
      <c r="AY58" s="22" t="s">
        <v>1068</v>
      </c>
      <c r="AZ58" s="22" t="s">
        <v>372</v>
      </c>
      <c r="BA58" s="43"/>
      <c r="BB58" s="43"/>
      <c r="BC58" s="43"/>
      <c r="BD58" s="43"/>
      <c r="BE58" s="43"/>
      <c r="BF58" s="22" t="str">
        <f>IFERROR(VLOOKUP(C58,'спецификация'!B:D,3,0)," ")</f>
        <v>4640233110730</v>
      </c>
      <c r="BG58" s="22">
        <v>2.106909808E9</v>
      </c>
      <c r="BH58" s="22" t="str">
        <f>IFERROR(VLOOKUP(C58,'спецификация'!B:AA,5,0)," ")</f>
        <v>AM.01.08.01.003.R.000005.12.22 от 28.12.2022г.</v>
      </c>
      <c r="BI58" s="46" t="s">
        <v>1075</v>
      </c>
      <c r="BJ58" s="22" t="str">
        <f>IFERROR(VLOOKUP(C58,'спецификация'!B:AA,6,0)," ")</f>
        <v>ЧЗ</v>
      </c>
      <c r="BK58" s="43"/>
      <c r="BL58" s="43"/>
      <c r="BM58" s="22" t="str">
        <f>IFERROR(VLOOKUP(BF58,'спецификация'!D:H,5,0)," ")</f>
        <v>Рыбий жир, компоненты капсулы (вода, желатин, глицерин пищевой, сорбитол, сорбат калия).</v>
      </c>
      <c r="BN58" s="43"/>
      <c r="BO58" s="22" t="str">
        <f>IFERROR(VLOOKUP(C58,'спецификация'!B:AA,10,0)," ")</f>
        <v>принимать по 3  капсулы 2 раза в день во время еды, запивая обильным количеством воды. </v>
      </c>
      <c r="BP58" s="43" t="str">
        <f>IFERROR(VLOOKUP(C58,'спецификация'!B:AA,11,0)," ")</f>
        <v>индивидуальная непереносимость компонентов, беременность, кормление грудью, лица в возрасте до 18 лет. Перед применением рекомендуется проконсультироваться с врачом. Не превышать установленную рекомендуемую дозу. Биологически активная добавка к пище не должна употребляться в качестве замены пищи.</v>
      </c>
      <c r="BQ58" s="22" t="str">
        <f>IFERROR(VLOOKUP(C58,'спецификация'!B:AA,12,0)," ")</f>
        <v>хранить в сухом, защищенном от прямых солнечных лучей и недоступном для детей месте при температуре от 0°С до 25°С и относительной влажности не более 75%.</v>
      </c>
      <c r="BR58" s="22">
        <v>180.0</v>
      </c>
      <c r="BS58" s="22" t="s">
        <v>492</v>
      </c>
      <c r="BT58" s="43"/>
      <c r="BU58" s="22"/>
      <c r="BV58" s="22" t="s">
        <v>307</v>
      </c>
      <c r="BW58" s="44" t="str">
        <f>IFERROR(VLOOKUP(C58,'спецификация'!B:AA,16,0)," ")</f>
        <v>https://docs.google.com/document/d/1sNYhRYgYetttE-UId3DBP-2BYgQpyfVTYys-zo8hTnY/edit?usp=sharing</v>
      </c>
      <c r="BX58" s="43"/>
      <c r="BY58" s="43"/>
      <c r="BZ58" s="45" t="str">
        <f>IFERROR(VLOOKUP(BF58,'спецификация'!D:Y,22,0)," ")</f>
        <v/>
      </c>
      <c r="CA58" s="43"/>
      <c r="CB58" s="43"/>
      <c r="CC58" s="43"/>
      <c r="CD58" s="43"/>
      <c r="CE58" s="43"/>
      <c r="CF58" s="43"/>
      <c r="CG58" s="49">
        <f>IFERROR(VLOOKUP(C58,CC!A:D,4,0)," ")</f>
        <v>271</v>
      </c>
      <c r="CH58" s="22" t="str">
        <f>IFERROR(VLOOKUP(C58,'спецификация'!B:AA,19,0)," ")</f>
        <v>ООО «Биофарм». Юридический адрес: Россия, 127015, г. Москва, улица Вятская, д.49, стр.2, помещение 11, комната 8. (адрес производства: 143080, Московская область, Одинцовский район, п. ВНИИССОК, ул. Селекционная, д.14, Россия) </v>
      </c>
      <c r="CI58" s="22"/>
      <c r="CJ58" s="22" t="s">
        <v>1082</v>
      </c>
      <c r="CK58" s="22">
        <f>IFERROR(VLOOKUP(C58,CC!K:M,3,0)," ")</f>
        <v>90</v>
      </c>
      <c r="CL58" s="43"/>
      <c r="CM58" s="43"/>
      <c r="CN58" s="43"/>
      <c r="CO58" s="43"/>
      <c r="CP58" s="43"/>
      <c r="CQ58" s="43"/>
      <c r="CR58" s="43"/>
      <c r="CS58" s="43" t="b">
        <v>0</v>
      </c>
      <c r="CT58" s="43" t="b">
        <v>0</v>
      </c>
      <c r="CU58" s="43" t="b">
        <v>0</v>
      </c>
      <c r="CV58" s="43" t="b">
        <v>0</v>
      </c>
      <c r="CW58" s="43"/>
      <c r="CX58" s="43"/>
      <c r="CY58" s="43"/>
      <c r="CZ58" s="43"/>
      <c r="DA58" s="43"/>
      <c r="DB58" s="43"/>
      <c r="DC58" s="43"/>
      <c r="DD58" s="22">
        <f>IFERROR(VLOOKUP($C58,'Лист4'!$D:$AI,27,0)," ")</f>
        <v>11</v>
      </c>
      <c r="DE58" s="22">
        <f>IFERROR(VLOOKUP($C58,'Лист4'!$D:$AI,28,0)," ")</f>
        <v>6</v>
      </c>
      <c r="DF58" s="22">
        <f>IFERROR(VLOOKUP($C58,'Лист4'!$D:$AI,29,0)," ")</f>
        <v>11</v>
      </c>
      <c r="DG58" s="22">
        <f t="shared" si="3"/>
        <v>726</v>
      </c>
      <c r="DH58" s="22">
        <f>IFERROR(VLOOKUP($C58,'Лист4'!$D:$AI,32,0)," ")</f>
        <v>0.149</v>
      </c>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43"/>
      <c r="EN58" s="43"/>
      <c r="EO58" s="43"/>
      <c r="EP58" s="43"/>
      <c r="EQ58" s="43"/>
      <c r="ER58" s="43"/>
      <c r="ES58" s="43"/>
      <c r="ET58" s="43"/>
      <c r="EU58" s="43"/>
      <c r="EV58" s="43"/>
      <c r="EW58" s="43"/>
      <c r="EX58" s="43"/>
      <c r="EY58" s="43"/>
      <c r="EZ58" s="43"/>
      <c r="FA58" s="43"/>
      <c r="FB58" s="43"/>
      <c r="FC58" s="43"/>
    </row>
    <row r="59" ht="18.0" customHeight="1">
      <c r="A59" s="2"/>
      <c r="B59" s="22" t="str">
        <f>IFERROR(VLOOKUP(C59,'Реестр'!C:AC,27,0)," ")</f>
        <v>Биг-Л</v>
      </c>
      <c r="C59" s="43" t="s">
        <v>1083</v>
      </c>
      <c r="D59" s="22" t="str">
        <f>IFERROR(VLOOKUP(C59,'Лист4'!D:P,13,0)," ")</f>
        <v>qeep</v>
      </c>
      <c r="E59" s="22" t="str">
        <f>IF(OR(ISERROR(VLOOKUP(C59,'Актуальность'!A:B,2,0)), VLOOKUP(C59,'Актуальность'!A:B,2,0)=""), "Актуальный", VLOOKUP(C59,'Актуальность'!A:B,2,0))</f>
        <v>Актуальный</v>
      </c>
      <c r="F59" s="43" t="str">
        <f>IFERROR(VLOOKUP(C59,'Актуальность'!A:C,3,0)," ")</f>
        <v/>
      </c>
      <c r="G59" s="43"/>
      <c r="H59" s="22" t="s">
        <v>361</v>
      </c>
      <c r="I59" s="22" t="s">
        <v>1027</v>
      </c>
      <c r="J59" s="43"/>
      <c r="K59" s="43"/>
      <c r="L59" s="22" t="b">
        <f t="shared" ref="L59:R59" si="55">T59&lt;&gt;""</f>
        <v>1</v>
      </c>
      <c r="M59" s="22" t="b">
        <f t="shared" si="55"/>
        <v>1</v>
      </c>
      <c r="N59" s="22" t="b">
        <f t="shared" si="55"/>
        <v>1</v>
      </c>
      <c r="O59" s="22" t="b">
        <f t="shared" si="55"/>
        <v>1</v>
      </c>
      <c r="P59" s="22" t="b">
        <f t="shared" si="55"/>
        <v>0</v>
      </c>
      <c r="Q59" s="22" t="b">
        <f t="shared" si="55"/>
        <v>0</v>
      </c>
      <c r="R59" s="22" t="b">
        <f t="shared" si="55"/>
        <v>0</v>
      </c>
      <c r="S59" s="43"/>
      <c r="T59" s="43" t="str">
        <f>IFERROR(VLOOKUP( C59,'1С'!A:B,2,0)," ")</f>
        <v>QB101100409</v>
      </c>
      <c r="U59" s="22" t="str">
        <f>IFERROR(VLOOKUP(T59,'Лист4'!C:I,3,0)," ")</f>
        <v>qeep_sodium_ascorbate_90caps</v>
      </c>
      <c r="V59" s="22" t="str">
        <f>IFERROR(VLOOKUP(T59,'Лист4'!C:I,4,0)," ")</f>
        <v>qeep_sodium_ascorbate_90caps</v>
      </c>
      <c r="W59" s="22" t="str">
        <f>IFERROR(VLOOKUP(T59,'Лист4'!C:I,5,0)," ")</f>
        <v>qeep_sodium_ascorbate_90caps</v>
      </c>
      <c r="X59" s="43" t="str">
        <f>IFERROR(VLOOKUP(T59,'Лист4'!C:I,7,0)," ")</f>
        <v/>
      </c>
      <c r="Y59" s="43" t="str">
        <f>IFERROR(VLOOKUP(T59,'Лист4'!C:I,6,0)," ")</f>
        <v/>
      </c>
      <c r="Z59" s="43"/>
      <c r="AA59" s="43"/>
      <c r="AB59" s="22">
        <v>1.76110909E8</v>
      </c>
      <c r="AC59" s="22">
        <v>1.181035529E9</v>
      </c>
      <c r="AD59" s="22">
        <v>1.02621619721E11</v>
      </c>
      <c r="AE59" s="22"/>
      <c r="AF59" s="22"/>
      <c r="AG59" s="43"/>
      <c r="AH59" s="43"/>
      <c r="AI59" s="43" t="str">
        <f>IFERROR(VLOOKUP(T59,'1С'!B:C,2,0)," ")</f>
        <v>БАД Витамин С ,qeep, 90 капсул</v>
      </c>
      <c r="AJ59" s="22" t="s">
        <v>1086</v>
      </c>
      <c r="AK59" s="22" t="s">
        <v>1087</v>
      </c>
      <c r="AL59" s="22" t="s">
        <v>1088</v>
      </c>
      <c r="AM59" s="43"/>
      <c r="AN59" s="43"/>
      <c r="AO59" s="43"/>
      <c r="AP59" s="43"/>
      <c r="AQ59" s="46" t="s">
        <v>1089</v>
      </c>
      <c r="AR59" s="46" t="s">
        <v>1090</v>
      </c>
      <c r="AS59" s="46" t="s">
        <v>1091</v>
      </c>
      <c r="AT59" s="43"/>
      <c r="AU59" s="43"/>
      <c r="AV59" s="43"/>
      <c r="AW59" s="43"/>
      <c r="AX59" s="22" t="s">
        <v>361</v>
      </c>
      <c r="AY59" s="22" t="s">
        <v>1087</v>
      </c>
      <c r="AZ59" s="22" t="s">
        <v>372</v>
      </c>
      <c r="BA59" s="43"/>
      <c r="BB59" s="43"/>
      <c r="BC59" s="43"/>
      <c r="BD59" s="43"/>
      <c r="BE59" s="43"/>
      <c r="BF59" s="22">
        <f>IFERROR(VLOOKUP(C59,'спецификация'!B:D,3,0)," ")</f>
        <v>4607025203049</v>
      </c>
      <c r="BG59" s="22">
        <v>2.106909808E9</v>
      </c>
      <c r="BH59" s="22" t="str">
        <f>IFERROR(VLOOKUP(C59,'спецификация'!B:AA,5,0)," ")</f>
        <v>RU.77.99.11.003.R.000404.02.23 от 17.02.2023г. </v>
      </c>
      <c r="BI59" s="46" t="s">
        <v>1093</v>
      </c>
      <c r="BJ59" s="22" t="str">
        <f>IFERROR(VLOOKUP(C59,'спецификация'!B:AA,6,0)," ")</f>
        <v>ЧЗ</v>
      </c>
      <c r="BK59" s="43"/>
      <c r="BL59" s="43"/>
      <c r="BM59" s="22" t="str">
        <f>IFERROR(VLOOKUP(BF59,'спецификация'!D:H,5,0)," ")</f>
        <v>Аскорбат натрия, микрокристаллическая целлюлоза (Е460, носитель); оболочка капсулы:  желатин (КРС)</v>
      </c>
      <c r="BN59" s="43"/>
      <c r="BO59" s="22" t="str">
        <f>IFERROR(VLOOKUP(C59,'спецификация'!B:AA,10,0)," ")</f>
        <v>Взрослым по 1 капсуле в день  во время еды. Продолжительность приёма - 1 месяц. При необходимости  прием можно повторить.</v>
      </c>
      <c r="BP59" s="43" t="str">
        <f>IFERROR(VLOOKUP(C59,'спецификация'!B:AA,11,0)," ")</f>
        <v> Индивидуальная непереносимость компонентов.
</v>
      </c>
      <c r="BQ59" s="22" t="str">
        <f>IFERROR(VLOOKUP(C59,'спецификация'!B:AA,12,0)," ")</f>
        <v>В недоступном для детей месте при температуре не выше 25°С.
Места реализации определяются национальным законодательством государств-членов Евразийского экономического союза.
</v>
      </c>
      <c r="BR59" s="22">
        <v>90.0</v>
      </c>
      <c r="BS59" s="22" t="s">
        <v>492</v>
      </c>
      <c r="BT59" s="43"/>
      <c r="BU59" s="22"/>
      <c r="BV59" s="22" t="s">
        <v>307</v>
      </c>
      <c r="BW59" s="44" t="str">
        <f>IFERROR(VLOOKUP(C59,'спецификация'!B:AA,16,0)," ")</f>
        <v>https://docs.google.com/document/d/1mJnYdPfr-00wh_Cf1g4i-ezp1qy74IHnLRtvjZay0EU/edit?usp=sharing</v>
      </c>
      <c r="BX59" s="43"/>
      <c r="BY59" s="43"/>
      <c r="BZ59" s="44" t="str">
        <f>IFERROR(VLOOKUP(BF59,'спецификация'!D:Y,22,0)," ")</f>
        <v>https://drive.google.com/drive/u/0/folders/1tF08U9AEt4IHcBEywiAv2OOoFnPmhIPt</v>
      </c>
      <c r="CA59" s="43"/>
      <c r="CB59" s="43"/>
      <c r="CC59" s="43"/>
      <c r="CD59" s="43"/>
      <c r="CE59" s="43"/>
      <c r="CF59" s="43"/>
      <c r="CG59" s="49">
        <f>IFERROR(VLOOKUP(C59,CC!A:D,4,0)," ")</f>
        <v>232.3</v>
      </c>
      <c r="CH59" s="22" t="str">
        <f>IFERROR(VLOOKUP(C59,'спецификация'!B:AA,19,0)," ")</f>
        <v>ООО «Витамер», 117623, РФ, г. Москва, вн.тер.г. муниципальный округ Южное Бутово, ул. 2-я Мелитопольская, д.19, к.2, кв.57. Адрес производства: 601144, РФ, Владимирская обл., г. Петушки, ул. Совхозная, д. 11</v>
      </c>
      <c r="CI59" s="22"/>
      <c r="CJ59" s="22" t="s">
        <v>902</v>
      </c>
      <c r="CK59" s="22">
        <f>IFERROR(VLOOKUP(C59,CC!K:M,3,0)," ")</f>
        <v>60</v>
      </c>
      <c r="CL59" s="43"/>
      <c r="CM59" s="43"/>
      <c r="CN59" s="43"/>
      <c r="CO59" s="43"/>
      <c r="CP59" s="43"/>
      <c r="CQ59" s="43"/>
      <c r="CR59" s="43"/>
      <c r="CS59" s="43" t="b">
        <v>0</v>
      </c>
      <c r="CT59" s="43" t="b">
        <v>0</v>
      </c>
      <c r="CU59" s="43" t="b">
        <v>0</v>
      </c>
      <c r="CV59" s="43" t="b">
        <v>0</v>
      </c>
      <c r="CW59" s="43"/>
      <c r="CX59" s="43"/>
      <c r="CY59" s="43"/>
      <c r="CZ59" s="43"/>
      <c r="DA59" s="43"/>
      <c r="DB59" s="43"/>
      <c r="DC59" s="43"/>
      <c r="DD59" s="22">
        <f>IFERROR(VLOOKUP($C59,'Лист4'!$D:$AI,27,0)," ")</f>
        <v>9</v>
      </c>
      <c r="DE59" s="22">
        <f>IFERROR(VLOOKUP($C59,'Лист4'!$D:$AI,28,0)," ")</f>
        <v>5</v>
      </c>
      <c r="DF59" s="22">
        <f>IFERROR(VLOOKUP($C59,'Лист4'!$D:$AI,29,0)," ")</f>
        <v>9</v>
      </c>
      <c r="DG59" s="22">
        <f t="shared" si="3"/>
        <v>405</v>
      </c>
      <c r="DH59" s="22">
        <f>IFERROR(VLOOKUP($C59,'Лист4'!$D:$AI,32,0)," ")</f>
        <v>0.086</v>
      </c>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43"/>
      <c r="EN59" s="43"/>
      <c r="EO59" s="43"/>
      <c r="EP59" s="43"/>
      <c r="EQ59" s="43"/>
      <c r="ER59" s="43"/>
      <c r="ES59" s="43"/>
      <c r="ET59" s="43"/>
      <c r="EU59" s="43"/>
      <c r="EV59" s="43"/>
      <c r="EW59" s="43"/>
      <c r="EX59" s="43"/>
      <c r="EY59" s="43"/>
      <c r="EZ59" s="43"/>
      <c r="FA59" s="43"/>
      <c r="FB59" s="43"/>
      <c r="FC59" s="43"/>
    </row>
    <row r="60" ht="18.0" customHeight="1">
      <c r="A60" s="2"/>
      <c r="B60" s="22" t="str">
        <f>IFERROR(VLOOKUP(C60,'Реестр'!C:AC,27,0)," ")</f>
        <v>Биг-Л</v>
      </c>
      <c r="C60" s="43" t="s">
        <v>1100</v>
      </c>
      <c r="D60" s="22" t="str">
        <f>IFERROR(VLOOKUP(C60,'Лист4'!D:P,13,0)," ")</f>
        <v>qeep</v>
      </c>
      <c r="E60" s="22" t="str">
        <f>IF(OR(ISERROR(VLOOKUP(C60,'Актуальность'!A:B,2,0)), VLOOKUP(C60,'Актуальность'!A:B,2,0)=""), "Актуальный", VLOOKUP(C60,'Актуальность'!A:B,2,0))</f>
        <v>Актуальный</v>
      </c>
      <c r="F60" s="43" t="str">
        <f>IFERROR(VLOOKUP(C60,'Актуальность'!A:C,3,0)," ")</f>
        <v/>
      </c>
      <c r="G60" s="43"/>
      <c r="H60" s="22" t="s">
        <v>361</v>
      </c>
      <c r="I60" s="22" t="s">
        <v>1027</v>
      </c>
      <c r="J60" s="43"/>
      <c r="K60" s="43"/>
      <c r="L60" s="22" t="b">
        <f t="shared" ref="L60:R60" si="56">T60&lt;&gt;""</f>
        <v>1</v>
      </c>
      <c r="M60" s="22" t="b">
        <f t="shared" si="56"/>
        <v>1</v>
      </c>
      <c r="N60" s="22" t="b">
        <f t="shared" si="56"/>
        <v>1</v>
      </c>
      <c r="O60" s="22" t="b">
        <f t="shared" si="56"/>
        <v>1</v>
      </c>
      <c r="P60" s="22" t="b">
        <f t="shared" si="56"/>
        <v>1</v>
      </c>
      <c r="Q60" s="22" t="b">
        <f t="shared" si="56"/>
        <v>0</v>
      </c>
      <c r="R60" s="22" t="b">
        <f t="shared" si="56"/>
        <v>0</v>
      </c>
      <c r="S60" s="43"/>
      <c r="T60" s="43" t="str">
        <f>IFERROR(VLOOKUP( C60,'1С'!A:B,2,0)," ")</f>
        <v>QB101100458</v>
      </c>
      <c r="U60" s="22" t="str">
        <f>IFERROR(VLOOKUP(T60,'Лист4'!C:I,3,0)," ")</f>
        <v>qeepcurcumin_500mg_60caps</v>
      </c>
      <c r="V60" s="22" t="str">
        <f>IFERROR(VLOOKUP(T60,'Лист4'!C:I,4,0)," ")</f>
        <v>qeepcurcumin_500mg_60caps</v>
      </c>
      <c r="W60" s="22" t="str">
        <f>IFERROR(VLOOKUP(T60,'Лист4'!C:I,5,0)," ")</f>
        <v>qeepcurcumin_500mg_60caps</v>
      </c>
      <c r="X60" s="43" t="str">
        <f>IFERROR(VLOOKUP(T60,'Лист4'!C:I,7,0)," ")</f>
        <v>qeepcurcumin_500mg_60caps</v>
      </c>
      <c r="Y60" s="43" t="str">
        <f>IFERROR(VLOOKUP(T60,'Лист4'!C:I,6,0)," ")</f>
        <v/>
      </c>
      <c r="Z60" s="43"/>
      <c r="AA60" s="43"/>
      <c r="AB60" s="22">
        <v>1.48382531E8</v>
      </c>
      <c r="AC60" s="22">
        <v>8.81205774E8</v>
      </c>
      <c r="AD60" s="22">
        <v>1.01975171797E11</v>
      </c>
      <c r="AE60" s="22">
        <v>9.9000122833E10</v>
      </c>
      <c r="AF60" s="22"/>
      <c r="AG60" s="43"/>
      <c r="AH60" s="43"/>
      <c r="AI60" s="43" t="str">
        <f>IFERROR(VLOOKUP(T60,'1С'!B:C,2,0)," ")</f>
        <v>БАД Куркумин ,qeep, 60 капсул</v>
      </c>
      <c r="AJ60" s="22" t="s">
        <v>1103</v>
      </c>
      <c r="AK60" s="22" t="s">
        <v>1104</v>
      </c>
      <c r="AL60" s="22" t="s">
        <v>1105</v>
      </c>
      <c r="AM60" s="22" t="s">
        <v>1106</v>
      </c>
      <c r="AN60" s="43"/>
      <c r="AO60" s="43"/>
      <c r="AP60" s="43"/>
      <c r="AQ60" s="46" t="s">
        <v>1107</v>
      </c>
      <c r="AR60" s="46" t="s">
        <v>1108</v>
      </c>
      <c r="AS60" s="46" t="s">
        <v>1109</v>
      </c>
      <c r="AT60" s="46" t="s">
        <v>1110</v>
      </c>
      <c r="AU60" s="43"/>
      <c r="AV60" s="43"/>
      <c r="AW60" s="43"/>
      <c r="AX60" s="22" t="s">
        <v>361</v>
      </c>
      <c r="AY60" s="22" t="s">
        <v>1104</v>
      </c>
      <c r="AZ60" s="22" t="s">
        <v>372</v>
      </c>
      <c r="BA60" s="22" t="s">
        <v>373</v>
      </c>
      <c r="BB60" s="43"/>
      <c r="BC60" s="43"/>
      <c r="BD60" s="43"/>
      <c r="BE60" s="43"/>
      <c r="BF60" s="22">
        <f>IFERROR(VLOOKUP(C60,'спецификация'!B:D,3,0)," ")</f>
        <v>4670110184271</v>
      </c>
      <c r="BG60" s="22">
        <v>2.106909808E9</v>
      </c>
      <c r="BH60" s="22" t="str">
        <f>IFERROR(VLOOKUP(C60,'спецификация'!B:AA,5,0)," ")</f>
        <v>AM.01.07.01.003.R.000474.05.22 от 23.05.2022 г.</v>
      </c>
      <c r="BI60" s="22"/>
      <c r="BJ60" s="22" t="str">
        <f>IFERROR(VLOOKUP(C60,'спецификация'!B:AA,6,0)," ")</f>
        <v>ЧЗ</v>
      </c>
      <c r="BK60" s="43"/>
      <c r="BL60" s="43"/>
      <c r="BM60" s="22" t="str">
        <f>IFERROR(VLOOKUP(BF60,'спецификация'!D:H,5,0)," ")</f>
        <v>действующее вещество: куркумы экстракт; вспомогательные вещества: диоксид кремния, желатин говяжий (для капсул).</v>
      </c>
      <c r="BN60" s="43"/>
      <c r="BO60" s="22" t="str">
        <f>IFERROR(VLOOKUP(C60,'спецификация'!B:AA,10,0)," ")</f>
        <v>принимайте продукт по одной порции (1 капсула) 1 раз в день во время приема пищи, или в соответствии с вашей индивидуальной программой питания или рекомендациями врача.</v>
      </c>
      <c r="BP60" s="43" t="str">
        <f>IFERROR(VLOOKUP(C60,'спецификация'!B:AA,11,0)," ")</f>
        <v>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v>
      </c>
      <c r="BQ60" s="22" t="str">
        <f>IFERROR(VLOOKUP(C60,'спецификация'!B:AA,12,0)," ")</f>
        <v>хранить в сухом прохладном, защищенном от попадания прямых солнечных лучей и недоступном для детей месте, при температуре не выше 25°С. После вскрытия упаковку хранить плотно закрытой при тех же условиях
</v>
      </c>
      <c r="BR60" s="22">
        <v>60.0</v>
      </c>
      <c r="BS60" s="22" t="s">
        <v>492</v>
      </c>
      <c r="BT60" s="43"/>
      <c r="BU60" s="22"/>
      <c r="BV60" s="22" t="s">
        <v>307</v>
      </c>
      <c r="BW60" s="45" t="str">
        <f>IFERROR(VLOOKUP(C60,'спецификация'!B:AA,16,0)," ")</f>
        <v>Куркумин 500 мг - Google Документы</v>
      </c>
      <c r="BX60" s="43"/>
      <c r="BY60" s="43"/>
      <c r="BZ60" s="44" t="str">
        <f>IFERROR(VLOOKUP(BF60,'спецификация'!D:Y,22,0)," ")</f>
        <v>https://drive.google.com/drive/u/0/folders/1aAcjmCFwzpgtMDcdeunmIMrPjgb2xDfI</v>
      </c>
      <c r="CA60" s="43"/>
      <c r="CB60" s="43"/>
      <c r="CC60" s="43"/>
      <c r="CD60" s="43"/>
      <c r="CE60" s="43"/>
      <c r="CF60" s="43"/>
      <c r="CG60" s="49">
        <f>IFERROR(VLOOKUP(C60,CC!A:D,4,0)," ")</f>
        <v>190</v>
      </c>
      <c r="CH60" s="22" t="str">
        <f>IFERROR(VLOOKUP(C60,'спецификация'!B:AA,19,0)," ")</f>
        <v>ООО Арсенал Атлета, 443535, Россия, Самарская область, Волжский муниципальный район, сельское поселение Лопатино, село Лопатино, улица Мира, здание 16/8, офис 1, тел.: +7 (902) 580 30 82, e-mail: yozavod@gmail.com.</v>
      </c>
      <c r="CI60" s="22"/>
      <c r="CJ60" s="22" t="s">
        <v>1119</v>
      </c>
      <c r="CK60" s="22" t="str">
        <f>IFERROR(VLOOKUP(C60,CC!K:M,3,0)," ")</f>
        <v> </v>
      </c>
      <c r="CL60" s="43"/>
      <c r="CM60" s="43"/>
      <c r="CN60" s="43"/>
      <c r="CO60" s="43"/>
      <c r="CP60" s="43"/>
      <c r="CQ60" s="43"/>
      <c r="CR60" s="43"/>
      <c r="CS60" s="43" t="b">
        <v>0</v>
      </c>
      <c r="CT60" s="43" t="b">
        <v>0</v>
      </c>
      <c r="CU60" s="43" t="b">
        <v>0</v>
      </c>
      <c r="CV60" s="43" t="b">
        <v>0</v>
      </c>
      <c r="CW60" s="43"/>
      <c r="CX60" s="43"/>
      <c r="CY60" s="43"/>
      <c r="CZ60" s="43"/>
      <c r="DA60" s="43"/>
      <c r="DB60" s="43"/>
      <c r="DC60" s="43"/>
      <c r="DD60" s="22">
        <f>IFERROR(VLOOKUP($C60,'Лист4'!$D:$AI,27,0)," ")</f>
        <v>4</v>
      </c>
      <c r="DE60" s="22">
        <f>IFERROR(VLOOKUP($C60,'Лист4'!$D:$AI,28,0)," ")</f>
        <v>7</v>
      </c>
      <c r="DF60" s="22">
        <f>IFERROR(VLOOKUP($C60,'Лист4'!$D:$AI,29,0)," ")</f>
        <v>4</v>
      </c>
      <c r="DG60" s="22">
        <f t="shared" si="3"/>
        <v>112</v>
      </c>
      <c r="DH60" s="22">
        <f>IFERROR(VLOOKUP($C60,'Лист4'!$D:$AI,32,0)," ")</f>
        <v>0.1</v>
      </c>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43"/>
      <c r="EN60" s="43"/>
      <c r="EO60" s="43"/>
      <c r="EP60" s="43"/>
      <c r="EQ60" s="43"/>
      <c r="ER60" s="43"/>
      <c r="ES60" s="43"/>
      <c r="ET60" s="43"/>
      <c r="EU60" s="43"/>
      <c r="EV60" s="43"/>
      <c r="EW60" s="43"/>
      <c r="EX60" s="43"/>
      <c r="EY60" s="43"/>
      <c r="EZ60" s="43"/>
      <c r="FA60" s="43"/>
      <c r="FB60" s="43"/>
      <c r="FC60" s="43"/>
    </row>
    <row r="61" ht="18.0" customHeight="1">
      <c r="A61" s="2"/>
      <c r="B61" s="22" t="str">
        <f>IFERROR(VLOOKUP(C61,'Реестр'!C:AC,27,0)," ")</f>
        <v>Биг-Л</v>
      </c>
      <c r="C61" s="43" t="s">
        <v>1120</v>
      </c>
      <c r="D61" s="22" t="str">
        <f>IFERROR(VLOOKUP(C61,'Лист4'!D:P,13,0)," ")</f>
        <v>qeep</v>
      </c>
      <c r="E61" s="22" t="str">
        <f>IF(OR(ISERROR(VLOOKUP(C61,'Актуальность'!A:B,2,0)), VLOOKUP(C61,'Актуальность'!A:B,2,0)=""), "Актуальный", VLOOKUP(C61,'Актуальность'!A:B,2,0))</f>
        <v>Актуальный</v>
      </c>
      <c r="F61" s="43" t="str">
        <f>IFERROR(VLOOKUP(C61,'Актуальность'!A:C,3,0)," ")</f>
        <v/>
      </c>
      <c r="G61" s="43"/>
      <c r="H61" s="22" t="s">
        <v>361</v>
      </c>
      <c r="I61" s="22" t="s">
        <v>1027</v>
      </c>
      <c r="J61" s="43"/>
      <c r="K61" s="43"/>
      <c r="L61" s="22" t="b">
        <f t="shared" ref="L61:R61" si="57">T61&lt;&gt;""</f>
        <v>1</v>
      </c>
      <c r="M61" s="22" t="b">
        <f t="shared" si="57"/>
        <v>1</v>
      </c>
      <c r="N61" s="22" t="b">
        <f t="shared" si="57"/>
        <v>1</v>
      </c>
      <c r="O61" s="22" t="b">
        <f t="shared" si="57"/>
        <v>1</v>
      </c>
      <c r="P61" s="22" t="b">
        <f t="shared" si="57"/>
        <v>1</v>
      </c>
      <c r="Q61" s="22" t="b">
        <f t="shared" si="57"/>
        <v>0</v>
      </c>
      <c r="R61" s="22" t="b">
        <f t="shared" si="57"/>
        <v>0</v>
      </c>
      <c r="S61" s="43"/>
      <c r="T61" s="43" t="str">
        <f>IFERROR(VLOOKUP( C61,'1С'!A:B,2,0)," ")</f>
        <v>QB101100423</v>
      </c>
      <c r="U61" s="22" t="str">
        <f>IFERROR(VLOOKUP(T61,'Лист4'!C:I,3,0)," ")</f>
        <v>qeep_D3_30ml</v>
      </c>
      <c r="V61" s="22" t="str">
        <f>IFERROR(VLOOKUP(T61,'Лист4'!C:I,4,0)," ")</f>
        <v>qeep_D3_30ml</v>
      </c>
      <c r="W61" s="22" t="str">
        <f>IFERROR(VLOOKUP(T61,'Лист4'!C:I,5,0)," ")</f>
        <v>qeep_D3_30ml</v>
      </c>
      <c r="X61" s="43" t="str">
        <f>IFERROR(VLOOKUP(T61,'Лист4'!C:I,7,0)," ")</f>
        <v>qeep_D3_30ml</v>
      </c>
      <c r="Y61" s="43" t="str">
        <f>IFERROR(VLOOKUP(T61,'Лист4'!C:I,6,0)," ")</f>
        <v/>
      </c>
      <c r="Z61" s="43"/>
      <c r="AA61" s="43"/>
      <c r="AB61" s="22">
        <v>1.57382017E8</v>
      </c>
      <c r="AC61" s="22">
        <v>9.45003764E8</v>
      </c>
      <c r="AD61" s="22">
        <v>1.02019832737E11</v>
      </c>
      <c r="AE61" s="22">
        <v>9.9000121335E10</v>
      </c>
      <c r="AF61" s="22"/>
      <c r="AG61" s="43"/>
      <c r="AH61" s="43"/>
      <c r="AI61" s="43" t="str">
        <f>IFERROR(VLOOKUP(T61,'1С'!B:C,2,0)," ")</f>
        <v>БАД Д3 Капли ,qeep, 30 мл</v>
      </c>
      <c r="AJ61" s="22" t="s">
        <v>1123</v>
      </c>
      <c r="AK61" s="22" t="s">
        <v>1124</v>
      </c>
      <c r="AL61" s="22" t="s">
        <v>1125</v>
      </c>
      <c r="AM61" s="22" t="s">
        <v>1126</v>
      </c>
      <c r="AN61" s="43"/>
      <c r="AO61" s="43"/>
      <c r="AP61" s="43"/>
      <c r="AQ61" s="46" t="s">
        <v>1127</v>
      </c>
      <c r="AR61" s="46" t="s">
        <v>1128</v>
      </c>
      <c r="AS61" s="46" t="s">
        <v>1129</v>
      </c>
      <c r="AT61" s="46" t="s">
        <v>1130</v>
      </c>
      <c r="AU61" s="43"/>
      <c r="AV61" s="43"/>
      <c r="AW61" s="43"/>
      <c r="AX61" s="22" t="s">
        <v>361</v>
      </c>
      <c r="AY61" s="22" t="s">
        <v>1124</v>
      </c>
      <c r="AZ61" s="22" t="s">
        <v>372</v>
      </c>
      <c r="BA61" s="22" t="s">
        <v>373</v>
      </c>
      <c r="BB61" s="43"/>
      <c r="BC61" s="43"/>
      <c r="BD61" s="43"/>
      <c r="BE61" s="43"/>
      <c r="BF61" s="22">
        <f>IFERROR(VLOOKUP(C61,'спецификация'!B:D,3,0)," ")</f>
        <v>4670142964339</v>
      </c>
      <c r="BG61" s="22">
        <v>2.106909808E9</v>
      </c>
      <c r="BH61" s="22" t="str">
        <f>IFERROR(VLOOKUP(C61,'спецификация'!B:AA,5,0)," ")</f>
        <v>AM.01.01.01.003.R.000293.07.22 от 04.07.2022 г.</v>
      </c>
      <c r="BI61" s="46" t="s">
        <v>1132</v>
      </c>
      <c r="BJ61" s="22" t="str">
        <f>IFERROR(VLOOKUP(C61,'спецификация'!B:AA,6,0)," ")</f>
        <v>ЧЗ</v>
      </c>
      <c r="BK61" s="43"/>
      <c r="BL61" s="43"/>
      <c r="BM61" s="22" t="str">
        <f>IFERROR(VLOOKUP(BF61,'спецификация'!D:H,5,0)," ")</f>
        <v>холекальциферол (витамин D3), масло МСТ (триглицериды среднецепочечные кокосового масла), ароматизатор натуральный «банан», смесь витамина Е (токоферолов) и витамина С (аскорбил пальмитата) - (антиокислитель).</v>
      </c>
      <c r="BN61" s="43"/>
      <c r="BO61" s="22" t="str">
        <f>IFERROR(VLOOKUP(C61,'спецификация'!B:AA,10,0)," ")</f>
        <v>взрослым и детям с 3-х лет по 1 капле (500 МЕ) в день во время еды или согласно рекомендациям врача. 
Продолжительность приема: 1-2 месяца.</v>
      </c>
      <c r="BP61" s="43" t="str">
        <f>IFERROR(VLOOKUP(C61,'спецификация'!B:AA,11,0)," ")</f>
        <v>индивидуальная непереносимость компонентов. Перед применением рекомендуется проконсультироваться с врачом. Перед применением БАД детьми – с врачом-педиатром.</v>
      </c>
      <c r="BQ61" s="22" t="str">
        <f>IFERROR(VLOOKUP(C61,'спецификация'!B:AA,12,0)," ")</f>
        <v>при температуре не выше +25ºС и относительной влажности воздуха не более 75%, в защищенном от света и недоступном для детей месте.</v>
      </c>
      <c r="BR61" s="22">
        <v>30.0</v>
      </c>
      <c r="BS61" s="22" t="s">
        <v>139</v>
      </c>
      <c r="BT61" s="22"/>
      <c r="BU61" s="22"/>
      <c r="BV61" s="22" t="s">
        <v>307</v>
      </c>
      <c r="BW61" s="44" t="str">
        <f>IFERROR(VLOOKUP(C61,'спецификация'!B:AA,16,0)," ")</f>
        <v>https://docs.google.com/document/d/1hdoargGeFe62QqxLQUBOx5Z2xpT5_QvdJVdO0bKjvuk/edit?usp=sharing</v>
      </c>
      <c r="BX61" s="43"/>
      <c r="BY61" s="43"/>
      <c r="BZ61" s="44" t="str">
        <f>IFERROR(VLOOKUP(BF61,'спецификация'!D:Y,22,0)," ")</f>
        <v>https://drive.google.com/drive/u/0/folders/1vImWk9rrF-f6StlS6U_aqB6fqN73ffMB</v>
      </c>
      <c r="CA61" s="43"/>
      <c r="CB61" s="43"/>
      <c r="CC61" s="43"/>
      <c r="CD61" s="43"/>
      <c r="CE61" s="43"/>
      <c r="CF61" s="43"/>
      <c r="CG61" s="49">
        <f>IFERROR(VLOOKUP(C61,CC!A:D,4,0)," ")</f>
        <v>265</v>
      </c>
      <c r="CH61" s="22" t="str">
        <f>IFERROR(VLOOKUP(C61,'спецификация'!B:AA,19,0)," ")</f>
        <v>ООО «Биолит», 634055, Россия, г. Томск, пр. Академический, д. 4, стр. 3.</v>
      </c>
      <c r="CI61" s="22"/>
      <c r="CJ61" s="22" t="s">
        <v>969</v>
      </c>
      <c r="CK61" s="22">
        <f>IFERROR(VLOOKUP(C61,CC!K:M,3,0)," ")</f>
        <v>60</v>
      </c>
      <c r="CL61" s="43"/>
      <c r="CM61" s="43"/>
      <c r="CN61" s="43"/>
      <c r="CO61" s="43"/>
      <c r="CP61" s="43"/>
      <c r="CQ61" s="43"/>
      <c r="CR61" s="43"/>
      <c r="CS61" s="43" t="b">
        <v>0</v>
      </c>
      <c r="CT61" s="43" t="b">
        <v>0</v>
      </c>
      <c r="CU61" s="43" t="b">
        <v>0</v>
      </c>
      <c r="CV61" s="43" t="b">
        <v>0</v>
      </c>
      <c r="CW61" s="43"/>
      <c r="CX61" s="43"/>
      <c r="CY61" s="43"/>
      <c r="CZ61" s="43"/>
      <c r="DA61" s="43"/>
      <c r="DB61" s="43"/>
      <c r="DC61" s="43"/>
      <c r="DD61" s="22">
        <f>IFERROR(VLOOKUP($C61,'Лист4'!$D:$AI,27,0)," ")</f>
        <v>11</v>
      </c>
      <c r="DE61" s="22">
        <f>IFERROR(VLOOKUP($C61,'Лист4'!$D:$AI,28,0)," ")</f>
        <v>3</v>
      </c>
      <c r="DF61" s="22">
        <f>IFERROR(VLOOKUP($C61,'Лист4'!$D:$AI,29,0)," ")</f>
        <v>11</v>
      </c>
      <c r="DG61" s="22">
        <f t="shared" si="3"/>
        <v>363</v>
      </c>
      <c r="DH61" s="22">
        <f>IFERROR(VLOOKUP($C61,'Лист4'!$D:$AI,32,0)," ")</f>
        <v>0.087</v>
      </c>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43"/>
      <c r="EN61" s="43"/>
      <c r="EO61" s="43"/>
      <c r="EP61" s="43"/>
      <c r="EQ61" s="43"/>
      <c r="ER61" s="43"/>
      <c r="ES61" s="43"/>
      <c r="ET61" s="43"/>
      <c r="EU61" s="43"/>
      <c r="EV61" s="43"/>
      <c r="EW61" s="43"/>
      <c r="EX61" s="43"/>
      <c r="EY61" s="43"/>
      <c r="EZ61" s="43"/>
      <c r="FA61" s="43"/>
      <c r="FB61" s="43"/>
      <c r="FC61" s="43"/>
    </row>
    <row r="62" ht="18.0" customHeight="1">
      <c r="A62" s="2"/>
      <c r="B62" s="22" t="str">
        <f>IFERROR(VLOOKUP(C62,'Реестр'!C:AC,27,0)," ")</f>
        <v>Биг-Л</v>
      </c>
      <c r="C62" s="43" t="s">
        <v>1139</v>
      </c>
      <c r="D62" s="22" t="str">
        <f>IFERROR(VLOOKUP(C62,'Лист4'!D:P,13,0)," ")</f>
        <v>qeep</v>
      </c>
      <c r="E62" s="22" t="str">
        <f>IF(OR(ISERROR(VLOOKUP(C62,'Актуальность'!A:B,2,0)), VLOOKUP(C62,'Актуальность'!A:B,2,0)=""), "Актуальный", VLOOKUP(C62,'Актуальность'!A:B,2,0))</f>
        <v>Актуальный</v>
      </c>
      <c r="F62" s="43" t="str">
        <f>IFERROR(VLOOKUP(C62,'Актуальность'!A:C,3,0)," ")</f>
        <v>КЗ</v>
      </c>
      <c r="G62" s="43"/>
      <c r="H62" s="22" t="s">
        <v>361</v>
      </c>
      <c r="I62" s="22" t="s">
        <v>1027</v>
      </c>
      <c r="J62" s="43"/>
      <c r="K62" s="43"/>
      <c r="L62" s="22" t="b">
        <f t="shared" ref="L62:R62" si="58">T62&lt;&gt;""</f>
        <v>1</v>
      </c>
      <c r="M62" s="22" t="b">
        <f t="shared" si="58"/>
        <v>1</v>
      </c>
      <c r="N62" s="22" t="b">
        <f t="shared" si="58"/>
        <v>1</v>
      </c>
      <c r="O62" s="22" t="b">
        <f t="shared" si="58"/>
        <v>1</v>
      </c>
      <c r="P62" s="22" t="b">
        <f t="shared" si="58"/>
        <v>0</v>
      </c>
      <c r="Q62" s="22" t="b">
        <f t="shared" si="58"/>
        <v>0</v>
      </c>
      <c r="R62" s="22" t="b">
        <f t="shared" si="58"/>
        <v>0</v>
      </c>
      <c r="S62" s="43"/>
      <c r="T62" s="43" t="str">
        <f>IFERROR(VLOOKUP( C62,'1С'!A:B,2,0)," ")</f>
        <v>QB101100503</v>
      </c>
      <c r="U62" s="22" t="str">
        <f>IFERROR(VLOOKUP(T62,'Лист4'!C:I,3,0)," ")</f>
        <v>qeepzinc</v>
      </c>
      <c r="V62" s="22" t="str">
        <f>IFERROR(VLOOKUP(T62,'Лист4'!C:I,4,0)," ")</f>
        <v>qeepzinc</v>
      </c>
      <c r="W62" s="22" t="str">
        <f>IFERROR(VLOOKUP(T62,'Лист4'!C:I,5,0)," ")</f>
        <v>qeepzinc</v>
      </c>
      <c r="X62" s="43" t="str">
        <f>IFERROR(VLOOKUP(T62,'Лист4'!C:I,7,0)," ")</f>
        <v/>
      </c>
      <c r="Y62" s="43" t="str">
        <f>IFERROR(VLOOKUP(T62,'Лист4'!C:I,6,0)," ")</f>
        <v/>
      </c>
      <c r="Z62" s="43"/>
      <c r="AA62" s="43"/>
      <c r="AB62" s="22">
        <v>1.38758948E8</v>
      </c>
      <c r="AC62" s="22">
        <v>8.1482422E8</v>
      </c>
      <c r="AD62" s="22">
        <v>1.01948497015E11</v>
      </c>
      <c r="AE62" s="22"/>
      <c r="AF62" s="22"/>
      <c r="AG62" s="43"/>
      <c r="AH62" s="43"/>
      <c r="AI62" s="43" t="str">
        <f>IFERROR(VLOOKUP(T62,'1С'!B:C,2,0)," ")</f>
        <v>БАД Цинк хелат ,qeep, 90 таблеток</v>
      </c>
      <c r="AJ62" s="22" t="s">
        <v>1143</v>
      </c>
      <c r="AK62" s="22" t="s">
        <v>1144</v>
      </c>
      <c r="AL62" s="22" t="s">
        <v>1145</v>
      </c>
      <c r="AM62" s="43"/>
      <c r="AN62" s="43"/>
      <c r="AO62" s="43"/>
      <c r="AP62" s="43"/>
      <c r="AQ62" s="46" t="s">
        <v>1146</v>
      </c>
      <c r="AR62" s="46" t="s">
        <v>1147</v>
      </c>
      <c r="AS62" s="46" t="s">
        <v>1148</v>
      </c>
      <c r="AT62" s="43"/>
      <c r="AU62" s="43"/>
      <c r="AV62" s="43"/>
      <c r="AW62" s="43"/>
      <c r="AX62" s="22" t="s">
        <v>361</v>
      </c>
      <c r="AY62" s="22" t="s">
        <v>1144</v>
      </c>
      <c r="AZ62" s="22" t="s">
        <v>372</v>
      </c>
      <c r="BA62" s="43"/>
      <c r="BB62" s="43"/>
      <c r="BC62" s="43"/>
      <c r="BD62" s="43"/>
      <c r="BE62" s="43"/>
      <c r="BF62" s="22">
        <f>IFERROR(VLOOKUP(C62,'спецификация'!B:D,3,0)," ")</f>
        <v>4607025202875</v>
      </c>
      <c r="BG62" s="22">
        <v>3.504009E9</v>
      </c>
      <c r="BH62" s="22" t="str">
        <f>IFERROR(VLOOKUP(C62,'спецификация'!B:AA,5,0)," ")</f>
        <v>RU.77.99.11.003.R.003861.10.21 от 28.10.2021</v>
      </c>
      <c r="BI62" s="22"/>
      <c r="BJ62" s="22" t="str">
        <f>IFERROR(VLOOKUP(C62,'спецификация'!B:AA,6,0)," ")</f>
        <v>ЧЗ</v>
      </c>
      <c r="BK62" s="43"/>
      <c r="BL62" s="43"/>
      <c r="BM62" s="22" t="str">
        <f>IFERROR(VLOOKUP(BF62,'спецификация'!D:H,5,0)," ")</f>
        <v>МКЦ (наполнитель), цинка бисглицинат,  кальция стеарат (антислеживающий агент), аэросил (антислеживающий агент).</v>
      </c>
      <c r="BN62" s="43"/>
      <c r="BO62" s="22" t="str">
        <f>IFERROR(VLOOKUP(C62,'спецификация'!B:AA,10,0)," ")</f>
        <v>взрослым по 1 таблетке 1 раз в день во время еды. Продолжительность приёма - 1 месяц. При необходимости  прием можно повторить.</v>
      </c>
      <c r="BP62" s="43" t="str">
        <f>IFERROR(VLOOKUP(C62,'спецификация'!B:AA,11,0),"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62" s="22" t="str">
        <f>IFERROR(VLOOKUP(C62,'спецификация'!B:AA,12,0)," ")</f>
        <v>В недоступном для детей месте при температуре не выше 25°С.</v>
      </c>
      <c r="BR62" s="22">
        <v>90.0</v>
      </c>
      <c r="BS62" s="22" t="s">
        <v>210</v>
      </c>
      <c r="BT62" s="22"/>
      <c r="BU62" s="22"/>
      <c r="BV62" s="22" t="s">
        <v>307</v>
      </c>
      <c r="BW62" s="44" t="str">
        <f>IFERROR(VLOOKUP(C62,'спецификация'!B:AA,16,0)," ")</f>
        <v>https://docs.google.com/document/d/15goaZsodHJ1l5podAkd4_-he2OmcpZvk8j1jfFg4jSc/edit</v>
      </c>
      <c r="BX62" s="43"/>
      <c r="BY62" s="43"/>
      <c r="BZ62" s="44" t="str">
        <f>IFERROR(VLOOKUP(BF62,'спецификация'!D:Y,22,0)," ")</f>
        <v>https://drive.google.com/drive/u/0/folders/1ReycPg9FGytMZyyRTX9heQK-zrjw-yWX</v>
      </c>
      <c r="CA62" s="43"/>
      <c r="CB62" s="43"/>
      <c r="CC62" s="43"/>
      <c r="CD62" s="43"/>
      <c r="CE62" s="43"/>
      <c r="CF62" s="43"/>
      <c r="CG62" s="49">
        <f>IFERROR(VLOOKUP(C62,CC!A:D,4,0)," ")</f>
        <v>169.09</v>
      </c>
      <c r="CH62" s="22" t="str">
        <f>IFERROR(VLOOKUP(C62,'спецификация'!B:AA,19,0)," ")</f>
        <v>ООО «Витамер», 117623, РФ, г. Москва, вн.тер.г. муниципальный округ Южное Бутово, ул. 2-я Мелитопольская, д.19, к.2, кв.57. Адрес производства: 601144, РФ, Владимирская обл., г. Петушки, ул. Совхозная, д. 11</v>
      </c>
      <c r="CI62" s="22"/>
      <c r="CJ62" s="22" t="s">
        <v>902</v>
      </c>
      <c r="CK62" s="22" t="str">
        <f>IFERROR(VLOOKUP(C62,CC!K:M,3,0)," ")</f>
        <v> </v>
      </c>
      <c r="CL62" s="43"/>
      <c r="CM62" s="43"/>
      <c r="CN62" s="43"/>
      <c r="CO62" s="43"/>
      <c r="CP62" s="43"/>
      <c r="CQ62" s="43"/>
      <c r="CR62" s="43"/>
      <c r="CS62" s="43" t="b">
        <v>0</v>
      </c>
      <c r="CT62" s="43" t="b">
        <v>0</v>
      </c>
      <c r="CU62" s="43" t="b">
        <v>0</v>
      </c>
      <c r="CV62" s="43" t="b">
        <v>0</v>
      </c>
      <c r="CW62" s="43"/>
      <c r="CX62" s="43"/>
      <c r="CY62" s="43"/>
      <c r="CZ62" s="43"/>
      <c r="DA62" s="43"/>
      <c r="DB62" s="43"/>
      <c r="DC62" s="43"/>
      <c r="DD62" s="22">
        <f>IFERROR(VLOOKUP($C62,'Лист4'!$D:$AI,27,0)," ")</f>
        <v>9</v>
      </c>
      <c r="DE62" s="22">
        <f>IFERROR(VLOOKUP($C62,'Лист4'!$D:$AI,28,0)," ")</f>
        <v>6</v>
      </c>
      <c r="DF62" s="22">
        <f>IFERROR(VLOOKUP($C62,'Лист4'!$D:$AI,29,0)," ")</f>
        <v>9</v>
      </c>
      <c r="DG62" s="22">
        <f t="shared" si="3"/>
        <v>486</v>
      </c>
      <c r="DH62" s="22">
        <f>IFERROR(VLOOKUP($C62,'Лист4'!$D:$AI,32,0)," ")</f>
        <v>0.05</v>
      </c>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43"/>
      <c r="EN62" s="43"/>
      <c r="EO62" s="43"/>
      <c r="EP62" s="43"/>
      <c r="EQ62" s="43"/>
      <c r="ER62" s="43"/>
      <c r="ES62" s="43"/>
      <c r="ET62" s="43"/>
      <c r="EU62" s="43"/>
      <c r="EV62" s="43"/>
      <c r="EW62" s="43"/>
      <c r="EX62" s="43"/>
      <c r="EY62" s="43"/>
      <c r="EZ62" s="43"/>
      <c r="FA62" s="43"/>
      <c r="FB62" s="43"/>
      <c r="FC62" s="43"/>
    </row>
    <row r="63" ht="18.0" customHeight="1">
      <c r="A63" s="2"/>
      <c r="B63" s="22" t="str">
        <f>IFERROR(VLOOKUP(C63,'Реестр'!C:AC,27,0)," ")</f>
        <v>Биг-Л</v>
      </c>
      <c r="C63" s="43" t="s">
        <v>1155</v>
      </c>
      <c r="D63" s="22" t="str">
        <f>IFERROR(VLOOKUP(C63,'Лист4'!D:P,13,0)," ")</f>
        <v>qeep</v>
      </c>
      <c r="E63" s="22" t="str">
        <f>IF(OR(ISERROR(VLOOKUP(C63,'Актуальность'!A:B,2,0)), VLOOKUP(C63,'Актуальность'!A:B,2,0)=""), "Актуальный", VLOOKUP(C63,'Актуальность'!A:B,2,0))</f>
        <v>Перезапуск</v>
      </c>
      <c r="F63" s="43" t="str">
        <f>IFERROR(VLOOKUP(C63,'Актуальность'!A:C,3,0)," ")</f>
        <v/>
      </c>
      <c r="G63" s="43"/>
      <c r="H63" s="22" t="s">
        <v>361</v>
      </c>
      <c r="I63" s="22" t="s">
        <v>1027</v>
      </c>
      <c r="J63" s="43"/>
      <c r="K63" s="43"/>
      <c r="L63" s="22" t="b">
        <f t="shared" ref="L63:R63" si="59">T63&lt;&gt;""</f>
        <v>1</v>
      </c>
      <c r="M63" s="22" t="b">
        <f t="shared" si="59"/>
        <v>1</v>
      </c>
      <c r="N63" s="22" t="b">
        <f t="shared" si="59"/>
        <v>1</v>
      </c>
      <c r="O63" s="22" t="b">
        <f t="shared" si="59"/>
        <v>1</v>
      </c>
      <c r="P63" s="22" t="b">
        <f t="shared" si="59"/>
        <v>0</v>
      </c>
      <c r="Q63" s="22" t="b">
        <f t="shared" si="59"/>
        <v>0</v>
      </c>
      <c r="R63" s="22" t="b">
        <f t="shared" si="59"/>
        <v>0</v>
      </c>
      <c r="S63" s="43"/>
      <c r="T63" s="43" t="str">
        <f>IFERROR(VLOOKUP( C63,'1С'!A:B,2,0)," ")</f>
        <v>QB101100474</v>
      </c>
      <c r="U63" s="22" t="str">
        <f>IFERROR(VLOOKUP(T63,'Лист4'!C:I,3,0)," ")</f>
        <v>qeep_omega369_90caps</v>
      </c>
      <c r="V63" s="22" t="str">
        <f>IFERROR(VLOOKUP(T63,'Лист4'!C:I,4,0)," ")</f>
        <v>qeep_omega369_90caps</v>
      </c>
      <c r="W63" s="22" t="str">
        <f>IFERROR(VLOOKUP(T63,'Лист4'!C:I,5,0)," ")</f>
        <v>qeep_omega369_90caps</v>
      </c>
      <c r="X63" s="43" t="str">
        <f>IFERROR(VLOOKUP(T63,'Лист4'!C:I,7,0)," ")</f>
        <v/>
      </c>
      <c r="Y63" s="43" t="str">
        <f>IFERROR(VLOOKUP(T63,'Лист4'!C:I,6,0)," ")</f>
        <v/>
      </c>
      <c r="Z63" s="43"/>
      <c r="AA63" s="43"/>
      <c r="AB63" s="22">
        <v>1.6525279E8</v>
      </c>
      <c r="AC63" s="22">
        <v>1.0326954E9</v>
      </c>
      <c r="AD63" s="22">
        <v>1.0205433015E11</v>
      </c>
      <c r="AE63" s="22"/>
      <c r="AF63" s="22"/>
      <c r="AG63" s="43"/>
      <c r="AH63" s="43"/>
      <c r="AI63" s="43" t="str">
        <f>IFERROR(VLOOKUP(T63,'1С'!B:C,2,0)," ")</f>
        <v>БАД Омега 3 6 9 ,qeep, 90 капсул</v>
      </c>
      <c r="AJ63" s="22" t="s">
        <v>1158</v>
      </c>
      <c r="AK63" s="22" t="s">
        <v>1159</v>
      </c>
      <c r="AL63" s="22" t="s">
        <v>1160</v>
      </c>
      <c r="AM63" s="43"/>
      <c r="AN63" s="43"/>
      <c r="AO63" s="43"/>
      <c r="AP63" s="43"/>
      <c r="AQ63" s="46" t="s">
        <v>1161</v>
      </c>
      <c r="AR63" s="46" t="s">
        <v>1162</v>
      </c>
      <c r="AS63" s="43"/>
      <c r="AT63" s="43"/>
      <c r="AU63" s="43"/>
      <c r="AV63" s="43"/>
      <c r="AW63" s="43"/>
      <c r="AX63" s="22" t="s">
        <v>361</v>
      </c>
      <c r="AY63" s="22" t="s">
        <v>1159</v>
      </c>
      <c r="AZ63" s="22" t="s">
        <v>372</v>
      </c>
      <c r="BA63" s="43"/>
      <c r="BB63" s="43"/>
      <c r="BC63" s="43"/>
      <c r="BD63" s="43"/>
      <c r="BE63" s="43"/>
      <c r="BF63" s="22">
        <f>IFERROR(VLOOKUP(C63,'спецификация'!B:D,3,0)," ")</f>
        <v>4670167253043</v>
      </c>
      <c r="BG63" s="22">
        <v>2.106909808E9</v>
      </c>
      <c r="BH63" s="22" t="str">
        <f>IFERROR(VLOOKUP(C63,'спецификация'!B:AA,5,0)," ")</f>
        <v>RU.77.99.32.003.R.003955.12.23 от 29.12.2023</v>
      </c>
      <c r="BI63" s="46" t="s">
        <v>1164</v>
      </c>
      <c r="BJ63" s="22" t="str">
        <f>IFERROR(VLOOKUP(C63,'спецификация'!B:AA,6,0)," ")</f>
        <v>ЧЗ</v>
      </c>
      <c r="BK63" s="43"/>
      <c r="BL63" s="43"/>
      <c r="BM63" s="22" t="str">
        <f>IFERROR(VLOOKUP(BF63,'спецификация'!D:H,5,0)," ")</f>
        <v>рыбий жир, масло огуречника, масло льняное, альфа-токоферола ацетат, 
оболочка капсулы (желатин, загуститель – глицерин, вода).
</v>
      </c>
      <c r="BN63" s="43"/>
      <c r="BO63" s="22" t="str">
        <f>IFERROR(VLOOKUP(C63,'спецификация'!B:AA,10,0)," ")</f>
        <v>взрослым и детям старше 14 лет по 3 капсулы в 
день во время еды. Продолжительность приема – 1 месяц. По рекомендации врача 
прием можно повторить.
</v>
      </c>
      <c r="BP63" s="43" t="str">
        <f>IFERROR(VLOOKUP(C63,'спецификация'!B:AA,11,0)," ")</f>
        <v>индивидуальная непереносимость компонентов продукта, беременность, кормление грудью. </v>
      </c>
      <c r="BQ63" s="22" t="str">
        <f>IFERROR(VLOOKUP(C63,'спецификация'!B:AA,12,0)," ")</f>
        <v>в недоступном для детей месте, при температуре не выше +25ºС и относительной влажности воздуха не более 60%.
</v>
      </c>
      <c r="BR63" s="22">
        <v>90.0</v>
      </c>
      <c r="BS63" s="22" t="s">
        <v>492</v>
      </c>
      <c r="BT63" s="43"/>
      <c r="BU63" s="22"/>
      <c r="BV63" s="22" t="s">
        <v>307</v>
      </c>
      <c r="BW63" s="44" t="str">
        <f>IFERROR(VLOOKUP(C63,'спецификация'!B:AA,16,0)," ")</f>
        <v>https://docs.google.com/document/d/1YAjgc4ouJahRJNquY38BHuWLmBBqVs178XgnWcVwip0/edit</v>
      </c>
      <c r="BX63" s="43"/>
      <c r="BY63" s="43"/>
      <c r="BZ63" s="44" t="str">
        <f>IFERROR(VLOOKUP(BF63,'спецификация'!D:Y,22,0)," ")</f>
        <v>https://drive.google.com/drive/u/0/folders/1YYRoKT7rU8dhG1zHTW4AyaJkpbdYipaV</v>
      </c>
      <c r="CA63" s="43"/>
      <c r="CB63" s="43"/>
      <c r="CC63" s="43"/>
      <c r="CD63" s="43"/>
      <c r="CE63" s="43"/>
      <c r="CF63" s="43"/>
      <c r="CG63" s="49">
        <f>IFERROR(VLOOKUP(C63,CC!A:D,4,0)," ")</f>
        <v>321.07</v>
      </c>
      <c r="CH63" s="22" t="str">
        <f>IFERROR(VLOOKUP(C63,'спецификация'!B:AA,19,0)," ")</f>
        <v>ООО "Нутрилент"</v>
      </c>
      <c r="CI63" s="22"/>
      <c r="CJ63" s="22" t="s">
        <v>1170</v>
      </c>
      <c r="CK63" s="22">
        <f>IFERROR(VLOOKUP(C63,CC!K:M,3,0)," ")</f>
        <v>60</v>
      </c>
      <c r="CL63" s="43"/>
      <c r="CM63" s="43"/>
      <c r="CN63" s="43"/>
      <c r="CO63" s="43"/>
      <c r="CP63" s="43"/>
      <c r="CQ63" s="43"/>
      <c r="CR63" s="43"/>
      <c r="CS63" s="43" t="b">
        <v>0</v>
      </c>
      <c r="CT63" s="43" t="b">
        <v>0</v>
      </c>
      <c r="CU63" s="43" t="b">
        <v>0</v>
      </c>
      <c r="CV63" s="43" t="b">
        <v>0</v>
      </c>
      <c r="CW63" s="43"/>
      <c r="CX63" s="43"/>
      <c r="CY63" s="43"/>
      <c r="CZ63" s="43"/>
      <c r="DA63" s="43"/>
      <c r="DB63" s="43"/>
      <c r="DC63" s="43"/>
      <c r="DD63" s="22">
        <f>IFERROR(VLOOKUP($C63,'Лист4'!$D:$AI,27,0)," ")</f>
        <v>6</v>
      </c>
      <c r="DE63" s="22">
        <f>IFERROR(VLOOKUP($C63,'Лист4'!$D:$AI,28,0)," ")</f>
        <v>11</v>
      </c>
      <c r="DF63" s="22">
        <f>IFERROR(VLOOKUP($C63,'Лист4'!$D:$AI,29,0)," ")</f>
        <v>6</v>
      </c>
      <c r="DG63" s="22">
        <f t="shared" si="3"/>
        <v>396</v>
      </c>
      <c r="DH63" s="22">
        <f>IFERROR(VLOOKUP($C63,'Лист4'!$D:$AI,32,0)," ")</f>
        <v>0.2</v>
      </c>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43"/>
      <c r="EN63" s="43"/>
      <c r="EO63" s="43"/>
      <c r="EP63" s="43"/>
      <c r="EQ63" s="43"/>
      <c r="ER63" s="43"/>
      <c r="ES63" s="43"/>
      <c r="ET63" s="43"/>
      <c r="EU63" s="43"/>
      <c r="EV63" s="43"/>
      <c r="EW63" s="43"/>
      <c r="EX63" s="43"/>
      <c r="EY63" s="43"/>
      <c r="EZ63" s="43"/>
      <c r="FA63" s="43"/>
      <c r="FB63" s="43"/>
      <c r="FC63" s="43"/>
    </row>
    <row r="64" ht="18.0" customHeight="1">
      <c r="A64" s="2"/>
      <c r="B64" s="22" t="str">
        <f>IFERROR(VLOOKUP(C64,'Реестр'!C:AC,27,0)," ")</f>
        <v>Биг-Л</v>
      </c>
      <c r="C64" s="43" t="s">
        <v>1171</v>
      </c>
      <c r="D64" s="22" t="str">
        <f>IFERROR(VLOOKUP(C64,'Лист4'!D:P,13,0)," ")</f>
        <v>qeep</v>
      </c>
      <c r="E64" s="22" t="str">
        <f>IF(OR(ISERROR(VLOOKUP(C64,'Актуальность'!A:B,2,0)), VLOOKUP(C64,'Актуальность'!A:B,2,0)=""), "Актуальный", VLOOKUP(C64,'Актуальность'!A:B,2,0))</f>
        <v>Актуальный</v>
      </c>
      <c r="F64" s="43" t="str">
        <f>IFERROR(VLOOKUP(C64,'Актуальность'!A:C,3,0)," ")</f>
        <v>Проверить, можно ли?</v>
      </c>
      <c r="G64" s="43"/>
      <c r="H64" s="22" t="s">
        <v>361</v>
      </c>
      <c r="I64" s="22" t="s">
        <v>1027</v>
      </c>
      <c r="J64" s="43"/>
      <c r="K64" s="43"/>
      <c r="L64" s="22" t="b">
        <f t="shared" ref="L64:R64" si="60">T64&lt;&gt;""</f>
        <v>1</v>
      </c>
      <c r="M64" s="22" t="b">
        <f t="shared" si="60"/>
        <v>1</v>
      </c>
      <c r="N64" s="22" t="b">
        <f t="shared" si="60"/>
        <v>1</v>
      </c>
      <c r="O64" s="22" t="b">
        <f t="shared" si="60"/>
        <v>1</v>
      </c>
      <c r="P64" s="22" t="b">
        <f t="shared" si="60"/>
        <v>1</v>
      </c>
      <c r="Q64" s="22" t="b">
        <f t="shared" si="60"/>
        <v>0</v>
      </c>
      <c r="R64" s="22" t="b">
        <f t="shared" si="60"/>
        <v>0</v>
      </c>
      <c r="S64" s="43"/>
      <c r="T64" s="43" t="str">
        <f>IFERROR(VLOOKUP( C64,'1С'!A:B,2,0)," ")</f>
        <v>QB101100419</v>
      </c>
      <c r="U64" s="22" t="str">
        <f>IFERROR(VLOOKUP(T64,'Лист4'!C:I,3,0)," ")</f>
        <v>qeep_d3k2_5000ME_120tabs</v>
      </c>
      <c r="V64" s="22" t="str">
        <f>IFERROR(VLOOKUP(T64,'Лист4'!C:I,4,0)," ")</f>
        <v>qeep_d3k2_5000ME_120tabs</v>
      </c>
      <c r="W64" s="22" t="str">
        <f>IFERROR(VLOOKUP(T64,'Лист4'!C:I,5,0)," ")</f>
        <v>qeep_d3k2_5000ME_120tabs</v>
      </c>
      <c r="X64" s="43" t="str">
        <f>IFERROR(VLOOKUP(T64,'Лист4'!C:I,7,0)," ")</f>
        <v>qeep_d3k2_5000ME_120tabs</v>
      </c>
      <c r="Y64" s="43" t="str">
        <f>IFERROR(VLOOKUP(T64,'Лист4'!C:I,6,0)," ")</f>
        <v/>
      </c>
      <c r="Z64" s="43"/>
      <c r="AA64" s="43"/>
      <c r="AB64" s="22">
        <v>2.09196024E8</v>
      </c>
      <c r="AC64" s="22">
        <v>1.499949331E9</v>
      </c>
      <c r="AD64" s="22">
        <v>1.03398256605E11</v>
      </c>
      <c r="AE64" s="22">
        <v>9.9000121333E10</v>
      </c>
      <c r="AF64" s="22"/>
      <c r="AG64" s="43"/>
      <c r="AH64" s="43"/>
      <c r="AI64" s="43" t="str">
        <f>IFERROR(VLOOKUP(T64,'1С'!B:C,2,0)," ")</f>
        <v>БАД Д3 5000 ME К2 ,qeep, 120 таблеток</v>
      </c>
      <c r="AJ64" s="22" t="s">
        <v>1175</v>
      </c>
      <c r="AK64" s="22" t="s">
        <v>1176</v>
      </c>
      <c r="AL64" s="22" t="s">
        <v>1177</v>
      </c>
      <c r="AM64" s="22" t="s">
        <v>1178</v>
      </c>
      <c r="AN64" s="43"/>
      <c r="AO64" s="43"/>
      <c r="AP64" s="43"/>
      <c r="AQ64" s="46" t="s">
        <v>1179</v>
      </c>
      <c r="AR64" s="46" t="s">
        <v>1180</v>
      </c>
      <c r="AS64" s="46" t="s">
        <v>1181</v>
      </c>
      <c r="AT64" s="46" t="s">
        <v>1182</v>
      </c>
      <c r="AU64" s="43"/>
      <c r="AV64" s="43"/>
      <c r="AW64" s="43"/>
      <c r="AX64" s="22" t="s">
        <v>361</v>
      </c>
      <c r="AY64" s="22" t="s">
        <v>1176</v>
      </c>
      <c r="AZ64" s="22" t="s">
        <v>372</v>
      </c>
      <c r="BA64" s="22" t="s">
        <v>373</v>
      </c>
      <c r="BB64" s="43"/>
      <c r="BC64" s="43"/>
      <c r="BD64" s="43"/>
      <c r="BE64" s="43"/>
      <c r="BF64" s="22">
        <f>IFERROR(VLOOKUP(C64,'спецификация'!B:D,3,0)," ")</f>
        <v>4630205149011</v>
      </c>
      <c r="BG64" s="22">
        <v>2.106909808E9</v>
      </c>
      <c r="BH64" s="22" t="str">
        <f>IFERROR(VLOOKUP(C64,'спецификация'!B:AA,5,0)," ")</f>
        <v>AM.01.01.01.003.R.000393.05.23 от 26.05.2023 г</v>
      </c>
      <c r="BI64" s="46" t="s">
        <v>1184</v>
      </c>
      <c r="BJ64" s="22" t="str">
        <f>IFERROR(VLOOKUP(C64,'спецификация'!B:AA,6,0)," ")</f>
        <v>ЧЗ</v>
      </c>
      <c r="BK64" s="43"/>
      <c r="BL64" s="43"/>
      <c r="BM64" s="22" t="str">
        <f>IFERROR(VLOOKUP(BF64,'спецификация'!D:H,5,0)," ")</f>
        <v>холекальциферол, менахинон-7, носители: микрокристаллическая целлюлоза, мальтодекстрин, стеарат кальция (Е470), кремний диоксид коллоидный (Е 551) (АЭРОСИЛ@).</v>
      </c>
      <c r="BN64" s="43"/>
      <c r="BO64" s="22" t="str">
        <f>IFERROR(VLOOKUP(C64,'спецификация'!B:AA,10,0)," ")</f>
        <v>принимать взрослым по ¼ таблетки в день в первой половине дня.
</v>
      </c>
      <c r="BP64" s="43" t="s">
        <v>1078</v>
      </c>
      <c r="BQ64" s="22" t="s">
        <v>1079</v>
      </c>
      <c r="BR64" s="22">
        <v>120.0</v>
      </c>
      <c r="BS64" s="22" t="s">
        <v>210</v>
      </c>
      <c r="BT64" s="43"/>
      <c r="BU64" s="22"/>
      <c r="BV64" s="22" t="s">
        <v>307</v>
      </c>
      <c r="BW64" s="44" t="str">
        <f>IFERROR(VLOOKUP(C64,'спецификация'!B:AA,16,0)," ")</f>
        <v>https://docs.google.com/document/d/1H-we0rrrX46oFlO6fhgJkMhJgqJLYSYleX3SUFyg8y0/edit</v>
      </c>
      <c r="BX64" s="43"/>
      <c r="BY64" s="43"/>
      <c r="BZ64" s="45" t="str">
        <f>IFERROR(VLOOKUP(BF64,'спецификация'!D:Y,22,0)," ")</f>
        <v/>
      </c>
      <c r="CA64" s="43"/>
      <c r="CB64" s="43"/>
      <c r="CC64" s="43"/>
      <c r="CD64" s="43"/>
      <c r="CE64" s="43"/>
      <c r="CF64" s="43"/>
      <c r="CG64" s="49">
        <f>IFERROR(VLOOKUP(C64,CC!A:D,4,0)," ")</f>
        <v>190</v>
      </c>
      <c r="CH64" s="22" t="str">
        <f>IFERROR(VLOOKUP(C64,'спецификация'!B:AA,19,0)," ")</f>
        <v>ООО «Жива Продукт ПРО». 350062, Россия, Краснодарский край, город Краснодар, улица Казбекская, дом 17, кв. (оф.) 85</v>
      </c>
      <c r="CI64" s="22"/>
      <c r="CJ64" s="22" t="s">
        <v>495</v>
      </c>
      <c r="CK64" s="22">
        <f>IFERROR(VLOOKUP(C64,CC!K:M,3,0)," ")</f>
        <v>60</v>
      </c>
      <c r="CL64" s="43"/>
      <c r="CM64" s="43"/>
      <c r="CN64" s="43"/>
      <c r="CO64" s="43"/>
      <c r="CP64" s="43"/>
      <c r="CQ64" s="43"/>
      <c r="CR64" s="43"/>
      <c r="CS64" s="43" t="b">
        <v>0</v>
      </c>
      <c r="CT64" s="43" t="b">
        <v>0</v>
      </c>
      <c r="CU64" s="43" t="b">
        <v>0</v>
      </c>
      <c r="CV64" s="43" t="b">
        <v>0</v>
      </c>
      <c r="CW64" s="43"/>
      <c r="CX64" s="43"/>
      <c r="CY64" s="43"/>
      <c r="CZ64" s="43"/>
      <c r="DA64" s="43"/>
      <c r="DB64" s="43"/>
      <c r="DC64" s="43"/>
      <c r="DD64" s="22">
        <f>IFERROR(VLOOKUP($C64,'Лист4'!$D:$AI,27,0)," ")</f>
        <v>4</v>
      </c>
      <c r="DE64" s="22">
        <f>IFERROR(VLOOKUP($C64,'Лист4'!$D:$AI,28,0)," ")</f>
        <v>9</v>
      </c>
      <c r="DF64" s="22">
        <f>IFERROR(VLOOKUP($C64,'Лист4'!$D:$AI,29,0)," ")</f>
        <v>4</v>
      </c>
      <c r="DG64" s="22">
        <f t="shared" si="3"/>
        <v>144</v>
      </c>
      <c r="DH64" s="22">
        <f>IFERROR(VLOOKUP($C64,'Лист4'!$D:$AI,32,0)," ")</f>
        <v>0.062</v>
      </c>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43"/>
      <c r="EN64" s="43"/>
      <c r="EO64" s="43"/>
      <c r="EP64" s="43"/>
      <c r="EQ64" s="43"/>
      <c r="ER64" s="43"/>
      <c r="ES64" s="43"/>
      <c r="ET64" s="43"/>
      <c r="EU64" s="43"/>
      <c r="EV64" s="43"/>
      <c r="EW64" s="43"/>
      <c r="EX64" s="43"/>
      <c r="EY64" s="43"/>
      <c r="EZ64" s="43"/>
      <c r="FA64" s="43"/>
      <c r="FB64" s="43"/>
      <c r="FC64" s="43"/>
    </row>
    <row r="65" ht="18.0" customHeight="1">
      <c r="A65" s="2"/>
      <c r="B65" s="22" t="str">
        <f>IFERROR(VLOOKUP(C65,'Реестр'!C:AC,27,0)," ")</f>
        <v>Биг-Л</v>
      </c>
      <c r="C65" s="43" t="s">
        <v>1188</v>
      </c>
      <c r="D65" s="22" t="str">
        <f>IFERROR(VLOOKUP(C65,'Лист4'!D:P,13,0)," ")</f>
        <v>qeep</v>
      </c>
      <c r="E65" s="22" t="str">
        <f>IF(OR(ISERROR(VLOOKUP(C65,'Актуальность'!A:B,2,0)), VLOOKUP(C65,'Актуальность'!A:B,2,0)=""), "Актуальный", VLOOKUP(C65,'Актуальность'!A:B,2,0))</f>
        <v>Актуальный</v>
      </c>
      <c r="F65" s="43" t="str">
        <f>IFERROR(VLOOKUP(C65,'Актуальность'!A:C,3,0)," ")</f>
        <v/>
      </c>
      <c r="G65" s="43"/>
      <c r="H65" s="22" t="s">
        <v>361</v>
      </c>
      <c r="I65" s="22" t="s">
        <v>1027</v>
      </c>
      <c r="J65" s="43"/>
      <c r="K65" s="43"/>
      <c r="L65" s="22" t="b">
        <f t="shared" ref="L65:R65" si="61">T65&lt;&gt;""</f>
        <v>1</v>
      </c>
      <c r="M65" s="22" t="b">
        <f t="shared" si="61"/>
        <v>1</v>
      </c>
      <c r="N65" s="22" t="b">
        <f t="shared" si="61"/>
        <v>1</v>
      </c>
      <c r="O65" s="22" t="b">
        <f t="shared" si="61"/>
        <v>1</v>
      </c>
      <c r="P65" s="22" t="b">
        <f t="shared" si="61"/>
        <v>1</v>
      </c>
      <c r="Q65" s="22" t="b">
        <f t="shared" si="61"/>
        <v>0</v>
      </c>
      <c r="R65" s="22" t="b">
        <f t="shared" si="61"/>
        <v>0</v>
      </c>
      <c r="S65" s="43"/>
      <c r="T65" s="43" t="str">
        <f>IFERROR(VLOOKUP( C65,'1С'!A:B,2,0)," ")</f>
        <v>QB101100418</v>
      </c>
      <c r="U65" s="22" t="str">
        <f>IFERROR(VLOOKUP(T65,'Лист4'!C:I,3,0)," ")</f>
        <v>qeep_D3_2000ME_120caps</v>
      </c>
      <c r="V65" s="22" t="str">
        <f>IFERROR(VLOOKUP(T65,'Лист4'!C:I,4,0)," ")</f>
        <v>qeep_D3_2000ME_120caps</v>
      </c>
      <c r="W65" s="22" t="str">
        <f>IFERROR(VLOOKUP(T65,'Лист4'!C:I,5,0)," ")</f>
        <v>qeep_D3_2000ME_120caps</v>
      </c>
      <c r="X65" s="43" t="str">
        <f>IFERROR(VLOOKUP(T65,'Лист4'!C:I,7,0)," ")</f>
        <v>qeep_D3_2000ME_120caps</v>
      </c>
      <c r="Y65" s="43" t="str">
        <f>IFERROR(VLOOKUP(T65,'Лист4'!C:I,6,0)," ")</f>
        <v/>
      </c>
      <c r="Z65" s="43"/>
      <c r="AA65" s="43"/>
      <c r="AB65" s="22">
        <v>1.96519115E8</v>
      </c>
      <c r="AC65" s="22">
        <v>1.342066127E9</v>
      </c>
      <c r="AD65" s="22">
        <v>1.02621875416E11</v>
      </c>
      <c r="AE65" s="22">
        <v>9.9000121327E10</v>
      </c>
      <c r="AF65" s="22"/>
      <c r="AG65" s="43"/>
      <c r="AH65" s="43"/>
      <c r="AI65" s="43" t="str">
        <f>IFERROR(VLOOKUP(T65,'1С'!B:C,2,0)," ")</f>
        <v>БАД Д3 2000 МЕ ,qeep, 120 капсул</v>
      </c>
      <c r="AJ65" s="22" t="s">
        <v>1191</v>
      </c>
      <c r="AK65" s="22" t="s">
        <v>1192</v>
      </c>
      <c r="AL65" s="22" t="s">
        <v>1193</v>
      </c>
      <c r="AM65" s="22" t="s">
        <v>1194</v>
      </c>
      <c r="AN65" s="43"/>
      <c r="AO65" s="43"/>
      <c r="AP65" s="43"/>
      <c r="AQ65" s="46" t="s">
        <v>1195</v>
      </c>
      <c r="AR65" s="46" t="s">
        <v>1196</v>
      </c>
      <c r="AS65" s="46" t="s">
        <v>1197</v>
      </c>
      <c r="AT65" s="43"/>
      <c r="AU65" s="43"/>
      <c r="AV65" s="43"/>
      <c r="AW65" s="43"/>
      <c r="AX65" s="22" t="s">
        <v>361</v>
      </c>
      <c r="AY65" s="22" t="s">
        <v>1192</v>
      </c>
      <c r="AZ65" s="22" t="s">
        <v>372</v>
      </c>
      <c r="BA65" s="22" t="s">
        <v>373</v>
      </c>
      <c r="BB65" s="43"/>
      <c r="BC65" s="43"/>
      <c r="BD65" s="43"/>
      <c r="BE65" s="43"/>
      <c r="BF65" s="22">
        <f>IFERROR(VLOOKUP(C65,'спецификация'!B:D,3,0)," ")</f>
        <v>4630205145730</v>
      </c>
      <c r="BG65" s="22">
        <v>2.106909808E9</v>
      </c>
      <c r="BH65" s="22" t="str">
        <f>IFERROR(VLOOKUP(C65,'спецификация'!B:AA,5,0)," ")</f>
        <v>AM.01.01.01.003.R.000129.04.22 от 15.04.2022 г.</v>
      </c>
      <c r="BI65" s="46" t="s">
        <v>1199</v>
      </c>
      <c r="BJ65" s="22" t="str">
        <f>IFERROR(VLOOKUP(C65,'спецификация'!B:AA,6,0)," ")</f>
        <v>ЧЗ</v>
      </c>
      <c r="BK65" s="43"/>
      <c r="BL65" s="43"/>
      <c r="BM65" s="22" t="str">
        <f>IFERROR(VLOOKUP(BF65,'спецификация'!D:H,5,0)," ")</f>
        <v>масляный раствор витамина D3 (среднецепочечные триглицериды или кукурузное масло, антиокислитель – альфа-токоферол, холекальциферол (витамин D3)), масло растительное рафинированное, оболочка капсулы (желатин, агент влагоудерживающий – глицерин, вода очищенная, загуститель – каррагинан), антиокислитель – смесь токоферолов.</v>
      </c>
      <c r="BN65" s="43"/>
      <c r="BO65" s="22" t="str">
        <f>IFERROR(VLOOKUP(C65,'спецификация'!B:AA,10,0)," ")</f>
        <v>взрослым по 1 капсуле в день во время еды.
Продолжительность приёма: 1 месяц. При необходимости повторить.</v>
      </c>
      <c r="BP65" s="43" t="str">
        <f>IFERROR(VLOOKUP(C65,'спецификация'!B:AA,11,0)," ")</f>
        <v>индивидуальная непереносимость компонентов продукта, беременность, кормление грудью. Перед применением проконсультироваться с врачом.</v>
      </c>
      <c r="BQ65" s="22" t="str">
        <f>IFERROR(VLOOKUP(C65,'спецификация'!B:AA,12,0)," ")</f>
        <v>хранить в сухом, недоступном для детей месте, при температуре от +5 °С до +25 °С.</v>
      </c>
      <c r="BR65" s="22">
        <v>120.0</v>
      </c>
      <c r="BS65" s="22" t="s">
        <v>492</v>
      </c>
      <c r="BT65" s="43"/>
      <c r="BU65" s="22"/>
      <c r="BV65" s="22" t="s">
        <v>727</v>
      </c>
      <c r="BW65" s="44" t="str">
        <f>IFERROR(VLOOKUP(C65,'спецификация'!B:AA,16,0)," ")</f>
        <v>https://docs.google.com/document/d/1FLCC9-RkT8OIyTIbAX7ko8SLL5xaNgJ5Ahl9-jivg-Y/edit</v>
      </c>
      <c r="BX65" s="43"/>
      <c r="BY65" s="43"/>
      <c r="BZ65" s="45" t="str">
        <f>IFERROR(VLOOKUP(BF65,'спецификация'!D:Y,22,0)," ")</f>
        <v/>
      </c>
      <c r="CA65" s="43"/>
      <c r="CB65" s="43"/>
      <c r="CC65" s="43"/>
      <c r="CD65" s="43"/>
      <c r="CE65" s="43"/>
      <c r="CF65" s="43"/>
      <c r="CG65" s="49">
        <f>IFERROR(VLOOKUP(C65,CC!A:D,4,0)," ")</f>
        <v>191</v>
      </c>
      <c r="CH65" s="22" t="str">
        <f>IFERROR(VLOOKUP(C65,'спецификация'!B:AA,19,0)," ")</f>
        <v>ООО «Жива Продукт ПРО». 350062, Россия, Краснодарский край, город Краснодар, улица Казбекская, дом 17, кв. (оф.) 85</v>
      </c>
      <c r="CI65" s="22"/>
      <c r="CJ65" s="22" t="s">
        <v>495</v>
      </c>
      <c r="CK65" s="22">
        <f>IFERROR(VLOOKUP(C65,CC!K:M,3,0)," ")</f>
        <v>60</v>
      </c>
      <c r="CL65" s="43"/>
      <c r="CM65" s="43"/>
      <c r="CN65" s="43"/>
      <c r="CO65" s="43"/>
      <c r="CP65" s="43"/>
      <c r="CQ65" s="43"/>
      <c r="CR65" s="43"/>
      <c r="CS65" s="43" t="b">
        <v>0</v>
      </c>
      <c r="CT65" s="43" t="b">
        <v>0</v>
      </c>
      <c r="CU65" s="43" t="b">
        <v>0</v>
      </c>
      <c r="CV65" s="43" t="b">
        <v>0</v>
      </c>
      <c r="CW65" s="43"/>
      <c r="CX65" s="43"/>
      <c r="CY65" s="43"/>
      <c r="CZ65" s="43"/>
      <c r="DA65" s="43"/>
      <c r="DB65" s="43"/>
      <c r="DC65" s="43"/>
      <c r="DD65" s="22">
        <f>IFERROR(VLOOKUP($C65,'Лист4'!$D:$AI,27,0)," ")</f>
        <v>4</v>
      </c>
      <c r="DE65" s="22">
        <f>IFERROR(VLOOKUP($C65,'Лист4'!$D:$AI,28,0)," ")</f>
        <v>9</v>
      </c>
      <c r="DF65" s="22">
        <f>IFERROR(VLOOKUP($C65,'Лист4'!$D:$AI,29,0)," ")</f>
        <v>4</v>
      </c>
      <c r="DG65" s="22">
        <f t="shared" si="3"/>
        <v>144</v>
      </c>
      <c r="DH65" s="22">
        <f>IFERROR(VLOOKUP($C65,'Лист4'!$D:$AI,32,0)," ")</f>
        <v>0.062</v>
      </c>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43"/>
      <c r="EN65" s="43"/>
      <c r="EO65" s="43"/>
      <c r="EP65" s="43"/>
      <c r="EQ65" s="43"/>
      <c r="ER65" s="43"/>
      <c r="ES65" s="43"/>
      <c r="ET65" s="43"/>
      <c r="EU65" s="43"/>
      <c r="EV65" s="43"/>
      <c r="EW65" s="43"/>
      <c r="EX65" s="43"/>
      <c r="EY65" s="43"/>
      <c r="EZ65" s="43"/>
      <c r="FA65" s="43"/>
      <c r="FB65" s="43"/>
      <c r="FC65" s="43"/>
    </row>
    <row r="66" ht="18.0" customHeight="1">
      <c r="A66" s="2"/>
      <c r="B66" s="22" t="str">
        <f>IFERROR(VLOOKUP(C66,'Реестр'!C:AC,27,0)," ")</f>
        <v>Биг-Л</v>
      </c>
      <c r="C66" s="43" t="s">
        <v>1203</v>
      </c>
      <c r="D66" s="22" t="str">
        <f>IFERROR(VLOOKUP(C66,'Лист4'!D:P,13,0)," ")</f>
        <v>qeep</v>
      </c>
      <c r="E66" s="22" t="str">
        <f>IF(OR(ISERROR(VLOOKUP(C66,'Актуальность'!A:B,2,0)), VLOOKUP(C66,'Актуальность'!A:B,2,0)=""), "Актуальный", VLOOKUP(C66,'Актуальность'!A:B,2,0))</f>
        <v>Актуальный</v>
      </c>
      <c r="F66" s="43" t="str">
        <f>IFERROR(VLOOKUP(C66,'Актуальность'!A:C,3,0)," ")</f>
        <v/>
      </c>
      <c r="G66" s="43"/>
      <c r="H66" s="22" t="s">
        <v>361</v>
      </c>
      <c r="I66" s="22" t="s">
        <v>1027</v>
      </c>
      <c r="J66" s="43"/>
      <c r="K66" s="43"/>
      <c r="L66" s="22" t="b">
        <f t="shared" ref="L66:R66" si="62">T66&lt;&gt;""</f>
        <v>1</v>
      </c>
      <c r="M66" s="22" t="b">
        <f t="shared" si="62"/>
        <v>1</v>
      </c>
      <c r="N66" s="22" t="b">
        <f t="shared" si="62"/>
        <v>1</v>
      </c>
      <c r="O66" s="22" t="b">
        <f t="shared" si="62"/>
        <v>1</v>
      </c>
      <c r="P66" s="22" t="b">
        <f t="shared" si="62"/>
        <v>1</v>
      </c>
      <c r="Q66" s="22" t="b">
        <f t="shared" si="62"/>
        <v>0</v>
      </c>
      <c r="R66" s="22" t="b">
        <f t="shared" si="62"/>
        <v>0</v>
      </c>
      <c r="S66" s="43"/>
      <c r="T66" s="43" t="str">
        <f>IFERROR(VLOOKUP( C66,'1С'!A:B,2,0)," ")</f>
        <v>QB101100457</v>
      </c>
      <c r="U66" s="22" t="str">
        <f>IFERROR(VLOOKUP(T66,'Лист4'!C:I,3,0)," ")</f>
        <v>qeepcurcumin</v>
      </c>
      <c r="V66" s="22" t="str">
        <f>IFERROR(VLOOKUP(T66,'Лист4'!C:I,4,0)," ")</f>
        <v>qeepcurcumin</v>
      </c>
      <c r="W66" s="22" t="str">
        <f>IFERROR(VLOOKUP(T66,'Лист4'!C:I,5,0)," ")</f>
        <v>qeepcurcumin</v>
      </c>
      <c r="X66" s="43" t="str">
        <f>IFERROR(VLOOKUP(T66,'Лист4'!C:I,7,0)," ")</f>
        <v>qeepcurcumin</v>
      </c>
      <c r="Y66" s="43" t="str">
        <f>IFERROR(VLOOKUP(T66,'Лист4'!C:I,6,0)," ")</f>
        <v/>
      </c>
      <c r="Z66" s="43"/>
      <c r="AA66" s="43"/>
      <c r="AB66" s="22">
        <v>9.1969213E7</v>
      </c>
      <c r="AC66" s="22">
        <v>6.50726667E8</v>
      </c>
      <c r="AD66" s="22">
        <v>1.0180513027E11</v>
      </c>
      <c r="AE66" s="22">
        <v>9.9000119614E10</v>
      </c>
      <c r="AF66" s="22"/>
      <c r="AG66" s="43"/>
      <c r="AH66" s="43"/>
      <c r="AI66" s="43" t="str">
        <f>IFERROR(VLOOKUP(T66,'1С'!B:C,2,0)," ")</f>
        <v>БАД Куркумин 130 мг ,qeep, 60 капсул</v>
      </c>
      <c r="AJ66" s="22" t="s">
        <v>1103</v>
      </c>
      <c r="AK66" s="22" t="s">
        <v>1206</v>
      </c>
      <c r="AL66" s="22" t="s">
        <v>1207</v>
      </c>
      <c r="AM66" s="22" t="s">
        <v>1208</v>
      </c>
      <c r="AN66" s="43"/>
      <c r="AO66" s="43"/>
      <c r="AP66" s="43"/>
      <c r="AQ66" s="46" t="s">
        <v>1209</v>
      </c>
      <c r="AR66" s="46" t="s">
        <v>1210</v>
      </c>
      <c r="AS66" s="46" t="s">
        <v>1211</v>
      </c>
      <c r="AT66" s="43"/>
      <c r="AU66" s="43"/>
      <c r="AV66" s="43"/>
      <c r="AW66" s="43"/>
      <c r="AX66" s="22" t="s">
        <v>361</v>
      </c>
      <c r="AY66" s="22" t="s">
        <v>1206</v>
      </c>
      <c r="AZ66" s="22" t="s">
        <v>372</v>
      </c>
      <c r="BA66" s="22" t="s">
        <v>778</v>
      </c>
      <c r="BB66" s="43"/>
      <c r="BC66" s="43"/>
      <c r="BD66" s="43"/>
      <c r="BE66" s="43"/>
      <c r="BF66" s="22" t="str">
        <f>IFERROR(VLOOKUP(C66,'спецификация'!B:D,3,0)," ")</f>
        <v>4630040228513</v>
      </c>
      <c r="BG66" s="22">
        <v>2.106909808E9</v>
      </c>
      <c r="BH66" s="22" t="str">
        <f>IFERROR(VLOOKUP(C66,'спецификация'!B:AA,5,0)," ")</f>
        <v>RU.77.99.11.003.R.000532.02.21</v>
      </c>
      <c r="BI66" s="22"/>
      <c r="BJ66" s="22" t="str">
        <f>IFERROR(VLOOKUP(C66,'спецификация'!B:AA,6,0)," ")</f>
        <v>ЧЗ</v>
      </c>
      <c r="BK66" s="43"/>
      <c r="BL66" s="43"/>
      <c r="BM66" s="22" t="str">
        <f>IFERROR(VLOOKUP(BF66,'спецификация'!D:H,5,0)," ")</f>
        <v>масло зародышей пшеницы, капсула желатиновая (желатин (носитель), глицерин (агент влагоудерживающий)), кишечнорастворимая оболочка капсулы (колликут (носитель), трикальций фосфат (носитель), кальциевая соль стеариновой кислоты (агент антислеживающий), поливинилпирролидон  (загуститель), красители: оксид железа жёлтый, оксид железа красный), куркумы экстракт, диоксид кремния (носитель), биоперин (экстракт чёрного перца), антиокислитель «Гриндокс 539» (аскорбилпальмитат, натуральные токоферолы, лецитин, рапсовое масло). </v>
      </c>
      <c r="BN66" s="43"/>
      <c r="BO66" s="22" t="str">
        <f>IFERROR(VLOOKUP(C66,'спецификация'!B:AA,10,0)," ")</f>
        <v>взрослым по 1 капсуле 2 раза в день во время еды. Продолжительность приема 1 месяц. При необходимости прием можно повторить.</v>
      </c>
      <c r="BP66" s="43" t="str">
        <f>IFERROR(VLOOKUP(C66,'спецификация'!B:AA,11,0),"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66" s="22" t="str">
        <f>IFERROR(VLOOKUP(C66,'спецификация'!B:AA,12,0)," ")</f>
        <v>в недоступном для детей месте, при температуре от 15 до 25 ºС и относительной влажности воздуха не более 60%.
</v>
      </c>
      <c r="BR66" s="22">
        <v>60.0</v>
      </c>
      <c r="BS66" s="22" t="s">
        <v>421</v>
      </c>
      <c r="BT66" s="22"/>
      <c r="BU66" s="22"/>
      <c r="BV66" s="22" t="s">
        <v>307</v>
      </c>
      <c r="BW66" s="44" t="str">
        <f>IFERROR(VLOOKUP(C66,'спецификация'!B:AA,16,0)," ")</f>
        <v>https://docs.google.com/document/d/1rStD9LfL8-lXmrG3ZPI5ROlPQ0F8vM2gcY5G8YsGYYU/edit?usp=sharing</v>
      </c>
      <c r="BX66" s="43"/>
      <c r="BY66" s="43"/>
      <c r="BZ66" s="44" t="str">
        <f>IFERROR(VLOOKUP(BF66,'спецификация'!D:Y,22,0)," ")</f>
        <v>https://drive.google.com/drive/u/0/folders/1EWl76TX-ujF2rrg9uGzYgfUiQRWYoFhB</v>
      </c>
      <c r="CA66" s="43"/>
      <c r="CB66" s="43"/>
      <c r="CC66" s="43"/>
      <c r="CD66" s="43"/>
      <c r="CE66" s="43"/>
      <c r="CF66" s="43"/>
      <c r="CG66" s="49">
        <f>IFERROR(VLOOKUP(C66,CC!A:D,4,0)," ")</f>
        <v>236.59</v>
      </c>
      <c r="CH66" s="22" t="str">
        <f>IFERROR(VLOOKUP(C66,'спецификация'!B:AA,19,0)," ")</f>
        <v>ООО «Сибфармконтракт», Россия, 634034, г. Томск, ул. Нахимова 8, стр. 11.
По заказу (организация, уполномоченная принимать претензии от потребителя): ООО «Биг-Л», 127473, Россия, г. Москва, Переулок Самотёчный 1-й, д. 15, cтр. 1, этаж подвал № 0, помещ. I, ком. 1, офис 1,</v>
      </c>
      <c r="CI66" s="22"/>
      <c r="CJ66" s="22" t="s">
        <v>562</v>
      </c>
      <c r="CK66" s="22" t="str">
        <f>IFERROR(VLOOKUP(C66,CC!K:M,3,0)," ")</f>
        <v> </v>
      </c>
      <c r="CL66" s="43"/>
      <c r="CM66" s="43"/>
      <c r="CN66" s="43"/>
      <c r="CO66" s="43"/>
      <c r="CP66" s="43"/>
      <c r="CQ66" s="43"/>
      <c r="CR66" s="43"/>
      <c r="CS66" s="43" t="b">
        <v>0</v>
      </c>
      <c r="CT66" s="43" t="b">
        <v>0</v>
      </c>
      <c r="CU66" s="43" t="b">
        <v>0</v>
      </c>
      <c r="CV66" s="43" t="b">
        <v>0</v>
      </c>
      <c r="CW66" s="43"/>
      <c r="CX66" s="43"/>
      <c r="CY66" s="43"/>
      <c r="CZ66" s="43"/>
      <c r="DA66" s="43"/>
      <c r="DB66" s="43"/>
      <c r="DC66" s="43"/>
      <c r="DD66" s="22">
        <f>IFERROR(VLOOKUP($C66,'Лист4'!$D:$AI,27,0)," ")</f>
        <v>5</v>
      </c>
      <c r="DE66" s="22">
        <f>IFERROR(VLOOKUP($C66,'Лист4'!$D:$AI,28,0)," ")</f>
        <v>9</v>
      </c>
      <c r="DF66" s="22">
        <f>IFERROR(VLOOKUP($C66,'Лист4'!$D:$AI,29,0)," ")</f>
        <v>5</v>
      </c>
      <c r="DG66" s="22">
        <f t="shared" si="3"/>
        <v>225</v>
      </c>
      <c r="DH66" s="22">
        <f>IFERROR(VLOOKUP($C66,'Лист4'!$D:$AI,32,0)," ")</f>
        <v>0.073</v>
      </c>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43"/>
      <c r="EN66" s="43"/>
      <c r="EO66" s="43"/>
      <c r="EP66" s="43"/>
      <c r="EQ66" s="43"/>
      <c r="ER66" s="43"/>
      <c r="ES66" s="43"/>
      <c r="ET66" s="43"/>
      <c r="EU66" s="43"/>
      <c r="EV66" s="43"/>
      <c r="EW66" s="43"/>
      <c r="EX66" s="43"/>
      <c r="EY66" s="43"/>
      <c r="EZ66" s="43"/>
      <c r="FA66" s="43"/>
      <c r="FB66" s="43"/>
      <c r="FC66" s="43"/>
    </row>
    <row r="67" ht="18.0" customHeight="1">
      <c r="A67" s="2"/>
      <c r="B67" s="22" t="str">
        <f>IFERROR(VLOOKUP(C67,'Реестр'!C:AC,27,0)," ")</f>
        <v>Биг-Л</v>
      </c>
      <c r="C67" s="43" t="s">
        <v>1220</v>
      </c>
      <c r="D67" s="22" t="str">
        <f>IFERROR(VLOOKUP(C67,'Лист4'!D:P,13,0)," ")</f>
        <v>qeep</v>
      </c>
      <c r="E67" s="22" t="str">
        <f>IF(OR(ISERROR(VLOOKUP(C67,'Актуальность'!A:B,2,0)), VLOOKUP(C67,'Актуальность'!A:B,2,0)=""), "Актуальный", VLOOKUP(C67,'Актуальность'!A:B,2,0))</f>
        <v>Вывод</v>
      </c>
      <c r="F67" s="43" t="str">
        <f>IFERROR(VLOOKUP(C67,'Актуальность'!A:C,3,0)," ")</f>
        <v>Узкий рынок</v>
      </c>
      <c r="G67" s="43"/>
      <c r="H67" s="22" t="s">
        <v>361</v>
      </c>
      <c r="I67" s="22" t="s">
        <v>1027</v>
      </c>
      <c r="J67" s="43"/>
      <c r="K67" s="43"/>
      <c r="L67" s="22" t="b">
        <f t="shared" ref="L67:R67" si="63">T67&lt;&gt;""</f>
        <v>1</v>
      </c>
      <c r="M67" s="22" t="b">
        <f t="shared" si="63"/>
        <v>1</v>
      </c>
      <c r="N67" s="22" t="b">
        <f t="shared" si="63"/>
        <v>1</v>
      </c>
      <c r="O67" s="22" t="b">
        <f t="shared" si="63"/>
        <v>1</v>
      </c>
      <c r="P67" s="22" t="b">
        <f t="shared" si="63"/>
        <v>1</v>
      </c>
      <c r="Q67" s="22" t="b">
        <f t="shared" si="63"/>
        <v>0</v>
      </c>
      <c r="R67" s="22" t="b">
        <f t="shared" si="63"/>
        <v>0</v>
      </c>
      <c r="S67" s="43"/>
      <c r="T67" s="43" t="str">
        <f>IFERROR(VLOOKUP( C67,'1С'!A:B,2,0)," ")</f>
        <v>QB101100407</v>
      </c>
      <c r="U67" s="22" t="str">
        <f>IFERROR(VLOOKUP(T67,'Лист4'!C:I,3,0)," ")</f>
        <v>qeep_vitaminA_90caps</v>
      </c>
      <c r="V67" s="22" t="str">
        <f>IFERROR(VLOOKUP(T67,'Лист4'!C:I,4,0)," ")</f>
        <v>qeep_vitaminA_90caps</v>
      </c>
      <c r="W67" s="22" t="str">
        <f>IFERROR(VLOOKUP(T67,'Лист4'!C:I,5,0)," ")</f>
        <v>qeep_vitaminA_90caps</v>
      </c>
      <c r="X67" s="43" t="str">
        <f>IFERROR(VLOOKUP(T67,'Лист4'!C:I,7,0)," ")</f>
        <v>qeep_vitaminA_90caps</v>
      </c>
      <c r="Y67" s="43" t="str">
        <f>IFERROR(VLOOKUP(T67,'Лист4'!C:I,6,0)," ")</f>
        <v/>
      </c>
      <c r="Z67" s="43"/>
      <c r="AA67" s="43"/>
      <c r="AB67" s="22">
        <v>2.21232387E8</v>
      </c>
      <c r="AC67" s="22">
        <v>1.539152458E9</v>
      </c>
      <c r="AD67" s="22">
        <v>1.03398256607E11</v>
      </c>
      <c r="AE67" s="22">
        <v>9.9000118343E10</v>
      </c>
      <c r="AF67" s="22"/>
      <c r="AG67" s="43"/>
      <c r="AH67" s="43"/>
      <c r="AI67" s="43" t="str">
        <f>IFERROR(VLOOKUP(T67,'1С'!B:C,2,0)," ")</f>
        <v>БАД Витамин А 10000 МЕ ,qeep, 90 капсул</v>
      </c>
      <c r="AJ67" s="22" t="s">
        <v>1223</v>
      </c>
      <c r="AK67" s="22" t="s">
        <v>1224</v>
      </c>
      <c r="AL67" s="22" t="s">
        <v>1225</v>
      </c>
      <c r="AM67" s="22" t="s">
        <v>1226</v>
      </c>
      <c r="AN67" s="43"/>
      <c r="AO67" s="43"/>
      <c r="AP67" s="43"/>
      <c r="AQ67" s="46" t="s">
        <v>1227</v>
      </c>
      <c r="AR67" s="46" t="s">
        <v>1228</v>
      </c>
      <c r="AS67" s="46" t="s">
        <v>1229</v>
      </c>
      <c r="AT67" s="43"/>
      <c r="AU67" s="43"/>
      <c r="AV67" s="43"/>
      <c r="AW67" s="43"/>
      <c r="AX67" s="22" t="s">
        <v>361</v>
      </c>
      <c r="AY67" s="22" t="s">
        <v>1224</v>
      </c>
      <c r="AZ67" s="22" t="s">
        <v>372</v>
      </c>
      <c r="BA67" s="22" t="s">
        <v>778</v>
      </c>
      <c r="BB67" s="43"/>
      <c r="BC67" s="43"/>
      <c r="BD67" s="43"/>
      <c r="BE67" s="43"/>
      <c r="BF67" s="22">
        <f>IFERROR(VLOOKUP(C67,'спецификация'!B:D,3,0)," ")</f>
        <v>4670227412809</v>
      </c>
      <c r="BG67" s="22">
        <v>2.106909808E9</v>
      </c>
      <c r="BH67" s="22" t="str">
        <f>IFERROR(VLOOKUP(C67,'спецификация'!B:AA,5,0)," ")</f>
        <v>AM.01.04.01.003.R.000138.08.23 от 01.08.2023 г.</v>
      </c>
      <c r="BI67" s="46" t="s">
        <v>1231</v>
      </c>
      <c r="BJ67" s="22" t="str">
        <f>IFERROR(VLOOKUP(C67,'спецификация'!B:AA,6,0)," ")</f>
        <v>ЧЗ</v>
      </c>
      <c r="BK67" s="43"/>
      <c r="BL67" s="43"/>
      <c r="BM67" s="22" t="str">
        <f>IFERROR(VLOOKUP(BF67,'спецификация'!D:H,5,0)," ")</f>
        <v>ретинола пальмитат (витамин А), подсолнечное масло , оболочка (желатин (халяль), глицерин (загуститель), вода).</v>
      </c>
      <c r="BN67" s="43"/>
      <c r="BO67" s="22" t="str">
        <f>IFERROR(VLOOKUP(C67,'спецификация'!B:AA,10,0)," ")</f>
        <v>принимать по 1 капсуле 1 раз в день во время еды, запивая обильным количеством воды. Продолжительность приема: не менее 2 месяцев. При необходимости прием можно повторить. </v>
      </c>
      <c r="BP67" s="22" t="s">
        <v>557</v>
      </c>
      <c r="BQ67" s="22" t="str">
        <f>IFERROR(VLOOKUP(C67,'спецификация'!B:AA,12,0)," ")</f>
        <v>хранить в сухом, недоступном для детей месте, при температуре от +5 °С до +25 °С.</v>
      </c>
      <c r="BR67" s="22">
        <v>90.0</v>
      </c>
      <c r="BS67" s="22" t="s">
        <v>492</v>
      </c>
      <c r="BT67" s="43"/>
      <c r="BU67" s="22"/>
      <c r="BV67" s="22" t="s">
        <v>307</v>
      </c>
      <c r="BW67" s="44" t="str">
        <f>IFERROR(VLOOKUP(C67,'спецификация'!B:AA,16,0)," ")</f>
        <v>https://docs.google.com/document/d/1mfpemUGhIQRQEuoZ32gQ2rCwimfFTw4Xca3WX3j3_rE/edit?usp=sharing</v>
      </c>
      <c r="BX67" s="43"/>
      <c r="BY67" s="43"/>
      <c r="BZ67" s="45" t="str">
        <f>IFERROR(VLOOKUP(BF67,'спецификация'!D:Y,22,0)," ")</f>
        <v/>
      </c>
      <c r="CA67" s="43"/>
      <c r="CB67" s="43"/>
      <c r="CC67" s="43"/>
      <c r="CD67" s="43"/>
      <c r="CE67" s="43"/>
      <c r="CF67" s="43"/>
      <c r="CG67" s="49">
        <f>IFERROR(VLOOKUP(C67,CC!A:D,4,0)," ")</f>
        <v>190</v>
      </c>
      <c r="CH67" s="22" t="str">
        <f>IFERROR(VLOOKUP(C67,'спецификация'!B:AA,19,0)," ")</f>
        <v>ООО «Жива Продукт ПРО». 350062, Россия, Краснодарский край, город Краснодар, улица Казбекская, дом 17, кв. (оф.) 85</v>
      </c>
      <c r="CI67" s="22"/>
      <c r="CJ67" s="22" t="s">
        <v>495</v>
      </c>
      <c r="CK67" s="22">
        <f>IFERROR(VLOOKUP(C67,CC!K:M,3,0)," ")</f>
        <v>60</v>
      </c>
      <c r="CL67" s="43"/>
      <c r="CM67" s="43"/>
      <c r="CN67" s="43"/>
      <c r="CO67" s="43"/>
      <c r="CP67" s="43"/>
      <c r="CQ67" s="43"/>
      <c r="CR67" s="43"/>
      <c r="CS67" s="43" t="b">
        <v>0</v>
      </c>
      <c r="CT67" s="43" t="b">
        <v>0</v>
      </c>
      <c r="CU67" s="43" t="b">
        <v>0</v>
      </c>
      <c r="CV67" s="43" t="b">
        <v>0</v>
      </c>
      <c r="CW67" s="43"/>
      <c r="CX67" s="43"/>
      <c r="CY67" s="43"/>
      <c r="CZ67" s="43"/>
      <c r="DA67" s="43"/>
      <c r="DB67" s="43"/>
      <c r="DC67" s="43"/>
      <c r="DD67" s="22">
        <f>IFERROR(VLOOKUP($C67,'Лист4'!$D:$AI,27,0)," ")</f>
        <v>5</v>
      </c>
      <c r="DE67" s="22">
        <f>IFERROR(VLOOKUP($C67,'Лист4'!$D:$AI,28,0)," ")</f>
        <v>5</v>
      </c>
      <c r="DF67" s="22">
        <f>IFERROR(VLOOKUP($C67,'Лист4'!$D:$AI,29,0)," ")</f>
        <v>5</v>
      </c>
      <c r="DG67" s="22">
        <f t="shared" si="3"/>
        <v>125</v>
      </c>
      <c r="DH67" s="22">
        <f>IFERROR(VLOOKUP($C67,'Лист4'!$D:$AI,32,0)," ")</f>
        <v>0.058</v>
      </c>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43"/>
      <c r="EN67" s="43"/>
      <c r="EO67" s="43"/>
      <c r="EP67" s="43"/>
      <c r="EQ67" s="43"/>
      <c r="ER67" s="43"/>
      <c r="ES67" s="43"/>
      <c r="ET67" s="43"/>
      <c r="EU67" s="43"/>
      <c r="EV67" s="43"/>
      <c r="EW67" s="43"/>
      <c r="EX67" s="43"/>
      <c r="EY67" s="43"/>
      <c r="EZ67" s="43"/>
      <c r="FA67" s="43"/>
      <c r="FB67" s="43"/>
      <c r="FC67" s="43"/>
    </row>
    <row r="68" ht="18.0" customHeight="1">
      <c r="A68" s="2"/>
      <c r="B68" s="22" t="str">
        <f>IFERROR(VLOOKUP(C68,'Реестр'!C:AC,27,0)," ")</f>
        <v>Биг-Л</v>
      </c>
      <c r="C68" s="43" t="s">
        <v>1235</v>
      </c>
      <c r="D68" s="22" t="str">
        <f>IFERROR(VLOOKUP(C68,'Лист4'!D:P,13,0)," ")</f>
        <v>Harly</v>
      </c>
      <c r="E68" s="22" t="str">
        <f>IF(OR(ISERROR(VLOOKUP(C68,'Актуальность'!A:B,2,0)), VLOOKUP(C68,'Актуальность'!A:B,2,0)=""), "Актуальный", VLOOKUP(C68,'Актуальность'!A:B,2,0))</f>
        <v>Актуальный</v>
      </c>
      <c r="F68" s="43" t="str">
        <f>IFERROR(VLOOKUP(C68,'Актуальность'!A:C,3,0)," ")</f>
        <v/>
      </c>
      <c r="G68" s="43"/>
      <c r="H68" s="22" t="s">
        <v>443</v>
      </c>
      <c r="I68" s="22" t="s">
        <v>1237</v>
      </c>
      <c r="J68" s="43"/>
      <c r="K68" s="43"/>
      <c r="L68" s="22" t="b">
        <f t="shared" ref="L68:R68" si="64">T68&lt;&gt;""</f>
        <v>1</v>
      </c>
      <c r="M68" s="22" t="b">
        <f t="shared" si="64"/>
        <v>1</v>
      </c>
      <c r="N68" s="22" t="b">
        <f t="shared" si="64"/>
        <v>1</v>
      </c>
      <c r="O68" s="22" t="b">
        <f t="shared" si="64"/>
        <v>1</v>
      </c>
      <c r="P68" s="22" t="b">
        <f t="shared" si="64"/>
        <v>0</v>
      </c>
      <c r="Q68" s="22" t="b">
        <f t="shared" si="64"/>
        <v>0</v>
      </c>
      <c r="R68" s="22" t="b">
        <f t="shared" si="64"/>
        <v>0</v>
      </c>
      <c r="S68" s="43"/>
      <c r="T68" s="43" t="str">
        <f>IFERROR(VLOOKUP( C68,'1С'!A:B,2,0)," ")</f>
        <v>HC101100404</v>
      </c>
      <c r="U68" s="22" t="str">
        <f>IFERROR(VLOOKUP(T68,'Лист4'!C:I,3,0)," ")</f>
        <v>harly_ear_drops</v>
      </c>
      <c r="V68" s="22" t="str">
        <f>IFERROR(VLOOKUP(T68,'Лист4'!C:I,4,0)," ")</f>
        <v>harly_ear_drops</v>
      </c>
      <c r="W68" s="22" t="str">
        <f>IFERROR(VLOOKUP(T68,'Лист4'!C:I,5,0)," ")</f>
        <v>harly_ear_drops</v>
      </c>
      <c r="X68" s="43" t="str">
        <f>IFERROR(VLOOKUP(T68,'Лист4'!C:I,7,0)," ")</f>
        <v/>
      </c>
      <c r="Y68" s="43" t="str">
        <f>IFERROR(VLOOKUP(T68,'Лист4'!C:I,6,0)," ")</f>
        <v/>
      </c>
      <c r="Z68" s="43"/>
      <c r="AA68" s="43"/>
      <c r="AB68" s="22">
        <v>2.32451654E8</v>
      </c>
      <c r="AC68" s="22">
        <v>1.580754644E9</v>
      </c>
      <c r="AD68" s="22">
        <v>1.0339700266E11</v>
      </c>
      <c r="AE68" s="22"/>
      <c r="AF68" s="22"/>
      <c r="AG68" s="43"/>
      <c r="AH68" s="43"/>
      <c r="AI68" s="43" t="str">
        <f>IFERROR(VLOOKUP(T68,'1С'!B:C,2,0)," ")</f>
        <v>Капли ушные для собак и кошек, Harly, 10 мл</v>
      </c>
      <c r="AJ68" s="22" t="s">
        <v>1239</v>
      </c>
      <c r="AK68" s="22" t="s">
        <v>1240</v>
      </c>
      <c r="AL68" s="22" t="s">
        <v>1241</v>
      </c>
      <c r="AM68" s="43"/>
      <c r="AN68" s="43"/>
      <c r="AO68" s="43"/>
      <c r="AP68" s="43"/>
      <c r="AQ68" s="46" t="s">
        <v>1242</v>
      </c>
      <c r="AR68" s="46" t="s">
        <v>1243</v>
      </c>
      <c r="AS68" s="46" t="s">
        <v>1244</v>
      </c>
      <c r="AT68" s="43"/>
      <c r="AU68" s="43"/>
      <c r="AV68" s="43"/>
      <c r="AW68" s="43"/>
      <c r="AX68" s="22" t="s">
        <v>1245</v>
      </c>
      <c r="AY68" s="22" t="s">
        <v>1240</v>
      </c>
      <c r="AZ68" s="22" t="s">
        <v>1246</v>
      </c>
      <c r="BA68" s="43"/>
      <c r="BB68" s="43"/>
      <c r="BC68" s="43"/>
      <c r="BD68" s="43"/>
      <c r="BE68" s="43"/>
      <c r="BF68" s="22">
        <f>IFERROR(VLOOKUP(C68,'спецификация'!B:D,3,0)," ")</f>
        <v>4605543012839</v>
      </c>
      <c r="BG68" s="22">
        <v>3.004900002E9</v>
      </c>
      <c r="BH68" s="22" t="str">
        <f>IFERROR(VLOOKUP(C68,'спецификация'!B:AA,5,0)," ")</f>
        <v>101-КС/177 от 12.02.2024</v>
      </c>
      <c r="BI68" s="46" t="s">
        <v>1248</v>
      </c>
      <c r="BJ68" s="22" t="str">
        <f>IFERROR(VLOOKUP(C68,'спецификация'!B:AA,6,0)," ")</f>
        <v>меркурий</v>
      </c>
      <c r="BK68" s="43"/>
      <c r="BL68" s="43"/>
      <c r="BM68" s="22" t="str">
        <f>IFERROR(VLOOKUP(BF68,'спецификация'!D:H,5,0)," ")</f>
        <v>фитокомплекс, являющийся водным извлечением из растительного сырья: пижмы обыкновенной цветков, чабреца травы, душицы обыкновенной травы, полыни горькой травы, фиалки травы, клевера лугового (красного) цветков, бузины черной цветков, коровяка травы, сосны обыкновенной почек, чеснока; сосны масло эфирное; полиэтилен_x0002_гликоль низкомолекулярный (ПЭГ-400).</v>
      </c>
      <c r="BN68" s="43"/>
      <c r="BO68" s="22" t="s">
        <v>1250</v>
      </c>
      <c r="BP68" s="43" t="str">
        <f>IFERROR(VLOOKUP(C68,'спецификация'!B:AA,11,0)," ")</f>
        <v/>
      </c>
      <c r="BQ68" s="22" t="str">
        <f>IFERROR(VLOOKUP(C68,'спецификация'!B:AA,12,0)," ")</f>
        <v>Хранить при температуре от 0 до 25 ºС. </v>
      </c>
      <c r="BR68" s="22">
        <v>10.0</v>
      </c>
      <c r="BS68" s="22" t="s">
        <v>139</v>
      </c>
      <c r="BT68" s="22"/>
      <c r="BU68" s="22"/>
      <c r="BV68" s="22" t="s">
        <v>307</v>
      </c>
      <c r="BW68" s="44" t="str">
        <f>IFERROR(VLOOKUP(C68,'спецификация'!B:AA,16,0)," ")</f>
        <v>https://docs.google.com/document/d/1GdCWCyPa4bcipNFAIH4NvwAVmBhk2ovQZCl96DiCB6g/edit</v>
      </c>
      <c r="BX68" s="43"/>
      <c r="BY68" s="43"/>
      <c r="BZ68" s="45" t="str">
        <f>IFERROR(VLOOKUP(BF68,'спецификация'!D:Y,22,0)," ")</f>
        <v/>
      </c>
      <c r="CA68" s="43"/>
      <c r="CB68" s="43"/>
      <c r="CC68" s="43"/>
      <c r="CD68" s="43"/>
      <c r="CE68" s="43"/>
      <c r="CF68" s="43"/>
      <c r="CG68" s="49">
        <f>IFERROR(VLOOKUP(C68,CC!A:D,4,0)," ")</f>
        <v>55.98</v>
      </c>
      <c r="CH68" s="22" t="str">
        <f>IFERROR(VLOOKUP(C68,'спецификация'!B:AA,19,0)," ")</f>
        <v>ООО "ВЕДА"</v>
      </c>
      <c r="CI68" s="22"/>
      <c r="CJ68" s="22" t="s">
        <v>168</v>
      </c>
      <c r="CK68" s="22">
        <f>IFERROR(VLOOKUP(C68,CC!K:M,3,0)," ")</f>
        <v>30</v>
      </c>
      <c r="CL68" s="43"/>
      <c r="CM68" s="43"/>
      <c r="CN68" s="43"/>
      <c r="CO68" s="43"/>
      <c r="CP68" s="43"/>
      <c r="CQ68" s="43"/>
      <c r="CR68" s="43"/>
      <c r="CS68" s="43" t="b">
        <v>0</v>
      </c>
      <c r="CT68" s="43" t="b">
        <v>0</v>
      </c>
      <c r="CU68" s="43" t="b">
        <v>0</v>
      </c>
      <c r="CV68" s="43" t="b">
        <v>0</v>
      </c>
      <c r="CW68" s="43"/>
      <c r="CX68" s="43"/>
      <c r="CY68" s="43"/>
      <c r="CZ68" s="43"/>
      <c r="DA68" s="43"/>
      <c r="DB68" s="43"/>
      <c r="DC68" s="43"/>
      <c r="DD68" s="22">
        <f>IFERROR(VLOOKUP($C68,'Лист4'!$D:$AI,27,0)," ")</f>
        <v>8</v>
      </c>
      <c r="DE68" s="22">
        <f>IFERROR(VLOOKUP($C68,'Лист4'!$D:$AI,28,0)," ")</f>
        <v>4</v>
      </c>
      <c r="DF68" s="22">
        <f>IFERROR(VLOOKUP($C68,'Лист4'!$D:$AI,29,0)," ")</f>
        <v>8</v>
      </c>
      <c r="DG68" s="22">
        <f t="shared" si="3"/>
        <v>256</v>
      </c>
      <c r="DH68" s="22">
        <f>IFERROR(VLOOKUP($C68,'Лист4'!$D:$AI,32,0)," ")</f>
        <v>0.026</v>
      </c>
      <c r="DI68" s="22"/>
      <c r="DJ68" s="22"/>
      <c r="DK68" s="22"/>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43"/>
      <c r="EN68" s="43"/>
      <c r="EO68" s="43"/>
      <c r="EP68" s="43"/>
      <c r="EQ68" s="43"/>
      <c r="ER68" s="43"/>
      <c r="ES68" s="43"/>
      <c r="ET68" s="43"/>
      <c r="EU68" s="43"/>
      <c r="EV68" s="43"/>
      <c r="EW68" s="43"/>
      <c r="EX68" s="43"/>
      <c r="EY68" s="43"/>
      <c r="EZ68" s="43"/>
      <c r="FA68" s="43"/>
      <c r="FB68" s="43"/>
      <c r="FC68" s="43"/>
    </row>
    <row r="69" ht="18.0" customHeight="1">
      <c r="A69" s="2"/>
      <c r="B69" s="22" t="str">
        <f>IFERROR(VLOOKUP(C69,'Реестр'!C:AC,27,0)," ")</f>
        <v>Биг-Л</v>
      </c>
      <c r="C69" s="43" t="s">
        <v>1253</v>
      </c>
      <c r="D69" s="22" t="str">
        <f>IFERROR(VLOOKUP(C69,'Лист4'!D:P,13,0)," ")</f>
        <v>Harly</v>
      </c>
      <c r="E69" s="22" t="str">
        <f>IF(OR(ISERROR(VLOOKUP(C69,'Актуальность'!A:B,2,0)), VLOOKUP(C69,'Актуальность'!A:B,2,0)=""), "Актуальный", VLOOKUP(C69,'Актуальность'!A:B,2,0))</f>
        <v>Актуальный</v>
      </c>
      <c r="F69" s="43" t="str">
        <f>IFERROR(VLOOKUP(C69,'Актуальность'!A:C,3,0)," ")</f>
        <v/>
      </c>
      <c r="G69" s="43"/>
      <c r="H69" s="22" t="s">
        <v>443</v>
      </c>
      <c r="I69" s="22" t="s">
        <v>1237</v>
      </c>
      <c r="J69" s="43"/>
      <c r="K69" s="43"/>
      <c r="L69" s="22" t="b">
        <f t="shared" ref="L69:R69" si="65">T69&lt;&gt;""</f>
        <v>1</v>
      </c>
      <c r="M69" s="22" t="b">
        <f t="shared" si="65"/>
        <v>1</v>
      </c>
      <c r="N69" s="22" t="b">
        <f t="shared" si="65"/>
        <v>1</v>
      </c>
      <c r="O69" s="22" t="b">
        <f t="shared" si="65"/>
        <v>1</v>
      </c>
      <c r="P69" s="22" t="b">
        <f t="shared" si="65"/>
        <v>0</v>
      </c>
      <c r="Q69" s="22" t="b">
        <f t="shared" si="65"/>
        <v>0</v>
      </c>
      <c r="R69" s="22" t="b">
        <f t="shared" si="65"/>
        <v>0</v>
      </c>
      <c r="S69" s="43"/>
      <c r="T69" s="43" t="str">
        <f>IFERROR(VLOOKUP( C69,'1С'!A:B,2,0)," ")</f>
        <v>HC101100405</v>
      </c>
      <c r="U69" s="22" t="str">
        <f>IFERROR(VLOOKUP(T69,'Лист4'!C:I,3,0)," ")</f>
        <v>harly_eye_lotion</v>
      </c>
      <c r="V69" s="22" t="str">
        <f>IFERROR(VLOOKUP(T69,'Лист4'!C:I,4,0)," ")</f>
        <v>harly_eye_lotion</v>
      </c>
      <c r="W69" s="22" t="str">
        <f>IFERROR(VLOOKUP(T69,'Лист4'!C:I,5,0)," ")</f>
        <v>harly_eye_lotion</v>
      </c>
      <c r="X69" s="43" t="str">
        <f>IFERROR(VLOOKUP(T69,'Лист4'!C:I,7,0)," ")</f>
        <v/>
      </c>
      <c r="Y69" s="43" t="str">
        <f>IFERROR(VLOOKUP(T69,'Лист4'!C:I,6,0)," ")</f>
        <v/>
      </c>
      <c r="Z69" s="43"/>
      <c r="AA69" s="43"/>
      <c r="AB69" s="22">
        <v>3.85728241E8</v>
      </c>
      <c r="AC69" s="22">
        <v>2.022703709E9</v>
      </c>
      <c r="AD69" s="22">
        <v>4.335656072E9</v>
      </c>
      <c r="AE69" s="22"/>
      <c r="AF69" s="22"/>
      <c r="AG69" s="43"/>
      <c r="AH69" s="43"/>
      <c r="AI69" s="43" t="str">
        <f>IFERROR(VLOOKUP(T69,'1С'!B:C,2,0)," ")</f>
        <v>Лосьон для глаз собак и кошек ,Harly, 100 мл</v>
      </c>
      <c r="AJ69" s="22" t="s">
        <v>1256</v>
      </c>
      <c r="AK69" s="22" t="s">
        <v>1257</v>
      </c>
      <c r="AL69" s="22" t="s">
        <v>1258</v>
      </c>
      <c r="AM69" s="43"/>
      <c r="AN69" s="43"/>
      <c r="AO69" s="43"/>
      <c r="AP69" s="43"/>
      <c r="AQ69" s="46" t="s">
        <v>1259</v>
      </c>
      <c r="AR69" s="46" t="s">
        <v>1260</v>
      </c>
      <c r="AS69" s="46" t="s">
        <v>1261</v>
      </c>
      <c r="AT69" s="43"/>
      <c r="AU69" s="43"/>
      <c r="AV69" s="43"/>
      <c r="AW69" s="43"/>
      <c r="AX69" s="22" t="s">
        <v>1262</v>
      </c>
      <c r="AY69" s="22" t="s">
        <v>1257</v>
      </c>
      <c r="AZ69" s="22" t="s">
        <v>1246</v>
      </c>
      <c r="BA69" s="43"/>
      <c r="BB69" s="43"/>
      <c r="BC69" s="43"/>
      <c r="BD69" s="43"/>
      <c r="BE69" s="43"/>
      <c r="BF69" s="22">
        <f>IFERROR(VLOOKUP(C69,'спецификация'!B:D,3,0)," ")</f>
        <v>4680201379691</v>
      </c>
      <c r="BG69" s="22">
        <v>3.307900008E9</v>
      </c>
      <c r="BH69" s="22" t="str">
        <f>IFERROR(VLOOKUP(C69,'спецификация'!B:AA,5,0)," ")</f>
        <v>Отказное письмо № ОП/11-0028 от 06.11.2024</v>
      </c>
      <c r="BI69" s="46" t="s">
        <v>1264</v>
      </c>
      <c r="BJ69" s="22" t="s">
        <v>245</v>
      </c>
      <c r="BK69" s="43"/>
      <c r="BL69" s="43"/>
      <c r="BM69" s="22" t="str">
        <f>IFERROR(VLOOKUP(BF69,'спецификация'!D:H,5,0)," ")</f>
        <v>вода, глицерин, экстракт ромашки лекарственной, пропиленгликоль,  борная кислота, аллантоин, таурин, янтарная кислота, метилпарабен, этилпарабен.</v>
      </c>
      <c r="BN69" s="43"/>
      <c r="BO69" s="22" t="s">
        <v>1266</v>
      </c>
      <c r="BP69" s="43" t="str">
        <f>IFERROR(VLOOKUP(C69,'спецификация'!B:AA,11,0)," ")</f>
        <v/>
      </c>
      <c r="BQ69" s="22" t="s">
        <v>1267</v>
      </c>
      <c r="BR69" s="22">
        <v>100.0</v>
      </c>
      <c r="BS69" s="22" t="s">
        <v>139</v>
      </c>
      <c r="BT69" s="22"/>
      <c r="BU69" s="22"/>
      <c r="BV69" s="22" t="s">
        <v>332</v>
      </c>
      <c r="BW69" s="44" t="str">
        <f>IFERROR(VLOOKUP(C69,'спецификация'!B:AA,16,0)," ")</f>
        <v>https://docs.google.com/document/d/17PwOoGHqPHI6M5ganvilfBiDnw2ISH5rbEckpD3GaQw/edit?tab=t.0</v>
      </c>
      <c r="BX69" s="43"/>
      <c r="BY69" s="43"/>
      <c r="BZ69" s="45" t="str">
        <f>IFERROR(VLOOKUP(BF69,'спецификация'!D:Y,22,0)," ")</f>
        <v/>
      </c>
      <c r="CA69" s="43"/>
      <c r="CB69" s="43"/>
      <c r="CC69" s="43"/>
      <c r="CD69" s="43"/>
      <c r="CE69" s="43"/>
      <c r="CF69" s="43"/>
      <c r="CG69" s="49">
        <f>IFERROR(VLOOKUP(C69,CC!A:D,4,0)," ")</f>
        <v>108</v>
      </c>
      <c r="CH69" s="22" t="str">
        <f>IFERROR(VLOOKUP(C69,'спецификация'!B:AA,19,0)," ")</f>
        <v>ООО Терра-пласт</v>
      </c>
      <c r="CI69" s="22"/>
      <c r="CJ69" s="22" t="s">
        <v>251</v>
      </c>
      <c r="CK69" s="22">
        <f>IFERROR(VLOOKUP(C69,CC!K:M,3,0)," ")</f>
        <v>60</v>
      </c>
      <c r="CL69" s="43"/>
      <c r="CM69" s="43"/>
      <c r="CN69" s="43"/>
      <c r="CO69" s="43"/>
      <c r="CP69" s="43"/>
      <c r="CQ69" s="43"/>
      <c r="CR69" s="43"/>
      <c r="CS69" s="43" t="b">
        <v>0</v>
      </c>
      <c r="CT69" s="43" t="b">
        <v>0</v>
      </c>
      <c r="CU69" s="43" t="b">
        <v>0</v>
      </c>
      <c r="CV69" s="43" t="b">
        <v>0</v>
      </c>
      <c r="CW69" s="43"/>
      <c r="CX69" s="43"/>
      <c r="CY69" s="43"/>
      <c r="CZ69" s="43"/>
      <c r="DA69" s="43"/>
      <c r="DB69" s="43"/>
      <c r="DC69" s="43"/>
      <c r="DD69" s="22">
        <f>IFERROR(VLOOKUP($C69,'Лист4'!$D:$AI,27,0)," ")</f>
        <v>4</v>
      </c>
      <c r="DE69" s="22">
        <f>IFERROR(VLOOKUP($C69,'Лист4'!$D:$AI,28,0)," ")</f>
        <v>16</v>
      </c>
      <c r="DF69" s="22">
        <f>IFERROR(VLOOKUP($C69,'Лист4'!$D:$AI,29,0)," ")</f>
        <v>4</v>
      </c>
      <c r="DG69" s="22">
        <f t="shared" si="3"/>
        <v>256</v>
      </c>
      <c r="DH69" s="22">
        <f>IFERROR(VLOOKUP($C69,'Лист4'!$D:$AI,32,0)," ")</f>
        <v>0.126</v>
      </c>
      <c r="DI69" s="22"/>
      <c r="DJ69" s="22"/>
      <c r="DK69" s="22"/>
      <c r="DL69" s="22"/>
      <c r="DM69" s="22"/>
      <c r="DN69" s="22"/>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43"/>
      <c r="EN69" s="43"/>
      <c r="EO69" s="43"/>
      <c r="EP69" s="43"/>
      <c r="EQ69" s="43"/>
      <c r="ER69" s="43"/>
      <c r="ES69" s="43"/>
      <c r="ET69" s="43"/>
      <c r="EU69" s="43"/>
      <c r="EV69" s="43"/>
      <c r="EW69" s="43"/>
      <c r="EX69" s="43"/>
      <c r="EY69" s="43"/>
      <c r="EZ69" s="43"/>
      <c r="FA69" s="43"/>
      <c r="FB69" s="43"/>
      <c r="FC69" s="43"/>
    </row>
    <row r="70" ht="18.0" customHeight="1">
      <c r="A70" s="2"/>
      <c r="B70" s="22" t="str">
        <f>IFERROR(VLOOKUP(C70,'Реестр'!C:AC,27,0)," ")</f>
        <v>Биг-Л</v>
      </c>
      <c r="C70" s="43" t="s">
        <v>1270</v>
      </c>
      <c r="D70" s="22" t="str">
        <f>IFERROR(VLOOKUP(C70,'Лист4'!D:P,13,0)," ")</f>
        <v>qeep</v>
      </c>
      <c r="E70" s="22" t="str">
        <f>IF(OR(ISERROR(VLOOKUP(C70,'Актуальность'!A:B,2,0)), VLOOKUP(C70,'Актуальность'!A:B,2,0)=""), "Актуальный", VLOOKUP(C70,'Актуальность'!A:B,2,0))</f>
        <v>Вывод</v>
      </c>
      <c r="F70" s="43" t="str">
        <f>IFERROR(VLOOKUP(C70,'Актуальность'!A:C,3,0)," ")</f>
        <v/>
      </c>
      <c r="G70" s="43"/>
      <c r="H70" s="22" t="s">
        <v>361</v>
      </c>
      <c r="I70" s="22" t="s">
        <v>1272</v>
      </c>
      <c r="J70" s="43"/>
      <c r="K70" s="43"/>
      <c r="L70" s="22" t="b">
        <f t="shared" ref="L70:R70" si="66">T70&lt;&gt;""</f>
        <v>1</v>
      </c>
      <c r="M70" s="22" t="b">
        <f t="shared" si="66"/>
        <v>1</v>
      </c>
      <c r="N70" s="22" t="b">
        <f t="shared" si="66"/>
        <v>1</v>
      </c>
      <c r="O70" s="22" t="b">
        <f t="shared" si="66"/>
        <v>1</v>
      </c>
      <c r="P70" s="22" t="b">
        <f t="shared" si="66"/>
        <v>0</v>
      </c>
      <c r="Q70" s="22" t="b">
        <f t="shared" si="66"/>
        <v>0</v>
      </c>
      <c r="R70" s="22" t="b">
        <f t="shared" si="66"/>
        <v>0</v>
      </c>
      <c r="S70" s="43"/>
      <c r="T70" s="43" t="str">
        <f>IFERROR(VLOOKUP( C70,'1С'!A:B,2,0)," ")</f>
        <v>QB101100446</v>
      </c>
      <c r="U70" s="22" t="str">
        <f>IFERROR(VLOOKUP(T70,'Лист4'!C:I,3,0)," ")</f>
        <v>qeep_liqCollagen_apple_14shots</v>
      </c>
      <c r="V70" s="22" t="str">
        <f>IFERROR(VLOOKUP(T70,'Лист4'!C:I,4,0)," ")</f>
        <v>qeep_liqCollagen_apple_14shots</v>
      </c>
      <c r="W70" s="22" t="str">
        <f>IFERROR(VLOOKUP(T70,'Лист4'!C:I,5,0)," ")</f>
        <v>qeep_liqCollagen_apple_14shots</v>
      </c>
      <c r="X70" s="43" t="str">
        <f>IFERROR(VLOOKUP(T70,'Лист4'!C:I,7,0)," ")</f>
        <v/>
      </c>
      <c r="Y70" s="43" t="str">
        <f>IFERROR(VLOOKUP(T70,'Лист4'!C:I,6,0)," ")</f>
        <v/>
      </c>
      <c r="Z70" s="43"/>
      <c r="AA70" s="43"/>
      <c r="AB70" s="22">
        <v>2.28329542E8</v>
      </c>
      <c r="AC70" s="22">
        <v>1.56374202E9</v>
      </c>
      <c r="AD70" s="22">
        <v>1.03397906852E11</v>
      </c>
      <c r="AE70" s="22"/>
      <c r="AF70" s="22"/>
      <c r="AG70" s="43"/>
      <c r="AH70" s="43"/>
      <c r="AI70" s="43" t="str">
        <f>IFERROR(VLOOKUP(T70,'1С'!B:C,2,0)," ")</f>
        <v>БАД Коллаген жидкий ,qeep, яблоко 14 шотов по 25 мл</v>
      </c>
      <c r="AJ70" s="22" t="s">
        <v>1274</v>
      </c>
      <c r="AK70" s="22" t="s">
        <v>1275</v>
      </c>
      <c r="AL70" s="22" t="s">
        <v>1275</v>
      </c>
      <c r="AM70" s="43"/>
      <c r="AN70" s="43"/>
      <c r="AO70" s="43"/>
      <c r="AP70" s="43"/>
      <c r="AQ70" s="46" t="s">
        <v>1276</v>
      </c>
      <c r="AR70" s="46" t="s">
        <v>1277</v>
      </c>
      <c r="AS70" s="46" t="s">
        <v>1278</v>
      </c>
      <c r="AT70" s="43"/>
      <c r="AU70" s="43"/>
      <c r="AV70" s="43"/>
      <c r="AW70" s="43"/>
      <c r="AX70" s="22" t="s">
        <v>1279</v>
      </c>
      <c r="AY70" s="22" t="s">
        <v>1275</v>
      </c>
      <c r="AZ70" s="22" t="s">
        <v>797</v>
      </c>
      <c r="BA70" s="43"/>
      <c r="BB70" s="43"/>
      <c r="BC70" s="43"/>
      <c r="BD70" s="43"/>
      <c r="BE70" s="43"/>
      <c r="BF70" s="22">
        <f>IFERROR(VLOOKUP(C70,'спецификация'!B:D,3,0)," ")</f>
        <v>4670227410591</v>
      </c>
      <c r="BG70" s="22">
        <v>2.106909808E9</v>
      </c>
      <c r="BH70" s="22" t="str">
        <f>IFERROR(VLOOKUP(C70,'спецификация'!B:AA,5,0)," ")</f>
        <v>AM.01.01.01.003.R.000931.12.23 от 28.12.2023 г</v>
      </c>
      <c r="BI70" s="22"/>
      <c r="BJ70" s="22" t="str">
        <f>IFERROR(VLOOKUP(C70,'спецификация'!B:AA,6,0)," ")</f>
        <v>ЧЗ</v>
      </c>
      <c r="BK70" s="43"/>
      <c r="BL70" s="43"/>
      <c r="BM70" s="22" t="str">
        <f>IFERROR(VLOOKUP(BF70,'спецификация'!D:H,5,0)," ")</f>
        <v>гидролизованный говяжий коллаген, гиалуроновая кислота, витаминный комплекс (аскорбиновая кислота, dl-a-токоферол, ниацин, ретинол ацетат, кальций пантотенат, холекальцеферол, пиридоксин гидрохлорид, тиамин мононитрат, рибофлавин, фолиевая кислота, биотин, цианокобаламин), подготовленная столовая вода, лимонная кислота, консерванты</v>
      </c>
      <c r="BN70" s="43"/>
      <c r="BO70" s="22" t="str">
        <f>IFERROR(VLOOKUP(C70,'спецификация'!B:AA,10,0)," ")</f>
        <v>взрослым принимать 25 мл 1 раз в день.
Продолжительность приёма: 1 месяц. При необходимости повторить.</v>
      </c>
      <c r="BP70" s="43" t="str">
        <f>IFERROR(VLOOKUP(C70,'спецификация'!B:AA,11,0)," ")</f>
        <v>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v>
      </c>
      <c r="BQ70" s="22" t="str">
        <f>IFERROR(VLOOKUP(C70,'спецификация'!B:AA,12,0)," ")</f>
        <v>хранить в сухом, недоступном для детей месте, при температуре от +5 °С до +25 °С.</v>
      </c>
      <c r="BR70" s="22">
        <v>14.0</v>
      </c>
      <c r="BS70" s="22" t="s">
        <v>139</v>
      </c>
      <c r="BT70" s="22"/>
      <c r="BU70" s="22"/>
      <c r="BV70" s="22" t="s">
        <v>165</v>
      </c>
      <c r="BW70" s="44" t="str">
        <f>IFERROR(VLOOKUP(C70,'спецификация'!B:AA,16,0)," ")</f>
        <v>https://docs.google.com/document/d/1TdX7bOpUzizlnYsgpZjEVStPU6vGcEkVmx0izqrKJlM/edit?usp=sharing</v>
      </c>
      <c r="BX70" s="43"/>
      <c r="BY70" s="43"/>
      <c r="BZ70" s="45" t="str">
        <f>IFERROR(VLOOKUP(BF70,'спецификация'!D:Y,22,0)," ")</f>
        <v/>
      </c>
      <c r="CA70" s="43"/>
      <c r="CB70" s="43"/>
      <c r="CC70" s="43"/>
      <c r="CD70" s="43"/>
      <c r="CE70" s="43"/>
      <c r="CF70" s="43"/>
      <c r="CG70" s="49">
        <f>IFERROR(VLOOKUP(C70,CC!A:D,4,0)," ")</f>
        <v>820</v>
      </c>
      <c r="CH70" s="22" t="str">
        <f>IFERROR(VLOOKUP(C70,'спецификация'!B:AA,19,0)," ")</f>
        <v>ООО «Жива Продукт ПРО». 350062, Россия, Краснодарский край, город Краснодар, улица Казбекская, дом 17, кв. (оф.) 85</v>
      </c>
      <c r="CI70" s="22"/>
      <c r="CJ70" s="22" t="s">
        <v>495</v>
      </c>
      <c r="CK70" s="22">
        <f>IFERROR(VLOOKUP(C70,CC!K:M,3,0)," ")</f>
        <v>60</v>
      </c>
      <c r="CL70" s="43"/>
      <c r="CM70" s="43"/>
      <c r="CN70" s="43"/>
      <c r="CO70" s="43"/>
      <c r="CP70" s="43"/>
      <c r="CQ70" s="43"/>
      <c r="CR70" s="43"/>
      <c r="CS70" s="43" t="b">
        <v>0</v>
      </c>
      <c r="CT70" s="43" t="b">
        <v>0</v>
      </c>
      <c r="CU70" s="43" t="b">
        <v>0</v>
      </c>
      <c r="CV70" s="43" t="b">
        <v>0</v>
      </c>
      <c r="CW70" s="43"/>
      <c r="CX70" s="43"/>
      <c r="CY70" s="43"/>
      <c r="CZ70" s="43"/>
      <c r="DA70" s="43"/>
      <c r="DB70" s="43"/>
      <c r="DC70" s="43"/>
      <c r="DD70" s="22">
        <f>IFERROR(VLOOKUP($C70,'Лист4'!$D:$AI,27,0)," ")</f>
        <v>15</v>
      </c>
      <c r="DE70" s="22">
        <f>IFERROR(VLOOKUP($C70,'Лист4'!$D:$AI,28,0)," ")</f>
        <v>12</v>
      </c>
      <c r="DF70" s="22">
        <f>IFERROR(VLOOKUP($C70,'Лист4'!$D:$AI,29,0)," ")</f>
        <v>15</v>
      </c>
      <c r="DG70" s="22">
        <f t="shared" si="3"/>
        <v>2700</v>
      </c>
      <c r="DH70" s="22">
        <f>IFERROR(VLOOKUP($C70,'Лист4'!$D:$AI,32,0)," ")</f>
        <v>0.542</v>
      </c>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43"/>
      <c r="EN70" s="43"/>
      <c r="EO70" s="43"/>
      <c r="EP70" s="43"/>
      <c r="EQ70" s="43"/>
      <c r="ER70" s="43"/>
      <c r="ES70" s="43"/>
      <c r="ET70" s="43"/>
      <c r="EU70" s="43"/>
      <c r="EV70" s="43"/>
      <c r="EW70" s="43"/>
      <c r="EX70" s="43"/>
      <c r="EY70" s="43"/>
      <c r="EZ70" s="43"/>
      <c r="FA70" s="43"/>
      <c r="FB70" s="43"/>
      <c r="FC70" s="43"/>
    </row>
    <row r="71" ht="18.0" customHeight="1">
      <c r="A71" s="2"/>
      <c r="B71" s="22" t="str">
        <f>IFERROR(VLOOKUP(C71,'Реестр'!C:AC,27,0)," ")</f>
        <v>Биг-Л</v>
      </c>
      <c r="C71" s="43" t="s">
        <v>1284</v>
      </c>
      <c r="D71" s="22" t="str">
        <f>IFERROR(VLOOKUP(C71,'Лист4'!D:P,13,0)," ")</f>
        <v>qeep</v>
      </c>
      <c r="E71" s="22" t="str">
        <f>IF(OR(ISERROR(VLOOKUP(C71,'Актуальность'!A:B,2,0)), VLOOKUP(C71,'Актуальность'!A:B,2,0)=""), "Актуальный", VLOOKUP(C71,'Актуальность'!A:B,2,0))</f>
        <v>Вывод</v>
      </c>
      <c r="F71" s="43" t="str">
        <f>IFERROR(VLOOKUP(C71,'Актуальность'!A:C,3,0)," ")</f>
        <v/>
      </c>
      <c r="G71" s="43"/>
      <c r="H71" s="22" t="s">
        <v>361</v>
      </c>
      <c r="I71" s="22" t="s">
        <v>1272</v>
      </c>
      <c r="J71" s="43"/>
      <c r="K71" s="43"/>
      <c r="L71" s="22" t="b">
        <f t="shared" ref="L71:R71" si="67">T71&lt;&gt;""</f>
        <v>1</v>
      </c>
      <c r="M71" s="22" t="b">
        <f t="shared" si="67"/>
        <v>1</v>
      </c>
      <c r="N71" s="22" t="b">
        <f t="shared" si="67"/>
        <v>1</v>
      </c>
      <c r="O71" s="22" t="b">
        <f t="shared" si="67"/>
        <v>1</v>
      </c>
      <c r="P71" s="22" t="b">
        <f t="shared" si="67"/>
        <v>0</v>
      </c>
      <c r="Q71" s="22" t="b">
        <f t="shared" si="67"/>
        <v>0</v>
      </c>
      <c r="R71" s="22" t="b">
        <f t="shared" si="67"/>
        <v>0</v>
      </c>
      <c r="S71" s="43"/>
      <c r="T71" s="43" t="str">
        <f>IFERROR(VLOOKUP( C71,'1С'!A:B,2,0)," ")</f>
        <v>QB101100444</v>
      </c>
      <c r="U71" s="22" t="str">
        <f>IFERROR(VLOOKUP(T71,'Лист4'!C:I,3,0)," ")</f>
        <v>qeep_liqCollagen_orange_14shots</v>
      </c>
      <c r="V71" s="22" t="str">
        <f>IFERROR(VLOOKUP(T71,'Лист4'!C:I,4,0)," ")</f>
        <v>qeep_liqCollagen_orange_14shots</v>
      </c>
      <c r="W71" s="22" t="str">
        <f>IFERROR(VLOOKUP(T71,'Лист4'!C:I,5,0)," ")</f>
        <v>qeep_liqCollagen_orange_14shots</v>
      </c>
      <c r="X71" s="43" t="str">
        <f>IFERROR(VLOOKUP(T71,'Лист4'!C:I,7,0)," ")</f>
        <v/>
      </c>
      <c r="Y71" s="43" t="str">
        <f>IFERROR(VLOOKUP(T71,'Лист4'!C:I,6,0)," ")</f>
        <v/>
      </c>
      <c r="Z71" s="43"/>
      <c r="AA71" s="43"/>
      <c r="AB71" s="22">
        <v>2.28329661E8</v>
      </c>
      <c r="AC71" s="22">
        <v>1.563742059E9</v>
      </c>
      <c r="AD71" s="22">
        <v>1.03397906851E11</v>
      </c>
      <c r="AE71" s="22"/>
      <c r="AF71" s="22"/>
      <c r="AG71" s="43"/>
      <c r="AH71" s="43"/>
      <c r="AI71" s="43" t="str">
        <f>IFERROR(VLOOKUP(T71,'1С'!B:C,2,0)," ")</f>
        <v>БАД Коллаген жидкий ,qeep, апельсин 14 шотов по 25 мл</v>
      </c>
      <c r="AJ71" s="22" t="s">
        <v>1274</v>
      </c>
      <c r="AK71" s="22" t="s">
        <v>1287</v>
      </c>
      <c r="AL71" s="22" t="s">
        <v>1287</v>
      </c>
      <c r="AM71" s="43"/>
      <c r="AN71" s="43"/>
      <c r="AO71" s="43"/>
      <c r="AP71" s="43"/>
      <c r="AQ71" s="46" t="s">
        <v>1288</v>
      </c>
      <c r="AR71" s="46" t="s">
        <v>1289</v>
      </c>
      <c r="AS71" s="46" t="s">
        <v>1290</v>
      </c>
      <c r="AT71" s="43"/>
      <c r="AU71" s="43"/>
      <c r="AV71" s="43"/>
      <c r="AW71" s="43"/>
      <c r="AX71" s="22" t="s">
        <v>1279</v>
      </c>
      <c r="AY71" s="22" t="s">
        <v>1287</v>
      </c>
      <c r="AZ71" s="22" t="s">
        <v>797</v>
      </c>
      <c r="BA71" s="43"/>
      <c r="BB71" s="43"/>
      <c r="BC71" s="43"/>
      <c r="BD71" s="43"/>
      <c r="BE71" s="43"/>
      <c r="BF71" s="22">
        <f>IFERROR(VLOOKUP(C71,'спецификация'!B:D,3,0)," ")</f>
        <v>4670227410614</v>
      </c>
      <c r="BG71" s="22">
        <v>2.106909808E9</v>
      </c>
      <c r="BH71" s="22" t="str">
        <f>IFERROR(VLOOKUP(C71,'спецификация'!B:AA,5,0)," ")</f>
        <v>AM.01.01.01.003.R.000931.12.23 от 28.12.2023 г</v>
      </c>
      <c r="BI71" s="22"/>
      <c r="BJ71" s="22" t="str">
        <f>IFERROR(VLOOKUP(C71,'спецификация'!B:AA,6,0)," ")</f>
        <v>ЧЗ</v>
      </c>
      <c r="BK71" s="43"/>
      <c r="BL71" s="43"/>
      <c r="BM71" s="22" t="str">
        <f>IFERROR(VLOOKUP(BF71,'спецификация'!D:H,5,0)," ")</f>
        <v>гидролизованный говяжий коллаген, гиалуроновая кислота, витаминный комплекс (аскорбиновая кислота,dl-a-токоферол, ниацин, ретинол ацетат, кальций пантотенат, холекальцеферол, пиридоксин гидрохлорид, тиамин мононитрат, рибофлавин, фолиевая кислота, биотин, цианокобаламин), подготовленная столовая вода, лимонная кислота, консерванты</v>
      </c>
      <c r="BN71" s="43"/>
      <c r="BO71" s="22" t="str">
        <f>IFERROR(VLOOKUP(C71,'спецификация'!B:AA,10,0)," ")</f>
        <v>взрослым принимать 25 мл 1 раз в день.
Продолжительность приёма: 1 месяц. При необходимости повторить.</v>
      </c>
      <c r="BP71" s="43" t="str">
        <f>IFERROR(VLOOKUP(C71,'спецификация'!B:AA,11,0)," ")</f>
        <v>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v>
      </c>
      <c r="BQ71" s="22" t="str">
        <f>IFERROR(VLOOKUP(C71,'спецификация'!B:AA,12,0)," ")</f>
        <v>хранить в сухом, недоступном для детей месте, при температуре от +5 °С до +25 °С.</v>
      </c>
      <c r="BR71" s="22">
        <v>14.0</v>
      </c>
      <c r="BS71" s="22" t="s">
        <v>139</v>
      </c>
      <c r="BT71" s="22"/>
      <c r="BU71" s="22"/>
      <c r="BV71" s="22" t="s">
        <v>165</v>
      </c>
      <c r="BW71" s="44" t="str">
        <f>IFERROR(VLOOKUP(C71,'спецификация'!B:AA,16,0)," ")</f>
        <v>https://docs.google.com/document/d/1TdX7bOpUzizlnYsgpZjEVStPU6vGcEkVmx0izqrKJlM/edit?usp=sharing</v>
      </c>
      <c r="BX71" s="43"/>
      <c r="BY71" s="43"/>
      <c r="BZ71" s="45" t="str">
        <f>IFERROR(VLOOKUP(BF71,'спецификация'!D:Y,22,0)," ")</f>
        <v/>
      </c>
      <c r="CA71" s="43"/>
      <c r="CB71" s="43"/>
      <c r="CC71" s="43"/>
      <c r="CD71" s="43"/>
      <c r="CE71" s="43"/>
      <c r="CF71" s="43"/>
      <c r="CG71" s="49">
        <f>IFERROR(VLOOKUP(C71,CC!A:D,4,0)," ")</f>
        <v>820</v>
      </c>
      <c r="CH71" s="22" t="str">
        <f>IFERROR(VLOOKUP(C71,'спецификация'!B:AA,19,0)," ")</f>
        <v>ООО «Жива Продукт ПРО». 350062, Россия, Краснодарский край, город Краснодар, улица Казбекская, дом 17, кв. (оф.) 85</v>
      </c>
      <c r="CI71" s="22"/>
      <c r="CJ71" s="22" t="s">
        <v>495</v>
      </c>
      <c r="CK71" s="22">
        <f>IFERROR(VLOOKUP(C71,CC!K:M,3,0)," ")</f>
        <v>60</v>
      </c>
      <c r="CL71" s="43"/>
      <c r="CM71" s="43"/>
      <c r="CN71" s="43"/>
      <c r="CO71" s="43"/>
      <c r="CP71" s="43"/>
      <c r="CQ71" s="43"/>
      <c r="CR71" s="43"/>
      <c r="CS71" s="43" t="b">
        <v>0</v>
      </c>
      <c r="CT71" s="43" t="b">
        <v>0</v>
      </c>
      <c r="CU71" s="43" t="b">
        <v>0</v>
      </c>
      <c r="CV71" s="43" t="b">
        <v>0</v>
      </c>
      <c r="CW71" s="43"/>
      <c r="CX71" s="43"/>
      <c r="CY71" s="43"/>
      <c r="CZ71" s="43"/>
      <c r="DA71" s="43"/>
      <c r="DB71" s="43"/>
      <c r="DC71" s="43"/>
      <c r="DD71" s="22">
        <f>IFERROR(VLOOKUP($C71,'Лист4'!$D:$AI,27,0)," ")</f>
        <v>15</v>
      </c>
      <c r="DE71" s="22">
        <f>IFERROR(VLOOKUP($C71,'Лист4'!$D:$AI,28,0)," ")</f>
        <v>12</v>
      </c>
      <c r="DF71" s="22">
        <f>IFERROR(VLOOKUP($C71,'Лист4'!$D:$AI,29,0)," ")</f>
        <v>15</v>
      </c>
      <c r="DG71" s="22">
        <f t="shared" si="3"/>
        <v>2700</v>
      </c>
      <c r="DH71" s="22">
        <f>IFERROR(VLOOKUP($C71,'Лист4'!$D:$AI,32,0)," ")</f>
        <v>0.542</v>
      </c>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43"/>
      <c r="EN71" s="43"/>
      <c r="EO71" s="43"/>
      <c r="EP71" s="43"/>
      <c r="EQ71" s="43"/>
      <c r="ER71" s="43"/>
      <c r="ES71" s="43"/>
      <c r="ET71" s="43"/>
      <c r="EU71" s="43"/>
      <c r="EV71" s="43"/>
      <c r="EW71" s="43"/>
      <c r="EX71" s="43"/>
      <c r="EY71" s="43"/>
      <c r="EZ71" s="43"/>
      <c r="FA71" s="43"/>
      <c r="FB71" s="43"/>
      <c r="FC71" s="43"/>
    </row>
    <row r="72" ht="18.0" customHeight="1">
      <c r="A72" s="2"/>
      <c r="B72" s="22" t="str">
        <f>IFERROR(VLOOKUP(C72,'Реестр'!C:AC,27,0)," ")</f>
        <v>Биг-Л</v>
      </c>
      <c r="C72" s="43" t="s">
        <v>1292</v>
      </c>
      <c r="D72" s="22" t="str">
        <f>IFERROR(VLOOKUP(C72,'Лист4'!D:P,13,0)," ")</f>
        <v>qeep</v>
      </c>
      <c r="E72" s="22" t="str">
        <f>IF(OR(ISERROR(VLOOKUP(C72,'Актуальность'!A:B,2,0)), VLOOKUP(C72,'Актуальность'!A:B,2,0)=""), "Актуальный", VLOOKUP(C72,'Актуальность'!A:B,2,0))</f>
        <v>Вывод</v>
      </c>
      <c r="F72" s="43" t="str">
        <f>IFERROR(VLOOKUP(C72,'Актуальность'!A:C,3,0)," ")</f>
        <v/>
      </c>
      <c r="G72" s="43"/>
      <c r="H72" s="22" t="s">
        <v>361</v>
      </c>
      <c r="I72" s="22" t="s">
        <v>1272</v>
      </c>
      <c r="J72" s="43"/>
      <c r="K72" s="43"/>
      <c r="L72" s="22" t="b">
        <f t="shared" ref="L72:R72" si="68">T72&lt;&gt;""</f>
        <v>1</v>
      </c>
      <c r="M72" s="22" t="b">
        <f t="shared" si="68"/>
        <v>1</v>
      </c>
      <c r="N72" s="22" t="b">
        <f t="shared" si="68"/>
        <v>1</v>
      </c>
      <c r="O72" s="22" t="b">
        <f t="shared" si="68"/>
        <v>1</v>
      </c>
      <c r="P72" s="22" t="b">
        <f t="shared" si="68"/>
        <v>0</v>
      </c>
      <c r="Q72" s="22" t="b">
        <f t="shared" si="68"/>
        <v>0</v>
      </c>
      <c r="R72" s="22" t="b">
        <f t="shared" si="68"/>
        <v>0</v>
      </c>
      <c r="S72" s="43"/>
      <c r="T72" s="43" t="str">
        <f>IFERROR(VLOOKUP( C72,'1С'!A:B,2,0)," ")</f>
        <v>QB101100451</v>
      </c>
      <c r="U72" s="22" t="str">
        <f>IFERROR(VLOOKUP(T72,'Лист4'!C:I,3,0)," ")</f>
        <v>qeepcollagen</v>
      </c>
      <c r="V72" s="22" t="str">
        <f>IFERROR(VLOOKUP(T72,'Лист4'!C:I,4,0)," ")</f>
        <v>qeepcollagen</v>
      </c>
      <c r="W72" s="22" t="str">
        <f>IFERROR(VLOOKUP(T72,'Лист4'!C:I,5,0)," ")</f>
        <v>qeepcollagen</v>
      </c>
      <c r="X72" s="43" t="str">
        <f>IFERROR(VLOOKUP(T72,'Лист4'!C:I,7,0)," ")</f>
        <v/>
      </c>
      <c r="Y72" s="43" t="str">
        <f>IFERROR(VLOOKUP(T72,'Лист4'!C:I,6,0)," ")</f>
        <v/>
      </c>
      <c r="Z72" s="43"/>
      <c r="AA72" s="43"/>
      <c r="AB72" s="22">
        <v>9.0476399E7</v>
      </c>
      <c r="AC72" s="22">
        <v>6.16963626E8</v>
      </c>
      <c r="AD72" s="22">
        <v>1.01824298337E11</v>
      </c>
      <c r="AE72" s="22"/>
      <c r="AF72" s="22"/>
      <c r="AG72" s="43"/>
      <c r="AH72" s="43"/>
      <c r="AI72" s="43" t="str">
        <f>IFERROR(VLOOKUP(T72,'1С'!B:C,2,0)," ")</f>
        <v>БАД Коллаген с Гиалуроновой Кислотой ,qeep, 60 капсул</v>
      </c>
      <c r="AJ72" s="22" t="s">
        <v>1295</v>
      </c>
      <c r="AK72" s="22" t="s">
        <v>1296</v>
      </c>
      <c r="AL72" s="22" t="s">
        <v>1296</v>
      </c>
      <c r="AM72" s="43"/>
      <c r="AN72" s="43"/>
      <c r="AO72" s="43"/>
      <c r="AP72" s="43"/>
      <c r="AQ72" s="46" t="s">
        <v>1297</v>
      </c>
      <c r="AR72" s="46" t="s">
        <v>1298</v>
      </c>
      <c r="AS72" s="46" t="s">
        <v>1299</v>
      </c>
      <c r="AT72" s="43"/>
      <c r="AU72" s="43"/>
      <c r="AV72" s="43"/>
      <c r="AW72" s="43"/>
      <c r="AX72" s="22" t="s">
        <v>361</v>
      </c>
      <c r="AY72" s="22" t="s">
        <v>1296</v>
      </c>
      <c r="AZ72" s="22" t="s">
        <v>372</v>
      </c>
      <c r="BA72" s="43"/>
      <c r="BB72" s="43"/>
      <c r="BC72" s="43"/>
      <c r="BD72" s="43"/>
      <c r="BE72" s="43"/>
      <c r="BF72" s="22" t="str">
        <f>IFERROR(VLOOKUP(C72,'спецификация'!B:D,3,0)," ")</f>
        <v>4630040228285</v>
      </c>
      <c r="BG72" s="22">
        <v>2.106909808E9</v>
      </c>
      <c r="BH72" s="22" t="str">
        <f>IFERROR(VLOOKUP(C72,'спецификация'!B:AA,5,0)," ")</f>
        <v>AM.01.06.01.003.R.000121.10.19 от 30.10.2019 г.</v>
      </c>
      <c r="BI72" s="22"/>
      <c r="BJ72" s="22" t="str">
        <f>IFERROR(VLOOKUP(C72,'спецификация'!B:AA,6,0)," ")</f>
        <v>ЧЗ</v>
      </c>
      <c r="BK72" s="43"/>
      <c r="BL72" s="43"/>
      <c r="BM72" s="22" t="str">
        <f>IFERROR(VLOOKUP(BF72,'спецификация'!D:H,5,0)," ")</f>
        <v>коллаген гидролизованный, мумиё алтайское, глюкозамина сульфат, витамин С (аскорбиновая кислота), натрия гиалуронат, дигидрокверцетин, березовый экстракт. Вспомогательные вещества: целлюлоза микрокристаллическая (носитель), капсула желатиновая (желатин, глицерин), антислеживатели: кальция стеарат, кремния диоксид.</v>
      </c>
      <c r="BN72" s="43"/>
      <c r="BO72" s="22" t="str">
        <f>IFERROR(VLOOKUP(C72,'спецификация'!B:AA,10,0)," ")</f>
        <v>взрослым по 1 капсуле 2 раза в день во время еды. Курс приема 1 месяц.</v>
      </c>
      <c r="BP72" s="43" t="str">
        <f>IFERROR(VLOOKUP(C72,'спецификация'!B:AA,11,0),"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72" s="22" t="str">
        <f>IFERROR(VLOOKUP(C72,'спецификация'!B:AA,12,0)," ")</f>
        <v>в недоступном для детей месте, при температуре не выше +25ºС и относительной влажности воздуха не более 60%.</v>
      </c>
      <c r="BR72" s="22">
        <v>60.0</v>
      </c>
      <c r="BS72" s="22" t="s">
        <v>421</v>
      </c>
      <c r="BT72" s="22"/>
      <c r="BU72" s="22"/>
      <c r="BV72" s="22" t="s">
        <v>307</v>
      </c>
      <c r="BW72" s="44" t="str">
        <f>IFERROR(VLOOKUP(C72,'спецификация'!B:AA,16,0)," ")</f>
        <v>https://drive.google.com/drive/u/0/folders/1vOiIY1XsOr2O40QbZVdluwtxKotRe-0N</v>
      </c>
      <c r="BX72" s="43"/>
      <c r="BY72" s="43"/>
      <c r="BZ72" s="44" t="str">
        <f>IFERROR(VLOOKUP(BF72,'спецификация'!D:Y,22,0)," ")</f>
        <v>https://drive.google.com/drive/u/0/folders/1vOiIY1XsOr2O40QbZVdluwtxKotRe-0N</v>
      </c>
      <c r="CA72" s="43"/>
      <c r="CB72" s="43"/>
      <c r="CC72" s="43"/>
      <c r="CD72" s="43"/>
      <c r="CE72" s="43"/>
      <c r="CF72" s="43"/>
      <c r="CG72" s="49">
        <f>IFERROR(VLOOKUP(C72,CC!A:D,4,0)," ")</f>
        <v>225.54</v>
      </c>
      <c r="CH72" s="22" t="s">
        <v>1306</v>
      </c>
      <c r="CI72" s="22"/>
      <c r="CJ72" s="22" t="s">
        <v>562</v>
      </c>
      <c r="CK72" s="22" t="str">
        <f>IFERROR(VLOOKUP(C72,CC!K:M,3,0)," ")</f>
        <v> </v>
      </c>
      <c r="CL72" s="43"/>
      <c r="CM72" s="43"/>
      <c r="CN72" s="43"/>
      <c r="CO72" s="43"/>
      <c r="CP72" s="43"/>
      <c r="CQ72" s="43"/>
      <c r="CR72" s="43"/>
      <c r="CS72" s="43" t="b">
        <v>0</v>
      </c>
      <c r="CT72" s="43" t="b">
        <v>0</v>
      </c>
      <c r="CU72" s="43" t="b">
        <v>0</v>
      </c>
      <c r="CV72" s="43" t="b">
        <v>0</v>
      </c>
      <c r="CW72" s="43"/>
      <c r="CX72" s="43"/>
      <c r="CY72" s="43"/>
      <c r="CZ72" s="43"/>
      <c r="DA72" s="43"/>
      <c r="DB72" s="43"/>
      <c r="DC72" s="43"/>
      <c r="DD72" s="22">
        <f>IFERROR(VLOOKUP($C72,'Лист4'!$D:$AI,27,0)," ")</f>
        <v>10</v>
      </c>
      <c r="DE72" s="22">
        <f>IFERROR(VLOOKUP($C72,'Лист4'!$D:$AI,28,0)," ")</f>
        <v>5</v>
      </c>
      <c r="DF72" s="22">
        <f>IFERROR(VLOOKUP($C72,'Лист4'!$D:$AI,29,0)," ")</f>
        <v>10</v>
      </c>
      <c r="DG72" s="22">
        <f t="shared" si="3"/>
        <v>500</v>
      </c>
      <c r="DH72" s="22">
        <f>IFERROR(VLOOKUP($C72,'Лист4'!$D:$AI,32,0)," ")</f>
        <v>0.059</v>
      </c>
      <c r="DI72" s="22"/>
      <c r="DJ72" s="22"/>
      <c r="DK72" s="22"/>
      <c r="DL72" s="22"/>
      <c r="DM72" s="22"/>
      <c r="DN72" s="22"/>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43"/>
      <c r="EN72" s="43"/>
      <c r="EO72" s="43"/>
      <c r="EP72" s="43"/>
      <c r="EQ72" s="43"/>
      <c r="ER72" s="43"/>
      <c r="ES72" s="43"/>
      <c r="ET72" s="43"/>
      <c r="EU72" s="43"/>
      <c r="EV72" s="43"/>
      <c r="EW72" s="43"/>
      <c r="EX72" s="43"/>
      <c r="EY72" s="43"/>
      <c r="EZ72" s="43"/>
      <c r="FA72" s="43"/>
      <c r="FB72" s="43"/>
      <c r="FC72" s="43"/>
    </row>
    <row r="73" ht="18.0" customHeight="1">
      <c r="A73" s="2"/>
      <c r="B73" s="22" t="str">
        <f>IFERROR(VLOOKUP(C73,'Реестр'!C:AC,27,0)," ")</f>
        <v>Биг-Л</v>
      </c>
      <c r="C73" s="43" t="s">
        <v>1307</v>
      </c>
      <c r="D73" s="22" t="str">
        <f>IFERROR(VLOOKUP(C73,'Лист4'!D:P,13,0)," ")</f>
        <v>qeep</v>
      </c>
      <c r="E73" s="22" t="str">
        <f>IF(OR(ISERROR(VLOOKUP(C73,'Актуальность'!A:B,2,0)), VLOOKUP(C73,'Актуальность'!A:B,2,0)=""), "Актуальный", VLOOKUP(C73,'Актуальность'!A:B,2,0))</f>
        <v>Вывод</v>
      </c>
      <c r="F73" s="43" t="str">
        <f>IFERROR(VLOOKUP(C73,'Актуальность'!A:C,3,0)," ")</f>
        <v/>
      </c>
      <c r="G73" s="43"/>
      <c r="H73" s="22" t="s">
        <v>361</v>
      </c>
      <c r="I73" s="22" t="s">
        <v>1272</v>
      </c>
      <c r="J73" s="43"/>
      <c r="K73" s="43"/>
      <c r="L73" s="22" t="b">
        <f t="shared" ref="L73:R73" si="69">T73&lt;&gt;""</f>
        <v>1</v>
      </c>
      <c r="M73" s="22" t="b">
        <f t="shared" si="69"/>
        <v>1</v>
      </c>
      <c r="N73" s="22" t="b">
        <f t="shared" si="69"/>
        <v>1</v>
      </c>
      <c r="O73" s="22" t="b">
        <f t="shared" si="69"/>
        <v>1</v>
      </c>
      <c r="P73" s="22" t="b">
        <f t="shared" si="69"/>
        <v>0</v>
      </c>
      <c r="Q73" s="22" t="b">
        <f t="shared" si="69"/>
        <v>0</v>
      </c>
      <c r="R73" s="22" t="b">
        <f t="shared" si="69"/>
        <v>0</v>
      </c>
      <c r="S73" s="43"/>
      <c r="T73" s="43" t="str">
        <f>IFERROR(VLOOKUP( C73,'1С'!A:B,2,0)," ")</f>
        <v>QB101100445</v>
      </c>
      <c r="U73" s="22" t="str">
        <f>IFERROR(VLOOKUP(T73,'Лист4'!C:I,3,0)," ")</f>
        <v>qeep_liqCollagen_rspbry_14shots</v>
      </c>
      <c r="V73" s="22" t="str">
        <f>IFERROR(VLOOKUP(T73,'Лист4'!C:I,4,0)," ")</f>
        <v>qeep_liqCollagen_rspbry_14shots</v>
      </c>
      <c r="W73" s="22" t="str">
        <f>IFERROR(VLOOKUP(T73,'Лист4'!C:I,5,0)," ")</f>
        <v>qeep_liqCollagen_rspbry_14shots</v>
      </c>
      <c r="X73" s="43" t="str">
        <f>IFERROR(VLOOKUP(T73,'Лист4'!C:I,7,0)," ")</f>
        <v/>
      </c>
      <c r="Y73" s="43" t="str">
        <f>IFERROR(VLOOKUP(T73,'Лист4'!C:I,6,0)," ")</f>
        <v/>
      </c>
      <c r="Z73" s="43"/>
      <c r="AA73" s="43"/>
      <c r="AB73" s="22">
        <v>2.28329662E8</v>
      </c>
      <c r="AC73" s="22">
        <v>1.56374215E9</v>
      </c>
      <c r="AD73" s="22">
        <v>1.0339790685E11</v>
      </c>
      <c r="AE73" s="22"/>
      <c r="AF73" s="22"/>
      <c r="AG73" s="43"/>
      <c r="AH73" s="43"/>
      <c r="AI73" s="43" t="str">
        <f>IFERROR(VLOOKUP(T73,'1С'!B:C,2,0)," ")</f>
        <v>БАД Коллаген жидкий ,qeep, малина 14 шотов по 25 мл</v>
      </c>
      <c r="AJ73" s="22" t="s">
        <v>1274</v>
      </c>
      <c r="AK73" s="22" t="s">
        <v>1310</v>
      </c>
      <c r="AL73" s="22" t="s">
        <v>1310</v>
      </c>
      <c r="AM73" s="43"/>
      <c r="AN73" s="43"/>
      <c r="AO73" s="43"/>
      <c r="AP73" s="43"/>
      <c r="AQ73" s="46" t="s">
        <v>1311</v>
      </c>
      <c r="AR73" s="46" t="s">
        <v>1312</v>
      </c>
      <c r="AS73" s="46" t="s">
        <v>1313</v>
      </c>
      <c r="AT73" s="43"/>
      <c r="AU73" s="43"/>
      <c r="AV73" s="43"/>
      <c r="AW73" s="43"/>
      <c r="AX73" s="22" t="s">
        <v>1279</v>
      </c>
      <c r="AY73" s="22" t="s">
        <v>1310</v>
      </c>
      <c r="AZ73" s="22" t="s">
        <v>797</v>
      </c>
      <c r="BA73" s="43"/>
      <c r="BB73" s="43"/>
      <c r="BC73" s="43"/>
      <c r="BD73" s="43"/>
      <c r="BE73" s="43"/>
      <c r="BF73" s="22">
        <f>IFERROR(VLOOKUP(C73,'спецификация'!B:D,3,0)," ")</f>
        <v>4670227410607</v>
      </c>
      <c r="BG73" s="22">
        <v>2.106909808E9</v>
      </c>
      <c r="BH73" s="22" t="str">
        <f>IFERROR(VLOOKUP(C73,'спецификация'!B:AA,5,0)," ")</f>
        <v>AM.01.01.01.003.R.000931.12.23 от 28.12.2023 г</v>
      </c>
      <c r="BI73" s="22"/>
      <c r="BJ73" s="22" t="str">
        <f>IFERROR(VLOOKUP(C73,'спецификация'!B:AA,6,0)," ")</f>
        <v>ЧЗ</v>
      </c>
      <c r="BK73" s="43"/>
      <c r="BL73" s="43"/>
      <c r="BM73" s="22" t="str">
        <f>IFERROR(VLOOKUP(BF73,'спецификация'!D:H,5,0)," ")</f>
        <v>гидролизованный говяжий коллаген, гиалуроновая кислота, витаминный комплекс (аскорбиновая кислота,dl-a-токоферол, ниацин, ретинол ацетат, кальций пантотенат, холекальцеферол, пиридоксин гидрохлорид, тиамин мононитрат, рибофлавин, фолиевая кислота, биотин, цианокобаламин), подготовленная столовая вода, лимонная кислота, консерванты</v>
      </c>
      <c r="BN73" s="43"/>
      <c r="BO73" s="22" t="str">
        <f>IFERROR(VLOOKUP(C73,'спецификация'!B:AA,10,0)," ")</f>
        <v>взрослым принимать 25 мл 1 раз в день.
Продолжительность приёма: 1 месяц. При необходимости повторить.</v>
      </c>
      <c r="BP73" s="43" t="str">
        <f>IFERROR(VLOOKUP(C73,'спецификация'!B:AA,11,0)," ")</f>
        <v>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v>
      </c>
      <c r="BQ73" s="22" t="str">
        <f>IFERROR(VLOOKUP(C73,'спецификация'!B:AA,12,0)," ")</f>
        <v>хранить в сухом, недоступном для детей месте, при температуре от +5 °С до +25 °С.</v>
      </c>
      <c r="BR73" s="22">
        <v>14.0</v>
      </c>
      <c r="BS73" s="22" t="s">
        <v>139</v>
      </c>
      <c r="BT73" s="22"/>
      <c r="BU73" s="22"/>
      <c r="BV73" s="22" t="s">
        <v>165</v>
      </c>
      <c r="BW73" s="44" t="str">
        <f>IFERROR(VLOOKUP(C73,'спецификация'!B:AA,16,0)," ")</f>
        <v>https://docs.google.com/document/d/1TdX7bOpUzizlnYsgpZjEVStPU6vGcEkVmx0izqrKJlM/edit?usp=sharing</v>
      </c>
      <c r="BX73" s="43"/>
      <c r="BY73" s="43"/>
      <c r="BZ73" s="45" t="str">
        <f>IFERROR(VLOOKUP(BF73,'спецификация'!D:Y,22,0)," ")</f>
        <v/>
      </c>
      <c r="CA73" s="43"/>
      <c r="CB73" s="43"/>
      <c r="CC73" s="43"/>
      <c r="CD73" s="43"/>
      <c r="CE73" s="43"/>
      <c r="CF73" s="43"/>
      <c r="CG73" s="49">
        <f>IFERROR(VLOOKUP(C73,CC!A:D,4,0)," ")</f>
        <v>820</v>
      </c>
      <c r="CH73" s="22" t="str">
        <f>IFERROR(VLOOKUP(C73,'спецификация'!B:AA,19,0)," ")</f>
        <v>ООО «Жива Продукт ПРО». 350062, Россия, Краснодарский край, город Краснодар, улица Казбекская, дом 17, кв. (оф.) 85</v>
      </c>
      <c r="CI73" s="22"/>
      <c r="CJ73" s="22" t="s">
        <v>495</v>
      </c>
      <c r="CK73" s="22">
        <f>IFERROR(VLOOKUP(C73,CC!K:M,3,0)," ")</f>
        <v>60</v>
      </c>
      <c r="CL73" s="43"/>
      <c r="CM73" s="43"/>
      <c r="CN73" s="43"/>
      <c r="CO73" s="43"/>
      <c r="CP73" s="43"/>
      <c r="CQ73" s="43"/>
      <c r="CR73" s="43"/>
      <c r="CS73" s="43" t="b">
        <v>0</v>
      </c>
      <c r="CT73" s="43" t="b">
        <v>0</v>
      </c>
      <c r="CU73" s="43" t="b">
        <v>0</v>
      </c>
      <c r="CV73" s="43" t="b">
        <v>0</v>
      </c>
      <c r="CW73" s="43"/>
      <c r="CX73" s="43"/>
      <c r="CY73" s="43"/>
      <c r="CZ73" s="43"/>
      <c r="DA73" s="43"/>
      <c r="DB73" s="43"/>
      <c r="DC73" s="43"/>
      <c r="DD73" s="22">
        <f>IFERROR(VLOOKUP($C73,'Лист4'!$D:$AI,27,0)," ")</f>
        <v>15</v>
      </c>
      <c r="DE73" s="22">
        <f>IFERROR(VLOOKUP($C73,'Лист4'!$D:$AI,28,0)," ")</f>
        <v>12</v>
      </c>
      <c r="DF73" s="22">
        <f>IFERROR(VLOOKUP($C73,'Лист4'!$D:$AI,29,0)," ")</f>
        <v>15</v>
      </c>
      <c r="DG73" s="22">
        <f t="shared" si="3"/>
        <v>2700</v>
      </c>
      <c r="DH73" s="22">
        <f>IFERROR(VLOOKUP($C73,'Лист4'!$D:$AI,32,0)," ")</f>
        <v>0.542</v>
      </c>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43"/>
      <c r="EN73" s="43"/>
      <c r="EO73" s="43"/>
      <c r="EP73" s="43"/>
      <c r="EQ73" s="43"/>
      <c r="ER73" s="43"/>
      <c r="ES73" s="43"/>
      <c r="ET73" s="43"/>
      <c r="EU73" s="43"/>
      <c r="EV73" s="43"/>
      <c r="EW73" s="43"/>
      <c r="EX73" s="43"/>
      <c r="EY73" s="43"/>
      <c r="EZ73" s="43"/>
      <c r="FA73" s="43"/>
      <c r="FB73" s="43"/>
      <c r="FC73" s="43"/>
    </row>
    <row r="74" ht="18.0" customHeight="1">
      <c r="A74" s="2"/>
      <c r="B74" s="22" t="str">
        <f>IFERROR(VLOOKUP(C74,'Реестр'!C:AC,27,0)," ")</f>
        <v>Биг-Л</v>
      </c>
      <c r="C74" s="43" t="s">
        <v>1314</v>
      </c>
      <c r="D74" s="22" t="str">
        <f>IFERROR(VLOOKUP(C74,'Лист4'!D:P,13,0)," ")</f>
        <v>qeep</v>
      </c>
      <c r="E74" s="22" t="str">
        <f>IF(OR(ISERROR(VLOOKUP(C74,'Актуальность'!A:B,2,0)), VLOOKUP(C74,'Актуальность'!A:B,2,0)=""), "Актуальный", VLOOKUP(C74,'Актуальность'!A:B,2,0))</f>
        <v>Вывод</v>
      </c>
      <c r="F74" s="43" t="str">
        <f>IFERROR(VLOOKUP(C74,'Актуальность'!A:C,3,0)," ")</f>
        <v/>
      </c>
      <c r="G74" s="43"/>
      <c r="H74" s="22" t="s">
        <v>361</v>
      </c>
      <c r="I74" s="22" t="s">
        <v>1272</v>
      </c>
      <c r="J74" s="43"/>
      <c r="K74" s="43"/>
      <c r="L74" s="22" t="b">
        <f t="shared" ref="L74:R74" si="70">T74&lt;&gt;""</f>
        <v>1</v>
      </c>
      <c r="M74" s="22" t="b">
        <f t="shared" si="70"/>
        <v>1</v>
      </c>
      <c r="N74" s="22" t="b">
        <f t="shared" si="70"/>
        <v>1</v>
      </c>
      <c r="O74" s="22" t="b">
        <f t="shared" si="70"/>
        <v>1</v>
      </c>
      <c r="P74" s="22" t="b">
        <f t="shared" si="70"/>
        <v>0</v>
      </c>
      <c r="Q74" s="22" t="b">
        <f t="shared" si="70"/>
        <v>0</v>
      </c>
      <c r="R74" s="22" t="b">
        <f t="shared" si="70"/>
        <v>0</v>
      </c>
      <c r="S74" s="43"/>
      <c r="T74" s="43" t="str">
        <f>IFERROR(VLOOKUP( C74,'1С'!A:B,2,0)," ")</f>
        <v>QB101100450</v>
      </c>
      <c r="U74" s="22" t="str">
        <f>IFERROR(VLOOKUP(T74,'Лист4'!C:I,3,0)," ")</f>
        <v>qeepcollagen_peptides_Natural</v>
      </c>
      <c r="V74" s="22" t="str">
        <f>IFERROR(VLOOKUP(T74,'Лист4'!C:I,4,0)," ")</f>
        <v>qeepcollagen_peptides_Natural</v>
      </c>
      <c r="W74" s="22" t="str">
        <f>IFERROR(VLOOKUP(T74,'Лист4'!C:I,5,0)," ")</f>
        <v>qeepcollagen_peptides_Natural</v>
      </c>
      <c r="X74" s="43" t="str">
        <f>IFERROR(VLOOKUP(T74,'Лист4'!C:I,7,0)," ")</f>
        <v/>
      </c>
      <c r="Y74" s="43" t="str">
        <f>IFERROR(VLOOKUP(T74,'Лист4'!C:I,6,0)," ")</f>
        <v/>
      </c>
      <c r="Z74" s="43"/>
      <c r="AA74" s="43"/>
      <c r="AB74" s="22">
        <v>1.31852035E8</v>
      </c>
      <c r="AC74" s="22">
        <v>7.72327923E8</v>
      </c>
      <c r="AD74" s="22">
        <v>1.01841345735E11</v>
      </c>
      <c r="AE74" s="22"/>
      <c r="AF74" s="22"/>
      <c r="AG74" s="43"/>
      <c r="AH74" s="43"/>
      <c r="AI74" s="43" t="str">
        <f>IFERROR(VLOOKUP(T74,'1С'!B:C,2,0)," ")</f>
        <v>БАД Коллаген порошок ,qeep, 30 порций</v>
      </c>
      <c r="AJ74" s="22" t="s">
        <v>1317</v>
      </c>
      <c r="AK74" s="22" t="s">
        <v>1318</v>
      </c>
      <c r="AL74" s="22" t="s">
        <v>1319</v>
      </c>
      <c r="AM74" s="43"/>
      <c r="AN74" s="43"/>
      <c r="AO74" s="43"/>
      <c r="AP74" s="43"/>
      <c r="AQ74" s="46" t="s">
        <v>1320</v>
      </c>
      <c r="AR74" s="46" t="s">
        <v>1321</v>
      </c>
      <c r="AS74" s="46" t="s">
        <v>1322</v>
      </c>
      <c r="AT74" s="43"/>
      <c r="AU74" s="43"/>
      <c r="AV74" s="43"/>
      <c r="AW74" s="43"/>
      <c r="AX74" s="22" t="s">
        <v>1279</v>
      </c>
      <c r="AY74" s="22" t="s">
        <v>1318</v>
      </c>
      <c r="AZ74" s="22" t="s">
        <v>372</v>
      </c>
      <c r="BA74" s="43"/>
      <c r="BB74" s="43"/>
      <c r="BC74" s="43"/>
      <c r="BD74" s="43"/>
      <c r="BE74" s="43"/>
      <c r="BF74" s="22">
        <f>IFERROR(VLOOKUP(C74,'спецификация'!B:D,3,0)," ")</f>
        <v>4630205140308</v>
      </c>
      <c r="BG74" s="22">
        <v>3.504009E9</v>
      </c>
      <c r="BH74" s="22" t="str">
        <f>IFERROR(VLOOKUP(C74,'спецификация'!B:AA,5,0)," ")</f>
        <v>AM.01.01.01.003.R.000223.09.21</v>
      </c>
      <c r="BI74" s="22"/>
      <c r="BJ74" s="22" t="str">
        <f>IFERROR(VLOOKUP(C74,'спецификация'!B:AA,6,0)," ")</f>
        <v>ЧЗ</v>
      </c>
      <c r="BK74" s="43"/>
      <c r="BL74" s="43"/>
      <c r="BM74" s="22" t="str">
        <f>IFERROR(VLOOKUP(BF74,'спецификация'!D:H,5,0)," ")</f>
        <v>гидролизованный говяжий коллаген, мальтодекстрин,  аскорбиновая кислота,  витаминный комплекс (биотин, аскорбиновая кислота, никотиновая кислота, токоферол, пантотеновая кислота, цианокобаламин, пиридоксин, тиамин, ретинол, рибофлавин, кальциферол), сукралоза.</v>
      </c>
      <c r="BN74" s="43"/>
      <c r="BO74" s="22" t="str">
        <f>IFERROR(VLOOKUP(C74,'спецификация'!B:AA,10,0)," ")</f>
        <v>6 г продукта (1 полная мерная ложка) смешать с 100-150 мл воды или любого напитка,  принимать утром за 30 минут перед приёмом пищи 1 раз в день.
</v>
      </c>
      <c r="BP74" s="43" t="str">
        <f>IFERROR(VLOOKUP(C74,'спецификация'!B:AA,11,0)," ")</f>
        <v>Противопоказания: индивидуальная непереносимость компонентов продукта, беременность и кормление грудью. Перед применением проконсультироваться со специалистом.</v>
      </c>
      <c r="BQ74" s="22" t="str">
        <f>IFERROR(VLOOKUP(C74,'спецификация'!B:AA,12,0)," ")</f>
        <v>хранить в оригинальной закрытой упаковке, в сухом, защищённом от света и недоступном для детей месте, при температуре не ниже 0° C и не выше +25°C.
</v>
      </c>
      <c r="BR74" s="22">
        <v>180.0</v>
      </c>
      <c r="BS74" s="22" t="s">
        <v>580</v>
      </c>
      <c r="BT74" s="22"/>
      <c r="BU74" s="22"/>
      <c r="BV74" s="22" t="s">
        <v>1329</v>
      </c>
      <c r="BW74" s="45" t="str">
        <f>IFERROR(VLOOKUP(C74,'спецификация'!B:AA,16,0)," ")</f>
        <v/>
      </c>
      <c r="BX74" s="43"/>
      <c r="BY74" s="43"/>
      <c r="BZ74" s="44" t="str">
        <f>IFERROR(VLOOKUP(BF74,'спецификация'!D:Y,22,0)," ")</f>
        <v>https://drive.google.com/drive/u/0/folders/1laOtCuGP_2gVwQB0hi0Z2hDLAG9AlW_F</v>
      </c>
      <c r="CA74" s="43"/>
      <c r="CB74" s="43"/>
      <c r="CC74" s="43"/>
      <c r="CD74" s="43"/>
      <c r="CE74" s="43"/>
      <c r="CF74" s="43"/>
      <c r="CG74" s="49">
        <f>IFERROR(VLOOKUP(C74,CC!A:D,4,0)," ")</f>
        <v>342</v>
      </c>
      <c r="CH74" s="22" t="str">
        <f>IFERROR(VLOOKUP(C74,'спецификация'!B:AA,19,0)," ")</f>
        <v>ООО «Жива Продукт ПРО». 350062, Россия, Краснодарский край, город Краснодар, улица Казбекская, дом 17, кв. (оф.) 85</v>
      </c>
      <c r="CI74" s="22"/>
      <c r="CJ74" s="22" t="s">
        <v>495</v>
      </c>
      <c r="CK74" s="22" t="str">
        <f>IFERROR(VLOOKUP(C74,CC!K:M,3,0)," ")</f>
        <v> </v>
      </c>
      <c r="CL74" s="43"/>
      <c r="CM74" s="43"/>
      <c r="CN74" s="43"/>
      <c r="CO74" s="43"/>
      <c r="CP74" s="43"/>
      <c r="CQ74" s="43"/>
      <c r="CR74" s="43"/>
      <c r="CS74" s="43" t="b">
        <v>0</v>
      </c>
      <c r="CT74" s="43" t="b">
        <v>0</v>
      </c>
      <c r="CU74" s="43" t="b">
        <v>0</v>
      </c>
      <c r="CV74" s="43" t="b">
        <v>0</v>
      </c>
      <c r="CW74" s="43"/>
      <c r="CX74" s="43"/>
      <c r="CY74" s="43"/>
      <c r="CZ74" s="43"/>
      <c r="DA74" s="43"/>
      <c r="DB74" s="43"/>
      <c r="DC74" s="43"/>
      <c r="DD74" s="22">
        <f>IFERROR(VLOOKUP($C74,'Лист4'!$D:$AI,27,0)," ")</f>
        <v>13</v>
      </c>
      <c r="DE74" s="22">
        <f>IFERROR(VLOOKUP($C74,'Лист4'!$D:$AI,28,0)," ")</f>
        <v>8</v>
      </c>
      <c r="DF74" s="22">
        <f>IFERROR(VLOOKUP($C74,'Лист4'!$D:$AI,29,0)," ")</f>
        <v>13</v>
      </c>
      <c r="DG74" s="22">
        <f t="shared" si="3"/>
        <v>1352</v>
      </c>
      <c r="DH74" s="22">
        <f>IFERROR(VLOOKUP($C74,'Лист4'!$D:$AI,32,0)," ")</f>
        <v>0.245</v>
      </c>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43"/>
      <c r="EN74" s="43"/>
      <c r="EO74" s="43"/>
      <c r="EP74" s="43"/>
      <c r="EQ74" s="43"/>
      <c r="ER74" s="43"/>
      <c r="ES74" s="43"/>
      <c r="ET74" s="43"/>
      <c r="EU74" s="43"/>
      <c r="EV74" s="43"/>
      <c r="EW74" s="43"/>
      <c r="EX74" s="43"/>
      <c r="EY74" s="43"/>
      <c r="EZ74" s="43"/>
      <c r="FA74" s="43"/>
      <c r="FB74" s="43"/>
      <c r="FC74" s="43"/>
    </row>
    <row r="75" ht="18.0" customHeight="1">
      <c r="A75" s="2"/>
      <c r="B75" s="22" t="str">
        <f>IFERROR(VLOOKUP(C75,'Реестр'!C:AC,27,0)," ")</f>
        <v>Биг-Л</v>
      </c>
      <c r="C75" s="43" t="s">
        <v>1331</v>
      </c>
      <c r="D75" s="22" t="str">
        <f>IFERROR(VLOOKUP(C75,'Лист4'!D:P,13,0)," ")</f>
        <v>qeep</v>
      </c>
      <c r="E75" s="22" t="str">
        <f>IF(OR(ISERROR(VLOOKUP(C75,'Актуальность'!A:B,2,0)), VLOOKUP(C75,'Актуальность'!A:B,2,0)=""), "Актуальный", VLOOKUP(C75,'Актуальность'!A:B,2,0))</f>
        <v>Вывод</v>
      </c>
      <c r="F75" s="43" t="str">
        <f>IFERROR(VLOOKUP(C75,'Актуальность'!A:C,3,0)," ")</f>
        <v/>
      </c>
      <c r="G75" s="43"/>
      <c r="H75" s="22" t="s">
        <v>361</v>
      </c>
      <c r="I75" s="22" t="s">
        <v>1272</v>
      </c>
      <c r="J75" s="43"/>
      <c r="K75" s="43"/>
      <c r="L75" s="22" t="b">
        <f t="shared" ref="L75:R75" si="71">T75&lt;&gt;""</f>
        <v>1</v>
      </c>
      <c r="M75" s="22" t="b">
        <f t="shared" si="71"/>
        <v>1</v>
      </c>
      <c r="N75" s="22" t="b">
        <f t="shared" si="71"/>
        <v>1</v>
      </c>
      <c r="O75" s="22" t="b">
        <f t="shared" si="71"/>
        <v>1</v>
      </c>
      <c r="P75" s="22" t="b">
        <f t="shared" si="71"/>
        <v>0</v>
      </c>
      <c r="Q75" s="22" t="b">
        <f t="shared" si="71"/>
        <v>0</v>
      </c>
      <c r="R75" s="22" t="b">
        <f t="shared" si="71"/>
        <v>0</v>
      </c>
      <c r="S75" s="43"/>
      <c r="T75" s="43" t="str">
        <f>IFERROR(VLOOKUP( C75,'1С'!A:B,2,0)," ")</f>
        <v>QB101100448</v>
      </c>
      <c r="U75" s="22" t="str">
        <f>IFERROR(VLOOKUP(T75,'Лист4'!C:I,3,0)," ")</f>
        <v>qeepcollagen_peptides_lemon</v>
      </c>
      <c r="V75" s="22" t="str">
        <f>IFERROR(VLOOKUP(T75,'Лист4'!C:I,4,0)," ")</f>
        <v>qeepcollagen_peptides_lemon</v>
      </c>
      <c r="W75" s="22" t="str">
        <f>IFERROR(VLOOKUP(T75,'Лист4'!C:I,5,0)," ")</f>
        <v>qeepcollagen_peptides_lemon</v>
      </c>
      <c r="X75" s="43" t="str">
        <f>IFERROR(VLOOKUP(T75,'Лист4'!C:I,7,0)," ")</f>
        <v/>
      </c>
      <c r="Y75" s="43" t="str">
        <f>IFERROR(VLOOKUP(T75,'Лист4'!C:I,6,0)," ")</f>
        <v/>
      </c>
      <c r="Z75" s="43"/>
      <c r="AA75" s="43"/>
      <c r="AB75" s="22">
        <v>1.31852033E8</v>
      </c>
      <c r="AC75" s="22">
        <v>7.7232793E8</v>
      </c>
      <c r="AD75" s="22">
        <v>1.01841345736E11</v>
      </c>
      <c r="AE75" s="22"/>
      <c r="AF75" s="22"/>
      <c r="AG75" s="43"/>
      <c r="AH75" s="43"/>
      <c r="AI75" s="43" t="str">
        <f>IFERROR(VLOOKUP(T75,'1С'!B:C,2,0)," ")</f>
        <v>БАД Коллаген порошок со вкусом Лимона ,qeep, 30 порций</v>
      </c>
      <c r="AJ75" s="22" t="s">
        <v>1334</v>
      </c>
      <c r="AK75" s="22" t="s">
        <v>1335</v>
      </c>
      <c r="AL75" s="22" t="s">
        <v>1335</v>
      </c>
      <c r="AM75" s="43"/>
      <c r="AN75" s="43"/>
      <c r="AO75" s="43"/>
      <c r="AP75" s="43"/>
      <c r="AQ75" s="46" t="s">
        <v>1336</v>
      </c>
      <c r="AR75" s="46" t="s">
        <v>1337</v>
      </c>
      <c r="AS75" s="46" t="s">
        <v>1338</v>
      </c>
      <c r="AT75" s="43"/>
      <c r="AU75" s="43"/>
      <c r="AV75" s="43"/>
      <c r="AW75" s="43"/>
      <c r="AX75" s="22" t="s">
        <v>1279</v>
      </c>
      <c r="AY75" s="22" t="s">
        <v>1335</v>
      </c>
      <c r="AZ75" s="22" t="s">
        <v>372</v>
      </c>
      <c r="BA75" s="43"/>
      <c r="BB75" s="43"/>
      <c r="BC75" s="43"/>
      <c r="BD75" s="43"/>
      <c r="BE75" s="43"/>
      <c r="BF75" s="22">
        <f>IFERROR(VLOOKUP(C75,'спецификация'!B:D,3,0)," ")</f>
        <v>4630205140179</v>
      </c>
      <c r="BG75" s="22">
        <v>3.504009E9</v>
      </c>
      <c r="BH75" s="22" t="str">
        <f>IFERROR(VLOOKUP(C75,'спецификация'!B:AA,5,0)," ")</f>
        <v>AM.01.01.01.003.R.000223.09.21</v>
      </c>
      <c r="BI75" s="22"/>
      <c r="BJ75" s="22" t="str">
        <f>IFERROR(VLOOKUP(C75,'спецификация'!B:AA,6,0)," ")</f>
        <v>ЧЗ</v>
      </c>
      <c r="BK75" s="43"/>
      <c r="BL75" s="43"/>
      <c r="BM75" s="22" t="str">
        <f>IFERROR(VLOOKUP(BF75,'спецификация'!D:H,5,0)," ")</f>
        <v> гидролизованный говяжий коллаген, мальтодекстрин, аскорбиновая кислота,  витаминный комплекс (биотин, аскорбиновая кислота, никотиновая кислота, токоферол, пантотеновая кислота, цианокобаламин, пиридоксин, тиамин, ретинол, рибофлавин, кальциферол), сукралоза. 
</v>
      </c>
      <c r="BN75" s="43"/>
      <c r="BO75" s="22" t="str">
        <f>IFERROR(VLOOKUP(C75,'спецификация'!B:AA,10,0)," ")</f>
        <v>6 г продукта (1 полная мерная ложка) смешать с 100-150 мл воды или любого напитка,  принимать утром за 30 минут перед приёмом пищи 1 раз в день.
</v>
      </c>
      <c r="BP75" s="43" t="str">
        <f>IFERROR(VLOOKUP(C75,'спецификация'!B:AA,11,0)," ")</f>
        <v>Противопоказания: индивидуальная непереносимость компонентов продукта, беременность и кормление грудью. Перед применением проконсультироваться со специалистом.</v>
      </c>
      <c r="BQ75" s="22" t="str">
        <f>IFERROR(VLOOKUP(C75,'спецификация'!B:AA,12,0)," ")</f>
        <v>хранить в оригинальной закрытой упаковке, в сухом, защищённом от света и недоступном для детей месте, при температуре не ниже 0° C и не выше +25°C.
</v>
      </c>
      <c r="BR75" s="22">
        <v>180.0</v>
      </c>
      <c r="BS75" s="22" t="s">
        <v>580</v>
      </c>
      <c r="BT75" s="22"/>
      <c r="BU75" s="22"/>
      <c r="BV75" s="22" t="s">
        <v>1329</v>
      </c>
      <c r="BW75" s="45" t="str">
        <f>IFERROR(VLOOKUP(C75,'спецификация'!B:AA,16,0)," ")</f>
        <v/>
      </c>
      <c r="BX75" s="43"/>
      <c r="BY75" s="43"/>
      <c r="BZ75" s="44" t="str">
        <f>IFERROR(VLOOKUP(BF75,'спецификация'!D:Y,22,0)," ")</f>
        <v>https://drive.google.com/drive/u/0/folders/1laOtCuGP_2gVwQB0hi0Z2hDLAG9AlW_F</v>
      </c>
      <c r="CA75" s="43"/>
      <c r="CB75" s="43"/>
      <c r="CC75" s="43"/>
      <c r="CD75" s="43"/>
      <c r="CE75" s="43"/>
      <c r="CF75" s="43"/>
      <c r="CG75" s="49">
        <f>IFERROR(VLOOKUP(C75,CC!A:D,4,0)," ")</f>
        <v>356</v>
      </c>
      <c r="CH75" s="22" t="str">
        <f>IFERROR(VLOOKUP(C75,'спецификация'!B:AA,19,0)," ")</f>
        <v>ООО «Жива Продукт ПРО». 350062, Россия, Краснодарский край, город Краснодар, улица Казбекская, дом 17, кв. (оф.) 85</v>
      </c>
      <c r="CI75" s="22"/>
      <c r="CJ75" s="22" t="s">
        <v>495</v>
      </c>
      <c r="CK75" s="22" t="str">
        <f>IFERROR(VLOOKUP(C75,CC!K:M,3,0)," ")</f>
        <v> </v>
      </c>
      <c r="CL75" s="43"/>
      <c r="CM75" s="43"/>
      <c r="CN75" s="43"/>
      <c r="CO75" s="43"/>
      <c r="CP75" s="43"/>
      <c r="CQ75" s="43"/>
      <c r="CR75" s="43"/>
      <c r="CS75" s="43" t="b">
        <v>0</v>
      </c>
      <c r="CT75" s="43" t="b">
        <v>0</v>
      </c>
      <c r="CU75" s="43" t="b">
        <v>0</v>
      </c>
      <c r="CV75" s="43" t="b">
        <v>0</v>
      </c>
      <c r="CW75" s="43"/>
      <c r="CX75" s="43"/>
      <c r="CY75" s="43"/>
      <c r="CZ75" s="43"/>
      <c r="DA75" s="43"/>
      <c r="DB75" s="43"/>
      <c r="DC75" s="43"/>
      <c r="DD75" s="22">
        <f>IFERROR(VLOOKUP($C75,'Лист4'!$D:$AI,27,0)," ")</f>
        <v>13</v>
      </c>
      <c r="DE75" s="22">
        <f>IFERROR(VLOOKUP($C75,'Лист4'!$D:$AI,28,0)," ")</f>
        <v>8</v>
      </c>
      <c r="DF75" s="22">
        <f>IFERROR(VLOOKUP($C75,'Лист4'!$D:$AI,29,0)," ")</f>
        <v>13</v>
      </c>
      <c r="DG75" s="22">
        <f t="shared" si="3"/>
        <v>1352</v>
      </c>
      <c r="DH75" s="22">
        <f>IFERROR(VLOOKUP($C75,'Лист4'!$D:$AI,32,0)," ")</f>
        <v>0.248</v>
      </c>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43"/>
      <c r="EN75" s="43"/>
      <c r="EO75" s="43"/>
      <c r="EP75" s="43"/>
      <c r="EQ75" s="43"/>
      <c r="ER75" s="43"/>
      <c r="ES75" s="43"/>
      <c r="ET75" s="43"/>
      <c r="EU75" s="43"/>
      <c r="EV75" s="43"/>
      <c r="EW75" s="43"/>
      <c r="EX75" s="43"/>
      <c r="EY75" s="43"/>
      <c r="EZ75" s="43"/>
      <c r="FA75" s="43"/>
      <c r="FB75" s="43"/>
      <c r="FC75" s="43"/>
    </row>
    <row r="76" ht="18.0" customHeight="1">
      <c r="A76" s="2"/>
      <c r="B76" s="22" t="str">
        <f>IFERROR(VLOOKUP(C76,'Реестр'!C:AC,27,0)," ")</f>
        <v>Биг-Л</v>
      </c>
      <c r="C76" s="43" t="s">
        <v>1341</v>
      </c>
      <c r="D76" s="22" t="str">
        <f>IFERROR(VLOOKUP(C76,'Лист4'!D:P,13,0)," ")</f>
        <v>qeep</v>
      </c>
      <c r="E76" s="22" t="str">
        <f>IF(OR(ISERROR(VLOOKUP(C76,'Актуальность'!A:B,2,0)), VLOOKUP(C76,'Актуальность'!A:B,2,0)=""), "Актуальный", VLOOKUP(C76,'Актуальность'!A:B,2,0))</f>
        <v>Вывод</v>
      </c>
      <c r="F76" s="43" t="str">
        <f>IFERROR(VLOOKUP(C76,'Актуальность'!A:C,3,0)," ")</f>
        <v/>
      </c>
      <c r="G76" s="43"/>
      <c r="H76" s="22" t="s">
        <v>361</v>
      </c>
      <c r="I76" s="22" t="s">
        <v>1272</v>
      </c>
      <c r="J76" s="43"/>
      <c r="K76" s="43"/>
      <c r="L76" s="22" t="b">
        <f t="shared" ref="L76:R76" si="72">T76&lt;&gt;""</f>
        <v>1</v>
      </c>
      <c r="M76" s="22" t="b">
        <f t="shared" si="72"/>
        <v>1</v>
      </c>
      <c r="N76" s="22" t="b">
        <f t="shared" si="72"/>
        <v>1</v>
      </c>
      <c r="O76" s="22" t="b">
        <f t="shared" si="72"/>
        <v>1</v>
      </c>
      <c r="P76" s="22" t="b">
        <f t="shared" si="72"/>
        <v>0</v>
      </c>
      <c r="Q76" s="22" t="b">
        <f t="shared" si="72"/>
        <v>0</v>
      </c>
      <c r="R76" s="22" t="b">
        <f t="shared" si="72"/>
        <v>0</v>
      </c>
      <c r="S76" s="43"/>
      <c r="T76" s="43" t="str">
        <f>IFERROR(VLOOKUP( C76,'1С'!A:B,2,0)," ")</f>
        <v>QB101100449</v>
      </c>
      <c r="U76" s="22" t="str">
        <f>IFERROR(VLOOKUP(T76,'Лист4'!C:I,3,0)," ")</f>
        <v>qeepcollagen_peptides_mango</v>
      </c>
      <c r="V76" s="22" t="str">
        <f>IFERROR(VLOOKUP(T76,'Лист4'!C:I,4,0)," ")</f>
        <v>qeepcollagen_peptides_mango</v>
      </c>
      <c r="W76" s="22" t="str">
        <f>IFERROR(VLOOKUP(T76,'Лист4'!C:I,5,0)," ")</f>
        <v>qeepcollagen_peptides_mango</v>
      </c>
      <c r="X76" s="43" t="str">
        <f>IFERROR(VLOOKUP(T76,'Лист4'!C:I,7,0)," ")</f>
        <v/>
      </c>
      <c r="Y76" s="43" t="str">
        <f>IFERROR(VLOOKUP(T76,'Лист4'!C:I,6,0)," ")</f>
        <v/>
      </c>
      <c r="Z76" s="43"/>
      <c r="AA76" s="43"/>
      <c r="AB76" s="22">
        <v>1.31852032E8</v>
      </c>
      <c r="AC76" s="22">
        <v>7.71659759E8</v>
      </c>
      <c r="AD76" s="22">
        <v>1.01841345737E11</v>
      </c>
      <c r="AE76" s="22"/>
      <c r="AF76" s="22"/>
      <c r="AG76" s="43"/>
      <c r="AH76" s="43"/>
      <c r="AI76" s="43" t="str">
        <f>IFERROR(VLOOKUP(T76,'1С'!B:C,2,0)," ")</f>
        <v>БАД Коллаген порошок со вкусом Манго ,qeep, 30 порций</v>
      </c>
      <c r="AJ76" s="22" t="s">
        <v>1344</v>
      </c>
      <c r="AK76" s="22" t="s">
        <v>1345</v>
      </c>
      <c r="AL76" s="22" t="s">
        <v>1345</v>
      </c>
      <c r="AM76" s="43"/>
      <c r="AN76" s="43"/>
      <c r="AO76" s="43"/>
      <c r="AP76" s="43"/>
      <c r="AQ76" s="46" t="s">
        <v>1346</v>
      </c>
      <c r="AR76" s="46" t="s">
        <v>1347</v>
      </c>
      <c r="AS76" s="46" t="s">
        <v>1348</v>
      </c>
      <c r="AT76" s="43"/>
      <c r="AU76" s="43"/>
      <c r="AV76" s="43"/>
      <c r="AW76" s="43"/>
      <c r="AX76" s="22" t="s">
        <v>1279</v>
      </c>
      <c r="AY76" s="22" t="s">
        <v>1345</v>
      </c>
      <c r="AZ76" s="22" t="s">
        <v>372</v>
      </c>
      <c r="BA76" s="43"/>
      <c r="BB76" s="43"/>
      <c r="BC76" s="43"/>
      <c r="BD76" s="43"/>
      <c r="BE76" s="43"/>
      <c r="BF76" s="22">
        <f>IFERROR(VLOOKUP(C76,'спецификация'!B:D,3,0)," ")</f>
        <v>4630205140322</v>
      </c>
      <c r="BG76" s="22">
        <v>3.504009E9</v>
      </c>
      <c r="BH76" s="22" t="str">
        <f>IFERROR(VLOOKUP(C76,'спецификация'!B:AA,5,0)," ")</f>
        <v>AM.01.01.01.003.R.000223.09.21</v>
      </c>
      <c r="BI76" s="46" t="s">
        <v>1349</v>
      </c>
      <c r="BJ76" s="22" t="str">
        <f>IFERROR(VLOOKUP(C76,'спецификация'!B:AA,6,0)," ")</f>
        <v>ЧЗ</v>
      </c>
      <c r="BK76" s="43"/>
      <c r="BL76" s="43"/>
      <c r="BM76" s="22" t="str">
        <f>IFERROR(VLOOKUP(BF76,'спецификация'!D:H,5,0)," ")</f>
        <v> гидролизованный говяжий коллаген, мальтодекстрин,  аскорбиновая кислота,  витаминный комплекс (биотин, аскорбиновая кислота, никотиновая кислота, токоферол, пантотеновая кислота, цианокобаламин, пиридоксин, тиамин, ретинол, рибофлавин, кальциферол), сукралоза. 
</v>
      </c>
      <c r="BN76" s="43"/>
      <c r="BO76" s="22" t="str">
        <f>IFERROR(VLOOKUP(C76,'спецификация'!B:AA,10,0)," ")</f>
        <v>6 г продукта (1 полная мерная ложка) смешать с 100-150 мл воды или любого напитка,  принимать утром за 30 минут перед приёмом пищи 1 раз в день.
</v>
      </c>
      <c r="BP76" s="43" t="str">
        <f>IFERROR(VLOOKUP(C76,'спецификация'!B:AA,11,0)," ")</f>
        <v>Противопоказания: индивидуальная непереносимость компонентов продукта, беременность и кормление грудью. Перед применением проконсультироваться со специалистом.</v>
      </c>
      <c r="BQ76" s="22" t="str">
        <f>IFERROR(VLOOKUP(C76,'спецификация'!B:AA,12,0)," ")</f>
        <v>хранить в оригинальной закрытой упаковке, в сухом, защищённом от света и недоступном для детей месте, при температуре не ниже 0° C и не выше +25°C.
</v>
      </c>
      <c r="BR76" s="22">
        <v>180.0</v>
      </c>
      <c r="BS76" s="22" t="s">
        <v>580</v>
      </c>
      <c r="BT76" s="22"/>
      <c r="BU76" s="22"/>
      <c r="BV76" s="22" t="s">
        <v>1329</v>
      </c>
      <c r="BW76" s="45" t="str">
        <f>IFERROR(VLOOKUP(C76,'спецификация'!B:AA,16,0)," ")</f>
        <v/>
      </c>
      <c r="BX76" s="43"/>
      <c r="BY76" s="43"/>
      <c r="BZ76" s="44" t="str">
        <f>IFERROR(VLOOKUP(BF76,'спецификация'!D:Y,22,0)," ")</f>
        <v>https://drive.google.com/drive/u/0/folders/1laOtCuGP_2gVwQB0hi0Z2hDLAG9AlW_F</v>
      </c>
      <c r="CA76" s="43"/>
      <c r="CB76" s="43"/>
      <c r="CC76" s="43"/>
      <c r="CD76" s="43"/>
      <c r="CE76" s="43"/>
      <c r="CF76" s="43"/>
      <c r="CG76" s="49">
        <f>IFERROR(VLOOKUP(C76,CC!A:D,4,0)," ")</f>
        <v>356</v>
      </c>
      <c r="CH76" s="22" t="str">
        <f>IFERROR(VLOOKUP(C76,'спецификация'!B:AA,19,0)," ")</f>
        <v>ООО «Жива Продукт ПРО». 350062, Россия, Краснодарский край, город Краснодар, улица Казбекская, дом 17, кв. (оф.) 85</v>
      </c>
      <c r="CI76" s="22"/>
      <c r="CJ76" s="22" t="s">
        <v>495</v>
      </c>
      <c r="CK76" s="22" t="str">
        <f>IFERROR(VLOOKUP(C76,CC!K:M,3,0)," ")</f>
        <v> </v>
      </c>
      <c r="CL76" s="43"/>
      <c r="CM76" s="43"/>
      <c r="CN76" s="43"/>
      <c r="CO76" s="43"/>
      <c r="CP76" s="43"/>
      <c r="CQ76" s="43"/>
      <c r="CR76" s="43"/>
      <c r="CS76" s="43" t="b">
        <v>0</v>
      </c>
      <c r="CT76" s="43" t="b">
        <v>0</v>
      </c>
      <c r="CU76" s="43" t="b">
        <v>0</v>
      </c>
      <c r="CV76" s="43" t="b">
        <v>0</v>
      </c>
      <c r="CW76" s="43"/>
      <c r="CX76" s="43"/>
      <c r="CY76" s="43"/>
      <c r="CZ76" s="43"/>
      <c r="DA76" s="43"/>
      <c r="DB76" s="43"/>
      <c r="DC76" s="43"/>
      <c r="DD76" s="22">
        <f>IFERROR(VLOOKUP($C76,'Лист4'!$D:$AI,27,0)," ")</f>
        <v>8</v>
      </c>
      <c r="DE76" s="22">
        <f>IFERROR(VLOOKUP($C76,'Лист4'!$D:$AI,28,0)," ")</f>
        <v>8</v>
      </c>
      <c r="DF76" s="22">
        <f>IFERROR(VLOOKUP($C76,'Лист4'!$D:$AI,29,0)," ")</f>
        <v>8</v>
      </c>
      <c r="DG76" s="22">
        <f t="shared" si="3"/>
        <v>512</v>
      </c>
      <c r="DH76" s="22">
        <f>IFERROR(VLOOKUP($C76,'Лист4'!$D:$AI,32,0)," ")</f>
        <v>0.246</v>
      </c>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43"/>
      <c r="EN76" s="43"/>
      <c r="EO76" s="43"/>
      <c r="EP76" s="43"/>
      <c r="EQ76" s="43"/>
      <c r="ER76" s="43"/>
      <c r="ES76" s="43"/>
      <c r="ET76" s="43"/>
      <c r="EU76" s="43"/>
      <c r="EV76" s="43"/>
      <c r="EW76" s="43"/>
      <c r="EX76" s="43"/>
      <c r="EY76" s="43"/>
      <c r="EZ76" s="43"/>
      <c r="FA76" s="43"/>
      <c r="FB76" s="43"/>
      <c r="FC76" s="43"/>
    </row>
    <row r="77" ht="18.0" customHeight="1">
      <c r="A77" s="2"/>
      <c r="B77" s="22" t="str">
        <f>IFERROR(VLOOKUP(C77,'Реестр'!C:AC,27,0)," ")</f>
        <v>Биг-Л</v>
      </c>
      <c r="C77" s="43" t="s">
        <v>1351</v>
      </c>
      <c r="D77" s="22" t="str">
        <f>IFERROR(VLOOKUP(C77,'Лист4'!D:P,13,0)," ")</f>
        <v>Harly</v>
      </c>
      <c r="E77" s="22" t="str">
        <f>IF(OR(ISERROR(VLOOKUP(C77,'Актуальность'!A:B,2,0)), VLOOKUP(C77,'Актуальность'!A:B,2,0)=""), "Актуальный", VLOOKUP(C77,'Актуальность'!A:B,2,0))</f>
        <v>Актуальный</v>
      </c>
      <c r="F77" s="43" t="str">
        <f>IFERROR(VLOOKUP(C77,'Актуальность'!A:C,3,0)," ")</f>
        <v>В продажу</v>
      </c>
      <c r="G77" s="43"/>
      <c r="H77" s="22" t="s">
        <v>121</v>
      </c>
      <c r="I77" s="22" t="s">
        <v>1354</v>
      </c>
      <c r="J77" s="43"/>
      <c r="K77" s="43"/>
      <c r="L77" s="22" t="b">
        <f t="shared" ref="L77:R77" si="73">T77&lt;&gt;""</f>
        <v>1</v>
      </c>
      <c r="M77" s="22" t="b">
        <f t="shared" si="73"/>
        <v>1</v>
      </c>
      <c r="N77" s="22" t="b">
        <f t="shared" si="73"/>
        <v>1</v>
      </c>
      <c r="O77" s="22" t="b">
        <f t="shared" si="73"/>
        <v>1</v>
      </c>
      <c r="P77" s="22" t="b">
        <f t="shared" si="73"/>
        <v>0</v>
      </c>
      <c r="Q77" s="22" t="b">
        <f t="shared" si="73"/>
        <v>0</v>
      </c>
      <c r="R77" s="22" t="b">
        <f t="shared" si="73"/>
        <v>0</v>
      </c>
      <c r="S77" s="43"/>
      <c r="T77" s="43" t="str">
        <f>IFERROR(VLOOKUP( C77,'1С'!A:B,2,0)," ")</f>
        <v>HK101100403</v>
      </c>
      <c r="U77" s="22" t="str">
        <f>IFERROR(VLOOKUP(T77,'Лист4'!C:I,3,0)," ")</f>
        <v>harly_cat_premiumveal_2kg</v>
      </c>
      <c r="V77" s="22" t="str">
        <f>IFERROR(VLOOKUP(T77,'Лист4'!C:I,4,0)," ")</f>
        <v>harly_cat_premiumveal_2kg</v>
      </c>
      <c r="W77" s="22" t="str">
        <f>IFERROR(VLOOKUP(T77,'Лист4'!C:I,5,0)," ")</f>
        <v>harly_cat_premiumveal_2kg</v>
      </c>
      <c r="X77" s="43" t="str">
        <f>IFERROR(VLOOKUP(T77,'Лист4'!C:I,7,0)," ")</f>
        <v/>
      </c>
      <c r="Y77" s="43" t="str">
        <f>IFERROR(VLOOKUP(T77,'Лист4'!C:I,6,0)," ")</f>
        <v/>
      </c>
      <c r="Z77" s="43"/>
      <c r="AA77" s="43"/>
      <c r="AB77" s="22">
        <v>2.33855851E8</v>
      </c>
      <c r="AC77" s="22">
        <v>1.59664608E9</v>
      </c>
      <c r="AD77" s="22">
        <v>1.03396954722E11</v>
      </c>
      <c r="AE77" s="22"/>
      <c r="AF77" s="22"/>
      <c r="AG77" s="43"/>
      <c r="AH77" s="43"/>
      <c r="AI77" s="43" t="str">
        <f>IFERROR(VLOOKUP(T77,'1С'!B:C,2,0)," ")</f>
        <v>Сухой корм для стерилизованных кошек с телятиной, Harly, 2 кг</v>
      </c>
      <c r="AJ77" s="22" t="s">
        <v>1356</v>
      </c>
      <c r="AK77" s="22" t="s">
        <v>1357</v>
      </c>
      <c r="AL77" s="22" t="s">
        <v>1357</v>
      </c>
      <c r="AM77" s="43"/>
      <c r="AN77" s="43"/>
      <c r="AO77" s="43"/>
      <c r="AP77" s="43"/>
      <c r="AQ77" s="46" t="s">
        <v>1358</v>
      </c>
      <c r="AR77" s="46" t="s">
        <v>1359</v>
      </c>
      <c r="AS77" s="46" t="s">
        <v>1360</v>
      </c>
      <c r="AT77" s="43"/>
      <c r="AU77" s="43"/>
      <c r="AV77" s="43"/>
      <c r="AW77" s="43"/>
      <c r="AX77" s="22" t="s">
        <v>1361</v>
      </c>
      <c r="AY77" s="22" t="s">
        <v>1357</v>
      </c>
      <c r="AZ77" s="22" t="s">
        <v>1362</v>
      </c>
      <c r="BA77" s="43"/>
      <c r="BB77" s="43"/>
      <c r="BC77" s="43"/>
      <c r="BD77" s="43"/>
      <c r="BE77" s="43"/>
      <c r="BF77" s="22">
        <f>IFERROR(VLOOKUP(C77,'спецификация'!B:D,3,0)," ")</f>
        <v>4607077176643</v>
      </c>
      <c r="BG77" s="22">
        <v>2.309109E9</v>
      </c>
      <c r="BH77" s="22" t="str">
        <f>IFERROR(VLOOKUP(C77,'спецификация'!B:AA,5,0)," ")</f>
        <v>N РОСС RU Д-RU.PA01.B.48813/23 от 12.12.2023 до 13.02.2026</v>
      </c>
      <c r="BI77" s="46" t="s">
        <v>1364</v>
      </c>
      <c r="BJ77" s="22" t="str">
        <f>IFERROR(VLOOKUP(C77,'спецификация'!B:AA,6,0)," ")</f>
        <v>меркурий</v>
      </c>
      <c r="BK77" s="43"/>
      <c r="BL77" s="43"/>
      <c r="BM77" s="22" t="str">
        <f>IFERROR(VLOOKUP(BF77,'спецификация'!D:H,5,0)," ")</f>
        <v>мука телятины, мука рыбы, рис, горох зеленый, ячмень, жир индейки, сухая свекольная пульпа, белок гороховый, отруби, дрожжи, комплекс витаминно-минеральный, DL-митеонин, глюкозамин, хондроитин, черника, экстракт Юкки Шидигера, ФОС, МОС, холин, таурин.</v>
      </c>
      <c r="BN77" s="43"/>
      <c r="BO77" s="22" t="s">
        <v>1366</v>
      </c>
      <c r="BP77" s="43" t="str">
        <f>IFERROR(VLOOKUP(C77,'спецификация'!B:AA,11,0)," ")</f>
        <v/>
      </c>
      <c r="BQ77" s="22" t="s">
        <v>1367</v>
      </c>
      <c r="BR77" s="22">
        <v>2.0</v>
      </c>
      <c r="BS77" s="22" t="s">
        <v>1368</v>
      </c>
      <c r="BT77" s="22"/>
      <c r="BU77" s="22"/>
      <c r="BV77" s="22" t="s">
        <v>165</v>
      </c>
      <c r="BW77" s="44" t="str">
        <f>IFERROR(VLOOKUP(C77,'спецификация'!B:AA,16,0)," ")</f>
        <v>https://docs.google.com/document/d/1bVxcSjb02Qu4O2xm2kyyz7h5Gk_MSerXbDvddEXPC4I/edit</v>
      </c>
      <c r="BX77" s="43"/>
      <c r="BY77" s="43"/>
      <c r="BZ77" s="45" t="str">
        <f>IFERROR(VLOOKUP(BF77,'спецификация'!D:Y,22,0)," ")</f>
        <v/>
      </c>
      <c r="CA77" s="43"/>
      <c r="CB77" s="43"/>
      <c r="CC77" s="43"/>
      <c r="CD77" s="43"/>
      <c r="CE77" s="43"/>
      <c r="CF77" s="43"/>
      <c r="CG77" s="49">
        <f>IFERROR(VLOOKUP(C77,CC!A:D,4,0)," ")</f>
        <v>412</v>
      </c>
      <c r="CH77" s="22" t="str">
        <f>IFERROR(VLOOKUP(C77,'спецификация'!B:AA,19,0)," ")</f>
        <v>ООО "Технология успеха"</v>
      </c>
      <c r="CI77" s="22"/>
      <c r="CJ77" s="22" t="s">
        <v>1372</v>
      </c>
      <c r="CK77" s="22">
        <f>IFERROR(VLOOKUP(C77,CC!K:M,3,0)," ")</f>
        <v>60</v>
      </c>
      <c r="CL77" s="43"/>
      <c r="CM77" s="43"/>
      <c r="CN77" s="43"/>
      <c r="CO77" s="43"/>
      <c r="CP77" s="43"/>
      <c r="CQ77" s="43"/>
      <c r="CR77" s="43"/>
      <c r="CS77" s="43" t="b">
        <v>0</v>
      </c>
      <c r="CT77" s="43" t="b">
        <v>0</v>
      </c>
      <c r="CU77" s="43" t="b">
        <v>0</v>
      </c>
      <c r="CV77" s="43" t="b">
        <v>0</v>
      </c>
      <c r="CW77" s="43"/>
      <c r="CX77" s="43"/>
      <c r="CY77" s="43"/>
      <c r="CZ77" s="43"/>
      <c r="DA77" s="43"/>
      <c r="DB77" s="43"/>
      <c r="DC77" s="43"/>
      <c r="DD77" s="22">
        <f>IFERROR(VLOOKUP($C77,'Лист4'!$D:$AI,27,0)," ")</f>
        <v>37</v>
      </c>
      <c r="DE77" s="22">
        <f>IFERROR(VLOOKUP($C77,'Лист4'!$D:$AI,28,0)," ")</f>
        <v>6</v>
      </c>
      <c r="DF77" s="22">
        <f>IFERROR(VLOOKUP($C77,'Лист4'!$D:$AI,29,0)," ")</f>
        <v>37</v>
      </c>
      <c r="DG77" s="22">
        <f t="shared" si="3"/>
        <v>8214</v>
      </c>
      <c r="DH77" s="22">
        <f>IFERROR(VLOOKUP($C77,'Лист4'!$D:$AI,32,0)," ")</f>
        <v>2</v>
      </c>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43"/>
      <c r="EN77" s="43"/>
      <c r="EO77" s="43"/>
      <c r="EP77" s="43"/>
      <c r="EQ77" s="43"/>
      <c r="ER77" s="43"/>
      <c r="ES77" s="43"/>
      <c r="ET77" s="43"/>
      <c r="EU77" s="43"/>
      <c r="EV77" s="43"/>
      <c r="EW77" s="43"/>
      <c r="EX77" s="43"/>
      <c r="EY77" s="43"/>
      <c r="EZ77" s="43"/>
      <c r="FA77" s="43"/>
      <c r="FB77" s="43"/>
      <c r="FC77" s="43"/>
    </row>
    <row r="78" ht="18.0" customHeight="1">
      <c r="A78" s="2"/>
      <c r="B78" s="22" t="str">
        <f>IFERROR(VLOOKUP(C78,'Реестр'!C:AC,27,0)," ")</f>
        <v>Биг-Л</v>
      </c>
      <c r="C78" s="43" t="s">
        <v>1373</v>
      </c>
      <c r="D78" s="22" t="str">
        <f>IFERROR(VLOOKUP(C78,'Лист4'!D:P,13,0)," ")</f>
        <v>Harly</v>
      </c>
      <c r="E78" s="22" t="str">
        <f>IF(OR(ISERROR(VLOOKUP(C78,'Актуальность'!A:B,2,0)), VLOOKUP(C78,'Актуальность'!A:B,2,0)=""), "Актуальный", VLOOKUP(C78,'Актуальность'!A:B,2,0))</f>
        <v>Актуальный</v>
      </c>
      <c r="F78" s="43" t="str">
        <f>IFERROR(VLOOKUP(C78,'Актуальность'!A:C,3,0)," ")</f>
        <v>В продажу</v>
      </c>
      <c r="G78" s="43"/>
      <c r="H78" s="22" t="s">
        <v>121</v>
      </c>
      <c r="I78" s="22" t="s">
        <v>1354</v>
      </c>
      <c r="J78" s="43"/>
      <c r="K78" s="43"/>
      <c r="L78" s="22" t="b">
        <f t="shared" ref="L78:R78" si="74">T78&lt;&gt;""</f>
        <v>1</v>
      </c>
      <c r="M78" s="22" t="b">
        <f t="shared" si="74"/>
        <v>1</v>
      </c>
      <c r="N78" s="22" t="b">
        <f t="shared" si="74"/>
        <v>1</v>
      </c>
      <c r="O78" s="22" t="b">
        <f t="shared" si="74"/>
        <v>1</v>
      </c>
      <c r="P78" s="22" t="b">
        <f t="shared" si="74"/>
        <v>0</v>
      </c>
      <c r="Q78" s="22" t="b">
        <f t="shared" si="74"/>
        <v>0</v>
      </c>
      <c r="R78" s="22" t="b">
        <f t="shared" si="74"/>
        <v>0</v>
      </c>
      <c r="S78" s="43"/>
      <c r="T78" s="43" t="str">
        <f>IFERROR(VLOOKUP( C78,'1С'!A:B,2,0)," ")</f>
        <v>HK101100402</v>
      </c>
      <c r="U78" s="22" t="str">
        <f>IFERROR(VLOOKUP(T78,'Лист4'!C:I,3,0)," ")</f>
        <v>harly_cat_premiumturkey_2kg</v>
      </c>
      <c r="V78" s="22" t="str">
        <f>IFERROR(VLOOKUP(T78,'Лист4'!C:I,4,0)," ")</f>
        <v>harly_cat_premiumturkey_2kg</v>
      </c>
      <c r="W78" s="22" t="str">
        <f>IFERROR(VLOOKUP(T78,'Лист4'!C:I,5,0)," ")</f>
        <v>harly_cat_premiumturkey_2kg</v>
      </c>
      <c r="X78" s="43" t="str">
        <f>IFERROR(VLOOKUP(T78,'Лист4'!C:I,7,0)," ")</f>
        <v/>
      </c>
      <c r="Y78" s="43" t="str">
        <f>IFERROR(VLOOKUP(T78,'Лист4'!C:I,6,0)," ")</f>
        <v/>
      </c>
      <c r="Z78" s="43"/>
      <c r="AA78" s="43"/>
      <c r="AB78" s="22">
        <v>2.33815804E8</v>
      </c>
      <c r="AC78" s="22">
        <v>1.591515871E9</v>
      </c>
      <c r="AD78" s="22">
        <v>1.03396954723E11</v>
      </c>
      <c r="AE78" s="22"/>
      <c r="AF78" s="22"/>
      <c r="AG78" s="43"/>
      <c r="AH78" s="43"/>
      <c r="AI78" s="43" t="str">
        <f>IFERROR(VLOOKUP(T78,'1С'!B:C,2,0)," ")</f>
        <v>Сухой корм для стерилизованных кошек с индейкой, Harly,  2 кг</v>
      </c>
      <c r="AJ78" s="22" t="s">
        <v>1376</v>
      </c>
      <c r="AK78" s="22" t="s">
        <v>1377</v>
      </c>
      <c r="AL78" s="22" t="s">
        <v>1377</v>
      </c>
      <c r="AM78" s="43"/>
      <c r="AN78" s="43"/>
      <c r="AO78" s="43"/>
      <c r="AP78" s="43"/>
      <c r="AQ78" s="46" t="s">
        <v>1378</v>
      </c>
      <c r="AR78" s="46" t="s">
        <v>1379</v>
      </c>
      <c r="AS78" s="46" t="s">
        <v>1380</v>
      </c>
      <c r="AT78" s="43"/>
      <c r="AU78" s="43"/>
      <c r="AV78" s="43"/>
      <c r="AW78" s="43"/>
      <c r="AX78" s="22" t="s">
        <v>1361</v>
      </c>
      <c r="AY78" s="22" t="s">
        <v>1377</v>
      </c>
      <c r="AZ78" s="22" t="s">
        <v>1362</v>
      </c>
      <c r="BA78" s="43"/>
      <c r="BB78" s="43"/>
      <c r="BC78" s="43"/>
      <c r="BD78" s="43"/>
      <c r="BE78" s="43"/>
      <c r="BF78" s="22">
        <f>IFERROR(VLOOKUP(C78,'спецификация'!B:D,3,0)," ")</f>
        <v>4607077176636</v>
      </c>
      <c r="BG78" s="22">
        <v>2.309109E9</v>
      </c>
      <c r="BH78" s="22" t="str">
        <f>IFERROR(VLOOKUP(C78,'спецификация'!B:AA,5,0)," ")</f>
        <v>N РОСС RU Д-RU.PA01.B.48813/23 от 12.12.2023 до 13.02.2026</v>
      </c>
      <c r="BI78" s="22"/>
      <c r="BJ78" s="22" t="str">
        <f>IFERROR(VLOOKUP(C78,'спецификация'!B:AA,6,0)," ")</f>
        <v>меркурий</v>
      </c>
      <c r="BK78" s="43"/>
      <c r="BL78" s="43"/>
      <c r="BM78" s="22" t="str">
        <f>IFERROR(VLOOKUP(BF78,'спецификация'!D:H,5,0)," ")</f>
        <v>мука индейки, мука телятины, мука рыбы, рис, горох зеленый, ячмень, жир индейки, сухая свекольная пульпа, белок гороховый, отруби, дрожжи, комплекс витаминно-минеральный, DL-митеонин, глюкозамин, хондроитин, клюква, экстракт Юкки Шидигера, ФОС, МОС, холин, таурин.</v>
      </c>
      <c r="BN78" s="43"/>
      <c r="BO78" s="22" t="s">
        <v>1366</v>
      </c>
      <c r="BP78" s="43" t="str">
        <f>IFERROR(VLOOKUP(C78,'спецификация'!B:AA,11,0)," ")</f>
        <v/>
      </c>
      <c r="BQ78" s="22" t="s">
        <v>1367</v>
      </c>
      <c r="BR78" s="22">
        <v>2.0</v>
      </c>
      <c r="BS78" s="22" t="s">
        <v>1368</v>
      </c>
      <c r="BT78" s="22"/>
      <c r="BU78" s="22"/>
      <c r="BV78" s="22" t="s">
        <v>165</v>
      </c>
      <c r="BW78" s="44" t="str">
        <f>IFERROR(VLOOKUP(C78,'спецификация'!B:AA,16,0)," ")</f>
        <v>https://docs.google.com/document/d/1z3Xi6Rm4B7w0gH1-gPA6vn3wrilDXIRV5IP1lTbDhIc/edit</v>
      </c>
      <c r="BX78" s="43"/>
      <c r="BY78" s="43"/>
      <c r="BZ78" s="45" t="str">
        <f>IFERROR(VLOOKUP(BF78,'спецификация'!D:Y,22,0)," ")</f>
        <v/>
      </c>
      <c r="CA78" s="43"/>
      <c r="CB78" s="43"/>
      <c r="CC78" s="43"/>
      <c r="CD78" s="43"/>
      <c r="CE78" s="43"/>
      <c r="CF78" s="43"/>
      <c r="CG78" s="49">
        <f>IFERROR(VLOOKUP(C78,CC!A:D,4,0)," ")</f>
        <v>419</v>
      </c>
      <c r="CH78" s="22" t="str">
        <f>IFERROR(VLOOKUP(C78,'спецификация'!B:AA,19,0)," ")</f>
        <v>ООО "Технология успеха"</v>
      </c>
      <c r="CI78" s="22"/>
      <c r="CJ78" s="22" t="s">
        <v>1383</v>
      </c>
      <c r="CK78" s="22">
        <f>IFERROR(VLOOKUP(C78,CC!K:M,3,0)," ")</f>
        <v>60</v>
      </c>
      <c r="CL78" s="43"/>
      <c r="CM78" s="43"/>
      <c r="CN78" s="43"/>
      <c r="CO78" s="43"/>
      <c r="CP78" s="43"/>
      <c r="CQ78" s="43"/>
      <c r="CR78" s="43"/>
      <c r="CS78" s="43" t="b">
        <v>0</v>
      </c>
      <c r="CT78" s="43" t="b">
        <v>0</v>
      </c>
      <c r="CU78" s="43" t="b">
        <v>0</v>
      </c>
      <c r="CV78" s="43" t="b">
        <v>0</v>
      </c>
      <c r="CW78" s="43"/>
      <c r="CX78" s="43"/>
      <c r="CY78" s="43"/>
      <c r="CZ78" s="43"/>
      <c r="DA78" s="43"/>
      <c r="DB78" s="43"/>
      <c r="DC78" s="43"/>
      <c r="DD78" s="22">
        <f>IFERROR(VLOOKUP($C78,'Лист4'!$D:$AI,27,0)," ")</f>
        <v>37</v>
      </c>
      <c r="DE78" s="22">
        <f>IFERROR(VLOOKUP($C78,'Лист4'!$D:$AI,28,0)," ")</f>
        <v>6</v>
      </c>
      <c r="DF78" s="22">
        <f>IFERROR(VLOOKUP($C78,'Лист4'!$D:$AI,29,0)," ")</f>
        <v>37</v>
      </c>
      <c r="DG78" s="22">
        <f t="shared" si="3"/>
        <v>8214</v>
      </c>
      <c r="DH78" s="22">
        <f>IFERROR(VLOOKUP($C78,'Лист4'!$D:$AI,32,0)," ")</f>
        <v>2</v>
      </c>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43"/>
      <c r="EN78" s="43"/>
      <c r="EO78" s="43"/>
      <c r="EP78" s="43"/>
      <c r="EQ78" s="43"/>
      <c r="ER78" s="43"/>
      <c r="ES78" s="43"/>
      <c r="ET78" s="43"/>
      <c r="EU78" s="43"/>
      <c r="EV78" s="43"/>
      <c r="EW78" s="43"/>
      <c r="EX78" s="43"/>
      <c r="EY78" s="43"/>
      <c r="EZ78" s="43"/>
      <c r="FA78" s="43"/>
      <c r="FB78" s="43"/>
      <c r="FC78" s="43"/>
    </row>
    <row r="79" ht="18.0" customHeight="1">
      <c r="A79" s="2"/>
      <c r="B79" s="22" t="str">
        <f>IFERROR(VLOOKUP(C79,'Реестр'!C:AC,27,0)," ")</f>
        <v>Биг-Л</v>
      </c>
      <c r="C79" s="43" t="s">
        <v>1384</v>
      </c>
      <c r="D79" s="22" t="str">
        <f>IFERROR(VLOOKUP(C79,'Лист4'!D:P,13,0)," ")</f>
        <v>Harly</v>
      </c>
      <c r="E79" s="22" t="str">
        <f>IF(OR(ISERROR(VLOOKUP(C79,'Актуальность'!A:B,2,0)), VLOOKUP(C79,'Актуальность'!A:B,2,0)=""), "Актуальный", VLOOKUP(C79,'Актуальность'!A:B,2,0))</f>
        <v>Актуальный</v>
      </c>
      <c r="F79" s="43" t="str">
        <f>IFERROR(VLOOKUP(C79,'Актуальность'!A:C,3,0)," ")</f>
        <v>В продажу</v>
      </c>
      <c r="G79" s="43"/>
      <c r="H79" s="22" t="s">
        <v>121</v>
      </c>
      <c r="I79" s="22" t="s">
        <v>1386</v>
      </c>
      <c r="J79" s="43"/>
      <c r="K79" s="43"/>
      <c r="L79" s="22" t="b">
        <f t="shared" ref="L79:R79" si="75">T79&lt;&gt;""</f>
        <v>1</v>
      </c>
      <c r="M79" s="22" t="b">
        <f t="shared" si="75"/>
        <v>1</v>
      </c>
      <c r="N79" s="22" t="b">
        <f t="shared" si="75"/>
        <v>1</v>
      </c>
      <c r="O79" s="22" t="b">
        <f t="shared" si="75"/>
        <v>1</v>
      </c>
      <c r="P79" s="22" t="b">
        <f t="shared" si="75"/>
        <v>0</v>
      </c>
      <c r="Q79" s="22" t="b">
        <f t="shared" si="75"/>
        <v>0</v>
      </c>
      <c r="R79" s="22" t="b">
        <f t="shared" si="75"/>
        <v>0</v>
      </c>
      <c r="S79" s="43"/>
      <c r="T79" s="43" t="str">
        <f>IFERROR(VLOOKUP( C79,'1С'!A:B,2,0)," ")</f>
        <v>HK101100401</v>
      </c>
      <c r="U79" s="22" t="str">
        <f>IFERROR(VLOOKUP(T79,'Лист4'!C:I,3,0)," ")</f>
        <v>harly_dog_lamb_2kg</v>
      </c>
      <c r="V79" s="22" t="str">
        <f>IFERROR(VLOOKUP(T79,'Лист4'!C:I,4,0)," ")</f>
        <v>harly_dog_lamb_2kg</v>
      </c>
      <c r="W79" s="22" t="str">
        <f>IFERROR(VLOOKUP(T79,'Лист4'!C:I,5,0)," ")</f>
        <v>harly_dog_lamb_2kg</v>
      </c>
      <c r="X79" s="43" t="str">
        <f>IFERROR(VLOOKUP(T79,'Лист4'!C:I,7,0)," ")</f>
        <v/>
      </c>
      <c r="Y79" s="43" t="str">
        <f>IFERROR(VLOOKUP(T79,'Лист4'!C:I,6,0)," ")</f>
        <v/>
      </c>
      <c r="Z79" s="43"/>
      <c r="AA79" s="43"/>
      <c r="AB79" s="22">
        <v>2.63835222E8</v>
      </c>
      <c r="AC79" s="22">
        <v>1.703901908E9</v>
      </c>
      <c r="AD79" s="22">
        <v>1.03536211764E11</v>
      </c>
      <c r="AE79" s="22"/>
      <c r="AF79" s="22"/>
      <c r="AG79" s="43"/>
      <c r="AH79" s="43"/>
      <c r="AI79" s="43" t="str">
        <f>IFERROR(VLOOKUP(T79,'1С'!B:C,2,0)," ")</f>
        <v>Корм для собак мелких пород, ягненок ,Harly, 2 кг</v>
      </c>
      <c r="AJ79" s="22" t="s">
        <v>1388</v>
      </c>
      <c r="AK79" s="22" t="s">
        <v>1389</v>
      </c>
      <c r="AL79" s="22" t="s">
        <v>1390</v>
      </c>
      <c r="AM79" s="43"/>
      <c r="AN79" s="43"/>
      <c r="AO79" s="43"/>
      <c r="AP79" s="43"/>
      <c r="AQ79" s="46" t="s">
        <v>1391</v>
      </c>
      <c r="AR79" s="46" t="s">
        <v>1392</v>
      </c>
      <c r="AS79" s="46" t="s">
        <v>1393</v>
      </c>
      <c r="AT79" s="43"/>
      <c r="AU79" s="43"/>
      <c r="AV79" s="43"/>
      <c r="AW79" s="43"/>
      <c r="AX79" s="22" t="s">
        <v>1361</v>
      </c>
      <c r="AY79" s="22" t="s">
        <v>1389</v>
      </c>
      <c r="AZ79" s="22" t="s">
        <v>1394</v>
      </c>
      <c r="BA79" s="43"/>
      <c r="BB79" s="43"/>
      <c r="BC79" s="43"/>
      <c r="BD79" s="43"/>
      <c r="BE79" s="43"/>
      <c r="BF79" s="22" t="str">
        <f>IFERROR(VLOOKUP(C79,'спецификация'!B:D,3,0)," ")</f>
        <v>4607077176780</v>
      </c>
      <c r="BG79" s="22">
        <v>2.309109E9</v>
      </c>
      <c r="BH79" s="22" t="str">
        <f>IFERROR(VLOOKUP(C79,'спецификация'!B:AA,5,0)," ")</f>
        <v>ДС</v>
      </c>
      <c r="BI79" s="46" t="s">
        <v>1396</v>
      </c>
      <c r="BJ79" s="22" t="str">
        <f>IFERROR(VLOOKUP(C79,'спецификация'!B:AA,6,0)," ")</f>
        <v>меркурий</v>
      </c>
      <c r="BK79" s="43"/>
      <c r="BL79" s="43"/>
      <c r="BM79" s="22" t="str">
        <f>IFERROR(VLOOKUP(BF79,'спецификация'!D:H,5,0)," ")</f>
        <v>Состав: мука из ягненка, мука индейки, рис, ячмень, жир индейки, жом сахарной свеклы, ферментированный соевый белок, пивные дрожжи, комплекс витаминно-минеральный, яичный порошок,  ФОС, топинамбур, холин, семена льна, экстракт клюквы, рыбий жир, календула, экстракт зеленого чая</v>
      </c>
      <c r="BN79" s="43"/>
      <c r="BO79" s="22" t="s">
        <v>1366</v>
      </c>
      <c r="BP79" s="43" t="str">
        <f>IFERROR(VLOOKUP(C79,'спецификация'!B:AA,11,0)," ")</f>
        <v/>
      </c>
      <c r="BQ79" s="22" t="s">
        <v>1367</v>
      </c>
      <c r="BR79" s="22">
        <v>2.0</v>
      </c>
      <c r="BS79" s="22" t="s">
        <v>1368</v>
      </c>
      <c r="BT79" s="22"/>
      <c r="BU79" s="22"/>
      <c r="BV79" s="22" t="s">
        <v>165</v>
      </c>
      <c r="BW79" s="44" t="str">
        <f>IFERROR(VLOOKUP(C79,'спецификация'!B:AA,16,0)," ")</f>
        <v>https://docs.google.com/document/d/1JXITXTLUs5RYV-hpwzJE8YfWXmojb7guXAQH4FK7gKk/edit</v>
      </c>
      <c r="BX79" s="43"/>
      <c r="BY79" s="43"/>
      <c r="BZ79" s="45" t="str">
        <f>IFERROR(VLOOKUP(BF79,'спецификация'!D:Y,22,0)," ")</f>
        <v/>
      </c>
      <c r="CA79" s="43"/>
      <c r="CB79" s="43"/>
      <c r="CC79" s="43"/>
      <c r="CD79" s="43"/>
      <c r="CE79" s="43"/>
      <c r="CF79" s="43"/>
      <c r="CG79" s="49">
        <f>IFERROR(VLOOKUP(C79,CC!A:D,4,0)," ")</f>
        <v>368</v>
      </c>
      <c r="CH79" s="22" t="str">
        <f>IFERROR(VLOOKUP(C79,'спецификация'!B:AA,19,0)," ")</f>
        <v>ООО "Технология успеха"</v>
      </c>
      <c r="CI79" s="22"/>
      <c r="CJ79" s="22" t="s">
        <v>1399</v>
      </c>
      <c r="CK79" s="22">
        <f>IFERROR(VLOOKUP(C79,CC!K:M,3,0)," ")</f>
        <v>60</v>
      </c>
      <c r="CL79" s="43"/>
      <c r="CM79" s="43"/>
      <c r="CN79" s="43"/>
      <c r="CO79" s="43"/>
      <c r="CP79" s="43"/>
      <c r="CQ79" s="43"/>
      <c r="CR79" s="43"/>
      <c r="CS79" s="43" t="b">
        <v>0</v>
      </c>
      <c r="CT79" s="43" t="b">
        <v>0</v>
      </c>
      <c r="CU79" s="43" t="b">
        <v>0</v>
      </c>
      <c r="CV79" s="43" t="b">
        <v>0</v>
      </c>
      <c r="CW79" s="43"/>
      <c r="CX79" s="43"/>
      <c r="CY79" s="43"/>
      <c r="CZ79" s="43"/>
      <c r="DA79" s="43"/>
      <c r="DB79" s="43"/>
      <c r="DC79" s="43"/>
      <c r="DD79" s="22">
        <f>IFERROR(VLOOKUP($C79,'Лист4'!$D:$AI,27,0)," ")</f>
        <v>37</v>
      </c>
      <c r="DE79" s="22">
        <f>IFERROR(VLOOKUP($C79,'Лист4'!$D:$AI,28,0)," ")</f>
        <v>6</v>
      </c>
      <c r="DF79" s="22">
        <f>IFERROR(VLOOKUP($C79,'Лист4'!$D:$AI,29,0)," ")</f>
        <v>37</v>
      </c>
      <c r="DG79" s="22">
        <f t="shared" si="3"/>
        <v>8214</v>
      </c>
      <c r="DH79" s="22">
        <f>IFERROR(VLOOKUP($C79,'Лист4'!$D:$AI,32,0)," ")</f>
        <v>2</v>
      </c>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43"/>
      <c r="EN79" s="43"/>
      <c r="EO79" s="43"/>
      <c r="EP79" s="43"/>
      <c r="EQ79" s="43"/>
      <c r="ER79" s="43"/>
      <c r="ES79" s="43"/>
      <c r="ET79" s="43"/>
      <c r="EU79" s="43"/>
      <c r="EV79" s="43"/>
      <c r="EW79" s="43"/>
      <c r="EX79" s="43"/>
      <c r="EY79" s="43"/>
      <c r="EZ79" s="43"/>
      <c r="FA79" s="43"/>
      <c r="FB79" s="43"/>
      <c r="FC79" s="43"/>
    </row>
    <row r="80" ht="18.0" customHeight="1">
      <c r="A80" s="2"/>
      <c r="B80" s="22" t="str">
        <f>IFERROR(VLOOKUP(C80,'Реестр'!C:AC,27,0)," ")</f>
        <v>Биг-Л</v>
      </c>
      <c r="C80" s="43" t="s">
        <v>1400</v>
      </c>
      <c r="D80" s="22" t="str">
        <f>IFERROR(VLOOKUP(C80,'Лист4'!D:P,13,0)," ")</f>
        <v>Harly</v>
      </c>
      <c r="E80" s="22" t="str">
        <f>IF(OR(ISERROR(VLOOKUP(C80,'Актуальность'!A:B,2,0)), VLOOKUP(C80,'Актуальность'!A:B,2,0)=""), "Актуальный", VLOOKUP(C80,'Актуальность'!A:B,2,0))</f>
        <v>Актуальный</v>
      </c>
      <c r="F80" s="43" t="str">
        <f>IFERROR(VLOOKUP(C80,'Актуальность'!A:C,3,0)," ")</f>
        <v>В продажу</v>
      </c>
      <c r="G80" s="43"/>
      <c r="H80" s="22" t="s">
        <v>121</v>
      </c>
      <c r="I80" s="22" t="s">
        <v>1386</v>
      </c>
      <c r="J80" s="43"/>
      <c r="K80" s="43"/>
      <c r="L80" s="22" t="b">
        <f t="shared" ref="L80:R80" si="76">T80&lt;&gt;""</f>
        <v>1</v>
      </c>
      <c r="M80" s="22" t="b">
        <f t="shared" si="76"/>
        <v>1</v>
      </c>
      <c r="N80" s="22" t="b">
        <f t="shared" si="76"/>
        <v>1</v>
      </c>
      <c r="O80" s="22" t="b">
        <f t="shared" si="76"/>
        <v>1</v>
      </c>
      <c r="P80" s="22" t="b">
        <f t="shared" si="76"/>
        <v>0</v>
      </c>
      <c r="Q80" s="22" t="b">
        <f t="shared" si="76"/>
        <v>0</v>
      </c>
      <c r="R80" s="22" t="b">
        <f t="shared" si="76"/>
        <v>0</v>
      </c>
      <c r="S80" s="43"/>
      <c r="T80" s="43" t="str">
        <f>IFERROR(VLOOKUP( C80,'1С'!A:B,2,0)," ")</f>
        <v>HK101100400</v>
      </c>
      <c r="U80" s="22" t="str">
        <f>IFERROR(VLOOKUP(T80,'Лист4'!C:I,3,0)," ")</f>
        <v>harly_dog_turkey_2kg</v>
      </c>
      <c r="V80" s="22" t="str">
        <f>IFERROR(VLOOKUP(T80,'Лист4'!C:I,4,0)," ")</f>
        <v>harly_dog_turkey_2kg</v>
      </c>
      <c r="W80" s="22" t="str">
        <f>IFERROR(VLOOKUP(T80,'Лист4'!C:I,5,0)," ")</f>
        <v>harly_dog_turkey_2kg</v>
      </c>
      <c r="X80" s="43" t="str">
        <f>IFERROR(VLOOKUP(T80,'Лист4'!C:I,7,0)," ")</f>
        <v/>
      </c>
      <c r="Y80" s="43" t="str">
        <f>IFERROR(VLOOKUP(T80,'Лист4'!C:I,6,0)," ")</f>
        <v/>
      </c>
      <c r="Z80" s="43"/>
      <c r="AA80" s="43"/>
      <c r="AB80" s="22">
        <v>2.63831566E8</v>
      </c>
      <c r="AC80" s="22">
        <v>1.710553197E9</v>
      </c>
      <c r="AD80" s="22">
        <v>1.03553212446E11</v>
      </c>
      <c r="AE80" s="22"/>
      <c r="AF80" s="22"/>
      <c r="AG80" s="43"/>
      <c r="AH80" s="43"/>
      <c r="AI80" s="43" t="str">
        <f>IFERROR(VLOOKUP(T80,'1С'!B:C,2,0)," ")</f>
        <v>Корм для собак мелких пород, индейка ,Harly, 2 кг</v>
      </c>
      <c r="AJ80" s="22" t="s">
        <v>1403</v>
      </c>
      <c r="AK80" s="22" t="s">
        <v>1404</v>
      </c>
      <c r="AL80" s="22" t="s">
        <v>1405</v>
      </c>
      <c r="AM80" s="43"/>
      <c r="AN80" s="43"/>
      <c r="AO80" s="43"/>
      <c r="AP80" s="43"/>
      <c r="AQ80" s="46" t="s">
        <v>1406</v>
      </c>
      <c r="AR80" s="46" t="s">
        <v>1407</v>
      </c>
      <c r="AS80" s="43"/>
      <c r="AT80" s="43"/>
      <c r="AU80" s="43"/>
      <c r="AV80" s="43"/>
      <c r="AW80" s="43"/>
      <c r="AX80" s="22" t="s">
        <v>1361</v>
      </c>
      <c r="AY80" s="22" t="s">
        <v>1404</v>
      </c>
      <c r="AZ80" s="22" t="s">
        <v>1394</v>
      </c>
      <c r="BA80" s="43"/>
      <c r="BB80" s="43"/>
      <c r="BC80" s="43"/>
      <c r="BD80" s="43"/>
      <c r="BE80" s="43"/>
      <c r="BF80" s="22" t="str">
        <f>IFERROR(VLOOKUP(C80,'спецификация'!B:D,3,0)," ")</f>
        <v>4607077176773</v>
      </c>
      <c r="BG80" s="22">
        <v>2.309109E9</v>
      </c>
      <c r="BH80" s="22" t="str">
        <f>IFERROR(VLOOKUP(C80,'спецификация'!B:AA,5,0)," ")</f>
        <v>ДС</v>
      </c>
      <c r="BI80" s="22"/>
      <c r="BJ80" s="22" t="str">
        <f>IFERROR(VLOOKUP(C80,'спецификация'!B:AA,6,0)," ")</f>
        <v>меркурий</v>
      </c>
      <c r="BK80" s="43"/>
      <c r="BL80" s="43"/>
      <c r="BM80" s="22" t="str">
        <f>IFERROR(VLOOKUP(BF80,'спецификация'!D:H,5,0)," ")</f>
        <v>Состав: мука индейки, рис, ячмень, жир индейки, жом сахарной свеклы, ферментированный соевый белок, пивные дрожжи, комплекс витаминно-минеральный, яичный порошок,  ФОС, топинамбур, холин, семена льна, экстракт клюквы, рыбий жир, календула, экстракт зеленого чая</v>
      </c>
      <c r="BN80" s="43"/>
      <c r="BO80" s="22" t="s">
        <v>1366</v>
      </c>
      <c r="BP80" s="43" t="str">
        <f>IFERROR(VLOOKUP(C80,'спецификация'!B:AA,11,0)," ")</f>
        <v/>
      </c>
      <c r="BQ80" s="22" t="s">
        <v>1367</v>
      </c>
      <c r="BR80" s="22">
        <v>2.0</v>
      </c>
      <c r="BS80" s="22" t="s">
        <v>1368</v>
      </c>
      <c r="BT80" s="22"/>
      <c r="BU80" s="22"/>
      <c r="BV80" s="22" t="s">
        <v>165</v>
      </c>
      <c r="BW80" s="44" t="str">
        <f>IFERROR(VLOOKUP(C80,'спецификация'!B:AA,16,0)," ")</f>
        <v>https://docs.google.com/document/d/1dhIA-TYnETujFnJWsfNk1ecy7PdKqIt4QkQFk4PV4hQ/edit</v>
      </c>
      <c r="BX80" s="43"/>
      <c r="BY80" s="43"/>
      <c r="BZ80" s="45" t="str">
        <f>IFERROR(VLOOKUP(BF80,'спецификация'!D:Y,22,0)," ")</f>
        <v/>
      </c>
      <c r="CA80" s="43"/>
      <c r="CB80" s="43"/>
      <c r="CC80" s="43"/>
      <c r="CD80" s="43"/>
      <c r="CE80" s="43"/>
      <c r="CF80" s="43"/>
      <c r="CG80" s="49">
        <f>IFERROR(VLOOKUP(C80,CC!A:D,4,0)," ")</f>
        <v>344</v>
      </c>
      <c r="CH80" s="22" t="str">
        <f>IFERROR(VLOOKUP(C80,'спецификация'!B:AA,19,0)," ")</f>
        <v>ООО "Технология успеха"</v>
      </c>
      <c r="CI80" s="22"/>
      <c r="CJ80" s="22" t="s">
        <v>1399</v>
      </c>
      <c r="CK80" s="22">
        <f>IFERROR(VLOOKUP(C80,CC!K:M,3,0)," ")</f>
        <v>60</v>
      </c>
      <c r="CL80" s="43"/>
      <c r="CM80" s="43"/>
      <c r="CN80" s="43"/>
      <c r="CO80" s="43"/>
      <c r="CP80" s="43"/>
      <c r="CQ80" s="43"/>
      <c r="CR80" s="43"/>
      <c r="CS80" s="43" t="b">
        <v>0</v>
      </c>
      <c r="CT80" s="43" t="b">
        <v>0</v>
      </c>
      <c r="CU80" s="43" t="b">
        <v>0</v>
      </c>
      <c r="CV80" s="43" t="b">
        <v>0</v>
      </c>
      <c r="CW80" s="43"/>
      <c r="CX80" s="43"/>
      <c r="CY80" s="43"/>
      <c r="CZ80" s="43"/>
      <c r="DA80" s="43"/>
      <c r="DB80" s="43"/>
      <c r="DC80" s="43"/>
      <c r="DD80" s="22">
        <f>IFERROR(VLOOKUP($C80,'Лист4'!$D:$AI,27,0)," ")</f>
        <v>37</v>
      </c>
      <c r="DE80" s="22">
        <f>IFERROR(VLOOKUP($C80,'Лист4'!$D:$AI,28,0)," ")</f>
        <v>6</v>
      </c>
      <c r="DF80" s="22">
        <f>IFERROR(VLOOKUP($C80,'Лист4'!$D:$AI,29,0)," ")</f>
        <v>37</v>
      </c>
      <c r="DG80" s="22">
        <f t="shared" si="3"/>
        <v>8214</v>
      </c>
      <c r="DH80" s="22">
        <f>IFERROR(VLOOKUP($C80,'Лист4'!$D:$AI,32,0)," ")</f>
        <v>2</v>
      </c>
      <c r="DI80" s="22"/>
      <c r="DJ80" s="22"/>
      <c r="DK80" s="22"/>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43"/>
      <c r="EN80" s="43"/>
      <c r="EO80" s="43"/>
      <c r="EP80" s="43"/>
      <c r="EQ80" s="43"/>
      <c r="ER80" s="43"/>
      <c r="ES80" s="43"/>
      <c r="ET80" s="43"/>
      <c r="EU80" s="43"/>
      <c r="EV80" s="43"/>
      <c r="EW80" s="43"/>
      <c r="EX80" s="43"/>
      <c r="EY80" s="43"/>
      <c r="EZ80" s="43"/>
      <c r="FA80" s="43"/>
      <c r="FB80" s="43"/>
      <c r="FC80" s="43"/>
    </row>
    <row r="81" ht="18.0" customHeight="1">
      <c r="A81" s="2"/>
      <c r="B81" s="22" t="str">
        <f>IFERROR(VLOOKUP(C81,'Реестр'!C:AC,27,0)," ")</f>
        <v>Биг-Л</v>
      </c>
      <c r="C81" s="43" t="s">
        <v>1411</v>
      </c>
      <c r="D81" s="22" t="str">
        <f>IFERROR(VLOOKUP(C81,'Лист4'!D:P,13,0)," ")</f>
        <v>qeep</v>
      </c>
      <c r="E81" s="22" t="str">
        <f>IF(OR(ISERROR(VLOOKUP(C81,'Актуальность'!A:B,2,0)), VLOOKUP(C81,'Актуальность'!A:B,2,0)=""), "Актуальный", VLOOKUP(C81,'Актуальность'!A:B,2,0))</f>
        <v>Актуальный</v>
      </c>
      <c r="F81" s="43" t="str">
        <f>IFERROR(VLOOKUP(C81,'Актуальность'!A:C,3,0)," ")</f>
        <v/>
      </c>
      <c r="G81" s="43"/>
      <c r="H81" s="22" t="s">
        <v>286</v>
      </c>
      <c r="I81" s="22" t="s">
        <v>565</v>
      </c>
      <c r="J81" s="43"/>
      <c r="K81" s="43"/>
      <c r="L81" s="22" t="b">
        <f t="shared" ref="L81:R81" si="77">T81&lt;&gt;""</f>
        <v>1</v>
      </c>
      <c r="M81" s="22" t="b">
        <f t="shared" si="77"/>
        <v>1</v>
      </c>
      <c r="N81" s="22" t="b">
        <f t="shared" si="77"/>
        <v>1</v>
      </c>
      <c r="O81" s="22" t="b">
        <f t="shared" si="77"/>
        <v>1</v>
      </c>
      <c r="P81" s="22" t="b">
        <f t="shared" si="77"/>
        <v>0</v>
      </c>
      <c r="Q81" s="22" t="b">
        <f t="shared" si="77"/>
        <v>1</v>
      </c>
      <c r="R81" s="22" t="b">
        <f t="shared" si="77"/>
        <v>1</v>
      </c>
      <c r="S81" s="43"/>
      <c r="T81" s="43" t="str">
        <f>IFERROR(VLOOKUP( C81,'1С'!A:B,2,0)," ")</f>
        <v>QC101100401</v>
      </c>
      <c r="U81" s="22" t="str">
        <f>IFERROR(VLOOKUP(T81,'Лист4'!C:I,3,0)," ")</f>
        <v>qeep_bloodypeeling_30ml</v>
      </c>
      <c r="V81" s="22" t="str">
        <f>IFERROR(VLOOKUP(T81,'Лист4'!C:I,4,0)," ")</f>
        <v>qeep_bloodypeeling_30ml</v>
      </c>
      <c r="W81" s="22" t="str">
        <f>IFERROR(VLOOKUP(T81,'Лист4'!C:I,5,0)," ")</f>
        <v>qeep_bloodypeeling_30ml</v>
      </c>
      <c r="X81" s="43"/>
      <c r="Y81" s="43" t="str">
        <f>IFERROR(VLOOKUP(T81,'Лист4'!C:I,6,0)," ")</f>
        <v>qeep_bloodypeeling_30ml</v>
      </c>
      <c r="Z81" s="22" t="s">
        <v>1411</v>
      </c>
      <c r="AA81" s="43"/>
      <c r="AB81" s="22">
        <v>3.26154767E8</v>
      </c>
      <c r="AC81" s="22">
        <v>1.856657517E9</v>
      </c>
      <c r="AD81" s="22">
        <v>1.03812560928E11</v>
      </c>
      <c r="AE81" s="22"/>
      <c r="AF81" s="22" t="s">
        <v>1414</v>
      </c>
      <c r="AG81" s="22" t="s">
        <v>1415</v>
      </c>
      <c r="AH81" s="43"/>
      <c r="AI81" s="43" t="str">
        <f>IFERROR(VLOOKUP(T81,'1С'!B:C,2,0)," ")</f>
        <v>Пилинг кровавый для лица от прыщей, qeep, 30 мл</v>
      </c>
      <c r="AJ81" s="22" t="s">
        <v>1416</v>
      </c>
      <c r="AK81" s="22" t="s">
        <v>1417</v>
      </c>
      <c r="AL81" s="22" t="s">
        <v>1418</v>
      </c>
      <c r="AM81" s="43"/>
      <c r="AN81" s="22" t="s">
        <v>1419</v>
      </c>
      <c r="AO81" s="22" t="s">
        <v>1420</v>
      </c>
      <c r="AP81" s="43"/>
      <c r="AQ81" s="46" t="s">
        <v>1421</v>
      </c>
      <c r="AR81" s="46" t="s">
        <v>1422</v>
      </c>
      <c r="AS81" s="46" t="s">
        <v>1423</v>
      </c>
      <c r="AT81" s="43"/>
      <c r="AU81" s="46" t="s">
        <v>1424</v>
      </c>
      <c r="AV81" s="46" t="s">
        <v>1425</v>
      </c>
      <c r="AW81" s="43"/>
      <c r="AX81" s="22" t="s">
        <v>1426</v>
      </c>
      <c r="AY81" s="22" t="s">
        <v>1417</v>
      </c>
      <c r="AZ81" s="22" t="s">
        <v>595</v>
      </c>
      <c r="BA81" s="43"/>
      <c r="BB81" s="22" t="s">
        <v>1427</v>
      </c>
      <c r="BC81" s="22" t="s">
        <v>1428</v>
      </c>
      <c r="BD81" s="43"/>
      <c r="BE81" s="43"/>
      <c r="BF81" s="22" t="str">
        <f>IFERROR(VLOOKUP(C81,'спецификация'!B:D,3,0)," ")</f>
        <v>4670020498239; 4640523970037; 4603312714014</v>
      </c>
      <c r="BG81" s="22"/>
      <c r="BH81" s="22" t="str">
        <f>IFERROR(VLOOKUP(C81,'спецификация'!B:AA,5,0)," ")</f>
        <v>ДС</v>
      </c>
      <c r="BI81" s="46" t="s">
        <v>1430</v>
      </c>
      <c r="BJ81" s="22" t="str">
        <f>IFERROR(VLOOKUP(C81,'спецификация'!B:AA,6,0)," ")</f>
        <v>без ЧЗ</v>
      </c>
      <c r="BK81" s="43"/>
      <c r="BL81" s="43"/>
      <c r="BM81" s="22" t="str">
        <f>IFERROR(VLOOKUP(BF81,'спецификация'!D:H,5,0)," ")</f>
        <v>Aqua, Glycolic Acid, Glycerin, Sodium Hydroxide, Lactic Acid, Salicylic Аcid, Citric Acid, Аcrylic Рolymer, Tasmannia Lanceolata Fruit/Leaf Extract, Sodium Hyaluronate, Xanthan Gum, Polysorbate 20, Phenoxyethanol, Ethylhexylglycerin, Parfum, Е 163, Benzyl Аlcohol.</v>
      </c>
      <c r="BN81" s="43"/>
      <c r="BO81" s="22" t="s">
        <v>1432</v>
      </c>
      <c r="BP81" s="43" t="str">
        <f>IFERROR(VLOOKUP(C81,'спецификация'!B:AA,11,0)," ")</f>
        <v/>
      </c>
      <c r="BQ81" s="22" t="s">
        <v>1433</v>
      </c>
      <c r="BR81" s="22">
        <v>30.0</v>
      </c>
      <c r="BS81" s="22" t="s">
        <v>139</v>
      </c>
      <c r="BT81" s="22"/>
      <c r="BU81" s="22"/>
      <c r="BV81" s="22" t="s">
        <v>307</v>
      </c>
      <c r="BW81" s="44" t="str">
        <f>IFERROR(VLOOKUP(C81,'спецификация'!B:AA,16,0)," ")</f>
        <v>https://docs.google.com/document/d/1aZBxrjJz4sXoUh-6ytxMwmS2eYS-ZEcDKvdc4Z44L7I/edit?tab=t.0</v>
      </c>
      <c r="BX81" s="43"/>
      <c r="BY81" s="43"/>
      <c r="BZ81" s="45" t="str">
        <f>IFERROR(VLOOKUP(BF81,'спецификация'!D:Y,22,0)," ")</f>
        <v/>
      </c>
      <c r="CA81" s="43"/>
      <c r="CB81" s="43"/>
      <c r="CC81" s="43"/>
      <c r="CD81" s="43"/>
      <c r="CE81" s="43"/>
      <c r="CF81" s="43"/>
      <c r="CG81" s="49">
        <f>IFERROR(VLOOKUP(C81,CC!A:D,4,0)," ")</f>
        <v>108.8</v>
      </c>
      <c r="CH81" s="22" t="str">
        <f>IFERROR(VLOOKUP(C81,'спецификация'!B:AA,19,0)," ")</f>
        <v>ООО ПКФ Две линии (Алтэя)</v>
      </c>
      <c r="CI81" s="22" t="s">
        <v>335</v>
      </c>
      <c r="CJ81" s="43"/>
      <c r="CK81" s="22">
        <f>IFERROR(VLOOKUP(C81,CC!K:M,3,0)," ")</f>
        <v>90</v>
      </c>
      <c r="CL81" s="43"/>
      <c r="CM81" s="43"/>
      <c r="CN81" s="43"/>
      <c r="CO81" s="43"/>
      <c r="CP81" s="43"/>
      <c r="CQ81" s="43"/>
      <c r="CR81" s="43"/>
      <c r="CS81" s="43" t="b">
        <v>0</v>
      </c>
      <c r="CT81" s="43" t="b">
        <v>0</v>
      </c>
      <c r="CU81" s="43" t="b">
        <v>0</v>
      </c>
      <c r="CV81" s="43" t="b">
        <v>0</v>
      </c>
      <c r="CW81" s="43"/>
      <c r="CX81" s="43"/>
      <c r="CY81" s="43"/>
      <c r="CZ81" s="43"/>
      <c r="DA81" s="43"/>
      <c r="DB81" s="43"/>
      <c r="DC81" s="43"/>
      <c r="DD81" s="22">
        <f>IFERROR(VLOOKUP($C81,'Лист4'!$D:$AI,27,0)," ")</f>
        <v>4</v>
      </c>
      <c r="DE81" s="22">
        <f>IFERROR(VLOOKUP($C81,'Лист4'!$D:$AI,28,0)," ")</f>
        <v>12</v>
      </c>
      <c r="DF81" s="22">
        <f>IFERROR(VLOOKUP($C81,'Лист4'!$D:$AI,29,0)," ")</f>
        <v>4</v>
      </c>
      <c r="DG81" s="22">
        <f t="shared" si="3"/>
        <v>192</v>
      </c>
      <c r="DH81" s="22">
        <f>IFERROR(VLOOKUP($C81,'Лист4'!$D:$AI,32,0)," ")</f>
        <v>0.092</v>
      </c>
      <c r="DI81" s="22"/>
      <c r="DJ81" s="22"/>
      <c r="DK81" s="22"/>
      <c r="DL81" s="22"/>
      <c r="DM81" s="22"/>
      <c r="DN81" s="22"/>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43"/>
      <c r="EN81" s="43"/>
      <c r="EO81" s="43"/>
      <c r="EP81" s="43"/>
      <c r="EQ81" s="43"/>
      <c r="ER81" s="43"/>
      <c r="ES81" s="43"/>
      <c r="ET81" s="43"/>
      <c r="EU81" s="43"/>
      <c r="EV81" s="43"/>
      <c r="EW81" s="43"/>
      <c r="EX81" s="43"/>
      <c r="EY81" s="43"/>
      <c r="EZ81" s="43"/>
      <c r="FA81" s="43"/>
      <c r="FB81" s="43"/>
      <c r="FC81" s="43"/>
    </row>
    <row r="82" ht="18.0" customHeight="1">
      <c r="A82" s="2"/>
      <c r="B82" s="22" t="str">
        <f>IFERROR(VLOOKUP(C82,'Реестр'!C:AC,27,0)," ")</f>
        <v>Биг-Л</v>
      </c>
      <c r="C82" s="43" t="s">
        <v>1435</v>
      </c>
      <c r="D82" s="22" t="str">
        <f>IFERROR(VLOOKUP(C82,'Лист4'!D:P,13,0)," ")</f>
        <v>qeep</v>
      </c>
      <c r="E82" s="22" t="str">
        <f>IF(OR(ISERROR(VLOOKUP(C82,'Актуальность'!A:B,2,0)), VLOOKUP(C82,'Актуальность'!A:B,2,0)=""), "Актуальный", VLOOKUP(C82,'Актуальность'!A:B,2,0))</f>
        <v>Актуальный</v>
      </c>
      <c r="F82" s="43" t="str">
        <f>IFERROR(VLOOKUP(C82,'Актуальность'!A:C,3,0)," ")</f>
        <v/>
      </c>
      <c r="G82" s="43"/>
      <c r="H82" s="22" t="s">
        <v>286</v>
      </c>
      <c r="I82" s="22" t="s">
        <v>565</v>
      </c>
      <c r="J82" s="43"/>
      <c r="K82" s="43"/>
      <c r="L82" s="22" t="b">
        <f t="shared" ref="L82:R82" si="78">T82&lt;&gt;""</f>
        <v>1</v>
      </c>
      <c r="M82" s="22" t="b">
        <f t="shared" si="78"/>
        <v>1</v>
      </c>
      <c r="N82" s="22" t="b">
        <f t="shared" si="78"/>
        <v>1</v>
      </c>
      <c r="O82" s="22" t="b">
        <f t="shared" si="78"/>
        <v>1</v>
      </c>
      <c r="P82" s="22" t="b">
        <f t="shared" si="78"/>
        <v>1</v>
      </c>
      <c r="Q82" s="22" t="b">
        <f t="shared" si="78"/>
        <v>1</v>
      </c>
      <c r="R82" s="22" t="b">
        <f t="shared" si="78"/>
        <v>0</v>
      </c>
      <c r="S82" s="43"/>
      <c r="T82" s="43" t="str">
        <f>IFERROR(VLOOKUP( C82,'1С'!A:B,2,0)," ")</f>
        <v>QC101100409</v>
      </c>
      <c r="U82" s="22" t="str">
        <f>IFERROR(VLOOKUP(T82,'Лист4'!C:I,3,0)," ")</f>
        <v>qeep_tonic_200ml</v>
      </c>
      <c r="V82" s="22" t="str">
        <f>IFERROR(VLOOKUP(T82,'Лист4'!C:I,4,0)," ")</f>
        <v>qeep_tonic_200ml</v>
      </c>
      <c r="W82" s="22" t="str">
        <f>IFERROR(VLOOKUP(T82,'Лист4'!C:I,5,0)," ")</f>
        <v>qeep_tonic_200ml</v>
      </c>
      <c r="X82" s="43" t="str">
        <f>IFERROR(VLOOKUP(T82,'Лист4'!C:I,7,0)," ")</f>
        <v>qeep_tonic_200ml</v>
      </c>
      <c r="Y82" s="43" t="str">
        <f>IFERROR(VLOOKUP(T82,'Лист4'!C:I,6,0)," ")</f>
        <v>qeep_tonic_200ml</v>
      </c>
      <c r="Z82" s="43"/>
      <c r="AA82" s="43"/>
      <c r="AB82" s="22">
        <v>4.1873348E8</v>
      </c>
      <c r="AC82" s="22">
        <v>2.142858345E9</v>
      </c>
      <c r="AD82" s="22">
        <v>4.476364348E9</v>
      </c>
      <c r="AE82" s="22">
        <v>9.9000115951E10</v>
      </c>
      <c r="AF82" s="22" t="s">
        <v>1438</v>
      </c>
      <c r="AG82" s="43"/>
      <c r="AH82" s="43"/>
      <c r="AI82" s="43" t="str">
        <f>IFERROR(VLOOKUP(T82,'1С'!B:C,2,0)," ")</f>
        <v>Тоник для лица очищающий, qeep, 200 мл</v>
      </c>
      <c r="AJ82" s="22" t="s">
        <v>1439</v>
      </c>
      <c r="AK82" s="22" t="s">
        <v>1440</v>
      </c>
      <c r="AL82" s="22" t="s">
        <v>1440</v>
      </c>
      <c r="AM82" s="22" t="s">
        <v>1441</v>
      </c>
      <c r="AN82" s="22" t="s">
        <v>1439</v>
      </c>
      <c r="AO82" s="43"/>
      <c r="AP82" s="43"/>
      <c r="AQ82" s="46" t="s">
        <v>1442</v>
      </c>
      <c r="AR82" s="46" t="s">
        <v>1443</v>
      </c>
      <c r="AS82" s="46" t="s">
        <v>1444</v>
      </c>
      <c r="AT82" s="43"/>
      <c r="AU82" s="46" t="s">
        <v>1445</v>
      </c>
      <c r="AV82" s="43"/>
      <c r="AW82" s="43"/>
      <c r="AX82" s="22" t="s">
        <v>1446</v>
      </c>
      <c r="AY82" s="22" t="s">
        <v>1440</v>
      </c>
      <c r="AZ82" s="22" t="s">
        <v>575</v>
      </c>
      <c r="BA82" s="22" t="s">
        <v>1447</v>
      </c>
      <c r="BB82" s="22" t="s">
        <v>1448</v>
      </c>
      <c r="BC82" s="43"/>
      <c r="BD82" s="43"/>
      <c r="BE82" s="43"/>
      <c r="BF82" s="22">
        <f>IFERROR(VLOOKUP(C82,'спецификация'!B:D,3,0)," ")</f>
        <v>4670020498468</v>
      </c>
      <c r="BG82" s="22"/>
      <c r="BH82" s="22" t="str">
        <f>IFERROR(VLOOKUP(C82,'спецификация'!B:AA,5,0)," ")</f>
        <v>ЕАЭС N RU Д-RU.PA01.B.89721/25 от 17.03.2025 по 17.03.2032</v>
      </c>
      <c r="BI82" s="46" t="s">
        <v>1451</v>
      </c>
      <c r="BJ82" s="22" t="str">
        <f>IFERROR(VLOOKUP(C82,'спецификация'!B:AA,6,0)," ")</f>
        <v>без ЧЗ</v>
      </c>
      <c r="BK82" s="43"/>
      <c r="BL82" s="43"/>
      <c r="BM82" s="22" t="str">
        <f>IFERROR(VLOOKUP(BF82,'спецификация'!D:H,5,0)," ")</f>
        <v>Aqua, Butylene Glycol, PEG-12 Dimethicone, Centella Asiatica Leaf Extract, Niacinamide, Allantoin, Zinc PCA, Saccharide Isomerate, Sodium Hyaluronate, Sodium Lactate, Sodium Glycolate, Sodium Citrate, Sodium Malate, Sodium Tartrate, Lactic Acid,  Glycolic Acid, Citric Acid, Malic Acid, Tartaric Acid, Salicylic Аcid, Glycolic Acid, Propylene Glycol, PEG-40 Hydrogenated Castor Oil, Аcrylic Рolymer, Sodium Hydroxide, Polysorbate 80, Parfum, Potassium Sorbate, Sodium Benzoate, Phenoxyethanol, Ethylhexylglycerin.</v>
      </c>
      <c r="BN82" s="43"/>
      <c r="BO82" s="22" t="s">
        <v>1453</v>
      </c>
      <c r="BP82" s="43" t="str">
        <f>IFERROR(VLOOKUP(C82,'спецификация'!B:AA,11,0)," ")</f>
        <v/>
      </c>
      <c r="BQ82" s="22" t="s">
        <v>1433</v>
      </c>
      <c r="BR82" s="22">
        <v>200.0</v>
      </c>
      <c r="BS82" s="22" t="s">
        <v>139</v>
      </c>
      <c r="BT82" s="22"/>
      <c r="BU82" s="22"/>
      <c r="BV82" s="22" t="s">
        <v>307</v>
      </c>
      <c r="BW82" s="44" t="str">
        <f>IFERROR(VLOOKUP(C82,'спецификация'!B:AA,16,0)," ")</f>
        <v>https://docs.google.com/document/d/1h2jLA7EZLv9HGp0dU4hFjm6mnTnQi_KLTvygd6aSy-w/edit?tab=t.0</v>
      </c>
      <c r="BX82" s="43"/>
      <c r="BY82" s="43"/>
      <c r="BZ82" s="45" t="str">
        <f>IFERROR(VLOOKUP(BF82,'спецификация'!D:Y,22,0)," ")</f>
        <v/>
      </c>
      <c r="CA82" s="43"/>
      <c r="CB82" s="43"/>
      <c r="CC82" s="43"/>
      <c r="CD82" s="43"/>
      <c r="CE82" s="43"/>
      <c r="CF82" s="43"/>
      <c r="CG82" s="49">
        <f>IFERROR(VLOOKUP(C82,CC!A:D,4,0)," ")</f>
        <v>108.5</v>
      </c>
      <c r="CH82" s="22" t="str">
        <f>IFERROR(VLOOKUP(C82,'спецификация'!B:AA,19,0)," ")</f>
        <v>ООО ПКФ Две линии (Алтэя)</v>
      </c>
      <c r="CI82" s="22"/>
      <c r="CJ82" s="22" t="s">
        <v>310</v>
      </c>
      <c r="CK82" s="22">
        <f>IFERROR(VLOOKUP(C82,CC!K:M,3,0)," ")</f>
        <v>90</v>
      </c>
      <c r="CL82" s="43"/>
      <c r="CM82" s="43"/>
      <c r="CN82" s="43"/>
      <c r="CO82" s="43"/>
      <c r="CP82" s="43"/>
      <c r="CQ82" s="43"/>
      <c r="CR82" s="43"/>
      <c r="CS82" s="43" t="b">
        <v>0</v>
      </c>
      <c r="CT82" s="43" t="b">
        <v>0</v>
      </c>
      <c r="CU82" s="43" t="b">
        <v>0</v>
      </c>
      <c r="CV82" s="43" t="b">
        <v>0</v>
      </c>
      <c r="CW82" s="43"/>
      <c r="CX82" s="43"/>
      <c r="CY82" s="43"/>
      <c r="CZ82" s="43"/>
      <c r="DA82" s="43"/>
      <c r="DB82" s="43"/>
      <c r="DC82" s="43"/>
      <c r="DD82" s="22">
        <f>IFERROR(VLOOKUP($C82,'Лист4'!$D:$AI,27,0)," ")</f>
        <v>12</v>
      </c>
      <c r="DE82" s="22">
        <f>IFERROR(VLOOKUP($C82,'Лист4'!$D:$AI,28,0)," ")</f>
        <v>18</v>
      </c>
      <c r="DF82" s="22">
        <f>IFERROR(VLOOKUP($C82,'Лист4'!$D:$AI,29,0)," ")</f>
        <v>12</v>
      </c>
      <c r="DG82" s="22">
        <f t="shared" si="3"/>
        <v>2592</v>
      </c>
      <c r="DH82" s="22">
        <f>IFERROR(VLOOKUP($C82,'Лист4'!$D:$AI,32,0)," ")</f>
        <v>0.293</v>
      </c>
      <c r="DI82" s="22"/>
      <c r="DJ82" s="22"/>
      <c r="DK82" s="22"/>
      <c r="DL82" s="22"/>
      <c r="DM82" s="22"/>
      <c r="DN82" s="22"/>
      <c r="DO82" s="22"/>
      <c r="DP82" s="22"/>
      <c r="DQ82" s="22"/>
      <c r="DR82" s="22"/>
      <c r="DS82" s="22"/>
      <c r="DT82" s="22"/>
      <c r="DU82" s="22"/>
      <c r="DV82" s="22"/>
      <c r="DW82" s="22"/>
      <c r="DX82" s="22"/>
      <c r="DY82" s="22"/>
      <c r="DZ82" s="22"/>
      <c r="EA82" s="22"/>
      <c r="EB82" s="22"/>
      <c r="EC82" s="22"/>
      <c r="ED82" s="22"/>
      <c r="EE82" s="22"/>
      <c r="EF82" s="22"/>
      <c r="EG82" s="22"/>
      <c r="EH82" s="22"/>
      <c r="EI82" s="22"/>
      <c r="EJ82" s="22"/>
      <c r="EK82" s="22"/>
      <c r="EL82" s="22"/>
      <c r="EM82" s="43"/>
      <c r="EN82" s="43"/>
      <c r="EO82" s="43"/>
      <c r="EP82" s="43"/>
      <c r="EQ82" s="43"/>
      <c r="ER82" s="43"/>
      <c r="ES82" s="43"/>
      <c r="ET82" s="43"/>
      <c r="EU82" s="43"/>
      <c r="EV82" s="43"/>
      <c r="EW82" s="43"/>
      <c r="EX82" s="43"/>
      <c r="EY82" s="43"/>
      <c r="EZ82" s="43"/>
      <c r="FA82" s="43"/>
      <c r="FB82" s="43"/>
      <c r="FC82" s="43"/>
    </row>
    <row r="83" ht="18.0" customHeight="1">
      <c r="A83" s="2"/>
      <c r="B83" s="22" t="str">
        <f>IFERROR(VLOOKUP(C83,'Реестр'!C:AC,27,0)," ")</f>
        <v>Биг-Л</v>
      </c>
      <c r="C83" s="43" t="s">
        <v>1455</v>
      </c>
      <c r="D83" s="22" t="str">
        <f>IFERROR(VLOOKUP(C83,'Лист4'!D:P,13,0)," ")</f>
        <v>qeep</v>
      </c>
      <c r="E83" s="22" t="str">
        <f>IF(OR(ISERROR(VLOOKUP(C83,'Актуальность'!A:B,2,0)), VLOOKUP(C83,'Актуальность'!A:B,2,0)=""), "Актуальный", VLOOKUP(C83,'Актуальность'!A:B,2,0))</f>
        <v>Актуальный</v>
      </c>
      <c r="F83" s="43" t="str">
        <f>IFERROR(VLOOKUP(C83,'Актуальность'!A:C,3,0)," ")</f>
        <v/>
      </c>
      <c r="G83" s="43"/>
      <c r="H83" s="22" t="s">
        <v>286</v>
      </c>
      <c r="I83" s="22" t="s">
        <v>565</v>
      </c>
      <c r="J83" s="43"/>
      <c r="K83" s="43"/>
      <c r="L83" s="22" t="b">
        <f t="shared" ref="L83:R83" si="79">T83&lt;&gt;""</f>
        <v>1</v>
      </c>
      <c r="M83" s="22" t="b">
        <f t="shared" si="79"/>
        <v>1</v>
      </c>
      <c r="N83" s="22" t="b">
        <f t="shared" si="79"/>
        <v>1</v>
      </c>
      <c r="O83" s="22" t="b">
        <f t="shared" si="79"/>
        <v>1</v>
      </c>
      <c r="P83" s="22" t="b">
        <f t="shared" si="79"/>
        <v>0</v>
      </c>
      <c r="Q83" s="22" t="b">
        <f t="shared" si="79"/>
        <v>1</v>
      </c>
      <c r="R83" s="22" t="b">
        <f t="shared" si="79"/>
        <v>0</v>
      </c>
      <c r="S83" s="43"/>
      <c r="T83" s="43" t="str">
        <f>IFERROR(VLOOKUP( C83,'1С'!A:B,2,0)," ")</f>
        <v>QC101100410</v>
      </c>
      <c r="U83" s="22" t="str">
        <f>IFERROR(VLOOKUP(T83,'Лист4'!C:I,3,0)," ")</f>
        <v>qeep_acnegel_20ml</v>
      </c>
      <c r="V83" s="22" t="str">
        <f>IFERROR(VLOOKUP(T83,'Лист4'!C:I,4,0)," ")</f>
        <v>qeep_acnegel_20ml</v>
      </c>
      <c r="W83" s="22" t="str">
        <f>IFERROR(VLOOKUP(T83,'Лист4'!C:I,5,0)," ")</f>
        <v>qeep_acnegel_20ml</v>
      </c>
      <c r="X83" s="43" t="str">
        <f>IFERROR(VLOOKUP(T83,'Лист4'!C:I,7,0)," ")</f>
        <v/>
      </c>
      <c r="Y83" s="43" t="str">
        <f>IFERROR(VLOOKUP(T83,'Лист4'!C:I,6,0)," ")</f>
        <v>qeep_acnegel_20ml</v>
      </c>
      <c r="Z83" s="43"/>
      <c r="AA83" s="43"/>
      <c r="AB83" s="22">
        <v>3.92028939E8</v>
      </c>
      <c r="AC83" s="22">
        <v>2.039052035E9</v>
      </c>
      <c r="AD83" s="22">
        <v>4.335655895E9</v>
      </c>
      <c r="AE83" s="22"/>
      <c r="AF83" s="22" t="s">
        <v>1458</v>
      </c>
      <c r="AG83" s="43"/>
      <c r="AH83" s="43"/>
      <c r="AI83" s="43" t="str">
        <f>IFERROR(VLOOKUP(T83,'1С'!B:C,2,0)," ")</f>
        <v>Крем точечный от прыщей ,qeep, 20 мл</v>
      </c>
      <c r="AJ83" s="22" t="s">
        <v>1459</v>
      </c>
      <c r="AK83" s="22" t="s">
        <v>1460</v>
      </c>
      <c r="AL83" s="22" t="s">
        <v>1461</v>
      </c>
      <c r="AM83" s="43"/>
      <c r="AN83" s="22" t="s">
        <v>1462</v>
      </c>
      <c r="AO83" s="43"/>
      <c r="AP83" s="43"/>
      <c r="AQ83" s="46" t="s">
        <v>1463</v>
      </c>
      <c r="AR83" s="46" t="s">
        <v>1464</v>
      </c>
      <c r="AS83" s="46" t="s">
        <v>1465</v>
      </c>
      <c r="AT83" s="43"/>
      <c r="AU83" s="46" t="s">
        <v>1466</v>
      </c>
      <c r="AV83" s="43"/>
      <c r="AW83" s="43"/>
      <c r="AX83" s="22" t="s">
        <v>594</v>
      </c>
      <c r="AY83" s="22" t="s">
        <v>1460</v>
      </c>
      <c r="AZ83" s="22" t="s">
        <v>595</v>
      </c>
      <c r="BA83" s="43"/>
      <c r="BB83" s="22" t="s">
        <v>596</v>
      </c>
      <c r="BC83" s="43"/>
      <c r="BD83" s="43"/>
      <c r="BE83" s="43"/>
      <c r="BF83" s="22" t="str">
        <f>IFERROR(VLOOKUP(C83,'спецификация'!B:D,3,0)," ")</f>
        <v>4660417420103
4670020498475</v>
      </c>
      <c r="BG83" s="22">
        <v>3.30499E9</v>
      </c>
      <c r="BH83" s="22" t="str">
        <f>IFERROR(VLOOKUP(C83,'спецификация'!B:AA,5,0)," ")</f>
        <v>ЕАЭС N RU Д-RU.PA01.B.89721/25 от 20.02.2025 по 20.02.2032</v>
      </c>
      <c r="BI83" s="22"/>
      <c r="BJ83" s="22" t="str">
        <f>IFERROR(VLOOKUP(C83,'спецификация'!B:AA,6,0)," ")</f>
        <v>без ЧЗ</v>
      </c>
      <c r="BK83" s="43"/>
      <c r="BL83" s="43"/>
      <c r="BM83" s="22" t="str">
        <f>IFERROR(VLOOKUP(BF83,'спецификация'!D:H,5,0)," ")</f>
        <v>Aqua, Butylene Glycol, Glycerin, Salicylic Acid, Acrylic Polymer, Xanthan Gum, Azelaic Acid, Allantoin, Bisabolol, Zinc PCA, Hydrolyzed Collagen, Hydrolyzed Elastin, Magnolia Officinalis Bark Extract, Salvia Officinalis Leaf Extract, Menthol, Melaleuca Alternifolia (Tea Tree) Leaf Oil, Sophora Japonica Extract, Sodium Hyaluronate, Propylene Glycol, Sodium Hydroxide, Parfum, Phenoxyethanol, Ethylhexylglycerin, Potassium Sorbate, Sodium Benzoate, CI 42090.          </v>
      </c>
      <c r="BN83" s="43"/>
      <c r="BO83" s="22" t="s">
        <v>1470</v>
      </c>
      <c r="BP83" s="43" t="str">
        <f>IFERROR(VLOOKUP(C83,'спецификация'!B:AA,11,0)," ")</f>
        <v/>
      </c>
      <c r="BQ83" s="22" t="s">
        <v>1433</v>
      </c>
      <c r="BR83" s="22">
        <v>20.0</v>
      </c>
      <c r="BS83" s="22" t="s">
        <v>139</v>
      </c>
      <c r="BT83" s="22"/>
      <c r="BU83" s="22"/>
      <c r="BV83" s="22" t="s">
        <v>307</v>
      </c>
      <c r="BW83" s="44" t="str">
        <f>IFERROR(VLOOKUP(C83,'спецификация'!B:AA,16,0)," ")</f>
        <v>https://docs.google.com/document/d/1A8Rn2xZ7XhZwg1VuFPB1LhEepVNfwIvedRrh5j_lUSE/edit?tab=t.0</v>
      </c>
      <c r="BX83" s="43"/>
      <c r="BY83" s="43"/>
      <c r="BZ83" s="45" t="str">
        <f>IFERROR(VLOOKUP(BF83,'спецификация'!D:Y,22,0)," ")</f>
        <v/>
      </c>
      <c r="CA83" s="43"/>
      <c r="CB83" s="43"/>
      <c r="CC83" s="43"/>
      <c r="CD83" s="43"/>
      <c r="CE83" s="43"/>
      <c r="CF83" s="43"/>
      <c r="CG83" s="49">
        <f>IFERROR(VLOOKUP(C83,CC!A:D,4,0)," ")</f>
        <v>81.2</v>
      </c>
      <c r="CH83" s="22" t="str">
        <f>IFERROR(VLOOKUP(C83,'спецификация'!B:AA,19,0)," ")</f>
        <v>ООО ПКФ Две линии (Алтэя)</v>
      </c>
      <c r="CI83" s="22"/>
      <c r="CJ83" s="22" t="s">
        <v>1473</v>
      </c>
      <c r="CK83" s="22">
        <f>IFERROR(VLOOKUP(C83,CC!K:M,3,0)," ")</f>
        <v>90</v>
      </c>
      <c r="CL83" s="43"/>
      <c r="CM83" s="43"/>
      <c r="CN83" s="43"/>
      <c r="CO83" s="43"/>
      <c r="CP83" s="43"/>
      <c r="CQ83" s="43"/>
      <c r="CR83" s="43"/>
      <c r="CS83" s="43" t="b">
        <v>0</v>
      </c>
      <c r="CT83" s="43" t="b">
        <v>0</v>
      </c>
      <c r="CU83" s="43" t="b">
        <v>0</v>
      </c>
      <c r="CV83" s="43" t="b">
        <v>0</v>
      </c>
      <c r="CW83" s="43"/>
      <c r="CX83" s="43"/>
      <c r="CY83" s="43"/>
      <c r="CZ83" s="43"/>
      <c r="DA83" s="43"/>
      <c r="DB83" s="43"/>
      <c r="DC83" s="43"/>
      <c r="DD83" s="22">
        <f>IFERROR(VLOOKUP($C83,'Лист4'!$D:$AI,27,0)," ")</f>
        <v>3</v>
      </c>
      <c r="DE83" s="22">
        <f>IFERROR(VLOOKUP($C83,'Лист4'!$D:$AI,28,0)," ")</f>
        <v>14</v>
      </c>
      <c r="DF83" s="22">
        <f>IFERROR(VLOOKUP($C83,'Лист4'!$D:$AI,29,0)," ")</f>
        <v>3</v>
      </c>
      <c r="DG83" s="22">
        <f t="shared" si="3"/>
        <v>126</v>
      </c>
      <c r="DH83" s="22">
        <f>IFERROR(VLOOKUP($C83,'Лист4'!$D:$AI,32,0)," ")</f>
        <v>0.031</v>
      </c>
      <c r="DI83" s="22"/>
      <c r="DJ83" s="22"/>
      <c r="DK83" s="22"/>
      <c r="DL83" s="22"/>
      <c r="DM83" s="22"/>
      <c r="DN83" s="22"/>
      <c r="DO83" s="22"/>
      <c r="DP83" s="22"/>
      <c r="DQ83" s="22"/>
      <c r="DR83" s="22"/>
      <c r="DS83" s="22"/>
      <c r="DT83" s="22"/>
      <c r="DU83" s="22"/>
      <c r="DV83" s="22"/>
      <c r="DW83" s="22"/>
      <c r="DX83" s="22"/>
      <c r="DY83" s="22"/>
      <c r="DZ83" s="22"/>
      <c r="EA83" s="22"/>
      <c r="EB83" s="22"/>
      <c r="EC83" s="22"/>
      <c r="ED83" s="22"/>
      <c r="EE83" s="22"/>
      <c r="EF83" s="22"/>
      <c r="EG83" s="22"/>
      <c r="EH83" s="22"/>
      <c r="EI83" s="22"/>
      <c r="EJ83" s="22"/>
      <c r="EK83" s="22"/>
      <c r="EL83" s="22"/>
      <c r="EM83" s="43"/>
      <c r="EN83" s="43"/>
      <c r="EO83" s="43"/>
      <c r="EP83" s="43"/>
      <c r="EQ83" s="43"/>
      <c r="ER83" s="43"/>
      <c r="ES83" s="43"/>
      <c r="ET83" s="43"/>
      <c r="EU83" s="43"/>
      <c r="EV83" s="43"/>
      <c r="EW83" s="43"/>
      <c r="EX83" s="43"/>
      <c r="EY83" s="43"/>
      <c r="EZ83" s="43"/>
      <c r="FA83" s="43"/>
      <c r="FB83" s="43"/>
      <c r="FC83" s="43"/>
    </row>
    <row r="84" ht="18.0" customHeight="1">
      <c r="A84" s="2"/>
      <c r="B84" s="22" t="str">
        <f>IFERROR(VLOOKUP(C84,'Реестр'!C:AC,27,0)," ")</f>
        <v>Биг-Л</v>
      </c>
      <c r="C84" s="43" t="s">
        <v>1474</v>
      </c>
      <c r="D84" s="22" t="str">
        <f>IFERROR(VLOOKUP(C84,'Лист4'!D:P,13,0)," ")</f>
        <v>qeep</v>
      </c>
      <c r="E84" s="22" t="str">
        <f>IF(OR(ISERROR(VLOOKUP(C84,'Актуальность'!A:B,2,0)), VLOOKUP(C84,'Актуальность'!A:B,2,0)=""), "Актуальный", VLOOKUP(C84,'Актуальность'!A:B,2,0))</f>
        <v>Актуальный</v>
      </c>
      <c r="F84" s="43" t="str">
        <f>IFERROR(VLOOKUP(C84,'Актуальность'!A:C,3,0)," ")</f>
        <v/>
      </c>
      <c r="G84" s="43"/>
      <c r="H84" s="22" t="s">
        <v>286</v>
      </c>
      <c r="I84" s="22" t="s">
        <v>565</v>
      </c>
      <c r="J84" s="43"/>
      <c r="K84" s="43"/>
      <c r="L84" s="22" t="b">
        <f t="shared" ref="L84:R84" si="80">T84&lt;&gt;""</f>
        <v>1</v>
      </c>
      <c r="M84" s="22" t="b">
        <f t="shared" si="80"/>
        <v>1</v>
      </c>
      <c r="N84" s="22" t="b">
        <f t="shared" si="80"/>
        <v>1</v>
      </c>
      <c r="O84" s="22" t="b">
        <f t="shared" si="80"/>
        <v>1</v>
      </c>
      <c r="P84" s="22" t="b">
        <f t="shared" si="80"/>
        <v>1</v>
      </c>
      <c r="Q84" s="22" t="b">
        <f t="shared" si="80"/>
        <v>1</v>
      </c>
      <c r="R84" s="22" t="b">
        <f t="shared" si="80"/>
        <v>1</v>
      </c>
      <c r="S84" s="43"/>
      <c r="T84" s="43" t="str">
        <f>IFERROR(VLOOKUP( C84,'1С'!A:B,2,0)," ")</f>
        <v>QC101100402</v>
      </c>
      <c r="U84" s="22" t="str">
        <f>IFERROR(VLOOKUP(T84,'Лист4'!C:I,3,0)," ")</f>
        <v>qeep_penka_150ml</v>
      </c>
      <c r="V84" s="22" t="str">
        <f>IFERROR(VLOOKUP(T84,'Лист4'!C:I,4,0)," ")</f>
        <v>qeep_penka_150ml</v>
      </c>
      <c r="W84" s="22" t="str">
        <f>IFERROR(VLOOKUP(T84,'Лист4'!C:I,5,0)," ")</f>
        <v>qeep_penka_150ml</v>
      </c>
      <c r="X84" s="43" t="str">
        <f>IFERROR(VLOOKUP(T84,'Лист4'!C:I,7,0)," ")</f>
        <v>qeep_penka_150ml</v>
      </c>
      <c r="Y84" s="43" t="str">
        <f>IFERROR(VLOOKUP(T84,'Лист4'!C:I,6,0)," ")</f>
        <v>qeep_penka_150ml</v>
      </c>
      <c r="Z84" s="22" t="s">
        <v>1474</v>
      </c>
      <c r="AA84" s="43"/>
      <c r="AB84" s="22">
        <v>4.84619244E8</v>
      </c>
      <c r="AC84" s="22">
        <v>2.583231387E9</v>
      </c>
      <c r="AD84" s="22">
        <v>4.569564653E9</v>
      </c>
      <c r="AE84" s="22">
        <v>9.9000115782E10</v>
      </c>
      <c r="AF84" s="22" t="s">
        <v>1477</v>
      </c>
      <c r="AG84" s="22" t="s">
        <v>1478</v>
      </c>
      <c r="AH84" s="43"/>
      <c r="AI84" s="43" t="str">
        <f>IFERROR(VLOOKUP(T84,'1С'!B:C,2,0)," ")</f>
        <v>Пенка для укладки волос, ,qeep, 150 мл</v>
      </c>
      <c r="AJ84" s="22" t="s">
        <v>1479</v>
      </c>
      <c r="AK84" s="22" t="s">
        <v>1480</v>
      </c>
      <c r="AL84" s="22" t="s">
        <v>1481</v>
      </c>
      <c r="AM84" s="22" t="s">
        <v>1482</v>
      </c>
      <c r="AN84" s="22" t="s">
        <v>1483</v>
      </c>
      <c r="AO84" s="22" t="s">
        <v>1484</v>
      </c>
      <c r="AP84" s="43"/>
      <c r="AQ84" s="46" t="s">
        <v>1485</v>
      </c>
      <c r="AR84" s="46" t="s">
        <v>1486</v>
      </c>
      <c r="AS84" s="46" t="s">
        <v>1487</v>
      </c>
      <c r="AT84" s="46" t="s">
        <v>1488</v>
      </c>
      <c r="AU84" s="46" t="s">
        <v>1489</v>
      </c>
      <c r="AV84" s="46" t="s">
        <v>1490</v>
      </c>
      <c r="AW84" s="43"/>
      <c r="AX84" s="22" t="s">
        <v>1491</v>
      </c>
      <c r="AY84" s="22" t="s">
        <v>1480</v>
      </c>
      <c r="AZ84" s="22" t="s">
        <v>1492</v>
      </c>
      <c r="BA84" s="22" t="s">
        <v>1493</v>
      </c>
      <c r="BB84" s="22" t="s">
        <v>1494</v>
      </c>
      <c r="BC84" s="22" t="s">
        <v>1495</v>
      </c>
      <c r="BD84" s="43"/>
      <c r="BE84" s="43"/>
      <c r="BF84" s="22">
        <f>IFERROR(VLOOKUP(C84,'спецификация'!B:D,3,0)," ")</f>
        <v>4670020498727</v>
      </c>
      <c r="BG84" s="22"/>
      <c r="BH84" s="22" t="str">
        <f>IFERROR(VLOOKUP(C84,'спецификация'!B:AA,5,0)," ")</f>
        <v>ЕАЭС N RU Д-RU.РА03.В.31526/25 от 03.04.2025 по 31.03.2032</v>
      </c>
      <c r="BI84" s="46" t="s">
        <v>1497</v>
      </c>
      <c r="BJ84" s="22" t="str">
        <f>IFERROR(VLOOKUP(C84,'спецификация'!B:AA,6,0)," ")</f>
        <v>без ЧЗ</v>
      </c>
      <c r="BK84" s="43"/>
      <c r="BL84" s="43"/>
      <c r="BM84" s="22" t="str">
        <f>IFERROR(VLOOKUP(BF84,'спецификация'!D:H,5,0)," ")</f>
        <v>вода очищенная, поливинилпирролидон, карбомер, ПЭГ-40 гидрогенизированное касторовое масло, гидроксипропил фосфат крахмала, Д-пантенол, протеины пшеницы гидролизат, бетаин, экстракт женьшеня, L аргинин, кокамидопропилбетаин, поликватерниум 7, глицерин, натрия хлорид, парфюмерная композиция, натрия гидроокись, динатрия  ЭДТА, феноксиэтанол этилгексилглицерин, натрия бензоат, сорбат калия, гексил циннамаль, кумарин.</v>
      </c>
      <c r="BN84" s="43"/>
      <c r="BO84" s="22" t="s">
        <v>1499</v>
      </c>
      <c r="BP84" s="43" t="str">
        <f>IFERROR(VLOOKUP(C84,'спецификация'!B:AA,11,0)," ")</f>
        <v/>
      </c>
      <c r="BQ84" s="22" t="s">
        <v>1500</v>
      </c>
      <c r="BR84" s="22">
        <v>150.0</v>
      </c>
      <c r="BS84" s="22" t="s">
        <v>139</v>
      </c>
      <c r="BT84" s="22"/>
      <c r="BU84" s="22"/>
      <c r="BV84" s="22" t="s">
        <v>307</v>
      </c>
      <c r="BW84" s="44" t="str">
        <f>IFERROR(VLOOKUP(C84,'спецификация'!B:AA,16,0)," ")</f>
        <v>https://docs.google.com/document/d/1fjg_ruVZyDkNNHmpSWpOgSoIMLnSuMR7VzsIatoqkoY/edit?tab=t.0</v>
      </c>
      <c r="BX84" s="43"/>
      <c r="BY84" s="43"/>
      <c r="BZ84" s="45" t="str">
        <f>IFERROR(VLOOKUP(BF84,'спецификация'!D:Y,22,0)," ")</f>
        <v/>
      </c>
      <c r="CA84" s="43"/>
      <c r="CB84" s="43"/>
      <c r="CC84" s="43"/>
      <c r="CD84" s="43"/>
      <c r="CE84" s="43"/>
      <c r="CF84" s="43"/>
      <c r="CG84" s="49">
        <f>IFERROR(VLOOKUP(C84,CC!A:D,4,0)," ")</f>
        <v>140.4</v>
      </c>
      <c r="CH84" s="22" t="str">
        <f>IFERROR(VLOOKUP(C84,'спецификация'!B:AA,19,0)," ")</f>
        <v>ООО ПКФ Две линии (Алтэя)</v>
      </c>
      <c r="CI84" s="22"/>
      <c r="CJ84" s="22" t="s">
        <v>310</v>
      </c>
      <c r="CK84" s="22">
        <f>IFERROR(VLOOKUP(C84,CC!K:M,3,0)," ")</f>
        <v>90</v>
      </c>
      <c r="CL84" s="43"/>
      <c r="CM84" s="43"/>
      <c r="CN84" s="43"/>
      <c r="CO84" s="43"/>
      <c r="CP84" s="43"/>
      <c r="CQ84" s="43"/>
      <c r="CR84" s="43"/>
      <c r="CS84" s="43" t="b">
        <v>0</v>
      </c>
      <c r="CT84" s="43" t="b">
        <v>0</v>
      </c>
      <c r="CU84" s="43" t="b">
        <v>0</v>
      </c>
      <c r="CV84" s="43" t="b">
        <v>0</v>
      </c>
      <c r="CW84" s="43"/>
      <c r="CX84" s="43"/>
      <c r="CY84" s="43"/>
      <c r="CZ84" s="43"/>
      <c r="DA84" s="43"/>
      <c r="DB84" s="43"/>
      <c r="DC84" s="43"/>
      <c r="DD84" s="22">
        <f>IFERROR(VLOOKUP($C84,'Лист4'!$D:$AI,27,0)," ")</f>
        <v>5</v>
      </c>
      <c r="DE84" s="22">
        <f>IFERROR(VLOOKUP($C84,'Лист4'!$D:$AI,28,0)," ")</f>
        <v>18</v>
      </c>
      <c r="DF84" s="22">
        <f>IFERROR(VLOOKUP($C84,'Лист4'!$D:$AI,29,0)," ")</f>
        <v>5</v>
      </c>
      <c r="DG84" s="22">
        <f t="shared" si="3"/>
        <v>450</v>
      </c>
      <c r="DH84" s="22">
        <f>IFERROR(VLOOKUP($C84,'Лист4'!$D:$AI,32,0)," ")</f>
        <v>0.204</v>
      </c>
      <c r="DI84" s="22"/>
      <c r="DJ84" s="22"/>
      <c r="DK84" s="22"/>
      <c r="DL84" s="22"/>
      <c r="DM84" s="22"/>
      <c r="DN84" s="22"/>
      <c r="DO84" s="22"/>
      <c r="DP84" s="22"/>
      <c r="DQ84" s="22"/>
      <c r="DR84" s="22"/>
      <c r="DS84" s="22"/>
      <c r="DT84" s="22"/>
      <c r="DU84" s="22"/>
      <c r="DV84" s="22"/>
      <c r="DW84" s="22"/>
      <c r="DX84" s="22"/>
      <c r="DY84" s="22"/>
      <c r="DZ84" s="22"/>
      <c r="EA84" s="22"/>
      <c r="EB84" s="22"/>
      <c r="EC84" s="22"/>
      <c r="ED84" s="22"/>
      <c r="EE84" s="22"/>
      <c r="EF84" s="22"/>
      <c r="EG84" s="22"/>
      <c r="EH84" s="22"/>
      <c r="EI84" s="22"/>
      <c r="EJ84" s="22"/>
      <c r="EK84" s="22"/>
      <c r="EL84" s="22"/>
      <c r="EM84" s="43"/>
      <c r="EN84" s="43"/>
      <c r="EO84" s="43"/>
      <c r="EP84" s="43"/>
      <c r="EQ84" s="43"/>
      <c r="ER84" s="43"/>
      <c r="ES84" s="43"/>
      <c r="ET84" s="43"/>
      <c r="EU84" s="43"/>
      <c r="EV84" s="43"/>
      <c r="EW84" s="43"/>
      <c r="EX84" s="43"/>
      <c r="EY84" s="43"/>
      <c r="EZ84" s="43"/>
      <c r="FA84" s="43"/>
      <c r="FB84" s="43"/>
      <c r="FC84" s="43"/>
    </row>
    <row r="85" ht="18.0" customHeight="1">
      <c r="A85" s="2"/>
      <c r="B85" s="22" t="str">
        <f>IFERROR(VLOOKUP(C85,'Реестр'!C:AC,27,0)," ")</f>
        <v>Биг-Л</v>
      </c>
      <c r="C85" s="43" t="s">
        <v>1502</v>
      </c>
      <c r="D85" s="22" t="str">
        <f>IFERROR(VLOOKUP(C85,'Лист4'!D:P,13,0)," ")</f>
        <v>qeep</v>
      </c>
      <c r="E85" s="22" t="str">
        <f>IF(OR(ISERROR(VLOOKUP(C85,'Актуальность'!A:B,2,0)), VLOOKUP(C85,'Актуальность'!A:B,2,0)=""), "Актуальный", VLOOKUP(C85,'Актуальность'!A:B,2,0))</f>
        <v>Актуальный</v>
      </c>
      <c r="F85" s="43" t="str">
        <f>IFERROR(VLOOKUP(C85,'Актуальность'!A:C,3,0)," ")</f>
        <v/>
      </c>
      <c r="G85" s="43"/>
      <c r="H85" s="22" t="s">
        <v>286</v>
      </c>
      <c r="I85" s="22" t="s">
        <v>565</v>
      </c>
      <c r="J85" s="43"/>
      <c r="K85" s="43"/>
      <c r="L85" s="22" t="b">
        <f t="shared" ref="L85:R85" si="81">T85&lt;&gt;""</f>
        <v>1</v>
      </c>
      <c r="M85" s="22" t="b">
        <f t="shared" si="81"/>
        <v>0</v>
      </c>
      <c r="N85" s="22" t="b">
        <f t="shared" si="81"/>
        <v>1</v>
      </c>
      <c r="O85" s="22" t="b">
        <f t="shared" si="81"/>
        <v>0</v>
      </c>
      <c r="P85" s="22" t="b">
        <f t="shared" si="81"/>
        <v>1</v>
      </c>
      <c r="Q85" s="22" t="b">
        <f t="shared" si="81"/>
        <v>1</v>
      </c>
      <c r="R85" s="22" t="b">
        <f t="shared" si="81"/>
        <v>1</v>
      </c>
      <c r="S85" s="43"/>
      <c r="T85" s="43" t="str">
        <f>IFERROR(VLOOKUP( C85,'1С'!A:B,2,0)," ")</f>
        <v>QC101100411</v>
      </c>
      <c r="U85" s="22" t="str">
        <f>IFERROR(VLOOKUP(T85,'Лист4'!C:I,3,0)," ")</f>
        <v/>
      </c>
      <c r="V85" s="22" t="str">
        <f>IFERROR(VLOOKUP(T85,'Лист4'!C:I,4,0)," ")</f>
        <v>qeep_acnegel_20ml_v2</v>
      </c>
      <c r="W85" s="22" t="str">
        <f>IFERROR(VLOOKUP(T85,'Лист4'!C:I,5,0)," ")</f>
        <v/>
      </c>
      <c r="X85" s="43" t="str">
        <f>IFERROR(VLOOKUP(T85,'Лист4'!C:I,7,0)," ")</f>
        <v>qeep_acnegel_20ml_v2</v>
      </c>
      <c r="Y85" s="43" t="str">
        <f>IFERROR(VLOOKUP(T85,'Лист4'!C:I,6,0)," ")</f>
        <v>qeep_acnegel_20ml_v2</v>
      </c>
      <c r="Z85" s="22" t="s">
        <v>1502</v>
      </c>
      <c r="AA85" s="43"/>
      <c r="AB85" s="22"/>
      <c r="AC85" s="22">
        <v>2.589302298E9</v>
      </c>
      <c r="AD85" s="22"/>
      <c r="AE85" s="22">
        <v>9.9000115781E10</v>
      </c>
      <c r="AF85" s="22" t="s">
        <v>1504</v>
      </c>
      <c r="AG85" s="22" t="s">
        <v>1505</v>
      </c>
      <c r="AH85" s="43"/>
      <c r="AI85" s="43" t="str">
        <f>IFERROR(VLOOKUP(T85,'1С'!B:C,2,0)," ")</f>
        <v>Крем точечный от прыщей ,qeep, 20 мл</v>
      </c>
      <c r="AJ85" s="43"/>
      <c r="AK85" s="22" t="s">
        <v>1460</v>
      </c>
      <c r="AL85" s="43"/>
      <c r="AM85" s="22" t="s">
        <v>1506</v>
      </c>
      <c r="AN85" s="22" t="s">
        <v>1507</v>
      </c>
      <c r="AO85" s="22" t="s">
        <v>1508</v>
      </c>
      <c r="AP85" s="43"/>
      <c r="AQ85" s="43"/>
      <c r="AR85" s="46" t="s">
        <v>1509</v>
      </c>
      <c r="AS85" s="43"/>
      <c r="AT85" s="43"/>
      <c r="AU85" s="46" t="s">
        <v>1510</v>
      </c>
      <c r="AV85" s="46" t="s">
        <v>1511</v>
      </c>
      <c r="AW85" s="43"/>
      <c r="AX85" s="22"/>
      <c r="AY85" s="22" t="s">
        <v>1460</v>
      </c>
      <c r="AZ85" s="43"/>
      <c r="BA85" s="22" t="s">
        <v>1447</v>
      </c>
      <c r="BB85" s="22" t="s">
        <v>596</v>
      </c>
      <c r="BC85" s="22" t="s">
        <v>594</v>
      </c>
      <c r="BD85" s="43"/>
      <c r="BE85" s="43"/>
      <c r="BF85" s="22" t="str">
        <f>IFERROR(VLOOKUP(C85,'спецификация'!B:D,3,0)," ")</f>
        <v> </v>
      </c>
      <c r="BG85" s="22"/>
      <c r="BH85" s="22" t="s">
        <v>133</v>
      </c>
      <c r="BI85" s="46" t="s">
        <v>1512</v>
      </c>
      <c r="BJ85" s="22" t="s">
        <v>245</v>
      </c>
      <c r="BK85" s="43"/>
      <c r="BL85" s="43"/>
      <c r="BM85" s="22" t="str">
        <f>IFERROR(VLOOKUP(BF85,'спецификация'!D:H,5,0)," ")</f>
        <v> </v>
      </c>
      <c r="BN85" s="43"/>
      <c r="BO85" s="22" t="s">
        <v>1470</v>
      </c>
      <c r="BP85" s="43" t="str">
        <f>IFERROR(VLOOKUP(C85,'спецификация'!B:AA,11,0)," ")</f>
        <v> </v>
      </c>
      <c r="BQ85" s="22" t="s">
        <v>1433</v>
      </c>
      <c r="BR85" s="22">
        <v>20.0</v>
      </c>
      <c r="BS85" s="22" t="s">
        <v>139</v>
      </c>
      <c r="BT85" s="43"/>
      <c r="BU85" s="22"/>
      <c r="BV85" s="22" t="s">
        <v>307</v>
      </c>
      <c r="BW85" s="44" t="s">
        <v>1471</v>
      </c>
      <c r="BX85" s="43"/>
      <c r="BY85" s="43"/>
      <c r="BZ85" s="45" t="str">
        <f>IFERROR(VLOOKUP(BF85,'спецификация'!D:Y,22,0)," ")</f>
        <v> </v>
      </c>
      <c r="CA85" s="43"/>
      <c r="CB85" s="43"/>
      <c r="CC85" s="43"/>
      <c r="CD85" s="43"/>
      <c r="CE85" s="43"/>
      <c r="CF85" s="43"/>
      <c r="CG85" s="49">
        <f>IFERROR(VLOOKUP(C85,CC!A:D,4,0)," ")</f>
        <v>77.9</v>
      </c>
      <c r="CH85" s="22" t="s">
        <v>604</v>
      </c>
      <c r="CI85" s="22"/>
      <c r="CJ85" s="43"/>
      <c r="CK85" s="22" t="str">
        <f>IFERROR(VLOOKUP(C85,CC!K:M,3,0)," ")</f>
        <v> </v>
      </c>
      <c r="CL85" s="43"/>
      <c r="CM85" s="43"/>
      <c r="CN85" s="43"/>
      <c r="CO85" s="43"/>
      <c r="CP85" s="43"/>
      <c r="CQ85" s="43"/>
      <c r="CR85" s="43"/>
      <c r="CS85" s="43" t="b">
        <v>0</v>
      </c>
      <c r="CT85" s="43" t="b">
        <v>0</v>
      </c>
      <c r="CU85" s="43" t="b">
        <v>0</v>
      </c>
      <c r="CV85" s="43" t="b">
        <v>0</v>
      </c>
      <c r="CW85" s="43"/>
      <c r="CX85" s="43"/>
      <c r="CY85" s="43"/>
      <c r="CZ85" s="43"/>
      <c r="DA85" s="43"/>
      <c r="DB85" s="43"/>
      <c r="DC85" s="43"/>
      <c r="DD85" s="22">
        <f>IFERROR(VLOOKUP($C85,'Лист4'!$D:$AI,27,0)," ")</f>
        <v>3</v>
      </c>
      <c r="DE85" s="22">
        <f>IFERROR(VLOOKUP($C85,'Лист4'!$D:$AI,28,0)," ")</f>
        <v>14</v>
      </c>
      <c r="DF85" s="22">
        <f>IFERROR(VLOOKUP($C85,'Лист4'!$D:$AI,29,0)," ")</f>
        <v>3</v>
      </c>
      <c r="DG85" s="22">
        <f t="shared" si="3"/>
        <v>126</v>
      </c>
      <c r="DH85" s="22">
        <f>IFERROR(VLOOKUP($C85,'Лист4'!$D:$AI,32,0)," ")</f>
        <v>0.031</v>
      </c>
      <c r="DI85" s="22"/>
      <c r="DJ85" s="22"/>
      <c r="DK85" s="22"/>
      <c r="DL85" s="22"/>
      <c r="DM85" s="22"/>
      <c r="DN85" s="22"/>
      <c r="DO85" s="22"/>
      <c r="DP85" s="22"/>
      <c r="DQ85" s="22"/>
      <c r="DR85" s="22"/>
      <c r="DS85" s="22"/>
      <c r="DT85" s="22"/>
      <c r="DU85" s="22"/>
      <c r="DV85" s="22"/>
      <c r="DW85" s="22"/>
      <c r="DX85" s="22"/>
      <c r="DY85" s="22"/>
      <c r="DZ85" s="22"/>
      <c r="EA85" s="22"/>
      <c r="EB85" s="22"/>
      <c r="EC85" s="22"/>
      <c r="ED85" s="22"/>
      <c r="EE85" s="22"/>
      <c r="EF85" s="22"/>
      <c r="EG85" s="22"/>
      <c r="EH85" s="22"/>
      <c r="EI85" s="22"/>
      <c r="EJ85" s="22"/>
      <c r="EK85" s="22"/>
      <c r="EL85" s="22"/>
      <c r="EM85" s="43"/>
      <c r="EN85" s="43"/>
      <c r="EO85" s="43"/>
      <c r="EP85" s="43"/>
      <c r="EQ85" s="43"/>
      <c r="ER85" s="43"/>
      <c r="ES85" s="43"/>
      <c r="ET85" s="43"/>
      <c r="EU85" s="43"/>
      <c r="EV85" s="43"/>
      <c r="EW85" s="43"/>
      <c r="EX85" s="43"/>
      <c r="EY85" s="43"/>
      <c r="EZ85" s="43"/>
      <c r="FA85" s="43"/>
      <c r="FB85" s="43"/>
      <c r="FC85" s="43"/>
    </row>
    <row r="86" ht="18.0" customHeight="1">
      <c r="A86" s="2"/>
      <c r="B86" s="22" t="str">
        <f>IFERROR(VLOOKUP(C86,'Реестр'!C:AC,27,0)," ")</f>
        <v>Биг-Л</v>
      </c>
      <c r="C86" s="43" t="s">
        <v>1514</v>
      </c>
      <c r="D86" s="22" t="str">
        <f>IFERROR(VLOOKUP(C86,'Лист4'!D:P,13,0)," ")</f>
        <v>Harly</v>
      </c>
      <c r="E86" s="22" t="str">
        <f>IF(OR(ISERROR(VLOOKUP(C86,'Актуальность'!A:B,2,0)), VLOOKUP(C86,'Актуальность'!A:B,2,0)=""), "Актуальный", VLOOKUP(C86,'Актуальность'!A:B,2,0))</f>
        <v>Актуальный</v>
      </c>
      <c r="F86" s="43" t="str">
        <f>IFERROR(VLOOKUP(C86,'Актуальность'!A:C,3,0)," ")</f>
        <v/>
      </c>
      <c r="G86" s="43"/>
      <c r="H86" s="22" t="s">
        <v>121</v>
      </c>
      <c r="I86" s="22" t="s">
        <v>682</v>
      </c>
      <c r="J86" s="43"/>
      <c r="K86" s="43"/>
      <c r="L86" s="22" t="b">
        <f t="shared" ref="L86:R86" si="82">T86&lt;&gt;""</f>
        <v>1</v>
      </c>
      <c r="M86" s="22" t="b">
        <f t="shared" si="82"/>
        <v>1</v>
      </c>
      <c r="N86" s="22" t="b">
        <f t="shared" si="82"/>
        <v>1</v>
      </c>
      <c r="O86" s="22" t="b">
        <f t="shared" si="82"/>
        <v>1</v>
      </c>
      <c r="P86" s="22" t="b">
        <f t="shared" si="82"/>
        <v>0</v>
      </c>
      <c r="Q86" s="22" t="b">
        <f t="shared" si="82"/>
        <v>0</v>
      </c>
      <c r="R86" s="22" t="b">
        <f t="shared" si="82"/>
        <v>0</v>
      </c>
      <c r="S86" s="43"/>
      <c r="T86" s="43" t="str">
        <f>IFERROR(VLOOKUP( C86,'1С'!A:B,2,0)," ")</f>
        <v>HB101100406</v>
      </c>
      <c r="U86" s="22" t="str">
        <f>IFERROR(VLOOKUP(T86,'Лист4'!C:I,3,0)," ")</f>
        <v>harly_salmon_oil</v>
      </c>
      <c r="V86" s="22" t="str">
        <f>IFERROR(VLOOKUP(T86,'Лист4'!C:I,4,0)," ")</f>
        <v>harly_salmon_oil</v>
      </c>
      <c r="W86" s="22" t="str">
        <f>IFERROR(VLOOKUP(T86,'Лист4'!C:I,5,0)," ")</f>
        <v>harly_salmon_oil</v>
      </c>
      <c r="X86" s="43" t="str">
        <f>IFERROR(VLOOKUP(T86,'Лист4'!C:I,7,0)," ")</f>
        <v/>
      </c>
      <c r="Y86" s="43" t="str">
        <f>IFERROR(VLOOKUP(T86,'Лист4'!C:I,6,0)," ")</f>
        <v/>
      </c>
      <c r="Z86" s="43"/>
      <c r="AA86" s="43"/>
      <c r="AB86" s="22">
        <v>3.81335309E8</v>
      </c>
      <c r="AC86" s="22">
        <v>2.019073769E9</v>
      </c>
      <c r="AD86" s="22">
        <v>4.334505684E9</v>
      </c>
      <c r="AE86" s="22"/>
      <c r="AF86" s="22"/>
      <c r="AG86" s="43"/>
      <c r="AH86" s="43"/>
      <c r="AI86" s="43" t="str">
        <f>IFERROR(VLOOKUP(T86,'1С'!B:C,2,0)," ")</f>
        <v>Масло лососевое для собак и кошек, Harly, 150 мл</v>
      </c>
      <c r="AJ86" s="22" t="s">
        <v>684</v>
      </c>
      <c r="AK86" s="22" t="s">
        <v>1517</v>
      </c>
      <c r="AL86" s="22" t="s">
        <v>1518</v>
      </c>
      <c r="AM86" s="43"/>
      <c r="AN86" s="43"/>
      <c r="AO86" s="43"/>
      <c r="AP86" s="43"/>
      <c r="AQ86" s="46" t="s">
        <v>1519</v>
      </c>
      <c r="AR86" s="46" t="s">
        <v>1520</v>
      </c>
      <c r="AS86" s="46" t="s">
        <v>1521</v>
      </c>
      <c r="AT86" s="43"/>
      <c r="AU86" s="43"/>
      <c r="AV86" s="43"/>
      <c r="AW86" s="43"/>
      <c r="AX86" s="22" t="s">
        <v>156</v>
      </c>
      <c r="AY86" s="22" t="s">
        <v>1517</v>
      </c>
      <c r="AZ86" s="22" t="s">
        <v>221</v>
      </c>
      <c r="BA86" s="43"/>
      <c r="BB86" s="43"/>
      <c r="BC86" s="43"/>
      <c r="BD86" s="43"/>
      <c r="BE86" s="43"/>
      <c r="BF86" s="22" t="str">
        <f>IFERROR(VLOOKUP(C86,'спецификация'!B:D,3,0)," ")</f>
        <v>4687406582727
4620290621011</v>
      </c>
      <c r="BG86" s="22">
        <v>1.504209E9</v>
      </c>
      <c r="BH86" s="22" t="str">
        <f>IFERROR(VLOOKUP(C86,'спецификация'!B:AA,5,0)," ")</f>
        <v>РОСС RU Д-RU.РА01.В.08426/25 от 18.03.2025 по 17.03.2030</v>
      </c>
      <c r="BI86" s="22"/>
      <c r="BJ86" s="22" t="str">
        <f>IFERROR(VLOOKUP(C86,'спецификация'!B:AA,6,0)," ")</f>
        <v>ЧЗ</v>
      </c>
      <c r="BK86" s="43"/>
      <c r="BL86" s="43"/>
      <c r="BM86" s="22" t="str">
        <f>IFERROR(VLOOKUP(BF86,'спецификация'!D:H,5,0)," ")</f>
        <v>100% натуральное масло лосося.</v>
      </c>
      <c r="BN86" s="43"/>
      <c r="BO86" s="22" t="s">
        <v>1524</v>
      </c>
      <c r="BP86" s="43" t="str">
        <f>IFERROR(VLOOKUP(C86,'спецификация'!B:AA,11,0)," ")</f>
        <v/>
      </c>
      <c r="BQ86" s="22" t="str">
        <f>IFERROR(VLOOKUP(C86,'спецификация'!B:AA,12,0)," ")</f>
        <v>хранить в прохладном, защищенном от света месте (в летний период не выше 30 °С). Вскрытый флакон хранить в холодильнике при температуре от + 4 °С до +8 °С.</v>
      </c>
      <c r="BR86" s="22">
        <v>150.0</v>
      </c>
      <c r="BS86" s="22" t="s">
        <v>139</v>
      </c>
      <c r="BT86" s="22"/>
      <c r="BU86" s="22"/>
      <c r="BV86" s="22" t="s">
        <v>140</v>
      </c>
      <c r="BW86" s="44" t="str">
        <f>IFERROR(VLOOKUP(C86,'спецификация'!B:AA,16,0)," ")</f>
        <v>https://docs.google.com/document/d/1IuDlaqYy_B8b8k0pjFufQl-oqx3-fgJbSLSgva-MKBc/edit?tab=t.0</v>
      </c>
      <c r="BX86" s="43"/>
      <c r="BY86" s="43"/>
      <c r="BZ86" s="45" t="str">
        <f>IFERROR(VLOOKUP(BF86,'спецификация'!D:Y,22,0)," ")</f>
        <v/>
      </c>
      <c r="CA86" s="43"/>
      <c r="CB86" s="43"/>
      <c r="CC86" s="43"/>
      <c r="CD86" s="43"/>
      <c r="CE86" s="43"/>
      <c r="CF86" s="43"/>
      <c r="CG86" s="49">
        <f>IFERROR(VLOOKUP(C86,CC!A:D,4,0)," ")</f>
        <v>217</v>
      </c>
      <c r="CH86" s="22" t="str">
        <f>IFERROR(VLOOKUP(C86,'спецификация'!B:AA,19,0)," ")</f>
        <v>ООО Терра-пласт</v>
      </c>
      <c r="CI86" s="22"/>
      <c r="CJ86" s="22" t="s">
        <v>1526</v>
      </c>
      <c r="CK86" s="22">
        <f>IFERROR(VLOOKUP(C86,CC!K:M,3,0)," ")</f>
        <v>60</v>
      </c>
      <c r="CL86" s="43"/>
      <c r="CM86" s="43"/>
      <c r="CN86" s="43"/>
      <c r="CO86" s="43"/>
      <c r="CP86" s="43"/>
      <c r="CQ86" s="43"/>
      <c r="CR86" s="43"/>
      <c r="CS86" s="43" t="b">
        <v>0</v>
      </c>
      <c r="CT86" s="43" t="b">
        <v>0</v>
      </c>
      <c r="CU86" s="43" t="b">
        <v>0</v>
      </c>
      <c r="CV86" s="43" t="b">
        <v>0</v>
      </c>
      <c r="CW86" s="43"/>
      <c r="CX86" s="43"/>
      <c r="CY86" s="43"/>
      <c r="CZ86" s="43"/>
      <c r="DA86" s="43"/>
      <c r="DB86" s="43"/>
      <c r="DC86" s="43"/>
      <c r="DD86" s="22">
        <f>IFERROR(VLOOKUP($C86,'Лист4'!$D:$AI,27,0)," ")</f>
        <v>5</v>
      </c>
      <c r="DE86" s="22">
        <f>IFERROR(VLOOKUP($C86,'Лист4'!$D:$AI,28,0)," ")</f>
        <v>17</v>
      </c>
      <c r="DF86" s="22">
        <f>IFERROR(VLOOKUP($C86,'Лист4'!$D:$AI,29,0)," ")</f>
        <v>5</v>
      </c>
      <c r="DG86" s="22">
        <f t="shared" si="3"/>
        <v>425</v>
      </c>
      <c r="DH86" s="22">
        <f>IFERROR(VLOOKUP($C86,'Лист4'!$D:$AI,32,0)," ")</f>
        <v>0.163</v>
      </c>
      <c r="DI86" s="22"/>
      <c r="DJ86" s="22"/>
      <c r="DK86" s="22"/>
      <c r="DL86" s="22"/>
      <c r="DM86" s="22"/>
      <c r="DN86" s="22"/>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43"/>
      <c r="EN86" s="43"/>
      <c r="EO86" s="43"/>
      <c r="EP86" s="43"/>
      <c r="EQ86" s="43"/>
      <c r="ER86" s="43"/>
      <c r="ES86" s="43"/>
      <c r="ET86" s="43"/>
      <c r="EU86" s="43"/>
      <c r="EV86" s="43"/>
      <c r="EW86" s="43"/>
      <c r="EX86" s="43"/>
      <c r="EY86" s="43"/>
      <c r="EZ86" s="43"/>
      <c r="FA86" s="43"/>
      <c r="FB86" s="43"/>
      <c r="FC86" s="43"/>
    </row>
    <row r="87" ht="18.0" customHeight="1">
      <c r="A87" s="2"/>
      <c r="B87" s="22" t="str">
        <f>IFERROR(VLOOKUP(C87,'Реестр'!C:AC,27,0)," ")</f>
        <v>Биг-Л</v>
      </c>
      <c r="C87" s="43" t="s">
        <v>1527</v>
      </c>
      <c r="D87" s="22" t="str">
        <f>IFERROR(VLOOKUP(C87,'Лист4'!D:P,13,0)," ")</f>
        <v>Harly</v>
      </c>
      <c r="E87" s="22" t="str">
        <f>IF(OR(ISERROR(VLOOKUP(C87,'Актуальность'!A:B,2,0)), VLOOKUP(C87,'Актуальность'!A:B,2,0)=""), "Актуальный", VLOOKUP(C87,'Актуальность'!A:B,2,0))</f>
        <v>Актуальный</v>
      </c>
      <c r="F87" s="43" t="str">
        <f>IFERROR(VLOOKUP(C87,'Актуальность'!A:C,3,0)," ")</f>
        <v/>
      </c>
      <c r="G87" s="43"/>
      <c r="H87" s="22" t="s">
        <v>1529</v>
      </c>
      <c r="I87" s="22" t="s">
        <v>1530</v>
      </c>
      <c r="J87" s="43"/>
      <c r="K87" s="43"/>
      <c r="L87" s="22" t="b">
        <f t="shared" ref="L87:R87" si="83">T87&lt;&gt;""</f>
        <v>1</v>
      </c>
      <c r="M87" s="22" t="b">
        <f t="shared" si="83"/>
        <v>1</v>
      </c>
      <c r="N87" s="22" t="b">
        <f t="shared" si="83"/>
        <v>1</v>
      </c>
      <c r="O87" s="22" t="b">
        <f t="shared" si="83"/>
        <v>1</v>
      </c>
      <c r="P87" s="22" t="b">
        <f t="shared" si="83"/>
        <v>0</v>
      </c>
      <c r="Q87" s="22" t="b">
        <f t="shared" si="83"/>
        <v>0</v>
      </c>
      <c r="R87" s="22" t="b">
        <f t="shared" si="83"/>
        <v>0</v>
      </c>
      <c r="S87" s="43"/>
      <c r="T87" s="43" t="str">
        <f>IFERROR(VLOOKUP( C87,'1С'!A:B,2,0)," ")</f>
        <v>HH101100401</v>
      </c>
      <c r="U87" s="22" t="str">
        <f>IFERROR(VLOOKUP(T87,'Лист4'!C:I,3,0)," ")</f>
        <v>harly_likvidator_v2</v>
      </c>
      <c r="V87" s="22" t="str">
        <f>IFERROR(VLOOKUP(T87,'Лист4'!C:I,4,0)," ")</f>
        <v>harly_likvidator_v2</v>
      </c>
      <c r="W87" s="22" t="str">
        <f>IFERROR(VLOOKUP(T87,'Лист4'!C:I,5,0)," ")</f>
        <v>harly_likvidator_v2</v>
      </c>
      <c r="X87" s="43" t="str">
        <f>IFERROR(VLOOKUP(T87,'Лист4'!C:I,7,0)," ")</f>
        <v/>
      </c>
      <c r="Y87" s="43" t="str">
        <f>IFERROR(VLOOKUP(T87,'Лист4'!C:I,6,0)," ")</f>
        <v/>
      </c>
      <c r="Z87" s="43"/>
      <c r="AA87" s="43"/>
      <c r="AB87" s="22">
        <v>4.45333054E8</v>
      </c>
      <c r="AC87" s="22">
        <v>2.344269342E9</v>
      </c>
      <c r="AD87" s="22">
        <v>4.476321741E9</v>
      </c>
      <c r="AE87" s="22"/>
      <c r="AF87" s="22"/>
      <c r="AG87" s="43"/>
      <c r="AH87" s="43"/>
      <c r="AI87" s="43" t="str">
        <f>IFERROR(VLOOKUP(T87,'1С'!B:C,2,0)," ")</f>
        <v>Нейтрализатор запахов животных, Harly, 500 мл</v>
      </c>
      <c r="AJ87" s="22" t="s">
        <v>1532</v>
      </c>
      <c r="AK87" s="22" t="s">
        <v>1532</v>
      </c>
      <c r="AL87" s="22" t="s">
        <v>1533</v>
      </c>
      <c r="AM87" s="43"/>
      <c r="AN87" s="43"/>
      <c r="AO87" s="43"/>
      <c r="AP87" s="43"/>
      <c r="AQ87" s="46" t="s">
        <v>1534</v>
      </c>
      <c r="AR87" s="46" t="s">
        <v>1535</v>
      </c>
      <c r="AS87" s="46" t="s">
        <v>1536</v>
      </c>
      <c r="AT87" s="43"/>
      <c r="AU87" s="43"/>
      <c r="AV87" s="43"/>
      <c r="AW87" s="43"/>
      <c r="AX87" s="22" t="s">
        <v>1537</v>
      </c>
      <c r="AY87" s="22" t="s">
        <v>1532</v>
      </c>
      <c r="AZ87" s="22" t="s">
        <v>1538</v>
      </c>
      <c r="BA87" s="43"/>
      <c r="BB87" s="43"/>
      <c r="BC87" s="43"/>
      <c r="BD87" s="43"/>
      <c r="BE87" s="43"/>
      <c r="BF87" s="22" t="str">
        <f>IFERROR(VLOOKUP(C87,'спецификация'!B:D,3,0)," ")</f>
        <v>2044461342086</v>
      </c>
      <c r="BG87" s="22"/>
      <c r="BH87" s="22" t="s">
        <v>133</v>
      </c>
      <c r="BI87" s="46" t="s">
        <v>1540</v>
      </c>
      <c r="BJ87" s="22" t="str">
        <f>IFERROR(VLOOKUP(C87,'спецификация'!B:AA,6,0)," ")</f>
        <v/>
      </c>
      <c r="BK87" s="43"/>
      <c r="BL87" s="43"/>
      <c r="BM87" s="22" t="str">
        <f>IFERROR(VLOOKUP(BF87,'спецификация'!D:H,5,0)," ")</f>
        <v/>
      </c>
      <c r="BN87" s="43"/>
      <c r="BO87" s="22" t="s">
        <v>1542</v>
      </c>
      <c r="BP87" s="22" t="s">
        <v>1543</v>
      </c>
      <c r="BQ87" s="22" t="s">
        <v>1544</v>
      </c>
      <c r="BR87" s="22">
        <v>500.0</v>
      </c>
      <c r="BS87" s="22" t="s">
        <v>139</v>
      </c>
      <c r="BT87" s="43"/>
      <c r="BU87" s="22"/>
      <c r="BV87" s="22" t="s">
        <v>307</v>
      </c>
      <c r="BW87" s="44" t="str">
        <f>IFERROR(VLOOKUP(C88,'спецификация'!B:AA,16,0)," ")</f>
        <v>https://docs.google.com/document/d/1n-zi4xqpBNgggNOydbLpB1J0hz_MvT3AaN82a30KklY/edit</v>
      </c>
      <c r="BX87" s="43"/>
      <c r="BY87" s="43"/>
      <c r="BZ87" s="45" t="str">
        <f>IFERROR(VLOOKUP(BF87,'спецификация'!D:Y,22,0)," ")</f>
        <v/>
      </c>
      <c r="CA87" s="57">
        <v>46044.0</v>
      </c>
      <c r="CB87" s="46" t="s">
        <v>1546</v>
      </c>
      <c r="CC87" s="43"/>
      <c r="CD87" s="43"/>
      <c r="CE87" s="43"/>
      <c r="CF87" s="43"/>
      <c r="CG87" s="49">
        <f>IFERROR(VLOOKUP(C87,CC!A:D,4,0)," ")</f>
        <v>126.09</v>
      </c>
      <c r="CH87" s="22" t="s">
        <v>458</v>
      </c>
      <c r="CI87" s="22"/>
      <c r="CJ87" s="22" t="s">
        <v>459</v>
      </c>
      <c r="CK87" s="22">
        <f>IFERROR(VLOOKUP(C87,CC!K:M,3,0)," ")</f>
        <v>45</v>
      </c>
      <c r="CL87" s="43"/>
      <c r="CM87" s="43"/>
      <c r="CN87" s="43"/>
      <c r="CO87" s="43"/>
      <c r="CP87" s="43"/>
      <c r="CQ87" s="43"/>
      <c r="CR87" s="43"/>
      <c r="CS87" s="43" t="b">
        <v>0</v>
      </c>
      <c r="CT87" s="43" t="b">
        <v>0</v>
      </c>
      <c r="CU87" s="43" t="b">
        <v>0</v>
      </c>
      <c r="CV87" s="43" t="b">
        <v>0</v>
      </c>
      <c r="CW87" s="43"/>
      <c r="CX87" s="43"/>
      <c r="CY87" s="43"/>
      <c r="CZ87" s="43"/>
      <c r="DA87" s="43"/>
      <c r="DB87" s="43"/>
      <c r="DC87" s="43"/>
      <c r="DD87" s="22">
        <f>IFERROR(VLOOKUP($C87,'Лист4'!$D:$AI,27,0)," ")</f>
        <v>25</v>
      </c>
      <c r="DE87" s="22">
        <f>IFERROR(VLOOKUP($C87,'Лист4'!$D:$AI,28,0)," ")</f>
        <v>6</v>
      </c>
      <c r="DF87" s="22">
        <f>IFERROR(VLOOKUP($C87,'Лист4'!$D:$AI,29,0)," ")</f>
        <v>25</v>
      </c>
      <c r="DG87" s="22">
        <f t="shared" si="3"/>
        <v>3750</v>
      </c>
      <c r="DH87" s="22">
        <f>IFERROR(VLOOKUP($C87,'Лист4'!$D:$AI,32,0)," ")</f>
        <v>0.557</v>
      </c>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43"/>
      <c r="EN87" s="43"/>
      <c r="EO87" s="43"/>
      <c r="EP87" s="43"/>
      <c r="EQ87" s="43"/>
      <c r="ER87" s="43"/>
      <c r="ES87" s="43"/>
      <c r="ET87" s="43"/>
      <c r="EU87" s="43"/>
      <c r="EV87" s="43"/>
      <c r="EW87" s="43"/>
      <c r="EX87" s="43"/>
      <c r="EY87" s="43"/>
      <c r="EZ87" s="43"/>
      <c r="FA87" s="43"/>
      <c r="FB87" s="43"/>
      <c r="FC87" s="43"/>
    </row>
    <row r="88" ht="18.0" customHeight="1">
      <c r="A88" s="2"/>
      <c r="B88" s="22" t="str">
        <f>IFERROR(VLOOKUP(C88,'Реестр'!C:AC,27,0)," ")</f>
        <v>Биг-Л</v>
      </c>
      <c r="C88" s="43" t="s">
        <v>1547</v>
      </c>
      <c r="D88" s="22" t="str">
        <f>IFERROR(VLOOKUP(C88,'Лист4'!D:P,13,0)," ")</f>
        <v>Harly</v>
      </c>
      <c r="E88" s="22" t="str">
        <f>IF(OR(ISERROR(VLOOKUP(C88,'Актуальность'!A:B,2,0)), VLOOKUP(C88,'Актуальность'!A:B,2,0)=""), "Актуальный", VLOOKUP(C88,'Актуальность'!A:B,2,0))</f>
        <v>Вывод</v>
      </c>
      <c r="F88" s="43" t="str">
        <f>IFERROR(VLOOKUP(C88,'Актуальность'!A:C,3,0)," ")</f>
        <v>Перезавели v2</v>
      </c>
      <c r="G88" s="43"/>
      <c r="H88" s="22" t="s">
        <v>1529</v>
      </c>
      <c r="I88" s="22" t="s">
        <v>1530</v>
      </c>
      <c r="J88" s="43"/>
      <c r="K88" s="43"/>
      <c r="L88" s="22" t="b">
        <f t="shared" ref="L88:R88" si="84">T88&lt;&gt;""</f>
        <v>1</v>
      </c>
      <c r="M88" s="22" t="b">
        <f t="shared" si="84"/>
        <v>1</v>
      </c>
      <c r="N88" s="22" t="b">
        <f t="shared" si="84"/>
        <v>1</v>
      </c>
      <c r="O88" s="22" t="b">
        <f t="shared" si="84"/>
        <v>0</v>
      </c>
      <c r="P88" s="22" t="b">
        <f t="shared" si="84"/>
        <v>0</v>
      </c>
      <c r="Q88" s="22" t="b">
        <f t="shared" si="84"/>
        <v>0</v>
      </c>
      <c r="R88" s="22" t="b">
        <f t="shared" si="84"/>
        <v>0</v>
      </c>
      <c r="S88" s="43"/>
      <c r="T88" s="43" t="str">
        <f>IFERROR(VLOOKUP( C88,'1С'!A:B,2,0)," ")</f>
        <v>HH101100400</v>
      </c>
      <c r="U88" s="22" t="str">
        <f>IFERROR(VLOOKUP(T88,'Лист4'!C:I,3,0)," ")</f>
        <v>harly_likvidator_500ml</v>
      </c>
      <c r="V88" s="22" t="str">
        <f>IFERROR(VLOOKUP(T88,'Лист4'!C:I,4,0)," ")</f>
        <v>harly_likvidator_500ml</v>
      </c>
      <c r="W88" s="22" t="str">
        <f>IFERROR(VLOOKUP(T88,'Лист4'!C:I,5,0)," ")</f>
        <v/>
      </c>
      <c r="X88" s="43" t="str">
        <f>IFERROR(VLOOKUP(T88,'Лист4'!C:I,7,0)," ")</f>
        <v/>
      </c>
      <c r="Y88" s="43" t="str">
        <f>IFERROR(VLOOKUP(T88,'Лист4'!C:I,6,0)," ")</f>
        <v/>
      </c>
      <c r="Z88" s="43"/>
      <c r="AA88" s="43"/>
      <c r="AB88" s="22">
        <v>2.40173672E8</v>
      </c>
      <c r="AC88" s="22">
        <v>1.613731894E9</v>
      </c>
      <c r="AD88" s="22"/>
      <c r="AE88" s="22"/>
      <c r="AF88" s="22"/>
      <c r="AG88" s="43"/>
      <c r="AH88" s="43"/>
      <c r="AI88" s="43" t="str">
        <f>IFERROR(VLOOKUP(T88,'1С'!B:C,2,0)," ")</f>
        <v>Нейтрализатор запахов животных, ,Harly, 500 мл</v>
      </c>
      <c r="AJ88" s="22" t="s">
        <v>1532</v>
      </c>
      <c r="AK88" s="22" t="s">
        <v>1532</v>
      </c>
      <c r="AL88" s="43"/>
      <c r="AM88" s="43"/>
      <c r="AN88" s="43"/>
      <c r="AO88" s="43"/>
      <c r="AP88" s="43"/>
      <c r="AQ88" s="46" t="s">
        <v>1550</v>
      </c>
      <c r="AR88" s="46" t="s">
        <v>1551</v>
      </c>
      <c r="AS88" s="43"/>
      <c r="AT88" s="43"/>
      <c r="AU88" s="43"/>
      <c r="AV88" s="43"/>
      <c r="AW88" s="43"/>
      <c r="AX88" s="22" t="s">
        <v>1537</v>
      </c>
      <c r="AY88" s="22" t="s">
        <v>1532</v>
      </c>
      <c r="AZ88" s="43"/>
      <c r="BA88" s="43"/>
      <c r="BB88" s="43"/>
      <c r="BC88" s="43"/>
      <c r="BD88" s="43"/>
      <c r="BE88" s="43"/>
      <c r="BF88" s="22">
        <f>IFERROR(VLOOKUP(C88,'спецификация'!B:D,3,0)," ")</f>
        <v>4610172186752</v>
      </c>
      <c r="BG88" s="22">
        <v>3.307900008E9</v>
      </c>
      <c r="BH88" s="22" t="str">
        <f>IFERROR(VLOOKUP(C88,'спецификация'!B:AA,5,0)," ")</f>
        <v>№ АИ22-6565 от 17.04.2024</v>
      </c>
      <c r="BI88" s="22"/>
      <c r="BJ88" s="22" t="str">
        <f>IFERROR(VLOOKUP(C88,'спецификация'!B:AA,6,0)," ")</f>
        <v>без ЧЗ</v>
      </c>
      <c r="BK88" s="43"/>
      <c r="BL88" s="43"/>
      <c r="BM88" s="22" t="str">
        <f>IFERROR(VLOOKUP(BF88,'спецификация'!D:H,5,0)," ")</f>
        <v>вода очищенная &gt;30%, Неионогенные ПАВ 5-15%, Дезинфицирующие вещества &lt;5%, Катионные ПАВ &lt;5%, Фосфаты &lt;5%, Консервант, Парфюмерная композиция, Цитрал, Лимонене, Линалоол</v>
      </c>
      <c r="BN88" s="43"/>
      <c r="BO88" s="22" t="str">
        <f>IFERROR(VLOOKUP(C88,'спецификация'!B:AA,10,0)," ")</f>
        <v>используйте для удаления сложных, трудно выводимых загрязнений и запахов. Проводите процедуру в перчатках и в отсутствии детей и животных в помещении. Сперва нанесите средство на незаметный участок. Если через 10 минут цвет не поменялся и не замутился, распылите раствор на всю поверхность. При трудно выводимых пятнах после распыления затрите участок щеткой и оставьте средство на 1 час, после чего вытрите поверхность салфеткой. При необходимости повторяйте процедуру. Подходит для всех поверхностей, в т. ч. паркета, ламината, кафеля, ковровых покрытий, дерева, пластика, мебели, одежды, обуви, спальных поверхностей.</v>
      </c>
      <c r="BP88" s="22" t="s">
        <v>1543</v>
      </c>
      <c r="BQ88" s="22" t="s">
        <v>1544</v>
      </c>
      <c r="BR88" s="22">
        <v>500.0</v>
      </c>
      <c r="BS88" s="22" t="s">
        <v>139</v>
      </c>
      <c r="BT88" s="22"/>
      <c r="BU88" s="22"/>
      <c r="BV88" s="22" t="s">
        <v>307</v>
      </c>
      <c r="BW88" s="44" t="str">
        <f>IFERROR(VLOOKUP(C88,'спецификация'!B:AA,16,0)," ")</f>
        <v>https://docs.google.com/document/d/1n-zi4xqpBNgggNOydbLpB1J0hz_MvT3AaN82a30KklY/edit</v>
      </c>
      <c r="BX88" s="43"/>
      <c r="BY88" s="43"/>
      <c r="BZ88" s="45" t="str">
        <f>IFERROR(VLOOKUP(BF88,'спецификация'!D:Y,22,0)," ")</f>
        <v/>
      </c>
      <c r="CA88" s="43"/>
      <c r="CB88" s="43"/>
      <c r="CC88" s="43"/>
      <c r="CD88" s="43"/>
      <c r="CE88" s="43"/>
      <c r="CF88" s="43"/>
      <c r="CG88" s="49">
        <f>IFERROR(VLOOKUP(C88,CC!A:D,4,0)," ")</f>
        <v>162.38</v>
      </c>
      <c r="CH88" s="22" t="str">
        <f>IFERROR(VLOOKUP(C88,'спецификация'!B:AA,19,0)," ")</f>
        <v>Изготовитель: ООО «Биг-Л», 127473, Россия, г. Москва, Переулок Самотёчный 1-й, д. 15, cтр. 1, этаж подвал № 0, помещ. I, ком. 1, офис 1. E-mail: sales@qeep.life
</v>
      </c>
      <c r="CI88" s="22"/>
      <c r="CJ88" s="22" t="s">
        <v>1554</v>
      </c>
      <c r="CK88" s="22">
        <f>IFERROR(VLOOKUP(C88,CC!K:M,3,0)," ")</f>
        <v>90</v>
      </c>
      <c r="CL88" s="43"/>
      <c r="CM88" s="43"/>
      <c r="CN88" s="43"/>
      <c r="CO88" s="43"/>
      <c r="CP88" s="43"/>
      <c r="CQ88" s="43"/>
      <c r="CR88" s="43"/>
      <c r="CS88" s="43" t="b">
        <v>0</v>
      </c>
      <c r="CT88" s="43" t="b">
        <v>0</v>
      </c>
      <c r="CU88" s="43" t="b">
        <v>0</v>
      </c>
      <c r="CV88" s="43" t="b">
        <v>0</v>
      </c>
      <c r="CW88" s="43"/>
      <c r="CX88" s="43"/>
      <c r="CY88" s="43"/>
      <c r="CZ88" s="43"/>
      <c r="DA88" s="43"/>
      <c r="DB88" s="43"/>
      <c r="DC88" s="43"/>
      <c r="DD88" s="22">
        <f>IFERROR(VLOOKUP($C88,'Лист4'!$D:$AI,27,0)," ")</f>
        <v>25</v>
      </c>
      <c r="DE88" s="22">
        <f>IFERROR(VLOOKUP($C88,'Лист4'!$D:$AI,28,0)," ")</f>
        <v>6</v>
      </c>
      <c r="DF88" s="22">
        <f>IFERROR(VLOOKUP($C88,'Лист4'!$D:$AI,29,0)," ")</f>
        <v>25</v>
      </c>
      <c r="DG88" s="22">
        <f t="shared" si="3"/>
        <v>3750</v>
      </c>
      <c r="DH88" s="22">
        <f>IFERROR(VLOOKUP($C88,'Лист4'!$D:$AI,32,0)," ")</f>
        <v>0.56</v>
      </c>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43"/>
      <c r="EN88" s="43"/>
      <c r="EO88" s="43"/>
      <c r="EP88" s="43"/>
      <c r="EQ88" s="43"/>
      <c r="ER88" s="43"/>
      <c r="ES88" s="43"/>
      <c r="ET88" s="43"/>
      <c r="EU88" s="43"/>
      <c r="EV88" s="43"/>
      <c r="EW88" s="43"/>
      <c r="EX88" s="43"/>
      <c r="EY88" s="43"/>
      <c r="EZ88" s="43"/>
      <c r="FA88" s="43"/>
      <c r="FB88" s="43"/>
      <c r="FC88" s="43"/>
    </row>
    <row r="89" ht="18.0" customHeight="1">
      <c r="A89" s="2"/>
      <c r="B89" s="22" t="str">
        <f>IFERROR(VLOOKUP(C89,'Реестр'!C:AC,27,0)," ")</f>
        <v>Биг-Л</v>
      </c>
      <c r="C89" s="43" t="s">
        <v>1555</v>
      </c>
      <c r="D89" s="22" t="str">
        <f>IFERROR(VLOOKUP(C89,'Лист4'!D:P,13,0)," ")</f>
        <v>qeep</v>
      </c>
      <c r="E89" s="22" t="str">
        <f>IF(OR(ISERROR(VLOOKUP(C89,'Актуальность'!A:B,2,0)), VLOOKUP(C89,'Актуальность'!A:B,2,0)=""), "Актуальный", VLOOKUP(C89,'Актуальность'!A:B,2,0))</f>
        <v>Актуальный</v>
      </c>
      <c r="F89" s="43" t="str">
        <f>IFERROR(VLOOKUP(C89,'Актуальность'!A:C,3,0)," ")</f>
        <v/>
      </c>
      <c r="G89" s="43"/>
      <c r="H89" s="22" t="s">
        <v>361</v>
      </c>
      <c r="I89" s="22" t="s">
        <v>1557</v>
      </c>
      <c r="J89" s="43"/>
      <c r="K89" s="43"/>
      <c r="L89" s="22" t="b">
        <f t="shared" ref="L89:R89" si="85">T89&lt;&gt;""</f>
        <v>1</v>
      </c>
      <c r="M89" s="22" t="b">
        <f t="shared" si="85"/>
        <v>1</v>
      </c>
      <c r="N89" s="22" t="b">
        <f t="shared" si="85"/>
        <v>1</v>
      </c>
      <c r="O89" s="22" t="b">
        <f t="shared" si="85"/>
        <v>1</v>
      </c>
      <c r="P89" s="22" t="b">
        <f t="shared" si="85"/>
        <v>1</v>
      </c>
      <c r="Q89" s="22" t="b">
        <f t="shared" si="85"/>
        <v>0</v>
      </c>
      <c r="R89" s="22" t="b">
        <f t="shared" si="85"/>
        <v>0</v>
      </c>
      <c r="S89" s="43"/>
      <c r="T89" s="43" t="str">
        <f>IFERROR(VLOOKUP( C89,'1С'!A:B,2,0)," ")</f>
        <v>QB101100462</v>
      </c>
      <c r="U89" s="22" t="str">
        <f>IFERROR(VLOOKUP(T89,'Лист4'!C:I,3,0)," ")</f>
        <v>qeep_magnB6_120caps</v>
      </c>
      <c r="V89" s="22" t="str">
        <f>IFERROR(VLOOKUP(T89,'Лист4'!C:I,4,0)," ")</f>
        <v>qeep_magnB6_120caps</v>
      </c>
      <c r="W89" s="22" t="str">
        <f>IFERROR(VLOOKUP(T89,'Лист4'!C:I,5,0)," ")</f>
        <v>qeep_magnB6_120caps</v>
      </c>
      <c r="X89" s="43" t="str">
        <f>IFERROR(VLOOKUP(T89,'Лист4'!C:I,7,0)," ")</f>
        <v>qeep_magnB6_120caps</v>
      </c>
      <c r="Y89" s="43" t="str">
        <f>IFERROR(VLOOKUP(T89,'Лист4'!C:I,6,0)," ")</f>
        <v/>
      </c>
      <c r="Z89" s="43"/>
      <c r="AA89" s="43"/>
      <c r="AB89" s="22">
        <v>2.65543042E8</v>
      </c>
      <c r="AC89" s="22">
        <v>1.713149756E9</v>
      </c>
      <c r="AD89" s="22">
        <v>1.03555039361E11</v>
      </c>
      <c r="AE89" s="22">
        <v>9.9000121326E10</v>
      </c>
      <c r="AF89" s="22"/>
      <c r="AG89" s="43"/>
      <c r="AH89" s="43"/>
      <c r="AI89" s="43" t="str">
        <f>IFERROR(VLOOKUP(T89,'1С'!B:C,2,0)," ")</f>
        <v>БАД Магний цитрат 635 мг с В6 ,qeep, 120 капсул</v>
      </c>
      <c r="AJ89" s="22" t="s">
        <v>1559</v>
      </c>
      <c r="AK89" s="22" t="s">
        <v>1560</v>
      </c>
      <c r="AL89" s="22" t="s">
        <v>1561</v>
      </c>
      <c r="AM89" s="22" t="s">
        <v>1562</v>
      </c>
      <c r="AN89" s="43"/>
      <c r="AO89" s="43"/>
      <c r="AP89" s="43"/>
      <c r="AQ89" s="46" t="s">
        <v>1563</v>
      </c>
      <c r="AR89" s="46" t="s">
        <v>1564</v>
      </c>
      <c r="AS89" s="46" t="s">
        <v>1565</v>
      </c>
      <c r="AT89" s="46" t="s">
        <v>1566</v>
      </c>
      <c r="AU89" s="43"/>
      <c r="AV89" s="43"/>
      <c r="AW89" s="43"/>
      <c r="AX89" s="22" t="s">
        <v>361</v>
      </c>
      <c r="AY89" s="22" t="s">
        <v>1560</v>
      </c>
      <c r="AZ89" s="22" t="s">
        <v>372</v>
      </c>
      <c r="BA89" s="22" t="s">
        <v>373</v>
      </c>
      <c r="BB89" s="43"/>
      <c r="BC89" s="43"/>
      <c r="BD89" s="43"/>
      <c r="BE89" s="43"/>
      <c r="BF89" s="22">
        <f>IFERROR(VLOOKUP(C89,'спецификация'!B:D,3,0)," ")</f>
        <v>4680162842760</v>
      </c>
      <c r="BG89" s="22">
        <v>2.106909808E9</v>
      </c>
      <c r="BH89" s="22" t="str">
        <f>IFERROR(VLOOKUP(C89,'спецификация'!B:AA,5,0)," ")</f>
        <v>RU.77.99.88.003.R.002122.08.23 от 01.08.2023</v>
      </c>
      <c r="BI89" s="46" t="s">
        <v>1568</v>
      </c>
      <c r="BJ89" s="22" t="str">
        <f>IFERROR(VLOOKUP(C89,'спецификация'!B:AA,6,0)," ")</f>
        <v>ЧЗ</v>
      </c>
      <c r="BK89" s="43"/>
      <c r="BL89" s="43"/>
      <c r="BM89" s="22" t="str">
        <f>IFERROR(VLOOKUP(BF89,'спецификация'!D:H,5,0)," ")</f>
        <v>магния цитрат, желатин (оболочка капсулы), экстракты ягод годжи, ягод асаи, магниевая соль стеариновой кислоты (агент антислеживающий), пиридоксина гидрохлорид (витамин В6).</v>
      </c>
      <c r="BN89" s="43"/>
      <c r="BO89" s="22" t="s">
        <v>1570</v>
      </c>
      <c r="BP89" s="22" t="s">
        <v>1571</v>
      </c>
      <c r="BQ89" s="22" t="s">
        <v>784</v>
      </c>
      <c r="BR89" s="22">
        <v>120.0</v>
      </c>
      <c r="BS89" s="22" t="s">
        <v>492</v>
      </c>
      <c r="BT89" s="43"/>
      <c r="BU89" s="22"/>
      <c r="BV89" s="22" t="s">
        <v>307</v>
      </c>
      <c r="BW89" s="44" t="str">
        <f>IFERROR(VLOOKUP(C89,'спецификация'!B:AA,16,0)," ")</f>
        <v>https://docs.google.com/document/d/1kkx7e9fuNd4naFtahoRgewtzUEHxGRShjp4uRMJXV6U/edit</v>
      </c>
      <c r="BX89" s="43"/>
      <c r="BY89" s="43"/>
      <c r="BZ89" s="45" t="str">
        <f>IFERROR(VLOOKUP(BF89,'спецификация'!D:Y,22,0)," ")</f>
        <v/>
      </c>
      <c r="CA89" s="54">
        <v>46043.0</v>
      </c>
      <c r="CB89" s="44" t="s">
        <v>1573</v>
      </c>
      <c r="CC89" s="43"/>
      <c r="CD89" s="43"/>
      <c r="CE89" s="43"/>
      <c r="CF89" s="43"/>
      <c r="CG89" s="49">
        <f>IFERROR(VLOOKUP(C89,CC!A:D,4,0)," ")</f>
        <v>272</v>
      </c>
      <c r="CH89" s="22" t="str">
        <f>IFERROR(VLOOKUP(C89,'спецификация'!B:AA,19,0)," ")</f>
        <v>НПК Миламед</v>
      </c>
      <c r="CI89" s="22"/>
      <c r="CJ89" s="22" t="s">
        <v>787</v>
      </c>
      <c r="CK89" s="22">
        <f>IFERROR(VLOOKUP(C89,CC!K:M,3,0)," ")</f>
        <v>90</v>
      </c>
      <c r="CL89" s="43"/>
      <c r="CM89" s="43"/>
      <c r="CN89" s="43"/>
      <c r="CO89" s="43"/>
      <c r="CP89" s="43"/>
      <c r="CQ89" s="43"/>
      <c r="CR89" s="43"/>
      <c r="CS89" s="43" t="b">
        <v>0</v>
      </c>
      <c r="CT89" s="43" t="b">
        <v>0</v>
      </c>
      <c r="CU89" s="43" t="b">
        <v>0</v>
      </c>
      <c r="CV89" s="43" t="b">
        <v>0</v>
      </c>
      <c r="CW89" s="43"/>
      <c r="CX89" s="43"/>
      <c r="CY89" s="43"/>
      <c r="CZ89" s="43"/>
      <c r="DA89" s="43"/>
      <c r="DB89" s="43"/>
      <c r="DC89" s="43"/>
      <c r="DD89" s="22">
        <f>IFERROR(VLOOKUP($C89,'Лист4'!$D:$AI,27,0)," ")</f>
        <v>11</v>
      </c>
      <c r="DE89" s="22">
        <f>IFERROR(VLOOKUP($C89,'Лист4'!$D:$AI,28,0)," ")</f>
        <v>5</v>
      </c>
      <c r="DF89" s="22">
        <f>IFERROR(VLOOKUP($C89,'Лист4'!$D:$AI,29,0)," ")</f>
        <v>11</v>
      </c>
      <c r="DG89" s="22">
        <f t="shared" si="3"/>
        <v>605</v>
      </c>
      <c r="DH89" s="22">
        <f>IFERROR(VLOOKUP($C89,'Лист4'!$D:$AI,32,0)," ")</f>
        <v>0.13</v>
      </c>
      <c r="DI89" s="22"/>
      <c r="DJ89" s="22"/>
      <c r="DK89" s="22"/>
      <c r="DL89" s="22"/>
      <c r="DM89" s="22"/>
      <c r="DN89" s="22"/>
      <c r="DO89" s="22"/>
      <c r="DP89" s="22"/>
      <c r="DQ89" s="22"/>
      <c r="DR89" s="22"/>
      <c r="DS89" s="22"/>
      <c r="DT89" s="22"/>
      <c r="DU89" s="22"/>
      <c r="DV89" s="22"/>
      <c r="DW89" s="22"/>
      <c r="DX89" s="22"/>
      <c r="DY89" s="22"/>
      <c r="DZ89" s="22"/>
      <c r="EA89" s="22"/>
      <c r="EB89" s="22"/>
      <c r="EC89" s="22"/>
      <c r="ED89" s="22"/>
      <c r="EE89" s="22"/>
      <c r="EF89" s="22"/>
      <c r="EG89" s="22"/>
      <c r="EH89" s="22"/>
      <c r="EI89" s="22"/>
      <c r="EJ89" s="22"/>
      <c r="EK89" s="22"/>
      <c r="EL89" s="22"/>
      <c r="EM89" s="43"/>
      <c r="EN89" s="43"/>
      <c r="EO89" s="43"/>
      <c r="EP89" s="43"/>
      <c r="EQ89" s="43"/>
      <c r="ER89" s="43"/>
      <c r="ES89" s="43"/>
      <c r="ET89" s="43"/>
      <c r="EU89" s="43"/>
      <c r="EV89" s="43"/>
      <c r="EW89" s="43"/>
      <c r="EX89" s="43"/>
      <c r="EY89" s="43"/>
      <c r="EZ89" s="43"/>
      <c r="FA89" s="43"/>
      <c r="FB89" s="43"/>
      <c r="FC89" s="43"/>
    </row>
    <row r="90" ht="18.0" customHeight="1">
      <c r="A90" s="2"/>
      <c r="B90" s="22" t="str">
        <f>IFERROR(VLOOKUP(C90,'Реестр'!C:AC,27,0)," ")</f>
        <v>Биг-Л</v>
      </c>
      <c r="C90" s="43" t="s">
        <v>1574</v>
      </c>
      <c r="D90" s="22" t="str">
        <f>IFERROR(VLOOKUP(C90,'Лист4'!D:P,13,0)," ")</f>
        <v>qeep</v>
      </c>
      <c r="E90" s="22" t="str">
        <f>IF(OR(ISERROR(VLOOKUP(C90,'Актуальность'!A:B,2,0)), VLOOKUP(C90,'Актуальность'!A:B,2,0)=""), "Актуальный", VLOOKUP(C90,'Актуальность'!A:B,2,0))</f>
        <v>Вывод</v>
      </c>
      <c r="F90" s="43" t="str">
        <f>IFERROR(VLOOKUP(C90,'Актуальность'!A:C,3,0)," ")</f>
        <v>Узкий рынок</v>
      </c>
      <c r="G90" s="43"/>
      <c r="H90" s="22" t="s">
        <v>361</v>
      </c>
      <c r="I90" s="22" t="s">
        <v>1557</v>
      </c>
      <c r="J90" s="43"/>
      <c r="K90" s="43"/>
      <c r="L90" s="22" t="b">
        <f t="shared" ref="L90:R90" si="86">T90&lt;&gt;""</f>
        <v>1</v>
      </c>
      <c r="M90" s="22" t="b">
        <f t="shared" si="86"/>
        <v>1</v>
      </c>
      <c r="N90" s="22" t="b">
        <f t="shared" si="86"/>
        <v>1</v>
      </c>
      <c r="O90" s="22" t="b">
        <f t="shared" si="86"/>
        <v>1</v>
      </c>
      <c r="P90" s="22" t="b">
        <f t="shared" si="86"/>
        <v>1</v>
      </c>
      <c r="Q90" s="22" t="b">
        <f t="shared" si="86"/>
        <v>0</v>
      </c>
      <c r="R90" s="22" t="b">
        <f t="shared" si="86"/>
        <v>0</v>
      </c>
      <c r="S90" s="43"/>
      <c r="T90" s="43" t="str">
        <f>IFERROR(VLOOKUP( C90,'1С'!A:B,2,0)," ")</f>
        <v>QB101100416</v>
      </c>
      <c r="U90" s="22" t="str">
        <f>IFERROR(VLOOKUP(T90,'Лист4'!C:I,3,0)," ")</f>
        <v>qeep_ginkgo_biloba_90caps</v>
      </c>
      <c r="V90" s="22" t="str">
        <f>IFERROR(VLOOKUP(T90,'Лист4'!C:I,4,0)," ")</f>
        <v>qeep_ginkgo_biloba_90caps</v>
      </c>
      <c r="W90" s="22" t="str">
        <f>IFERROR(VLOOKUP(T90,'Лист4'!C:I,5,0)," ")</f>
        <v>qeep_ginkgo_biloba_90caps</v>
      </c>
      <c r="X90" s="43" t="str">
        <f>IFERROR(VLOOKUP(T90,'Лист4'!C:I,7,0)," ")</f>
        <v>qeep_ginkgo_biloba_90caps</v>
      </c>
      <c r="Y90" s="43" t="str">
        <f>IFERROR(VLOOKUP(T90,'Лист4'!C:I,6,0)," ")</f>
        <v/>
      </c>
      <c r="Z90" s="43"/>
      <c r="AA90" s="43"/>
      <c r="AB90" s="22">
        <v>1.69962249E8</v>
      </c>
      <c r="AC90" s="22">
        <v>1.101364594E9</v>
      </c>
      <c r="AD90" s="22">
        <v>1.02318027321E11</v>
      </c>
      <c r="AE90" s="22">
        <v>9.900011864E10</v>
      </c>
      <c r="AF90" s="22"/>
      <c r="AG90" s="43"/>
      <c r="AH90" s="43"/>
      <c r="AI90" s="43" t="str">
        <f>IFERROR(VLOOKUP(T90,'1С'!B:C,2,0)," ")</f>
        <v>БАД Гинко билоба ,qeep, 90 капсул</v>
      </c>
      <c r="AJ90" s="22" t="s">
        <v>1577</v>
      </c>
      <c r="AK90" s="22" t="s">
        <v>1578</v>
      </c>
      <c r="AL90" s="22" t="s">
        <v>1579</v>
      </c>
      <c r="AM90" s="22" t="s">
        <v>1580</v>
      </c>
      <c r="AN90" s="43"/>
      <c r="AO90" s="43"/>
      <c r="AP90" s="43"/>
      <c r="AQ90" s="46" t="s">
        <v>1581</v>
      </c>
      <c r="AR90" s="46" t="s">
        <v>1582</v>
      </c>
      <c r="AS90" s="46" t="s">
        <v>1583</v>
      </c>
      <c r="AT90" s="43"/>
      <c r="AU90" s="43"/>
      <c r="AV90" s="43"/>
      <c r="AW90" s="43"/>
      <c r="AX90" s="22" t="s">
        <v>361</v>
      </c>
      <c r="AY90" s="22" t="s">
        <v>1578</v>
      </c>
      <c r="AZ90" s="22" t="s">
        <v>372</v>
      </c>
      <c r="BA90" s="22" t="s">
        <v>778</v>
      </c>
      <c r="BB90" s="43"/>
      <c r="BC90" s="43"/>
      <c r="BD90" s="43"/>
      <c r="BE90" s="43"/>
      <c r="BF90" s="22">
        <f>IFERROR(VLOOKUP(C90,'спецификация'!B:D,3,0)," ")</f>
        <v>4630205144061</v>
      </c>
      <c r="BG90" s="22">
        <v>2.106909808E9</v>
      </c>
      <c r="BH90" s="22" t="str">
        <f>IFERROR(VLOOKUP(C90,'спецификация'!B:AA,5,0)," ")</f>
        <v>AM.01.01.01.003.R.000366.05.23 от 17.05.2023 г.</v>
      </c>
      <c r="BI90" s="46" t="s">
        <v>1585</v>
      </c>
      <c r="BJ90" s="22" t="str">
        <f>IFERROR(VLOOKUP(C90,'спецификация'!B:AA,6,0)," ")</f>
        <v>ЧЗ</v>
      </c>
      <c r="BK90" s="43"/>
      <c r="BL90" s="43"/>
      <c r="BM90" s="22" t="str">
        <f>IFERROR(VLOOKUP(BF90,'спецификация'!D:H,5,0)," ")</f>
        <v>экстракт гинкго билоба, экстракт готу кола, глицин, микрокристаллическая целлюлоза (носитель), твёрдая желатиновая капсула.</v>
      </c>
      <c r="BN90" s="43"/>
      <c r="BO90" s="22" t="str">
        <f>IFERROR(VLOOKUP(C90,'спецификация'!B:AA,10,0)," ")</f>
        <v>взрослым по 1 капсуле в 3 раза в день.
Продолжительность приёма: 1 месяц. При необходимости повторить.</v>
      </c>
      <c r="BP90" s="43" t="str">
        <f>IFERROR(VLOOKUP(C90,'спецификация'!B:AA,11,0)," ")</f>
        <v>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v>
      </c>
      <c r="BQ90" s="22" t="str">
        <f>IFERROR(VLOOKUP(C90,'спецификация'!B:AA,12,0)," ")</f>
        <v>хранить в сухом, недоступном для детей месте, при температуре от +5 °С до +25 °С.</v>
      </c>
      <c r="BR90" s="22">
        <v>90.0</v>
      </c>
      <c r="BS90" s="22" t="s">
        <v>492</v>
      </c>
      <c r="BT90" s="43"/>
      <c r="BU90" s="22"/>
      <c r="BV90" s="22" t="s">
        <v>307</v>
      </c>
      <c r="BW90" s="44" t="str">
        <f>IFERROR(VLOOKUP(C90,'спецификация'!B:AA,16,0)," ")</f>
        <v>https://docs.google.com/document/d/1V-pOUbRqgZd_CggG_gnWzp1ZURzIW9YdjTOnQpEHDXQ/edit</v>
      </c>
      <c r="BX90" s="43"/>
      <c r="BY90" s="43"/>
      <c r="BZ90" s="44" t="str">
        <f>IFERROR(VLOOKUP(BF90,'спецификация'!D:Y,22,0)," ")</f>
        <v>https://drive.google.com/drive/u/0/folders/1Q6udCnK5iXYhmt8tZ1Mro2nZ0wtcYnRq</v>
      </c>
      <c r="CA90" s="43"/>
      <c r="CB90" s="43"/>
      <c r="CC90" s="43"/>
      <c r="CD90" s="43"/>
      <c r="CE90" s="43"/>
      <c r="CF90" s="43"/>
      <c r="CG90" s="49">
        <f>IFERROR(VLOOKUP(C90,CC!A:D,4,0)," ")</f>
        <v>305</v>
      </c>
      <c r="CH90" s="22" t="str">
        <f>IFERROR(VLOOKUP(C90,'спецификация'!B:AA,19,0)," ")</f>
        <v>ООО «Жива Продукт ПРО». 350062, Россия, Краснодарский край, город Краснодар, улица Казбекская, дом 17, кв. (оф.) 85</v>
      </c>
      <c r="CI90" s="22"/>
      <c r="CJ90" s="22" t="s">
        <v>495</v>
      </c>
      <c r="CK90" s="22">
        <f>IFERROR(VLOOKUP(C90,CC!K:M,3,0)," ")</f>
        <v>60</v>
      </c>
      <c r="CL90" s="43"/>
      <c r="CM90" s="43"/>
      <c r="CN90" s="43"/>
      <c r="CO90" s="43"/>
      <c r="CP90" s="43"/>
      <c r="CQ90" s="43"/>
      <c r="CR90" s="43"/>
      <c r="CS90" s="43" t="b">
        <v>0</v>
      </c>
      <c r="CT90" s="43" t="b">
        <v>0</v>
      </c>
      <c r="CU90" s="43" t="b">
        <v>0</v>
      </c>
      <c r="CV90" s="43" t="b">
        <v>0</v>
      </c>
      <c r="CW90" s="43"/>
      <c r="CX90" s="43"/>
      <c r="CY90" s="43"/>
      <c r="CZ90" s="43"/>
      <c r="DA90" s="43"/>
      <c r="DB90" s="43"/>
      <c r="DC90" s="43"/>
      <c r="DD90" s="22">
        <f>IFERROR(VLOOKUP($C90,'Лист4'!$D:$AI,27,0)," ")</f>
        <v>12</v>
      </c>
      <c r="DE90" s="22">
        <f>IFERROR(VLOOKUP($C90,'Лист4'!$D:$AI,28,0)," ")</f>
        <v>6</v>
      </c>
      <c r="DF90" s="22">
        <f>IFERROR(VLOOKUP($C90,'Лист4'!$D:$AI,29,0)," ")</f>
        <v>12</v>
      </c>
      <c r="DG90" s="22">
        <f t="shared" si="3"/>
        <v>864</v>
      </c>
      <c r="DH90" s="22">
        <f>IFERROR(VLOOKUP($C90,'Лист4'!$D:$AI,32,0)," ")</f>
        <v>0.094</v>
      </c>
      <c r="DI90" s="22"/>
      <c r="DJ90" s="22"/>
      <c r="DK90" s="22"/>
      <c r="DL90" s="22"/>
      <c r="DM90" s="22"/>
      <c r="DN90" s="22"/>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43"/>
      <c r="EN90" s="43"/>
      <c r="EO90" s="43"/>
      <c r="EP90" s="43"/>
      <c r="EQ90" s="43"/>
      <c r="ER90" s="43"/>
      <c r="ES90" s="43"/>
      <c r="ET90" s="43"/>
      <c r="EU90" s="43"/>
      <c r="EV90" s="43"/>
      <c r="EW90" s="43"/>
      <c r="EX90" s="43"/>
      <c r="EY90" s="43"/>
      <c r="EZ90" s="43"/>
      <c r="FA90" s="43"/>
      <c r="FB90" s="43"/>
      <c r="FC90" s="43"/>
    </row>
    <row r="91" ht="18.0" customHeight="1">
      <c r="A91" s="2"/>
      <c r="B91" s="22" t="str">
        <f>IFERROR(VLOOKUP(C91,'Реестр'!C:AC,27,0)," ")</f>
        <v>Биг-Л</v>
      </c>
      <c r="C91" s="43" t="s">
        <v>1590</v>
      </c>
      <c r="D91" s="22" t="str">
        <f>IFERROR(VLOOKUP(C91,'Лист4'!D:P,13,0)," ")</f>
        <v>qeep</v>
      </c>
      <c r="E91" s="22" t="str">
        <f>IF(OR(ISERROR(VLOOKUP(C91,'Актуальность'!A:B,2,0)), VLOOKUP(C91,'Актуальность'!A:B,2,0)=""), "Актуальный", VLOOKUP(C91,'Актуальность'!A:B,2,0))</f>
        <v>Вывод</v>
      </c>
      <c r="F91" s="43" t="str">
        <f>IFERROR(VLOOKUP(C91,'Актуальность'!A:C,3,0)," ")</f>
        <v>Узкий рынок</v>
      </c>
      <c r="G91" s="43"/>
      <c r="H91" s="22" t="s">
        <v>361</v>
      </c>
      <c r="I91" s="22" t="s">
        <v>1557</v>
      </c>
      <c r="J91" s="43"/>
      <c r="K91" s="43"/>
      <c r="L91" s="22" t="b">
        <f t="shared" ref="L91:R91" si="87">T91&lt;&gt;""</f>
        <v>1</v>
      </c>
      <c r="M91" s="22" t="b">
        <f t="shared" si="87"/>
        <v>1</v>
      </c>
      <c r="N91" s="22" t="b">
        <f t="shared" si="87"/>
        <v>1</v>
      </c>
      <c r="O91" s="22" t="b">
        <f t="shared" si="87"/>
        <v>1</v>
      </c>
      <c r="P91" s="22" t="b">
        <f t="shared" si="87"/>
        <v>1</v>
      </c>
      <c r="Q91" s="22" t="b">
        <f t="shared" si="87"/>
        <v>0</v>
      </c>
      <c r="R91" s="22" t="b">
        <f t="shared" si="87"/>
        <v>0</v>
      </c>
      <c r="S91" s="43"/>
      <c r="T91" s="43" t="str">
        <f>IFERROR(VLOOKUP( C91,'1С'!A:B,2,0)," ")</f>
        <v>QB101100415</v>
      </c>
      <c r="U91" s="22" t="str">
        <f>IFERROR(VLOOKUP(T91,'Лист4'!C:I,3,0)," ")</f>
        <v>qeep_Memory_Focus_60caps</v>
      </c>
      <c r="V91" s="22" t="str">
        <f>IFERROR(VLOOKUP(T91,'Лист4'!C:I,4,0)," ")</f>
        <v>qeep_Memory_Focus_60caps</v>
      </c>
      <c r="W91" s="22" t="str">
        <f>IFERROR(VLOOKUP(T91,'Лист4'!C:I,5,0)," ")</f>
        <v>qeep_Memory_Focus_60caps</v>
      </c>
      <c r="X91" s="43" t="str">
        <f>IFERROR(VLOOKUP(T91,'Лист4'!C:I,7,0)," ")</f>
        <v>qeep_Memory_Focus_60caps</v>
      </c>
      <c r="Y91" s="43" t="str">
        <f>IFERROR(VLOOKUP(T91,'Лист4'!C:I,6,0)," ")</f>
        <v/>
      </c>
      <c r="Z91" s="43"/>
      <c r="AA91" s="43"/>
      <c r="AB91" s="22">
        <v>1.5973404E8</v>
      </c>
      <c r="AC91" s="22">
        <v>9.67623667E8</v>
      </c>
      <c r="AD91" s="22">
        <v>1.02196237159E11</v>
      </c>
      <c r="AE91" s="22"/>
      <c r="AF91" s="22"/>
      <c r="AG91" s="43"/>
      <c r="AH91" s="43"/>
      <c r="AI91" s="43" t="str">
        <f>IFERROR(VLOOKUP(T91,'1С'!B:C,2,0)," ")</f>
        <v>БАД Витамины для памяти и мозга ,qeep, 60 капсул</v>
      </c>
      <c r="AJ91" s="22" t="s">
        <v>1593</v>
      </c>
      <c r="AK91" s="22" t="s">
        <v>1594</v>
      </c>
      <c r="AL91" s="22" t="s">
        <v>1595</v>
      </c>
      <c r="AM91" s="43"/>
      <c r="AN91" s="43"/>
      <c r="AO91" s="43"/>
      <c r="AP91" s="43"/>
      <c r="AQ91" s="46" t="s">
        <v>1596</v>
      </c>
      <c r="AR91" s="46" t="s">
        <v>1597</v>
      </c>
      <c r="AS91" s="46" t="s">
        <v>1598</v>
      </c>
      <c r="AT91" s="43"/>
      <c r="AU91" s="43"/>
      <c r="AV91" s="43"/>
      <c r="AW91" s="43"/>
      <c r="AX91" s="22" t="s">
        <v>361</v>
      </c>
      <c r="AY91" s="22" t="s">
        <v>1594</v>
      </c>
      <c r="AZ91" s="22" t="s">
        <v>372</v>
      </c>
      <c r="BA91" s="22"/>
      <c r="BB91" s="43"/>
      <c r="BC91" s="43"/>
      <c r="BD91" s="43"/>
      <c r="BE91" s="43"/>
      <c r="BF91" s="22">
        <f>IFERROR(VLOOKUP(C91,'спецификация'!B:D,3,0)," ")</f>
        <v>4620153901908</v>
      </c>
      <c r="BG91" s="22">
        <v>2.106909808E9</v>
      </c>
      <c r="BH91" s="22" t="str">
        <f>IFERROR(VLOOKUP(C91,'спецификация'!B:AA,5,0)," ")</f>
        <v>RU.77.99.11.003.R.004129.11.19 от 13.11.2019 г.</v>
      </c>
      <c r="BI91" s="46" t="s">
        <v>1600</v>
      </c>
      <c r="BJ91" s="22" t="str">
        <f>IFERROR(VLOOKUP(C91,'спецификация'!B:AA,6,0)," ")</f>
        <v>ЧЗ</v>
      </c>
      <c r="BK91" s="43"/>
      <c r="BL91" s="43"/>
      <c r="BM91" s="22" t="str">
        <f>IFERROR(VLOOKUP(BF91,'спецификация'!D:H,5,0)," ")</f>
        <v>рыбий жир, лецитин соевый, капсула желатиновая (желатин, глицерин, сорбит), ацетил-L-карнитин, кремния диоксид (носитель), янтарная кислота, глицин, фосфатидилсерин, гинкго билобы экстракт, витамин В3 (никотинамид), витамин В5 (пантотенат кальция), витамин В6 (пиридоксина гидрохлорид), витамин В1 (тиамина гидрохлорид), витамин В12 (цианокобаламин), антиокислитель гриндокс (рапсовое масло, аскорбилпальмитат, концентрат смеси токоферолов, лецитин).</v>
      </c>
      <c r="BN91" s="43"/>
      <c r="BO91" s="22" t="str">
        <f>IFERROR(VLOOKUP(C91,'спецификация'!B:AA,10,0)," ")</f>
        <v>взрослым по 1 капсуле 2 раза в день во время еды. Продолжительность приема – 1 месяц. При необходимости прием можно повторить.</v>
      </c>
      <c r="BP91" s="43" t="str">
        <f>IFERROR(VLOOKUP(C91,'спецификация'!B:AA,11,0),"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91" s="22" t="str">
        <f>IFERROR(VLOOKUP(C91,'спецификация'!B:AA,12,0)," ")</f>
        <v>в недоступном для детей месте, при температуре от 15 до 25ºС и относительной влажности воздуха не более 60%.</v>
      </c>
      <c r="BR91" s="22">
        <v>60.0</v>
      </c>
      <c r="BS91" s="22" t="s">
        <v>492</v>
      </c>
      <c r="BT91" s="43"/>
      <c r="BU91" s="22"/>
      <c r="BV91" s="22" t="s">
        <v>307</v>
      </c>
      <c r="BW91" s="44" t="str">
        <f>IFERROR(VLOOKUP(C91,'спецификация'!B:AA,16,0)," ")</f>
        <v>https://docs.google.com/document/d/1LZpCuKpSXqe1QWMHkBs9KtzdAeCwvh748teRMJPGCnI/edit</v>
      </c>
      <c r="BX91" s="43"/>
      <c r="BY91" s="43"/>
      <c r="BZ91" s="44" t="str">
        <f>IFERROR(VLOOKUP(BF91,'спецификация'!D:Y,22,0)," ")</f>
        <v>https://drive.google.com/drive/u/0/folders/1D2DIfsL3SDnUCVe4T5TdF5bj1LbzUPc2</v>
      </c>
      <c r="CA91" s="43"/>
      <c r="CB91" s="43"/>
      <c r="CC91" s="43"/>
      <c r="CD91" s="43"/>
      <c r="CE91" s="43"/>
      <c r="CF91" s="43"/>
      <c r="CG91" s="49">
        <f>IFERROR(VLOOKUP(C91,CC!A:D,4,0)," ")</f>
        <v>240.12</v>
      </c>
      <c r="CH91" s="22" t="str">
        <f>IFERROR(VLOOKUP(C91,'спецификация'!B:AA,19,0)," ")</f>
        <v>ООО «Сибфармконтракт», Россия, 634034, г. Томск, ул. Нахимова 8, стр. 11.</v>
      </c>
      <c r="CI91" s="22"/>
      <c r="CJ91" s="22" t="s">
        <v>562</v>
      </c>
      <c r="CK91" s="22">
        <f>IFERROR(VLOOKUP(C91,CC!K:M,3,0)," ")</f>
        <v>90</v>
      </c>
      <c r="CL91" s="43"/>
      <c r="CM91" s="43"/>
      <c r="CN91" s="43"/>
      <c r="CO91" s="43"/>
      <c r="CP91" s="43"/>
      <c r="CQ91" s="43"/>
      <c r="CR91" s="43"/>
      <c r="CS91" s="43" t="b">
        <v>0</v>
      </c>
      <c r="CT91" s="43" t="b">
        <v>0</v>
      </c>
      <c r="CU91" s="43" t="b">
        <v>0</v>
      </c>
      <c r="CV91" s="43" t="b">
        <v>0</v>
      </c>
      <c r="CW91" s="43"/>
      <c r="CX91" s="43"/>
      <c r="CY91" s="43"/>
      <c r="CZ91" s="43"/>
      <c r="DA91" s="43"/>
      <c r="DB91" s="43"/>
      <c r="DC91" s="43"/>
      <c r="DD91" s="22">
        <f>IFERROR(VLOOKUP($C91,'Лист4'!$D:$AI,27,0)," ")</f>
        <v>5</v>
      </c>
      <c r="DE91" s="22">
        <f>IFERROR(VLOOKUP($C91,'Лист4'!$D:$AI,28,0)," ")</f>
        <v>9</v>
      </c>
      <c r="DF91" s="22">
        <f>IFERROR(VLOOKUP($C91,'Лист4'!$D:$AI,29,0)," ")</f>
        <v>5</v>
      </c>
      <c r="DG91" s="22">
        <f t="shared" si="3"/>
        <v>225</v>
      </c>
      <c r="DH91" s="22">
        <f>IFERROR(VLOOKUP($C91,'Лист4'!$D:$AI,32,0)," ")</f>
        <v>0.076</v>
      </c>
      <c r="DI91" s="22"/>
      <c r="DJ91" s="22"/>
      <c r="DK91" s="22"/>
      <c r="DL91" s="22"/>
      <c r="DM91" s="22"/>
      <c r="DN91" s="22"/>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43"/>
      <c r="EN91" s="43"/>
      <c r="EO91" s="43"/>
      <c r="EP91" s="43"/>
      <c r="EQ91" s="43"/>
      <c r="ER91" s="43"/>
      <c r="ES91" s="43"/>
      <c r="ET91" s="43"/>
      <c r="EU91" s="43"/>
      <c r="EV91" s="43"/>
      <c r="EW91" s="43"/>
      <c r="EX91" s="43"/>
      <c r="EY91" s="43"/>
      <c r="EZ91" s="43"/>
      <c r="FA91" s="43"/>
      <c r="FB91" s="43"/>
      <c r="FC91" s="43"/>
    </row>
    <row r="92" ht="18.0" customHeight="1">
      <c r="A92" s="2"/>
      <c r="B92" s="22" t="str">
        <f>IFERROR(VLOOKUP(C92,'Реестр'!C:AC,27,0)," ")</f>
        <v>Биг-Л</v>
      </c>
      <c r="C92" s="43" t="s">
        <v>1606</v>
      </c>
      <c r="D92" s="22" t="str">
        <f>IFERROR(VLOOKUP(C92,'Лист4'!D:P,13,0)," ")</f>
        <v>Harly</v>
      </c>
      <c r="E92" s="22" t="str">
        <f>IF(OR(ISERROR(VLOOKUP(C92,'Актуальность'!A:B,2,0)), VLOOKUP(C92,'Актуальность'!A:B,2,0)=""), "Актуальный", VLOOKUP(C92,'Актуальность'!A:B,2,0))</f>
        <v>Актуальный</v>
      </c>
      <c r="F92" s="43" t="str">
        <f>IFERROR(VLOOKUP(C92,'Актуальность'!A:C,3,0)," ")</f>
        <v/>
      </c>
      <c r="G92" s="43"/>
      <c r="H92" s="22" t="s">
        <v>1529</v>
      </c>
      <c r="I92" s="22" t="s">
        <v>1608</v>
      </c>
      <c r="J92" s="43"/>
      <c r="K92" s="43"/>
      <c r="L92" s="22" t="b">
        <f t="shared" ref="L92:R92" si="88">T92&lt;&gt;""</f>
        <v>1</v>
      </c>
      <c r="M92" s="22" t="b">
        <f t="shared" si="88"/>
        <v>1</v>
      </c>
      <c r="N92" s="22" t="b">
        <f t="shared" si="88"/>
        <v>1</v>
      </c>
      <c r="O92" s="22" t="b">
        <f t="shared" si="88"/>
        <v>1</v>
      </c>
      <c r="P92" s="22" t="b">
        <f t="shared" si="88"/>
        <v>0</v>
      </c>
      <c r="Q92" s="22" t="b">
        <f t="shared" si="88"/>
        <v>0</v>
      </c>
      <c r="R92" s="22" t="b">
        <f t="shared" si="88"/>
        <v>0</v>
      </c>
      <c r="S92" s="43"/>
      <c r="T92" s="43" t="str">
        <f>IFERROR(VLOOKUP( C92,'1С'!A:B,2,0)," ")</f>
        <v>HC101100402</v>
      </c>
      <c r="U92" s="22" t="str">
        <f>IFERROR(VLOOKUP(T92,'Лист4'!C:I,3,0)," ")</f>
        <v>harly_dog_pads_30pcs</v>
      </c>
      <c r="V92" s="22" t="str">
        <f>IFERROR(VLOOKUP(T92,'Лист4'!C:I,4,0)," ")</f>
        <v>harly_dog_pads_30pcs</v>
      </c>
      <c r="W92" s="22" t="str">
        <f>IFERROR(VLOOKUP(T92,'Лист4'!C:I,5,0)," ")</f>
        <v>harly_dog_pads_30pcs</v>
      </c>
      <c r="X92" s="43" t="str">
        <f>IFERROR(VLOOKUP(T92,'Лист4'!C:I,7,0)," ")</f>
        <v/>
      </c>
      <c r="Y92" s="43" t="str">
        <f>IFERROR(VLOOKUP(T92,'Лист4'!C:I,6,0)," ")</f>
        <v/>
      </c>
      <c r="Z92" s="43"/>
      <c r="AA92" s="43"/>
      <c r="AB92" s="22">
        <v>2.3278502E8</v>
      </c>
      <c r="AC92" s="22">
        <v>1.581834792E9</v>
      </c>
      <c r="AD92" s="22">
        <v>1.0339670813E11</v>
      </c>
      <c r="AE92" s="22"/>
      <c r="AF92" s="22"/>
      <c r="AG92" s="43"/>
      <c r="AH92" s="43"/>
      <c r="AI92" s="43" t="str">
        <f>IFERROR(VLOOKUP(T92,'1С'!B:C,2,0)," ")</f>
        <v>Пеленки для собак 60х40, Harly, 30 штук</v>
      </c>
      <c r="AJ92" s="22" t="s">
        <v>1610</v>
      </c>
      <c r="AK92" s="22" t="s">
        <v>1611</v>
      </c>
      <c r="AL92" s="22" t="s">
        <v>1612</v>
      </c>
      <c r="AM92" s="43"/>
      <c r="AN92" s="43"/>
      <c r="AO92" s="43"/>
      <c r="AP92" s="43"/>
      <c r="AQ92" s="46" t="s">
        <v>1613</v>
      </c>
      <c r="AR92" s="46" t="s">
        <v>1614</v>
      </c>
      <c r="AS92" s="46" t="s">
        <v>1615</v>
      </c>
      <c r="AT92" s="43"/>
      <c r="AU92" s="43"/>
      <c r="AV92" s="43"/>
      <c r="AW92" s="43"/>
      <c r="AX92" s="22" t="s">
        <v>1616</v>
      </c>
      <c r="AY92" s="22" t="s">
        <v>1611</v>
      </c>
      <c r="AZ92" s="22" t="s">
        <v>1617</v>
      </c>
      <c r="BA92" s="43"/>
      <c r="BB92" s="43"/>
      <c r="BC92" s="43"/>
      <c r="BD92" s="43"/>
      <c r="BE92" s="43"/>
      <c r="BF92" s="22">
        <f>IFERROR(VLOOKUP(C92,'спецификация'!B:D,3,0)," ")</f>
        <v>4650099657515</v>
      </c>
      <c r="BG92" s="22">
        <v>9.6190021E9</v>
      </c>
      <c r="BH92" s="22" t="str">
        <f>IFERROR(VLOOKUP(C92,'спецификация'!B:AA,5,0)," ")</f>
        <v>KG.11.01.09.012.E.006994.11.22 от 10.11.2022</v>
      </c>
      <c r="BI92" s="46" t="s">
        <v>1619</v>
      </c>
      <c r="BJ92" s="22" t="str">
        <f>IFERROR(VLOOKUP(C92,'спецификация'!B:AA,6,0)," ")</f>
        <v>без ЧЗ</v>
      </c>
      <c r="BK92" s="43"/>
      <c r="BL92" s="43"/>
      <c r="BM92" s="22" t="str">
        <f>IFERROR(VLOOKUP(BF92,'спецификация'!D:H,5,0)," ")</f>
        <v>нетканый гидрофильный материал
1-й слой санитарно-гигиенической бумаги
Распушенная ФЛАФФ-целлюлоза
2-й слой санитарно-гигиенической бумаги
влагонепроницаемый нескользящий с микротиснением полиэтилен
</v>
      </c>
      <c r="BN92" s="43"/>
      <c r="BO92" s="22" t="str">
        <f>IFERROR(VLOOKUP(C92,'спецификация'!B:AA,10,0)," ")</f>
        <v/>
      </c>
      <c r="BP92" s="43" t="str">
        <f>IFERROR(VLOOKUP(C92,'спецификация'!B:AA,11,0)," ")</f>
        <v/>
      </c>
      <c r="BQ92" s="22" t="s">
        <v>1621</v>
      </c>
      <c r="BR92" s="22">
        <v>30.0</v>
      </c>
      <c r="BS92" s="22" t="s">
        <v>421</v>
      </c>
      <c r="BT92" s="43"/>
      <c r="BU92" s="22"/>
      <c r="BV92" s="22" t="s">
        <v>1623</v>
      </c>
      <c r="BW92" s="44" t="str">
        <f>IFERROR(VLOOKUP(C92,'спецификация'!B:AA,16,0)," ")</f>
        <v>https://docs.google.com/document/d/18PI2LW-AM2Jb2bblEhUgUuATSyGvr1eRODGHmDc0XXM/edit</v>
      </c>
      <c r="BX92" s="43"/>
      <c r="BY92" s="43"/>
      <c r="BZ92" s="45" t="str">
        <f>IFERROR(VLOOKUP(BF92,'спецификация'!D:Y,22,0)," ")</f>
        <v/>
      </c>
      <c r="CA92" s="43"/>
      <c r="CB92" s="43"/>
      <c r="CC92" s="43"/>
      <c r="CD92" s="43"/>
      <c r="CE92" s="43"/>
      <c r="CF92" s="43"/>
      <c r="CG92" s="49">
        <f>IFERROR(VLOOKUP(C92,CC!A:D,4,0)," ")</f>
        <v>192</v>
      </c>
      <c r="CH92" s="22" t="str">
        <f>IFERROR(VLOOKUP(C92,'спецификация'!B:AA,19,0)," ")</f>
        <v>ООО Сириус</v>
      </c>
      <c r="CI92" s="22"/>
      <c r="CJ92" s="22" t="s">
        <v>1627</v>
      </c>
      <c r="CK92" s="22">
        <f>IFERROR(VLOOKUP(C92,CC!K:M,3,0)," ")</f>
        <v>30</v>
      </c>
      <c r="CL92" s="43"/>
      <c r="CM92" s="43"/>
      <c r="CN92" s="43"/>
      <c r="CO92" s="43"/>
      <c r="CP92" s="43"/>
      <c r="CQ92" s="43"/>
      <c r="CR92" s="43"/>
      <c r="CS92" s="43" t="b">
        <v>0</v>
      </c>
      <c r="CT92" s="43" t="b">
        <v>0</v>
      </c>
      <c r="CU92" s="43" t="b">
        <v>0</v>
      </c>
      <c r="CV92" s="43" t="b">
        <v>0</v>
      </c>
      <c r="CW92" s="43"/>
      <c r="CX92" s="43"/>
      <c r="CY92" s="43"/>
      <c r="CZ92" s="43"/>
      <c r="DA92" s="43"/>
      <c r="DB92" s="43"/>
      <c r="DC92" s="43"/>
      <c r="DD92" s="22">
        <f>IFERROR(VLOOKUP($C92,'Лист4'!$D:$AI,27,0)," ")</f>
        <v>27</v>
      </c>
      <c r="DE92" s="22">
        <f>IFERROR(VLOOKUP($C92,'Лист4'!$D:$AI,28,0)," ")</f>
        <v>12</v>
      </c>
      <c r="DF92" s="22">
        <f>IFERROR(VLOOKUP($C92,'Лист4'!$D:$AI,29,0)," ")</f>
        <v>27</v>
      </c>
      <c r="DG92" s="22">
        <f t="shared" si="3"/>
        <v>8748</v>
      </c>
      <c r="DH92" s="22">
        <f>IFERROR(VLOOKUP($C92,'Лист4'!$D:$AI,32,0)," ")</f>
        <v>0.698</v>
      </c>
      <c r="DI92" s="22"/>
      <c r="DJ92" s="22"/>
      <c r="DK92" s="22"/>
      <c r="DL92" s="22"/>
      <c r="DM92" s="22"/>
      <c r="DN92" s="22"/>
      <c r="DO92" s="22"/>
      <c r="DP92" s="22"/>
      <c r="DQ92" s="22"/>
      <c r="DR92" s="22"/>
      <c r="DS92" s="22"/>
      <c r="DT92" s="22"/>
      <c r="DU92" s="22"/>
      <c r="DV92" s="22"/>
      <c r="DW92" s="22"/>
      <c r="DX92" s="22"/>
      <c r="DY92" s="22"/>
      <c r="DZ92" s="22"/>
      <c r="EA92" s="22"/>
      <c r="EB92" s="22"/>
      <c r="EC92" s="22"/>
      <c r="ED92" s="22"/>
      <c r="EE92" s="22"/>
      <c r="EF92" s="22"/>
      <c r="EG92" s="22"/>
      <c r="EH92" s="22"/>
      <c r="EI92" s="22"/>
      <c r="EJ92" s="22"/>
      <c r="EK92" s="22"/>
      <c r="EL92" s="22"/>
      <c r="EM92" s="43"/>
      <c r="EN92" s="43"/>
      <c r="EO92" s="43"/>
      <c r="EP92" s="43"/>
      <c r="EQ92" s="43"/>
      <c r="ER92" s="43"/>
      <c r="ES92" s="43"/>
      <c r="ET92" s="43"/>
      <c r="EU92" s="43"/>
      <c r="EV92" s="43"/>
      <c r="EW92" s="43"/>
      <c r="EX92" s="43"/>
      <c r="EY92" s="43"/>
      <c r="EZ92" s="43"/>
      <c r="FA92" s="43"/>
      <c r="FB92" s="43"/>
      <c r="FC92" s="43"/>
    </row>
    <row r="93" ht="18.0" customHeight="1">
      <c r="A93" s="2"/>
      <c r="B93" s="22" t="str">
        <f>IFERROR(VLOOKUP(C93,'Реестр'!C:AC,27,0)," ")</f>
        <v>Биг-Л</v>
      </c>
      <c r="C93" s="43" t="s">
        <v>1628</v>
      </c>
      <c r="D93" s="22" t="str">
        <f>IFERROR(VLOOKUP(C93,'Лист4'!D:P,13,0)," ")</f>
        <v>qeep</v>
      </c>
      <c r="E93" s="22" t="str">
        <f>IF(OR(ISERROR(VLOOKUP(C93,'Актуальность'!A:B,2,0)), VLOOKUP(C93,'Актуальность'!A:B,2,0)=""), "Актуальный", VLOOKUP(C93,'Актуальность'!A:B,2,0))</f>
        <v>Актуальный</v>
      </c>
      <c r="F93" s="43" t="str">
        <f>IFERROR(VLOOKUP(C93,'Актуальность'!A:C,3,0)," ")</f>
        <v/>
      </c>
      <c r="G93" s="43"/>
      <c r="H93" s="22" t="s">
        <v>286</v>
      </c>
      <c r="I93" s="22" t="s">
        <v>1630</v>
      </c>
      <c r="J93" s="43"/>
      <c r="K93" s="43"/>
      <c r="L93" s="22" t="b">
        <f t="shared" ref="L93:R93" si="89">T93&lt;&gt;""</f>
        <v>1</v>
      </c>
      <c r="M93" s="22" t="b">
        <f t="shared" si="89"/>
        <v>1</v>
      </c>
      <c r="N93" s="22" t="b">
        <f t="shared" si="89"/>
        <v>1</v>
      </c>
      <c r="O93" s="22" t="b">
        <f t="shared" si="89"/>
        <v>1</v>
      </c>
      <c r="P93" s="22" t="b">
        <f t="shared" si="89"/>
        <v>1</v>
      </c>
      <c r="Q93" s="22" t="b">
        <f t="shared" si="89"/>
        <v>1</v>
      </c>
      <c r="R93" s="22" t="b">
        <f t="shared" si="89"/>
        <v>0</v>
      </c>
      <c r="S93" s="43"/>
      <c r="T93" s="43" t="str">
        <f>IFERROR(VLOOKUP( C93,'1С'!A:B,2,0)," ")</f>
        <v>QC101100403</v>
      </c>
      <c r="U93" s="22" t="str">
        <f>IFERROR(VLOOKUP(T93,'Лист4'!C:I,3,0)," ")</f>
        <v>qeep_nabor_remuver_40ml</v>
      </c>
      <c r="V93" s="22" t="str">
        <f>IFERROR(VLOOKUP(T93,'Лист4'!C:I,4,0)," ")</f>
        <v>qeep_nabor_remuver_40ml</v>
      </c>
      <c r="W93" s="22" t="str">
        <f>IFERROR(VLOOKUP(T93,'Лист4'!C:I,5,0)," ")</f>
        <v>qeep_nabor_remuver_40ml</v>
      </c>
      <c r="X93" s="43" t="str">
        <f>IFERROR(VLOOKUP(T93,'Лист4'!C:I,7,0)," ")</f>
        <v>qeep_nabor_remuver_40ml</v>
      </c>
      <c r="Y93" s="43" t="str">
        <f>IFERROR(VLOOKUP(T93,'Лист4'!C:I,6,0)," ")</f>
        <v>qeep_nabor_remuver_40ml</v>
      </c>
      <c r="Z93" s="43"/>
      <c r="AA93" s="43"/>
      <c r="AB93" s="22">
        <v>2.55209721E8</v>
      </c>
      <c r="AC93" s="22">
        <v>1.666962684E9</v>
      </c>
      <c r="AD93" s="22">
        <v>1.03477930205E11</v>
      </c>
      <c r="AE93" s="22">
        <v>9.9000115953E10</v>
      </c>
      <c r="AF93" s="22" t="s">
        <v>1632</v>
      </c>
      <c r="AG93" s="43"/>
      <c r="AH93" s="43"/>
      <c r="AI93" s="43" t="str">
        <f>IFERROR(VLOOKUP(T93,'1С'!B:C,2,0)," ")</f>
        <v>Ремувер для удаления кутикулы ,qeep, 40 мл</v>
      </c>
      <c r="AJ93" s="22" t="s">
        <v>1633</v>
      </c>
      <c r="AK93" s="22" t="s">
        <v>1634</v>
      </c>
      <c r="AL93" s="22" t="s">
        <v>1635</v>
      </c>
      <c r="AM93" s="22" t="s">
        <v>1636</v>
      </c>
      <c r="AN93" s="22" t="s">
        <v>1637</v>
      </c>
      <c r="AO93" s="43"/>
      <c r="AP93" s="43"/>
      <c r="AQ93" s="46" t="s">
        <v>1638</v>
      </c>
      <c r="AR93" s="46" t="s">
        <v>1639</v>
      </c>
      <c r="AS93" s="46" t="s">
        <v>1640</v>
      </c>
      <c r="AT93" s="43"/>
      <c r="AU93" s="46" t="s">
        <v>1641</v>
      </c>
      <c r="AV93" s="43"/>
      <c r="AW93" s="43"/>
      <c r="AX93" s="22" t="s">
        <v>1642</v>
      </c>
      <c r="AY93" s="22" t="s">
        <v>1634</v>
      </c>
      <c r="AZ93" s="22" t="s">
        <v>1643</v>
      </c>
      <c r="BA93" s="22" t="s">
        <v>1644</v>
      </c>
      <c r="BB93" s="22" t="s">
        <v>1645</v>
      </c>
      <c r="BC93" s="43"/>
      <c r="BD93" s="43"/>
      <c r="BE93" s="43"/>
      <c r="BF93" s="22" t="s">
        <v>1646</v>
      </c>
      <c r="BG93" s="22">
        <v>3.3043E9</v>
      </c>
      <c r="BH93" s="22" t="s">
        <v>133</v>
      </c>
      <c r="BI93" s="46" t="s">
        <v>1647</v>
      </c>
      <c r="BJ93" s="22" t="s">
        <v>303</v>
      </c>
      <c r="BK93" s="43"/>
      <c r="BL93" s="43"/>
      <c r="BM93" s="22" t="str">
        <f>IFERROR(VLOOKUP(BF93,'спецификация'!D:H,5,0)," ")</f>
        <v>вода деионизированная, гидроксид натрия, глицерин, Глицерет-8, лавандовое масло, экстракт листьев монарды дидимы, гидрогенизированное касторовое масло PEG-40, экстракт сока листьев Алоэ барбадосского, ксантановая камедь, превентол D7, парфюмерная отдушка.</v>
      </c>
      <c r="BN93" s="43"/>
      <c r="BO93" s="22" t="s">
        <v>1649</v>
      </c>
      <c r="BP93" s="22" t="s">
        <v>1650</v>
      </c>
      <c r="BQ93" s="22" t="s">
        <v>1651</v>
      </c>
      <c r="BR93" s="22">
        <v>40.0</v>
      </c>
      <c r="BS93" s="22" t="s">
        <v>139</v>
      </c>
      <c r="BT93" s="43"/>
      <c r="BU93" s="22"/>
      <c r="BV93" s="22" t="s">
        <v>307</v>
      </c>
      <c r="BW93" s="45" t="str">
        <f>IFERROR(VLOOKUP(C93,'спецификация'!B:AA,16,0)," ")</f>
        <v> </v>
      </c>
      <c r="BX93" s="43"/>
      <c r="BY93" s="43"/>
      <c r="BZ93" s="45" t="str">
        <f>IFERROR(VLOOKUP(BF93,'спецификация'!D:Y,22,0)," ")</f>
        <v/>
      </c>
      <c r="CA93" s="43"/>
      <c r="CB93" s="43"/>
      <c r="CC93" s="43"/>
      <c r="CD93" s="43"/>
      <c r="CE93" s="43"/>
      <c r="CF93" s="43"/>
      <c r="CG93" s="49">
        <f>IFERROR(VLOOKUP(C93,CC!A:D,4,0)," ")</f>
        <v>49.5</v>
      </c>
      <c r="CH93" s="22" t="s">
        <v>1653</v>
      </c>
      <c r="CI93" s="22"/>
      <c r="CJ93" s="22" t="s">
        <v>1654</v>
      </c>
      <c r="CK93" s="22">
        <f>IFERROR(VLOOKUP(C93,CC!K:M,3,0)," ")</f>
        <v>30</v>
      </c>
      <c r="CL93" s="43"/>
      <c r="CM93" s="43"/>
      <c r="CN93" s="43"/>
      <c r="CO93" s="43"/>
      <c r="CP93" s="43"/>
      <c r="CQ93" s="43"/>
      <c r="CR93" s="43"/>
      <c r="CS93" s="43" t="b">
        <v>0</v>
      </c>
      <c r="CT93" s="43" t="b">
        <v>0</v>
      </c>
      <c r="CU93" s="43" t="b">
        <v>0</v>
      </c>
      <c r="CV93" s="43" t="b">
        <v>0</v>
      </c>
      <c r="CW93" s="43"/>
      <c r="CX93" s="43"/>
      <c r="CY93" s="43"/>
      <c r="CZ93" s="43"/>
      <c r="DA93" s="43"/>
      <c r="DB93" s="43"/>
      <c r="DC93" s="43"/>
      <c r="DD93" s="22">
        <f>IFERROR(VLOOKUP($C93,'Лист4'!$D:$AI,27,0)," ")</f>
        <v>9</v>
      </c>
      <c r="DE93" s="22">
        <f>IFERROR(VLOOKUP($C93,'Лист4'!$D:$AI,28,0)," ")</f>
        <v>15</v>
      </c>
      <c r="DF93" s="22">
        <f>IFERROR(VLOOKUP($C93,'Лист4'!$D:$AI,29,0)," ")</f>
        <v>9</v>
      </c>
      <c r="DG93" s="22">
        <f t="shared" si="3"/>
        <v>1215</v>
      </c>
      <c r="DH93" s="22">
        <f>IFERROR(VLOOKUP($C93,'Лист4'!$D:$AI,32,0)," ")</f>
        <v>0.082</v>
      </c>
      <c r="DI93" s="22"/>
      <c r="DJ93" s="22"/>
      <c r="DK93" s="22"/>
      <c r="DL93" s="22"/>
      <c r="DM93" s="22"/>
      <c r="DN93" s="22"/>
      <c r="DO93" s="22"/>
      <c r="DP93" s="22"/>
      <c r="DQ93" s="22"/>
      <c r="DR93" s="22"/>
      <c r="DS93" s="22"/>
      <c r="DT93" s="22"/>
      <c r="DU93" s="22"/>
      <c r="DV93" s="22"/>
      <c r="DW93" s="22"/>
      <c r="DX93" s="22"/>
      <c r="DY93" s="22"/>
      <c r="DZ93" s="22"/>
      <c r="EA93" s="22"/>
      <c r="EB93" s="22"/>
      <c r="EC93" s="22"/>
      <c r="ED93" s="22"/>
      <c r="EE93" s="22"/>
      <c r="EF93" s="22"/>
      <c r="EG93" s="22"/>
      <c r="EH93" s="22"/>
      <c r="EI93" s="22"/>
      <c r="EJ93" s="22"/>
      <c r="EK93" s="22"/>
      <c r="EL93" s="22"/>
      <c r="EM93" s="43"/>
      <c r="EN93" s="43"/>
      <c r="EO93" s="43"/>
      <c r="EP93" s="43"/>
      <c r="EQ93" s="43"/>
      <c r="ER93" s="43"/>
      <c r="ES93" s="43"/>
      <c r="ET93" s="43"/>
      <c r="EU93" s="43"/>
      <c r="EV93" s="43"/>
      <c r="EW93" s="43"/>
      <c r="EX93" s="43"/>
      <c r="EY93" s="43"/>
      <c r="EZ93" s="43"/>
      <c r="FA93" s="43"/>
      <c r="FB93" s="43"/>
      <c r="FC93" s="43"/>
    </row>
    <row r="94" ht="18.0" customHeight="1">
      <c r="A94" s="2"/>
      <c r="B94" s="22" t="str">
        <f>IFERROR(VLOOKUP(C94,'Реестр'!C:AC,27,0)," ")</f>
        <v>Биг-Л</v>
      </c>
      <c r="C94" s="43" t="s">
        <v>1655</v>
      </c>
      <c r="D94" s="22" t="str">
        <f>IFERROR(VLOOKUP(C94,'Лист4'!D:P,13,0)," ")</f>
        <v>qeep</v>
      </c>
      <c r="E94" s="22" t="str">
        <f>IF(OR(ISERROR(VLOOKUP(C94,'Актуальность'!A:B,2,0)), VLOOKUP(C94,'Актуальность'!A:B,2,0)=""), "Актуальный", VLOOKUP(C94,'Актуальность'!A:B,2,0))</f>
        <v>Вывод</v>
      </c>
      <c r="F94" s="43" t="str">
        <f>IFERROR(VLOOKUP(C94,'Актуальность'!A:C,3,0)," ")</f>
        <v>Оставляем только одинарный набор</v>
      </c>
      <c r="G94" s="43"/>
      <c r="H94" s="22" t="s">
        <v>286</v>
      </c>
      <c r="I94" s="22" t="s">
        <v>1630</v>
      </c>
      <c r="J94" s="43"/>
      <c r="K94" s="43"/>
      <c r="L94" s="22" t="b">
        <f t="shared" ref="L94:R94" si="90">T94&lt;&gt;""</f>
        <v>1</v>
      </c>
      <c r="M94" s="22" t="b">
        <f t="shared" si="90"/>
        <v>1</v>
      </c>
      <c r="N94" s="22" t="b">
        <f t="shared" si="90"/>
        <v>1</v>
      </c>
      <c r="O94" s="22" t="b">
        <f t="shared" si="90"/>
        <v>1</v>
      </c>
      <c r="P94" s="22" t="b">
        <f t="shared" si="90"/>
        <v>0</v>
      </c>
      <c r="Q94" s="22" t="b">
        <f t="shared" si="90"/>
        <v>0</v>
      </c>
      <c r="R94" s="22" t="b">
        <f t="shared" si="90"/>
        <v>0</v>
      </c>
      <c r="S94" s="43"/>
      <c r="T94" s="43" t="str">
        <f>IFERROR(VLOOKUP( C94,'1С'!A:B,2,0)," ")</f>
        <v>QC101100404</v>
      </c>
      <c r="U94" s="22" t="str">
        <f>IFERROR(VLOOKUP(T94,'Лист4'!C:I,3,0)," ")</f>
        <v>qeep_nabor_remuver_40ml_1_1</v>
      </c>
      <c r="V94" s="22" t="str">
        <f>IFERROR(VLOOKUP(T94,'Лист4'!C:I,4,0)," ")</f>
        <v>qeep_nabor_remuver_40ml_1_1</v>
      </c>
      <c r="W94" s="22" t="str">
        <f>IFERROR(VLOOKUP(T94,'Лист4'!C:I,5,0)," ")</f>
        <v>qeep_nabor_remuver_40ml_1_1</v>
      </c>
      <c r="X94" s="43" t="str">
        <f>IFERROR(VLOOKUP(T94,'Лист4'!C:I,7,0)," ")</f>
        <v/>
      </c>
      <c r="Y94" s="43" t="str">
        <f>IFERROR(VLOOKUP(T94,'Лист4'!C:I,6,0)," ")</f>
        <v/>
      </c>
      <c r="Z94" s="43"/>
      <c r="AA94" s="43"/>
      <c r="AB94" s="22">
        <v>4.00501943E8</v>
      </c>
      <c r="AC94" s="22">
        <v>2.071319159E9</v>
      </c>
      <c r="AD94" s="22">
        <v>4.623332199E9</v>
      </c>
      <c r="AE94" s="22"/>
      <c r="AF94" s="22"/>
      <c r="AG94" s="43"/>
      <c r="AH94" s="43"/>
      <c r="AI94" s="43" t="str">
        <f>IFERROR(VLOOKUP(T94,'1С'!B:C,2,0)," ")</f>
        <v>Ремувер для удаления кутикулы ,qeep, 40 мл х 2</v>
      </c>
      <c r="AJ94" s="22" t="s">
        <v>1659</v>
      </c>
      <c r="AK94" s="22" t="s">
        <v>1660</v>
      </c>
      <c r="AL94" s="22" t="s">
        <v>1661</v>
      </c>
      <c r="AM94" s="43"/>
      <c r="AN94" s="43"/>
      <c r="AO94" s="43"/>
      <c r="AP94" s="43"/>
      <c r="AQ94" s="46" t="s">
        <v>1662</v>
      </c>
      <c r="AR94" s="46" t="s">
        <v>1663</v>
      </c>
      <c r="AS94" s="46" t="s">
        <v>1664</v>
      </c>
      <c r="AT94" s="43"/>
      <c r="AU94" s="43"/>
      <c r="AV94" s="43"/>
      <c r="AW94" s="43"/>
      <c r="AX94" s="22" t="s">
        <v>1642</v>
      </c>
      <c r="AY94" s="22" t="s">
        <v>1660</v>
      </c>
      <c r="AZ94" s="22" t="s">
        <v>1643</v>
      </c>
      <c r="BA94" s="43"/>
      <c r="BB94" s="43"/>
      <c r="BC94" s="43"/>
      <c r="BD94" s="43"/>
      <c r="BE94" s="43"/>
      <c r="BF94" s="22" t="str">
        <f>IFERROR(VLOOKUP(C94,'спецификация'!B:D,3,0)," ")</f>
        <v>4680201377123</v>
      </c>
      <c r="BG94" s="22"/>
      <c r="BH94" s="22" t="s">
        <v>133</v>
      </c>
      <c r="BI94" s="22"/>
      <c r="BJ94" s="22" t="str">
        <f>IFERROR(VLOOKUP(C94,'спецификация'!B:AA,6,0)," ")</f>
        <v>без ЧЗ</v>
      </c>
      <c r="BK94" s="43"/>
      <c r="BL94" s="43"/>
      <c r="BM94" s="22" t="str">
        <f>IFERROR(VLOOKUP(BF94,'спецификация'!D:H,5,0)," ")</f>
        <v>вода деионизированная, гидроксид натрия, глицерин, Глицерет-8, лавандовое масло, экстракт листьев монарды дидимы, гидрогенизированное касторовое масло PEG-40, экстракт сока листьев Алоэ барбадосского, ксантановая камедь, превентол D7, парфюмерная отдушка.</v>
      </c>
      <c r="BN94" s="43"/>
      <c r="BO94" s="22" t="s">
        <v>1649</v>
      </c>
      <c r="BP94" s="22" t="s">
        <v>1650</v>
      </c>
      <c r="BQ94" s="22" t="s">
        <v>1651</v>
      </c>
      <c r="BR94" s="22"/>
      <c r="BS94" s="58" t="s">
        <v>1666</v>
      </c>
      <c r="BT94" s="58"/>
      <c r="BU94" s="22"/>
      <c r="BV94" s="22" t="s">
        <v>307</v>
      </c>
      <c r="BW94" s="45" t="str">
        <f>IFERROR(VLOOKUP(C94,'спецификация'!B:AA,16,0)," ")</f>
        <v/>
      </c>
      <c r="BX94" s="43"/>
      <c r="BY94" s="43"/>
      <c r="BZ94" s="45" t="str">
        <f>IFERROR(VLOOKUP(BF94,'спецификация'!D:Y,22,0)," ")</f>
        <v/>
      </c>
      <c r="CA94" s="43"/>
      <c r="CB94" s="43"/>
      <c r="CC94" s="43"/>
      <c r="CD94" s="43"/>
      <c r="CE94" s="43"/>
      <c r="CF94" s="43"/>
      <c r="CG94" s="49">
        <f>IFERROR(VLOOKUP(C94,CC!A:D,4,0)," ")</f>
        <v>99</v>
      </c>
      <c r="CH94" s="22" t="s">
        <v>1653</v>
      </c>
      <c r="CI94" s="22"/>
      <c r="CJ94" s="22" t="s">
        <v>1654</v>
      </c>
      <c r="CK94" s="22">
        <f>IFERROR(VLOOKUP(C94,CC!K:M,3,0)," ")</f>
        <v>30</v>
      </c>
      <c r="CL94" s="43"/>
      <c r="CM94" s="43"/>
      <c r="CN94" s="43"/>
      <c r="CO94" s="43"/>
      <c r="CP94" s="43"/>
      <c r="CQ94" s="43"/>
      <c r="CR94" s="43"/>
      <c r="CS94" s="43" t="b">
        <v>0</v>
      </c>
      <c r="CT94" s="43" t="b">
        <v>0</v>
      </c>
      <c r="CU94" s="43" t="b">
        <v>0</v>
      </c>
      <c r="CV94" s="43" t="b">
        <v>0</v>
      </c>
      <c r="CW94" s="43"/>
      <c r="CX94" s="43"/>
      <c r="CY94" s="43"/>
      <c r="CZ94" s="43"/>
      <c r="DA94" s="43"/>
      <c r="DB94" s="43"/>
      <c r="DC94" s="43"/>
      <c r="DD94" s="22">
        <f>IFERROR(VLOOKUP($C94,'Лист4'!$D:$AI,27,0)," ")</f>
        <v>9</v>
      </c>
      <c r="DE94" s="22">
        <f>IFERROR(VLOOKUP($C94,'Лист4'!$D:$AI,28,0)," ")</f>
        <v>15</v>
      </c>
      <c r="DF94" s="22">
        <f>IFERROR(VLOOKUP($C94,'Лист4'!$D:$AI,29,0)," ")</f>
        <v>9</v>
      </c>
      <c r="DG94" s="22">
        <f t="shared" si="3"/>
        <v>1215</v>
      </c>
      <c r="DH94" s="22">
        <f>IFERROR(VLOOKUP($C94,'Лист4'!$D:$AI,32,0)," ")</f>
        <v>0.082</v>
      </c>
      <c r="DI94" s="22"/>
      <c r="DJ94" s="22"/>
      <c r="DK94" s="22"/>
      <c r="DL94" s="22"/>
      <c r="DM94" s="22"/>
      <c r="DN94" s="22"/>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43"/>
      <c r="EN94" s="43"/>
      <c r="EO94" s="43"/>
      <c r="EP94" s="43"/>
      <c r="EQ94" s="43"/>
      <c r="ER94" s="43"/>
      <c r="ES94" s="43"/>
      <c r="ET94" s="43"/>
      <c r="EU94" s="43"/>
      <c r="EV94" s="43"/>
      <c r="EW94" s="43"/>
      <c r="EX94" s="43"/>
      <c r="EY94" s="43"/>
      <c r="EZ94" s="43"/>
      <c r="FA94" s="43"/>
      <c r="FB94" s="43"/>
      <c r="FC94" s="43"/>
    </row>
    <row r="95" ht="18.0" customHeight="1">
      <c r="A95" s="2"/>
      <c r="B95" s="22" t="str">
        <f>IFERROR(VLOOKUP(C95,'Реестр'!C:AC,27,0)," ")</f>
        <v>Биг-Л</v>
      </c>
      <c r="C95" s="43" t="s">
        <v>1667</v>
      </c>
      <c r="D95" s="22" t="str">
        <f>IFERROR(VLOOKUP(C95,'Лист4'!D:P,13,0)," ")</f>
        <v>qeep</v>
      </c>
      <c r="E95" s="22" t="str">
        <f>IF(OR(ISERROR(VLOOKUP(C95,'Актуальность'!A:B,2,0)), VLOOKUP(C95,'Актуальность'!A:B,2,0)=""), "Актуальный", VLOOKUP(C95,'Актуальность'!A:B,2,0))</f>
        <v>Актуальный</v>
      </c>
      <c r="F95" s="43" t="str">
        <f>IFERROR(VLOOKUP(C95,'Актуальность'!A:C,3,0)," ")</f>
        <v/>
      </c>
      <c r="G95" s="43"/>
      <c r="H95" s="22" t="s">
        <v>361</v>
      </c>
      <c r="I95" s="22" t="s">
        <v>662</v>
      </c>
      <c r="J95" s="43"/>
      <c r="K95" s="43"/>
      <c r="L95" s="22" t="b">
        <f t="shared" ref="L95:R95" si="91">T95&lt;&gt;""</f>
        <v>1</v>
      </c>
      <c r="M95" s="22" t="b">
        <f t="shared" si="91"/>
        <v>1</v>
      </c>
      <c r="N95" s="22" t="b">
        <f t="shared" si="91"/>
        <v>1</v>
      </c>
      <c r="O95" s="22" t="b">
        <f t="shared" si="91"/>
        <v>1</v>
      </c>
      <c r="P95" s="22" t="b">
        <f t="shared" si="91"/>
        <v>0</v>
      </c>
      <c r="Q95" s="22" t="b">
        <f t="shared" si="91"/>
        <v>0</v>
      </c>
      <c r="R95" s="22" t="b">
        <f t="shared" si="91"/>
        <v>0</v>
      </c>
      <c r="S95" s="43"/>
      <c r="T95" s="43" t="str">
        <f>IFERROR(VLOOKUP( C95,'1С'!A:B,2,0)," ")</f>
        <v>QB101100498</v>
      </c>
      <c r="U95" s="22" t="str">
        <f>IFERROR(VLOOKUP(T95,'Лист4'!C:I,3,0)," ")</f>
        <v>qeep_Perfectman_60caps</v>
      </c>
      <c r="V95" s="22" t="str">
        <f>IFERROR(VLOOKUP(T95,'Лист4'!C:I,4,0)," ")</f>
        <v>qeep_Perfectman_60caps</v>
      </c>
      <c r="W95" s="22" t="str">
        <f>IFERROR(VLOOKUP(T95,'Лист4'!C:I,5,0)," ")</f>
        <v>qeep_Perfectman_60caps</v>
      </c>
      <c r="X95" s="43" t="str">
        <f>IFERROR(VLOOKUP(T95,'Лист4'!C:I,7,0)," ")</f>
        <v/>
      </c>
      <c r="Y95" s="43" t="str">
        <f>IFERROR(VLOOKUP(T95,'Лист4'!C:I,6,0)," ")</f>
        <v/>
      </c>
      <c r="Z95" s="43"/>
      <c r="AA95" s="43"/>
      <c r="AB95" s="22">
        <v>1.56995682E8</v>
      </c>
      <c r="AC95" s="22">
        <v>9.46980875E8</v>
      </c>
      <c r="AD95" s="22">
        <v>4.663002727E9</v>
      </c>
      <c r="AE95" s="22"/>
      <c r="AF95" s="22"/>
      <c r="AG95" s="43"/>
      <c r="AH95" s="43"/>
      <c r="AI95" s="43" t="str">
        <f>IFERROR(VLOOKUP(T95,'1С'!B:C,2,0)," ")</f>
        <v>БАД Тестостерон для мужчин ,qeep, 60 капсул</v>
      </c>
      <c r="AJ95" s="22" t="s">
        <v>1670</v>
      </c>
      <c r="AK95" s="22" t="s">
        <v>1671</v>
      </c>
      <c r="AL95" s="22" t="s">
        <v>1672</v>
      </c>
      <c r="AM95" s="43"/>
      <c r="AN95" s="43"/>
      <c r="AO95" s="43"/>
      <c r="AP95" s="43"/>
      <c r="AQ95" s="46" t="s">
        <v>1673</v>
      </c>
      <c r="AR95" s="46" t="s">
        <v>1674</v>
      </c>
      <c r="AS95" s="46" t="s">
        <v>1675</v>
      </c>
      <c r="AT95" s="43"/>
      <c r="AU95" s="43"/>
      <c r="AV95" s="43"/>
      <c r="AW95" s="43"/>
      <c r="AX95" s="22" t="s">
        <v>669</v>
      </c>
      <c r="AY95" s="22" t="s">
        <v>1671</v>
      </c>
      <c r="AZ95" s="22" t="s">
        <v>670</v>
      </c>
      <c r="BA95" s="43"/>
      <c r="BB95" s="43"/>
      <c r="BC95" s="43"/>
      <c r="BD95" s="43"/>
      <c r="BE95" s="43"/>
      <c r="BF95" s="22">
        <f>IFERROR(VLOOKUP(C95,'спецификация'!B:D,3,0)," ")</f>
        <v>4630205142340</v>
      </c>
      <c r="BG95" s="22">
        <v>2.106909808E9</v>
      </c>
      <c r="BH95" s="22" t="str">
        <f>IFERROR(VLOOKUP(C95,'спецификация'!B:AA,5,0)," ")</f>
        <v>AM.01.01.01.003.R.000069.02.23 от 07.02.2023</v>
      </c>
      <c r="BI95" s="46" t="s">
        <v>1677</v>
      </c>
      <c r="BJ95" s="22" t="str">
        <f>IFERROR(VLOOKUP(C95,'спецификация'!B:AA,6,0)," ")</f>
        <v>ЧЗ</v>
      </c>
      <c r="BK95" s="43"/>
      <c r="BL95" s="43"/>
      <c r="BM95" s="22" t="str">
        <f>IFERROR(VLOOKUP(BF95,'спецификация'!D:H,5,0)," ")</f>
        <v>D-аспарагиновая кислота, экстракт корня маки перуанской, экстракт пажитника, цитрат цинка, экстракт чёрного перца (Bioperine®), твердая желатиновая капсула.</v>
      </c>
      <c r="BN95" s="43"/>
      <c r="BO95" s="22" t="str">
        <f>IFERROR(VLOOKUP(C95,'спецификация'!B:AA,10,0)," ")</f>
        <v>взрослым по 1 капсуле 3 раза в день после еды.</v>
      </c>
      <c r="BP95" s="43" t="str">
        <f>IFERROR(VLOOKUP(C95,'спецификация'!B:AA,11,0)," ")</f>
        <v>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v>
      </c>
      <c r="BQ95" s="22" t="str">
        <f>IFERROR(VLOOKUP(C95,'спецификация'!B:AA,12,0)," ")</f>
        <v>хранить в сухом, недоступном для детей месте, при температуре от  +5 °C до +25 °C.</v>
      </c>
      <c r="BR95" s="22">
        <v>60.0</v>
      </c>
      <c r="BS95" s="22" t="s">
        <v>492</v>
      </c>
      <c r="BT95" s="22"/>
      <c r="BU95" s="22"/>
      <c r="BV95" s="22" t="s">
        <v>307</v>
      </c>
      <c r="BW95" s="44" t="str">
        <f>IFERROR(VLOOKUP(C95,'спецификация'!B:AA,16,0)," ")</f>
        <v>https://docs.google.com/document/d/1L9ygDa-KkGHroaAaHGaX7BV8sTcAnCjJbxyBG_owuks/edit</v>
      </c>
      <c r="BX95" s="43"/>
      <c r="BY95" s="43"/>
      <c r="BZ95" s="44" t="str">
        <f>IFERROR(VLOOKUP(BF95,'спецификация'!D:Y,22,0)," ")</f>
        <v>https://drive.google.com/drive/u/0/folders/1imnfcZ06DYsjdJvJOWgd4_0SqtgEEyg_</v>
      </c>
      <c r="CA95" s="43"/>
      <c r="CB95" s="43"/>
      <c r="CC95" s="43"/>
      <c r="CD95" s="43"/>
      <c r="CE95" s="43"/>
      <c r="CF95" s="43"/>
      <c r="CG95" s="49">
        <f>IFERROR(VLOOKUP(C95,CC!A:D,4,0)," ")</f>
        <v>252.5</v>
      </c>
      <c r="CH95" s="22" t="str">
        <f>IFERROR(VLOOKUP(C95,'спецификация'!B:AA,19,0)," ")</f>
        <v>ООО «Жива Продукт ПРО». 350062, Россия, Краснодарский край, город Краснодар, улица Казбекская, дом 17, кв. (оф.) 85</v>
      </c>
      <c r="CI95" s="22"/>
      <c r="CJ95" s="22" t="s">
        <v>495</v>
      </c>
      <c r="CK95" s="22">
        <f>IFERROR(VLOOKUP(C95,CC!K:M,3,0)," ")</f>
        <v>60</v>
      </c>
      <c r="CL95" s="43"/>
      <c r="CM95" s="43"/>
      <c r="CN95" s="43"/>
      <c r="CO95" s="43"/>
      <c r="CP95" s="43"/>
      <c r="CQ95" s="43"/>
      <c r="CR95" s="43"/>
      <c r="CS95" s="43" t="b">
        <v>0</v>
      </c>
      <c r="CT95" s="43" t="b">
        <v>0</v>
      </c>
      <c r="CU95" s="43" t="b">
        <v>0</v>
      </c>
      <c r="CV95" s="43" t="b">
        <v>0</v>
      </c>
      <c r="CW95" s="43"/>
      <c r="CX95" s="43"/>
      <c r="CY95" s="43"/>
      <c r="CZ95" s="43"/>
      <c r="DA95" s="43"/>
      <c r="DB95" s="43"/>
      <c r="DC95" s="43"/>
      <c r="DD95" s="22">
        <f>IFERROR(VLOOKUP($C95,'Лист4'!$D:$AI,27,0)," ")</f>
        <v>12</v>
      </c>
      <c r="DE95" s="22">
        <f>IFERROR(VLOOKUP($C95,'Лист4'!$D:$AI,28,0)," ")</f>
        <v>6</v>
      </c>
      <c r="DF95" s="22">
        <f>IFERROR(VLOOKUP($C95,'Лист4'!$D:$AI,29,0)," ")</f>
        <v>12</v>
      </c>
      <c r="DG95" s="22">
        <f t="shared" si="3"/>
        <v>864</v>
      </c>
      <c r="DH95" s="22">
        <f>IFERROR(VLOOKUP($C95,'Лист4'!$D:$AI,32,0)," ")</f>
        <v>0.087</v>
      </c>
      <c r="DI95" s="22"/>
      <c r="DJ95" s="22"/>
      <c r="DK95" s="22"/>
      <c r="DL95" s="22"/>
      <c r="DM95" s="22"/>
      <c r="DN95" s="22"/>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43"/>
      <c r="EN95" s="43"/>
      <c r="EO95" s="43"/>
      <c r="EP95" s="43"/>
      <c r="EQ95" s="43"/>
      <c r="ER95" s="43"/>
      <c r="ES95" s="43"/>
      <c r="ET95" s="43"/>
      <c r="EU95" s="43"/>
      <c r="EV95" s="43"/>
      <c r="EW95" s="43"/>
      <c r="EX95" s="43"/>
      <c r="EY95" s="43"/>
      <c r="EZ95" s="43"/>
      <c r="FA95" s="43"/>
      <c r="FB95" s="43"/>
      <c r="FC95" s="43"/>
    </row>
    <row r="96" ht="18.0" customHeight="1">
      <c r="A96" s="2"/>
      <c r="B96" s="22" t="str">
        <f>IFERROR(VLOOKUP(C96,'Реестр'!C:AC,27,0)," ")</f>
        <v>Биг-Л</v>
      </c>
      <c r="C96" s="43" t="s">
        <v>1683</v>
      </c>
      <c r="D96" s="22" t="str">
        <f>IFERROR(VLOOKUP(C96,'Лист4'!D:P,13,0)," ")</f>
        <v>qeep</v>
      </c>
      <c r="E96" s="22" t="str">
        <f>IF(OR(ISERROR(VLOOKUP(C96,'Актуальность'!A:B,2,0)), VLOOKUP(C96,'Актуальность'!A:B,2,0)=""), "Актуальный", VLOOKUP(C96,'Актуальность'!A:B,2,0))</f>
        <v>Актуальный</v>
      </c>
      <c r="F96" s="43" t="str">
        <f>IFERROR(VLOOKUP(C96,'Актуальность'!A:C,3,0)," ")</f>
        <v/>
      </c>
      <c r="G96" s="43"/>
      <c r="H96" s="22" t="s">
        <v>361</v>
      </c>
      <c r="I96" s="22" t="s">
        <v>662</v>
      </c>
      <c r="J96" s="43"/>
      <c r="K96" s="43"/>
      <c r="L96" s="22" t="b">
        <f t="shared" ref="L96:R96" si="92">T96&lt;&gt;""</f>
        <v>1</v>
      </c>
      <c r="M96" s="22" t="b">
        <f t="shared" si="92"/>
        <v>1</v>
      </c>
      <c r="N96" s="22" t="b">
        <f t="shared" si="92"/>
        <v>1</v>
      </c>
      <c r="O96" s="22" t="b">
        <f t="shared" si="92"/>
        <v>1</v>
      </c>
      <c r="P96" s="22" t="b">
        <f t="shared" si="92"/>
        <v>1</v>
      </c>
      <c r="Q96" s="22" t="b">
        <f t="shared" si="92"/>
        <v>0</v>
      </c>
      <c r="R96" s="22" t="b">
        <f t="shared" si="92"/>
        <v>0</v>
      </c>
      <c r="S96" s="43"/>
      <c r="T96" s="43" t="str">
        <f>IFERROR(VLOOKUP( C96,'1С'!A:B,2,0)," ")</f>
        <v>QB101100512</v>
      </c>
      <c r="U96" s="22" t="str">
        <f>IFERROR(VLOOKUP(T96,'Лист4'!C:I,3,0)," ")</f>
        <v>qeep_ecdysterone_60caps</v>
      </c>
      <c r="V96" s="22" t="str">
        <f>IFERROR(VLOOKUP(T96,'Лист4'!C:I,4,0)," ")</f>
        <v>qeep_ecdysterone_60caps</v>
      </c>
      <c r="W96" s="22" t="str">
        <f>IFERROR(VLOOKUP(T96,'Лист4'!C:I,5,0)," ")</f>
        <v>qeep_ecdysterone_60caps</v>
      </c>
      <c r="X96" s="43" t="str">
        <f>IFERROR(VLOOKUP(T96,'Лист4'!C:I,7,0)," ")</f>
        <v>qeep_ecdysterone_60caps</v>
      </c>
      <c r="Y96" s="43" t="str">
        <f>IFERROR(VLOOKUP(T96,'Лист4'!C:I,6,0)," ")</f>
        <v/>
      </c>
      <c r="Z96" s="43"/>
      <c r="AA96" s="43"/>
      <c r="AB96" s="22">
        <v>2.71462078E8</v>
      </c>
      <c r="AC96" s="22">
        <v>1.731455142E9</v>
      </c>
      <c r="AD96" s="22">
        <v>1.0358214911E11</v>
      </c>
      <c r="AE96" s="22">
        <v>9.9000118346E10</v>
      </c>
      <c r="AF96" s="22"/>
      <c r="AG96" s="43"/>
      <c r="AH96" s="43"/>
      <c r="AI96" s="43" t="str">
        <f>IFERROR(VLOOKUP(T96,'1С'!B:C,2,0)," ")</f>
        <v>Экдистерон для мужчин ,qeep, 60 капсул</v>
      </c>
      <c r="AJ96" s="22" t="s">
        <v>1686</v>
      </c>
      <c r="AK96" s="22" t="s">
        <v>1687</v>
      </c>
      <c r="AL96" s="22" t="s">
        <v>1688</v>
      </c>
      <c r="AM96" s="22" t="s">
        <v>1689</v>
      </c>
      <c r="AN96" s="43"/>
      <c r="AO96" s="43"/>
      <c r="AP96" s="43"/>
      <c r="AQ96" s="46" t="s">
        <v>1690</v>
      </c>
      <c r="AR96" s="46" t="s">
        <v>1691</v>
      </c>
      <c r="AS96" s="46" t="s">
        <v>1692</v>
      </c>
      <c r="AT96" s="46" t="s">
        <v>1693</v>
      </c>
      <c r="AU96" s="43"/>
      <c r="AV96" s="43"/>
      <c r="AW96" s="43"/>
      <c r="AX96" s="22" t="s">
        <v>669</v>
      </c>
      <c r="AY96" s="22" t="s">
        <v>1687</v>
      </c>
      <c r="AZ96" s="22" t="s">
        <v>670</v>
      </c>
      <c r="BA96" s="22" t="s">
        <v>373</v>
      </c>
      <c r="BB96" s="43"/>
      <c r="BC96" s="43"/>
      <c r="BD96" s="43"/>
      <c r="BE96" s="43"/>
      <c r="BF96" s="22">
        <f>IFERROR(VLOOKUP(C96,'спецификация'!B:D,3,0)," ")</f>
        <v>4673748455348</v>
      </c>
      <c r="BG96" s="22">
        <v>2.106909808E9</v>
      </c>
      <c r="BH96" s="22" t="str">
        <f>IFERROR(VLOOKUP(C96,'спецификация'!B:AA,5,0)," ")</f>
        <v>ЕАЭС N RU Д-RU.РА09.В.03114/24 от 06.10.2024 по 01.10.2026</v>
      </c>
      <c r="BI96" s="46" t="s">
        <v>1695</v>
      </c>
      <c r="BJ96" s="22" t="str">
        <f>IFERROR(VLOOKUP(C96,'спецификация'!B:AA,6,0)," ")</f>
        <v>без ЧЗ</v>
      </c>
      <c r="BK96" s="43"/>
      <c r="BL96" s="43"/>
      <c r="BM96" s="22" t="str">
        <f>IFERROR(VLOOKUP(BF96,'спецификация'!D:H,5,0)," ")</f>
        <v>экстракт корней левзеи сафлоровидной, экстракт листьев черники, экстракт корня женьшеня, экстракт плодов померанца. Вспомогательные вещества: мальтодекстрин (наполнитель), желатин (капсула).</v>
      </c>
      <c r="BN96" s="43"/>
      <c r="BO96" s="22" t="str">
        <f>IFERROR(VLOOKUP(C96,'спецификация'!B:AA,10,0)," ")</f>
        <v>Рекомендации по применению: взрослым по 1 капсуле 1 раз в день в первой половине дня.</v>
      </c>
      <c r="BP96" s="22" t="s">
        <v>1698</v>
      </c>
      <c r="BQ96" s="22" t="s">
        <v>1699</v>
      </c>
      <c r="BR96" s="22">
        <v>60.0</v>
      </c>
      <c r="BS96" s="22" t="s">
        <v>492</v>
      </c>
      <c r="BT96" s="43"/>
      <c r="BU96" s="22"/>
      <c r="BV96" s="22" t="s">
        <v>307</v>
      </c>
      <c r="BW96" s="44" t="str">
        <f>IFERROR(VLOOKUP(C96,'спецификация'!B:AA,16,0)," ")</f>
        <v>https://docs.google.com/document/d/1lJrRAvcDZGbQSI9e9UdG0C9qzBWltOT0qveRNa7q_nk/edit</v>
      </c>
      <c r="BX96" s="43"/>
      <c r="BY96" s="43"/>
      <c r="BZ96" s="45" t="str">
        <f>IFERROR(VLOOKUP(BF96,'спецификация'!D:Y,22,0)," ")</f>
        <v/>
      </c>
      <c r="CA96" s="43"/>
      <c r="CB96" s="43"/>
      <c r="CC96" s="43"/>
      <c r="CD96" s="43"/>
      <c r="CE96" s="43"/>
      <c r="CF96" s="43"/>
      <c r="CG96" s="49">
        <f>IFERROR(VLOOKUP(C96,CC!A:D,4,0)," ")</f>
        <v>170</v>
      </c>
      <c r="CH96" s="22" t="str">
        <f>IFERROR(VLOOKUP(C96,'спецификация'!B:AA,19,0)," ")</f>
        <v>ТПК Саморазвитие</v>
      </c>
      <c r="CI96" s="22"/>
      <c r="CJ96" s="22" t="s">
        <v>1702</v>
      </c>
      <c r="CK96" s="22">
        <f>IFERROR(VLOOKUP(C96,CC!K:M,3,0)," ")</f>
        <v>60</v>
      </c>
      <c r="CL96" s="43"/>
      <c r="CM96" s="43"/>
      <c r="CN96" s="43"/>
      <c r="CO96" s="43"/>
      <c r="CP96" s="43"/>
      <c r="CQ96" s="43"/>
      <c r="CR96" s="43"/>
      <c r="CS96" s="43" t="b">
        <v>0</v>
      </c>
      <c r="CT96" s="43" t="b">
        <v>0</v>
      </c>
      <c r="CU96" s="43" t="b">
        <v>0</v>
      </c>
      <c r="CV96" s="43" t="b">
        <v>0</v>
      </c>
      <c r="CW96" s="43"/>
      <c r="CX96" s="43"/>
      <c r="CY96" s="43"/>
      <c r="CZ96" s="43"/>
      <c r="DA96" s="43"/>
      <c r="DB96" s="43"/>
      <c r="DC96" s="43"/>
      <c r="DD96" s="22">
        <f>IFERROR(VLOOKUP($C96,'Лист4'!$D:$AI,27,0)," ")</f>
        <v>8</v>
      </c>
      <c r="DE96" s="22">
        <f>IFERROR(VLOOKUP($C96,'Лист4'!$D:$AI,28,0)," ")</f>
        <v>4</v>
      </c>
      <c r="DF96" s="22">
        <f>IFERROR(VLOOKUP($C96,'Лист4'!$D:$AI,29,0)," ")</f>
        <v>8</v>
      </c>
      <c r="DG96" s="22">
        <f t="shared" si="3"/>
        <v>256</v>
      </c>
      <c r="DH96" s="22">
        <f>IFERROR(VLOOKUP($C96,'Лист4'!$D:$AI,32,0)," ")</f>
        <v>0.048</v>
      </c>
      <c r="DI96" s="22"/>
      <c r="DJ96" s="22"/>
      <c r="DK96" s="22"/>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43"/>
      <c r="EN96" s="43"/>
      <c r="EO96" s="43"/>
      <c r="EP96" s="43"/>
      <c r="EQ96" s="43"/>
      <c r="ER96" s="43"/>
      <c r="ES96" s="43"/>
      <c r="ET96" s="43"/>
      <c r="EU96" s="43"/>
      <c r="EV96" s="43"/>
      <c r="EW96" s="43"/>
      <c r="EX96" s="43"/>
      <c r="EY96" s="43"/>
      <c r="EZ96" s="43"/>
      <c r="FA96" s="43"/>
      <c r="FB96" s="43"/>
      <c r="FC96" s="43"/>
    </row>
    <row r="97" ht="18.0" customHeight="1">
      <c r="A97" s="2"/>
      <c r="B97" s="22" t="str">
        <f>IFERROR(VLOOKUP(C97,'Реестр'!C:AC,27,0)," ")</f>
        <v>Биг-Л</v>
      </c>
      <c r="C97" s="43" t="s">
        <v>1703</v>
      </c>
      <c r="D97" s="22" t="str">
        <f>IFERROR(VLOOKUP(C97,'Лист4'!D:P,13,0)," ")</f>
        <v>qeep</v>
      </c>
      <c r="E97" s="22" t="str">
        <f>IF(OR(ISERROR(VLOOKUP(C97,'Актуальность'!A:B,2,0)), VLOOKUP(C97,'Актуальность'!A:B,2,0)=""), "Актуальный", VLOOKUP(C97,'Актуальность'!A:B,2,0))</f>
        <v>Вывод</v>
      </c>
      <c r="F97" s="43" t="str">
        <f>IFERROR(VLOOKUP(C97,'Актуальность'!A:C,3,0)," ")</f>
        <v>Перезавели v2</v>
      </c>
      <c r="G97" s="43"/>
      <c r="H97" s="22" t="s">
        <v>361</v>
      </c>
      <c r="I97" s="22" t="s">
        <v>662</v>
      </c>
      <c r="J97" s="43"/>
      <c r="K97" s="43"/>
      <c r="L97" s="22" t="b">
        <f t="shared" ref="L97:R97" si="93">T97&lt;&gt;""</f>
        <v>1</v>
      </c>
      <c r="M97" s="22" t="b">
        <f t="shared" si="93"/>
        <v>1</v>
      </c>
      <c r="N97" s="22" t="b">
        <f t="shared" si="93"/>
        <v>1</v>
      </c>
      <c r="O97" s="22" t="b">
        <f t="shared" si="93"/>
        <v>1</v>
      </c>
      <c r="P97" s="22" t="b">
        <f t="shared" si="93"/>
        <v>0</v>
      </c>
      <c r="Q97" s="22" t="b">
        <f t="shared" si="93"/>
        <v>0</v>
      </c>
      <c r="R97" s="22" t="b">
        <f t="shared" si="93"/>
        <v>0</v>
      </c>
      <c r="S97" s="43"/>
      <c r="T97" s="43" t="str">
        <f>IFERROR(VLOOKUP( C97,'1С'!A:B,2,0)," ")</f>
        <v>QB101100507</v>
      </c>
      <c r="U97" s="22" t="str">
        <f>IFERROR(VLOOKUP(T97,'Лист4'!C:I,3,0)," ")</f>
        <v>qeep_ZMA_120caps</v>
      </c>
      <c r="V97" s="22" t="str">
        <f>IFERROR(VLOOKUP(T97,'Лист4'!C:I,4,0)," ")</f>
        <v>qeep_ZMA_120caps</v>
      </c>
      <c r="W97" s="22" t="str">
        <f>IFERROR(VLOOKUP(T97,'Лист4'!C:I,5,0)," ")</f>
        <v>qeep_ZMA_120caps</v>
      </c>
      <c r="X97" s="43" t="str">
        <f>IFERROR(VLOOKUP(T97,'Лист4'!C:I,7,0)," ")</f>
        <v/>
      </c>
      <c r="Y97" s="43" t="str">
        <f>IFERROR(VLOOKUP(T97,'Лист4'!C:I,6,0)," ")</f>
        <v/>
      </c>
      <c r="Z97" s="43"/>
      <c r="AA97" s="43"/>
      <c r="AB97" s="22">
        <v>1.65241082E8</v>
      </c>
      <c r="AC97" s="22">
        <v>1.032691496E9</v>
      </c>
      <c r="AD97" s="22">
        <v>1.02054388448E11</v>
      </c>
      <c r="AE97" s="22"/>
      <c r="AF97" s="22"/>
      <c r="AG97" s="43"/>
      <c r="AH97" s="43"/>
      <c r="AI97" s="43" t="str">
        <f>IFERROR(VLOOKUP(T97,'1С'!B:C,2,0)," ")</f>
        <v>БАД ZMA для мужчин ,qeep, 120 капсул</v>
      </c>
      <c r="AJ97" s="22" t="s">
        <v>1706</v>
      </c>
      <c r="AK97" s="22" t="s">
        <v>665</v>
      </c>
      <c r="AL97" s="22" t="s">
        <v>665</v>
      </c>
      <c r="AM97" s="43"/>
      <c r="AN97" s="43"/>
      <c r="AO97" s="43"/>
      <c r="AP97" s="43"/>
      <c r="AQ97" s="46" t="s">
        <v>1707</v>
      </c>
      <c r="AR97" s="46" t="s">
        <v>1708</v>
      </c>
      <c r="AS97" s="46" t="s">
        <v>1709</v>
      </c>
      <c r="AT97" s="43"/>
      <c r="AU97" s="43"/>
      <c r="AV97" s="43"/>
      <c r="AW97" s="43"/>
      <c r="AX97" s="22" t="s">
        <v>669</v>
      </c>
      <c r="AY97" s="22" t="s">
        <v>665</v>
      </c>
      <c r="AZ97" s="22" t="s">
        <v>670</v>
      </c>
      <c r="BA97" s="43"/>
      <c r="BB97" s="43"/>
      <c r="BC97" s="43"/>
      <c r="BD97" s="43"/>
      <c r="BE97" s="43"/>
      <c r="BF97" s="22">
        <f>IFERROR(VLOOKUP(C97,'спецификация'!B:D,3,0)," ")</f>
        <v>4670167253050</v>
      </c>
      <c r="BG97" s="22">
        <v>2.106909808E9</v>
      </c>
      <c r="BH97" s="22" t="str">
        <f>IFERROR(VLOOKUP(C97,'спецификация'!B:AA,5,0)," ")</f>
        <v>AM.01.07.01.003.R.000196.02.24 от  19.02.2024</v>
      </c>
      <c r="BI97" s="22"/>
      <c r="BJ97" s="22" t="str">
        <f>IFERROR(VLOOKUP(C97,'спецификация'!B:AA,6,0)," ")</f>
        <v>ЧЗ</v>
      </c>
      <c r="BK97" s="43"/>
      <c r="BL97" s="43"/>
      <c r="BM97" s="22" t="str">
        <f>IFERROR(VLOOKUP(BF97,'спецификация'!D:H,5,0)," ")</f>
        <v>цитрат магния, желатиновая капсула (желатин, вода, диоксид титана – краситель), микрокристаллическая целлюлоза – носитель, цитрат цинка, аспарагиновая кислота, пиридоксина гидрохлорид (витамин В6). </v>
      </c>
      <c r="BN97" s="43"/>
      <c r="BO97" s="22" t="str">
        <f>IFERROR(VLOOKUP(C97,'спецификация'!B:AA,10,0)," ")</f>
        <v>взрослым принимать по 1 капсуле в день во время еды. Продолжительность приема: 1 месяц. При необходимости прием 
можно повторить.
</v>
      </c>
      <c r="BP97" s="43" t="str">
        <f>IFERROR(VLOOKUP(C97,'спецификация'!B:AA,11,0)," ")</f>
        <v>индивидуальная непереносимость компонентов продукта, беременность, кормление грудью. </v>
      </c>
      <c r="BQ97" s="22" t="str">
        <f>IFERROR(VLOOKUP(C97,'спецификация'!B:AA,12,0)," ")</f>
        <v> хранить в сухом, защищенном от попадания прямых солнечных лучей, недоступном для детей месте, при температуре от +5 °С до +25 °С и относительной влажности воздуха не более 75 %.</v>
      </c>
      <c r="BR97" s="22">
        <v>120.0</v>
      </c>
      <c r="BS97" s="22" t="s">
        <v>492</v>
      </c>
      <c r="BT97" s="43"/>
      <c r="BU97" s="22"/>
      <c r="BV97" s="22" t="s">
        <v>307</v>
      </c>
      <c r="BW97" s="44" t="str">
        <f>IFERROR(VLOOKUP(C97,'спецификация'!B:AA,16,0)," ")</f>
        <v>https://docs.google.com/document/d/1fg4-_l84BW1CqwxQl2RK2Lu-_6kp4NT2milLplWRE1E/edit</v>
      </c>
      <c r="BX97" s="43"/>
      <c r="BY97" s="43"/>
      <c r="BZ97" s="44" t="str">
        <f>IFERROR(VLOOKUP(BF97,'спецификация'!D:Y,22,0)," ")</f>
        <v>https://drive.google.com/drive/u/0/folders/1F1YFZ75tUmwPSy17q2UO2M3ROK3leW9u</v>
      </c>
      <c r="CA97" s="43"/>
      <c r="CB97" s="43"/>
      <c r="CC97" s="43"/>
      <c r="CD97" s="43"/>
      <c r="CE97" s="43"/>
      <c r="CF97" s="43"/>
      <c r="CG97" s="49">
        <f>IFERROR(VLOOKUP(C97,CC!A:D,4,0)," ")</f>
        <v>295.98</v>
      </c>
      <c r="CH97" s="22" t="str">
        <f>IFERROR(VLOOKUP(C97,'спецификация'!B:AA,19,0)," ")</f>
        <v>ООО "Нутрилент"</v>
      </c>
      <c r="CI97" s="22"/>
      <c r="CJ97" s="22" t="s">
        <v>1170</v>
      </c>
      <c r="CK97" s="22">
        <f>IFERROR(VLOOKUP(C97,CC!K:M,3,0)," ")</f>
        <v>60</v>
      </c>
      <c r="CL97" s="43"/>
      <c r="CM97" s="43"/>
      <c r="CN97" s="43"/>
      <c r="CO97" s="43"/>
      <c r="CP97" s="43"/>
      <c r="CQ97" s="43"/>
      <c r="CR97" s="43"/>
      <c r="CS97" s="43" t="b">
        <v>0</v>
      </c>
      <c r="CT97" s="43" t="b">
        <v>0</v>
      </c>
      <c r="CU97" s="43" t="b">
        <v>0</v>
      </c>
      <c r="CV97" s="43" t="b">
        <v>0</v>
      </c>
      <c r="CW97" s="43"/>
      <c r="CX97" s="43"/>
      <c r="CY97" s="43"/>
      <c r="CZ97" s="43"/>
      <c r="DA97" s="43"/>
      <c r="DB97" s="43"/>
      <c r="DC97" s="43"/>
      <c r="DD97" s="22">
        <f>IFERROR(VLOOKUP($C97,'Лист4'!$D:$AI,27,0)," ")</f>
        <v>11</v>
      </c>
      <c r="DE97" s="22">
        <f>IFERROR(VLOOKUP($C97,'Лист4'!$D:$AI,28,0)," ")</f>
        <v>5</v>
      </c>
      <c r="DF97" s="22">
        <f>IFERROR(VLOOKUP($C97,'Лист4'!$D:$AI,29,0)," ")</f>
        <v>11</v>
      </c>
      <c r="DG97" s="22">
        <f t="shared" si="3"/>
        <v>605</v>
      </c>
      <c r="DH97" s="22">
        <f>IFERROR(VLOOKUP($C97,'Лист4'!$D:$AI,32,0)," ")</f>
        <v>0.145</v>
      </c>
      <c r="DI97" s="22"/>
      <c r="DJ97" s="22"/>
      <c r="DK97" s="22"/>
      <c r="DL97" s="22"/>
      <c r="DM97" s="22"/>
      <c r="DN97" s="22"/>
      <c r="DO97" s="22"/>
      <c r="DP97" s="22"/>
      <c r="DQ97" s="22"/>
      <c r="DR97" s="22"/>
      <c r="DS97" s="22"/>
      <c r="DT97" s="22"/>
      <c r="DU97" s="22"/>
      <c r="DV97" s="22"/>
      <c r="DW97" s="22"/>
      <c r="DX97" s="22"/>
      <c r="DY97" s="22"/>
      <c r="DZ97" s="22"/>
      <c r="EA97" s="22"/>
      <c r="EB97" s="22"/>
      <c r="EC97" s="22"/>
      <c r="ED97" s="22"/>
      <c r="EE97" s="22"/>
      <c r="EF97" s="22"/>
      <c r="EG97" s="22"/>
      <c r="EH97" s="22"/>
      <c r="EI97" s="22"/>
      <c r="EJ97" s="22"/>
      <c r="EK97" s="22"/>
      <c r="EL97" s="22"/>
      <c r="EM97" s="43"/>
      <c r="EN97" s="43"/>
      <c r="EO97" s="43"/>
      <c r="EP97" s="43"/>
      <c r="EQ97" s="43"/>
      <c r="ER97" s="43"/>
      <c r="ES97" s="43"/>
      <c r="ET97" s="43"/>
      <c r="EU97" s="43"/>
      <c r="EV97" s="43"/>
      <c r="EW97" s="43"/>
      <c r="EX97" s="43"/>
      <c r="EY97" s="43"/>
      <c r="EZ97" s="43"/>
      <c r="FA97" s="43"/>
      <c r="FB97" s="43"/>
      <c r="FC97" s="43"/>
    </row>
    <row r="98" ht="18.0" customHeight="1">
      <c r="A98" s="2"/>
      <c r="B98" s="22" t="str">
        <f>IFERROR(VLOOKUP(C98,'Реестр'!C:AC,27,0)," ")</f>
        <v>Биг-Л</v>
      </c>
      <c r="C98" s="43" t="s">
        <v>1716</v>
      </c>
      <c r="D98" s="22" t="str">
        <f>IFERROR(VLOOKUP(C98,'Лист4'!D:P,13,0)," ")</f>
        <v>qeep</v>
      </c>
      <c r="E98" s="22" t="str">
        <f>IF(OR(ISERROR(VLOOKUP(C98,'Актуальность'!A:B,2,0)), VLOOKUP(C98,'Актуальность'!A:B,2,0)=""), "Актуальный", VLOOKUP(C98,'Актуальность'!A:B,2,0))</f>
        <v>Актуальный</v>
      </c>
      <c r="F98" s="43" t="str">
        <f>IFERROR(VLOOKUP(C98,'Актуальность'!A:C,3,0)," ")</f>
        <v/>
      </c>
      <c r="G98" s="43"/>
      <c r="H98" s="22" t="s">
        <v>361</v>
      </c>
      <c r="I98" s="22" t="s">
        <v>662</v>
      </c>
      <c r="J98" s="43"/>
      <c r="K98" s="43"/>
      <c r="L98" s="22" t="b">
        <f t="shared" ref="L98:R98" si="94">T98&lt;&gt;""</f>
        <v>1</v>
      </c>
      <c r="M98" s="22" t="b">
        <f t="shared" si="94"/>
        <v>1</v>
      </c>
      <c r="N98" s="22" t="b">
        <f t="shared" si="94"/>
        <v>1</v>
      </c>
      <c r="O98" s="22" t="b">
        <f t="shared" si="94"/>
        <v>1</v>
      </c>
      <c r="P98" s="22" t="b">
        <f t="shared" si="94"/>
        <v>0</v>
      </c>
      <c r="Q98" s="22" t="b">
        <f t="shared" si="94"/>
        <v>0</v>
      </c>
      <c r="R98" s="22" t="b">
        <f t="shared" si="94"/>
        <v>0</v>
      </c>
      <c r="S98" s="43"/>
      <c r="T98" s="43" t="str">
        <f>IFERROR(VLOOKUP( C98,'1С'!A:B,2,0)," ")</f>
        <v>QB101100404</v>
      </c>
      <c r="U98" s="22" t="str">
        <f>IFERROR(VLOOKUP(T98,'Лист4'!C:I,3,0)," ")</f>
        <v>qeep_arginine_90caps</v>
      </c>
      <c r="V98" s="22" t="str">
        <f>IFERROR(VLOOKUP(T98,'Лист4'!C:I,4,0)," ")</f>
        <v>qeep_arginine_90caps</v>
      </c>
      <c r="W98" s="22" t="str">
        <f>IFERROR(VLOOKUP(T98,'Лист4'!C:I,5,0)," ")</f>
        <v>qeep_arginine_90caps</v>
      </c>
      <c r="X98" s="43" t="str">
        <f>IFERROR(VLOOKUP(T98,'Лист4'!C:I,7,0)," ")</f>
        <v/>
      </c>
      <c r="Y98" s="43" t="str">
        <f>IFERROR(VLOOKUP(T98,'Лист4'!C:I,6,0)," ")</f>
        <v/>
      </c>
      <c r="Z98" s="43"/>
      <c r="AA98" s="43"/>
      <c r="AB98" s="22">
        <v>1.58114551E8</v>
      </c>
      <c r="AC98" s="22">
        <v>9.51604183E8</v>
      </c>
      <c r="AD98" s="22">
        <v>1.02024722039E11</v>
      </c>
      <c r="AE98" s="22"/>
      <c r="AF98" s="22"/>
      <c r="AG98" s="43"/>
      <c r="AH98" s="43"/>
      <c r="AI98" s="43" t="str">
        <f>IFERROR(VLOOKUP(T98,'1С'!B:C,2,0)," ")</f>
        <v>БАД Аргинин ,qeep, 90 капсул</v>
      </c>
      <c r="AJ98" s="22" t="s">
        <v>1719</v>
      </c>
      <c r="AK98" s="22" t="s">
        <v>1720</v>
      </c>
      <c r="AL98" s="22" t="s">
        <v>1721</v>
      </c>
      <c r="AM98" s="43"/>
      <c r="AN98" s="43"/>
      <c r="AO98" s="43"/>
      <c r="AP98" s="43"/>
      <c r="AQ98" s="46" t="s">
        <v>1722</v>
      </c>
      <c r="AR98" s="46" t="s">
        <v>1723</v>
      </c>
      <c r="AS98" s="46" t="s">
        <v>1724</v>
      </c>
      <c r="AT98" s="43"/>
      <c r="AU98" s="43"/>
      <c r="AV98" s="43"/>
      <c r="AW98" s="43"/>
      <c r="AX98" s="22" t="s">
        <v>1725</v>
      </c>
      <c r="AY98" s="22" t="s">
        <v>1720</v>
      </c>
      <c r="AZ98" s="22" t="s">
        <v>1726</v>
      </c>
      <c r="BA98" s="43"/>
      <c r="BB98" s="43"/>
      <c r="BC98" s="43"/>
      <c r="BD98" s="43"/>
      <c r="BE98" s="43"/>
      <c r="BF98" s="22">
        <f>IFERROR(VLOOKUP(C98,'спецификация'!B:D,3,0)," ")</f>
        <v>4603335716026</v>
      </c>
      <c r="BG98" s="22">
        <v>2.106909808E9</v>
      </c>
      <c r="BH98" s="22" t="str">
        <f>IFERROR(VLOOKUP(C98,'спецификация'!B:AA,5,0)," ")</f>
        <v>RU.77.99.88.003.R.001761.05.22 от 27.05.2022.</v>
      </c>
      <c r="BI98" s="46" t="s">
        <v>1728</v>
      </c>
      <c r="BJ98" s="22" t="str">
        <f>IFERROR(VLOOKUP(C98,'спецификация'!B:AA,6,0)," ")</f>
        <v>ЧЗ</v>
      </c>
      <c r="BK98" s="43"/>
      <c r="BL98" s="43"/>
      <c r="BM98" s="22" t="str">
        <f>IFERROR(VLOOKUP(BF98,'спецификация'!D:H,5,0)," ")</f>
        <v>L-аргинин, антислеживающий агент магниевая соль стеариновой кислоты, капсула (желатин, краситель диоксид титана)</v>
      </c>
      <c r="BN98" s="43"/>
      <c r="BO98" s="22" t="str">
        <f>IFERROR(VLOOKUP(C98,'спецификация'!B:AA,10,0)," ")</f>
        <v>взрослым по 3 капсулы в день во время еды в течение одного месяца, при необходимости прием можно продлить. </v>
      </c>
      <c r="BP98" s="43" t="str">
        <f>IFERROR(VLOOKUP(C98,'спецификация'!B:AA,11,0)," ")</f>
        <v>индивидуальная непереносимость, беременность, кормление грудью, перед приемом необходимо проконсультироваться с врачом. </v>
      </c>
      <c r="BQ98" s="22" t="str">
        <f>IFERROR(VLOOKUP(C98,'спецификация'!B:AA,12,0)," ")</f>
        <v>в сухом недоступном для детей месте при температуре не выше 25◦С.</v>
      </c>
      <c r="BR98" s="22">
        <v>90.0</v>
      </c>
      <c r="BS98" s="22" t="s">
        <v>492</v>
      </c>
      <c r="BT98" s="43"/>
      <c r="BU98" s="22"/>
      <c r="BV98" s="22" t="s">
        <v>307</v>
      </c>
      <c r="BW98" s="44" t="str">
        <f>IFERROR(VLOOKUP(C98,'спецификация'!B:AA,16,0)," ")</f>
        <v>https://docs.google.com/document/d/1hq5JyaprwhqEJAnImfUYlqzF36WeSNuAmeWNJlzpXqY/edit?usp=sharing</v>
      </c>
      <c r="BX98" s="43"/>
      <c r="BY98" s="43"/>
      <c r="BZ98" s="44" t="str">
        <f>IFERROR(VLOOKUP(BF98,'спецификация'!D:Y,22,0)," ")</f>
        <v>https://drive.google.com/drive/u/0/folders/1jIAsf93592IB3EnJnrqz5DZ8nOUaAmiK</v>
      </c>
      <c r="CA98" s="43"/>
      <c r="CB98" s="43"/>
      <c r="CC98" s="43"/>
      <c r="CD98" s="43"/>
      <c r="CE98" s="43"/>
      <c r="CF98" s="43"/>
      <c r="CG98" s="49">
        <f>IFERROR(VLOOKUP(C98,CC!A:D,4,0)," ")</f>
        <v>200</v>
      </c>
      <c r="CH98" s="22" t="str">
        <f>IFERROR(VLOOKUP(C98,'спецификация'!B:AA,19,0)," ")</f>
        <v>ООО "ЮНИЭКО" 115201 Москва 1й Варшавский проезд 2с26</v>
      </c>
      <c r="CI98" s="22"/>
      <c r="CJ98" s="22" t="s">
        <v>519</v>
      </c>
      <c r="CK98" s="22">
        <f>IFERROR(VLOOKUP(C98,CC!K:M,3,0)," ")</f>
        <v>60</v>
      </c>
      <c r="CL98" s="43"/>
      <c r="CM98" s="43"/>
      <c r="CN98" s="43"/>
      <c r="CO98" s="43"/>
      <c r="CP98" s="43"/>
      <c r="CQ98" s="43"/>
      <c r="CR98" s="43"/>
      <c r="CS98" s="43" t="b">
        <v>0</v>
      </c>
      <c r="CT98" s="43" t="b">
        <v>0</v>
      </c>
      <c r="CU98" s="43" t="b">
        <v>0</v>
      </c>
      <c r="CV98" s="43" t="b">
        <v>0</v>
      </c>
      <c r="CW98" s="43"/>
      <c r="CX98" s="43"/>
      <c r="CY98" s="43"/>
      <c r="CZ98" s="43"/>
      <c r="DA98" s="43"/>
      <c r="DB98" s="43"/>
      <c r="DC98" s="43"/>
      <c r="DD98" s="22">
        <f>IFERROR(VLOOKUP($C98,'Лист4'!$D:$AI,27,0)," ")</f>
        <v>11</v>
      </c>
      <c r="DE98" s="22">
        <f>IFERROR(VLOOKUP($C98,'Лист4'!$D:$AI,28,0)," ")</f>
        <v>4</v>
      </c>
      <c r="DF98" s="22">
        <f>IFERROR(VLOOKUP($C98,'Лист4'!$D:$AI,29,0)," ")</f>
        <v>11</v>
      </c>
      <c r="DG98" s="22">
        <f t="shared" si="3"/>
        <v>484</v>
      </c>
      <c r="DH98" s="22">
        <f>IFERROR(VLOOKUP($C98,'Лист4'!$D:$AI,32,0)," ")</f>
        <v>0.056</v>
      </c>
      <c r="DI98" s="22"/>
      <c r="DJ98" s="22"/>
      <c r="DK98" s="22"/>
      <c r="DL98" s="22"/>
      <c r="DM98" s="22"/>
      <c r="DN98" s="22"/>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43"/>
      <c r="EN98" s="43"/>
      <c r="EO98" s="43"/>
      <c r="EP98" s="43"/>
      <c r="EQ98" s="43"/>
      <c r="ER98" s="43"/>
      <c r="ES98" s="43"/>
      <c r="ET98" s="43"/>
      <c r="EU98" s="43"/>
      <c r="EV98" s="43"/>
      <c r="EW98" s="43"/>
      <c r="EX98" s="43"/>
      <c r="EY98" s="43"/>
      <c r="EZ98" s="43"/>
      <c r="FA98" s="43"/>
      <c r="FB98" s="43"/>
      <c r="FC98" s="43"/>
    </row>
    <row r="99" ht="18.0" customHeight="1">
      <c r="A99" s="2"/>
      <c r="B99" s="22" t="str">
        <f>IFERROR(VLOOKUP(C99,'Реестр'!C:AC,27,0)," ")</f>
        <v>Биг-Л</v>
      </c>
      <c r="C99" s="43" t="s">
        <v>1736</v>
      </c>
      <c r="D99" s="22" t="str">
        <f>IFERROR(VLOOKUP(C99,'Лист4'!D:P,13,0)," ")</f>
        <v>qeep</v>
      </c>
      <c r="E99" s="22" t="str">
        <f>IF(OR(ISERROR(VLOOKUP(C99,'Актуальность'!A:B,2,0)), VLOOKUP(C99,'Актуальность'!A:B,2,0)=""), "Актуальный", VLOOKUP(C99,'Актуальность'!A:B,2,0))</f>
        <v>Вывод</v>
      </c>
      <c r="F99" s="43" t="str">
        <f>IFERROR(VLOOKUP(C99,'Актуальность'!A:C,3,0)," ")</f>
        <v/>
      </c>
      <c r="G99" s="43"/>
      <c r="H99" s="22" t="s">
        <v>361</v>
      </c>
      <c r="I99" s="22" t="s">
        <v>662</v>
      </c>
      <c r="J99" s="43"/>
      <c r="K99" s="43"/>
      <c r="L99" s="22" t="b">
        <f t="shared" ref="L99:R99" si="95">T99&lt;&gt;""</f>
        <v>1</v>
      </c>
      <c r="M99" s="22" t="b">
        <f t="shared" si="95"/>
        <v>1</v>
      </c>
      <c r="N99" s="22" t="b">
        <f t="shared" si="95"/>
        <v>1</v>
      </c>
      <c r="O99" s="22" t="b">
        <f t="shared" si="95"/>
        <v>1</v>
      </c>
      <c r="P99" s="22" t="b">
        <f t="shared" si="95"/>
        <v>0</v>
      </c>
      <c r="Q99" s="22" t="b">
        <f t="shared" si="95"/>
        <v>0</v>
      </c>
      <c r="R99" s="22" t="b">
        <f t="shared" si="95"/>
        <v>0</v>
      </c>
      <c r="S99" s="43"/>
      <c r="T99" s="43" t="str">
        <f>IFERROR(VLOOKUP( C99,'1С'!A:B,2,0)," ")</f>
        <v>QB101100440</v>
      </c>
      <c r="U99" s="22" t="str">
        <f>IFERROR(VLOOKUP(T99,'Лист4'!C:I,3,0)," ")</f>
        <v>qeep_isotoniccitrus_300g</v>
      </c>
      <c r="V99" s="22" t="str">
        <f>IFERROR(VLOOKUP(T99,'Лист4'!C:I,4,0)," ")</f>
        <v>qeep_isotoniccitrus_300g</v>
      </c>
      <c r="W99" s="22" t="str">
        <f>IFERROR(VLOOKUP(T99,'Лист4'!C:I,5,0)," ")</f>
        <v>qeep_isotoniccitrus_300g</v>
      </c>
      <c r="X99" s="43" t="str">
        <f>IFERROR(VLOOKUP(T99,'Лист4'!C:I,7,0)," ")</f>
        <v/>
      </c>
      <c r="Y99" s="43" t="str">
        <f>IFERROR(VLOOKUP(T99,'Лист4'!C:I,6,0)," ")</f>
        <v/>
      </c>
      <c r="Z99" s="43"/>
      <c r="AA99" s="43"/>
      <c r="AB99" s="22">
        <v>2.70128827E8</v>
      </c>
      <c r="AC99" s="22">
        <v>1.726985284E9</v>
      </c>
      <c r="AD99" s="22">
        <v>1.03572448024E11</v>
      </c>
      <c r="AE99" s="22"/>
      <c r="AF99" s="22"/>
      <c r="AG99" s="43"/>
      <c r="AH99" s="43"/>
      <c r="AI99" s="43" t="str">
        <f>IFERROR(VLOOKUP(T99,'1С'!B:C,2,0)," ")</f>
        <v>БАД Изотоник цитрус ,qeep, 300 г</v>
      </c>
      <c r="AJ99" s="22" t="s">
        <v>1739</v>
      </c>
      <c r="AK99" s="22" t="s">
        <v>1740</v>
      </c>
      <c r="AL99" s="22" t="s">
        <v>1741</v>
      </c>
      <c r="AM99" s="43"/>
      <c r="AN99" s="43"/>
      <c r="AO99" s="43"/>
      <c r="AP99" s="43"/>
      <c r="AQ99" s="46" t="s">
        <v>1742</v>
      </c>
      <c r="AR99" s="46" t="s">
        <v>1743</v>
      </c>
      <c r="AS99" s="46" t="s">
        <v>1744</v>
      </c>
      <c r="AT99" s="43"/>
      <c r="AU99" s="43"/>
      <c r="AV99" s="43"/>
      <c r="AW99" s="43"/>
      <c r="AX99" s="22" t="s">
        <v>1745</v>
      </c>
      <c r="AY99" s="22" t="s">
        <v>1740</v>
      </c>
      <c r="AZ99" s="22" t="s">
        <v>1746</v>
      </c>
      <c r="BA99" s="43"/>
      <c r="BB99" s="43"/>
      <c r="BC99" s="43"/>
      <c r="BD99" s="43"/>
      <c r="BE99" s="43"/>
      <c r="BF99" s="22">
        <f>IFERROR(VLOOKUP(C99,'спецификация'!B:D,3,0)," ")</f>
        <v>4670227415640</v>
      </c>
      <c r="BG99" s="22">
        <v>2.106909808E9</v>
      </c>
      <c r="BH99" s="22" t="str">
        <f>IFERROR(VLOOKUP(C99,'спецификация'!B:AA,5,0)," ")</f>
        <v>AM.01.21.01.003.R.000008.07.24 от 16.07.2024 г.</v>
      </c>
      <c r="BI99" s="46" t="s">
        <v>1748</v>
      </c>
      <c r="BJ99" s="22" t="str">
        <f>IFERROR(VLOOKUP(C99,'спецификация'!B:AA,6,0)," ")</f>
        <v>ЧЗ</v>
      </c>
      <c r="BK99" s="43"/>
      <c r="BL99" s="43"/>
      <c r="BM99" s="22" t="str">
        <f>IFERROR(VLOOKUP(BF99,'спецификация'!D:H,5,0)," ")</f>
        <v>лактат кальция, цитрат калия, минеральный комплекс (лактат кальция, цитрат магния, сульфат железа, сульфат цинка, сульфат марганца, сульфат меди, йода калия), розовая гималайская соль (хлорид), магний цитрат, цитрат натрия, лимонная кислота, экстракт стевиолгликозида, пищевой ароматизатор, яблочная кислота.</v>
      </c>
      <c r="BN99" s="43"/>
      <c r="BO99" s="22" t="s">
        <v>1750</v>
      </c>
      <c r="BP99" s="22" t="s">
        <v>1751</v>
      </c>
      <c r="BQ99" s="22" t="s">
        <v>1752</v>
      </c>
      <c r="BR99" s="22">
        <v>300.0</v>
      </c>
      <c r="BS99" s="22" t="s">
        <v>580</v>
      </c>
      <c r="BT99" s="22"/>
      <c r="BU99" s="22"/>
      <c r="BV99" s="22" t="s">
        <v>307</v>
      </c>
      <c r="BW99" s="44" t="str">
        <f>IFERROR(VLOOKUP(C99,'спецификация'!B:AA,16,0)," ")</f>
        <v>https://docs.google.com/document/d/1Wx7xzS4gJ1jw5C8qu8vNJxr7Vyphn46LTYDcLo35Xv8/edit</v>
      </c>
      <c r="BX99" s="43"/>
      <c r="BY99" s="43"/>
      <c r="BZ99" s="45" t="str">
        <f>IFERROR(VLOOKUP(BF99,'спецификация'!D:Y,22,0)," ")</f>
        <v/>
      </c>
      <c r="CA99" s="43"/>
      <c r="CB99" s="43"/>
      <c r="CC99" s="43"/>
      <c r="CD99" s="43"/>
      <c r="CE99" s="43"/>
      <c r="CF99" s="43"/>
      <c r="CG99" s="49">
        <f>IFERROR(VLOOKUP(C99,CC!A:D,4,0)," ")</f>
        <v>433</v>
      </c>
      <c r="CH99" s="22" t="str">
        <f>IFERROR(VLOOKUP(C99,'спецификация'!B:AA,19,0)," ")</f>
        <v>ООО «Жива Продукт ПРО». 350062, Россия, Краснодарский край, город Краснодар, улица Казбекская, дом 17, кв. (оф.) 85</v>
      </c>
      <c r="CI99" s="22"/>
      <c r="CJ99" s="22" t="s">
        <v>495</v>
      </c>
      <c r="CK99" s="22">
        <f>IFERROR(VLOOKUP(C99,CC!K:M,3,0)," ")</f>
        <v>60</v>
      </c>
      <c r="CL99" s="43"/>
      <c r="CM99" s="43"/>
      <c r="CN99" s="43"/>
      <c r="CO99" s="43"/>
      <c r="CP99" s="43"/>
      <c r="CQ99" s="43"/>
      <c r="CR99" s="43"/>
      <c r="CS99" s="43" t="b">
        <v>0</v>
      </c>
      <c r="CT99" s="43" t="b">
        <v>0</v>
      </c>
      <c r="CU99" s="43" t="b">
        <v>0</v>
      </c>
      <c r="CV99" s="43" t="b">
        <v>0</v>
      </c>
      <c r="CW99" s="43"/>
      <c r="CX99" s="43"/>
      <c r="CY99" s="43"/>
      <c r="CZ99" s="43"/>
      <c r="DA99" s="43"/>
      <c r="DB99" s="43"/>
      <c r="DC99" s="43"/>
      <c r="DD99" s="22">
        <f>IFERROR(VLOOKUP($C99,'Лист4'!$D:$AI,27,0)," ")</f>
        <v>8</v>
      </c>
      <c r="DE99" s="22">
        <f>IFERROR(VLOOKUP($C99,'Лист4'!$D:$AI,28,0)," ")</f>
        <v>12</v>
      </c>
      <c r="DF99" s="22">
        <f>IFERROR(VLOOKUP($C99,'Лист4'!$D:$AI,29,0)," ")</f>
        <v>8</v>
      </c>
      <c r="DG99" s="22">
        <f t="shared" si="3"/>
        <v>768</v>
      </c>
      <c r="DH99" s="22">
        <f>IFERROR(VLOOKUP($C99,'Лист4'!$D:$AI,32,0)," ")</f>
        <v>0.37</v>
      </c>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43"/>
      <c r="EN99" s="43"/>
      <c r="EO99" s="43"/>
      <c r="EP99" s="43"/>
      <c r="EQ99" s="43"/>
      <c r="ER99" s="43"/>
      <c r="ES99" s="43"/>
      <c r="ET99" s="43"/>
      <c r="EU99" s="43"/>
      <c r="EV99" s="43"/>
      <c r="EW99" s="43"/>
      <c r="EX99" s="43"/>
      <c r="EY99" s="43"/>
      <c r="EZ99" s="43"/>
      <c r="FA99" s="43"/>
      <c r="FB99" s="43"/>
      <c r="FC99" s="43"/>
    </row>
    <row r="100" ht="18.0" customHeight="1">
      <c r="A100" s="2"/>
      <c r="B100" s="22" t="str">
        <f>IFERROR(VLOOKUP(C100,'Реестр'!C:AC,27,0)," ")</f>
        <v>Биг-Л</v>
      </c>
      <c r="C100" s="43" t="s">
        <v>1754</v>
      </c>
      <c r="D100" s="22" t="str">
        <f>IFERROR(VLOOKUP(C100,'Лист4'!D:P,13,0)," ")</f>
        <v>qeep</v>
      </c>
      <c r="E100" s="22" t="str">
        <f>IF(OR(ISERROR(VLOOKUP(C100,'Актуальность'!A:B,2,0)), VLOOKUP(C100,'Актуальность'!A:B,2,0)=""), "Актуальный", VLOOKUP(C100,'Актуальность'!A:B,2,0))</f>
        <v>Актуальный</v>
      </c>
      <c r="F100" s="43" t="str">
        <f>IFERROR(VLOOKUP(C100,'Актуальность'!A:C,3,0)," ")</f>
        <v/>
      </c>
      <c r="G100" s="43"/>
      <c r="H100" s="22" t="s">
        <v>361</v>
      </c>
      <c r="I100" s="22" t="s">
        <v>662</v>
      </c>
      <c r="J100" s="43"/>
      <c r="K100" s="43"/>
      <c r="L100" s="22" t="b">
        <f t="shared" ref="L100:R100" si="96">T100&lt;&gt;""</f>
        <v>1</v>
      </c>
      <c r="M100" s="22" t="b">
        <f t="shared" si="96"/>
        <v>1</v>
      </c>
      <c r="N100" s="22" t="b">
        <f t="shared" si="96"/>
        <v>1</v>
      </c>
      <c r="O100" s="22" t="b">
        <f t="shared" si="96"/>
        <v>1</v>
      </c>
      <c r="P100" s="22" t="b">
        <f t="shared" si="96"/>
        <v>0</v>
      </c>
      <c r="Q100" s="22" t="b">
        <f t="shared" si="96"/>
        <v>0</v>
      </c>
      <c r="R100" s="22" t="b">
        <f t="shared" si="96"/>
        <v>0</v>
      </c>
      <c r="S100" s="43"/>
      <c r="T100" s="43" t="str">
        <f>IFERROR(VLOOKUP( C100,'1С'!A:B,2,0)," ")</f>
        <v>QB101100511</v>
      </c>
      <c r="U100" s="22" t="str">
        <f>IFERROR(VLOOKUP(T100,'Лист4'!C:I,3,0)," ")</f>
        <v>qeep_creatine_300g</v>
      </c>
      <c r="V100" s="22" t="str">
        <f>IFERROR(VLOOKUP(T100,'Лист4'!C:I,4,0)," ")</f>
        <v>qeep_creatine_300g</v>
      </c>
      <c r="W100" s="22" t="str">
        <f>IFERROR(VLOOKUP(T100,'Лист4'!C:I,5,0)," ")</f>
        <v>qeep_creatine_300g</v>
      </c>
      <c r="X100" s="43" t="str">
        <f>IFERROR(VLOOKUP(T100,'Лист4'!C:I,7,0)," ")</f>
        <v/>
      </c>
      <c r="Y100" s="43" t="str">
        <f>IFERROR(VLOOKUP(T100,'Лист4'!C:I,6,0)," ")</f>
        <v/>
      </c>
      <c r="Z100" s="43"/>
      <c r="AA100" s="43"/>
      <c r="AB100" s="22">
        <v>2.29246778E8</v>
      </c>
      <c r="AC100" s="22">
        <v>1.566871461E9</v>
      </c>
      <c r="AD100" s="22">
        <v>1.03397810974E11</v>
      </c>
      <c r="AE100" s="22"/>
      <c r="AF100" s="22"/>
      <c r="AG100" s="43"/>
      <c r="AH100" s="43"/>
      <c r="AI100" s="43" t="str">
        <f>IFERROR(VLOOKUP(T100,'1С'!B:C,2,0)," ")</f>
        <v>Креатин моногидрат ,qeep, 300 г</v>
      </c>
      <c r="AJ100" s="22" t="s">
        <v>1757</v>
      </c>
      <c r="AK100" s="22" t="s">
        <v>1758</v>
      </c>
      <c r="AL100" s="22" t="s">
        <v>1759</v>
      </c>
      <c r="AM100" s="43"/>
      <c r="AN100" s="43"/>
      <c r="AO100" s="43"/>
      <c r="AP100" s="43"/>
      <c r="AQ100" s="46" t="s">
        <v>1760</v>
      </c>
      <c r="AR100" s="46" t="s">
        <v>1761</v>
      </c>
      <c r="AS100" s="46" t="s">
        <v>1762</v>
      </c>
      <c r="AT100" s="43"/>
      <c r="AU100" s="43"/>
      <c r="AV100" s="43"/>
      <c r="AW100" s="43"/>
      <c r="AX100" s="22" t="s">
        <v>1763</v>
      </c>
      <c r="AY100" s="22" t="s">
        <v>1758</v>
      </c>
      <c r="AZ100" s="22" t="s">
        <v>1764</v>
      </c>
      <c r="BA100" s="43"/>
      <c r="BB100" s="43"/>
      <c r="BC100" s="43"/>
      <c r="BD100" s="43"/>
      <c r="BE100" s="43"/>
      <c r="BF100" s="22">
        <f>IFERROR(VLOOKUP(C100,'спецификация'!B:D,3,0)," ")</f>
        <v>4673722841006</v>
      </c>
      <c r="BG100" s="22"/>
      <c r="BH100" s="22" t="str">
        <f>IFERROR(VLOOKUP(C100,'спецификация'!B:AA,5,0)," ")</f>
        <v>ЕАЭС N RU Д-RU.РА03.В.65608/24 от 16.04.2024 по 15.04.2029</v>
      </c>
      <c r="BI100" s="46" t="s">
        <v>1766</v>
      </c>
      <c r="BJ100" s="22" t="str">
        <f>IFERROR(VLOOKUP(C100,'спецификация'!B:AA,6,0)," ")</f>
        <v>без ЧЗ</v>
      </c>
      <c r="BK100" s="43"/>
      <c r="BL100" s="43"/>
      <c r="BM100" s="22" t="str">
        <f>IFERROR(VLOOKUP(BF100,'спецификация'!D:H,5,0)," ")</f>
        <v>мальтодекстрин (носитель), креатина моногидрат</v>
      </c>
      <c r="BN100" s="43"/>
      <c r="BO100" s="22" t="str">
        <f>IFERROR(VLOOKUP(C100,'спецификация'!B:AA,10,0)," ")</f>
        <v>взрослым принимать по 1 мерной ложке (5 грамм) в день, растворить в 200 мл воды, сока, йогурта и т.п. и хорошо перемешать. Принимать по 1 порции один раз в день за 30 минут до еды или через 1 час после еды. При растворении продукта может выпасть естественный осадок.
Продолжительность приема: 1 месяц. При необходимости прием можно повторить.</v>
      </c>
      <c r="BP100" s="43" t="str">
        <f>IFERROR(VLOOKUP(C100,'спецификация'!B:AA,11,0)," ")</f>
        <v>индивидуальная непереносимость компонентов, беременность, кормление грудью, лица в возрасте до 18 лет. Перед применением рекомендуется проконсультироваться с врачом. Не превышать установленную рекомендуемую дозу.</v>
      </c>
      <c r="BQ100" s="22" t="str">
        <f>IFERROR(VLOOKUP(C100,'спецификация'!B:AA,12,0)," ")</f>
        <v>хранить в сухом, защищенном от прямых солнечных лучей и недоступном для детей месте при температуре от 0°С до + 25°С и относительной влажности воздуха  не более 75%.</v>
      </c>
      <c r="BR100" s="22">
        <v>300.0</v>
      </c>
      <c r="BS100" s="22" t="s">
        <v>580</v>
      </c>
      <c r="BT100" s="22"/>
      <c r="BU100" s="22"/>
      <c r="BV100" s="22" t="s">
        <v>307</v>
      </c>
      <c r="BW100" s="44" t="str">
        <f>IFERROR(VLOOKUP(C100,'спецификация'!B:AA,16,0)," ")</f>
        <v>https://docs.google.com/document/d/14L48MpnYACzrbeG1o2sVNnKfEVQ9sIYO_Vq-emZ6rn8/edit?usp=sharing</v>
      </c>
      <c r="BX100" s="43"/>
      <c r="BY100" s="43"/>
      <c r="BZ100" s="45" t="str">
        <f>IFERROR(VLOOKUP(BF100,'спецификация'!D:Y,22,0)," ")</f>
        <v/>
      </c>
      <c r="CA100" s="43"/>
      <c r="CB100" s="43"/>
      <c r="CC100" s="43"/>
      <c r="CD100" s="43"/>
      <c r="CE100" s="43"/>
      <c r="CF100" s="43"/>
      <c r="CG100" s="49">
        <f>IFERROR(VLOOKUP(C100,CC!A:D,4,0)," ")</f>
        <v>333</v>
      </c>
      <c r="CH100" s="22" t="str">
        <f>IFERROR(VLOOKUP(C100,'спецификация'!B:AA,19,0)," ")</f>
        <v>ООО «Биофарм». Юридический адрес: Россия, 127015, г. Москва, улица Вятская, д.49, стр.2, помещение 11, комната 8. (адрес производства: 143080, Московская область, Одинцовский район, п. ВНИИССОК, ул. Селекционная, д.14, Россия) </v>
      </c>
      <c r="CI100" s="22"/>
      <c r="CJ100" s="22" t="s">
        <v>1082</v>
      </c>
      <c r="CK100" s="22">
        <f>IFERROR(VLOOKUP(C100,CC!K:M,3,0)," ")</f>
        <v>90</v>
      </c>
      <c r="CL100" s="43"/>
      <c r="CM100" s="43"/>
      <c r="CN100" s="43"/>
      <c r="CO100" s="43"/>
      <c r="CP100" s="43"/>
      <c r="CQ100" s="43"/>
      <c r="CR100" s="43"/>
      <c r="CS100" s="43" t="b">
        <v>0</v>
      </c>
      <c r="CT100" s="43" t="b">
        <v>0</v>
      </c>
      <c r="CU100" s="43" t="b">
        <v>0</v>
      </c>
      <c r="CV100" s="43" t="b">
        <v>0</v>
      </c>
      <c r="CW100" s="43"/>
      <c r="CX100" s="43"/>
      <c r="CY100" s="43"/>
      <c r="CZ100" s="43"/>
      <c r="DA100" s="43"/>
      <c r="DB100" s="43"/>
      <c r="DC100" s="43"/>
      <c r="DD100" s="22">
        <f>IFERROR(VLOOKUP($C100,'Лист4'!$D:$AI,27,0)," ")</f>
        <v>9</v>
      </c>
      <c r="DE100" s="22">
        <f>IFERROR(VLOOKUP($C100,'Лист4'!$D:$AI,28,0)," ")</f>
        <v>11</v>
      </c>
      <c r="DF100" s="22">
        <f>IFERROR(VLOOKUP($C100,'Лист4'!$D:$AI,29,0)," ")</f>
        <v>9</v>
      </c>
      <c r="DG100" s="22">
        <f t="shared" si="3"/>
        <v>891</v>
      </c>
      <c r="DH100" s="22">
        <f>IFERROR(VLOOKUP($C100,'Лист4'!$D:$AI,32,0)," ")</f>
        <v>0.368</v>
      </c>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43"/>
      <c r="EN100" s="43"/>
      <c r="EO100" s="43"/>
      <c r="EP100" s="43"/>
      <c r="EQ100" s="43"/>
      <c r="ER100" s="43"/>
      <c r="ES100" s="43"/>
      <c r="ET100" s="43"/>
      <c r="EU100" s="43"/>
      <c r="EV100" s="43"/>
      <c r="EW100" s="43"/>
      <c r="EX100" s="43"/>
      <c r="EY100" s="43"/>
      <c r="EZ100" s="43"/>
      <c r="FA100" s="43"/>
      <c r="FB100" s="43"/>
      <c r="FC100" s="43"/>
    </row>
    <row r="101" ht="18.0" customHeight="1">
      <c r="A101" s="2"/>
      <c r="B101" s="22" t="str">
        <f>IFERROR(VLOOKUP(C101,'Реестр'!C:AC,27,0)," ")</f>
        <v>Биг-Л</v>
      </c>
      <c r="C101" s="43" t="s">
        <v>1772</v>
      </c>
      <c r="D101" s="22" t="str">
        <f>IFERROR(VLOOKUP(C101,'Лист4'!D:P,13,0)," ")</f>
        <v>qeep</v>
      </c>
      <c r="E101" s="22" t="str">
        <f>IF(OR(ISERROR(VLOOKUP(C101,'Актуальность'!A:B,2,0)), VLOOKUP(C101,'Актуальность'!A:B,2,0)=""), "Актуальный", VLOOKUP(C101,'Актуальность'!A:B,2,0))</f>
        <v>Вывод</v>
      </c>
      <c r="F101" s="43" t="str">
        <f>IFERROR(VLOOKUP(C101,'Актуальность'!A:C,3,0)," ")</f>
        <v/>
      </c>
      <c r="G101" s="43"/>
      <c r="H101" s="22" t="s">
        <v>361</v>
      </c>
      <c r="I101" s="22" t="s">
        <v>662</v>
      </c>
      <c r="J101" s="43"/>
      <c r="K101" s="43"/>
      <c r="L101" s="22" t="b">
        <f t="shared" ref="L101:R101" si="97">T101&lt;&gt;""</f>
        <v>1</v>
      </c>
      <c r="M101" s="22" t="b">
        <f t="shared" si="97"/>
        <v>1</v>
      </c>
      <c r="N101" s="22" t="b">
        <f t="shared" si="97"/>
        <v>1</v>
      </c>
      <c r="O101" s="22" t="b">
        <f t="shared" si="97"/>
        <v>1</v>
      </c>
      <c r="P101" s="22" t="b">
        <f t="shared" si="97"/>
        <v>0</v>
      </c>
      <c r="Q101" s="22" t="b">
        <f t="shared" si="97"/>
        <v>0</v>
      </c>
      <c r="R101" s="22" t="b">
        <f t="shared" si="97"/>
        <v>0</v>
      </c>
      <c r="S101" s="43"/>
      <c r="T101" s="43" t="str">
        <f>IFERROR(VLOOKUP( C101,'1С'!A:B,2,0)," ")</f>
        <v>QB101100439</v>
      </c>
      <c r="U101" s="22" t="str">
        <f>IFERROR(VLOOKUP(T101,'Лист4'!C:I,3,0)," ")</f>
        <v>qeep_isotonicmintlime_300g</v>
      </c>
      <c r="V101" s="22" t="str">
        <f>IFERROR(VLOOKUP(T101,'Лист4'!C:I,4,0)," ")</f>
        <v>qeep_isotonicmintlime_300g</v>
      </c>
      <c r="W101" s="22" t="str">
        <f>IFERROR(VLOOKUP(T101,'Лист4'!C:I,5,0)," ")</f>
        <v>qeep_isotonicmintlime_300g</v>
      </c>
      <c r="X101" s="43" t="str">
        <f>IFERROR(VLOOKUP(T101,'Лист4'!C:I,7,0)," ")</f>
        <v/>
      </c>
      <c r="Y101" s="43" t="str">
        <f>IFERROR(VLOOKUP(T101,'Лист4'!C:I,6,0)," ")</f>
        <v/>
      </c>
      <c r="Z101" s="43"/>
      <c r="AA101" s="43"/>
      <c r="AB101" s="22">
        <v>2.70128828E8</v>
      </c>
      <c r="AC101" s="22">
        <v>1.726985022E9</v>
      </c>
      <c r="AD101" s="22">
        <v>1.03572466383E11</v>
      </c>
      <c r="AE101" s="22"/>
      <c r="AF101" s="22"/>
      <c r="AG101" s="43"/>
      <c r="AH101" s="43"/>
      <c r="AI101" s="43" t="str">
        <f>IFERROR(VLOOKUP(T101,'1С'!B:C,2,0)," ")</f>
        <v>БАД Изотоник мята лайм ,qeep, 300 г</v>
      </c>
      <c r="AJ101" s="22" t="s">
        <v>1739</v>
      </c>
      <c r="AK101" s="22" t="s">
        <v>1740</v>
      </c>
      <c r="AL101" s="22" t="s">
        <v>1775</v>
      </c>
      <c r="AM101" s="43"/>
      <c r="AN101" s="43"/>
      <c r="AO101" s="43"/>
      <c r="AP101" s="43"/>
      <c r="AQ101" s="46" t="s">
        <v>1776</v>
      </c>
      <c r="AR101" s="46" t="s">
        <v>1777</v>
      </c>
      <c r="AS101" s="46" t="s">
        <v>1778</v>
      </c>
      <c r="AT101" s="43"/>
      <c r="AU101" s="43"/>
      <c r="AV101" s="43"/>
      <c r="AW101" s="43"/>
      <c r="AX101" s="22" t="s">
        <v>1745</v>
      </c>
      <c r="AY101" s="22" t="s">
        <v>1740</v>
      </c>
      <c r="AZ101" s="22" t="s">
        <v>1746</v>
      </c>
      <c r="BA101" s="43"/>
      <c r="BB101" s="43"/>
      <c r="BC101" s="43"/>
      <c r="BD101" s="43"/>
      <c r="BE101" s="43"/>
      <c r="BF101" s="22">
        <f>IFERROR(VLOOKUP(C101,'спецификация'!B:D,3,0)," ")</f>
        <v>4670227415657</v>
      </c>
      <c r="BG101" s="22">
        <v>2.106909808E9</v>
      </c>
      <c r="BH101" s="22" t="str">
        <f>IFERROR(VLOOKUP(C101,'спецификация'!B:AA,5,0)," ")</f>
        <v>AM.01.21.01.003.R.000008.07.24 от 16.07.2024 г.</v>
      </c>
      <c r="BI101" s="22"/>
      <c r="BJ101" s="22" t="str">
        <f>IFERROR(VLOOKUP(C101,'спецификация'!B:AA,6,0)," ")</f>
        <v>ЧЗ</v>
      </c>
      <c r="BK101" s="43"/>
      <c r="BL101" s="43"/>
      <c r="BM101" s="22" t="str">
        <f>IFERROR(VLOOKUP(BF101,'спецификация'!D:H,5,0)," ")</f>
        <v>лактат кальция, цитрат калия, минеральный комплекс (лактат кальция, цитрат магния, сульфат железа, сульфат цинка, сульфат марганца, сульфат меди, йода калия), розовая гималайская соль (хлорид), магний цитрат, цитрат натрия, лимонная кислота, экстракт стевиолгликозида, пищевой ароматизатор, яблочная кислота.</v>
      </c>
      <c r="BN101" s="43"/>
      <c r="BO101" s="22" t="s">
        <v>1750</v>
      </c>
      <c r="BP101" s="22" t="s">
        <v>1751</v>
      </c>
      <c r="BQ101" s="22" t="s">
        <v>1752</v>
      </c>
      <c r="BR101" s="22">
        <v>300.0</v>
      </c>
      <c r="BS101" s="22" t="s">
        <v>580</v>
      </c>
      <c r="BT101" s="22"/>
      <c r="BU101" s="22"/>
      <c r="BV101" s="22" t="s">
        <v>307</v>
      </c>
      <c r="BW101" s="44" t="str">
        <f>IFERROR(VLOOKUP(C101,'спецификация'!B:AA,16,0)," ")</f>
        <v>https://docs.google.com/document/d/1Wx7xzS4gJ1jw5C8qu8vNJxr7Vyphn46LTYDcLo35Xv8/edit</v>
      </c>
      <c r="BX101" s="43"/>
      <c r="BY101" s="43"/>
      <c r="BZ101" s="45" t="str">
        <f>IFERROR(VLOOKUP(BF101,'спецификация'!D:Y,22,0)," ")</f>
        <v/>
      </c>
      <c r="CA101" s="43"/>
      <c r="CB101" s="43"/>
      <c r="CC101" s="43"/>
      <c r="CD101" s="43"/>
      <c r="CE101" s="43"/>
      <c r="CF101" s="43"/>
      <c r="CG101" s="49">
        <f>IFERROR(VLOOKUP(C101,CC!A:D,4,0)," ")</f>
        <v>433</v>
      </c>
      <c r="CH101" s="22" t="str">
        <f>IFERROR(VLOOKUP(C101,'спецификация'!B:AA,19,0)," ")</f>
        <v>ООО «Жива Продукт ПРО». 350062, Россия, Краснодарский край, город Краснодар, улица Казбекская, дом 17, кв. (оф.) 85</v>
      </c>
      <c r="CI101" s="22"/>
      <c r="CJ101" s="22" t="s">
        <v>495</v>
      </c>
      <c r="CK101" s="22">
        <f>IFERROR(VLOOKUP(C101,CC!K:M,3,0)," ")</f>
        <v>60</v>
      </c>
      <c r="CL101" s="43"/>
      <c r="CM101" s="43"/>
      <c r="CN101" s="43"/>
      <c r="CO101" s="43"/>
      <c r="CP101" s="43"/>
      <c r="CQ101" s="43"/>
      <c r="CR101" s="43"/>
      <c r="CS101" s="43" t="b">
        <v>0</v>
      </c>
      <c r="CT101" s="43" t="b">
        <v>0</v>
      </c>
      <c r="CU101" s="43" t="b">
        <v>0</v>
      </c>
      <c r="CV101" s="43" t="b">
        <v>0</v>
      </c>
      <c r="CW101" s="43"/>
      <c r="CX101" s="43"/>
      <c r="CY101" s="43"/>
      <c r="CZ101" s="43"/>
      <c r="DA101" s="43"/>
      <c r="DB101" s="43"/>
      <c r="DC101" s="43"/>
      <c r="DD101" s="22">
        <f>IFERROR(VLOOKUP($C101,'Лист4'!$D:$AI,27,0)," ")</f>
        <v>8</v>
      </c>
      <c r="DE101" s="22">
        <f>IFERROR(VLOOKUP($C101,'Лист4'!$D:$AI,28,0)," ")</f>
        <v>12</v>
      </c>
      <c r="DF101" s="22">
        <f>IFERROR(VLOOKUP($C101,'Лист4'!$D:$AI,29,0)," ")</f>
        <v>8</v>
      </c>
      <c r="DG101" s="22">
        <f t="shared" si="3"/>
        <v>768</v>
      </c>
      <c r="DH101" s="22">
        <f>IFERROR(VLOOKUP($C101,'Лист4'!$D:$AI,32,0)," ")</f>
        <v>0.37</v>
      </c>
      <c r="DI101" s="22"/>
      <c r="DJ101" s="22"/>
      <c r="DK101" s="22"/>
      <c r="DL101" s="22"/>
      <c r="DM101" s="22"/>
      <c r="DN101" s="22"/>
      <c r="DO101" s="22"/>
      <c r="DP101" s="22"/>
      <c r="DQ101" s="22"/>
      <c r="DR101" s="22"/>
      <c r="DS101" s="22"/>
      <c r="DT101" s="22"/>
      <c r="DU101" s="22"/>
      <c r="DV101" s="22"/>
      <c r="DW101" s="22"/>
      <c r="DX101" s="22"/>
      <c r="DY101" s="22"/>
      <c r="DZ101" s="22"/>
      <c r="EA101" s="22"/>
      <c r="EB101" s="22"/>
      <c r="EC101" s="22"/>
      <c r="ED101" s="22"/>
      <c r="EE101" s="22"/>
      <c r="EF101" s="22"/>
      <c r="EG101" s="22"/>
      <c r="EH101" s="22"/>
      <c r="EI101" s="22"/>
      <c r="EJ101" s="22"/>
      <c r="EK101" s="22"/>
      <c r="EL101" s="22"/>
      <c r="EM101" s="43"/>
      <c r="EN101" s="43"/>
      <c r="EO101" s="43"/>
      <c r="EP101" s="43"/>
      <c r="EQ101" s="43"/>
      <c r="ER101" s="43"/>
      <c r="ES101" s="43"/>
      <c r="ET101" s="43"/>
      <c r="EU101" s="43"/>
      <c r="EV101" s="43"/>
      <c r="EW101" s="43"/>
      <c r="EX101" s="43"/>
      <c r="EY101" s="43"/>
      <c r="EZ101" s="43"/>
      <c r="FA101" s="43"/>
      <c r="FB101" s="43"/>
      <c r="FC101" s="43"/>
    </row>
    <row r="102" ht="18.0" customHeight="1">
      <c r="A102" s="2"/>
      <c r="B102" s="22" t="str">
        <f>IFERROR(VLOOKUP(C102,'Реестр'!C:AC,27,0)," ")</f>
        <v>Биг-Л</v>
      </c>
      <c r="C102" s="43" t="s">
        <v>1779</v>
      </c>
      <c r="D102" s="22" t="str">
        <f>IFERROR(VLOOKUP(C102,'Лист4'!D:P,13,0)," ")</f>
        <v>qeep</v>
      </c>
      <c r="E102" s="22" t="str">
        <f>IF(OR(ISERROR(VLOOKUP(C102,'Актуальность'!A:B,2,0)), VLOOKUP(C102,'Актуальность'!A:B,2,0)=""), "Актуальный", VLOOKUP(C102,'Актуальность'!A:B,2,0))</f>
        <v>Актуальный</v>
      </c>
      <c r="F102" s="43" t="str">
        <f>IFERROR(VLOOKUP(C102,'Актуальность'!A:C,3,0)," ")</f>
        <v>Фокус + КЗ</v>
      </c>
      <c r="G102" s="43"/>
      <c r="H102" s="22" t="s">
        <v>361</v>
      </c>
      <c r="I102" s="22" t="s">
        <v>662</v>
      </c>
      <c r="J102" s="43"/>
      <c r="K102" s="43"/>
      <c r="L102" s="22" t="b">
        <f t="shared" ref="L102:R102" si="98">T102&lt;&gt;""</f>
        <v>1</v>
      </c>
      <c r="M102" s="22" t="b">
        <f t="shared" si="98"/>
        <v>1</v>
      </c>
      <c r="N102" s="22" t="b">
        <f t="shared" si="98"/>
        <v>1</v>
      </c>
      <c r="O102" s="22" t="b">
        <f t="shared" si="98"/>
        <v>1</v>
      </c>
      <c r="P102" s="22" t="b">
        <f t="shared" si="98"/>
        <v>0</v>
      </c>
      <c r="Q102" s="22" t="b">
        <f t="shared" si="98"/>
        <v>0</v>
      </c>
      <c r="R102" s="22" t="b">
        <f t="shared" si="98"/>
        <v>0</v>
      </c>
      <c r="S102" s="43"/>
      <c r="T102" s="43" t="str">
        <f>IFERROR(VLOOKUP( C102,'1С'!A:B,2,0)," ")</f>
        <v>QB101100402</v>
      </c>
      <c r="U102" s="22" t="str">
        <f>IFERROR(VLOOKUP(T102,'Лист4'!C:I,3,0)," ")</f>
        <v>qeep_glutamine_90caps</v>
      </c>
      <c r="V102" s="22" t="str">
        <f>IFERROR(VLOOKUP(T102,'Лист4'!C:I,4,0)," ")</f>
        <v>qeep_glutamine_90caps</v>
      </c>
      <c r="W102" s="22" t="str">
        <f>IFERROR(VLOOKUP(T102,'Лист4'!C:I,5,0)," ")</f>
        <v>qeep_glutamine_90caps</v>
      </c>
      <c r="X102" s="43" t="str">
        <f>IFERROR(VLOOKUP(T102,'Лист4'!C:I,7,0)," ")</f>
        <v/>
      </c>
      <c r="Y102" s="43" t="str">
        <f>IFERROR(VLOOKUP(T102,'Лист4'!C:I,6,0)," ")</f>
        <v/>
      </c>
      <c r="Z102" s="43"/>
      <c r="AA102" s="43"/>
      <c r="AB102" s="22">
        <v>1.77867999E8</v>
      </c>
      <c r="AC102" s="22">
        <v>1.200359466E9</v>
      </c>
      <c r="AD102" s="22">
        <v>1.02618106645E11</v>
      </c>
      <c r="AE102" s="22"/>
      <c r="AF102" s="22"/>
      <c r="AG102" s="43"/>
      <c r="AH102" s="43"/>
      <c r="AI102" s="43" t="str">
        <f>IFERROR(VLOOKUP(T102,'1С'!B:C,2,0)," ")</f>
        <v>БАД Аминокислоты ,qeep, 90 капсул</v>
      </c>
      <c r="AJ102" s="22" t="s">
        <v>1782</v>
      </c>
      <c r="AK102" s="22" t="s">
        <v>1783</v>
      </c>
      <c r="AL102" s="22" t="s">
        <v>1783</v>
      </c>
      <c r="AM102" s="43"/>
      <c r="AN102" s="43"/>
      <c r="AO102" s="43"/>
      <c r="AP102" s="43"/>
      <c r="AQ102" s="46" t="s">
        <v>1784</v>
      </c>
      <c r="AR102" s="46" t="s">
        <v>1785</v>
      </c>
      <c r="AS102" s="46" t="s">
        <v>1786</v>
      </c>
      <c r="AT102" s="43"/>
      <c r="AU102" s="43"/>
      <c r="AV102" s="43"/>
      <c r="AW102" s="43"/>
      <c r="AX102" s="22" t="s">
        <v>361</v>
      </c>
      <c r="AY102" s="22" t="s">
        <v>1783</v>
      </c>
      <c r="AZ102" s="22" t="s">
        <v>1726</v>
      </c>
      <c r="BA102" s="43"/>
      <c r="BB102" s="43"/>
      <c r="BC102" s="43"/>
      <c r="BD102" s="43"/>
      <c r="BE102" s="43"/>
      <c r="BF102" s="22">
        <f>IFERROR(VLOOKUP(C102,'спецификация'!B:D,3,0)," ")</f>
        <v>4620153903605</v>
      </c>
      <c r="BG102" s="22">
        <v>2.106909808E9</v>
      </c>
      <c r="BH102" s="22" t="str">
        <f>IFERROR(VLOOKUP(C102,'спецификация'!B:AA,5,0)," ")</f>
        <v>AM.01.06.01.003.R.000188.08.22 от 29.08.2022 г.</v>
      </c>
      <c r="BI102" s="46" t="s">
        <v>1788</v>
      </c>
      <c r="BJ102" s="22" t="str">
        <f>IFERROR(VLOOKUP(C102,'спецификация'!B:AA,6,0)," ")</f>
        <v>ЧЗ</v>
      </c>
      <c r="BK102" s="43"/>
      <c r="BL102" s="43"/>
      <c r="BM102" s="22" t="str">
        <f>IFERROR(VLOOKUP(BF102,'спецификация'!D:H,5,0)," ")</f>
        <v>тирозин, L-триптофан, глицин, L-глутаминовая кислота, L-тианин, крахмал картофельный (носитель), кальция стеарат (агент антислеживающий), микрокристаллическая целлюлоза (носитель), капсула желатиновая (желатин (носитель), глицерин (агент влагоудерживающий)). </v>
      </c>
      <c r="BN102" s="43"/>
      <c r="BO102" s="22" t="str">
        <f>IFERROR(VLOOKUP(C102,'спецификация'!B:AA,10,0)," ")</f>
        <v>взрослым по 1 капсуле 2 раза в день во время еды. Продолжительность приема 1 месяц. При необходимости курс можно повторить.</v>
      </c>
      <c r="BP102" s="43" t="str">
        <f>IFERROR(VLOOKUP(C102,'спецификация'!B:AA,11,0),"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
</v>
      </c>
      <c r="BQ102" s="22" t="str">
        <f>IFERROR(VLOOKUP(C102,'спецификация'!B:AA,12,0)," ")</f>
        <v>хранить в недоступном для детей месте, при температуре не выше 25 ºС и относительной влажности воздуха не более 60%.</v>
      </c>
      <c r="BR102" s="22">
        <v>90.0</v>
      </c>
      <c r="BS102" s="22" t="s">
        <v>492</v>
      </c>
      <c r="BT102" s="43"/>
      <c r="BU102" s="22"/>
      <c r="BV102" s="22" t="s">
        <v>307</v>
      </c>
      <c r="BW102" s="44" t="str">
        <f>IFERROR(VLOOKUP(C102,'спецификация'!B:AA,16,0)," ")</f>
        <v>https://docs.google.com/document/d/1vCQ2KvTXXU5bkLPRj2B_3kFhElGHuaZXh9ac5i262G8/edit</v>
      </c>
      <c r="BX102" s="43"/>
      <c r="BY102" s="43"/>
      <c r="BZ102" s="44" t="str">
        <f>IFERROR(VLOOKUP(BF102,'спецификация'!D:Y,22,0)," ")</f>
        <v>https://drive.google.com/drive/u/0/folders/1kmwzMlJJ3IS0nlppFLAHIu2zn5iKzI_r</v>
      </c>
      <c r="CA102" s="43"/>
      <c r="CB102" s="43"/>
      <c r="CC102" s="43"/>
      <c r="CD102" s="43"/>
      <c r="CE102" s="43"/>
      <c r="CF102" s="43"/>
      <c r="CG102" s="49">
        <f>IFERROR(VLOOKUP(C102,CC!A:D,4,0)," ")</f>
        <v>287.39</v>
      </c>
      <c r="CH102" s="22" t="str">
        <f>IFERROR(VLOOKUP(C102,'спецификация'!B:AA,19,0)," ")</f>
        <v>ООО «Сибфармконтракт», Россия, 634034, г. Томск, ул. Нахимова 8, стр. 11.</v>
      </c>
      <c r="CI102" s="22"/>
      <c r="CJ102" s="22" t="s">
        <v>562</v>
      </c>
      <c r="CK102" s="22">
        <f>IFERROR(VLOOKUP(C102,CC!K:M,3,0)," ")</f>
        <v>90</v>
      </c>
      <c r="CL102" s="43"/>
      <c r="CM102" s="43"/>
      <c r="CN102" s="43"/>
      <c r="CO102" s="43"/>
      <c r="CP102" s="43"/>
      <c r="CQ102" s="43"/>
      <c r="CR102" s="43"/>
      <c r="CS102" s="43" t="b">
        <v>0</v>
      </c>
      <c r="CT102" s="43" t="b">
        <v>0</v>
      </c>
      <c r="CU102" s="43" t="b">
        <v>0</v>
      </c>
      <c r="CV102" s="43" t="b">
        <v>0</v>
      </c>
      <c r="CW102" s="43"/>
      <c r="CX102" s="43"/>
      <c r="CY102" s="43"/>
      <c r="CZ102" s="43"/>
      <c r="DA102" s="43"/>
      <c r="DB102" s="43"/>
      <c r="DC102" s="43"/>
      <c r="DD102" s="22">
        <f>IFERROR(VLOOKUP($C102,'Лист4'!$D:$AI,27,0)," ")</f>
        <v>10</v>
      </c>
      <c r="DE102" s="22">
        <f>IFERROR(VLOOKUP($C102,'Лист4'!$D:$AI,28,0)," ")</f>
        <v>5</v>
      </c>
      <c r="DF102" s="22">
        <f>IFERROR(VLOOKUP($C102,'Лист4'!$D:$AI,29,0)," ")</f>
        <v>10</v>
      </c>
      <c r="DG102" s="22">
        <f t="shared" si="3"/>
        <v>500</v>
      </c>
      <c r="DH102" s="22">
        <f>IFERROR(VLOOKUP($C102,'Лист4'!$D:$AI,32,0)," ")</f>
        <v>0.082</v>
      </c>
      <c r="DI102" s="22"/>
      <c r="DJ102" s="22"/>
      <c r="DK102" s="22"/>
      <c r="DL102" s="22"/>
      <c r="DM102" s="22"/>
      <c r="DN102" s="22"/>
      <c r="DO102" s="22"/>
      <c r="DP102" s="22"/>
      <c r="DQ102" s="22"/>
      <c r="DR102" s="22"/>
      <c r="DS102" s="22"/>
      <c r="DT102" s="22"/>
      <c r="DU102" s="22"/>
      <c r="DV102" s="22"/>
      <c r="DW102" s="22"/>
      <c r="DX102" s="22"/>
      <c r="DY102" s="22"/>
      <c r="DZ102" s="22"/>
      <c r="EA102" s="22"/>
      <c r="EB102" s="22"/>
      <c r="EC102" s="22"/>
      <c r="ED102" s="22"/>
      <c r="EE102" s="22"/>
      <c r="EF102" s="22"/>
      <c r="EG102" s="22"/>
      <c r="EH102" s="22"/>
      <c r="EI102" s="22"/>
      <c r="EJ102" s="22"/>
      <c r="EK102" s="22"/>
      <c r="EL102" s="22"/>
      <c r="EM102" s="43"/>
      <c r="EN102" s="43"/>
      <c r="EO102" s="43"/>
      <c r="EP102" s="43"/>
      <c r="EQ102" s="43"/>
      <c r="ER102" s="43"/>
      <c r="ES102" s="43"/>
      <c r="ET102" s="43"/>
      <c r="EU102" s="43"/>
      <c r="EV102" s="43"/>
      <c r="EW102" s="43"/>
      <c r="EX102" s="43"/>
      <c r="EY102" s="43"/>
      <c r="EZ102" s="43"/>
      <c r="FA102" s="43"/>
      <c r="FB102" s="43"/>
      <c r="FC102" s="43"/>
    </row>
    <row r="103" ht="18.0" customHeight="1">
      <c r="A103" s="2"/>
      <c r="B103" s="22" t="str">
        <f>IFERROR(VLOOKUP(C103,'Реестр'!C:AC,27,0)," ")</f>
        <v>Биг-Л</v>
      </c>
      <c r="C103" s="43" t="s">
        <v>1794</v>
      </c>
      <c r="D103" s="22" t="str">
        <f>IFERROR(VLOOKUP(C103,'Лист4'!D:P,13,0)," ")</f>
        <v>qeep</v>
      </c>
      <c r="E103" s="22" t="str">
        <f>IF(OR(ISERROR(VLOOKUP(C103,'Актуальность'!A:B,2,0)), VLOOKUP(C103,'Актуальность'!A:B,2,0)=""), "Актуальный", VLOOKUP(C103,'Актуальность'!A:B,2,0))</f>
        <v>Вывод</v>
      </c>
      <c r="F103" s="43" t="str">
        <f>IFERROR(VLOOKUP(C103,'Актуальность'!A:C,3,0)," ")</f>
        <v/>
      </c>
      <c r="G103" s="43"/>
      <c r="H103" s="22" t="s">
        <v>361</v>
      </c>
      <c r="I103" s="22" t="s">
        <v>662</v>
      </c>
      <c r="J103" s="43"/>
      <c r="K103" s="43"/>
      <c r="L103" s="22" t="b">
        <f t="shared" ref="L103:R103" si="99">T103&lt;&gt;""</f>
        <v>1</v>
      </c>
      <c r="M103" s="22" t="b">
        <f t="shared" si="99"/>
        <v>1</v>
      </c>
      <c r="N103" s="22" t="b">
        <f t="shared" si="99"/>
        <v>1</v>
      </c>
      <c r="O103" s="22" t="b">
        <f t="shared" si="99"/>
        <v>1</v>
      </c>
      <c r="P103" s="22" t="b">
        <f t="shared" si="99"/>
        <v>0</v>
      </c>
      <c r="Q103" s="22" t="b">
        <f t="shared" si="99"/>
        <v>0</v>
      </c>
      <c r="R103" s="22" t="b">
        <f t="shared" si="99"/>
        <v>0</v>
      </c>
      <c r="S103" s="43"/>
      <c r="T103" s="43" t="str">
        <f>IFERROR(VLOOKUP( C103,'1С'!A:B,2,0)," ")</f>
        <v>QB101100438</v>
      </c>
      <c r="U103" s="22" t="str">
        <f>IFERROR(VLOOKUP(T103,'Лист4'!C:I,3,0)," ")</f>
        <v>qeep_isotonicraspblime_300g</v>
      </c>
      <c r="V103" s="22" t="str">
        <f>IFERROR(VLOOKUP(T103,'Лист4'!C:I,4,0)," ")</f>
        <v>qeep_isotonicraspblime_300g</v>
      </c>
      <c r="W103" s="22" t="str">
        <f>IFERROR(VLOOKUP(T103,'Лист4'!C:I,5,0)," ")</f>
        <v>qeep_isotonicraspblime_300g</v>
      </c>
      <c r="X103" s="43" t="str">
        <f>IFERROR(VLOOKUP(T103,'Лист4'!C:I,7,0)," ")</f>
        <v/>
      </c>
      <c r="Y103" s="43" t="str">
        <f>IFERROR(VLOOKUP(T103,'Лист4'!C:I,6,0)," ")</f>
        <v/>
      </c>
      <c r="Z103" s="43"/>
      <c r="AA103" s="43"/>
      <c r="AB103" s="22">
        <v>2.7036074E8</v>
      </c>
      <c r="AC103" s="22">
        <v>1.726985085E9</v>
      </c>
      <c r="AD103" s="22">
        <v>1.03572448025E11</v>
      </c>
      <c r="AE103" s="22"/>
      <c r="AF103" s="22"/>
      <c r="AG103" s="43"/>
      <c r="AH103" s="43"/>
      <c r="AI103" s="43" t="str">
        <f>IFERROR(VLOOKUP(T103,'1С'!B:C,2,0)," ")</f>
        <v>БАД Изотоник малина ,qeep, 300 г</v>
      </c>
      <c r="AJ103" s="22" t="s">
        <v>1739</v>
      </c>
      <c r="AK103" s="22" t="s">
        <v>1740</v>
      </c>
      <c r="AL103" s="22" t="s">
        <v>1797</v>
      </c>
      <c r="AM103" s="43"/>
      <c r="AN103" s="43"/>
      <c r="AO103" s="43"/>
      <c r="AP103" s="43"/>
      <c r="AQ103" s="46" t="s">
        <v>1798</v>
      </c>
      <c r="AR103" s="46" t="s">
        <v>1799</v>
      </c>
      <c r="AS103" s="46" t="s">
        <v>1800</v>
      </c>
      <c r="AT103" s="43"/>
      <c r="AU103" s="43"/>
      <c r="AV103" s="43"/>
      <c r="AW103" s="43"/>
      <c r="AX103" s="22" t="s">
        <v>1745</v>
      </c>
      <c r="AY103" s="22" t="s">
        <v>1740</v>
      </c>
      <c r="AZ103" s="22" t="s">
        <v>1746</v>
      </c>
      <c r="BA103" s="43"/>
      <c r="BB103" s="43"/>
      <c r="BC103" s="43"/>
      <c r="BD103" s="43"/>
      <c r="BE103" s="43"/>
      <c r="BF103" s="22">
        <f>IFERROR(VLOOKUP(C103,'спецификация'!B:D,3,0)," ")</f>
        <v>4670227415817</v>
      </c>
      <c r="BG103" s="22">
        <v>2.106909808E9</v>
      </c>
      <c r="BH103" s="22" t="str">
        <f>IFERROR(VLOOKUP(C103,'спецификация'!B:AA,5,0)," ")</f>
        <v>AM.01.21.01.003.R.000008.07.24 от 16.07.2024 г.</v>
      </c>
      <c r="BI103" s="22"/>
      <c r="BJ103" s="22" t="str">
        <f>IFERROR(VLOOKUP(C103,'спецификация'!B:AA,6,0)," ")</f>
        <v>ЧЗ</v>
      </c>
      <c r="BK103" s="43"/>
      <c r="BL103" s="43"/>
      <c r="BM103" s="22" t="str">
        <f>IFERROR(VLOOKUP(BF103,'спецификация'!D:H,5,0)," ")</f>
        <v>лактат кальция, цитрат калия, минеральный комплекс (лактат кальция, цитрат магния, сульфат железа, сульфат цинка, сульфат марганца, сульфат меди, йода калия), розовая гималайская соль (хлорид), магний цитрат, цитрат натрия, лимонная кислота, экстракт стевиолгликозида, пищевой ароматизатор, яблочная кислота.</v>
      </c>
      <c r="BN103" s="43"/>
      <c r="BO103" s="22" t="s">
        <v>1750</v>
      </c>
      <c r="BP103" s="22" t="s">
        <v>1751</v>
      </c>
      <c r="BQ103" s="22" t="s">
        <v>1752</v>
      </c>
      <c r="BR103" s="22">
        <v>300.0</v>
      </c>
      <c r="BS103" s="22" t="s">
        <v>580</v>
      </c>
      <c r="BT103" s="22"/>
      <c r="BU103" s="22"/>
      <c r="BV103" s="22" t="s">
        <v>307</v>
      </c>
      <c r="BW103" s="44" t="str">
        <f>IFERROR(VLOOKUP(C103,'спецификация'!B:AA,16,0)," ")</f>
        <v>https://docs.google.com/document/d/1Wx7xzS4gJ1jw5C8qu8vNJxr7Vyphn46LTYDcLo35Xv8/edit</v>
      </c>
      <c r="BX103" s="43"/>
      <c r="BY103" s="43"/>
      <c r="BZ103" s="45" t="str">
        <f>IFERROR(VLOOKUP(BF103,'спецификация'!D:Y,22,0)," ")</f>
        <v/>
      </c>
      <c r="CA103" s="43"/>
      <c r="CB103" s="43"/>
      <c r="CC103" s="43"/>
      <c r="CD103" s="43"/>
      <c r="CE103" s="43"/>
      <c r="CF103" s="43"/>
      <c r="CG103" s="49">
        <f>IFERROR(VLOOKUP(C103,CC!A:D,4,0)," ")</f>
        <v>433</v>
      </c>
      <c r="CH103" s="22" t="str">
        <f>IFERROR(VLOOKUP(C103,'спецификация'!B:AA,19,0)," ")</f>
        <v>ООО «Жива Продукт ПРО». 350062, Россия, Краснодарский край, город Краснодар, улица Казбекская, дом 17, кв. (оф.) 85</v>
      </c>
      <c r="CI103" s="22"/>
      <c r="CJ103" s="22" t="s">
        <v>495</v>
      </c>
      <c r="CK103" s="22">
        <f>IFERROR(VLOOKUP(C103,CC!K:M,3,0)," ")</f>
        <v>60</v>
      </c>
      <c r="CL103" s="43"/>
      <c r="CM103" s="43"/>
      <c r="CN103" s="43"/>
      <c r="CO103" s="43"/>
      <c r="CP103" s="43"/>
      <c r="CQ103" s="43"/>
      <c r="CR103" s="43"/>
      <c r="CS103" s="43" t="b">
        <v>0</v>
      </c>
      <c r="CT103" s="43" t="b">
        <v>0</v>
      </c>
      <c r="CU103" s="43" t="b">
        <v>0</v>
      </c>
      <c r="CV103" s="43" t="b">
        <v>0</v>
      </c>
      <c r="CW103" s="43"/>
      <c r="CX103" s="43"/>
      <c r="CY103" s="43"/>
      <c r="CZ103" s="43"/>
      <c r="DA103" s="43"/>
      <c r="DB103" s="43"/>
      <c r="DC103" s="43"/>
      <c r="DD103" s="22">
        <f>IFERROR(VLOOKUP($C103,'Лист4'!$D:$AI,27,0)," ")</f>
        <v>8</v>
      </c>
      <c r="DE103" s="22">
        <f>IFERROR(VLOOKUP($C103,'Лист4'!$D:$AI,28,0)," ")</f>
        <v>12</v>
      </c>
      <c r="DF103" s="22">
        <f>IFERROR(VLOOKUP($C103,'Лист4'!$D:$AI,29,0)," ")</f>
        <v>8</v>
      </c>
      <c r="DG103" s="22">
        <f t="shared" si="3"/>
        <v>768</v>
      </c>
      <c r="DH103" s="22">
        <f>IFERROR(VLOOKUP($C103,'Лист4'!$D:$AI,32,0)," ")</f>
        <v>0.37</v>
      </c>
      <c r="DI103" s="22"/>
      <c r="DJ103" s="22"/>
      <c r="DK103" s="22"/>
      <c r="DL103" s="22"/>
      <c r="DM103" s="22"/>
      <c r="DN103" s="22"/>
      <c r="DO103" s="22"/>
      <c r="DP103" s="22"/>
      <c r="DQ103" s="22"/>
      <c r="DR103" s="22"/>
      <c r="DS103" s="22"/>
      <c r="DT103" s="22"/>
      <c r="DU103" s="22"/>
      <c r="DV103" s="22"/>
      <c r="DW103" s="22"/>
      <c r="DX103" s="22"/>
      <c r="DY103" s="22"/>
      <c r="DZ103" s="22"/>
      <c r="EA103" s="22"/>
      <c r="EB103" s="22"/>
      <c r="EC103" s="22"/>
      <c r="ED103" s="22"/>
      <c r="EE103" s="22"/>
      <c r="EF103" s="22"/>
      <c r="EG103" s="22"/>
      <c r="EH103" s="22"/>
      <c r="EI103" s="22"/>
      <c r="EJ103" s="22"/>
      <c r="EK103" s="22"/>
      <c r="EL103" s="22"/>
      <c r="EM103" s="43"/>
      <c r="EN103" s="43"/>
      <c r="EO103" s="43"/>
      <c r="EP103" s="43"/>
      <c r="EQ103" s="43"/>
      <c r="ER103" s="43"/>
      <c r="ES103" s="43"/>
      <c r="ET103" s="43"/>
      <c r="EU103" s="43"/>
      <c r="EV103" s="43"/>
      <c r="EW103" s="43"/>
      <c r="EX103" s="43"/>
      <c r="EY103" s="43"/>
      <c r="EZ103" s="43"/>
      <c r="FA103" s="43"/>
      <c r="FB103" s="43"/>
      <c r="FC103" s="43"/>
    </row>
    <row r="104" ht="18.0" customHeight="1">
      <c r="A104" s="2"/>
      <c r="B104" s="22" t="str">
        <f>IFERROR(VLOOKUP(C104,'Реестр'!C:AC,27,0)," ")</f>
        <v>Биг-Л</v>
      </c>
      <c r="C104" s="43" t="s">
        <v>1801</v>
      </c>
      <c r="D104" s="22" t="str">
        <f>IFERROR(VLOOKUP(C104,'Лист4'!D:P,13,0)," ")</f>
        <v>Harly</v>
      </c>
      <c r="E104" s="22" t="str">
        <f>IF(OR(ISERROR(VLOOKUP(C104,'Актуальность'!A:B,2,0)), VLOOKUP(C104,'Актуальность'!A:B,2,0)=""), "Актуальный", VLOOKUP(C104,'Актуальность'!A:B,2,0))</f>
        <v>Актуальный</v>
      </c>
      <c r="F104" s="43" t="str">
        <f>IFERROR(VLOOKUP(C104,'Актуальность'!A:C,3,0)," ")</f>
        <v/>
      </c>
      <c r="G104" s="43"/>
      <c r="H104" s="22" t="s">
        <v>443</v>
      </c>
      <c r="I104" s="22" t="s">
        <v>1803</v>
      </c>
      <c r="J104" s="43"/>
      <c r="K104" s="43"/>
      <c r="L104" s="22" t="b">
        <f t="shared" ref="L104:R104" si="100">T104&lt;&gt;""</f>
        <v>1</v>
      </c>
      <c r="M104" s="22" t="b">
        <f t="shared" si="100"/>
        <v>1</v>
      </c>
      <c r="N104" s="22" t="b">
        <f t="shared" si="100"/>
        <v>1</v>
      </c>
      <c r="O104" s="22" t="b">
        <f t="shared" si="100"/>
        <v>1</v>
      </c>
      <c r="P104" s="22" t="b">
        <f t="shared" si="100"/>
        <v>0</v>
      </c>
      <c r="Q104" s="22" t="b">
        <f t="shared" si="100"/>
        <v>0</v>
      </c>
      <c r="R104" s="22" t="b">
        <f t="shared" si="100"/>
        <v>0</v>
      </c>
      <c r="S104" s="43"/>
      <c r="T104" s="43" t="str">
        <f>IFERROR(VLOOKUP( C104,'1С'!A:B,2,0)," ")</f>
        <v>HC101100403</v>
      </c>
      <c r="U104" s="22" t="str">
        <f>IFERROR(VLOOKUP(T104,'Лист4'!C:I,3,0)," ")</f>
        <v>harly_spray_250ml</v>
      </c>
      <c r="V104" s="22" t="str">
        <f>IFERROR(VLOOKUP(T104,'Лист4'!C:I,4,0)," ")</f>
        <v>harly_spray_250ml</v>
      </c>
      <c r="W104" s="22" t="str">
        <f>IFERROR(VLOOKUP(T104,'Лист4'!C:I,5,0)," ")</f>
        <v>harly_spray_250ml</v>
      </c>
      <c r="X104" s="43" t="str">
        <f>IFERROR(VLOOKUP(T104,'Лист4'!C:I,7,0)," ")</f>
        <v/>
      </c>
      <c r="Y104" s="43" t="str">
        <f>IFERROR(VLOOKUP(T104,'Лист4'!C:I,6,0)," ")</f>
        <v/>
      </c>
      <c r="Z104" s="43"/>
      <c r="AA104" s="43"/>
      <c r="AB104" s="22">
        <v>2.4016933E8</v>
      </c>
      <c r="AC104" s="22">
        <v>1.613729326E9</v>
      </c>
      <c r="AD104" s="22">
        <v>1.03397005171E11</v>
      </c>
      <c r="AE104" s="22"/>
      <c r="AF104" s="22"/>
      <c r="AG104" s="43"/>
      <c r="AH104" s="43"/>
      <c r="AI104" s="43" t="str">
        <f>IFERROR(VLOOKUP(T104,'1С'!B:C,2,0)," ")</f>
        <v>Спрей от колтунов ,Harly, 250 мл</v>
      </c>
      <c r="AJ104" s="22" t="s">
        <v>1805</v>
      </c>
      <c r="AK104" s="22" t="s">
        <v>1805</v>
      </c>
      <c r="AL104" s="22" t="s">
        <v>1806</v>
      </c>
      <c r="AM104" s="43"/>
      <c r="AN104" s="43"/>
      <c r="AO104" s="43"/>
      <c r="AP104" s="43"/>
      <c r="AQ104" s="46" t="s">
        <v>1807</v>
      </c>
      <c r="AR104" s="46" t="s">
        <v>1808</v>
      </c>
      <c r="AS104" s="46" t="s">
        <v>1809</v>
      </c>
      <c r="AT104" s="43"/>
      <c r="AU104" s="43"/>
      <c r="AV104" s="43"/>
      <c r="AW104" s="43"/>
      <c r="AX104" s="22" t="s">
        <v>1810</v>
      </c>
      <c r="AY104" s="22" t="s">
        <v>1805</v>
      </c>
      <c r="AZ104" s="22" t="s">
        <v>635</v>
      </c>
      <c r="BA104" s="43"/>
      <c r="BB104" s="43"/>
      <c r="BC104" s="43"/>
      <c r="BD104" s="43"/>
      <c r="BE104" s="43"/>
      <c r="BF104" s="22">
        <f>IFERROR(VLOOKUP(C104,'спецификация'!B:D,3,0)," ")</f>
        <v>4610172186745</v>
      </c>
      <c r="BG104" s="22">
        <v>3.307900008E9</v>
      </c>
      <c r="BH104" s="22" t="str">
        <f>IFERROR(VLOOKUP(C104,'спецификация'!B:AA,5,0)," ")</f>
        <v>№ АИ-6565 от 17.04.2024</v>
      </c>
      <c r="BI104" s="46" t="s">
        <v>1812</v>
      </c>
      <c r="BJ104" s="22" t="str">
        <f>IFERROR(VLOOKUP(C104,'спецификация'!B:AA,6,0)," ")</f>
        <v>без ЧЗ</v>
      </c>
      <c r="BK104" s="43"/>
      <c r="BL104" s="43"/>
      <c r="BM104" s="22" t="str">
        <f>IFERROR(VLOOKUP(BF104,'спецификация'!D:H,5,0)," ")</f>
        <v>вода &gt;50%,  увлажняющие компоненты &lt;5%, активные компоненты &lt;1% (пантенол, комплекс аминокислот, гидролизованный кератин), кондиционирующий агент &lt;1%, регулятор кислотности &lt;1% (лимонная кислота), консервант &lt;1%, отдушка &lt;1%.</v>
      </c>
      <c r="BN104" s="43"/>
      <c r="BO104" s="22" t="str">
        <f>IFERROR(VLOOKUP(C104,'спецификация'!B:AA,10,0)," ")</f>
        <v>обильно распылить средство на спутанную шерсть и колтун и оставить на 1-2 минуты для впитывания. Помассировать руками и расчесать специальным гребнем до полного распутывания шерсти и колтуна. При необходимости процедуру повторить.</v>
      </c>
      <c r="BP104" s="22" t="s">
        <v>1815</v>
      </c>
      <c r="BQ104" s="22" t="s">
        <v>1816</v>
      </c>
      <c r="BR104" s="22">
        <v>250.0</v>
      </c>
      <c r="BS104" s="22" t="s">
        <v>139</v>
      </c>
      <c r="BT104" s="22"/>
      <c r="BU104" s="22"/>
      <c r="BV104" s="22" t="s">
        <v>307</v>
      </c>
      <c r="BW104" s="44" t="str">
        <f>IFERROR(VLOOKUP(C104,'спецификация'!B:AA,16,0)," ")</f>
        <v>https://docs.google.com/document/d/1SOxL3KLYIYr5vR5IpcI_NqPQsKCcRbUCV1gX0pWb-S0/edit</v>
      </c>
      <c r="BX104" s="43"/>
      <c r="BY104" s="43"/>
      <c r="BZ104" s="45" t="str">
        <f>IFERROR(VLOOKUP(BF104,'спецификация'!D:Y,22,0)," ")</f>
        <v/>
      </c>
      <c r="CA104" s="43"/>
      <c r="CB104" s="43"/>
      <c r="CC104" s="43"/>
      <c r="CD104" s="43"/>
      <c r="CE104" s="43"/>
      <c r="CF104" s="43"/>
      <c r="CG104" s="49">
        <f>IFERROR(VLOOKUP(C104,CC!A:D,4,0)," ")</f>
        <v>109</v>
      </c>
      <c r="CH104" s="22" t="str">
        <f>IFERROR(VLOOKUP(C104,'спецификация'!B:AA,19,0)," ")</f>
        <v>Изготовитель: ООО «Биг-Л», 127473, Россия, г. Москва, Переулок Самотёчный 1-й, д. 15, cтр. 1, этаж подвал № 0, помещ. I, ком. 1, офис 1. E-mail: sales@qeep.life
</v>
      </c>
      <c r="CI104" s="22"/>
      <c r="CJ104" s="22" t="s">
        <v>1554</v>
      </c>
      <c r="CK104" s="22">
        <f>IFERROR(VLOOKUP(C104,CC!K:M,3,0)," ")</f>
        <v>90</v>
      </c>
      <c r="CL104" s="43"/>
      <c r="CM104" s="43"/>
      <c r="CN104" s="43"/>
      <c r="CO104" s="43"/>
      <c r="CP104" s="43"/>
      <c r="CQ104" s="43"/>
      <c r="CR104" s="43"/>
      <c r="CS104" s="43" t="b">
        <v>0</v>
      </c>
      <c r="CT104" s="43" t="b">
        <v>0</v>
      </c>
      <c r="CU104" s="43" t="b">
        <v>0</v>
      </c>
      <c r="CV104" s="43" t="b">
        <v>0</v>
      </c>
      <c r="CW104" s="43"/>
      <c r="CX104" s="43"/>
      <c r="CY104" s="43"/>
      <c r="CZ104" s="43"/>
      <c r="DA104" s="43"/>
      <c r="DB104" s="43"/>
      <c r="DC104" s="43"/>
      <c r="DD104" s="22">
        <f>IFERROR(VLOOKUP($C104,'Лист4'!$D:$AI,27,0)," ")</f>
        <v>5</v>
      </c>
      <c r="DE104" s="22">
        <f>IFERROR(VLOOKUP($C104,'Лист4'!$D:$AI,28,0)," ")</f>
        <v>22</v>
      </c>
      <c r="DF104" s="22">
        <f>IFERROR(VLOOKUP($C104,'Лист4'!$D:$AI,29,0)," ")</f>
        <v>5</v>
      </c>
      <c r="DG104" s="22">
        <f t="shared" si="3"/>
        <v>550</v>
      </c>
      <c r="DH104" s="22">
        <f>IFERROR(VLOOKUP($C104,'Лист4'!$D:$AI,32,0)," ")</f>
        <v>0.28</v>
      </c>
      <c r="DI104" s="22"/>
      <c r="DJ104" s="22"/>
      <c r="DK104" s="22"/>
      <c r="DL104" s="22"/>
      <c r="DM104" s="22"/>
      <c r="DN104" s="22"/>
      <c r="DO104" s="22"/>
      <c r="DP104" s="22"/>
      <c r="DQ104" s="22"/>
      <c r="DR104" s="22"/>
      <c r="DS104" s="22"/>
      <c r="DT104" s="22"/>
      <c r="DU104" s="22"/>
      <c r="DV104" s="22"/>
      <c r="DW104" s="22"/>
      <c r="DX104" s="22"/>
      <c r="DY104" s="22"/>
      <c r="DZ104" s="22"/>
      <c r="EA104" s="22"/>
      <c r="EB104" s="22"/>
      <c r="EC104" s="22"/>
      <c r="ED104" s="22"/>
      <c r="EE104" s="22"/>
      <c r="EF104" s="22"/>
      <c r="EG104" s="22"/>
      <c r="EH104" s="22"/>
      <c r="EI104" s="22"/>
      <c r="EJ104" s="22"/>
      <c r="EK104" s="22"/>
      <c r="EL104" s="22"/>
      <c r="EM104" s="43"/>
      <c r="EN104" s="43"/>
      <c r="EO104" s="43"/>
      <c r="EP104" s="43"/>
      <c r="EQ104" s="43"/>
      <c r="ER104" s="43"/>
      <c r="ES104" s="43"/>
      <c r="ET104" s="43"/>
      <c r="EU104" s="43"/>
      <c r="EV104" s="43"/>
      <c r="EW104" s="43"/>
      <c r="EX104" s="43"/>
      <c r="EY104" s="43"/>
      <c r="EZ104" s="43"/>
      <c r="FA104" s="43"/>
      <c r="FB104" s="43"/>
      <c r="FC104" s="43"/>
    </row>
    <row r="105" ht="18.0" customHeight="1">
      <c r="A105" s="2"/>
      <c r="B105" s="22" t="str">
        <f>IFERROR(VLOOKUP(C105,'Реестр'!C:AC,27,0)," ")</f>
        <v>Биг-Л</v>
      </c>
      <c r="C105" s="43" t="s">
        <v>1819</v>
      </c>
      <c r="D105" s="22" t="str">
        <f>IFERROR(VLOOKUP(C105,'Лист4'!D:P,13,0)," ")</f>
        <v>qeep</v>
      </c>
      <c r="E105" s="22" t="str">
        <f>IF(OR(ISERROR(VLOOKUP(C105,'Актуальность'!A:B,2,0)), VLOOKUP(C105,'Актуальность'!A:B,2,0)=""), "Актуальный", VLOOKUP(C105,'Актуальность'!A:B,2,0))</f>
        <v>Вывод</v>
      </c>
      <c r="F105" s="43" t="str">
        <f>IFERROR(VLOOKUP(C105,'Актуальность'!A:C,3,0)," ")</f>
        <v>Неконкурентный товар</v>
      </c>
      <c r="G105" s="43"/>
      <c r="H105" s="22" t="s">
        <v>286</v>
      </c>
      <c r="I105" s="22" t="s">
        <v>1821</v>
      </c>
      <c r="J105" s="43"/>
      <c r="K105" s="43"/>
      <c r="L105" s="22" t="b">
        <f t="shared" ref="L105:R105" si="101">T105&lt;&gt;""</f>
        <v>1</v>
      </c>
      <c r="M105" s="22" t="b">
        <f t="shared" si="101"/>
        <v>1</v>
      </c>
      <c r="N105" s="22" t="b">
        <f t="shared" si="101"/>
        <v>1</v>
      </c>
      <c r="O105" s="22" t="b">
        <f t="shared" si="101"/>
        <v>1</v>
      </c>
      <c r="P105" s="22" t="b">
        <f t="shared" si="101"/>
        <v>1</v>
      </c>
      <c r="Q105" s="22" t="b">
        <f t="shared" si="101"/>
        <v>1</v>
      </c>
      <c r="R105" s="22" t="b">
        <f t="shared" si="101"/>
        <v>0</v>
      </c>
      <c r="S105" s="43"/>
      <c r="T105" s="43" t="str">
        <f>IFERROR(VLOOKUP( C105,'1С'!A:B,2,0)," ")</f>
        <v>QC101100400</v>
      </c>
      <c r="U105" s="22" t="str">
        <f>IFERROR(VLOOKUP(T105,'Лист4'!C:I,3,0)," ")</f>
        <v>qeep_tobaccocherry_450ml</v>
      </c>
      <c r="V105" s="22" t="str">
        <f>IFERROR(VLOOKUP(T105,'Лист4'!C:I,4,0)," ")</f>
        <v>qeep_tobaccocherry_450ml</v>
      </c>
      <c r="W105" s="22" t="str">
        <f>IFERROR(VLOOKUP(T105,'Лист4'!C:I,5,0)," ")</f>
        <v>qeep_tobaccocherry_450ml</v>
      </c>
      <c r="X105" s="43" t="str">
        <f>IFERROR(VLOOKUP(T105,'Лист4'!C:I,7,0)," ")</f>
        <v>qeep_tobaccocherry_450ml</v>
      </c>
      <c r="Y105" s="43" t="str">
        <f>IFERROR(VLOOKUP(T105,'Лист4'!C:I,6,0)," ")</f>
        <v>qeep_tobaccocherry_450ml</v>
      </c>
      <c r="Z105" s="43"/>
      <c r="AA105" s="43"/>
      <c r="AB105" s="22">
        <v>3.02419362E8</v>
      </c>
      <c r="AC105" s="22">
        <v>1.785782001E9</v>
      </c>
      <c r="AD105" s="22">
        <v>1.0368989109E11</v>
      </c>
      <c r="AE105" s="22">
        <v>9.9000116835E10</v>
      </c>
      <c r="AF105" s="22" t="s">
        <v>1823</v>
      </c>
      <c r="AG105" s="43"/>
      <c r="AH105" s="43"/>
      <c r="AI105" s="43" t="str">
        <f>IFERROR(VLOOKUP(T105,'1С'!B:C,2,0)," ")</f>
        <v>Гель для душа Tobacco Cherry ,qeep, 450 мл</v>
      </c>
      <c r="AJ105" s="22" t="s">
        <v>1824</v>
      </c>
      <c r="AK105" s="22" t="s">
        <v>1825</v>
      </c>
      <c r="AL105" s="22" t="s">
        <v>1826</v>
      </c>
      <c r="AM105" s="22" t="s">
        <v>1827</v>
      </c>
      <c r="AN105" s="22" t="s">
        <v>1824</v>
      </c>
      <c r="AO105" s="43"/>
      <c r="AP105" s="43"/>
      <c r="AQ105" s="46" t="s">
        <v>1828</v>
      </c>
      <c r="AR105" s="46" t="s">
        <v>1829</v>
      </c>
      <c r="AS105" s="46" t="s">
        <v>1830</v>
      </c>
      <c r="AT105" s="43"/>
      <c r="AU105" s="46" t="s">
        <v>1831</v>
      </c>
      <c r="AV105" s="43"/>
      <c r="AW105" s="43"/>
      <c r="AX105" s="22" t="s">
        <v>1832</v>
      </c>
      <c r="AY105" s="22" t="s">
        <v>1825</v>
      </c>
      <c r="AZ105" s="22" t="s">
        <v>1833</v>
      </c>
      <c r="BA105" s="22" t="s">
        <v>1834</v>
      </c>
      <c r="BB105" s="22" t="s">
        <v>1835</v>
      </c>
      <c r="BC105" s="43"/>
      <c r="BD105" s="43"/>
      <c r="BE105" s="43"/>
      <c r="BF105" s="22">
        <f>IFERROR(VLOOKUP(C105,'спецификация'!B:D,3,0)," ")</f>
        <v>4603320465236</v>
      </c>
      <c r="BG105" s="22">
        <v>3305.0</v>
      </c>
      <c r="BH105" s="22" t="str">
        <f>IFERROR(VLOOKUP(C105,'спецификация'!B:AA,5,0)," ")</f>
        <v>ЕАЭС N RU Д-RU.РА11.В.07086/24 от 03.12.2024 по 01.12.2029</v>
      </c>
      <c r="BI105" s="46" t="s">
        <v>1837</v>
      </c>
      <c r="BJ105" s="22" t="str">
        <f>IFERROR(VLOOKUP(C105,'спецификация'!B:AA,6,0)," ")</f>
        <v>без ЧЗ</v>
      </c>
      <c r="BK105" s="43"/>
      <c r="BL105" s="43"/>
      <c r="BM105" s="22" t="str">
        <f>IFERROR(VLOOKUP(BF105,'спецификация'!D:H,5,0)," ")</f>
        <v>Aqua, Sodium Laureth Sulfate, Cocamidopropyl Betaine, Sodium Chloride, Glycerin, Decyl Glucoside, Styrene/Acrylates Copolymer, Aloe Barbadensis Leaf Juice, Fragrance, Sweet almond oil, avocado oil,  polyflyceryl-4 Esters, Disodium Ethylenediaminetetraacetic Acid, Citric Acid, Methylchloroisothiazolinone, Methylisothiazolinone</v>
      </c>
      <c r="BN105" s="43"/>
      <c r="BO105" s="22" t="s">
        <v>1839</v>
      </c>
      <c r="BP105" s="22" t="s">
        <v>1840</v>
      </c>
      <c r="BQ105" s="22" t="s">
        <v>1841</v>
      </c>
      <c r="BR105" s="22">
        <v>450.0</v>
      </c>
      <c r="BS105" s="22" t="s">
        <v>139</v>
      </c>
      <c r="BT105" s="22"/>
      <c r="BU105" s="22"/>
      <c r="BV105" s="22" t="s">
        <v>307</v>
      </c>
      <c r="BW105" s="44" t="str">
        <f>IFERROR(VLOOKUP(C105,'спецификация'!B:AA,16,0)," ")</f>
        <v>https://docs.google.com/document/d/1csMkKhoUvGz1TX556M9NJfiXb77YrGGNE6QiB77FUNk/edit?tab=t.0</v>
      </c>
      <c r="BX105" s="43"/>
      <c r="BY105" s="43"/>
      <c r="BZ105" s="45" t="str">
        <f>IFERROR(VLOOKUP(BF105,'спецификация'!D:Y,22,0)," ")</f>
        <v/>
      </c>
      <c r="CA105" s="43"/>
      <c r="CB105" s="43"/>
      <c r="CC105" s="43"/>
      <c r="CD105" s="43"/>
      <c r="CE105" s="43"/>
      <c r="CF105" s="43"/>
      <c r="CG105" s="49">
        <f>IFERROR(VLOOKUP(C105,CC!A:D,4,0)," ")</f>
        <v>120</v>
      </c>
      <c r="CH105" s="22" t="str">
        <f>IFERROR(VLOOKUP(C105,'спецификация'!B:AA,19,0)," ")</f>
        <v>ООО «Марвел 420049, Республика Татарстан, г Казань, ул Павлюхина, д. 99б, помещ. 1027. </v>
      </c>
      <c r="CI105" s="22"/>
      <c r="CJ105" s="22" t="s">
        <v>337</v>
      </c>
      <c r="CK105" s="22">
        <f>IFERROR(VLOOKUP(C105,CC!K:M,3,0)," ")</f>
        <v>60</v>
      </c>
      <c r="CL105" s="43"/>
      <c r="CM105" s="43"/>
      <c r="CN105" s="43"/>
      <c r="CO105" s="43"/>
      <c r="CP105" s="43"/>
      <c r="CQ105" s="43"/>
      <c r="CR105" s="43"/>
      <c r="CS105" s="43" t="b">
        <v>0</v>
      </c>
      <c r="CT105" s="43" t="b">
        <v>0</v>
      </c>
      <c r="CU105" s="43" t="b">
        <v>0</v>
      </c>
      <c r="CV105" s="43" t="b">
        <v>0</v>
      </c>
      <c r="CW105" s="43"/>
      <c r="CX105" s="43"/>
      <c r="CY105" s="43"/>
      <c r="CZ105" s="43"/>
      <c r="DA105" s="43"/>
      <c r="DB105" s="43"/>
      <c r="DC105" s="43"/>
      <c r="DD105" s="22">
        <f>IFERROR(VLOOKUP($C105,'Лист4'!$D:$AI,27,0)," ")</f>
        <v>6</v>
      </c>
      <c r="DE105" s="22">
        <f>IFERROR(VLOOKUP($C105,'Лист4'!$D:$AI,28,0)," ")</f>
        <v>22</v>
      </c>
      <c r="DF105" s="22">
        <f>IFERROR(VLOOKUP($C105,'Лист4'!$D:$AI,29,0)," ")</f>
        <v>6</v>
      </c>
      <c r="DG105" s="22">
        <f t="shared" si="3"/>
        <v>792</v>
      </c>
      <c r="DH105" s="22">
        <f>IFERROR(VLOOKUP($C105,'Лист4'!$D:$AI,32,0)," ")</f>
        <v>0.475</v>
      </c>
      <c r="DI105" s="22"/>
      <c r="DJ105" s="22"/>
      <c r="DK105" s="22"/>
      <c r="DL105" s="22"/>
      <c r="DM105" s="22"/>
      <c r="DN105" s="22"/>
      <c r="DO105" s="22"/>
      <c r="DP105" s="22"/>
      <c r="DQ105" s="22"/>
      <c r="DR105" s="22"/>
      <c r="DS105" s="22"/>
      <c r="DT105" s="22"/>
      <c r="DU105" s="22"/>
      <c r="DV105" s="22"/>
      <c r="DW105" s="22"/>
      <c r="DX105" s="22"/>
      <c r="DY105" s="22"/>
      <c r="DZ105" s="22"/>
      <c r="EA105" s="22"/>
      <c r="EB105" s="22"/>
      <c r="EC105" s="22"/>
      <c r="ED105" s="22"/>
      <c r="EE105" s="22"/>
      <c r="EF105" s="22"/>
      <c r="EG105" s="22"/>
      <c r="EH105" s="22"/>
      <c r="EI105" s="22"/>
      <c r="EJ105" s="22"/>
      <c r="EK105" s="22"/>
      <c r="EL105" s="22"/>
      <c r="EM105" s="43"/>
      <c r="EN105" s="43"/>
      <c r="EO105" s="43"/>
      <c r="EP105" s="43"/>
      <c r="EQ105" s="43"/>
      <c r="ER105" s="43"/>
      <c r="ES105" s="43"/>
      <c r="ET105" s="43"/>
      <c r="EU105" s="43"/>
      <c r="EV105" s="43"/>
      <c r="EW105" s="43"/>
      <c r="EX105" s="43"/>
      <c r="EY105" s="43"/>
      <c r="EZ105" s="43"/>
      <c r="FA105" s="43"/>
      <c r="FB105" s="43"/>
      <c r="FC105" s="43"/>
    </row>
    <row r="106" ht="18.0" customHeight="1">
      <c r="A106" s="2"/>
      <c r="B106" s="22" t="str">
        <f>IFERROR(VLOOKUP(C106,'Реестр'!C:AC,27,0)," ")</f>
        <v>Биг-Л</v>
      </c>
      <c r="C106" s="43" t="s">
        <v>1843</v>
      </c>
      <c r="D106" s="22" t="str">
        <f>IFERROR(VLOOKUP(C106,'Лист4'!D:P,13,0)," ")</f>
        <v>Harly</v>
      </c>
      <c r="E106" s="22" t="str">
        <f>IF(OR(ISERROR(VLOOKUP(C106,'Актуальность'!A:B,2,0)), VLOOKUP(C106,'Актуальность'!A:B,2,0)=""), "Актуальный", VLOOKUP(C106,'Актуальность'!A:B,2,0))</f>
        <v>Актуальный</v>
      </c>
      <c r="F106" s="43" t="str">
        <f>IFERROR(VLOOKUP(C106,'Актуальность'!A:C,3,0)," ")</f>
        <v>Цена поднимаем</v>
      </c>
      <c r="G106" s="43"/>
      <c r="H106" s="22" t="s">
        <v>443</v>
      </c>
      <c r="I106" s="22" t="s">
        <v>1846</v>
      </c>
      <c r="J106" s="43"/>
      <c r="K106" s="43"/>
      <c r="L106" s="22" t="b">
        <f t="shared" ref="L106:R106" si="102">T106&lt;&gt;""</f>
        <v>1</v>
      </c>
      <c r="M106" s="22" t="b">
        <f t="shared" si="102"/>
        <v>1</v>
      </c>
      <c r="N106" s="22" t="b">
        <f t="shared" si="102"/>
        <v>1</v>
      </c>
      <c r="O106" s="22" t="b">
        <f t="shared" si="102"/>
        <v>1</v>
      </c>
      <c r="P106" s="22" t="b">
        <f t="shared" si="102"/>
        <v>0</v>
      </c>
      <c r="Q106" s="22" t="b">
        <f t="shared" si="102"/>
        <v>0</v>
      </c>
      <c r="R106" s="22" t="b">
        <f t="shared" si="102"/>
        <v>0</v>
      </c>
      <c r="S106" s="43"/>
      <c r="T106" s="43" t="str">
        <f>IFERROR(VLOOKUP( C106,'1С'!A:B,2,0)," ")</f>
        <v>HC101100407</v>
      </c>
      <c r="U106" s="22" t="str">
        <f>IFERROR(VLOOKUP(T106,'Лист4'!C:I,3,0)," ")</f>
        <v>harly_catshampoo_250ml</v>
      </c>
      <c r="V106" s="22" t="str">
        <f>IFERROR(VLOOKUP(T106,'Лист4'!C:I,4,0)," ")</f>
        <v>harly_catshampoo_250ml</v>
      </c>
      <c r="W106" s="22" t="str">
        <f>IFERROR(VLOOKUP(T106,'Лист4'!C:I,5,0)," ")</f>
        <v>harly_catshampoo_250ml</v>
      </c>
      <c r="X106" s="43" t="str">
        <f>IFERROR(VLOOKUP(T106,'Лист4'!C:I,7,0)," ")</f>
        <v/>
      </c>
      <c r="Y106" s="43" t="str">
        <f>IFERROR(VLOOKUP(T106,'Лист4'!C:I,6,0)," ")</f>
        <v/>
      </c>
      <c r="Z106" s="43"/>
      <c r="AA106" s="43"/>
      <c r="AB106" s="22">
        <v>3.25209184E8</v>
      </c>
      <c r="AC106" s="22">
        <v>1.873376596E9</v>
      </c>
      <c r="AD106" s="22">
        <v>1.03812561953E11</v>
      </c>
      <c r="AE106" s="22"/>
      <c r="AF106" s="22"/>
      <c r="AG106" s="43"/>
      <c r="AH106" s="43"/>
      <c r="AI106" s="43" t="str">
        <f>IFERROR(VLOOKUP(T106,'1С'!B:C,2,0)," ")</f>
        <v>Шампунь для кошек ,Harly, 250 мл</v>
      </c>
      <c r="AJ106" s="22" t="s">
        <v>1848</v>
      </c>
      <c r="AK106" s="22" t="s">
        <v>1849</v>
      </c>
      <c r="AL106" s="22" t="s">
        <v>1850</v>
      </c>
      <c r="AM106" s="43"/>
      <c r="AN106" s="43"/>
      <c r="AO106" s="43"/>
      <c r="AP106" s="43"/>
      <c r="AQ106" s="46" t="s">
        <v>1851</v>
      </c>
      <c r="AR106" s="46" t="s">
        <v>1852</v>
      </c>
      <c r="AS106" s="46" t="s">
        <v>1853</v>
      </c>
      <c r="AT106" s="43"/>
      <c r="AU106" s="43"/>
      <c r="AV106" s="43"/>
      <c r="AW106" s="43"/>
      <c r="AX106" s="22" t="s">
        <v>634</v>
      </c>
      <c r="AY106" s="22" t="s">
        <v>1849</v>
      </c>
      <c r="AZ106" s="22" t="s">
        <v>1246</v>
      </c>
      <c r="BA106" s="43"/>
      <c r="BB106" s="43"/>
      <c r="BC106" s="43"/>
      <c r="BD106" s="43"/>
      <c r="BE106" s="43"/>
      <c r="BF106" s="22" t="str">
        <f>IFERROR(VLOOKUP(C106,'спецификация'!B:D,3,0)," ")</f>
        <v>4673767781985</v>
      </c>
      <c r="BG106" s="22">
        <v>3.307900008E9</v>
      </c>
      <c r="BH106" s="22" t="str">
        <f>IFERROR(VLOOKUP(C106,'спецификация'!B:AA,5,0)," ")</f>
        <v>ДС</v>
      </c>
      <c r="BI106" s="46" t="s">
        <v>1855</v>
      </c>
      <c r="BJ106" s="22" t="str">
        <f>IFERROR(VLOOKUP(C106,'спецификация'!B:AA,6,0)," ")</f>
        <v>без ЧЗ</v>
      </c>
      <c r="BK106" s="43"/>
      <c r="BL106" s="43"/>
      <c r="BM106" s="22" t="str">
        <f>IFERROR(VLOOKUP(BF106,'спецификация'!D:H,5,0)," ")</f>
        <v>Water (Aqua), Sodium Laureth Sulfate, Cocamidopropyl Betaine, Sodium Chloride, Glycerin, Cocamide DEA, D-Panthenol, Polyquaternium-7, Coco-Glucoside, PEG-40 Hydrogenated Castor Oil, Parfum (Fragrance), Citric Acid, Methylchloroisothiazolinone, Methylisothiazolinone.</v>
      </c>
      <c r="BN106" s="43"/>
      <c r="BO106" s="22" t="s">
        <v>1857</v>
      </c>
      <c r="BP106" s="22" t="s">
        <v>1858</v>
      </c>
      <c r="BQ106" s="22" t="s">
        <v>1841</v>
      </c>
      <c r="BR106" s="22">
        <v>250.0</v>
      </c>
      <c r="BS106" s="22" t="s">
        <v>139</v>
      </c>
      <c r="BT106" s="22"/>
      <c r="BU106" s="22"/>
      <c r="BV106" s="22" t="s">
        <v>307</v>
      </c>
      <c r="BW106" s="44" t="str">
        <f>IFERROR(VLOOKUP(C106,'спецификация'!B:AA,16,0)," ")</f>
        <v>https://docs.google.com/document/d/1248PLuF4pineCUhEkoepVZwVl734Fv42X_UBBqRllvs/edit?tab=t.0</v>
      </c>
      <c r="BX106" s="43"/>
      <c r="BY106" s="43"/>
      <c r="BZ106" s="45" t="str">
        <f>IFERROR(VLOOKUP(BF106,'спецификация'!D:Y,22,0)," ")</f>
        <v/>
      </c>
      <c r="CA106" s="54">
        <v>46044.0</v>
      </c>
      <c r="CB106" s="46" t="s">
        <v>1860</v>
      </c>
      <c r="CC106" s="43"/>
      <c r="CD106" s="43"/>
      <c r="CE106" s="43"/>
      <c r="CF106" s="43"/>
      <c r="CG106" s="49">
        <f>IFERROR(VLOOKUP(C106,CC!A:D,4,0)," ")</f>
        <v>97.27</v>
      </c>
      <c r="CH106" s="22" t="str">
        <f>IFERROR(VLOOKUP(C106,'спецификация'!B:AA,19,0)," ")</f>
        <v>ООО "Батискаф"</v>
      </c>
      <c r="CI106" s="22"/>
      <c r="CJ106" s="22" t="s">
        <v>459</v>
      </c>
      <c r="CK106" s="22">
        <f>IFERROR(VLOOKUP(C106,CC!K:M,3,0)," ")</f>
        <v>45</v>
      </c>
      <c r="CL106" s="43"/>
      <c r="CM106" s="43"/>
      <c r="CN106" s="43"/>
      <c r="CO106" s="43"/>
      <c r="CP106" s="43"/>
      <c r="CQ106" s="43"/>
      <c r="CR106" s="43"/>
      <c r="CS106" s="43" t="b">
        <v>0</v>
      </c>
      <c r="CT106" s="43" t="b">
        <v>0</v>
      </c>
      <c r="CU106" s="43" t="b">
        <v>0</v>
      </c>
      <c r="CV106" s="43" t="b">
        <v>0</v>
      </c>
      <c r="CW106" s="43"/>
      <c r="CX106" s="43"/>
      <c r="CY106" s="43"/>
      <c r="CZ106" s="43"/>
      <c r="DA106" s="43"/>
      <c r="DB106" s="43"/>
      <c r="DC106" s="43"/>
      <c r="DD106" s="22">
        <f>IFERROR(VLOOKUP($C106,'Лист4'!$D:$AI,27,0)," ")</f>
        <v>5</v>
      </c>
      <c r="DE106" s="22">
        <f>IFERROR(VLOOKUP($C106,'Лист4'!$D:$AI,28,0)," ")</f>
        <v>16</v>
      </c>
      <c r="DF106" s="22">
        <f>IFERROR(VLOOKUP($C106,'Лист4'!$D:$AI,29,0)," ")</f>
        <v>5</v>
      </c>
      <c r="DG106" s="22">
        <f t="shared" si="3"/>
        <v>400</v>
      </c>
      <c r="DH106" s="22">
        <f>IFERROR(VLOOKUP($C106,'Лист4'!$D:$AI,32,0)," ")</f>
        <v>0.281</v>
      </c>
      <c r="DI106" s="22"/>
      <c r="DJ106" s="22"/>
      <c r="DK106" s="22"/>
      <c r="DL106" s="22"/>
      <c r="DM106" s="22"/>
      <c r="DN106" s="22"/>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43"/>
      <c r="EN106" s="43"/>
      <c r="EO106" s="43"/>
      <c r="EP106" s="43"/>
      <c r="EQ106" s="43"/>
      <c r="ER106" s="43"/>
      <c r="ES106" s="43"/>
      <c r="ET106" s="43"/>
      <c r="EU106" s="43"/>
      <c r="EV106" s="43"/>
      <c r="EW106" s="43"/>
      <c r="EX106" s="43"/>
      <c r="EY106" s="43"/>
      <c r="EZ106" s="43"/>
      <c r="FA106" s="43"/>
      <c r="FB106" s="43"/>
      <c r="FC106" s="43"/>
    </row>
    <row r="107" ht="18.0" customHeight="1">
      <c r="A107" s="2"/>
      <c r="B107" s="22" t="str">
        <f>IFERROR(VLOOKUP(C107,'Реестр'!C:AC,27,0)," ")</f>
        <v>Биг-Л</v>
      </c>
      <c r="C107" s="43" t="s">
        <v>1861</v>
      </c>
      <c r="D107" s="22" t="str">
        <f>IFERROR(VLOOKUP(C107,'Лист4'!D:P,13,0)," ")</f>
        <v>Harly</v>
      </c>
      <c r="E107" s="22" t="str">
        <f>IF(OR(ISERROR(VLOOKUP(C107,'Актуальность'!A:B,2,0)), VLOOKUP(C107,'Актуальность'!A:B,2,0)=""), "Актуальный", VLOOKUP(C107,'Актуальность'!A:B,2,0))</f>
        <v>Актуальный</v>
      </c>
      <c r="F107" s="43" t="str">
        <f>IFERROR(VLOOKUP(C107,'Актуальность'!A:C,3,0)," ")</f>
        <v/>
      </c>
      <c r="G107" s="43"/>
      <c r="H107" s="22" t="s">
        <v>443</v>
      </c>
      <c r="I107" s="22" t="s">
        <v>1846</v>
      </c>
      <c r="J107" s="43"/>
      <c r="K107" s="43"/>
      <c r="L107" s="22" t="b">
        <f t="shared" ref="L107:R107" si="103">T107&lt;&gt;""</f>
        <v>1</v>
      </c>
      <c r="M107" s="22" t="b">
        <f t="shared" si="103"/>
        <v>1</v>
      </c>
      <c r="N107" s="22" t="b">
        <f t="shared" si="103"/>
        <v>1</v>
      </c>
      <c r="O107" s="22" t="b">
        <f t="shared" si="103"/>
        <v>1</v>
      </c>
      <c r="P107" s="22" t="b">
        <f t="shared" si="103"/>
        <v>0</v>
      </c>
      <c r="Q107" s="22" t="b">
        <f t="shared" si="103"/>
        <v>0</v>
      </c>
      <c r="R107" s="22" t="b">
        <f t="shared" si="103"/>
        <v>0</v>
      </c>
      <c r="S107" s="43"/>
      <c r="T107" s="43" t="str">
        <f>IFERROR(VLOOKUP( C107,'1С'!A:B,2,0)," ")</f>
        <v>HC101100409</v>
      </c>
      <c r="U107" s="22" t="str">
        <f>IFERROR(VLOOKUP(T107,'Лист4'!C:I,3,0)," ")</f>
        <v>harly_shampoo_500ml</v>
      </c>
      <c r="V107" s="22" t="str">
        <f>IFERROR(VLOOKUP(T107,'Лист4'!C:I,4,0)," ")</f>
        <v>harly_shampoo_500ml</v>
      </c>
      <c r="W107" s="22" t="str">
        <f>IFERROR(VLOOKUP(T107,'Лист4'!C:I,5,0)," ")</f>
        <v>harly_shampoo_500ml</v>
      </c>
      <c r="X107" s="43" t="str">
        <f>IFERROR(VLOOKUP(T107,'Лист4'!C:I,7,0)," ")</f>
        <v/>
      </c>
      <c r="Y107" s="43" t="str">
        <f>IFERROR(VLOOKUP(T107,'Лист4'!C:I,6,0)," ")</f>
        <v/>
      </c>
      <c r="Z107" s="43"/>
      <c r="AA107" s="43"/>
      <c r="AB107" s="22">
        <v>2.19926965E8</v>
      </c>
      <c r="AC107" s="22">
        <v>1.503121227E9</v>
      </c>
      <c r="AD107" s="22">
        <v>1.03397002661E11</v>
      </c>
      <c r="AE107" s="22"/>
      <c r="AF107" s="22"/>
      <c r="AG107" s="43"/>
      <c r="AH107" s="43"/>
      <c r="AI107" s="43" t="str">
        <f>IFERROR(VLOOKUP(T107,'1С'!B:C,2,0)," ")</f>
        <v>Шампунь с кондиционером для собак и кошек, Harly, 500 мл</v>
      </c>
      <c r="AJ107" s="22" t="s">
        <v>629</v>
      </c>
      <c r="AK107" s="22" t="s">
        <v>629</v>
      </c>
      <c r="AL107" s="22" t="s">
        <v>630</v>
      </c>
      <c r="AM107" s="43"/>
      <c r="AN107" s="43"/>
      <c r="AO107" s="43"/>
      <c r="AP107" s="43"/>
      <c r="AQ107" s="46" t="s">
        <v>1864</v>
      </c>
      <c r="AR107" s="46" t="s">
        <v>632</v>
      </c>
      <c r="AS107" s="46" t="s">
        <v>633</v>
      </c>
      <c r="AT107" s="43"/>
      <c r="AU107" s="43"/>
      <c r="AV107" s="43"/>
      <c r="AW107" s="43"/>
      <c r="AX107" s="22" t="s">
        <v>634</v>
      </c>
      <c r="AY107" s="22" t="s">
        <v>629</v>
      </c>
      <c r="AZ107" s="22" t="s">
        <v>635</v>
      </c>
      <c r="BA107" s="43"/>
      <c r="BB107" s="43"/>
      <c r="BC107" s="43"/>
      <c r="BD107" s="43"/>
      <c r="BE107" s="43"/>
      <c r="BF107" s="22">
        <f>IFERROR(VLOOKUP(C107,'спецификация'!B:D,3,0)," ")</f>
        <v>4605543012518</v>
      </c>
      <c r="BG107" s="22">
        <v>3.307900008E9</v>
      </c>
      <c r="BH107" s="22" t="str">
        <f>IFERROR(VLOOKUP(C107,'спецификация'!B:AA,5,0)," ")</f>
        <v>Отказное письмо</v>
      </c>
      <c r="BI107" s="46" t="s">
        <v>1866</v>
      </c>
      <c r="BJ107" s="22" t="str">
        <f>IFERROR(VLOOKUP(C107,'спецификация'!B:AA,6,0)," ")</f>
        <v>без ЧЗ</v>
      </c>
      <c r="BK107" s="43"/>
      <c r="BL107" s="43"/>
      <c r="BM107" s="22" t="str">
        <f>IFERROR(VLOOKUP(BF107,'спецификация'!D:H,5,0)," ")</f>
        <v>вода очищенная, натрия лауретсульфат, натрия хлорид, кондиционер поликватерниум, диэтаноламид жирных кислот кокосового масла, глицерин, алкиламидопропилбетаин, консервант, краситель пищевой Е 102.</v>
      </c>
      <c r="BN107" s="43"/>
      <c r="BO107" s="22" t="str">
        <f>IFERROR(VLOOKUP(C107,'спецификация'!B:AA,10,0)," ")</f>
        <v>смочить шерсть животного. Шампунь равномерно распределить по телу и вспенить массирующими движениями. Тщательно смыть тёплой проточной водой. Шерсть высушить и расчесать.</v>
      </c>
      <c r="BP107" s="43" t="str">
        <f>IFERROR(VLOOKUP(C107,'спецификация'!B:AA,11,0)," ")</f>
        <v>избегать попадания средства в глаза, уши, нос и пасть животного. Не использовать для щенков и котят до 3-недельного возраста. </v>
      </c>
      <c r="BQ107" s="22" t="s">
        <v>1841</v>
      </c>
      <c r="BR107" s="22">
        <v>500.0</v>
      </c>
      <c r="BS107" s="22" t="s">
        <v>139</v>
      </c>
      <c r="BT107" s="22"/>
      <c r="BU107" s="22"/>
      <c r="BV107" s="22" t="s">
        <v>307</v>
      </c>
      <c r="BW107" s="44" t="str">
        <f>IFERROR(VLOOKUP(C107,'спецификация'!B:AA,16,0)," ")</f>
        <v>https://docs.google.com/document/d/1GF0wbPZmA-WDLq88OCsd_wfpFDfC7cUY8QEVMeJB8fc/edit?usp=sharing</v>
      </c>
      <c r="BX107" s="43"/>
      <c r="BY107" s="43"/>
      <c r="BZ107" s="45" t="str">
        <f>IFERROR(VLOOKUP(BF107,'спецификация'!D:Y,22,0)," ")</f>
        <v/>
      </c>
      <c r="CA107" s="43"/>
      <c r="CB107" s="43"/>
      <c r="CC107" s="43"/>
      <c r="CD107" s="43"/>
      <c r="CE107" s="43"/>
      <c r="CF107" s="43"/>
      <c r="CG107" s="49">
        <f>IFERROR(VLOOKUP(C107,CC!A:D,4,0)," ")</f>
        <v>79.35</v>
      </c>
      <c r="CH107" s="22" t="str">
        <f>IFERROR(VLOOKUP(C107,'спецификация'!B:AA,19,0)," ")</f>
        <v>ООО "ВЕДА"</v>
      </c>
      <c r="CI107" s="22"/>
      <c r="CJ107" s="22" t="s">
        <v>168</v>
      </c>
      <c r="CK107" s="22">
        <f>IFERROR(VLOOKUP(C107,CC!K:M,3,0)," ")</f>
        <v>30</v>
      </c>
      <c r="CL107" s="43"/>
      <c r="CM107" s="43"/>
      <c r="CN107" s="43"/>
      <c r="CO107" s="43"/>
      <c r="CP107" s="43"/>
      <c r="CQ107" s="43"/>
      <c r="CR107" s="43"/>
      <c r="CS107" s="43" t="b">
        <v>0</v>
      </c>
      <c r="CT107" s="43" t="b">
        <v>0</v>
      </c>
      <c r="CU107" s="43" t="b">
        <v>0</v>
      </c>
      <c r="CV107" s="43" t="b">
        <v>0</v>
      </c>
      <c r="CW107" s="43"/>
      <c r="CX107" s="43"/>
      <c r="CY107" s="43"/>
      <c r="CZ107" s="43"/>
      <c r="DA107" s="43"/>
      <c r="DB107" s="43"/>
      <c r="DC107" s="43"/>
      <c r="DD107" s="22">
        <f>IFERROR(VLOOKUP($C107,'Лист4'!$D:$AI,27,0)," ")</f>
        <v>18</v>
      </c>
      <c r="DE107" s="22">
        <f>IFERROR(VLOOKUP($C107,'Лист4'!$D:$AI,28,0)," ")</f>
        <v>6</v>
      </c>
      <c r="DF107" s="22">
        <f>IFERROR(VLOOKUP($C107,'Лист4'!$D:$AI,29,0)," ")</f>
        <v>18</v>
      </c>
      <c r="DG107" s="22">
        <f t="shared" si="3"/>
        <v>1944</v>
      </c>
      <c r="DH107" s="22">
        <f>IFERROR(VLOOKUP($C107,'Лист4'!$D:$AI,32,0)," ")</f>
        <v>0.55</v>
      </c>
      <c r="DI107" s="22"/>
      <c r="DJ107" s="22"/>
      <c r="DK107" s="22"/>
      <c r="DL107" s="22"/>
      <c r="DM107" s="22"/>
      <c r="DN107" s="22"/>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43"/>
      <c r="EN107" s="43"/>
      <c r="EO107" s="43"/>
      <c r="EP107" s="43"/>
      <c r="EQ107" s="43"/>
      <c r="ER107" s="43"/>
      <c r="ES107" s="43"/>
      <c r="ET107" s="43"/>
      <c r="EU107" s="43"/>
      <c r="EV107" s="43"/>
      <c r="EW107" s="43"/>
      <c r="EX107" s="43"/>
      <c r="EY107" s="43"/>
      <c r="EZ107" s="43"/>
      <c r="FA107" s="43"/>
      <c r="FB107" s="43"/>
      <c r="FC107" s="43"/>
    </row>
    <row r="108" ht="18.0" customHeight="1">
      <c r="A108" s="2"/>
      <c r="B108" s="22" t="str">
        <f>IFERROR(VLOOKUP(C108,'Реестр'!C:AC,27,0)," ")</f>
        <v>Биг-Л</v>
      </c>
      <c r="C108" s="43" t="s">
        <v>1871</v>
      </c>
      <c r="D108" s="22" t="str">
        <f>IFERROR(VLOOKUP(C108,'Лист4'!D:P,13,0)," ")</f>
        <v>Harly</v>
      </c>
      <c r="E108" s="22" t="str">
        <f>IF(OR(ISERROR(VLOOKUP(C108,'Актуальность'!A:B,2,0)), VLOOKUP(C108,'Актуальность'!A:B,2,0)=""), "Актуальный", VLOOKUP(C108,'Актуальность'!A:B,2,0))</f>
        <v>Актуальный</v>
      </c>
      <c r="F108" s="43" t="str">
        <f>IFERROR(VLOOKUP(C108,'Актуальность'!A:C,3,0)," ")</f>
        <v>Цена поднимаем</v>
      </c>
      <c r="G108" s="43"/>
      <c r="H108" s="22" t="s">
        <v>443</v>
      </c>
      <c r="I108" s="22" t="s">
        <v>1873</v>
      </c>
      <c r="J108" s="43"/>
      <c r="K108" s="43"/>
      <c r="L108" s="22" t="b">
        <f t="shared" ref="L108:R108" si="104">T108&lt;&gt;""</f>
        <v>1</v>
      </c>
      <c r="M108" s="22" t="b">
        <f t="shared" si="104"/>
        <v>1</v>
      </c>
      <c r="N108" s="22" t="b">
        <f t="shared" si="104"/>
        <v>1</v>
      </c>
      <c r="O108" s="22" t="b">
        <f t="shared" si="104"/>
        <v>1</v>
      </c>
      <c r="P108" s="22" t="b">
        <f t="shared" si="104"/>
        <v>0</v>
      </c>
      <c r="Q108" s="22" t="b">
        <f t="shared" si="104"/>
        <v>0</v>
      </c>
      <c r="R108" s="22" t="b">
        <f t="shared" si="104"/>
        <v>0</v>
      </c>
      <c r="S108" s="43"/>
      <c r="T108" s="43" t="str">
        <f>IFERROR(VLOOKUP( C108,'1С'!A:B,2,0)," ")</f>
        <v>HC101100408</v>
      </c>
      <c r="U108" s="22" t="str">
        <f>IFERROR(VLOOKUP(T108,'Лист4'!C:I,3,0)," ")</f>
        <v>harly_longhairdog_500ml</v>
      </c>
      <c r="V108" s="22" t="str">
        <f>IFERROR(VLOOKUP(T108,'Лист4'!C:I,4,0)," ")</f>
        <v>harly_longhairdog_500ml</v>
      </c>
      <c r="W108" s="22" t="str">
        <f>IFERROR(VLOOKUP(T108,'Лист4'!C:I,5,0)," ")</f>
        <v>harly_longhairdog_500ml</v>
      </c>
      <c r="X108" s="43" t="str">
        <f>IFERROR(VLOOKUP(T108,'Лист4'!C:I,7,0)," ")</f>
        <v/>
      </c>
      <c r="Y108" s="43" t="str">
        <f>IFERROR(VLOOKUP(T108,'Лист4'!C:I,6,0)," ")</f>
        <v/>
      </c>
      <c r="Z108" s="43"/>
      <c r="AA108" s="43"/>
      <c r="AB108" s="22">
        <v>3.25216323E8</v>
      </c>
      <c r="AC108" s="22">
        <v>1.873383663E9</v>
      </c>
      <c r="AD108" s="22">
        <v>1.03812550678E11</v>
      </c>
      <c r="AE108" s="22"/>
      <c r="AF108" s="22"/>
      <c r="AG108" s="43"/>
      <c r="AH108" s="43"/>
      <c r="AI108" s="43" t="str">
        <f>IFERROR(VLOOKUP(T108,'1С'!B:C,2,0)," ")</f>
        <v>Шампунь длин шерсть для собак ,Harly, 500 мл</v>
      </c>
      <c r="AJ108" s="22" t="s">
        <v>1875</v>
      </c>
      <c r="AK108" s="22" t="s">
        <v>1876</v>
      </c>
      <c r="AL108" s="22" t="s">
        <v>1877</v>
      </c>
      <c r="AM108" s="43"/>
      <c r="AN108" s="43"/>
      <c r="AO108" s="43"/>
      <c r="AP108" s="43"/>
      <c r="AQ108" s="46" t="s">
        <v>1878</v>
      </c>
      <c r="AR108" s="46" t="s">
        <v>1879</v>
      </c>
      <c r="AS108" s="46" t="s">
        <v>1880</v>
      </c>
      <c r="AT108" s="43"/>
      <c r="AU108" s="43"/>
      <c r="AV108" s="43"/>
      <c r="AW108" s="43"/>
      <c r="AX108" s="22" t="s">
        <v>634</v>
      </c>
      <c r="AY108" s="22" t="s">
        <v>1876</v>
      </c>
      <c r="AZ108" s="22" t="s">
        <v>1246</v>
      </c>
      <c r="BA108" s="43"/>
      <c r="BB108" s="43"/>
      <c r="BC108" s="43"/>
      <c r="BD108" s="43"/>
      <c r="BE108" s="43"/>
      <c r="BF108" s="22" t="str">
        <f>IFERROR(VLOOKUP(C108,'спецификация'!B:D,3,0)," ")</f>
        <v>4673767781992</v>
      </c>
      <c r="BG108" s="22">
        <v>3.307900008E9</v>
      </c>
      <c r="BH108" s="22" t="str">
        <f>IFERROR(VLOOKUP(C108,'спецификация'!B:AA,5,0)," ")</f>
        <v>ДС</v>
      </c>
      <c r="BI108" s="46" t="s">
        <v>1882</v>
      </c>
      <c r="BJ108" s="22" t="str">
        <f>IFERROR(VLOOKUP(C108,'спецификация'!B:AA,6,0)," ")</f>
        <v>без ЧЗ</v>
      </c>
      <c r="BK108" s="43"/>
      <c r="BL108" s="43"/>
      <c r="BM108" s="22" t="str">
        <f>IFERROR(VLOOKUP(BF108,'спецификация'!D:H,5,0)," ")</f>
        <v>Water (Aqua), Sodium Laureth Sulfate, Cocamidopropyl Betaine, Sodium Chloride, Glycerin, Cocamide DEA, D-Panthenol, Polyquaternium-7, Coco-Glucoside, PEG-40 Hydrogenated Castor Oil, Parfum (Fragrance), Citric Acid, Methylchloroisothiazolinone, Methylisothiazolinone.</v>
      </c>
      <c r="BN108" s="43"/>
      <c r="BO108" s="22" t="s">
        <v>1857</v>
      </c>
      <c r="BP108" s="22" t="s">
        <v>1858</v>
      </c>
      <c r="BQ108" s="22" t="s">
        <v>1841</v>
      </c>
      <c r="BR108" s="22">
        <v>500.0</v>
      </c>
      <c r="BS108" s="22" t="s">
        <v>139</v>
      </c>
      <c r="BT108" s="22"/>
      <c r="BU108" s="22"/>
      <c r="BV108" s="22" t="s">
        <v>307</v>
      </c>
      <c r="BW108" s="44" t="str">
        <f>IFERROR(VLOOKUP(C108,'спецификация'!B:AA,16,0)," ")</f>
        <v>https://docs.google.com/document/d/1J20-Rj2p4gWtjC1-3uQnp7GVcCvCM8svIF2bHLuzMr8/edit?tab=t.0</v>
      </c>
      <c r="BX108" s="43"/>
      <c r="BY108" s="43"/>
      <c r="BZ108" s="45" t="str">
        <f>IFERROR(VLOOKUP(BF108,'спецификация'!D:Y,22,0)," ")</f>
        <v/>
      </c>
      <c r="CA108" s="43"/>
      <c r="CB108" s="43"/>
      <c r="CC108" s="43"/>
      <c r="CD108" s="43"/>
      <c r="CE108" s="43"/>
      <c r="CF108" s="43"/>
      <c r="CG108" s="49">
        <f>IFERROR(VLOOKUP(C108,CC!A:D,4,0)," ")</f>
        <v>99</v>
      </c>
      <c r="CH108" s="22" t="str">
        <f>IFERROR(VLOOKUP(C108,'спецификация'!B:AA,19,0)," ")</f>
        <v>ООО "Батискаф"</v>
      </c>
      <c r="CI108" s="22"/>
      <c r="CJ108" s="22" t="s">
        <v>459</v>
      </c>
      <c r="CK108" s="22">
        <f>IFERROR(VLOOKUP(C108,CC!K:M,3,0)," ")</f>
        <v>45</v>
      </c>
      <c r="CL108" s="43"/>
      <c r="CM108" s="43"/>
      <c r="CN108" s="43"/>
      <c r="CO108" s="43"/>
      <c r="CP108" s="43"/>
      <c r="CQ108" s="43"/>
      <c r="CR108" s="43"/>
      <c r="CS108" s="43" t="b">
        <v>0</v>
      </c>
      <c r="CT108" s="43" t="b">
        <v>0</v>
      </c>
      <c r="CU108" s="43" t="b">
        <v>0</v>
      </c>
      <c r="CV108" s="43" t="b">
        <v>0</v>
      </c>
      <c r="CW108" s="43"/>
      <c r="CX108" s="43"/>
      <c r="CY108" s="43"/>
      <c r="CZ108" s="43"/>
      <c r="DA108" s="43"/>
      <c r="DB108" s="43"/>
      <c r="DC108" s="43"/>
      <c r="DD108" s="22">
        <f>IFERROR(VLOOKUP($C108,'Лист4'!$D:$AI,27,0)," ")</f>
        <v>7</v>
      </c>
      <c r="DE108" s="22">
        <f>IFERROR(VLOOKUP($C108,'Лист4'!$D:$AI,28,0)," ")</f>
        <v>16</v>
      </c>
      <c r="DF108" s="22">
        <f>IFERROR(VLOOKUP($C108,'Лист4'!$D:$AI,29,0)," ")</f>
        <v>7</v>
      </c>
      <c r="DG108" s="22">
        <f t="shared" si="3"/>
        <v>784</v>
      </c>
      <c r="DH108" s="22">
        <f>IFERROR(VLOOKUP($C108,'Лист4'!$D:$AI,32,0)," ")</f>
        <v>0.55</v>
      </c>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43"/>
      <c r="EN108" s="43"/>
      <c r="EO108" s="43"/>
      <c r="EP108" s="43"/>
      <c r="EQ108" s="43"/>
      <c r="ER108" s="43"/>
      <c r="ES108" s="43"/>
      <c r="ET108" s="43"/>
      <c r="EU108" s="43"/>
      <c r="EV108" s="43"/>
      <c r="EW108" s="43"/>
      <c r="EX108" s="43"/>
      <c r="EY108" s="43"/>
      <c r="EZ108" s="43"/>
      <c r="FA108" s="43"/>
      <c r="FB108" s="43"/>
      <c r="FC108" s="43"/>
    </row>
    <row r="109" ht="18.0" customHeight="1">
      <c r="A109" s="2"/>
      <c r="B109" s="22" t="str">
        <f>IFERROR(VLOOKUP(C109,'Реестр'!C:AC,27,0)," ")</f>
        <v>Биг-Л</v>
      </c>
      <c r="C109" s="43" t="s">
        <v>1884</v>
      </c>
      <c r="D109" s="22" t="str">
        <f>IFERROR(VLOOKUP(C109,'Лист4'!D:P,13,0)," ")</f>
        <v>Harly</v>
      </c>
      <c r="E109" s="22" t="str">
        <f>IF(OR(ISERROR(VLOOKUP(C109,'Актуальность'!A:B,2,0)), VLOOKUP(C109,'Актуальность'!A:B,2,0)=""), "Актуальный", VLOOKUP(C109,'Актуальность'!A:B,2,0))</f>
        <v>Актуальный</v>
      </c>
      <c r="F109" s="43" t="str">
        <f>IFERROR(VLOOKUP(C109,'Актуальность'!A:C,3,0)," ")</f>
        <v/>
      </c>
      <c r="G109" s="43"/>
      <c r="H109" s="22" t="s">
        <v>443</v>
      </c>
      <c r="I109" s="22" t="s">
        <v>1886</v>
      </c>
      <c r="J109" s="43"/>
      <c r="K109" s="43"/>
      <c r="L109" s="22" t="b">
        <f t="shared" ref="L109:R109" si="105">T109&lt;&gt;""</f>
        <v>1</v>
      </c>
      <c r="M109" s="22" t="b">
        <f t="shared" si="105"/>
        <v>1</v>
      </c>
      <c r="N109" s="22" t="b">
        <f t="shared" si="105"/>
        <v>1</v>
      </c>
      <c r="O109" s="22" t="b">
        <f t="shared" si="105"/>
        <v>1</v>
      </c>
      <c r="P109" s="22" t="b">
        <f t="shared" si="105"/>
        <v>0</v>
      </c>
      <c r="Q109" s="22" t="b">
        <f t="shared" si="105"/>
        <v>0</v>
      </c>
      <c r="R109" s="22" t="b">
        <f t="shared" si="105"/>
        <v>0</v>
      </c>
      <c r="S109" s="43"/>
      <c r="T109" s="43" t="str">
        <f>IFERROR(VLOOKUP( C109,'1С'!A:B,2,0)," ")</f>
        <v>HC101100410</v>
      </c>
      <c r="U109" s="22" t="str">
        <f>IFERROR(VLOOKUP(T109,'Лист4'!C:I,3,0)," ")</f>
        <v>harly_shampoo_blohi_500ml</v>
      </c>
      <c r="V109" s="22" t="str">
        <f>IFERROR(VLOOKUP(T109,'Лист4'!C:I,4,0)," ")</f>
        <v>harly_shampoo_blohi_500ml</v>
      </c>
      <c r="W109" s="22" t="str">
        <f>IFERROR(VLOOKUP(T109,'Лист4'!C:I,5,0)," ")</f>
        <v>harly_shampoo_blohi_500ml</v>
      </c>
      <c r="X109" s="43" t="str">
        <f>IFERROR(VLOOKUP(T109,'Лист4'!C:I,7,0)," ")</f>
        <v/>
      </c>
      <c r="Y109" s="43" t="str">
        <f>IFERROR(VLOOKUP(T109,'Лист4'!C:I,6,0)," ")</f>
        <v/>
      </c>
      <c r="Z109" s="43"/>
      <c r="AA109" s="43"/>
      <c r="AB109" s="22">
        <v>2.55212157E8</v>
      </c>
      <c r="AC109" s="22">
        <v>1.703618254E9</v>
      </c>
      <c r="AD109" s="22">
        <v>1.03536273553E11</v>
      </c>
      <c r="AE109" s="22"/>
      <c r="AF109" s="22"/>
      <c r="AG109" s="43"/>
      <c r="AH109" s="43"/>
      <c r="AI109" s="43" t="str">
        <f>IFERROR(VLOOKUP(T109,'1С'!B:C,2,0)," ")</f>
        <v>Шампунь  от блох и клещей для собак ,Harly, 500 мл</v>
      </c>
      <c r="AJ109" s="22" t="s">
        <v>1888</v>
      </c>
      <c r="AK109" s="22" t="s">
        <v>1889</v>
      </c>
      <c r="AL109" s="22" t="s">
        <v>1890</v>
      </c>
      <c r="AM109" s="43"/>
      <c r="AN109" s="43"/>
      <c r="AO109" s="43"/>
      <c r="AP109" s="43"/>
      <c r="AQ109" s="46" t="s">
        <v>1891</v>
      </c>
      <c r="AR109" s="46" t="s">
        <v>1892</v>
      </c>
      <c r="AS109" s="46" t="s">
        <v>1893</v>
      </c>
      <c r="AT109" s="43"/>
      <c r="AU109" s="43"/>
      <c r="AV109" s="43"/>
      <c r="AW109" s="43"/>
      <c r="AX109" s="22" t="s">
        <v>634</v>
      </c>
      <c r="AY109" s="22" t="s">
        <v>1889</v>
      </c>
      <c r="AZ109" s="22" t="s">
        <v>635</v>
      </c>
      <c r="BA109" s="43"/>
      <c r="BB109" s="43"/>
      <c r="BC109" s="43"/>
      <c r="BD109" s="43"/>
      <c r="BE109" s="43"/>
      <c r="BF109" s="22" t="str">
        <f>IFERROR(VLOOKUP(C109,'спецификация'!B:D,3,0)," ")</f>
        <v>4673767780032</v>
      </c>
      <c r="BG109" s="22">
        <v>3.307900008E9</v>
      </c>
      <c r="BH109" s="22" t="str">
        <f>IFERROR(VLOOKUP(C109,'спецификация'!B:AA,5,0)," ")</f>
        <v>ДС</v>
      </c>
      <c r="BI109" s="46" t="s">
        <v>1895</v>
      </c>
      <c r="BJ109" s="22" t="str">
        <f>IFERROR(VLOOKUP(C109,'спецификация'!B:AA,6,0)," ")</f>
        <v>без ЧЗ</v>
      </c>
      <c r="BK109" s="43"/>
      <c r="BL109" s="43"/>
      <c r="BM109" s="22" t="str">
        <f>IFERROR(VLOOKUP(BF109,'спецификация'!D:H,5,0)," ")</f>
        <v>Water (Aqua), Sodium Laureth Sulfate, Glycerin, Cocamidopropyl Betaine, Coco-Glucoside, Cocamide DEA, Sodium Chloride, PEG-40 Hydrogenated Castor Oil, Citronella (Cymbopogon nardus) Leaves Essential Oil, Melaleuca alternifolia (tea tree) essential oil, Citric Acid, Methylchloroisothiazolinone, Methylisothiazolinone</v>
      </c>
      <c r="BN109" s="43"/>
      <c r="BO109" s="22" t="s">
        <v>1857</v>
      </c>
      <c r="BP109" s="22" t="s">
        <v>1858</v>
      </c>
      <c r="BQ109" s="22" t="s">
        <v>1841</v>
      </c>
      <c r="BR109" s="22">
        <v>500.0</v>
      </c>
      <c r="BS109" s="22" t="s">
        <v>139</v>
      </c>
      <c r="BT109" s="22"/>
      <c r="BU109" s="22"/>
      <c r="BV109" s="22" t="s">
        <v>307</v>
      </c>
      <c r="BW109" s="44" t="str">
        <f>IFERROR(VLOOKUP(C109,'спецификация'!B:AA,16,0)," ")</f>
        <v>https://docs.google.com/document/d/1nNWgUP77IDTzI8-4I1ktj1bAQndVFfTxh3HCpd8ANB0/edit</v>
      </c>
      <c r="BX109" s="43"/>
      <c r="BY109" s="43"/>
      <c r="BZ109" s="45" t="str">
        <f>IFERROR(VLOOKUP(BF109,'спецификация'!D:Y,22,0)," ")</f>
        <v/>
      </c>
      <c r="CA109" s="54">
        <v>46044.0</v>
      </c>
      <c r="CB109" s="46" t="s">
        <v>1898</v>
      </c>
      <c r="CC109" s="43"/>
      <c r="CD109" s="43"/>
      <c r="CE109" s="43"/>
      <c r="CF109" s="43"/>
      <c r="CG109" s="49">
        <f>IFERROR(VLOOKUP(C109,CC!A:D,4,0)," ")</f>
        <v>99.47</v>
      </c>
      <c r="CH109" s="22" t="str">
        <f>IFERROR(VLOOKUP(C109,'спецификация'!B:AA,19,0)," ")</f>
        <v>ООО "Батискаф"</v>
      </c>
      <c r="CI109" s="22"/>
      <c r="CJ109" s="22" t="s">
        <v>459</v>
      </c>
      <c r="CK109" s="22">
        <f>IFERROR(VLOOKUP(C109,CC!K:M,3,0)," ")</f>
        <v>45</v>
      </c>
      <c r="CL109" s="43"/>
      <c r="CM109" s="43"/>
      <c r="CN109" s="43"/>
      <c r="CO109" s="43"/>
      <c r="CP109" s="43"/>
      <c r="CQ109" s="43"/>
      <c r="CR109" s="43"/>
      <c r="CS109" s="43" t="b">
        <v>0</v>
      </c>
      <c r="CT109" s="43" t="b">
        <v>0</v>
      </c>
      <c r="CU109" s="43" t="b">
        <v>0</v>
      </c>
      <c r="CV109" s="43" t="b">
        <v>0</v>
      </c>
      <c r="CW109" s="43"/>
      <c r="CX109" s="43"/>
      <c r="CY109" s="43"/>
      <c r="CZ109" s="43"/>
      <c r="DA109" s="43"/>
      <c r="DB109" s="43"/>
      <c r="DC109" s="43"/>
      <c r="DD109" s="22">
        <f>IFERROR(VLOOKUP($C109,'Лист4'!$D:$AI,27,0)," ")</f>
        <v>8</v>
      </c>
      <c r="DE109" s="22">
        <f>IFERROR(VLOOKUP($C109,'Лист4'!$D:$AI,28,0)," ")</f>
        <v>16</v>
      </c>
      <c r="DF109" s="22">
        <f>IFERROR(VLOOKUP($C109,'Лист4'!$D:$AI,29,0)," ")</f>
        <v>8</v>
      </c>
      <c r="DG109" s="22">
        <f t="shared" si="3"/>
        <v>1024</v>
      </c>
      <c r="DH109" s="22">
        <f>IFERROR(VLOOKUP($C109,'Лист4'!$D:$AI,32,0)," ")</f>
        <v>0.55</v>
      </c>
      <c r="DI109" s="22"/>
      <c r="DJ109" s="22"/>
      <c r="DK109" s="22"/>
      <c r="DL109" s="22"/>
      <c r="DM109" s="22"/>
      <c r="DN109" s="22"/>
      <c r="DO109" s="22"/>
      <c r="DP109" s="22"/>
      <c r="DQ109" s="22"/>
      <c r="DR109" s="22"/>
      <c r="DS109" s="22"/>
      <c r="DT109" s="22"/>
      <c r="DU109" s="22"/>
      <c r="DV109" s="22"/>
      <c r="DW109" s="22"/>
      <c r="DX109" s="22"/>
      <c r="DY109" s="22"/>
      <c r="DZ109" s="22"/>
      <c r="EA109" s="22"/>
      <c r="EB109" s="22"/>
      <c r="EC109" s="22"/>
      <c r="ED109" s="22"/>
      <c r="EE109" s="22"/>
      <c r="EF109" s="22"/>
      <c r="EG109" s="22"/>
      <c r="EH109" s="22"/>
      <c r="EI109" s="22"/>
      <c r="EJ109" s="22"/>
      <c r="EK109" s="22"/>
      <c r="EL109" s="22"/>
      <c r="EM109" s="43"/>
      <c r="EN109" s="43"/>
      <c r="EO109" s="43"/>
      <c r="EP109" s="43"/>
      <c r="EQ109" s="43"/>
      <c r="ER109" s="43"/>
      <c r="ES109" s="43"/>
      <c r="ET109" s="43"/>
      <c r="EU109" s="43"/>
      <c r="EV109" s="43"/>
      <c r="EW109" s="43"/>
      <c r="EX109" s="43"/>
      <c r="EY109" s="43"/>
      <c r="EZ109" s="43"/>
      <c r="FA109" s="43"/>
      <c r="FB109" s="43"/>
      <c r="FC109" s="43"/>
    </row>
    <row r="110" ht="18.0" customHeight="1">
      <c r="A110" s="2"/>
      <c r="B110" s="22" t="str">
        <f>IFERROR(VLOOKUP(C110,'Реестр'!C:AC,27,0)," ")</f>
        <v>Биг-Л</v>
      </c>
      <c r="C110" s="43" t="s">
        <v>1899</v>
      </c>
      <c r="D110" s="22" t="str">
        <f>IFERROR(VLOOKUP(C110,'Лист4'!D:P,13,0)," ")</f>
        <v>qeep</v>
      </c>
      <c r="E110" s="22" t="str">
        <f>IF(OR(ISERROR(VLOOKUP(C110,'Актуальность'!A:B,2,0)), VLOOKUP(C110,'Актуальность'!A:B,2,0)=""), "Актуальный", VLOOKUP(C110,'Актуальность'!A:B,2,0))</f>
        <v>Вывод</v>
      </c>
      <c r="F110" s="43" t="str">
        <f>IFERROR(VLOOKUP(C110,'Актуальность'!A:C,3,0)," ")</f>
        <v>Старый артикул</v>
      </c>
      <c r="G110" s="43"/>
      <c r="H110" s="22"/>
      <c r="I110" s="22"/>
      <c r="J110" s="43"/>
      <c r="K110" s="43"/>
      <c r="L110" s="22" t="b">
        <f t="shared" ref="L110:R110" si="106">T110&lt;&gt;""</f>
        <v>1</v>
      </c>
      <c r="M110" s="22" t="b">
        <f t="shared" si="106"/>
        <v>1</v>
      </c>
      <c r="N110" s="22" t="b">
        <f t="shared" si="106"/>
        <v>1</v>
      </c>
      <c r="O110" s="22" t="b">
        <f t="shared" si="106"/>
        <v>0</v>
      </c>
      <c r="P110" s="22" t="b">
        <f t="shared" si="106"/>
        <v>0</v>
      </c>
      <c r="Q110" s="22" t="b">
        <f t="shared" si="106"/>
        <v>0</v>
      </c>
      <c r="R110" s="22" t="b">
        <f t="shared" si="106"/>
        <v>0</v>
      </c>
      <c r="S110" s="43"/>
      <c r="T110" s="43" t="str">
        <f>IFERROR(VLOOKUP( C110,'1С'!A:B,2,0)," ")</f>
        <v>QB101100428</v>
      </c>
      <c r="U110" s="22" t="str">
        <f>IFERROR(VLOOKUP(T110,'Лист4'!C:I,3,0)," ")</f>
        <v>qeep_kidsvitamins_60tabs</v>
      </c>
      <c r="V110" s="22" t="str">
        <f>IFERROR(VLOOKUP(T110,'Лист4'!C:I,4,0)," ")</f>
        <v>qeep_kidsvitamins_60tabs</v>
      </c>
      <c r="W110" s="22" t="str">
        <f>IFERROR(VLOOKUP(T110,'Лист4'!C:I,5,0)," ")</f>
        <v/>
      </c>
      <c r="X110" s="43" t="str">
        <f>IFERROR(VLOOKUP(T110,'Лист4'!C:I,7,0)," ")</f>
        <v/>
      </c>
      <c r="Y110" s="43" t="str">
        <f>IFERROR(VLOOKUP(T110,'Лист4'!C:I,6,0)," ")</f>
        <v/>
      </c>
      <c r="Z110" s="43"/>
      <c r="AA110" s="43"/>
      <c r="AB110" s="22">
        <v>2.32462E8</v>
      </c>
      <c r="AC110" s="22">
        <v>1.581800376E9</v>
      </c>
      <c r="AD110" s="22"/>
      <c r="AE110" s="22"/>
      <c r="AF110" s="22"/>
      <c r="AG110" s="43"/>
      <c r="AH110" s="43"/>
      <c r="AI110" s="43" t="str">
        <f>IFERROR(VLOOKUP(T110,'1С'!B:C,2,0)," ")</f>
        <v>БАД для детей ,qeep, 60 жевательных таблеток</v>
      </c>
      <c r="AJ110" s="22" t="s">
        <v>1902</v>
      </c>
      <c r="AK110" s="22" t="s">
        <v>1903</v>
      </c>
      <c r="AL110" s="43"/>
      <c r="AM110" s="43"/>
      <c r="AN110" s="43"/>
      <c r="AO110" s="43"/>
      <c r="AP110" s="43"/>
      <c r="AQ110" s="46" t="s">
        <v>1904</v>
      </c>
      <c r="AR110" s="46" t="s">
        <v>1905</v>
      </c>
      <c r="AS110" s="43"/>
      <c r="AT110" s="43"/>
      <c r="AU110" s="43"/>
      <c r="AV110" s="43"/>
      <c r="AW110" s="43"/>
      <c r="AX110" s="22" t="s">
        <v>361</v>
      </c>
      <c r="AY110" s="22" t="s">
        <v>1903</v>
      </c>
      <c r="AZ110" s="43"/>
      <c r="BA110" s="43"/>
      <c r="BB110" s="43"/>
      <c r="BC110" s="43"/>
      <c r="BD110" s="43"/>
      <c r="BE110" s="43"/>
      <c r="BF110" s="22">
        <f>IFERROR(VLOOKUP(C110,'спецификация'!B:D,3,0)," ")</f>
        <v>4680169562692</v>
      </c>
      <c r="BG110" s="22">
        <v>2.106909808E9</v>
      </c>
      <c r="BH110" s="22" t="str">
        <f>IFERROR(VLOOKUP(C110,'спецификация'!B:AA,5,0)," ")</f>
        <v>AM.01.48.01.003.R.000137.05.23 от 19.05.2023</v>
      </c>
      <c r="BI110" s="22"/>
      <c r="BJ110" s="22" t="str">
        <f>IFERROR(VLOOKUP(C110,'спецификация'!B:AA,6,0)," ")</f>
        <v>ЧЗ</v>
      </c>
      <c r="BK110" s="43"/>
      <c r="BL110" s="43"/>
      <c r="BM110" s="22" t="str">
        <f>IFERROR(VLOOKUP(BF110,'спецификация'!D:H,5,0)," ")</f>
        <v>L-аскорбиновая кислота, цитрат цинка, ароматизатор натуральный «Тутти-фрутти», витамин Е (токоферола ацетат), витамин РР (никотинамид), стеариновая кислота (носитель), витамин А (ретинола ацетат), витамин D3 (холекальциферол), пантотеновая кислота (D-пантотенат кальция), витамин В12 (цианокобаламин), кальциевая соль стеариновой кислоты (антислеживающий агент), витамин В6 (пиридоксина гидрохлорид), витамин В1 (тиамина гидрохлорид), витамин В2 (рибофлавин), калия йодид, фолиевая кислота, селеноксантен (9-фенил-симм-октагидроселеноксантен), глюкоза.</v>
      </c>
      <c r="BN110" s="43"/>
      <c r="BO110" s="22" t="str">
        <f>IFERROR(VLOOKUP(C110,'спецификация'!B:AA,10,0)," ")</f>
        <v>детям старше 3 лет по 1 таблетке в день. Таблетки можно разжевывать или рассасывать и принимать во время еды.</v>
      </c>
      <c r="BP110" s="43" t="str">
        <f>IFERROR(VLOOKUP(C110,'спецификация'!B:AA,11,0)," ")</f>
        <v>индивидуальная непереносимость компонентов продукта. Перед применением рекомендуется проконсультироваться с врачом-педиатром.</v>
      </c>
      <c r="BQ110" s="22" t="str">
        <f>IFERROR(VLOOKUP(C110,'спецификация'!B:AA,12,0)," ")</f>
        <v>хранить в сухом, защищенном от прямых солнечных лучей и недоступном для детей месте при температуре не выше 25°С.</v>
      </c>
      <c r="BR110" s="22">
        <v>60.0</v>
      </c>
      <c r="BS110" s="22" t="s">
        <v>492</v>
      </c>
      <c r="BT110" s="43"/>
      <c r="BU110" s="22"/>
      <c r="BV110" s="22" t="s">
        <v>307</v>
      </c>
      <c r="BW110" s="44" t="str">
        <f>IFERROR(VLOOKUP(C110,'спецификация'!B:AA,16,0)," ")</f>
        <v>https://docs.google.com/document/d/1gHaKnniJxts4nbC0-Xl1J-EwWEhdXaYcFzp6-3BX-5o/edit</v>
      </c>
      <c r="BX110" s="43"/>
      <c r="BY110" s="43"/>
      <c r="BZ110" s="45" t="str">
        <f>IFERROR(VLOOKUP(BF110,'спецификация'!D:Y,22,0)," ")</f>
        <v/>
      </c>
      <c r="CA110" s="43"/>
      <c r="CB110" s="43"/>
      <c r="CC110" s="43"/>
      <c r="CD110" s="43"/>
      <c r="CE110" s="43"/>
      <c r="CF110" s="43"/>
      <c r="CG110" s="49">
        <f>IFERROR(VLOOKUP(C110,CC!A:D,4,0)," ")</f>
        <v>172</v>
      </c>
      <c r="CH110" s="22" t="str">
        <f>IFERROR(VLOOKUP(C110,'спецификация'!B:AA,19,0)," ")</f>
        <v>ООО «Полярис», Россия, 183001, г. Мурманск, Рыбный порт, причал №1, тел. 8-800-2222-106. Система менеджмента безопасности пищевых продуктов сертифицирована на соответствие ИСО 22000 Ассоциацией по сертификации «Русский Регистр».</v>
      </c>
      <c r="CI110" s="22"/>
      <c r="CJ110" s="22" t="s">
        <v>1913</v>
      </c>
      <c r="CK110" s="22">
        <f>IFERROR(VLOOKUP(C110,CC!K:M,3,0)," ")</f>
        <v>90</v>
      </c>
      <c r="CL110" s="43"/>
      <c r="CM110" s="43"/>
      <c r="CN110" s="43"/>
      <c r="CO110" s="43"/>
      <c r="CP110" s="43"/>
      <c r="CQ110" s="43"/>
      <c r="CR110" s="43"/>
      <c r="CS110" s="43" t="b">
        <v>0</v>
      </c>
      <c r="CT110" s="43" t="b">
        <v>0</v>
      </c>
      <c r="CU110" s="43" t="b">
        <v>0</v>
      </c>
      <c r="CV110" s="43" t="b">
        <v>0</v>
      </c>
      <c r="CW110" s="43"/>
      <c r="CX110" s="43"/>
      <c r="CY110" s="43"/>
      <c r="CZ110" s="43"/>
      <c r="DA110" s="43"/>
      <c r="DB110" s="43"/>
      <c r="DC110" s="43"/>
      <c r="DD110" s="22">
        <f>IFERROR(VLOOKUP($C110,'Лист4'!$D:$AI,27,0)," ")</f>
        <v>5</v>
      </c>
      <c r="DE110" s="22">
        <f>IFERROR(VLOOKUP($C110,'Лист4'!$D:$AI,28,0)," ")</f>
        <v>5</v>
      </c>
      <c r="DF110" s="22">
        <f>IFERROR(VLOOKUP($C110,'Лист4'!$D:$AI,29,0)," ")</f>
        <v>5</v>
      </c>
      <c r="DG110" s="22">
        <f t="shared" si="3"/>
        <v>125</v>
      </c>
      <c r="DH110" s="22">
        <f>IFERROR(VLOOKUP($C110,'Лист4'!$D:$AI,32,0)," ")</f>
        <v>0.05</v>
      </c>
      <c r="DI110" s="22"/>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43"/>
      <c r="EN110" s="43"/>
      <c r="EO110" s="43"/>
      <c r="EP110" s="43"/>
      <c r="EQ110" s="43"/>
      <c r="ER110" s="43"/>
      <c r="ES110" s="43"/>
      <c r="ET110" s="43"/>
      <c r="EU110" s="43"/>
      <c r="EV110" s="43"/>
      <c r="EW110" s="43"/>
      <c r="EX110" s="43"/>
      <c r="EY110" s="43"/>
      <c r="EZ110" s="43"/>
      <c r="FA110" s="43"/>
      <c r="FB110" s="43"/>
      <c r="FC110" s="43"/>
    </row>
    <row r="111" ht="18.0" customHeight="1">
      <c r="A111" s="2"/>
      <c r="B111" s="22" t="str">
        <f>IFERROR(VLOOKUP(C111,'Реестр'!C:AC,27,0)," ")</f>
        <v>Биг-Л</v>
      </c>
      <c r="C111" s="43" t="s">
        <v>1914</v>
      </c>
      <c r="D111" s="22" t="str">
        <f>IFERROR(VLOOKUP(C111,'Лист4'!D:P,13,0)," ")</f>
        <v>qeep</v>
      </c>
      <c r="E111" s="22" t="str">
        <f>IF(OR(ISERROR(VLOOKUP(C111,'Актуальность'!A:B,2,0)), VLOOKUP(C111,'Актуальность'!A:B,2,0)=""), "Актуальный", VLOOKUP(C111,'Актуальность'!A:B,2,0))</f>
        <v>Вывод</v>
      </c>
      <c r="F111" s="43" t="str">
        <f>IFERROR(VLOOKUP(C111,'Актуальность'!A:C,3,0)," ")</f>
        <v>Старый артикул</v>
      </c>
      <c r="G111" s="43"/>
      <c r="H111" s="22"/>
      <c r="I111" s="22"/>
      <c r="J111" s="43"/>
      <c r="K111" s="43"/>
      <c r="L111" s="22" t="b">
        <f t="shared" ref="L111:R111" si="107">T111&lt;&gt;""</f>
        <v>1</v>
      </c>
      <c r="M111" s="22" t="b">
        <f t="shared" si="107"/>
        <v>1</v>
      </c>
      <c r="N111" s="22" t="b">
        <f t="shared" si="107"/>
        <v>1</v>
      </c>
      <c r="O111" s="22" t="b">
        <f t="shared" si="107"/>
        <v>1</v>
      </c>
      <c r="P111" s="22" t="b">
        <f t="shared" si="107"/>
        <v>0</v>
      </c>
      <c r="Q111" s="22" t="b">
        <f t="shared" si="107"/>
        <v>0</v>
      </c>
      <c r="R111" s="22" t="b">
        <f t="shared" si="107"/>
        <v>0</v>
      </c>
      <c r="S111" s="43"/>
      <c r="T111" s="43" t="str">
        <f>IFERROR(VLOOKUP( C111,'1С'!A:B,2,0)," ")</f>
        <v>QB101100430</v>
      </c>
      <c r="U111" s="22" t="str">
        <f>IFERROR(VLOOKUP(T111,'Лист4'!C:I,3,0)," ")</f>
        <v>qeep_manbox</v>
      </c>
      <c r="V111" s="22" t="str">
        <f>IFERROR(VLOOKUP(T111,'Лист4'!C:I,4,0)," ")</f>
        <v>qeep_manbox</v>
      </c>
      <c r="W111" s="22" t="str">
        <f>IFERROR(VLOOKUP(T111,'Лист4'!C:I,5,0)," ")</f>
        <v>qeep_manbox</v>
      </c>
      <c r="X111" s="43" t="str">
        <f>IFERROR(VLOOKUP(T111,'Лист4'!C:I,7,0)," ")</f>
        <v/>
      </c>
      <c r="Y111" s="43" t="str">
        <f>IFERROR(VLOOKUP(T111,'Лист4'!C:I,6,0)," ")</f>
        <v/>
      </c>
      <c r="Z111" s="43"/>
      <c r="AA111" s="43"/>
      <c r="AB111" s="22">
        <v>2.94499466E8</v>
      </c>
      <c r="AC111" s="22">
        <v>1.773345751E9</v>
      </c>
      <c r="AD111" s="22">
        <v>1.0366549006E11</v>
      </c>
      <c r="AE111" s="22"/>
      <c r="AF111" s="22"/>
      <c r="AG111" s="43"/>
      <c r="AH111" s="43"/>
      <c r="AI111" s="43" t="str">
        <f>IFERROR(VLOOKUP(T111,'1С'!B:C,2,0)," ")</f>
        <v>БАД для мужчин ,qeep, набор</v>
      </c>
      <c r="AJ111" s="22" t="s">
        <v>1917</v>
      </c>
      <c r="AK111" s="22" t="s">
        <v>1918</v>
      </c>
      <c r="AL111" s="22" t="s">
        <v>1919</v>
      </c>
      <c r="AM111" s="43"/>
      <c r="AN111" s="43"/>
      <c r="AO111" s="43"/>
      <c r="AP111" s="43"/>
      <c r="AQ111" s="46" t="s">
        <v>1920</v>
      </c>
      <c r="AR111" s="46" t="s">
        <v>1921</v>
      </c>
      <c r="AS111" s="46" t="s">
        <v>1922</v>
      </c>
      <c r="AT111" s="43"/>
      <c r="AU111" s="43"/>
      <c r="AV111" s="43"/>
      <c r="AW111" s="43"/>
      <c r="AX111" s="22" t="s">
        <v>1763</v>
      </c>
      <c r="AY111" s="22" t="s">
        <v>1918</v>
      </c>
      <c r="AZ111" s="22" t="s">
        <v>372</v>
      </c>
      <c r="BA111" s="43"/>
      <c r="BB111" s="43"/>
      <c r="BC111" s="43"/>
      <c r="BD111" s="43"/>
      <c r="BE111" s="43"/>
      <c r="BF111" s="22" t="str">
        <f>IFERROR(VLOOKUP(C111,'спецификация'!B:D,3,0)," ")</f>
        <v>4680201379677</v>
      </c>
      <c r="BG111" s="22">
        <v>2.106909808E9</v>
      </c>
      <c r="BH111" s="22" t="str">
        <f>IFERROR(VLOOKUP(C111,'спецификация'!B:AA,5,0)," ")</f>
        <v/>
      </c>
      <c r="BI111" s="22"/>
      <c r="BJ111" s="22" t="str">
        <f>IFERROR(VLOOKUP(C111,'спецификация'!B:AA,6,0)," ")</f>
        <v>без ЧЗ</v>
      </c>
      <c r="BK111" s="43"/>
      <c r="BL111" s="43"/>
      <c r="BM111" s="22" t="str">
        <f>IFERROR(VLOOKUP(BF111,'спецификация'!D:H,5,0)," ")</f>
        <v>qeep_Perfectman_60caps qeep_creatine_300g qeep_glutamine_90caps</v>
      </c>
      <c r="BN111" s="43"/>
      <c r="BO111" s="22" t="str">
        <f>IFERROR(VLOOKUP(C111,'спецификация'!B:AA,10,0)," ")</f>
        <v/>
      </c>
      <c r="BP111" s="43" t="str">
        <f>IFERROR(VLOOKUP(C111,'спецификация'!B:AA,11,0)," ")</f>
        <v/>
      </c>
      <c r="BQ111" s="22" t="str">
        <f>IFERROR(VLOOKUP(C111,'спецификация'!B:AA,12,0)," ")</f>
        <v/>
      </c>
      <c r="BR111" s="22"/>
      <c r="BS111" s="43"/>
      <c r="BT111" s="43"/>
      <c r="BU111" s="22"/>
      <c r="BV111" s="22"/>
      <c r="BW111" s="45" t="str">
        <f>IFERROR(VLOOKUP(C111,'спецификация'!B:AA,16,0)," ")</f>
        <v/>
      </c>
      <c r="BX111" s="43"/>
      <c r="BY111" s="43"/>
      <c r="BZ111" s="45" t="str">
        <f>IFERROR(VLOOKUP(BF111,'спецификация'!D:Y,22,0)," ")</f>
        <v/>
      </c>
      <c r="CA111" s="43"/>
      <c r="CB111" s="43"/>
      <c r="CC111" s="43"/>
      <c r="CD111" s="43"/>
      <c r="CE111" s="43"/>
      <c r="CF111" s="43"/>
      <c r="CG111" s="49">
        <f>IFERROR(VLOOKUP(C111,CC!A:D,4,0)," ")</f>
        <v>862</v>
      </c>
      <c r="CH111" s="22" t="str">
        <f>IFERROR(VLOOKUP(C111,'спецификация'!B:AA,19,0)," ")</f>
        <v/>
      </c>
      <c r="CI111" s="22"/>
      <c r="CJ111" s="43"/>
      <c r="CK111" s="22">
        <f>IFERROR(VLOOKUP(C111,CC!K:M,3,0)," ")</f>
        <v>90</v>
      </c>
      <c r="CL111" s="43"/>
      <c r="CM111" s="43"/>
      <c r="CN111" s="43"/>
      <c r="CO111" s="43"/>
      <c r="CP111" s="43"/>
      <c r="CQ111" s="43"/>
      <c r="CR111" s="43"/>
      <c r="CS111" s="43" t="b">
        <v>0</v>
      </c>
      <c r="CT111" s="43" t="b">
        <v>0</v>
      </c>
      <c r="CU111" s="43" t="b">
        <v>0</v>
      </c>
      <c r="CV111" s="43" t="b">
        <v>0</v>
      </c>
      <c r="CW111" s="43"/>
      <c r="CX111" s="43"/>
      <c r="CY111" s="43"/>
      <c r="CZ111" s="43"/>
      <c r="DA111" s="43"/>
      <c r="DB111" s="43"/>
      <c r="DC111" s="43"/>
      <c r="DD111" s="22">
        <f>IFERROR(VLOOKUP($C111,'Лист4'!$D:$AI,27,0)," ")</f>
        <v>23</v>
      </c>
      <c r="DE111" s="22">
        <f>IFERROR(VLOOKUP($C111,'Лист4'!$D:$AI,28,0)," ")</f>
        <v>15</v>
      </c>
      <c r="DF111" s="22">
        <f>IFERROR(VLOOKUP($C111,'Лист4'!$D:$AI,29,0)," ")</f>
        <v>23</v>
      </c>
      <c r="DG111" s="22">
        <f t="shared" si="3"/>
        <v>7935</v>
      </c>
      <c r="DH111" s="22">
        <f>IFERROR(VLOOKUP($C111,'Лист4'!$D:$AI,32,0)," ")</f>
        <v>0.7</v>
      </c>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43"/>
      <c r="EN111" s="43"/>
      <c r="EO111" s="43"/>
      <c r="EP111" s="43"/>
      <c r="EQ111" s="43"/>
      <c r="ER111" s="43"/>
      <c r="ES111" s="43"/>
      <c r="ET111" s="43"/>
      <c r="EU111" s="43"/>
      <c r="EV111" s="43"/>
      <c r="EW111" s="43"/>
      <c r="EX111" s="43"/>
      <c r="EY111" s="43"/>
      <c r="EZ111" s="43"/>
      <c r="FA111" s="43"/>
      <c r="FB111" s="43"/>
      <c r="FC111" s="43"/>
    </row>
    <row r="112" ht="18.0" customHeight="1">
      <c r="A112" s="2"/>
      <c r="B112" s="22" t="str">
        <f>IFERROR(VLOOKUP(C112,'Реестр'!C:AC,27,0)," ")</f>
        <v>Биг-Л</v>
      </c>
      <c r="C112" s="43" t="s">
        <v>1925</v>
      </c>
      <c r="D112" s="22" t="str">
        <f>IFERROR(VLOOKUP(C112,'Лист4'!D:P,13,0)," ")</f>
        <v>qeep</v>
      </c>
      <c r="E112" s="22" t="str">
        <f>IF(OR(ISERROR(VLOOKUP(C112,'Актуальность'!A:B,2,0)), VLOOKUP(C112,'Актуальность'!A:B,2,0)=""), "Актуальный", VLOOKUP(C112,'Актуальность'!A:B,2,0))</f>
        <v>Вывод</v>
      </c>
      <c r="F112" s="43" t="str">
        <f>IFERROR(VLOOKUP(C112,'Актуальность'!A:C,3,0)," ")</f>
        <v>Старый артикул</v>
      </c>
      <c r="G112" s="43"/>
      <c r="H112" s="22"/>
      <c r="I112" s="22"/>
      <c r="J112" s="43"/>
      <c r="K112" s="43"/>
      <c r="L112" s="22" t="b">
        <f t="shared" ref="L112:R112" si="108">T112&lt;&gt;""</f>
        <v>1</v>
      </c>
      <c r="M112" s="22" t="b">
        <f t="shared" si="108"/>
        <v>1</v>
      </c>
      <c r="N112" s="22" t="b">
        <f t="shared" si="108"/>
        <v>1</v>
      </c>
      <c r="O112" s="22" t="b">
        <f t="shared" si="108"/>
        <v>0</v>
      </c>
      <c r="P112" s="22" t="b">
        <f t="shared" si="108"/>
        <v>0</v>
      </c>
      <c r="Q112" s="22" t="b">
        <f t="shared" si="108"/>
        <v>0</v>
      </c>
      <c r="R112" s="22" t="b">
        <f t="shared" si="108"/>
        <v>0</v>
      </c>
      <c r="S112" s="43"/>
      <c r="T112" s="43" t="str">
        <f>IFERROR(VLOOKUP( C112,'1С'!A:B,2,0)," ")</f>
        <v>QB101100431</v>
      </c>
      <c r="U112" s="22" t="str">
        <f>IFERROR(VLOOKUP(T112,'Лист4'!C:I,3,0)," ")</f>
        <v>qeep_ezhovik_90caps</v>
      </c>
      <c r="V112" s="22" t="str">
        <f>IFERROR(VLOOKUP(T112,'Лист4'!C:I,4,0)," ")</f>
        <v>qeep_ezhovik_90caps</v>
      </c>
      <c r="W112" s="22" t="str">
        <f>IFERROR(VLOOKUP(T112,'Лист4'!C:I,5,0)," ")</f>
        <v/>
      </c>
      <c r="X112" s="43" t="str">
        <f>IFERROR(VLOOKUP(T112,'Лист4'!C:I,7,0)," ")</f>
        <v/>
      </c>
      <c r="Y112" s="43" t="str">
        <f>IFERROR(VLOOKUP(T112,'Лист4'!C:I,6,0)," ")</f>
        <v/>
      </c>
      <c r="Z112" s="43"/>
      <c r="AA112" s="43"/>
      <c r="AB112" s="22">
        <v>2.20091999E8</v>
      </c>
      <c r="AC112" s="22">
        <v>1.342086207E9</v>
      </c>
      <c r="AD112" s="22"/>
      <c r="AE112" s="22"/>
      <c r="AF112" s="22"/>
      <c r="AG112" s="43"/>
      <c r="AH112" s="43"/>
      <c r="AI112" s="43" t="str">
        <f>IFERROR(VLOOKUP(T112,'1С'!B:C,2,0)," ")</f>
        <v>БАД Ежовик ,qeep, 90 капсул</v>
      </c>
      <c r="AJ112" s="22" t="s">
        <v>1928</v>
      </c>
      <c r="AK112" s="22" t="s">
        <v>1929</v>
      </c>
      <c r="AL112" s="43"/>
      <c r="AM112" s="43"/>
      <c r="AN112" s="43"/>
      <c r="AO112" s="43"/>
      <c r="AP112" s="43"/>
      <c r="AQ112" s="46" t="s">
        <v>1930</v>
      </c>
      <c r="AR112" s="46" t="s">
        <v>1931</v>
      </c>
      <c r="AS112" s="43"/>
      <c r="AT112" s="43"/>
      <c r="AU112" s="43"/>
      <c r="AV112" s="43"/>
      <c r="AW112" s="43"/>
      <c r="AX112" s="22" t="s">
        <v>649</v>
      </c>
      <c r="AY112" s="22" t="s">
        <v>1929</v>
      </c>
      <c r="AZ112" s="43"/>
      <c r="BA112" s="43"/>
      <c r="BB112" s="43"/>
      <c r="BC112" s="43"/>
      <c r="BD112" s="43"/>
      <c r="BE112" s="43"/>
      <c r="BF112" s="22">
        <f>IFERROR(VLOOKUP(C112,'спецификация'!B:D,3,0)," ")</f>
        <v>4630205146096</v>
      </c>
      <c r="BG112" s="22">
        <v>2.106909808E9</v>
      </c>
      <c r="BH112" s="22" t="str">
        <f>IFERROR(VLOOKUP(C112,'спецификация'!B:AA,5,0)," ")</f>
        <v>AM.01.01.01.003.R.000644.09.23 от 08.09.2023 г.</v>
      </c>
      <c r="BI112" s="22"/>
      <c r="BJ112" s="22" t="str">
        <f>IFERROR(VLOOKUP(C112,'спецификация'!B:AA,6,0)," ")</f>
        <v>ЧЗ</v>
      </c>
      <c r="BK112" s="43"/>
      <c r="BL112" s="43"/>
      <c r="BM112" s="22" t="str">
        <f>IFERROR(VLOOKUP(BF112,'спецификация'!D:H,5,0)," ")</f>
        <v>Экстракт ежовика гребенчатого, аскорбиновая кислота (витамин С),  твёрдая желатиновая капсула.</v>
      </c>
      <c r="BN112" s="43"/>
      <c r="BO112" s="22" t="str">
        <f>IFERROR(VLOOKUP(C112,'спецификация'!B:AA,10,0)," ")</f>
        <v>взрослым по 1 капсуле 2 раза в день.
Продолжительность приёма: 1 месяц. При необходимости повторить.</v>
      </c>
      <c r="BP112" s="43" t="str">
        <f>IFERROR(VLOOKUP(C112,'спецификация'!B:AA,11,0)," ")</f>
        <v>индивидуальная непереносимость компонентов продукта, беременность, кормление грудью. Продукт не рекомендуется принимать детям до 18 лет. Перед применением проконсультироваться с врачом.</v>
      </c>
      <c r="BQ112" s="22" t="str">
        <f>IFERROR(VLOOKUP(C112,'спецификация'!B:AA,12,0)," ")</f>
        <v>хранить в сухом, недоступном для детей месте, при температуре от +5 °С до +25 °С.</v>
      </c>
      <c r="BR112" s="22">
        <v>90.0</v>
      </c>
      <c r="BS112" s="22" t="s">
        <v>492</v>
      </c>
      <c r="BT112" s="43"/>
      <c r="BU112" s="22"/>
      <c r="BV112" s="22" t="s">
        <v>307</v>
      </c>
      <c r="BW112" s="44" t="str">
        <f>IFERROR(VLOOKUP(C112,'спецификация'!B:AA,16,0)," ")</f>
        <v>https://docs.google.com/document/d/1TkKuGmIaOBHPRebBCMrk1jw4gPruGNn2Z4TrA0AOoOo/edit</v>
      </c>
      <c r="BX112" s="43"/>
      <c r="BY112" s="43"/>
      <c r="BZ112" s="45" t="str">
        <f>IFERROR(VLOOKUP(BF112,'спецификация'!D:Y,22,0)," ")</f>
        <v/>
      </c>
      <c r="CA112" s="43"/>
      <c r="CB112" s="43"/>
      <c r="CC112" s="43"/>
      <c r="CD112" s="43"/>
      <c r="CE112" s="43"/>
      <c r="CF112" s="43"/>
      <c r="CG112" s="49">
        <f>IFERROR(VLOOKUP(C112,CC!A:D,4,0)," ")</f>
        <v>333</v>
      </c>
      <c r="CH112" s="22" t="str">
        <f>IFERROR(VLOOKUP(C112,'спецификация'!B:AA,19,0)," ")</f>
        <v>ООО «Жива Продукт ПРО». 350062, Россия, Краснодарский край, город Краснодар, улица Казбекская, дом 17, кв. (оф.) 85</v>
      </c>
      <c r="CI112" s="22"/>
      <c r="CJ112" s="22" t="s">
        <v>495</v>
      </c>
      <c r="CK112" s="22">
        <f>IFERROR(VLOOKUP(C112,CC!K:M,3,0)," ")</f>
        <v>60</v>
      </c>
      <c r="CL112" s="43"/>
      <c r="CM112" s="43"/>
      <c r="CN112" s="43"/>
      <c r="CO112" s="43"/>
      <c r="CP112" s="43"/>
      <c r="CQ112" s="43"/>
      <c r="CR112" s="43"/>
      <c r="CS112" s="43" t="b">
        <v>0</v>
      </c>
      <c r="CT112" s="43" t="b">
        <v>0</v>
      </c>
      <c r="CU112" s="43" t="b">
        <v>0</v>
      </c>
      <c r="CV112" s="43" t="b">
        <v>0</v>
      </c>
      <c r="CW112" s="43"/>
      <c r="CX112" s="43"/>
      <c r="CY112" s="43"/>
      <c r="CZ112" s="43"/>
      <c r="DA112" s="43"/>
      <c r="DB112" s="43"/>
      <c r="DC112" s="43"/>
      <c r="DD112" s="22">
        <f>IFERROR(VLOOKUP($C112,'Лист4'!$D:$AI,27,0)," ")</f>
        <v>11</v>
      </c>
      <c r="DE112" s="22">
        <f>IFERROR(VLOOKUP($C112,'Лист4'!$D:$AI,28,0)," ")</f>
        <v>5</v>
      </c>
      <c r="DF112" s="22">
        <f>IFERROR(VLOOKUP($C112,'Лист4'!$D:$AI,29,0)," ")</f>
        <v>11</v>
      </c>
      <c r="DG112" s="22">
        <f t="shared" si="3"/>
        <v>605</v>
      </c>
      <c r="DH112" s="22">
        <f>IFERROR(VLOOKUP($C112,'Лист4'!$D:$AI,32,0)," ")</f>
        <v>0.076</v>
      </c>
      <c r="DI112" s="22"/>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43"/>
      <c r="EN112" s="43"/>
      <c r="EO112" s="43"/>
      <c r="EP112" s="43"/>
      <c r="EQ112" s="43"/>
      <c r="ER112" s="43"/>
      <c r="ES112" s="43"/>
      <c r="ET112" s="43"/>
      <c r="EU112" s="43"/>
      <c r="EV112" s="43"/>
      <c r="EW112" s="43"/>
      <c r="EX112" s="43"/>
      <c r="EY112" s="43"/>
      <c r="EZ112" s="43"/>
      <c r="FA112" s="43"/>
      <c r="FB112" s="43"/>
      <c r="FC112" s="43"/>
    </row>
    <row r="113" ht="18.0" customHeight="1">
      <c r="A113" s="2"/>
      <c r="B113" s="22" t="str">
        <f>IFERROR(VLOOKUP(C113,'Реестр'!C:AC,27,0)," ")</f>
        <v>Биг-Л</v>
      </c>
      <c r="C113" s="43" t="s">
        <v>1936</v>
      </c>
      <c r="D113" s="22" t="str">
        <f>IFERROR(VLOOKUP(C113,'Лист4'!D:P,13,0)," ")</f>
        <v>qeep</v>
      </c>
      <c r="E113" s="22" t="str">
        <f>IF(OR(ISERROR(VLOOKUP(C113,'Актуальность'!A:B,2,0)), VLOOKUP(C113,'Актуальность'!A:B,2,0)=""), "Актуальный", VLOOKUP(C113,'Актуальность'!A:B,2,0))</f>
        <v>Вывод</v>
      </c>
      <c r="F113" s="43" t="str">
        <f>IFERROR(VLOOKUP(C113,'Актуальность'!A:C,3,0)," ")</f>
        <v>Старый артикул</v>
      </c>
      <c r="G113" s="43"/>
      <c r="H113" s="22"/>
      <c r="I113" s="22"/>
      <c r="J113" s="43"/>
      <c r="K113" s="43"/>
      <c r="L113" s="22" t="b">
        <f t="shared" ref="L113:R113" si="109">T113&lt;&gt;""</f>
        <v>1</v>
      </c>
      <c r="M113" s="22" t="b">
        <f t="shared" si="109"/>
        <v>1</v>
      </c>
      <c r="N113" s="22" t="b">
        <f t="shared" si="109"/>
        <v>1</v>
      </c>
      <c r="O113" s="22" t="b">
        <f t="shared" si="109"/>
        <v>0</v>
      </c>
      <c r="P113" s="22" t="b">
        <f t="shared" si="109"/>
        <v>0</v>
      </c>
      <c r="Q113" s="22" t="b">
        <f t="shared" si="109"/>
        <v>0</v>
      </c>
      <c r="R113" s="22" t="b">
        <f t="shared" si="109"/>
        <v>0</v>
      </c>
      <c r="S113" s="43"/>
      <c r="T113" s="43" t="str">
        <f>IFERROR(VLOOKUP( C113,'1С'!A:B,2,0)," ")</f>
        <v>QC101100408</v>
      </c>
      <c r="U113" s="22" t="str">
        <f>IFERROR(VLOOKUP(T113,'Лист4'!C:I,3,0)," ")</f>
        <v>qeepacnecontrol</v>
      </c>
      <c r="V113" s="22" t="str">
        <f>IFERROR(VLOOKUP(T113,'Лист4'!C:I,4,0)," ")</f>
        <v>qeepacnecontrol</v>
      </c>
      <c r="W113" s="22" t="str">
        <f>IFERROR(VLOOKUP(T113,'Лист4'!C:I,5,0)," ")</f>
        <v/>
      </c>
      <c r="X113" s="43" t="str">
        <f>IFERROR(VLOOKUP(T113,'Лист4'!C:I,7,0)," ")</f>
        <v/>
      </c>
      <c r="Y113" s="43" t="str">
        <f>IFERROR(VLOOKUP(T113,'Лист4'!C:I,6,0)," ")</f>
        <v/>
      </c>
      <c r="Z113" s="43"/>
      <c r="AA113" s="43"/>
      <c r="AB113" s="22">
        <v>1.28833711E8</v>
      </c>
      <c r="AC113" s="22">
        <v>7.67090126E8</v>
      </c>
      <c r="AD113" s="22"/>
      <c r="AE113" s="22"/>
      <c r="AF113" s="22"/>
      <c r="AG113" s="43"/>
      <c r="AH113" s="43"/>
      <c r="AI113" s="43" t="str">
        <f>IFERROR(VLOOKUP(T113,'1С'!B:C,2,0)," ")</f>
        <v>Сыворотка отбеливающая для лица, ,qeep, 30 мл</v>
      </c>
      <c r="AJ113" s="22" t="s">
        <v>1939</v>
      </c>
      <c r="AK113" s="22" t="s">
        <v>1940</v>
      </c>
      <c r="AL113" s="43"/>
      <c r="AM113" s="43"/>
      <c r="AN113" s="43"/>
      <c r="AO113" s="43"/>
      <c r="AP113" s="43"/>
      <c r="AQ113" s="46" t="s">
        <v>1941</v>
      </c>
      <c r="AR113" s="46" t="s">
        <v>1942</v>
      </c>
      <c r="AS113" s="43"/>
      <c r="AT113" s="43"/>
      <c r="AU113" s="43"/>
      <c r="AV113" s="43"/>
      <c r="AW113" s="43"/>
      <c r="AX113" s="22" t="s">
        <v>325</v>
      </c>
      <c r="AY113" s="22" t="s">
        <v>1940</v>
      </c>
      <c r="AZ113" s="43"/>
      <c r="BA113" s="43"/>
      <c r="BB113" s="43"/>
      <c r="BC113" s="43"/>
      <c r="BD113" s="43"/>
      <c r="BE113" s="43"/>
      <c r="BF113" s="22" t="str">
        <f>IFERROR(VLOOKUP(C113,'спецификация'!B:D,3,0)," ")</f>
        <v>4630040229770</v>
      </c>
      <c r="BG113" s="22">
        <v>3.30499E9</v>
      </c>
      <c r="BH113" s="22" t="str">
        <f>IFERROR(VLOOKUP(C113,'спецификация'!B:AA,5,0)," ")</f>
        <v>ЕАЭС KG417/024.Д.0015981 от 20.10.2022</v>
      </c>
      <c r="BI113" s="22"/>
      <c r="BJ113" s="22" t="str">
        <f>IFERROR(VLOOKUP(C113,'спецификация'!B:AA,6,0)," ")</f>
        <v>не производим</v>
      </c>
      <c r="BK113" s="43"/>
      <c r="BL113" s="43"/>
      <c r="BM113" s="22" t="str">
        <f>IFERROR(VLOOKUP(BF113,'спецификация'!D:H,5,0)," ")</f>
        <v>Aqua, Salicylic acid, Azelaic acid, Nicotinamide, Isopentyldiol, Pentylene Glycol, Propylene glycol, Sodium alginate, Xanthan Gum, Phenoxyethanol, Ethylhexylglycerin, Triethanolamine. </v>
      </c>
      <c r="BN113" s="43"/>
      <c r="BO113" s="22" t="str">
        <f>IFERROR(VLOOKUP(C113,'спецификация'!B:AA,10,0)," ")</f>
        <v>наносить на очищенную кожу лица утром и вечером. При необходимости через 10 минут завершить уход кремом для лица.</v>
      </c>
      <c r="BP113" s="43" t="str">
        <f>IFERROR(VLOOKUP(C113,'спецификация'!B:AA,11,0)," ")</f>
        <v>только для наружного применения. Возможна индивидуальная непереносимость отдельных компонентов средства. Не наносить на раздраженную или поврежденную кожу. При попадании в глаза промыть водой. </v>
      </c>
      <c r="BQ113" s="22" t="str">
        <f>IFERROR(VLOOKUP(C113,'спецификация'!B:AA,12,0)," ")</f>
        <v>После вскрытия упаковки хранить в прохладном месте не более 6 месяцев.
Хранить при температуре — (20 ± 5)°С
Относительная влажность воздуха — (30 ÷ 80)</v>
      </c>
      <c r="BR113" s="22">
        <v>30.0</v>
      </c>
      <c r="BS113" s="22" t="s">
        <v>139</v>
      </c>
      <c r="BT113" s="22"/>
      <c r="BU113" s="22"/>
      <c r="BV113" s="22" t="s">
        <v>1951</v>
      </c>
      <c r="BW113" s="44" t="str">
        <f>IFERROR(VLOOKUP(C113,'спецификация'!B:AA,16,0)," ")</f>
        <v>https://docs.google.com/document/d/1hZzWntsa1ttHbrD0MY3CDNwS8ErnzrIAOOxQLN5XlFg/edit</v>
      </c>
      <c r="BX113" s="43"/>
      <c r="BY113" s="43"/>
      <c r="BZ113" s="44" t="str">
        <f>IFERROR(VLOOKUP(BF113,'спецификация'!D:Y,22,0)," ")</f>
        <v>https://drive.google.com/drive/u/0/folders/14KmE9g7VNzP-n3I9kbp2DWvNX98jU4Ee</v>
      </c>
      <c r="CA113" s="43"/>
      <c r="CB113" s="43"/>
      <c r="CC113" s="43"/>
      <c r="CD113" s="43"/>
      <c r="CE113" s="43"/>
      <c r="CF113" s="43"/>
      <c r="CG113" s="49">
        <f>IFERROR(VLOOKUP(C113,CC!A:D,4,0)," ")</f>
        <v>171.1</v>
      </c>
      <c r="CH113" s="22" t="str">
        <f>IFERROR(VLOOKUP(C113,'спецификация'!B:AA,19,0)," ")</f>
        <v>Общество с ограниченной ответственностью "САНАТА"
Место нахождения (адрес юридического лица) и адрес места осуществления
деятельности по изготовлению продукции: 111141, Россия, город Москва, улица
Плеханова, дом 11, строение 35, помещение II, комната 9</v>
      </c>
      <c r="CI113" s="22"/>
      <c r="CJ113" s="22" t="s">
        <v>1955</v>
      </c>
      <c r="CK113" s="22" t="str">
        <f>IFERROR(VLOOKUP(C113,CC!K:M,3,0)," ")</f>
        <v> </v>
      </c>
      <c r="CL113" s="43"/>
      <c r="CM113" s="43"/>
      <c r="CN113" s="43"/>
      <c r="CO113" s="43"/>
      <c r="CP113" s="43"/>
      <c r="CQ113" s="43"/>
      <c r="CR113" s="43"/>
      <c r="CS113" s="43" t="b">
        <v>0</v>
      </c>
      <c r="CT113" s="43" t="b">
        <v>0</v>
      </c>
      <c r="CU113" s="43" t="b">
        <v>0</v>
      </c>
      <c r="CV113" s="43" t="b">
        <v>0</v>
      </c>
      <c r="CW113" s="43"/>
      <c r="CX113" s="43"/>
      <c r="CY113" s="43"/>
      <c r="CZ113" s="43"/>
      <c r="DA113" s="43"/>
      <c r="DB113" s="43"/>
      <c r="DC113" s="43"/>
      <c r="DD113" s="22">
        <f>IFERROR(VLOOKUP($C113,'Лист4'!$D:$AI,27,0)," ")</f>
        <v>10</v>
      </c>
      <c r="DE113" s="22">
        <f>IFERROR(VLOOKUP($C113,'Лист4'!$D:$AI,28,0)," ")</f>
        <v>3</v>
      </c>
      <c r="DF113" s="22">
        <f>IFERROR(VLOOKUP($C113,'Лист4'!$D:$AI,29,0)," ")</f>
        <v>10</v>
      </c>
      <c r="DG113" s="22">
        <f t="shared" si="3"/>
        <v>300</v>
      </c>
      <c r="DH113" s="22">
        <f>IFERROR(VLOOKUP($C113,'Лист4'!$D:$AI,32,0)," ")</f>
        <v>0.085</v>
      </c>
      <c r="DI113" s="22"/>
      <c r="DJ113" s="22"/>
      <c r="DK113" s="22"/>
      <c r="DL113" s="22"/>
      <c r="DM113" s="22"/>
      <c r="DN113" s="22"/>
      <c r="DO113" s="22"/>
      <c r="DP113" s="22"/>
      <c r="DQ113" s="22"/>
      <c r="DR113" s="22"/>
      <c r="DS113" s="22"/>
      <c r="DT113" s="22"/>
      <c r="DU113" s="22"/>
      <c r="DV113" s="22"/>
      <c r="DW113" s="22"/>
      <c r="DX113" s="22"/>
      <c r="DY113" s="22"/>
      <c r="DZ113" s="22"/>
      <c r="EA113" s="22"/>
      <c r="EB113" s="22"/>
      <c r="EC113" s="22"/>
      <c r="ED113" s="22"/>
      <c r="EE113" s="22"/>
      <c r="EF113" s="22"/>
      <c r="EG113" s="22"/>
      <c r="EH113" s="22"/>
      <c r="EI113" s="22"/>
      <c r="EJ113" s="22"/>
      <c r="EK113" s="22"/>
      <c r="EL113" s="22"/>
      <c r="EM113" s="43"/>
      <c r="EN113" s="43"/>
      <c r="EO113" s="43"/>
      <c r="EP113" s="43"/>
      <c r="EQ113" s="43"/>
      <c r="ER113" s="43"/>
      <c r="ES113" s="43"/>
      <c r="ET113" s="43"/>
      <c r="EU113" s="43"/>
      <c r="EV113" s="43"/>
      <c r="EW113" s="43"/>
      <c r="EX113" s="43"/>
      <c r="EY113" s="43"/>
      <c r="EZ113" s="43"/>
      <c r="FA113" s="43"/>
      <c r="FB113" s="43"/>
      <c r="FC113" s="43"/>
    </row>
    <row r="114" ht="18.0" customHeight="1">
      <c r="A114" s="2"/>
      <c r="B114" s="22" t="str">
        <f>IFERROR(VLOOKUP(C114,'Реестр'!C:AC,27,0)," ")</f>
        <v>Биг-Л</v>
      </c>
      <c r="C114" s="43" t="s">
        <v>1956</v>
      </c>
      <c r="D114" s="22" t="str">
        <f>IFERROR(VLOOKUP(C114,'Лист4'!D:P,13,0)," ")</f>
        <v>qeep</v>
      </c>
      <c r="E114" s="22" t="str">
        <f>IF(OR(ISERROR(VLOOKUP(C114,'Актуальность'!A:B,2,0)), VLOOKUP(C114,'Актуальность'!A:B,2,0)=""), "Актуальный", VLOOKUP(C114,'Актуальность'!A:B,2,0))</f>
        <v>Вывод</v>
      </c>
      <c r="F114" s="43" t="str">
        <f>IFERROR(VLOOKUP(C114,'Актуальность'!A:C,3,0)," ")</f>
        <v>Старый артикул</v>
      </c>
      <c r="G114" s="43"/>
      <c r="H114" s="22"/>
      <c r="I114" s="22"/>
      <c r="J114" s="43"/>
      <c r="K114" s="43"/>
      <c r="L114" s="22" t="b">
        <f t="shared" ref="L114:R114" si="110">T114&lt;&gt;""</f>
        <v>1</v>
      </c>
      <c r="M114" s="22" t="b">
        <f t="shared" si="110"/>
        <v>1</v>
      </c>
      <c r="N114" s="22" t="b">
        <f t="shared" si="110"/>
        <v>1</v>
      </c>
      <c r="O114" s="22" t="b">
        <f t="shared" si="110"/>
        <v>1</v>
      </c>
      <c r="P114" s="22" t="b">
        <f t="shared" si="110"/>
        <v>0</v>
      </c>
      <c r="Q114" s="22" t="b">
        <f t="shared" si="110"/>
        <v>0</v>
      </c>
      <c r="R114" s="22" t="b">
        <f t="shared" si="110"/>
        <v>0</v>
      </c>
      <c r="S114" s="43"/>
      <c r="T114" s="43" t="str">
        <f>IFERROR(VLOOKUP( C114,'1С'!A:B,2,0)," ")</f>
        <v>QB101100442</v>
      </c>
      <c r="U114" s="22" t="str">
        <f>IFERROR(VLOOKUP(T114,'Лист4'!C:I,3,0)," ")</f>
        <v>qeep_cacao_400g</v>
      </c>
      <c r="V114" s="22" t="str">
        <f>IFERROR(VLOOKUP(T114,'Лист4'!C:I,4,0)," ")</f>
        <v>qeep_cacao_400g</v>
      </c>
      <c r="W114" s="22" t="str">
        <f>IFERROR(VLOOKUP(T114,'Лист4'!C:I,5,0)," ")</f>
        <v>qeep_cacao_400g</v>
      </c>
      <c r="X114" s="43" t="str">
        <f>IFERROR(VLOOKUP(T114,'Лист4'!C:I,7,0)," ")</f>
        <v/>
      </c>
      <c r="Y114" s="43" t="str">
        <f>IFERROR(VLOOKUP(T114,'Лист4'!C:I,6,0)," ")</f>
        <v/>
      </c>
      <c r="Z114" s="43"/>
      <c r="AA114" s="43"/>
      <c r="AB114" s="22">
        <v>1.70000477E8</v>
      </c>
      <c r="AC114" s="22">
        <v>1.099704127E9</v>
      </c>
      <c r="AD114" s="22">
        <v>1.02619837298E11</v>
      </c>
      <c r="AE114" s="22"/>
      <c r="AF114" s="22"/>
      <c r="AG114" s="43"/>
      <c r="AH114" s="43"/>
      <c r="AI114" s="43" t="str">
        <f>IFERROR(VLOOKUP(T114,'1С'!B:C,2,0)," ")</f>
        <v>БАД Какао с витаминами ,qeep, 400 г</v>
      </c>
      <c r="AJ114" s="22" t="s">
        <v>1959</v>
      </c>
      <c r="AK114" s="22" t="s">
        <v>1960</v>
      </c>
      <c r="AL114" s="22" t="s">
        <v>1960</v>
      </c>
      <c r="AM114" s="43"/>
      <c r="AN114" s="43"/>
      <c r="AO114" s="43"/>
      <c r="AP114" s="43"/>
      <c r="AQ114" s="46" t="s">
        <v>1961</v>
      </c>
      <c r="AR114" s="46" t="s">
        <v>1962</v>
      </c>
      <c r="AS114" s="46" t="s">
        <v>1963</v>
      </c>
      <c r="AT114" s="43"/>
      <c r="AU114" s="43"/>
      <c r="AV114" s="43"/>
      <c r="AW114" s="43"/>
      <c r="AX114" s="22" t="s">
        <v>1964</v>
      </c>
      <c r="AY114" s="22" t="s">
        <v>1960</v>
      </c>
      <c r="AZ114" s="22" t="s">
        <v>1965</v>
      </c>
      <c r="BA114" s="43"/>
      <c r="BB114" s="43"/>
      <c r="BC114" s="43"/>
      <c r="BD114" s="43"/>
      <c r="BE114" s="43"/>
      <c r="BF114" s="22">
        <f>IFERROR(VLOOKUP(C114,'спецификация'!B:D,3,0)," ")</f>
        <v>4630205144115</v>
      </c>
      <c r="BG114" s="22">
        <v>2.106909808E9</v>
      </c>
      <c r="BH114" s="22" t="str">
        <f>IFERROR(VLOOKUP(C114,'спецификация'!B:AA,5,0)," ")</f>
        <v>AM.01.01.01.005.R.000412.05.23 от 31.05.2023</v>
      </c>
      <c r="BI114" s="46" t="s">
        <v>1967</v>
      </c>
      <c r="BJ114" s="22" t="str">
        <f>IFERROR(VLOOKUP(C114,'спецификация'!B:AA,6,0)," ")</f>
        <v>ЧЗ</v>
      </c>
      <c r="BK114" s="43"/>
      <c r="BL114" s="43"/>
      <c r="BM114" s="22" t="str">
        <f>IFERROR(VLOOKUP(BF114,'спецификация'!D:H,5,0)," ")</f>
        <v>какао-порошок, сливки растительные, витаминно-минеральный комплекс (калий, натрий, кальций, магний, железо, медь, цинк, тиамин, рибофлавин, никотиновая кислота, пантотеновая кислота, пиридоксин, токоферол), натуральный ароматизатор, кремния диоксид коллоидный (АЭРОСИЛ@), сахароза, аскорбиновая кислота.</v>
      </c>
      <c r="BN114" s="43"/>
      <c r="BO114" s="22" t="str">
        <f>IFERROR(VLOOKUP(C114,'спецификация'!B:AA,10,0)," ")</f>
        <v>10 грамм сухого напитка (4 чайные ложки), залить 1 стаканом горячего молока или воды и размешать.
</v>
      </c>
      <c r="BP114" s="43" t="str">
        <f>IFERROR(VLOOKUP(C114,'спецификация'!B:AA,11,0)," ")</f>
        <v/>
      </c>
      <c r="BQ114" s="22" t="str">
        <f>IFERROR(VLOOKUP(C114,'спецификация'!B:AA,12,0)," ")</f>
        <v> хранить в сухом прохладном месте при температуре от +5 °С до +25 °С и относительной влажности воздуха не более 75%. 
Вскрытую упаковку хранить в сухом прохладном месте, не более 2 месяцев. После каждого использования упаковку тщательно закрывать.
</v>
      </c>
      <c r="BR114" s="22">
        <v>400.0</v>
      </c>
      <c r="BS114" s="22" t="s">
        <v>580</v>
      </c>
      <c r="BT114" s="22"/>
      <c r="BU114" s="22"/>
      <c r="BV114" s="22" t="s">
        <v>307</v>
      </c>
      <c r="BW114" s="44" t="str">
        <f>IFERROR(VLOOKUP(C114,'спецификация'!B:AA,16,0)," ")</f>
        <v>https://docs.google.com/document/d/10NaJF4f0OLm9hZOFZLaLP2BgMcLpMY05cq4Fq-ReqDU/edit</v>
      </c>
      <c r="BX114" s="43"/>
      <c r="BY114" s="43"/>
      <c r="BZ114" s="44" t="str">
        <f>IFERROR(VLOOKUP(BF114,'спецификация'!D:Y,22,0)," ")</f>
        <v>https://drive.google.com/drive/u/0/folders/15oQ06_oLcwjgUy6NvOaZKsEC6wK7Rm42</v>
      </c>
      <c r="CA114" s="43"/>
      <c r="CB114" s="43"/>
      <c r="CC114" s="43"/>
      <c r="CD114" s="43"/>
      <c r="CE114" s="43"/>
      <c r="CF114" s="43"/>
      <c r="CG114" s="49">
        <f>IFERROR(VLOOKUP(C114,CC!A:D,4,0)," ")</f>
        <v>242</v>
      </c>
      <c r="CH114" s="22" t="str">
        <f>IFERROR(VLOOKUP(C114,'спецификация'!B:AA,19,0)," ")</f>
        <v>ООО «Жива Продукт ПРО». 350062, Россия, Краснодарский край, город Краснодар, улица Казбекская, дом 17, кв. (оф.) 85</v>
      </c>
      <c r="CI114" s="22"/>
      <c r="CJ114" s="22" t="s">
        <v>495</v>
      </c>
      <c r="CK114" s="22">
        <f>IFERROR(VLOOKUP(C114,CC!K:M,3,0)," ")</f>
        <v>60</v>
      </c>
      <c r="CL114" s="43"/>
      <c r="CM114" s="43"/>
      <c r="CN114" s="43"/>
      <c r="CO114" s="43"/>
      <c r="CP114" s="43"/>
      <c r="CQ114" s="43"/>
      <c r="CR114" s="43"/>
      <c r="CS114" s="43" t="b">
        <v>0</v>
      </c>
      <c r="CT114" s="43" t="b">
        <v>0</v>
      </c>
      <c r="CU114" s="43" t="b">
        <v>0</v>
      </c>
      <c r="CV114" s="43" t="b">
        <v>0</v>
      </c>
      <c r="CW114" s="43"/>
      <c r="CX114" s="43"/>
      <c r="CY114" s="43"/>
      <c r="CZ114" s="43"/>
      <c r="DA114" s="43"/>
      <c r="DB114" s="43"/>
      <c r="DC114" s="43"/>
      <c r="DD114" s="22">
        <f>IFERROR(VLOOKUP($C114,'Лист4'!$D:$AI,27,0)," ")</f>
        <v>7</v>
      </c>
      <c r="DE114" s="22">
        <f>IFERROR(VLOOKUP($C114,'Лист4'!$D:$AI,28,0)," ")</f>
        <v>9</v>
      </c>
      <c r="DF114" s="22">
        <f>IFERROR(VLOOKUP($C114,'Лист4'!$D:$AI,29,0)," ")</f>
        <v>7</v>
      </c>
      <c r="DG114" s="22">
        <f t="shared" si="3"/>
        <v>441</v>
      </c>
      <c r="DH114" s="22">
        <f>IFERROR(VLOOKUP($C114,'Лист4'!$D:$AI,32,0)," ")</f>
        <v>0.47</v>
      </c>
      <c r="DI114" s="22"/>
      <c r="DJ114" s="22"/>
      <c r="DK114" s="22"/>
      <c r="DL114" s="22"/>
      <c r="DM114" s="22"/>
      <c r="DN114" s="22"/>
      <c r="DO114" s="22"/>
      <c r="DP114" s="22"/>
      <c r="DQ114" s="22"/>
      <c r="DR114" s="22"/>
      <c r="DS114" s="22"/>
      <c r="DT114" s="22"/>
      <c r="DU114" s="22"/>
      <c r="DV114" s="22"/>
      <c r="DW114" s="22"/>
      <c r="DX114" s="22"/>
      <c r="DY114" s="22"/>
      <c r="DZ114" s="22"/>
      <c r="EA114" s="22"/>
      <c r="EB114" s="22"/>
      <c r="EC114" s="22"/>
      <c r="ED114" s="22"/>
      <c r="EE114" s="22"/>
      <c r="EF114" s="22"/>
      <c r="EG114" s="22"/>
      <c r="EH114" s="22"/>
      <c r="EI114" s="22"/>
      <c r="EJ114" s="22"/>
      <c r="EK114" s="22"/>
      <c r="EL114" s="22"/>
      <c r="EM114" s="43"/>
      <c r="EN114" s="43"/>
      <c r="EO114" s="43"/>
      <c r="EP114" s="43"/>
      <c r="EQ114" s="43"/>
      <c r="ER114" s="43"/>
      <c r="ES114" s="43"/>
      <c r="ET114" s="43"/>
      <c r="EU114" s="43"/>
      <c r="EV114" s="43"/>
      <c r="EW114" s="43"/>
      <c r="EX114" s="43"/>
      <c r="EY114" s="43"/>
      <c r="EZ114" s="43"/>
      <c r="FA114" s="43"/>
      <c r="FB114" s="43"/>
      <c r="FC114" s="43"/>
    </row>
    <row r="115" ht="18.0" customHeight="1">
      <c r="A115" s="2"/>
      <c r="B115" s="22" t="str">
        <f>IFERROR(VLOOKUP(C115,'Реестр'!C:AC,27,0)," ")</f>
        <v>Биг-Л</v>
      </c>
      <c r="C115" s="43" t="s">
        <v>1973</v>
      </c>
      <c r="D115" s="22" t="str">
        <f>IFERROR(VLOOKUP(C115,'Лист4'!D:P,13,0)," ")</f>
        <v>qeep</v>
      </c>
      <c r="E115" s="22" t="str">
        <f>IF(OR(ISERROR(VLOOKUP(C115,'Актуальность'!A:B,2,0)), VLOOKUP(C115,'Актуальность'!A:B,2,0)=""), "Актуальный", VLOOKUP(C115,'Актуальность'!A:B,2,0))</f>
        <v>Вывод</v>
      </c>
      <c r="F115" s="43" t="str">
        <f>IFERROR(VLOOKUP(C115,'Актуальность'!A:C,3,0)," ")</f>
        <v>Старый артикул</v>
      </c>
      <c r="G115" s="43"/>
      <c r="H115" s="22"/>
      <c r="I115" s="22"/>
      <c r="J115" s="43"/>
      <c r="K115" s="43"/>
      <c r="L115" s="22" t="b">
        <f t="shared" ref="L115:R115" si="111">T115&lt;&gt;""</f>
        <v>1</v>
      </c>
      <c r="M115" s="22" t="b">
        <f t="shared" si="111"/>
        <v>1</v>
      </c>
      <c r="N115" s="22" t="b">
        <f t="shared" si="111"/>
        <v>1</v>
      </c>
      <c r="O115" s="22" t="b">
        <f t="shared" si="111"/>
        <v>1</v>
      </c>
      <c r="P115" s="22" t="b">
        <f t="shared" si="111"/>
        <v>0</v>
      </c>
      <c r="Q115" s="22" t="b">
        <f t="shared" si="111"/>
        <v>0</v>
      </c>
      <c r="R115" s="22" t="b">
        <f t="shared" si="111"/>
        <v>0</v>
      </c>
      <c r="S115" s="43"/>
      <c r="T115" s="43" t="str">
        <f>IFERROR(VLOOKUP( C115,'1С'!A:B,2,0)," ")</f>
        <v>QB101100488</v>
      </c>
      <c r="U115" s="22" t="str">
        <f>IFERROR(VLOOKUP(T115,'Лист4'!C:I,3,0)," ")</f>
        <v>qeep_resveratrol_60caps</v>
      </c>
      <c r="V115" s="22" t="str">
        <f>IFERROR(VLOOKUP(T115,'Лист4'!C:I,4,0)," ")</f>
        <v>qeep_resveratrol_60caps</v>
      </c>
      <c r="W115" s="22" t="str">
        <f>IFERROR(VLOOKUP(T115,'Лист4'!C:I,5,0)," ")</f>
        <v>qeep_resveratrol_60caps</v>
      </c>
      <c r="X115" s="43" t="str">
        <f>IFERROR(VLOOKUP(T115,'Лист4'!C:I,7,0)," ")</f>
        <v/>
      </c>
      <c r="Y115" s="43" t="str">
        <f>IFERROR(VLOOKUP(T115,'Лист4'!C:I,6,0)," ")</f>
        <v/>
      </c>
      <c r="Z115" s="43"/>
      <c r="AA115" s="43"/>
      <c r="AB115" s="22">
        <v>1.86780052E8</v>
      </c>
      <c r="AC115" s="22">
        <v>1.271329609E9</v>
      </c>
      <c r="AD115" s="22"/>
      <c r="AE115" s="22"/>
      <c r="AF115" s="22"/>
      <c r="AG115" s="43"/>
      <c r="AH115" s="43"/>
      <c r="AI115" s="43" t="str">
        <f>IFERROR(VLOOKUP(T115,'1С'!B:C,2,0)," ")</f>
        <v>БАД Ресвератрол ,qeep, 60 капсул</v>
      </c>
      <c r="AJ115" s="22" t="s">
        <v>1976</v>
      </c>
      <c r="AK115" s="22" t="s">
        <v>1977</v>
      </c>
      <c r="AL115" s="43"/>
      <c r="AM115" s="43"/>
      <c r="AN115" s="43"/>
      <c r="AO115" s="43"/>
      <c r="AP115" s="43"/>
      <c r="AQ115" s="46" t="s">
        <v>1978</v>
      </c>
      <c r="AR115" s="46" t="s">
        <v>1979</v>
      </c>
      <c r="AS115" s="43"/>
      <c r="AT115" s="43"/>
      <c r="AU115" s="43"/>
      <c r="AV115" s="43"/>
      <c r="AW115" s="43"/>
      <c r="AX115" s="22" t="s">
        <v>649</v>
      </c>
      <c r="AY115" s="22" t="s">
        <v>1977</v>
      </c>
      <c r="AZ115" s="43"/>
      <c r="BA115" s="43"/>
      <c r="BB115" s="43"/>
      <c r="BC115" s="43"/>
      <c r="BD115" s="43"/>
      <c r="BE115" s="43"/>
      <c r="BF115" s="22">
        <f>IFERROR(VLOOKUP(C115,'спецификация'!B:D,3,0)," ")</f>
        <v>4680162841794</v>
      </c>
      <c r="BG115" s="22">
        <v>2.106909808E9</v>
      </c>
      <c r="BH115" s="22" t="str">
        <f>IFERROR(VLOOKUP(C115,'спецификация'!B:AA,5,0)," ")</f>
        <v>RU.77.99.88.003.R.002117.08.23 от 01.08.2023</v>
      </c>
      <c r="BI115" s="46" t="s">
        <v>1981</v>
      </c>
      <c r="BJ115" s="22" t="str">
        <f>IFERROR(VLOOKUP(C115,'спецификация'!B:AA,6,0)," ")</f>
        <v>ЧЗ</v>
      </c>
      <c r="BK115" s="43"/>
      <c r="BL115" s="43"/>
      <c r="BM115" s="22" t="str">
        <f>IFERROR(VLOOKUP(BF115,'спецификация'!D:H,5,0)," ")</f>
        <v>ресвератрол 50 % (201 мг), желатин (оболочка капсулы), экстракт красного вина (35 мг), экстракт листьев персика обыкновенного (10 мг), микрокристаллическая целлюлоза (носитель Е460).</v>
      </c>
      <c r="BN115" s="43"/>
      <c r="BO115" s="22" t="str">
        <f>IFERROR(VLOOKUP(C115,'спецификация'!B:AA,10,0)," ")</f>
        <v> 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
</v>
      </c>
      <c r="BP115" s="43" t="str">
        <f>IFERROR(VLOOKUP(C115,'спецификация'!B:AA,11,0)," ")</f>
        <v>индивидуальная непереносимость компонентов БАД, беременность, кормление грудью.</v>
      </c>
      <c r="BQ115" s="22" t="str">
        <f>IFERROR(VLOOKUP(C115,'спецификация'!B:AA,12,0)," ")</f>
        <v>в защищенном от попадания прямых солнечных лучей и недоступном для детей месте при температуре не выше +25 ℃
</v>
      </c>
      <c r="BR115" s="22">
        <v>60.0</v>
      </c>
      <c r="BS115" s="22" t="s">
        <v>492</v>
      </c>
      <c r="BT115" s="43"/>
      <c r="BU115" s="22"/>
      <c r="BV115" s="22" t="s">
        <v>307</v>
      </c>
      <c r="BW115" s="44" t="str">
        <f>IFERROR(VLOOKUP(C115,'спецификация'!B:AA,16,0)," ")</f>
        <v>https://docs.google.com/document/d/1E3e08-6gSBAz0aVBD7-aGPtvnHpkJ1Qs7A1h_rkJ9h0/edit?usp=sharing</v>
      </c>
      <c r="BX115" s="43"/>
      <c r="BY115" s="43"/>
      <c r="BZ115" s="44" t="str">
        <f>IFERROR(VLOOKUP(BF115,'спецификация'!D:Y,22,0)," ")</f>
        <v>https://drive.google.com/drive/u/0/folders/1_1YYNB-kfB8n5Z7kjtT4Td_alwsowJhg</v>
      </c>
      <c r="CA115" s="43"/>
      <c r="CB115" s="43"/>
      <c r="CC115" s="43"/>
      <c r="CD115" s="43"/>
      <c r="CE115" s="43"/>
      <c r="CF115" s="43"/>
      <c r="CG115" s="49">
        <f>IFERROR(VLOOKUP(C115,CC!A:D,4,0)," ")</f>
        <v>399.75</v>
      </c>
      <c r="CH115" s="22" t="str">
        <f>IFERROR(VLOOKUP(C115,'спецификация'!B:AA,19,0)," ")</f>
        <v>НПК Миламед</v>
      </c>
      <c r="CI115" s="22"/>
      <c r="CJ115" s="22" t="s">
        <v>787</v>
      </c>
      <c r="CK115" s="22">
        <f>IFERROR(VLOOKUP(C115,CC!K:M,3,0)," ")</f>
        <v>90</v>
      </c>
      <c r="CL115" s="43"/>
      <c r="CM115" s="43"/>
      <c r="CN115" s="43"/>
      <c r="CO115" s="43"/>
      <c r="CP115" s="43"/>
      <c r="CQ115" s="43"/>
      <c r="CR115" s="43"/>
      <c r="CS115" s="43" t="b">
        <v>0</v>
      </c>
      <c r="CT115" s="43" t="b">
        <v>0</v>
      </c>
      <c r="CU115" s="43" t="b">
        <v>0</v>
      </c>
      <c r="CV115" s="43" t="b">
        <v>0</v>
      </c>
      <c r="CW115" s="43"/>
      <c r="CX115" s="43"/>
      <c r="CY115" s="43"/>
      <c r="CZ115" s="43"/>
      <c r="DA115" s="43"/>
      <c r="DB115" s="43"/>
      <c r="DC115" s="43"/>
      <c r="DD115" s="22">
        <f>IFERROR(VLOOKUP($C115,'Лист4'!$D:$AI,27,0)," ")</f>
        <v>5</v>
      </c>
      <c r="DE115" s="22">
        <f>IFERROR(VLOOKUP($C115,'Лист4'!$D:$AI,28,0)," ")</f>
        <v>9</v>
      </c>
      <c r="DF115" s="22">
        <f>IFERROR(VLOOKUP($C115,'Лист4'!$D:$AI,29,0)," ")</f>
        <v>5</v>
      </c>
      <c r="DG115" s="22">
        <f t="shared" si="3"/>
        <v>225</v>
      </c>
      <c r="DH115" s="22">
        <f>IFERROR(VLOOKUP($C115,'Лист4'!$D:$AI,32,0)," ")</f>
        <v>0.05</v>
      </c>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43"/>
      <c r="EN115" s="43"/>
      <c r="EO115" s="43"/>
      <c r="EP115" s="43"/>
      <c r="EQ115" s="43"/>
      <c r="ER115" s="43"/>
      <c r="ES115" s="43"/>
      <c r="ET115" s="43"/>
      <c r="EU115" s="43"/>
      <c r="EV115" s="43"/>
      <c r="EW115" s="43"/>
      <c r="EX115" s="43"/>
      <c r="EY115" s="43"/>
      <c r="EZ115" s="43"/>
      <c r="FA115" s="43"/>
      <c r="FB115" s="43"/>
      <c r="FC115" s="43"/>
    </row>
    <row r="116" ht="18.0" customHeight="1">
      <c r="A116" s="2"/>
      <c r="B116" s="22" t="str">
        <f>IFERROR(VLOOKUP(C116,'Реестр'!C:AC,27,0)," ")</f>
        <v>Биг-Л</v>
      </c>
      <c r="C116" s="43" t="s">
        <v>1988</v>
      </c>
      <c r="D116" s="22" t="str">
        <f>IFERROR(VLOOKUP(C116,'Лист4'!D:P,13,0)," ")</f>
        <v>qeep</v>
      </c>
      <c r="E116" s="22" t="str">
        <f>IF(OR(ISERROR(VLOOKUP(C116,'Актуальность'!A:B,2,0)), VLOOKUP(C116,'Актуальность'!A:B,2,0)=""), "Актуальный", VLOOKUP(C116,'Актуальность'!A:B,2,0))</f>
        <v>Вывод</v>
      </c>
      <c r="F116" s="43" t="str">
        <f>IFERROR(VLOOKUP(C116,'Актуальность'!A:C,3,0)," ")</f>
        <v>Старый артикул</v>
      </c>
      <c r="G116" s="43"/>
      <c r="H116" s="22"/>
      <c r="I116" s="22"/>
      <c r="J116" s="43"/>
      <c r="K116" s="43"/>
      <c r="L116" s="22" t="b">
        <f t="shared" ref="L116:R116" si="112">T116&lt;&gt;""</f>
        <v>1</v>
      </c>
      <c r="M116" s="22" t="b">
        <f t="shared" si="112"/>
        <v>1</v>
      </c>
      <c r="N116" s="22" t="b">
        <f t="shared" si="112"/>
        <v>1</v>
      </c>
      <c r="O116" s="22" t="b">
        <f t="shared" si="112"/>
        <v>0</v>
      </c>
      <c r="P116" s="22" t="b">
        <f t="shared" si="112"/>
        <v>0</v>
      </c>
      <c r="Q116" s="22" t="b">
        <f t="shared" si="112"/>
        <v>0</v>
      </c>
      <c r="R116" s="22" t="b">
        <f t="shared" si="112"/>
        <v>0</v>
      </c>
      <c r="S116" s="43"/>
      <c r="T116" s="43" t="str">
        <f>IFERROR(VLOOKUP( C116,'1С'!A:B,2,0)," ")</f>
        <v>QB101100501</v>
      </c>
      <c r="U116" s="22" t="str">
        <f>IFERROR(VLOOKUP(T116,'Лист4'!C:I,3,0)," ")</f>
        <v>qeepzeolite</v>
      </c>
      <c r="V116" s="22" t="str">
        <f>IFERROR(VLOOKUP(T116,'Лист4'!C:I,4,0)," ")</f>
        <v>qeepzeolite</v>
      </c>
      <c r="W116" s="22" t="str">
        <f>IFERROR(VLOOKUP(T116,'Лист4'!C:I,5,0)," ")</f>
        <v/>
      </c>
      <c r="X116" s="43" t="str">
        <f>IFERROR(VLOOKUP(T116,'Лист4'!C:I,7,0)," ")</f>
        <v/>
      </c>
      <c r="Y116" s="43" t="str">
        <f>IFERROR(VLOOKUP(T116,'Лист4'!C:I,6,0)," ")</f>
        <v/>
      </c>
      <c r="Z116" s="43"/>
      <c r="AA116" s="43"/>
      <c r="AB116" s="22">
        <v>1.33689253E8</v>
      </c>
      <c r="AC116" s="22"/>
      <c r="AD116" s="22"/>
      <c r="AE116" s="22"/>
      <c r="AF116" s="22"/>
      <c r="AG116" s="43"/>
      <c r="AH116" s="43"/>
      <c r="AI116" s="43" t="str">
        <f>IFERROR(VLOOKUP(T116,'1С'!B:C,2,0)," ")</f>
        <v>БАД Цеолит ,qeep,</v>
      </c>
      <c r="AJ116" s="22" t="s">
        <v>1991</v>
      </c>
      <c r="AK116" s="43"/>
      <c r="AL116" s="43"/>
      <c r="AM116" s="43"/>
      <c r="AN116" s="43"/>
      <c r="AO116" s="43"/>
      <c r="AP116" s="43"/>
      <c r="AQ116" s="46" t="s">
        <v>1992</v>
      </c>
      <c r="AR116" s="43"/>
      <c r="AS116" s="43"/>
      <c r="AT116" s="43"/>
      <c r="AU116" s="43"/>
      <c r="AV116" s="43"/>
      <c r="AW116" s="43"/>
      <c r="AX116" s="22" t="s">
        <v>649</v>
      </c>
      <c r="AY116" s="22"/>
      <c r="AZ116" s="43"/>
      <c r="BA116" s="43"/>
      <c r="BB116" s="43"/>
      <c r="BC116" s="43"/>
      <c r="BD116" s="43"/>
      <c r="BE116" s="43"/>
      <c r="BF116" s="22" t="str">
        <f>IFERROR(VLOOKUP(C116,'спецификация'!B:D,3,0)," ")</f>
        <v>4607004120152</v>
      </c>
      <c r="BG116" s="22">
        <v>2.106909808E9</v>
      </c>
      <c r="BH116" s="22" t="str">
        <f>IFERROR(VLOOKUP(C116,'спецификация'!B:AA,5,0)," ")</f>
        <v>KZ.16.01.78.003.Е.001245.12.16 от 09.12.2016 г.</v>
      </c>
      <c r="BI116" s="22"/>
      <c r="BJ116" s="22" t="str">
        <f>IFERROR(VLOOKUP(C116,'спецификация'!B:AA,6,0)," ")</f>
        <v>не производим</v>
      </c>
      <c r="BK116" s="43"/>
      <c r="BL116" s="43"/>
      <c r="BM116" s="22" t="str">
        <f>IFERROR(VLOOKUP(BF116,'спецификация'!D:H,5,0)," ")</f>
        <v>цеолит природный - 67,0 %, клюква сублимационной сушки - 33,0 %</v>
      </c>
      <c r="BN116" s="43"/>
      <c r="BO116" s="22" t="str">
        <f>IFERROR(VLOOKUP(C116,'спецификация'!B:AA,10,0)," ")</f>
        <v>по 5 таблеток 2 раза в день во время еды, запивая ½ - 1 стаканом воды. Разносить с приемом лекарственных препаратов на 1,5–2 часа. Продолжительность приема – 1 месяц.</v>
      </c>
      <c r="BP116" s="43" t="str">
        <f>IFERROR(VLOOKUP(C116,'спецификация'!B:AA,11,0)," ")</f>
        <v>индивидуальная непереносимость компонентов продукта, беременность, кормление грудью, язвенная болезнь желудка и двенадцатиперстной кишки, гиперацидный гастрит, заболевание печени. Перед применением проконсультироваться с врачом.</v>
      </c>
      <c r="BQ116" s="22" t="str">
        <f>IFERROR(VLOOKUP(C116,'спецификация'!B:AA,12,0)," ")</f>
        <v>хранить в сухом месте, в плотно закрытой упаковке, при температуре от -30 оС до +30 оС и относительной влажности не более 75 %. </v>
      </c>
      <c r="BR116" s="22">
        <v>120.0</v>
      </c>
      <c r="BS116" s="22" t="s">
        <v>210</v>
      </c>
      <c r="BT116" s="22"/>
      <c r="BU116" s="22"/>
      <c r="BV116" s="22" t="s">
        <v>727</v>
      </c>
      <c r="BW116" s="44" t="str">
        <f>IFERROR(VLOOKUP(C116,'спецификация'!B:AA,16,0)," ")</f>
        <v>https://docs.google.com/document/d/1rrQM0hv5GWuWEBPl6pGQ3I3IqJhVSyegKMAE_eyYtoY/edit?usp=sharing</v>
      </c>
      <c r="BX116" s="43"/>
      <c r="BY116" s="43"/>
      <c r="BZ116" s="44" t="str">
        <f>IFERROR(VLOOKUP(BF116,'спецификация'!D:Y,22,0)," ")</f>
        <v>https://drive.google.com/drive/u/0/folders/1Il7uD0ZJ1m2bml1n_U6sgON5EevG43OM</v>
      </c>
      <c r="CA116" s="43"/>
      <c r="CB116" s="43"/>
      <c r="CC116" s="43"/>
      <c r="CD116" s="43"/>
      <c r="CE116" s="43"/>
      <c r="CF116" s="43"/>
      <c r="CG116" s="49">
        <f>IFERROR(VLOOKUP(C116,CC!A:D,4,0)," ")</f>
        <v>415</v>
      </c>
      <c r="CH116" s="22" t="str">
        <f>IFERROR(VLOOKUP(C116,'спецификация'!B:AA,19,0)," ")</f>
        <v>Предприятие-изготовитель:  АО НПФ "НОВЬ" Юридический адрес изготовителя: 630004, Россия, г. Новосибирск, ул. Ленина, д. 28, тел. (383) 202-01-08. Адрес производства изготовителя: 630003, г. Новосибирск, ул. Владимировская, д. 1а</v>
      </c>
      <c r="CI116" s="22"/>
      <c r="CJ116" s="22" t="s">
        <v>2002</v>
      </c>
      <c r="CK116" s="22" t="str">
        <f>IFERROR(VLOOKUP(C116,CC!K:M,3,0)," ")</f>
        <v> </v>
      </c>
      <c r="CL116" s="43"/>
      <c r="CM116" s="43"/>
      <c r="CN116" s="43"/>
      <c r="CO116" s="43"/>
      <c r="CP116" s="43"/>
      <c r="CQ116" s="43"/>
      <c r="CR116" s="43"/>
      <c r="CS116" s="43" t="b">
        <v>0</v>
      </c>
      <c r="CT116" s="43" t="b">
        <v>0</v>
      </c>
      <c r="CU116" s="43" t="b">
        <v>0</v>
      </c>
      <c r="CV116" s="43" t="b">
        <v>0</v>
      </c>
      <c r="CW116" s="43"/>
      <c r="CX116" s="43"/>
      <c r="CY116" s="43"/>
      <c r="CZ116" s="43"/>
      <c r="DA116" s="43"/>
      <c r="DB116" s="43"/>
      <c r="DC116" s="43"/>
      <c r="DD116" s="22">
        <f>IFERROR(VLOOKUP($C116,'Лист4'!$D:$AI,27,0)," ")</f>
        <v>7</v>
      </c>
      <c r="DE116" s="22">
        <f>IFERROR(VLOOKUP($C116,'Лист4'!$D:$AI,28,0)," ")</f>
        <v>8</v>
      </c>
      <c r="DF116" s="22">
        <f>IFERROR(VLOOKUP($C116,'Лист4'!$D:$AI,29,0)," ")</f>
        <v>7</v>
      </c>
      <c r="DG116" s="22">
        <f t="shared" si="3"/>
        <v>392</v>
      </c>
      <c r="DH116" s="22">
        <f>IFERROR(VLOOKUP($C116,'Лист4'!$D:$AI,32,0)," ")</f>
        <v>0.105</v>
      </c>
      <c r="DI116" s="22"/>
      <c r="DJ116" s="22"/>
      <c r="DK116" s="22"/>
      <c r="DL116" s="22"/>
      <c r="DM116" s="22"/>
      <c r="DN116" s="22"/>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43"/>
      <c r="EN116" s="43"/>
      <c r="EO116" s="43"/>
      <c r="EP116" s="43"/>
      <c r="EQ116" s="43"/>
      <c r="ER116" s="43"/>
      <c r="ES116" s="43"/>
      <c r="ET116" s="43"/>
      <c r="EU116" s="43"/>
      <c r="EV116" s="43"/>
      <c r="EW116" s="43"/>
      <c r="EX116" s="43"/>
      <c r="EY116" s="43"/>
      <c r="EZ116" s="43"/>
      <c r="FA116" s="43"/>
      <c r="FB116" s="43"/>
      <c r="FC116" s="43"/>
    </row>
    <row r="117" ht="18.0" customHeight="1">
      <c r="A117" s="2"/>
      <c r="B117" s="22" t="str">
        <f>IFERROR(VLOOKUP(C117,'Реестр'!C:AC,27,0)," ")</f>
        <v>Биг-Л</v>
      </c>
      <c r="C117" s="43" t="s">
        <v>2003</v>
      </c>
      <c r="D117" s="22" t="str">
        <f>IFERROR(VLOOKUP(C117,'Лист4'!D:P,13,0)," ")</f>
        <v>qeep</v>
      </c>
      <c r="E117" s="22" t="str">
        <f>IF(OR(ISERROR(VLOOKUP(C117,'Актуальность'!A:B,2,0)), VLOOKUP(C117,'Актуальность'!A:B,2,0)=""), "Актуальный", VLOOKUP(C117,'Актуальность'!A:B,2,0))</f>
        <v>Вывод</v>
      </c>
      <c r="F117" s="43" t="str">
        <f>IFERROR(VLOOKUP(C117,'Актуальность'!A:C,3,0)," ")</f>
        <v>Старый артикул</v>
      </c>
      <c r="G117" s="43"/>
      <c r="H117" s="22"/>
      <c r="I117" s="22"/>
      <c r="J117" s="43"/>
      <c r="K117" s="43"/>
      <c r="L117" s="22" t="b">
        <f t="shared" ref="L117:R117" si="113">T117&lt;&gt;""</f>
        <v>1</v>
      </c>
      <c r="M117" s="22" t="b">
        <f t="shared" si="113"/>
        <v>1</v>
      </c>
      <c r="N117" s="22" t="b">
        <f t="shared" si="113"/>
        <v>1</v>
      </c>
      <c r="O117" s="22" t="b">
        <f t="shared" si="113"/>
        <v>0</v>
      </c>
      <c r="P117" s="22" t="b">
        <f t="shared" si="113"/>
        <v>0</v>
      </c>
      <c r="Q117" s="22" t="b">
        <f t="shared" si="113"/>
        <v>0</v>
      </c>
      <c r="R117" s="22" t="b">
        <f t="shared" si="113"/>
        <v>0</v>
      </c>
      <c r="S117" s="43"/>
      <c r="T117" s="43" t="str">
        <f>IFERROR(VLOOKUP( C117,'1С'!A:B,2,0)," ")</f>
        <v>QB101100500</v>
      </c>
      <c r="U117" s="22" t="str">
        <f>IFERROR(VLOOKUP(T117,'Лист4'!C:I,3,0)," ")</f>
        <v>qeep_folic_omega_60caps</v>
      </c>
      <c r="V117" s="22" t="str">
        <f>IFERROR(VLOOKUP(T117,'Лист4'!C:I,4,0)," ")</f>
        <v>qeep_folic_omega_60caps</v>
      </c>
      <c r="W117" s="22" t="str">
        <f>IFERROR(VLOOKUP(T117,'Лист4'!C:I,5,0)," ")</f>
        <v/>
      </c>
      <c r="X117" s="43" t="str">
        <f>IFERROR(VLOOKUP(T117,'Лист4'!C:I,7,0)," ")</f>
        <v/>
      </c>
      <c r="Y117" s="43" t="str">
        <f>IFERROR(VLOOKUP(T117,'Лист4'!C:I,6,0)," ")</f>
        <v/>
      </c>
      <c r="Z117" s="43"/>
      <c r="AA117" s="43"/>
      <c r="AB117" s="22">
        <v>1.67273376E8</v>
      </c>
      <c r="AC117" s="22">
        <v>1.068139791E9</v>
      </c>
      <c r="AD117" s="22"/>
      <c r="AE117" s="22"/>
      <c r="AF117" s="22"/>
      <c r="AG117" s="43"/>
      <c r="AH117" s="43"/>
      <c r="AI117" s="43" t="str">
        <f>IFERROR(VLOOKUP(T117,'1С'!B:C,2,0)," ")</f>
        <v>БАД Фолиевая кислота ,qeep, 60 капсул</v>
      </c>
      <c r="AJ117" s="22" t="s">
        <v>2006</v>
      </c>
      <c r="AK117" s="22" t="s">
        <v>2007</v>
      </c>
      <c r="AL117" s="43"/>
      <c r="AM117" s="43"/>
      <c r="AN117" s="43"/>
      <c r="AO117" s="43"/>
      <c r="AP117" s="43"/>
      <c r="AQ117" s="46" t="s">
        <v>2008</v>
      </c>
      <c r="AR117" s="46" t="s">
        <v>2009</v>
      </c>
      <c r="AS117" s="43"/>
      <c r="AT117" s="43"/>
      <c r="AU117" s="43"/>
      <c r="AV117" s="43"/>
      <c r="AW117" s="43"/>
      <c r="AX117" s="22" t="s">
        <v>361</v>
      </c>
      <c r="AY117" s="22" t="s">
        <v>2007</v>
      </c>
      <c r="AZ117" s="43"/>
      <c r="BA117" s="43"/>
      <c r="BB117" s="43"/>
      <c r="BC117" s="43"/>
      <c r="BD117" s="43"/>
      <c r="BE117" s="43"/>
      <c r="BF117" s="22" t="str">
        <f>IFERROR(VLOOKUP(C117,'спецификация'!B:D,3,0)," ")</f>
        <v>4620153903612</v>
      </c>
      <c r="BG117" s="22">
        <v>2.106909808E9</v>
      </c>
      <c r="BH117" s="22" t="str">
        <f>IFERROR(VLOOKUP(C117,'спецификация'!B:AA,5,0)," ")</f>
        <v>RU.77.99.88.003.E.003228.09.19 от 09.09.2019</v>
      </c>
      <c r="BI117" s="46" t="s">
        <v>2012</v>
      </c>
      <c r="BJ117" s="22" t="str">
        <f>IFERROR(VLOOKUP(C117,'спецификация'!B:AA,6,0)," ")</f>
        <v>ЧЗ</v>
      </c>
      <c r="BK117" s="43"/>
      <c r="BL117" s="43"/>
      <c r="BM117" s="22" t="str">
        <f>IFERROR(VLOOKUP(BF117,'спецификация'!D:H,5,0)," ")</f>
        <v>экстракт семени льна, витамин В9 (фолиевая кислота), диоксид кремния (носитель), пищевая добавка антиокислитель "Гриндокс" (аскорбилпальмитат, смесь натуральных токоферолов, лецитин, рапсовое масло), капсула желатиновая (желатин, глицерин). </v>
      </c>
      <c r="BN117" s="43"/>
      <c r="BO117" s="22" t="str">
        <f>IFERROR(VLOOKUP(C117,'спецификация'!B:AA,10,0)," ")</f>
        <v>взрослым по 1 капсуле 2 раза в день во время еды. Продолжительность приема – 1 месяц.</v>
      </c>
      <c r="BP117" s="43" t="str">
        <f>IFERROR(VLOOKUP(C117,'спецификация'!B:AA,11,0)," ")</f>
        <v>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рекомендации и под наблюдением врача.</v>
      </c>
      <c r="BQ117" s="22" t="str">
        <f>IFERROR(VLOOKUP(C117,'спецификация'!B:AA,12,0)," ")</f>
        <v>в недоступном для детей месте, при температуре от +15 до +25 ºС и относительной влажности воздуха не более 60%. </v>
      </c>
      <c r="BR117" s="22">
        <v>60.0</v>
      </c>
      <c r="BS117" s="22" t="s">
        <v>492</v>
      </c>
      <c r="BT117" s="43"/>
      <c r="BU117" s="22"/>
      <c r="BV117" s="22" t="s">
        <v>307</v>
      </c>
      <c r="BW117" s="44" t="str">
        <f>IFERROR(VLOOKUP(C117,'спецификация'!B:AA,16,0)," ")</f>
        <v>https://docs.google.com/document/d/1EN9TiIENzquP1oZ4AOJELEGcBNMpYWgtpzbSdmyw5Tw/edit?usp=sharing</v>
      </c>
      <c r="BX117" s="43"/>
      <c r="BY117" s="43"/>
      <c r="BZ117" s="44" t="str">
        <f>IFERROR(VLOOKUP(BF117,'спецификация'!D:Y,22,0)," ")</f>
        <v>https://drive.google.com/drive/u/0/folders/1Oo-Y8C4Gye2-wnuhQNuFbe1NUyq5Cgcc</v>
      </c>
      <c r="CA117" s="43"/>
      <c r="CB117" s="43"/>
      <c r="CC117" s="43"/>
      <c r="CD117" s="43"/>
      <c r="CE117" s="43"/>
      <c r="CF117" s="43"/>
      <c r="CG117" s="49">
        <f>IFERROR(VLOOKUP(C117,CC!A:D,4,0)," ")</f>
        <v>134.58</v>
      </c>
      <c r="CH117" s="22" t="str">
        <f>IFERROR(VLOOKUP(C117,'спецификация'!B:AA,19,0)," ")</f>
        <v>ООО «Сибфармконтракт», Россия, 634034, г. Томск, ул. Нахимова 8, стр. 11.</v>
      </c>
      <c r="CI117" s="22"/>
      <c r="CJ117" s="22" t="s">
        <v>562</v>
      </c>
      <c r="CK117" s="22">
        <f>IFERROR(VLOOKUP(C117,CC!K:M,3,0)," ")</f>
        <v>90</v>
      </c>
      <c r="CL117" s="43"/>
      <c r="CM117" s="43"/>
      <c r="CN117" s="43"/>
      <c r="CO117" s="43"/>
      <c r="CP117" s="43"/>
      <c r="CQ117" s="43"/>
      <c r="CR117" s="43"/>
      <c r="CS117" s="43" t="b">
        <v>0</v>
      </c>
      <c r="CT117" s="43" t="b">
        <v>0</v>
      </c>
      <c r="CU117" s="43" t="b">
        <v>0</v>
      </c>
      <c r="CV117" s="43" t="b">
        <v>0</v>
      </c>
      <c r="CW117" s="43"/>
      <c r="CX117" s="43"/>
      <c r="CY117" s="43"/>
      <c r="CZ117" s="43"/>
      <c r="DA117" s="43"/>
      <c r="DB117" s="43"/>
      <c r="DC117" s="43"/>
      <c r="DD117" s="22">
        <f>IFERROR(VLOOKUP($C117,'Лист4'!$D:$AI,27,0)," ")</f>
        <v>7</v>
      </c>
      <c r="DE117" s="22">
        <f>IFERROR(VLOOKUP($C117,'Лист4'!$D:$AI,28,0)," ")</f>
        <v>10</v>
      </c>
      <c r="DF117" s="22">
        <f>IFERROR(VLOOKUP($C117,'Лист4'!$D:$AI,29,0)," ")</f>
        <v>7</v>
      </c>
      <c r="DG117" s="22">
        <f t="shared" si="3"/>
        <v>490</v>
      </c>
      <c r="DH117" s="22">
        <f>IFERROR(VLOOKUP($C117,'Лист4'!$D:$AI,32,0)," ")</f>
        <v>0.08</v>
      </c>
      <c r="DI117" s="22"/>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43"/>
      <c r="EN117" s="43"/>
      <c r="EO117" s="43"/>
      <c r="EP117" s="43"/>
      <c r="EQ117" s="43"/>
      <c r="ER117" s="43"/>
      <c r="ES117" s="43"/>
      <c r="ET117" s="43"/>
      <c r="EU117" s="43"/>
      <c r="EV117" s="43"/>
      <c r="EW117" s="43"/>
      <c r="EX117" s="43"/>
      <c r="EY117" s="43"/>
      <c r="EZ117" s="43"/>
      <c r="FA117" s="43"/>
      <c r="FB117" s="43"/>
      <c r="FC117" s="43"/>
    </row>
    <row r="118" ht="18.0" customHeight="1">
      <c r="A118" s="2"/>
      <c r="B118" s="22" t="str">
        <f>IFERROR(VLOOKUP(C118,'Реестр'!C:AC,27,0)," ")</f>
        <v>Биг-Л</v>
      </c>
      <c r="C118" s="43" t="s">
        <v>2019</v>
      </c>
      <c r="D118" s="22" t="str">
        <f>IFERROR(VLOOKUP(C118,'Лист4'!D:P,13,0)," ")</f>
        <v>qeep</v>
      </c>
      <c r="E118" s="22" t="str">
        <f>IF(OR(ISERROR(VLOOKUP(C118,'Актуальность'!A:B,2,0)), VLOOKUP(C118,'Актуальность'!A:B,2,0)=""), "Актуальный", VLOOKUP(C118,'Актуальность'!A:B,2,0))</f>
        <v>Вывод</v>
      </c>
      <c r="F118" s="43" t="str">
        <f>IFERROR(VLOOKUP(C118,'Актуальность'!A:C,3,0)," ")</f>
        <v>Старый артикул</v>
      </c>
      <c r="G118" s="43"/>
      <c r="H118" s="22"/>
      <c r="I118" s="22"/>
      <c r="J118" s="43"/>
      <c r="K118" s="43"/>
      <c r="L118" s="22" t="b">
        <f t="shared" ref="L118:R118" si="114">T118&lt;&gt;""</f>
        <v>1</v>
      </c>
      <c r="M118" s="22" t="b">
        <f t="shared" si="114"/>
        <v>1</v>
      </c>
      <c r="N118" s="22" t="b">
        <f t="shared" si="114"/>
        <v>1</v>
      </c>
      <c r="O118" s="22" t="b">
        <f t="shared" si="114"/>
        <v>0</v>
      </c>
      <c r="P118" s="22" t="b">
        <f t="shared" si="114"/>
        <v>0</v>
      </c>
      <c r="Q118" s="22" t="b">
        <f t="shared" si="114"/>
        <v>0</v>
      </c>
      <c r="R118" s="22" t="b">
        <f t="shared" si="114"/>
        <v>0</v>
      </c>
      <c r="S118" s="43"/>
      <c r="T118" s="43" t="str">
        <f>IFERROR(VLOOKUP( C118,'1С'!A:B,2,0)," ")</f>
        <v>QB101100410</v>
      </c>
      <c r="U118" s="22" t="str">
        <f>IFERROR(VLOOKUP(T118,'Лист4'!C:I,3,0)," ")</f>
        <v>qeep_bcomplex_60caps</v>
      </c>
      <c r="V118" s="22" t="str">
        <f>IFERROR(VLOOKUP(T118,'Лист4'!C:I,4,0)," ")</f>
        <v>qeep_bcomplex_60caps</v>
      </c>
      <c r="W118" s="22" t="str">
        <f>IFERROR(VLOOKUP(T118,'Лист4'!C:I,5,0)," ")</f>
        <v/>
      </c>
      <c r="X118" s="43" t="str">
        <f>IFERROR(VLOOKUP(T118,'Лист4'!C:I,7,0)," ")</f>
        <v/>
      </c>
      <c r="Y118" s="43" t="str">
        <f>IFERROR(VLOOKUP(T118,'Лист4'!C:I,6,0)," ")</f>
        <v/>
      </c>
      <c r="Z118" s="43"/>
      <c r="AA118" s="43"/>
      <c r="AB118" s="22">
        <v>1.86730528E8</v>
      </c>
      <c r="AC118" s="22">
        <v>1.271355943E9</v>
      </c>
      <c r="AD118" s="22"/>
      <c r="AE118" s="22"/>
      <c r="AF118" s="22"/>
      <c r="AG118" s="43"/>
      <c r="AH118" s="43"/>
      <c r="AI118" s="43" t="str">
        <f>IFERROR(VLOOKUP(T118,'1С'!B:C,2,0)," ")</f>
        <v>БАД Витамины группы B ,qeep, 60 капсул</v>
      </c>
      <c r="AJ118" s="22" t="s">
        <v>2022</v>
      </c>
      <c r="AK118" s="22" t="s">
        <v>2023</v>
      </c>
      <c r="AL118" s="43"/>
      <c r="AM118" s="43"/>
      <c r="AN118" s="43"/>
      <c r="AO118" s="43"/>
      <c r="AP118" s="43"/>
      <c r="AQ118" s="46" t="s">
        <v>2024</v>
      </c>
      <c r="AR118" s="46" t="s">
        <v>2025</v>
      </c>
      <c r="AS118" s="43"/>
      <c r="AT118" s="43"/>
      <c r="AU118" s="43"/>
      <c r="AV118" s="43"/>
      <c r="AW118" s="43"/>
      <c r="AX118" s="22" t="s">
        <v>361</v>
      </c>
      <c r="AY118" s="22" t="s">
        <v>2023</v>
      </c>
      <c r="AZ118" s="43"/>
      <c r="BA118" s="43"/>
      <c r="BB118" s="43"/>
      <c r="BC118" s="43"/>
      <c r="BD118" s="43"/>
      <c r="BE118" s="43"/>
      <c r="BF118" s="22">
        <f>IFERROR(VLOOKUP(C118,'спецификация'!B:D,3,0)," ")</f>
        <v>4627144543109</v>
      </c>
      <c r="BG118" s="22">
        <v>2.106909808E9</v>
      </c>
      <c r="BH118" s="22" t="str">
        <f>IFERROR(VLOOKUP(C118,'спецификация'!B:AA,5,0)," ")</f>
        <v>AM.01.06.01.003.R.000078.04.22 от 25.04.2022</v>
      </c>
      <c r="BI118" s="22"/>
      <c r="BJ118" s="22" t="str">
        <f>IFERROR(VLOOKUP(C118,'спецификация'!B:AA,6,0)," ")</f>
        <v>ЧЗ</v>
      </c>
      <c r="BK118" s="43"/>
      <c r="BL118" s="43"/>
      <c r="BM118" s="22" t="str">
        <f>IFERROR(VLOOKUP(BF118,'спецификация'!D:H,5,0)," ")</f>
        <v>пиридоксина гидрохлорид, рибофлавин, тиамин, фолиевая кислота, цианокобаламин, микрокристаллическая целлюлоза (носитель), компонент капсулы (пищевая добавка: желатин - загуститель), ниацинамид, пантотенат кальция, диоксид кремния (агент антислеживающий), стеарат кальция (агент антислеживающий)</v>
      </c>
      <c r="BN118" s="43"/>
      <c r="BO118" s="22" t="str">
        <f>IFERROR(VLOOKUP(C118,'спецификация'!B:AA,10,0)," ")</f>
        <v>Взрослым по 1 капсуле в день  во время еды. Продолжительность приёма - 1 месяц. При необходимости  прием можно повторить.</v>
      </c>
      <c r="BP118" s="43" t="str">
        <f>IFERROR(VLOOKUP(C118,'спецификация'!B:AA,11,0),"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18" s="22" t="str">
        <f>IFERROR(VLOOKUP(C118,'спецификация'!B:AA,12,0)," ")</f>
        <v>хранить в оригинальной упаковке в недоступном для детей месте при температуре хранения от 2℃ до 25℃
</v>
      </c>
      <c r="BR118" s="22">
        <v>60.0</v>
      </c>
      <c r="BS118" s="22" t="s">
        <v>492</v>
      </c>
      <c r="BT118" s="43"/>
      <c r="BU118" s="22"/>
      <c r="BV118" s="22" t="s">
        <v>727</v>
      </c>
      <c r="BW118" s="44" t="str">
        <f>IFERROR(VLOOKUP(C118,'спецификация'!B:AA,16,0)," ")</f>
        <v>https://docs.google.com/document/d/17vFG6AhhCXdDPeLpUXvtOv34yRlarYT12frJUNtdf9s/edit?usp=sharing</v>
      </c>
      <c r="BX118" s="43"/>
      <c r="BY118" s="43"/>
      <c r="BZ118" s="44" t="str">
        <f>IFERROR(VLOOKUP(BF118,'спецификация'!D:Y,22,0)," ")</f>
        <v>https://drive.google.com/drive/u/0/folders/1VsmyVVydmkhy-roPjZ-DSMlb1dwgK6OD</v>
      </c>
      <c r="CA118" s="43"/>
      <c r="CB118" s="43"/>
      <c r="CC118" s="43"/>
      <c r="CD118" s="43"/>
      <c r="CE118" s="43"/>
      <c r="CF118" s="43"/>
      <c r="CG118" s="49">
        <f>IFERROR(VLOOKUP(C118,CC!A:D,4,0)," ")</f>
        <v>241</v>
      </c>
      <c r="CH118" s="22" t="str">
        <f>IFERROR(VLOOKUP(C118,'спецификация'!B:AA,19,0)," ")</f>
        <v>ООО "Грин сайд», Алтайский край,г.Барнаул, пр-т Южный дом 9, стр.Н-1. </v>
      </c>
      <c r="CI118" s="22"/>
      <c r="CJ118" s="22" t="s">
        <v>2032</v>
      </c>
      <c r="CK118" s="22">
        <f>IFERROR(VLOOKUP(C118,CC!K:M,3,0)," ")</f>
        <v>90</v>
      </c>
      <c r="CL118" s="43"/>
      <c r="CM118" s="43"/>
      <c r="CN118" s="43"/>
      <c r="CO118" s="43"/>
      <c r="CP118" s="43"/>
      <c r="CQ118" s="43"/>
      <c r="CR118" s="43"/>
      <c r="CS118" s="43" t="b">
        <v>0</v>
      </c>
      <c r="CT118" s="43" t="b">
        <v>0</v>
      </c>
      <c r="CU118" s="43" t="b">
        <v>0</v>
      </c>
      <c r="CV118" s="43" t="b">
        <v>0</v>
      </c>
      <c r="CW118" s="43"/>
      <c r="CX118" s="43"/>
      <c r="CY118" s="43"/>
      <c r="CZ118" s="43"/>
      <c r="DA118" s="43"/>
      <c r="DB118" s="43"/>
      <c r="DC118" s="43"/>
      <c r="DD118" s="22">
        <f>IFERROR(VLOOKUP($C118,'Лист4'!$D:$AI,27,0)," ")</f>
        <v>6</v>
      </c>
      <c r="DE118" s="22">
        <f>IFERROR(VLOOKUP($C118,'Лист4'!$D:$AI,28,0)," ")</f>
        <v>12</v>
      </c>
      <c r="DF118" s="22">
        <f>IFERROR(VLOOKUP($C118,'Лист4'!$D:$AI,29,0)," ")</f>
        <v>6</v>
      </c>
      <c r="DG118" s="22">
        <f t="shared" si="3"/>
        <v>432</v>
      </c>
      <c r="DH118" s="22">
        <f>IFERROR(VLOOKUP($C118,'Лист4'!$D:$AI,32,0)," ")</f>
        <v>0.06</v>
      </c>
      <c r="DI118" s="22"/>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43"/>
      <c r="EN118" s="43"/>
      <c r="EO118" s="43"/>
      <c r="EP118" s="43"/>
      <c r="EQ118" s="43"/>
      <c r="ER118" s="43"/>
      <c r="ES118" s="43"/>
      <c r="ET118" s="43"/>
      <c r="EU118" s="43"/>
      <c r="EV118" s="43"/>
      <c r="EW118" s="43"/>
      <c r="EX118" s="43"/>
      <c r="EY118" s="43"/>
      <c r="EZ118" s="43"/>
      <c r="FA118" s="43"/>
      <c r="FB118" s="43"/>
      <c r="FC118" s="43"/>
    </row>
    <row r="119" ht="18.0" customHeight="1">
      <c r="A119" s="2"/>
      <c r="B119" s="22" t="str">
        <f>IFERROR(VLOOKUP(C119,'Реестр'!C:AC,27,0)," ")</f>
        <v>Биг-Л</v>
      </c>
      <c r="C119" s="43" t="s">
        <v>2033</v>
      </c>
      <c r="D119" s="22" t="str">
        <f>IFERROR(VLOOKUP(C119,'Лист4'!D:P,13,0)," ")</f>
        <v>qeep</v>
      </c>
      <c r="E119" s="22" t="str">
        <f>IF(OR(ISERROR(VLOOKUP(C119,'Актуальность'!A:B,2,0)), VLOOKUP(C119,'Актуальность'!A:B,2,0)=""), "Актуальный", VLOOKUP(C119,'Актуальность'!A:B,2,0))</f>
        <v>Вывод</v>
      </c>
      <c r="F119" s="43" t="str">
        <f>IFERROR(VLOOKUP(C119,'Актуальность'!A:C,3,0)," ")</f>
        <v>Старый артикул</v>
      </c>
      <c r="G119" s="43"/>
      <c r="H119" s="22"/>
      <c r="I119" s="22"/>
      <c r="J119" s="43"/>
      <c r="K119" s="43"/>
      <c r="L119" s="22" t="b">
        <f t="shared" ref="L119:R119" si="115">T119&lt;&gt;""</f>
        <v>1</v>
      </c>
      <c r="M119" s="22" t="b">
        <f t="shared" si="115"/>
        <v>1</v>
      </c>
      <c r="N119" s="22" t="b">
        <f t="shared" si="115"/>
        <v>1</v>
      </c>
      <c r="O119" s="22" t="b">
        <f t="shared" si="115"/>
        <v>1</v>
      </c>
      <c r="P119" s="22" t="b">
        <f t="shared" si="115"/>
        <v>0</v>
      </c>
      <c r="Q119" s="22" t="b">
        <f t="shared" si="115"/>
        <v>0</v>
      </c>
      <c r="R119" s="22" t="b">
        <f t="shared" si="115"/>
        <v>0</v>
      </c>
      <c r="S119" s="43"/>
      <c r="T119" s="43" t="str">
        <f>IFERROR(VLOOKUP( C119,'1С'!A:B,2,0)," ")</f>
        <v>QB101100434</v>
      </c>
      <c r="U119" s="22" t="str">
        <f>IFERROR(VLOOKUP(T119,'Лист4'!C:I,3,0)," ")</f>
        <v>qeep_ginseng_60tabs</v>
      </c>
      <c r="V119" s="22" t="str">
        <f>IFERROR(VLOOKUP(T119,'Лист4'!C:I,4,0)," ")</f>
        <v>qeep_ginseng_60tabs</v>
      </c>
      <c r="W119" s="22" t="str">
        <f>IFERROR(VLOOKUP(T119,'Лист4'!C:I,5,0)," ")</f>
        <v>qeep_ginseng_60tabs</v>
      </c>
      <c r="X119" s="43" t="str">
        <f>IFERROR(VLOOKUP(T119,'Лист4'!C:I,7,0)," ")</f>
        <v/>
      </c>
      <c r="Y119" s="43" t="str">
        <f>IFERROR(VLOOKUP(T119,'Лист4'!C:I,6,0)," ")</f>
        <v/>
      </c>
      <c r="Z119" s="43"/>
      <c r="AA119" s="43"/>
      <c r="AB119" s="22">
        <v>1.57007801E8</v>
      </c>
      <c r="AC119" s="22">
        <v>9.46976846E8</v>
      </c>
      <c r="AD119" s="22">
        <v>1.02022022998E11</v>
      </c>
      <c r="AE119" s="22"/>
      <c r="AF119" s="22"/>
      <c r="AG119" s="43"/>
      <c r="AH119" s="43"/>
      <c r="AI119" s="43" t="str">
        <f>IFERROR(VLOOKUP(T119,'1С'!B:C,2,0)," ")</f>
        <v>БАД Женьшень ,qeep, 60 таблеток</v>
      </c>
      <c r="AJ119" s="22" t="s">
        <v>2036</v>
      </c>
      <c r="AK119" s="22" t="s">
        <v>2037</v>
      </c>
      <c r="AL119" s="22" t="s">
        <v>2037</v>
      </c>
      <c r="AM119" s="43"/>
      <c r="AN119" s="43"/>
      <c r="AO119" s="43"/>
      <c r="AP119" s="43"/>
      <c r="AQ119" s="46" t="s">
        <v>2038</v>
      </c>
      <c r="AR119" s="46" t="s">
        <v>2039</v>
      </c>
      <c r="AS119" s="43"/>
      <c r="AT119" s="43"/>
      <c r="AU119" s="43"/>
      <c r="AV119" s="43"/>
      <c r="AW119" s="43"/>
      <c r="AX119" s="22" t="s">
        <v>361</v>
      </c>
      <c r="AY119" s="22" t="s">
        <v>2037</v>
      </c>
      <c r="AZ119" s="22" t="s">
        <v>372</v>
      </c>
      <c r="BA119" s="43"/>
      <c r="BB119" s="43"/>
      <c r="BC119" s="43"/>
      <c r="BD119" s="43"/>
      <c r="BE119" s="43"/>
      <c r="BF119" s="22">
        <f>IFERROR(VLOOKUP(C119,'спецификация'!B:D,3,0)," ")</f>
        <v>4607025202899</v>
      </c>
      <c r="BG119" s="22">
        <v>2.106909808E9</v>
      </c>
      <c r="BH119" s="22" t="str">
        <f>IFERROR(VLOOKUP(C119,'спецификация'!B:AA,5,0)," ")</f>
        <v>RU.77.99.88.003.R.000771.03.22 от 15.03.2022</v>
      </c>
      <c r="BI119" s="22"/>
      <c r="BJ119" s="22" t="str">
        <f>IFERROR(VLOOKUP(C119,'спецификация'!B:AA,6,0)," ")</f>
        <v>ЧЗ</v>
      </c>
      <c r="BK119" s="43"/>
      <c r="BL119" s="43"/>
      <c r="BM119" s="22" t="str">
        <f>IFERROR(VLOOKUP(BF119,'спецификация'!D:H,5,0)," ")</f>
        <v>экстракт корней женьшеня, экстракт плодов шиповника, кальция стеарат (антислеживающий агент), Лактоза (наполнитель).</v>
      </c>
      <c r="BN119" s="43"/>
      <c r="BO119" s="22" t="str">
        <f>IFERROR(VLOOKUP(C119,'спецификация'!B:AA,10,0)," ")</f>
        <v>Взрослым по 2 таблетки в день во время еды, продолжительность приема - 2 недели. Перерыв между приемами не менее 10 дней. </v>
      </c>
      <c r="BP119" s="43" t="str">
        <f>IFERROR(VLOOKUP(C119,'спецификация'!B:AA,11,0)," ")</f>
        <v>индивидуальная непереносимость компонентов продукта, беременным и кормящим женщинам, повышенная нервная возбудимость, бессонница, повышенное артериальное давление, нарушение сердечной деятельности, выраженный атеросклероз, не принимать в вечернее время. Перед применением необходимо проконсультироваться с врачом. </v>
      </c>
      <c r="BQ119" s="22" t="str">
        <f>IFERROR(VLOOKUP(C119,'спецификация'!B:AA,12,0)," ")</f>
        <v>Хранить в сухом, защищённом от света месте, при температуре не выше 25°С</v>
      </c>
      <c r="BR119" s="22">
        <v>60.0</v>
      </c>
      <c r="BS119" s="22" t="s">
        <v>2045</v>
      </c>
      <c r="BT119" s="22"/>
      <c r="BU119" s="22"/>
      <c r="BV119" s="22" t="s">
        <v>307</v>
      </c>
      <c r="BW119" s="44" t="str">
        <f>IFERROR(VLOOKUP(C119,'спецификация'!B:AA,16,0)," ")</f>
        <v>https://docs.google.com/document/d/11j4gT8mWiV4RPBMlpHZeWdHpdrsJQ8yuj2MBiKOFI64/edit?usp=sharing</v>
      </c>
      <c r="BX119" s="43"/>
      <c r="BY119" s="43"/>
      <c r="BZ119" s="44" t="str">
        <f>IFERROR(VLOOKUP(BF119,'спецификация'!D:Y,22,0)," ")</f>
        <v>https://drive.google.com/drive/u/0/folders/1cL0YNWfzp1cHkAKqgRTVUQ0zM4ItoU-8</v>
      </c>
      <c r="CA119" s="43"/>
      <c r="CB119" s="43"/>
      <c r="CC119" s="43"/>
      <c r="CD119" s="43"/>
      <c r="CE119" s="43"/>
      <c r="CF119" s="43"/>
      <c r="CG119" s="49">
        <f>IFERROR(VLOOKUP(C119,CC!A:D,4,0)," ")</f>
        <v>146.1</v>
      </c>
      <c r="CH119" s="22" t="str">
        <f>IFERROR(VLOOKUP(C119,'спецификация'!B:AA,19,0)," ")</f>
        <v>ООО «Витамер», 117623, РФ, г. Москва, вн.тер.г. муниципальный округ Южное Бутово, ул. 2-я Мелитопольская, д.19, к.2, кв.57. Адрес производства: 601144, РФ, Владимирская обл., г. Петушки, ул. Совхозная, д. 11</v>
      </c>
      <c r="CI119" s="22"/>
      <c r="CJ119" s="22" t="s">
        <v>902</v>
      </c>
      <c r="CK119" s="22">
        <f>IFERROR(VLOOKUP(C119,CC!K:M,3,0)," ")</f>
        <v>60</v>
      </c>
      <c r="CL119" s="43"/>
      <c r="CM119" s="43"/>
      <c r="CN119" s="43"/>
      <c r="CO119" s="43"/>
      <c r="CP119" s="43"/>
      <c r="CQ119" s="43"/>
      <c r="CR119" s="43"/>
      <c r="CS119" s="43" t="b">
        <v>0</v>
      </c>
      <c r="CT119" s="43" t="b">
        <v>0</v>
      </c>
      <c r="CU119" s="43" t="b">
        <v>0</v>
      </c>
      <c r="CV119" s="43" t="b">
        <v>0</v>
      </c>
      <c r="CW119" s="43"/>
      <c r="CX119" s="43"/>
      <c r="CY119" s="43"/>
      <c r="CZ119" s="43"/>
      <c r="DA119" s="43"/>
      <c r="DB119" s="43"/>
      <c r="DC119" s="43"/>
      <c r="DD119" s="22">
        <f>IFERROR(VLOOKUP($C119,'Лист4'!$D:$AI,27,0)," ")</f>
        <v>10</v>
      </c>
      <c r="DE119" s="22">
        <f>IFERROR(VLOOKUP($C119,'Лист4'!$D:$AI,28,0)," ")</f>
        <v>5</v>
      </c>
      <c r="DF119" s="22">
        <f>IFERROR(VLOOKUP($C119,'Лист4'!$D:$AI,29,0)," ")</f>
        <v>10</v>
      </c>
      <c r="DG119" s="22">
        <f t="shared" si="3"/>
        <v>500</v>
      </c>
      <c r="DH119" s="22">
        <f>IFERROR(VLOOKUP($C119,'Лист4'!$D:$AI,32,0)," ")</f>
        <v>0.04</v>
      </c>
      <c r="DI119" s="22"/>
      <c r="DJ119" s="22"/>
      <c r="DK119" s="22"/>
      <c r="DL119" s="22"/>
      <c r="DM119" s="22"/>
      <c r="DN119" s="22"/>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43"/>
      <c r="EN119" s="43"/>
      <c r="EO119" s="43"/>
      <c r="EP119" s="43"/>
      <c r="EQ119" s="43"/>
      <c r="ER119" s="43"/>
      <c r="ES119" s="43"/>
      <c r="ET119" s="43"/>
      <c r="EU119" s="43"/>
      <c r="EV119" s="43"/>
      <c r="EW119" s="43"/>
      <c r="EX119" s="43"/>
      <c r="EY119" s="43"/>
      <c r="EZ119" s="43"/>
      <c r="FA119" s="43"/>
      <c r="FB119" s="43"/>
      <c r="FC119" s="43"/>
    </row>
    <row r="120" ht="18.0" customHeight="1">
      <c r="A120" s="2"/>
      <c r="B120" s="22" t="str">
        <f>IFERROR(VLOOKUP(C120,'Реестр'!C:AC,27,0)," ")</f>
        <v>Биг-Л</v>
      </c>
      <c r="C120" s="43" t="s">
        <v>2048</v>
      </c>
      <c r="D120" s="22" t="str">
        <f>IFERROR(VLOOKUP(C120,'Лист4'!D:P,13,0)," ")</f>
        <v>qeep</v>
      </c>
      <c r="E120" s="22" t="str">
        <f>IF(OR(ISERROR(VLOOKUP(C120,'Актуальность'!A:B,2,0)), VLOOKUP(C120,'Актуальность'!A:B,2,0)=""), "Актуальный", VLOOKUP(C120,'Актуальность'!A:B,2,0))</f>
        <v>Вывод</v>
      </c>
      <c r="F120" s="43" t="str">
        <f>IFERROR(VLOOKUP(C120,'Актуальность'!A:C,3,0)," ")</f>
        <v>Старый артикул</v>
      </c>
      <c r="G120" s="43"/>
      <c r="H120" s="22"/>
      <c r="I120" s="22"/>
      <c r="J120" s="43"/>
      <c r="K120" s="43"/>
      <c r="L120" s="22" t="b">
        <f t="shared" ref="L120:R120" si="116">T120&lt;&gt;""</f>
        <v>1</v>
      </c>
      <c r="M120" s="22" t="b">
        <f t="shared" si="116"/>
        <v>1</v>
      </c>
      <c r="N120" s="22" t="b">
        <f t="shared" si="116"/>
        <v>1</v>
      </c>
      <c r="O120" s="22" t="b">
        <f t="shared" si="116"/>
        <v>1</v>
      </c>
      <c r="P120" s="22" t="b">
        <f t="shared" si="116"/>
        <v>0</v>
      </c>
      <c r="Q120" s="22" t="b">
        <f t="shared" si="116"/>
        <v>0</v>
      </c>
      <c r="R120" s="22" t="b">
        <f t="shared" si="116"/>
        <v>0</v>
      </c>
      <c r="S120" s="43"/>
      <c r="T120" s="43" t="str">
        <f>IFERROR(VLOOKUP( C120,'1С'!A:B,2,0)," ")</f>
        <v>QB101100453</v>
      </c>
      <c r="U120" s="22" t="str">
        <f>IFERROR(VLOOKUP(T120,'Лист4'!C:I,3,0)," ")</f>
        <v>qeep_beautybox</v>
      </c>
      <c r="V120" s="22" t="str">
        <f>IFERROR(VLOOKUP(T120,'Лист4'!C:I,4,0)," ")</f>
        <v>qeep_beautybox</v>
      </c>
      <c r="W120" s="22" t="str">
        <f>IFERROR(VLOOKUP(T120,'Лист4'!C:I,5,0)," ")</f>
        <v>qeep_beautybox</v>
      </c>
      <c r="X120" s="43" t="str">
        <f>IFERROR(VLOOKUP(T120,'Лист4'!C:I,7,0)," ")</f>
        <v/>
      </c>
      <c r="Y120" s="43" t="str">
        <f>IFERROR(VLOOKUP(T120,'Лист4'!C:I,6,0)," ")</f>
        <v/>
      </c>
      <c r="Z120" s="43"/>
      <c r="AA120" s="43"/>
      <c r="AB120" s="22">
        <v>2.94499169E8</v>
      </c>
      <c r="AC120" s="22">
        <v>1.773312643E9</v>
      </c>
      <c r="AD120" s="22">
        <v>1.0366547817E11</v>
      </c>
      <c r="AE120" s="22"/>
      <c r="AF120" s="22"/>
      <c r="AG120" s="43"/>
      <c r="AH120" s="43"/>
      <c r="AI120" s="43" t="str">
        <f>IFERROR(VLOOKUP(T120,'1С'!B:C,2,0)," ")</f>
        <v>БАД Комплекс витаминов для женщин ,qeep, набор</v>
      </c>
      <c r="AJ120" s="22" t="s">
        <v>2051</v>
      </c>
      <c r="AK120" s="22" t="s">
        <v>2052</v>
      </c>
      <c r="AL120" s="22" t="s">
        <v>2052</v>
      </c>
      <c r="AM120" s="43"/>
      <c r="AN120" s="43"/>
      <c r="AO120" s="43"/>
      <c r="AP120" s="43"/>
      <c r="AQ120" s="46" t="s">
        <v>2053</v>
      </c>
      <c r="AR120" s="46" t="s">
        <v>2054</v>
      </c>
      <c r="AS120" s="46" t="s">
        <v>2055</v>
      </c>
      <c r="AT120" s="43"/>
      <c r="AU120" s="43"/>
      <c r="AV120" s="43"/>
      <c r="AW120" s="43"/>
      <c r="AX120" s="22" t="s">
        <v>361</v>
      </c>
      <c r="AY120" s="22" t="s">
        <v>2052</v>
      </c>
      <c r="AZ120" s="22" t="s">
        <v>372</v>
      </c>
      <c r="BA120" s="43"/>
      <c r="BB120" s="43"/>
      <c r="BC120" s="43"/>
      <c r="BD120" s="43"/>
      <c r="BE120" s="43"/>
      <c r="BF120" s="22" t="str">
        <f>IFERROR(VLOOKUP(C120,'спецификация'!B:D,3,0)," ")</f>
        <v>4680201379646</v>
      </c>
      <c r="BG120" s="22">
        <v>2.106909808E9</v>
      </c>
      <c r="BH120" s="22" t="str">
        <f>IFERROR(VLOOKUP(C120,'спецификация'!B:AA,5,0)," ")</f>
        <v/>
      </c>
      <c r="BI120" s="22"/>
      <c r="BJ120" s="22" t="str">
        <f>IFERROR(VLOOKUP(C120,'спецификация'!B:AA,6,0)," ")</f>
        <v>без ЧЗ</v>
      </c>
      <c r="BK120" s="43"/>
      <c r="BL120" s="43"/>
      <c r="BM120" s="22" t="str">
        <f>IFERROR(VLOOKUP(BF120,'спецификация'!D:H,5,0)," ")</f>
        <v>qeep_biotin_5000_60caps qeepTVomega_3_1620 qeep_perfectwoman_60caps</v>
      </c>
      <c r="BN120" s="43"/>
      <c r="BO120" s="22" t="str">
        <f>IFERROR(VLOOKUP(C120,'спецификация'!B:AA,10,0)," ")</f>
        <v/>
      </c>
      <c r="BP120" s="43" t="str">
        <f>IFERROR(VLOOKUP(C120,'спецификация'!B:AA,11,0)," ")</f>
        <v/>
      </c>
      <c r="BQ120" s="22" t="str">
        <f>IFERROR(VLOOKUP(C120,'спецификация'!B:AA,12,0)," ")</f>
        <v/>
      </c>
      <c r="BR120" s="22">
        <v>150.0</v>
      </c>
      <c r="BS120" s="22" t="s">
        <v>621</v>
      </c>
      <c r="BT120" s="22"/>
      <c r="BU120" s="22"/>
      <c r="BV120" s="22"/>
      <c r="BW120" s="45" t="str">
        <f>IFERROR(VLOOKUP(C120,'спецификация'!B:AA,16,0)," ")</f>
        <v/>
      </c>
      <c r="BX120" s="43"/>
      <c r="BY120" s="43"/>
      <c r="BZ120" s="45" t="str">
        <f>IFERROR(VLOOKUP(BF120,'спецификация'!D:Y,22,0)," ")</f>
        <v/>
      </c>
      <c r="CA120" s="43"/>
      <c r="CB120" s="43"/>
      <c r="CC120" s="43"/>
      <c r="CD120" s="43"/>
      <c r="CE120" s="43"/>
      <c r="CF120" s="43"/>
      <c r="CG120" s="49">
        <f>IFERROR(VLOOKUP(C120,CC!A:D,4,0)," ")</f>
        <v>948.2</v>
      </c>
      <c r="CH120" s="22" t="str">
        <f>IFERROR(VLOOKUP(C120,'спецификация'!B:AA,19,0)," ")</f>
        <v/>
      </c>
      <c r="CI120" s="22"/>
      <c r="CJ120" s="43"/>
      <c r="CK120" s="22">
        <f>IFERROR(VLOOKUP(C120,CC!K:M,3,0)," ")</f>
        <v>90</v>
      </c>
      <c r="CL120" s="43"/>
      <c r="CM120" s="43"/>
      <c r="CN120" s="43"/>
      <c r="CO120" s="43"/>
      <c r="CP120" s="43"/>
      <c r="CQ120" s="43"/>
      <c r="CR120" s="43"/>
      <c r="CS120" s="43" t="b">
        <v>0</v>
      </c>
      <c r="CT120" s="43" t="b">
        <v>0</v>
      </c>
      <c r="CU120" s="43" t="b">
        <v>0</v>
      </c>
      <c r="CV120" s="43" t="b">
        <v>0</v>
      </c>
      <c r="CW120" s="43"/>
      <c r="CX120" s="43"/>
      <c r="CY120" s="43"/>
      <c r="CZ120" s="43"/>
      <c r="DA120" s="43"/>
      <c r="DB120" s="43"/>
      <c r="DC120" s="43"/>
      <c r="DD120" s="22">
        <f>IFERROR(VLOOKUP($C120,'Лист4'!$D:$AI,27,0)," ")</f>
        <v>19</v>
      </c>
      <c r="DE120" s="22">
        <f>IFERROR(VLOOKUP($C120,'Лист4'!$D:$AI,28,0)," ")</f>
        <v>11</v>
      </c>
      <c r="DF120" s="22">
        <f>IFERROR(VLOOKUP($C120,'Лист4'!$D:$AI,29,0)," ")</f>
        <v>19</v>
      </c>
      <c r="DG120" s="22">
        <f t="shared" si="3"/>
        <v>3971</v>
      </c>
      <c r="DH120" s="22">
        <f>IFERROR(VLOOKUP($C120,'Лист4'!$D:$AI,32,0)," ")</f>
        <v>0.25</v>
      </c>
      <c r="DI120" s="22"/>
      <c r="DJ120" s="22"/>
      <c r="DK120" s="22"/>
      <c r="DL120" s="22"/>
      <c r="DM120" s="22"/>
      <c r="DN120" s="22"/>
      <c r="DO120" s="22"/>
      <c r="DP120" s="22"/>
      <c r="DQ120" s="22"/>
      <c r="DR120" s="22"/>
      <c r="DS120" s="22"/>
      <c r="DT120" s="22"/>
      <c r="DU120" s="22"/>
      <c r="DV120" s="22"/>
      <c r="DW120" s="22"/>
      <c r="DX120" s="22"/>
      <c r="DY120" s="22"/>
      <c r="DZ120" s="22"/>
      <c r="EA120" s="22"/>
      <c r="EB120" s="22"/>
      <c r="EC120" s="22"/>
      <c r="ED120" s="22"/>
      <c r="EE120" s="22"/>
      <c r="EF120" s="22"/>
      <c r="EG120" s="22"/>
      <c r="EH120" s="22"/>
      <c r="EI120" s="22"/>
      <c r="EJ120" s="22"/>
      <c r="EK120" s="22"/>
      <c r="EL120" s="22"/>
      <c r="EM120" s="43"/>
      <c r="EN120" s="43"/>
      <c r="EO120" s="43"/>
      <c r="EP120" s="43"/>
      <c r="EQ120" s="43"/>
      <c r="ER120" s="43"/>
      <c r="ES120" s="43"/>
      <c r="ET120" s="43"/>
      <c r="EU120" s="43"/>
      <c r="EV120" s="43"/>
      <c r="EW120" s="43"/>
      <c r="EX120" s="43"/>
      <c r="EY120" s="43"/>
      <c r="EZ120" s="43"/>
      <c r="FA120" s="43"/>
      <c r="FB120" s="43"/>
      <c r="FC120" s="43"/>
    </row>
    <row r="121" ht="18.0" customHeight="1">
      <c r="A121" s="2"/>
      <c r="B121" s="22" t="str">
        <f>IFERROR(VLOOKUP(C121,'Реестр'!C:AC,27,0)," ")</f>
        <v>Биг-Л</v>
      </c>
      <c r="C121" s="43" t="s">
        <v>2058</v>
      </c>
      <c r="D121" s="22" t="str">
        <f>IFERROR(VLOOKUP(C121,'Лист4'!D:P,13,0)," ")</f>
        <v>qeep</v>
      </c>
      <c r="E121" s="22" t="str">
        <f>IF(OR(ISERROR(VLOOKUP(C121,'Актуальность'!A:B,2,0)), VLOOKUP(C121,'Актуальность'!A:B,2,0)=""), "Актуальный", VLOOKUP(C121,'Актуальность'!A:B,2,0))</f>
        <v>Вывод</v>
      </c>
      <c r="F121" s="43" t="str">
        <f>IFERROR(VLOOKUP(C121,'Актуальность'!A:C,3,0)," ")</f>
        <v>Старый артикул</v>
      </c>
      <c r="G121" s="43"/>
      <c r="H121" s="22"/>
      <c r="I121" s="22"/>
      <c r="J121" s="43"/>
      <c r="K121" s="43"/>
      <c r="L121" s="22" t="b">
        <f t="shared" ref="L121:R121" si="117">T121&lt;&gt;""</f>
        <v>1</v>
      </c>
      <c r="M121" s="22" t="b">
        <f t="shared" si="117"/>
        <v>1</v>
      </c>
      <c r="N121" s="22" t="b">
        <f t="shared" si="117"/>
        <v>1</v>
      </c>
      <c r="O121" s="22" t="b">
        <f t="shared" si="117"/>
        <v>1</v>
      </c>
      <c r="P121" s="22" t="b">
        <f t="shared" si="117"/>
        <v>0</v>
      </c>
      <c r="Q121" s="22" t="b">
        <f t="shared" si="117"/>
        <v>0</v>
      </c>
      <c r="R121" s="22" t="b">
        <f t="shared" si="117"/>
        <v>0</v>
      </c>
      <c r="S121" s="43"/>
      <c r="T121" s="43" t="str">
        <f>IFERROR(VLOOKUP( C121,'1С'!A:B,2,0)," ")</f>
        <v>QB101100414</v>
      </c>
      <c r="U121" s="22" t="str">
        <f>IFERROR(VLOOKUP(T121,'Лист4'!C:I,3,0)," ")</f>
        <v>qeep_winterbox</v>
      </c>
      <c r="V121" s="22" t="str">
        <f>IFERROR(VLOOKUP(T121,'Лист4'!C:I,4,0)," ")</f>
        <v>qeep_winterbox</v>
      </c>
      <c r="W121" s="22" t="str">
        <f>IFERROR(VLOOKUP(T121,'Лист4'!C:I,5,0)," ")</f>
        <v>qeep_winterbox</v>
      </c>
      <c r="X121" s="43" t="str">
        <f>IFERROR(VLOOKUP(T121,'Лист4'!C:I,7,0)," ")</f>
        <v/>
      </c>
      <c r="Y121" s="43" t="str">
        <f>IFERROR(VLOOKUP(T121,'Лист4'!C:I,6,0)," ")</f>
        <v/>
      </c>
      <c r="Z121" s="43"/>
      <c r="AA121" s="43"/>
      <c r="AB121" s="22">
        <v>2.94499845E8</v>
      </c>
      <c r="AC121" s="22">
        <v>1.773357213E9</v>
      </c>
      <c r="AD121" s="22">
        <v>1.03665484859E11</v>
      </c>
      <c r="AE121" s="22"/>
      <c r="AF121" s="22"/>
      <c r="AG121" s="43"/>
      <c r="AH121" s="43"/>
      <c r="AI121" s="43" t="str">
        <f>IFERROR(VLOOKUP(T121,'1С'!B:C,2,0)," ")</f>
        <v>БАД Витамины для иммунитета ,qeep, набор</v>
      </c>
      <c r="AJ121" s="22" t="s">
        <v>2061</v>
      </c>
      <c r="AK121" s="22" t="s">
        <v>2062</v>
      </c>
      <c r="AL121" s="22" t="s">
        <v>2063</v>
      </c>
      <c r="AM121" s="43"/>
      <c r="AN121" s="43"/>
      <c r="AO121" s="43"/>
      <c r="AP121" s="43"/>
      <c r="AQ121" s="46" t="s">
        <v>2064</v>
      </c>
      <c r="AR121" s="46" t="s">
        <v>2065</v>
      </c>
      <c r="AS121" s="46" t="s">
        <v>2066</v>
      </c>
      <c r="AT121" s="43"/>
      <c r="AU121" s="43"/>
      <c r="AV121" s="43"/>
      <c r="AW121" s="43"/>
      <c r="AX121" s="22" t="s">
        <v>361</v>
      </c>
      <c r="AY121" s="22" t="s">
        <v>2062</v>
      </c>
      <c r="AZ121" s="22" t="s">
        <v>372</v>
      </c>
      <c r="BA121" s="43"/>
      <c r="BB121" s="43"/>
      <c r="BC121" s="43"/>
      <c r="BD121" s="43"/>
      <c r="BE121" s="43"/>
      <c r="BF121" s="22" t="str">
        <f>IFERROR(VLOOKUP(C121,'спецификация'!B:D,3,0)," ")</f>
        <v>4680201379622</v>
      </c>
      <c r="BG121" s="22">
        <v>2.106909808E9</v>
      </c>
      <c r="BH121" s="22" t="str">
        <f>IFERROR(VLOOKUP(C121,'спецификация'!B:AA,5,0)," ")</f>
        <v/>
      </c>
      <c r="BI121" s="22"/>
      <c r="BJ121" s="22" t="str">
        <f>IFERROR(VLOOKUP(C121,'спецификация'!B:AA,6,0)," ")</f>
        <v>без ЧЗ</v>
      </c>
      <c r="BK121" s="43"/>
      <c r="BL121" s="43"/>
      <c r="BM121" s="22" t="str">
        <f>IFERROR(VLOOKUP(BF121,'спецификация'!D:H,5,0)," ")</f>
        <v>qeep_D3_2000ME_120caps qeep_sodium_ascorbate_90caps qeep_zinc_30tabs</v>
      </c>
      <c r="BN121" s="43"/>
      <c r="BO121" s="22" t="str">
        <f>IFERROR(VLOOKUP(C121,'спецификация'!B:AA,10,0)," ")</f>
        <v/>
      </c>
      <c r="BP121" s="43" t="str">
        <f>IFERROR(VLOOKUP(C121,'спецификация'!B:AA,11,0)," ")</f>
        <v/>
      </c>
      <c r="BQ121" s="22" t="str">
        <f>IFERROR(VLOOKUP(C121,'спецификация'!B:AA,12,0)," ")</f>
        <v/>
      </c>
      <c r="BR121" s="22"/>
      <c r="BS121" s="43"/>
      <c r="BT121" s="43"/>
      <c r="BU121" s="22"/>
      <c r="BV121" s="22"/>
      <c r="BW121" s="45" t="str">
        <f>IFERROR(VLOOKUP(C121,'спецификация'!B:AA,16,0)," ")</f>
        <v/>
      </c>
      <c r="BX121" s="43"/>
      <c r="BY121" s="43"/>
      <c r="BZ121" s="45" t="str">
        <f>IFERROR(VLOOKUP(BF121,'спецификация'!D:Y,22,0)," ")</f>
        <v/>
      </c>
      <c r="CA121" s="43"/>
      <c r="CB121" s="43"/>
      <c r="CC121" s="43"/>
      <c r="CD121" s="43"/>
      <c r="CE121" s="43"/>
      <c r="CF121" s="43"/>
      <c r="CG121" s="49">
        <f>IFERROR(VLOOKUP(C121,CC!A:D,4,0)," ")</f>
        <v>511.4</v>
      </c>
      <c r="CH121" s="22" t="str">
        <f>IFERROR(VLOOKUP(C121,'спецификация'!B:AA,19,0)," ")</f>
        <v/>
      </c>
      <c r="CI121" s="22"/>
      <c r="CJ121" s="43"/>
      <c r="CK121" s="22">
        <f>IFERROR(VLOOKUP(C121,CC!K:M,3,0)," ")</f>
        <v>90</v>
      </c>
      <c r="CL121" s="43"/>
      <c r="CM121" s="43"/>
      <c r="CN121" s="43"/>
      <c r="CO121" s="43"/>
      <c r="CP121" s="43"/>
      <c r="CQ121" s="43"/>
      <c r="CR121" s="43"/>
      <c r="CS121" s="43" t="b">
        <v>0</v>
      </c>
      <c r="CT121" s="43" t="b">
        <v>0</v>
      </c>
      <c r="CU121" s="43" t="b">
        <v>0</v>
      </c>
      <c r="CV121" s="43" t="b">
        <v>0</v>
      </c>
      <c r="CW121" s="43"/>
      <c r="CX121" s="43"/>
      <c r="CY121" s="43"/>
      <c r="CZ121" s="43"/>
      <c r="DA121" s="43"/>
      <c r="DB121" s="43"/>
      <c r="DC121" s="43"/>
      <c r="DD121" s="22">
        <f>IFERROR(VLOOKUP($C121,'Лист4'!$D:$AI,27,0)," ")</f>
        <v>19</v>
      </c>
      <c r="DE121" s="22">
        <f>IFERROR(VLOOKUP($C121,'Лист4'!$D:$AI,28,0)," ")</f>
        <v>13</v>
      </c>
      <c r="DF121" s="22">
        <f>IFERROR(VLOOKUP($C121,'Лист4'!$D:$AI,29,0)," ")</f>
        <v>19</v>
      </c>
      <c r="DG121" s="22">
        <f t="shared" si="3"/>
        <v>4693</v>
      </c>
      <c r="DH121" s="22">
        <f>IFERROR(VLOOKUP($C121,'Лист4'!$D:$AI,32,0)," ")</f>
        <v>0.25</v>
      </c>
      <c r="DI121" s="22"/>
      <c r="DJ121" s="22"/>
      <c r="DK121" s="22"/>
      <c r="DL121" s="22"/>
      <c r="DM121" s="22"/>
      <c r="DN121" s="22"/>
      <c r="DO121" s="22"/>
      <c r="DP121" s="22"/>
      <c r="DQ121" s="22"/>
      <c r="DR121" s="22"/>
      <c r="DS121" s="22"/>
      <c r="DT121" s="22"/>
      <c r="DU121" s="22"/>
      <c r="DV121" s="22"/>
      <c r="DW121" s="22"/>
      <c r="DX121" s="22"/>
      <c r="DY121" s="22"/>
      <c r="DZ121" s="22"/>
      <c r="EA121" s="22"/>
      <c r="EB121" s="22"/>
      <c r="EC121" s="22"/>
      <c r="ED121" s="22"/>
      <c r="EE121" s="22"/>
      <c r="EF121" s="22"/>
      <c r="EG121" s="22"/>
      <c r="EH121" s="22"/>
      <c r="EI121" s="22"/>
      <c r="EJ121" s="22"/>
      <c r="EK121" s="22"/>
      <c r="EL121" s="22"/>
      <c r="EM121" s="43"/>
      <c r="EN121" s="43"/>
      <c r="EO121" s="43"/>
      <c r="EP121" s="43"/>
      <c r="EQ121" s="43"/>
      <c r="ER121" s="43"/>
      <c r="ES121" s="43"/>
      <c r="ET121" s="43"/>
      <c r="EU121" s="43"/>
      <c r="EV121" s="43"/>
      <c r="EW121" s="43"/>
      <c r="EX121" s="43"/>
      <c r="EY121" s="43"/>
      <c r="EZ121" s="43"/>
      <c r="FA121" s="43"/>
      <c r="FB121" s="43"/>
      <c r="FC121" s="43"/>
    </row>
    <row r="122" ht="18.0" customHeight="1">
      <c r="A122" s="2"/>
      <c r="B122" s="22" t="str">
        <f>IFERROR(VLOOKUP(C122,'Реестр'!C:AC,27,0)," ")</f>
        <v>Биг-Л</v>
      </c>
      <c r="C122" s="43" t="s">
        <v>2069</v>
      </c>
      <c r="D122" s="22" t="str">
        <f>IFERROR(VLOOKUP(C122,'Лист4'!D:P,13,0)," ")</f>
        <v>qeep</v>
      </c>
      <c r="E122" s="22" t="str">
        <f>IF(OR(ISERROR(VLOOKUP(C122,'Актуальность'!A:B,2,0)), VLOOKUP(C122,'Актуальность'!A:B,2,0)=""), "Актуальный", VLOOKUP(C122,'Актуальность'!A:B,2,0))</f>
        <v>Вывод</v>
      </c>
      <c r="F122" s="43" t="str">
        <f>IFERROR(VLOOKUP(C122,'Актуальность'!A:C,3,0)," ")</f>
        <v>Старый артикул</v>
      </c>
      <c r="G122" s="43"/>
      <c r="H122" s="22"/>
      <c r="I122" s="22"/>
      <c r="J122" s="43"/>
      <c r="K122" s="43"/>
      <c r="L122" s="22" t="b">
        <f t="shared" ref="L122:R122" si="118">T122&lt;&gt;""</f>
        <v>1</v>
      </c>
      <c r="M122" s="22" t="b">
        <f t="shared" si="118"/>
        <v>1</v>
      </c>
      <c r="N122" s="22" t="b">
        <f t="shared" si="118"/>
        <v>1</v>
      </c>
      <c r="O122" s="22" t="b">
        <f t="shared" si="118"/>
        <v>0</v>
      </c>
      <c r="P122" s="22" t="b">
        <f t="shared" si="118"/>
        <v>0</v>
      </c>
      <c r="Q122" s="22" t="b">
        <f t="shared" si="118"/>
        <v>0</v>
      </c>
      <c r="R122" s="22" t="b">
        <f t="shared" si="118"/>
        <v>0</v>
      </c>
      <c r="S122" s="43"/>
      <c r="T122" s="43" t="str">
        <f>IFERROR(VLOOKUP( C122,'1С'!A:B,2,0)," ")</f>
        <v>QB101100432</v>
      </c>
      <c r="U122" s="22" t="str">
        <f>IFERROR(VLOOKUP(T122,'Лист4'!C:I,3,0)," ")</f>
        <v>qeeptripleiron</v>
      </c>
      <c r="V122" s="22" t="str">
        <f>IFERROR(VLOOKUP(T122,'Лист4'!C:I,4,0)," ")</f>
        <v>qeeptripleiron</v>
      </c>
      <c r="W122" s="22" t="str">
        <f>IFERROR(VLOOKUP(T122,'Лист4'!C:I,5,0)," ")</f>
        <v/>
      </c>
      <c r="X122" s="43" t="str">
        <f>IFERROR(VLOOKUP(T122,'Лист4'!C:I,7,0)," ")</f>
        <v/>
      </c>
      <c r="Y122" s="43" t="str">
        <f>IFERROR(VLOOKUP(T122,'Лист4'!C:I,6,0)," ")</f>
        <v/>
      </c>
      <c r="Z122" s="43"/>
      <c r="AA122" s="43"/>
      <c r="AB122" s="22">
        <v>1.33694038E8</v>
      </c>
      <c r="AC122" s="22">
        <v>7.86142411E8</v>
      </c>
      <c r="AD122" s="22"/>
      <c r="AE122" s="22"/>
      <c r="AF122" s="22"/>
      <c r="AG122" s="43"/>
      <c r="AH122" s="43"/>
      <c r="AI122" s="43" t="str">
        <f>IFERROR(VLOOKUP(T122,'1С'!B:C,2,0)," ")</f>
        <v>БАД Железо хелат ,qeep, 60 капсул</v>
      </c>
      <c r="AJ122" s="22" t="s">
        <v>2071</v>
      </c>
      <c r="AK122" s="22" t="s">
        <v>2072</v>
      </c>
      <c r="AL122" s="43"/>
      <c r="AM122" s="43"/>
      <c r="AN122" s="43"/>
      <c r="AO122" s="43"/>
      <c r="AP122" s="43"/>
      <c r="AQ122" s="46" t="s">
        <v>2073</v>
      </c>
      <c r="AR122" s="46" t="s">
        <v>2074</v>
      </c>
      <c r="AS122" s="43"/>
      <c r="AT122" s="43"/>
      <c r="AU122" s="43"/>
      <c r="AV122" s="43"/>
      <c r="AW122" s="43"/>
      <c r="AX122" s="22" t="s">
        <v>361</v>
      </c>
      <c r="AY122" s="22" t="s">
        <v>2072</v>
      </c>
      <c r="AZ122" s="43"/>
      <c r="BA122" s="43"/>
      <c r="BB122" s="43"/>
      <c r="BC122" s="43"/>
      <c r="BD122" s="43"/>
      <c r="BE122" s="43"/>
      <c r="BF122" s="22" t="str">
        <f>IFERROR(VLOOKUP(C122,'спецификация'!B:D,3,0)," ")</f>
        <v>4630040229787</v>
      </c>
      <c r="BG122" s="22">
        <v>2.106909808E9</v>
      </c>
      <c r="BH122" s="22" t="str">
        <f>IFERROR(VLOOKUP(C122,'спецификация'!B:AA,5,0)," ")</f>
        <v>AM.01.06.01.003.R.000153.12.20 от 03.12.2020 г.</v>
      </c>
      <c r="BI122" s="22"/>
      <c r="BJ122" s="22" t="str">
        <f>IFERROR(VLOOKUP(C122,'спецификация'!B:AA,6,0)," ")</f>
        <v>ЧЗ</v>
      </c>
      <c r="BK122" s="43"/>
      <c r="BL122" s="43"/>
      <c r="BM122" s="22" t="str">
        <f>IFERROR(VLOOKUP(BF122,'спецификация'!D:H,5,0)," ")</f>
        <v>инулин (носитель), хлореллы порошок, капсула желатиновая (желатин, глицерин), железа бисглицинат, витамин С (аскорбиновая кислота), мальтодекстрин (носитель), кальция стеарат (агент антислеживающий), гуммиарабик (носитель), клеточный сок пихты сибирской микрокапсулированный, витамин В9 (фолиевая кислота), витамин В12 (цианокобаламин).</v>
      </c>
      <c r="BN122" s="43"/>
      <c r="BO122" s="22" t="str">
        <f>IFERROR(VLOOKUP(C122,'спецификация'!B:AA,10,0)," ")</f>
        <v>взрослым по 1 капсуле в день. В течение двух часов после приема препарата не следует пить кофе, черный чай, молоко, кисло - молочные напитки, яйца, творог. Продолжительность приема не менее 3 месяцев. Прием повторить в течение года.</v>
      </c>
      <c r="BP122" s="43" t="str">
        <f>IFERROR(VLOOKUP(C122,'спецификация'!B:AA,11,0)," ")</f>
        <v>индивидуальная непереносимость компонентов. Перед применением рекомендуется проконсультироваться с врачом. Беременным и кормящим женщинам принимать по согласованию и под наблюдением врача.</v>
      </c>
      <c r="BQ122" s="22" t="str">
        <f>IFERROR(VLOOKUP(C122,'спецификация'!B:AA,12,0)," ")</f>
        <v>в недоступном для детей месте, при температуре не выше +25 ºС и относительной влажности воздуха не более 60%.</v>
      </c>
      <c r="BR122" s="22">
        <v>60.0</v>
      </c>
      <c r="BS122" s="22" t="s">
        <v>492</v>
      </c>
      <c r="BT122" s="22"/>
      <c r="BU122" s="22"/>
      <c r="BV122" s="22" t="s">
        <v>727</v>
      </c>
      <c r="BW122" s="44" t="str">
        <f>IFERROR(VLOOKUP(C122,'спецификация'!B:AA,16,0)," ")</f>
        <v>https://docs.google.com/document/d/1HrMubM4CRamZDRvAtmb8UDWT____zSUD/edit</v>
      </c>
      <c r="BX122" s="43"/>
      <c r="BY122" s="43"/>
      <c r="BZ122" s="44" t="str">
        <f>IFERROR(VLOOKUP(BF122,'спецификация'!D:Y,22,0)," ")</f>
        <v>https://drive.google.com/drive/u/0/folders/1_1Cod5honZP5f4C3XTa-GOsEda_HuYp7</v>
      </c>
      <c r="CA122" s="43"/>
      <c r="CB122" s="43"/>
      <c r="CC122" s="43"/>
      <c r="CD122" s="43"/>
      <c r="CE122" s="43"/>
      <c r="CF122" s="43"/>
      <c r="CG122" s="49">
        <f>IFERROR(VLOOKUP(C122,CC!A:D,4,0)," ")</f>
        <v>259.9</v>
      </c>
      <c r="CH122" s="22" t="str">
        <f>IFERROR(VLOOKUP(C122,'спецификация'!B:AA,19,0)," ")</f>
        <v>ООО «Сибфармконтракт», Россия, 634034, г. Томск, ул. Нахимова 8, стр. 11.</v>
      </c>
      <c r="CI122" s="22"/>
      <c r="CJ122" s="22" t="s">
        <v>562</v>
      </c>
      <c r="CK122" s="22" t="str">
        <f>IFERROR(VLOOKUP(C122,CC!K:M,3,0)," ")</f>
        <v> </v>
      </c>
      <c r="CL122" s="43"/>
      <c r="CM122" s="43"/>
      <c r="CN122" s="43"/>
      <c r="CO122" s="43"/>
      <c r="CP122" s="43"/>
      <c r="CQ122" s="43"/>
      <c r="CR122" s="43"/>
      <c r="CS122" s="43" t="b">
        <v>0</v>
      </c>
      <c r="CT122" s="43" t="b">
        <v>0</v>
      </c>
      <c r="CU122" s="43" t="b">
        <v>0</v>
      </c>
      <c r="CV122" s="43" t="b">
        <v>0</v>
      </c>
      <c r="CW122" s="43"/>
      <c r="CX122" s="43"/>
      <c r="CY122" s="43"/>
      <c r="CZ122" s="43"/>
      <c r="DA122" s="43"/>
      <c r="DB122" s="43"/>
      <c r="DC122" s="43"/>
      <c r="DD122" s="22">
        <f>IFERROR(VLOOKUP($C122,'Лист4'!$D:$AI,27,0)," ")</f>
        <v>10</v>
      </c>
      <c r="DE122" s="22">
        <f>IFERROR(VLOOKUP($C122,'Лист4'!$D:$AI,28,0)," ")</f>
        <v>6</v>
      </c>
      <c r="DF122" s="22">
        <f>IFERROR(VLOOKUP($C122,'Лист4'!$D:$AI,29,0)," ")</f>
        <v>10</v>
      </c>
      <c r="DG122" s="22">
        <f t="shared" si="3"/>
        <v>600</v>
      </c>
      <c r="DH122" s="22">
        <f>IFERROR(VLOOKUP($C122,'Лист4'!$D:$AI,32,0)," ")</f>
        <v>0.05</v>
      </c>
      <c r="DI122" s="22"/>
      <c r="DJ122" s="22"/>
      <c r="DK122" s="22"/>
      <c r="DL122" s="22"/>
      <c r="DM122" s="22"/>
      <c r="DN122" s="22"/>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43"/>
      <c r="EN122" s="43"/>
      <c r="EO122" s="43"/>
      <c r="EP122" s="43"/>
      <c r="EQ122" s="43"/>
      <c r="ER122" s="43"/>
      <c r="ES122" s="43"/>
      <c r="ET122" s="43"/>
      <c r="EU122" s="43"/>
      <c r="EV122" s="43"/>
      <c r="EW122" s="43"/>
      <c r="EX122" s="43"/>
      <c r="EY122" s="43"/>
      <c r="EZ122" s="43"/>
      <c r="FA122" s="43"/>
      <c r="FB122" s="43"/>
      <c r="FC122" s="43"/>
    </row>
    <row r="123" ht="18.0" customHeight="1">
      <c r="A123" s="2"/>
      <c r="B123" s="22" t="str">
        <f>IFERROR(VLOOKUP(C123,'Реестр'!C:AC,27,0)," ")</f>
        <v>Биг-Л</v>
      </c>
      <c r="C123" s="43" t="s">
        <v>2083</v>
      </c>
      <c r="D123" s="22" t="str">
        <f>IFERROR(VLOOKUP(C123,'Лист4'!D:P,13,0)," ")</f>
        <v>qeep</v>
      </c>
      <c r="E123" s="22" t="str">
        <f>IF(OR(ISERROR(VLOOKUP(C123,'Актуальность'!A:B,2,0)), VLOOKUP(C123,'Актуальность'!A:B,2,0)=""), "Актуальный", VLOOKUP(C123,'Актуальность'!A:B,2,0))</f>
        <v>Перезапуск</v>
      </c>
      <c r="F123" s="43" t="str">
        <f>IFERROR(VLOOKUP(C123,'Актуальность'!A:C,3,0)," ")</f>
        <v/>
      </c>
      <c r="G123" s="43"/>
      <c r="H123" s="22"/>
      <c r="I123" s="22"/>
      <c r="J123" s="43"/>
      <c r="K123" s="43"/>
      <c r="L123" s="22" t="b">
        <f t="shared" ref="L123:R123" si="119">T123&lt;&gt;""</f>
        <v>1</v>
      </c>
      <c r="M123" s="22" t="b">
        <f t="shared" si="119"/>
        <v>1</v>
      </c>
      <c r="N123" s="22" t="b">
        <f t="shared" si="119"/>
        <v>1</v>
      </c>
      <c r="O123" s="22" t="b">
        <f t="shared" si="119"/>
        <v>1</v>
      </c>
      <c r="P123" s="22" t="b">
        <f t="shared" si="119"/>
        <v>0</v>
      </c>
      <c r="Q123" s="22" t="b">
        <f t="shared" si="119"/>
        <v>0</v>
      </c>
      <c r="R123" s="22" t="b">
        <f t="shared" si="119"/>
        <v>0</v>
      </c>
      <c r="S123" s="43"/>
      <c r="T123" s="43" t="str">
        <f>IFERROR(VLOOKUP( C123,'1С'!A:B,2,0)," ")</f>
        <v>QB101100489</v>
      </c>
      <c r="U123" s="22" t="str">
        <f>IFERROR(VLOOKUP(T123,'Лист4'!C:I,3,0)," ")</f>
        <v>qeepselenium</v>
      </c>
      <c r="V123" s="22" t="str">
        <f>IFERROR(VLOOKUP(T123,'Лист4'!C:I,4,0)," ")</f>
        <v>qeepselenium</v>
      </c>
      <c r="W123" s="22" t="str">
        <f>IFERROR(VLOOKUP(T123,'Лист4'!C:I,5,0)," ")</f>
        <v>qeepselenium</v>
      </c>
      <c r="X123" s="43" t="str">
        <f>IFERROR(VLOOKUP(T123,'Лист4'!C:I,7,0)," ")</f>
        <v/>
      </c>
      <c r="Y123" s="43" t="str">
        <f>IFERROR(VLOOKUP(T123,'Лист4'!C:I,6,0)," ")</f>
        <v/>
      </c>
      <c r="Z123" s="43"/>
      <c r="AA123" s="43"/>
      <c r="AB123" s="22">
        <v>1.38754901E8</v>
      </c>
      <c r="AC123" s="22">
        <v>8.09190803E8</v>
      </c>
      <c r="AD123" s="22">
        <v>1.01871911275E11</v>
      </c>
      <c r="AE123" s="22"/>
      <c r="AF123" s="22"/>
      <c r="AG123" s="43"/>
      <c r="AH123" s="43"/>
      <c r="AI123" s="43" t="str">
        <f>IFERROR(VLOOKUP(T123,'1С'!B:C,2,0)," ")</f>
        <v>БАД Селен ,qeep, 60 капсул</v>
      </c>
      <c r="AJ123" s="22" t="s">
        <v>2086</v>
      </c>
      <c r="AK123" s="22" t="s">
        <v>2087</v>
      </c>
      <c r="AL123" s="22" t="s">
        <v>2087</v>
      </c>
      <c r="AM123" s="43"/>
      <c r="AN123" s="43"/>
      <c r="AO123" s="43"/>
      <c r="AP123" s="43"/>
      <c r="AQ123" s="46" t="s">
        <v>2088</v>
      </c>
      <c r="AR123" s="46" t="s">
        <v>2089</v>
      </c>
      <c r="AS123" s="43"/>
      <c r="AT123" s="43"/>
      <c r="AU123" s="43"/>
      <c r="AV123" s="43"/>
      <c r="AW123" s="43"/>
      <c r="AX123" s="22" t="s">
        <v>361</v>
      </c>
      <c r="AY123" s="22" t="s">
        <v>2087</v>
      </c>
      <c r="AZ123" s="22" t="s">
        <v>372</v>
      </c>
      <c r="BA123" s="43"/>
      <c r="BB123" s="43"/>
      <c r="BC123" s="43"/>
      <c r="BD123" s="43"/>
      <c r="BE123" s="43"/>
      <c r="BF123" s="22">
        <f>IFERROR(VLOOKUP(C123,'спецификация'!B:D,3,0)," ")</f>
        <v>4630040229756</v>
      </c>
      <c r="BG123" s="22">
        <v>3.504009E9</v>
      </c>
      <c r="BH123" s="22" t="str">
        <f>IFERROR(VLOOKUP(C123,'спецификация'!B:AA,5,0)," ")</f>
        <v>RU.77.99.11.003.R.002948.09.20 от 14.09.2020 г.</v>
      </c>
      <c r="BI123" s="46" t="s">
        <v>2091</v>
      </c>
      <c r="BJ123" s="22" t="str">
        <f>IFERROR(VLOOKUP(C123,'спецификация'!B:AA,6,0)," ")</f>
        <v>ЧЗ</v>
      </c>
      <c r="BK123" s="43"/>
      <c r="BL123" s="43"/>
      <c r="BM123" s="22" t="str">
        <f>IFERROR(VLOOKUP(BF123,'спецификация'!D:H,5,0)," ")</f>
        <v>льняное масло, капсула желатиновая (желатин, глицерин), антиокислитель «гриндокс 539» (аскорбилпальмитат, натуральные токоферолы, лецитин, рапсовое масло), селексен (селен).</v>
      </c>
      <c r="BN123" s="43"/>
      <c r="BO123" s="22" t="str">
        <f>IFERROR(VLOOKUP(C123,'спецификация'!B:AA,10,0)," ")</f>
        <v>взрослым по 1 капсуле в день во время еды. Продолжительность приема 4 недели.</v>
      </c>
      <c r="BP123" s="43" t="str">
        <f>IFERROR(VLOOKUP(C123,'спецификация'!B:AA,11,0),"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23" s="22" t="str">
        <f>IFERROR(VLOOKUP(C123,'спецификация'!B:AA,12,0)," ")</f>
        <v>В недоступном для детей месте при температуре не выше 25°С.</v>
      </c>
      <c r="BR123" s="22">
        <v>60.0</v>
      </c>
      <c r="BS123" s="22" t="s">
        <v>492</v>
      </c>
      <c r="BT123" s="43"/>
      <c r="BU123" s="22"/>
      <c r="BV123" s="22" t="s">
        <v>307</v>
      </c>
      <c r="BW123" s="44" t="str">
        <f>IFERROR(VLOOKUP(C123,'спецификация'!B:AA,16,0)," ")</f>
        <v>https://docs.google.com/document/d/1KfsgKW01fshb7iJGS5s73BoUUtzExy6R7nam8cSZELU/edit#heading=h.l6bt37hxy2ai</v>
      </c>
      <c r="BX123" s="43"/>
      <c r="BY123" s="43"/>
      <c r="BZ123" s="44" t="str">
        <f>IFERROR(VLOOKUP(BF123,'спецификация'!D:Y,22,0)," ")</f>
        <v>https://drive.google.com/drive/u/0/folders/1nkFEjxz8j3P9rdPjEbc9WsOj33NTn1Gm</v>
      </c>
      <c r="CA123" s="43"/>
      <c r="CB123" s="43"/>
      <c r="CC123" s="43"/>
      <c r="CD123" s="43"/>
      <c r="CE123" s="43"/>
      <c r="CF123" s="43"/>
      <c r="CG123" s="49">
        <f>IFERROR(VLOOKUP(C123,CC!A:D,4,0)," ")</f>
        <v>123.79</v>
      </c>
      <c r="CH123" s="22" t="str">
        <f>IFERROR(VLOOKUP(C123,'спецификация'!B:AA,19,0)," ")</f>
        <v>ООО «Сибфармконтракт», Россия, 634034, г. Томск, ул. Нахимова 8, стр. 11.</v>
      </c>
      <c r="CI123" s="22"/>
      <c r="CJ123" s="22" t="s">
        <v>562</v>
      </c>
      <c r="CK123" s="22" t="str">
        <f>IFERROR(VLOOKUP(C123,CC!K:M,3,0)," ")</f>
        <v> </v>
      </c>
      <c r="CL123" s="43"/>
      <c r="CM123" s="43"/>
      <c r="CN123" s="43"/>
      <c r="CO123" s="43"/>
      <c r="CP123" s="43"/>
      <c r="CQ123" s="43"/>
      <c r="CR123" s="43"/>
      <c r="CS123" s="43" t="b">
        <v>0</v>
      </c>
      <c r="CT123" s="43" t="b">
        <v>0</v>
      </c>
      <c r="CU123" s="43" t="b">
        <v>0</v>
      </c>
      <c r="CV123" s="43" t="b">
        <v>0</v>
      </c>
      <c r="CW123" s="43"/>
      <c r="CX123" s="43"/>
      <c r="CY123" s="43"/>
      <c r="CZ123" s="43"/>
      <c r="DA123" s="43"/>
      <c r="DB123" s="43"/>
      <c r="DC123" s="43"/>
      <c r="DD123" s="22">
        <f>IFERROR(VLOOKUP($C123,'Лист4'!$D:$AI,27,0)," ")</f>
        <v>10</v>
      </c>
      <c r="DE123" s="22">
        <f>IFERROR(VLOOKUP($C123,'Лист4'!$D:$AI,28,0)," ")</f>
        <v>5</v>
      </c>
      <c r="DF123" s="22">
        <f>IFERROR(VLOOKUP($C123,'Лист4'!$D:$AI,29,0)," ")</f>
        <v>10</v>
      </c>
      <c r="DG123" s="22">
        <f t="shared" si="3"/>
        <v>500</v>
      </c>
      <c r="DH123" s="22">
        <f>IFERROR(VLOOKUP($C123,'Лист4'!$D:$AI,32,0)," ")</f>
        <v>0.044</v>
      </c>
      <c r="DI123" s="22"/>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43"/>
      <c r="EN123" s="43"/>
      <c r="EO123" s="43"/>
      <c r="EP123" s="43"/>
      <c r="EQ123" s="43"/>
      <c r="ER123" s="43"/>
      <c r="ES123" s="43"/>
      <c r="ET123" s="43"/>
      <c r="EU123" s="43"/>
      <c r="EV123" s="43"/>
      <c r="EW123" s="43"/>
      <c r="EX123" s="43"/>
      <c r="EY123" s="43"/>
      <c r="EZ123" s="43"/>
      <c r="FA123" s="43"/>
      <c r="FB123" s="43"/>
      <c r="FC123" s="43"/>
    </row>
    <row r="124" ht="18.0" customHeight="1">
      <c r="A124" s="2"/>
      <c r="B124" s="22" t="str">
        <f>IFERROR(VLOOKUP(C124,'Реестр'!C:AC,27,0)," ")</f>
        <v>Биг-Л</v>
      </c>
      <c r="C124" s="43" t="s">
        <v>2096</v>
      </c>
      <c r="D124" s="22" t="str">
        <f>IFERROR(VLOOKUP(C124,'Лист4'!D:P,13,0)," ")</f>
        <v>qeep</v>
      </c>
      <c r="E124" s="22" t="str">
        <f>IF(OR(ISERROR(VLOOKUP(C124,'Актуальность'!A:B,2,0)), VLOOKUP(C124,'Актуальность'!A:B,2,0)=""), "Актуальный", VLOOKUP(C124,'Актуальность'!A:B,2,0))</f>
        <v>Вывод</v>
      </c>
      <c r="F124" s="43" t="str">
        <f>IFERROR(VLOOKUP(C124,'Актуальность'!A:C,3,0)," ")</f>
        <v>Старый артикул</v>
      </c>
      <c r="G124" s="43"/>
      <c r="H124" s="22"/>
      <c r="I124" s="22"/>
      <c r="J124" s="43"/>
      <c r="K124" s="43"/>
      <c r="L124" s="22" t="b">
        <f t="shared" ref="L124:R124" si="120">T124&lt;&gt;""</f>
        <v>1</v>
      </c>
      <c r="M124" s="22" t="b">
        <f t="shared" si="120"/>
        <v>1</v>
      </c>
      <c r="N124" s="22" t="b">
        <f t="shared" si="120"/>
        <v>1</v>
      </c>
      <c r="O124" s="22" t="b">
        <f t="shared" si="120"/>
        <v>1</v>
      </c>
      <c r="P124" s="22" t="b">
        <f t="shared" si="120"/>
        <v>0</v>
      </c>
      <c r="Q124" s="22" t="b">
        <f t="shared" si="120"/>
        <v>0</v>
      </c>
      <c r="R124" s="22" t="b">
        <f t="shared" si="120"/>
        <v>0</v>
      </c>
      <c r="S124" s="43"/>
      <c r="T124" s="43" t="str">
        <f>IFERROR(VLOOKUP( C124,'1С'!A:B,2,0)," ")</f>
        <v>QB101100443</v>
      </c>
      <c r="U124" s="22" t="str">
        <f>IFERROR(VLOOKUP(T124,'Лист4'!C:I,3,0)," ")</f>
        <v>qeep_calcium_90caps</v>
      </c>
      <c r="V124" s="22" t="str">
        <f>IFERROR(VLOOKUP(T124,'Лист4'!C:I,4,0)," ")</f>
        <v>qeep_calcium_90caps</v>
      </c>
      <c r="W124" s="22" t="str">
        <f>IFERROR(VLOOKUP(T124,'Лист4'!C:I,5,0)," ")</f>
        <v>qeep_calcium_90caps</v>
      </c>
      <c r="X124" s="43" t="str">
        <f>IFERROR(VLOOKUP(T124,'Лист4'!C:I,7,0)," ")</f>
        <v/>
      </c>
      <c r="Y124" s="43" t="str">
        <f>IFERROR(VLOOKUP(T124,'Лист4'!C:I,6,0)," ")</f>
        <v/>
      </c>
      <c r="Z124" s="43"/>
      <c r="AA124" s="43"/>
      <c r="AB124" s="22">
        <v>1.76110742E8</v>
      </c>
      <c r="AC124" s="22">
        <v>1.180963859E9</v>
      </c>
      <c r="AD124" s="22">
        <v>1.0262138955E11</v>
      </c>
      <c r="AE124" s="22"/>
      <c r="AF124" s="22"/>
      <c r="AG124" s="43"/>
      <c r="AH124" s="43"/>
      <c r="AI124" s="43" t="str">
        <f>IFERROR(VLOOKUP(T124,'1С'!B:C,2,0)," ")</f>
        <v>БАД Кальций ,qeep, 90 капсул</v>
      </c>
      <c r="AJ124" s="22" t="s">
        <v>2099</v>
      </c>
      <c r="AK124" s="22" t="s">
        <v>2100</v>
      </c>
      <c r="AL124" s="22" t="s">
        <v>2100</v>
      </c>
      <c r="AM124" s="43"/>
      <c r="AN124" s="43"/>
      <c r="AO124" s="43"/>
      <c r="AP124" s="43"/>
      <c r="AQ124" s="46" t="s">
        <v>2101</v>
      </c>
      <c r="AR124" s="46" t="s">
        <v>2102</v>
      </c>
      <c r="AS124" s="43"/>
      <c r="AT124" s="43"/>
      <c r="AU124" s="43"/>
      <c r="AV124" s="43"/>
      <c r="AW124" s="43"/>
      <c r="AX124" s="22" t="s">
        <v>361</v>
      </c>
      <c r="AY124" s="22" t="s">
        <v>2100</v>
      </c>
      <c r="AZ124" s="22" t="s">
        <v>372</v>
      </c>
      <c r="BA124" s="43"/>
      <c r="BB124" s="43"/>
      <c r="BC124" s="43"/>
      <c r="BD124" s="43"/>
      <c r="BE124" s="43"/>
      <c r="BF124" s="22">
        <f>IFERROR(VLOOKUP(C124,'спецификация'!B:D,3,0)," ")</f>
        <v>4620153903629</v>
      </c>
      <c r="BG124" s="22">
        <v>2.106909808E9</v>
      </c>
      <c r="BH124" s="22" t="str">
        <f>IFERROR(VLOOKUP(C124,'спецификация'!B:AA,5,0)," ")</f>
        <v>RU.77.99.11.003.R.002466.07.22 от 27.07.2022 г.</v>
      </c>
      <c r="BI124" s="22"/>
      <c r="BJ124" s="22" t="str">
        <f>IFERROR(VLOOKUP(C124,'спецификация'!B:AA,6,0)," ")</f>
        <v>ЧЗ</v>
      </c>
      <c r="BK124" s="43"/>
      <c r="BL124" s="43"/>
      <c r="BM124" s="22" t="str">
        <f>IFERROR(VLOOKUP(BF124,'спецификация'!D:H,5,0)," ")</f>
        <v>кальция карбонат, комплекс «КальциМатрикс (CalciMatrix)» (целлюлоза микрокристаллическая (носитель), кальция ортофосфат, кальция аскорбат, каменное масло горного Алтая (соль пищевая серии каменное масло, магния цитрат, цинка цитрат, мальтодекстрин (носитель)), марганца L-аспарагинат, витамин D3 (холекальциферол)), меди цитрат), капсула желатиновая (желатин (носитель), глицерин (агент влагоудерживающий), крахмал модифицированный (носитель), кремния диоксид (агент антислеживающий), кальциевая соль стеариновой кислоты (агент антислеживающий).</v>
      </c>
      <c r="BN124" s="43"/>
      <c r="BO124" s="22" t="str">
        <f>IFERROR(VLOOKUP(C124,'спецификация'!B:AA,10,0)," ")</f>
        <v>взрослым по 1 капсуле 2 раза в день во время еды. Продолжительность приема 1 месяц.</v>
      </c>
      <c r="BP124" s="43" t="str">
        <f>IFERROR(VLOOKUP(C124,'спецификация'!B:AA,11,0)," ")</f>
        <v>индивидуальная непереносимость компонентов продукта, беременность, кормление грудью. Перед применением проконсультироваться с врачом.
</v>
      </c>
      <c r="BQ124" s="22" t="str">
        <f>IFERROR(VLOOKUP(C124,'спецификация'!B:AA,12,0)," ")</f>
        <v>хранить в недоступном для детей месте, при температуре не выше 25 ºС и относительной влажности воздуха не более 60%.
</v>
      </c>
      <c r="BR124" s="22">
        <v>90.0</v>
      </c>
      <c r="BS124" s="22" t="s">
        <v>492</v>
      </c>
      <c r="BT124" s="43"/>
      <c r="BU124" s="22"/>
      <c r="BV124" s="22" t="s">
        <v>307</v>
      </c>
      <c r="BW124" s="44" t="str">
        <f>IFERROR(VLOOKUP(C124,'спецификация'!B:AA,16,0)," ")</f>
        <v>https://docs.google.com/document/d/1auYzdqvlAiSwa_LWQbfjMXaJ0l5VYdU5jUbveUemjnQ/edit?usp=sharing</v>
      </c>
      <c r="BX124" s="43"/>
      <c r="BY124" s="43"/>
      <c r="BZ124" s="44" t="str">
        <f>IFERROR(VLOOKUP(BF124,'спецификация'!D:Y,22,0)," ")</f>
        <v>https://drive.google.com/drive/u/0/folders/1ADX-2RiCpeMlqBHtyV_UlAtnwCX6DLT-</v>
      </c>
      <c r="CA124" s="43"/>
      <c r="CB124" s="43"/>
      <c r="CC124" s="43"/>
      <c r="CD124" s="43"/>
      <c r="CE124" s="43"/>
      <c r="CF124" s="43"/>
      <c r="CG124" s="49">
        <f>IFERROR(VLOOKUP(C124,CC!A:D,4,0)," ")</f>
        <v>204</v>
      </c>
      <c r="CH124" s="22" t="str">
        <f>IFERROR(VLOOKUP(C124,'спецификация'!B:AA,19,0)," ")</f>
        <v>ООО «Сибфармконтракт», Россия, 634034, г. Томск, ул. Нахимова 8, стр. 11.</v>
      </c>
      <c r="CI124" s="22"/>
      <c r="CJ124" s="22" t="s">
        <v>562</v>
      </c>
      <c r="CK124" s="22">
        <f>IFERROR(VLOOKUP(C124,CC!K:M,3,0)," ")</f>
        <v>90</v>
      </c>
      <c r="CL124" s="43"/>
      <c r="CM124" s="43"/>
      <c r="CN124" s="43"/>
      <c r="CO124" s="43"/>
      <c r="CP124" s="43"/>
      <c r="CQ124" s="43"/>
      <c r="CR124" s="43"/>
      <c r="CS124" s="43" t="b">
        <v>0</v>
      </c>
      <c r="CT124" s="43" t="b">
        <v>0</v>
      </c>
      <c r="CU124" s="43" t="b">
        <v>0</v>
      </c>
      <c r="CV124" s="43" t="b">
        <v>0</v>
      </c>
      <c r="CW124" s="43"/>
      <c r="CX124" s="43"/>
      <c r="CY124" s="43"/>
      <c r="CZ124" s="43"/>
      <c r="DA124" s="43"/>
      <c r="DB124" s="43"/>
      <c r="DC124" s="43"/>
      <c r="DD124" s="22">
        <f>IFERROR(VLOOKUP($C124,'Лист4'!$D:$AI,27,0)," ")</f>
        <v>5</v>
      </c>
      <c r="DE124" s="22">
        <f>IFERROR(VLOOKUP($C124,'Лист4'!$D:$AI,28,0)," ")</f>
        <v>8</v>
      </c>
      <c r="DF124" s="22">
        <f>IFERROR(VLOOKUP($C124,'Лист4'!$D:$AI,29,0)," ")</f>
        <v>5</v>
      </c>
      <c r="DG124" s="22">
        <f t="shared" si="3"/>
        <v>200</v>
      </c>
      <c r="DH124" s="22">
        <f>IFERROR(VLOOKUP($C124,'Лист4'!$D:$AI,32,0)," ")</f>
        <v>0.08</v>
      </c>
      <c r="DI124" s="22"/>
      <c r="DJ124" s="22"/>
      <c r="DK124" s="22"/>
      <c r="DL124" s="22"/>
      <c r="DM124" s="22"/>
      <c r="DN124" s="22"/>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43"/>
      <c r="EN124" s="43"/>
      <c r="EO124" s="43"/>
      <c r="EP124" s="43"/>
      <c r="EQ124" s="43"/>
      <c r="ER124" s="43"/>
      <c r="ES124" s="43"/>
      <c r="ET124" s="43"/>
      <c r="EU124" s="43"/>
      <c r="EV124" s="43"/>
      <c r="EW124" s="43"/>
      <c r="EX124" s="43"/>
      <c r="EY124" s="43"/>
      <c r="EZ124" s="43"/>
      <c r="FA124" s="43"/>
      <c r="FB124" s="43"/>
      <c r="FC124" s="43"/>
    </row>
    <row r="125" ht="18.0" customHeight="1">
      <c r="A125" s="2"/>
      <c r="B125" s="22" t="str">
        <f>IFERROR(VLOOKUP(C125,'Реестр'!C:AC,27,0)," ")</f>
        <v>Биг-Л</v>
      </c>
      <c r="C125" s="43" t="s">
        <v>2109</v>
      </c>
      <c r="D125" s="22" t="str">
        <f>IFERROR(VLOOKUP(C125,'Лист4'!D:P,13,0)," ")</f>
        <v>qeep</v>
      </c>
      <c r="E125" s="22" t="str">
        <f>IF(OR(ISERROR(VLOOKUP(C125,'Актуальность'!A:B,2,0)), VLOOKUP(C125,'Актуальность'!A:B,2,0)=""), "Актуальный", VLOOKUP(C125,'Актуальность'!A:B,2,0))</f>
        <v>Вывод</v>
      </c>
      <c r="F125" s="43" t="str">
        <f>IFERROR(VLOOKUP(C125,'Актуальность'!A:C,3,0)," ")</f>
        <v>Старый артикул</v>
      </c>
      <c r="G125" s="43"/>
      <c r="H125" s="22"/>
      <c r="I125" s="22"/>
      <c r="J125" s="43"/>
      <c r="K125" s="43"/>
      <c r="L125" s="22" t="b">
        <f t="shared" ref="L125:R125" si="121">T125&lt;&gt;""</f>
        <v>1</v>
      </c>
      <c r="M125" s="22" t="b">
        <f t="shared" si="121"/>
        <v>1</v>
      </c>
      <c r="N125" s="22" t="b">
        <f t="shared" si="121"/>
        <v>1</v>
      </c>
      <c r="O125" s="22" t="b">
        <f t="shared" si="121"/>
        <v>1</v>
      </c>
      <c r="P125" s="22" t="b">
        <f t="shared" si="121"/>
        <v>0</v>
      </c>
      <c r="Q125" s="22" t="b">
        <f t="shared" si="121"/>
        <v>0</v>
      </c>
      <c r="R125" s="22" t="b">
        <f t="shared" si="121"/>
        <v>0</v>
      </c>
      <c r="S125" s="43"/>
      <c r="T125" s="43" t="str">
        <f>IFERROR(VLOOKUP( C125,'1С'!A:B,2,0)," ")</f>
        <v>QB101100441</v>
      </c>
      <c r="U125" s="22" t="str">
        <f>IFERROR(VLOOKUP(T125,'Лист4'!C:I,3,0)," ")</f>
        <v>qeep_iodine_60caps</v>
      </c>
      <c r="V125" s="22" t="str">
        <f>IFERROR(VLOOKUP(T125,'Лист4'!C:I,4,0)," ")</f>
        <v>qeep_iodine_60caps</v>
      </c>
      <c r="W125" s="22" t="str">
        <f>IFERROR(VLOOKUP(T125,'Лист4'!C:I,5,0)," ")</f>
        <v>qeep_iodine_60caps</v>
      </c>
      <c r="X125" s="43" t="str">
        <f>IFERROR(VLOOKUP(T125,'Лист4'!C:I,7,0)," ")</f>
        <v/>
      </c>
      <c r="Y125" s="43" t="str">
        <f>IFERROR(VLOOKUP(T125,'Лист4'!C:I,6,0)," ")</f>
        <v/>
      </c>
      <c r="Z125" s="43"/>
      <c r="AA125" s="43"/>
      <c r="AB125" s="22">
        <v>1.86777993E8</v>
      </c>
      <c r="AC125" s="22">
        <v>1.271349661E9</v>
      </c>
      <c r="AD125" s="22">
        <v>1.02626043688E11</v>
      </c>
      <c r="AE125" s="22"/>
      <c r="AF125" s="22"/>
      <c r="AG125" s="43"/>
      <c r="AH125" s="43"/>
      <c r="AI125" s="43" t="str">
        <f>IFERROR(VLOOKUP(T125,'1С'!B:C,2,0)," ")</f>
        <v>БАД Йод ,qeep, 60 капсул</v>
      </c>
      <c r="AJ125" s="22" t="s">
        <v>2112</v>
      </c>
      <c r="AK125" s="22" t="s">
        <v>2113</v>
      </c>
      <c r="AL125" s="22" t="s">
        <v>2113</v>
      </c>
      <c r="AM125" s="43"/>
      <c r="AN125" s="43"/>
      <c r="AO125" s="43"/>
      <c r="AP125" s="43"/>
      <c r="AQ125" s="46" t="s">
        <v>2114</v>
      </c>
      <c r="AR125" s="46" t="s">
        <v>2115</v>
      </c>
      <c r="AS125" s="46" t="s">
        <v>2116</v>
      </c>
      <c r="AT125" s="43"/>
      <c r="AU125" s="43"/>
      <c r="AV125" s="43"/>
      <c r="AW125" s="43"/>
      <c r="AX125" s="22" t="s">
        <v>361</v>
      </c>
      <c r="AY125" s="22" t="s">
        <v>2113</v>
      </c>
      <c r="AZ125" s="22" t="s">
        <v>372</v>
      </c>
      <c r="BA125" s="43"/>
      <c r="BB125" s="43"/>
      <c r="BC125" s="43"/>
      <c r="BD125" s="43"/>
      <c r="BE125" s="43"/>
      <c r="BF125" s="22">
        <f>IFERROR(VLOOKUP(C125,'спецификация'!B:D,3,0)," ")</f>
        <v>4620153903599</v>
      </c>
      <c r="BG125" s="22">
        <v>2.106909808E9</v>
      </c>
      <c r="BH125" s="22" t="str">
        <f>IFERROR(VLOOKUP(C125,'спецификация'!B:AA,5,0)," ")</f>
        <v>AM.01.01.01.003.R.000126.02.23 от 27.02.2023 г.</v>
      </c>
      <c r="BI125" s="22"/>
      <c r="BJ125" s="22" t="str">
        <f>IFERROR(VLOOKUP(C125,'спецификация'!B:AA,6,0)," ")</f>
        <v>ЧЗ</v>
      </c>
      <c r="BK125" s="43"/>
      <c r="BL125" s="43"/>
      <c r="BM125" s="22" t="str">
        <f>IFERROR(VLOOKUP(BF125,'спецификация'!D:H,5,0)," ")</f>
        <v>йодказеин, калия иодат, кобальта аспарагинат, L-тирозин.  Вспомогательные вещества: микрокристаллическая целлюлоза (носитель), капсула желатиновая (желатин, глицерин (агент влагоудерживающий), крахмал картофельный (носитель), кремния диоксид (агент антислеживающий), кальция стеарат (агент антислеживающий).</v>
      </c>
      <c r="BN125" s="43"/>
      <c r="BO125" s="22" t="str">
        <f>IFERROR(VLOOKUP(C125,'спецификация'!B:AA,10,0)," ")</f>
        <v>взрослым по 1 капсуле 2 раза в день во время еды. Продолжительность приёма 1 месяц. Прием можно повторять 2-3 раза в год или чаще по согласованию с врачом.</v>
      </c>
      <c r="BP125" s="43" t="str">
        <f>IFERROR(VLOOKUP(C125,'спецификация'!B:AA,11,0),"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25" s="22" t="str">
        <f>IFERROR(VLOOKUP(C125,'спецификация'!B:AA,12,0)," ")</f>
        <v>в недоступном для детей месте, при температуре не выше 25 ºС и относительной влажности воздуха не более 60%.
</v>
      </c>
      <c r="BR125" s="22">
        <v>60.0</v>
      </c>
      <c r="BS125" s="22" t="s">
        <v>492</v>
      </c>
      <c r="BT125" s="43"/>
      <c r="BU125" s="22"/>
      <c r="BV125" s="22" t="s">
        <v>307</v>
      </c>
      <c r="BW125" s="44" t="str">
        <f>IFERROR(VLOOKUP(C125,'спецификация'!B:AA,16,0)," ")</f>
        <v>https://docs.google.com/document/d/15OTlvSdCLCJEaKElGaJ8Ym8TMDYsL49mcDvQYC7zyFA/edit?usp=sharing</v>
      </c>
      <c r="BX125" s="43"/>
      <c r="BY125" s="43"/>
      <c r="BZ125" s="44" t="str">
        <f>IFERROR(VLOOKUP(BF125,'спецификация'!D:Y,22,0)," ")</f>
        <v>https://drive.google.com/drive/u/0/folders/1FInSd-u437zjcUQxU_ROA13MEdRVwj6T</v>
      </c>
      <c r="CA125" s="43"/>
      <c r="CB125" s="43"/>
      <c r="CC125" s="43"/>
      <c r="CD125" s="43"/>
      <c r="CE125" s="43"/>
      <c r="CF125" s="43"/>
      <c r="CG125" s="49">
        <f>IFERROR(VLOOKUP(C125,CC!A:D,4,0)," ")</f>
        <v>158.51</v>
      </c>
      <c r="CH125" s="22" t="str">
        <f>IFERROR(VLOOKUP(C125,'спецификация'!B:AA,19,0)," ")</f>
        <v>ООО «Сибфармконтракт», Россия, 634034, г. Томск, ул. Нахимова 8, стр. 11.</v>
      </c>
      <c r="CI125" s="22"/>
      <c r="CJ125" s="22" t="s">
        <v>562</v>
      </c>
      <c r="CK125" s="22">
        <f>IFERROR(VLOOKUP(C125,CC!K:M,3,0)," ")</f>
        <v>90</v>
      </c>
      <c r="CL125" s="43"/>
      <c r="CM125" s="43"/>
      <c r="CN125" s="43"/>
      <c r="CO125" s="43"/>
      <c r="CP125" s="43"/>
      <c r="CQ125" s="43"/>
      <c r="CR125" s="43"/>
      <c r="CS125" s="43" t="b">
        <v>0</v>
      </c>
      <c r="CT125" s="43" t="b">
        <v>0</v>
      </c>
      <c r="CU125" s="43" t="b">
        <v>0</v>
      </c>
      <c r="CV125" s="43" t="b">
        <v>0</v>
      </c>
      <c r="CW125" s="43"/>
      <c r="CX125" s="43"/>
      <c r="CY125" s="43"/>
      <c r="CZ125" s="43"/>
      <c r="DA125" s="43"/>
      <c r="DB125" s="43"/>
      <c r="DC125" s="43"/>
      <c r="DD125" s="22">
        <f>IFERROR(VLOOKUP($C125,'Лист4'!$D:$AI,27,0)," ")</f>
        <v>3</v>
      </c>
      <c r="DE125" s="22">
        <f>IFERROR(VLOOKUP($C125,'Лист4'!$D:$AI,28,0)," ")</f>
        <v>8</v>
      </c>
      <c r="DF125" s="22">
        <f>IFERROR(VLOOKUP($C125,'Лист4'!$D:$AI,29,0)," ")</f>
        <v>3</v>
      </c>
      <c r="DG125" s="22">
        <f t="shared" si="3"/>
        <v>72</v>
      </c>
      <c r="DH125" s="22">
        <f>IFERROR(VLOOKUP($C125,'Лист4'!$D:$AI,32,0)," ")</f>
        <v>0.056</v>
      </c>
      <c r="DI125" s="22"/>
      <c r="DJ125" s="22"/>
      <c r="DK125" s="22"/>
      <c r="DL125" s="22"/>
      <c r="DM125" s="22"/>
      <c r="DN125" s="22"/>
      <c r="DO125" s="22"/>
      <c r="DP125" s="22"/>
      <c r="DQ125" s="22"/>
      <c r="DR125" s="22"/>
      <c r="DS125" s="22"/>
      <c r="DT125" s="22"/>
      <c r="DU125" s="22"/>
      <c r="DV125" s="22"/>
      <c r="DW125" s="22"/>
      <c r="DX125" s="22"/>
      <c r="DY125" s="22"/>
      <c r="DZ125" s="22"/>
      <c r="EA125" s="22"/>
      <c r="EB125" s="22"/>
      <c r="EC125" s="22"/>
      <c r="ED125" s="22"/>
      <c r="EE125" s="22"/>
      <c r="EF125" s="22"/>
      <c r="EG125" s="22"/>
      <c r="EH125" s="22"/>
      <c r="EI125" s="22"/>
      <c r="EJ125" s="22"/>
      <c r="EK125" s="22"/>
      <c r="EL125" s="22"/>
      <c r="EM125" s="43"/>
      <c r="EN125" s="43"/>
      <c r="EO125" s="43"/>
      <c r="EP125" s="43"/>
      <c r="EQ125" s="43"/>
      <c r="ER125" s="43"/>
      <c r="ES125" s="43"/>
      <c r="ET125" s="43"/>
      <c r="EU125" s="43"/>
      <c r="EV125" s="43"/>
      <c r="EW125" s="43"/>
      <c r="EX125" s="43"/>
      <c r="EY125" s="43"/>
      <c r="EZ125" s="43"/>
      <c r="FA125" s="43"/>
      <c r="FB125" s="43"/>
      <c r="FC125" s="43"/>
    </row>
    <row r="126" ht="18.0" customHeight="1">
      <c r="A126" s="2"/>
      <c r="B126" s="22" t="str">
        <f>IFERROR(VLOOKUP(C126,'Реестр'!C:AC,27,0)," ")</f>
        <v>Биг-Л</v>
      </c>
      <c r="C126" s="43" t="s">
        <v>2123</v>
      </c>
      <c r="D126" s="22" t="str">
        <f>IFERROR(VLOOKUP(C126,'Лист4'!D:P,13,0)," ")</f>
        <v>qeep</v>
      </c>
      <c r="E126" s="22" t="str">
        <f>IF(OR(ISERROR(VLOOKUP(C126,'Актуальность'!A:B,2,0)), VLOOKUP(C126,'Актуальность'!A:B,2,0)=""), "Актуальный", VLOOKUP(C126,'Актуальность'!A:B,2,0))</f>
        <v>Вывод</v>
      </c>
      <c r="F126" s="43" t="str">
        <f>IFERROR(VLOOKUP(C126,'Актуальность'!A:C,3,0)," ")</f>
        <v>Старый артикул</v>
      </c>
      <c r="G126" s="43"/>
      <c r="H126" s="22"/>
      <c r="I126" s="22"/>
      <c r="J126" s="43"/>
      <c r="K126" s="43"/>
      <c r="L126" s="22" t="b">
        <f t="shared" ref="L126:R126" si="122">T126&lt;&gt;""</f>
        <v>1</v>
      </c>
      <c r="M126" s="22" t="b">
        <f t="shared" si="122"/>
        <v>1</v>
      </c>
      <c r="N126" s="22" t="b">
        <f t="shared" si="122"/>
        <v>1</v>
      </c>
      <c r="O126" s="22" t="b">
        <f t="shared" si="122"/>
        <v>1</v>
      </c>
      <c r="P126" s="22" t="b">
        <f t="shared" si="122"/>
        <v>0</v>
      </c>
      <c r="Q126" s="22" t="b">
        <f t="shared" si="122"/>
        <v>0</v>
      </c>
      <c r="R126" s="22" t="b">
        <f t="shared" si="122"/>
        <v>0</v>
      </c>
      <c r="S126" s="43"/>
      <c r="T126" s="43" t="str">
        <f>IFERROR(VLOOKUP( C126,'1С'!A:B,2,0)," ")</f>
        <v>QB101100502</v>
      </c>
      <c r="U126" s="22" t="str">
        <f>IFERROR(VLOOKUP(T126,'Лист4'!C:I,3,0)," ")</f>
        <v>qeep_zinc_30tabs</v>
      </c>
      <c r="V126" s="22" t="str">
        <f>IFERROR(VLOOKUP(T126,'Лист4'!C:I,4,0)," ")</f>
        <v>qeep_zinc_30tabs</v>
      </c>
      <c r="W126" s="22" t="str">
        <f>IFERROR(VLOOKUP(T126,'Лист4'!C:I,5,0)," ")</f>
        <v>qeep_zinc_30tabs</v>
      </c>
      <c r="X126" s="43" t="str">
        <f>IFERROR(VLOOKUP(T126,'Лист4'!C:I,7,0)," ")</f>
        <v/>
      </c>
      <c r="Y126" s="43" t="str">
        <f>IFERROR(VLOOKUP(T126,'Лист4'!C:I,6,0)," ")</f>
        <v/>
      </c>
      <c r="Z126" s="43"/>
      <c r="AA126" s="43"/>
      <c r="AB126" s="22">
        <v>2.2917784E8</v>
      </c>
      <c r="AC126" s="22">
        <v>1.56674041E9</v>
      </c>
      <c r="AD126" s="22">
        <v>1.03398260185E11</v>
      </c>
      <c r="AE126" s="22"/>
      <c r="AF126" s="22"/>
      <c r="AG126" s="43"/>
      <c r="AH126" s="43"/>
      <c r="AI126" s="43" t="str">
        <f>IFERROR(VLOOKUP(T126,'1С'!B:C,2,0)," ")</f>
        <v>БАД Цинк хелат ,qeep, 30 таблеток</v>
      </c>
      <c r="AJ126" s="22" t="s">
        <v>1143</v>
      </c>
      <c r="AK126" s="22" t="s">
        <v>2126</v>
      </c>
      <c r="AL126" s="22" t="s">
        <v>2127</v>
      </c>
      <c r="AM126" s="43"/>
      <c r="AN126" s="43"/>
      <c r="AO126" s="43"/>
      <c r="AP126" s="43"/>
      <c r="AQ126" s="46" t="s">
        <v>2128</v>
      </c>
      <c r="AR126" s="46" t="s">
        <v>2129</v>
      </c>
      <c r="AS126" s="46" t="s">
        <v>2130</v>
      </c>
      <c r="AT126" s="43"/>
      <c r="AU126" s="43"/>
      <c r="AV126" s="43"/>
      <c r="AW126" s="43"/>
      <c r="AX126" s="22" t="s">
        <v>361</v>
      </c>
      <c r="AY126" s="22" t="s">
        <v>2126</v>
      </c>
      <c r="AZ126" s="22" t="s">
        <v>372</v>
      </c>
      <c r="BA126" s="43"/>
      <c r="BB126" s="43"/>
      <c r="BC126" s="43"/>
      <c r="BD126" s="43"/>
      <c r="BE126" s="43"/>
      <c r="BF126" s="22">
        <f>IFERROR(VLOOKUP(C126,'спецификация'!B:D,3,0)," ")</f>
        <v>4607025204398</v>
      </c>
      <c r="BG126" s="22">
        <v>2.106909808E9</v>
      </c>
      <c r="BH126" s="22" t="str">
        <f>IFERROR(VLOOKUP(C126,'спецификация'!B:AA,5,0)," ")</f>
        <v>RU.77.99.11.003.R.003861.10.21 от 28.10.2021</v>
      </c>
      <c r="BI126" s="22"/>
      <c r="BJ126" s="22" t="str">
        <f>IFERROR(VLOOKUP(C126,'спецификация'!B:AA,6,0)," ")</f>
        <v>ЧЗ</v>
      </c>
      <c r="BK126" s="43"/>
      <c r="BL126" s="43"/>
      <c r="BM126" s="22" t="str">
        <f>IFERROR(VLOOKUP(BF126,'спецификация'!D:H,5,0)," ")</f>
        <v>цинка бисглицинат,  МКЦ (наполнитель), кальция стеарат (антислеживающий агент), аэросил (антислеживающий агент).</v>
      </c>
      <c r="BN126" s="43"/>
      <c r="BO126" s="22" t="s">
        <v>2132</v>
      </c>
      <c r="BP126" s="22" t="s">
        <v>653</v>
      </c>
      <c r="BQ126" s="22" t="s">
        <v>2133</v>
      </c>
      <c r="BR126" s="22">
        <v>30.0</v>
      </c>
      <c r="BS126" s="22" t="s">
        <v>210</v>
      </c>
      <c r="BT126" s="43"/>
      <c r="BU126" s="22"/>
      <c r="BV126" s="22" t="s">
        <v>307</v>
      </c>
      <c r="BW126" s="45" t="str">
        <f>IFERROR(VLOOKUP(C126,'спецификация'!B:AA,16,0)," ")</f>
        <v>как цинк 90</v>
      </c>
      <c r="BX126" s="43"/>
      <c r="BY126" s="43"/>
      <c r="BZ126" s="45" t="str">
        <f>IFERROR(VLOOKUP(BF126,'спецификация'!D:Y,22,0)," ")</f>
        <v/>
      </c>
      <c r="CA126" s="43"/>
      <c r="CB126" s="43"/>
      <c r="CC126" s="43"/>
      <c r="CD126" s="43"/>
      <c r="CE126" s="43"/>
      <c r="CF126" s="43"/>
      <c r="CG126" s="49">
        <f>IFERROR(VLOOKUP(C126,CC!A:D,4,0)," ")</f>
        <v>100.4</v>
      </c>
      <c r="CH126" s="22" t="str">
        <f>IFERROR(VLOOKUP(C126,'спецификация'!B:AA,19,0)," ")</f>
        <v>ООО «Витамер», 117623, РФ, г. Москва, вн.тер.г. муниципальный округ Южное Бутово, ул. 2-я Мелитопольская, д.19, к.2, кв.57. Адрес производства: 601144, РФ, Владимирская обл., г. Петушки, ул. Совхозная, д. 11</v>
      </c>
      <c r="CI126" s="22"/>
      <c r="CJ126" s="22" t="s">
        <v>902</v>
      </c>
      <c r="CK126" s="22">
        <f>IFERROR(VLOOKUP(C126,CC!K:M,3,0)," ")</f>
        <v>60</v>
      </c>
      <c r="CL126" s="43"/>
      <c r="CM126" s="43"/>
      <c r="CN126" s="43"/>
      <c r="CO126" s="43"/>
      <c r="CP126" s="43"/>
      <c r="CQ126" s="43"/>
      <c r="CR126" s="43"/>
      <c r="CS126" s="43" t="b">
        <v>0</v>
      </c>
      <c r="CT126" s="43" t="b">
        <v>0</v>
      </c>
      <c r="CU126" s="43" t="b">
        <v>0</v>
      </c>
      <c r="CV126" s="43" t="b">
        <v>0</v>
      </c>
      <c r="CW126" s="43"/>
      <c r="CX126" s="43"/>
      <c r="CY126" s="43"/>
      <c r="CZ126" s="43"/>
      <c r="DA126" s="43"/>
      <c r="DB126" s="43"/>
      <c r="DC126" s="43"/>
      <c r="DD126" s="22">
        <f>IFERROR(VLOOKUP($C126,'Лист4'!$D:$AI,27,0)," ")</f>
        <v>6</v>
      </c>
      <c r="DE126" s="22">
        <f>IFERROR(VLOOKUP($C126,'Лист4'!$D:$AI,28,0)," ")</f>
        <v>9</v>
      </c>
      <c r="DF126" s="22">
        <f>IFERROR(VLOOKUP($C126,'Лист4'!$D:$AI,29,0)," ")</f>
        <v>6</v>
      </c>
      <c r="DG126" s="22">
        <f t="shared" si="3"/>
        <v>324</v>
      </c>
      <c r="DH126" s="22">
        <f>IFERROR(VLOOKUP($C126,'Лист4'!$D:$AI,32,0)," ")</f>
        <v>0.036</v>
      </c>
      <c r="DI126" s="22"/>
      <c r="DJ126" s="22"/>
      <c r="DK126" s="22"/>
      <c r="DL126" s="22"/>
      <c r="DM126" s="22"/>
      <c r="DN126" s="22"/>
      <c r="DO126" s="22"/>
      <c r="DP126" s="22"/>
      <c r="DQ126" s="22"/>
      <c r="DR126" s="22"/>
      <c r="DS126" s="22"/>
      <c r="DT126" s="22"/>
      <c r="DU126" s="22"/>
      <c r="DV126" s="22"/>
      <c r="DW126" s="22"/>
      <c r="DX126" s="22"/>
      <c r="DY126" s="22"/>
      <c r="DZ126" s="22"/>
      <c r="EA126" s="22"/>
      <c r="EB126" s="22"/>
      <c r="EC126" s="22"/>
      <c r="ED126" s="22"/>
      <c r="EE126" s="22"/>
      <c r="EF126" s="22"/>
      <c r="EG126" s="22"/>
      <c r="EH126" s="22"/>
      <c r="EI126" s="22"/>
      <c r="EJ126" s="22"/>
      <c r="EK126" s="22"/>
      <c r="EL126" s="22"/>
      <c r="EM126" s="43"/>
      <c r="EN126" s="43"/>
      <c r="EO126" s="43"/>
      <c r="EP126" s="43"/>
      <c r="EQ126" s="43"/>
      <c r="ER126" s="43"/>
      <c r="ES126" s="43"/>
      <c r="ET126" s="43"/>
      <c r="EU126" s="43"/>
      <c r="EV126" s="43"/>
      <c r="EW126" s="43"/>
      <c r="EX126" s="43"/>
      <c r="EY126" s="43"/>
      <c r="EZ126" s="43"/>
      <c r="FA126" s="43"/>
      <c r="FB126" s="43"/>
      <c r="FC126" s="43"/>
    </row>
    <row r="127" ht="18.0" customHeight="1">
      <c r="A127" s="2"/>
      <c r="B127" s="22" t="str">
        <f>IFERROR(VLOOKUP(C127,'Реестр'!C:AC,27,0)," ")</f>
        <v>Биг-Л</v>
      </c>
      <c r="C127" s="43" t="s">
        <v>2135</v>
      </c>
      <c r="D127" s="22" t="str">
        <f>IFERROR(VLOOKUP(C127,'Лист4'!D:P,13,0)," ")</f>
        <v>qeep</v>
      </c>
      <c r="E127" s="22" t="str">
        <f>IF(OR(ISERROR(VLOOKUP(C127,'Актуальность'!A:B,2,0)), VLOOKUP(C127,'Актуальность'!A:B,2,0)=""), "Актуальный", VLOOKUP(C127,'Актуальность'!A:B,2,0))</f>
        <v>Вывод</v>
      </c>
      <c r="F127" s="43" t="str">
        <f>IFERROR(VLOOKUP(C127,'Актуальность'!A:C,3,0)," ")</f>
        <v>Старый артикул</v>
      </c>
      <c r="G127" s="43"/>
      <c r="H127" s="22"/>
      <c r="I127" s="22"/>
      <c r="J127" s="43"/>
      <c r="K127" s="43"/>
      <c r="L127" s="22" t="b">
        <f t="shared" ref="L127:R127" si="123">T127&lt;&gt;""</f>
        <v>1</v>
      </c>
      <c r="M127" s="22" t="b">
        <f t="shared" si="123"/>
        <v>1</v>
      </c>
      <c r="N127" s="22" t="b">
        <f t="shared" si="123"/>
        <v>1</v>
      </c>
      <c r="O127" s="22" t="b">
        <f t="shared" si="123"/>
        <v>0</v>
      </c>
      <c r="P127" s="22" t="b">
        <f t="shared" si="123"/>
        <v>0</v>
      </c>
      <c r="Q127" s="22" t="b">
        <f t="shared" si="123"/>
        <v>0</v>
      </c>
      <c r="R127" s="22" t="b">
        <f t="shared" si="123"/>
        <v>0</v>
      </c>
      <c r="S127" s="43"/>
      <c r="T127" s="43" t="str">
        <f>IFERROR(VLOOKUP( C127,'1С'!A:B,2,0)," ")</f>
        <v>QB101100478</v>
      </c>
      <c r="U127" s="22" t="str">
        <f>IFERROR(VLOOKUP(T127,'Лист4'!C:I,3,0)," ")</f>
        <v>qeepchrom1+1</v>
      </c>
      <c r="V127" s="22" t="str">
        <f>IFERROR(VLOOKUP(T127,'Лист4'!C:I,4,0)," ")</f>
        <v>qeepchrom1+1</v>
      </c>
      <c r="W127" s="22" t="str">
        <f>IFERROR(VLOOKUP(T127,'Лист4'!C:I,5,0)," ")</f>
        <v/>
      </c>
      <c r="X127" s="43" t="str">
        <f>IFERROR(VLOOKUP(T127,'Лист4'!C:I,7,0)," ")</f>
        <v/>
      </c>
      <c r="Y127" s="43" t="str">
        <f>IFERROR(VLOOKUP(T127,'Лист4'!C:I,6,0)," ")</f>
        <v/>
      </c>
      <c r="Z127" s="43"/>
      <c r="AA127" s="43"/>
      <c r="AB127" s="22">
        <v>1.61355809E8</v>
      </c>
      <c r="AC127" s="22">
        <v>9.83821094E8</v>
      </c>
      <c r="AD127" s="22"/>
      <c r="AE127" s="22"/>
      <c r="AF127" s="22"/>
      <c r="AG127" s="43"/>
      <c r="AH127" s="43"/>
      <c r="AI127" s="43" t="str">
        <f>IFERROR(VLOOKUP(T127,'1С'!B:C,2,0)," ")</f>
        <v>БАД Пиколинат хрома ,qeep, 60+60 капсул набор</v>
      </c>
      <c r="AJ127" s="22" t="s">
        <v>887</v>
      </c>
      <c r="AK127" s="22" t="s">
        <v>2138</v>
      </c>
      <c r="AL127" s="43"/>
      <c r="AM127" s="43"/>
      <c r="AN127" s="43"/>
      <c r="AO127" s="43"/>
      <c r="AP127" s="43"/>
      <c r="AQ127" s="46" t="s">
        <v>2139</v>
      </c>
      <c r="AR127" s="46" t="s">
        <v>2140</v>
      </c>
      <c r="AS127" s="43"/>
      <c r="AT127" s="43"/>
      <c r="AU127" s="43"/>
      <c r="AV127" s="43"/>
      <c r="AW127" s="43"/>
      <c r="AX127" s="22" t="s">
        <v>361</v>
      </c>
      <c r="AY127" s="22" t="s">
        <v>2138</v>
      </c>
      <c r="AZ127" s="43"/>
      <c r="BA127" s="43"/>
      <c r="BB127" s="43"/>
      <c r="BC127" s="43"/>
      <c r="BD127" s="43"/>
      <c r="BE127" s="43"/>
      <c r="BF127" s="22" t="str">
        <f>IFERROR(VLOOKUP(C127,'спецификация'!B:D,3,0)," ")</f>
        <v>2037849745517</v>
      </c>
      <c r="BG127" s="22"/>
      <c r="BH127" s="22" t="str">
        <f>IFERROR(VLOOKUP(C127,'спецификация'!B:AA,5,0)," ")</f>
        <v/>
      </c>
      <c r="BI127" s="22"/>
      <c r="BJ127" s="22" t="str">
        <f>IFERROR(VLOOKUP(C127,'спецификация'!B:AA,6,0)," ")</f>
        <v>ЧЗ</v>
      </c>
      <c r="BK127" s="43"/>
      <c r="BL127" s="43"/>
      <c r="BM127" s="22" t="str">
        <f>IFERROR(VLOOKUP(BF127,'спецификация'!D:H,5,0)," ")</f>
        <v/>
      </c>
      <c r="BN127" s="43"/>
      <c r="BO127" s="22" t="str">
        <f>IFERROR(VLOOKUP(C127,'спецификация'!B:AA,10,0)," ")</f>
        <v/>
      </c>
      <c r="BP127" s="43" t="str">
        <f>IFERROR(VLOOKUP(C127,'спецификация'!B:AA,11,0)," ")</f>
        <v/>
      </c>
      <c r="BQ127" s="22" t="str">
        <f>IFERROR(VLOOKUP(C127,'спецификация'!B:AA,12,0)," ")</f>
        <v/>
      </c>
      <c r="BR127" s="22"/>
      <c r="BS127" s="58" t="s">
        <v>2142</v>
      </c>
      <c r="BT127" s="58"/>
      <c r="BU127" s="22"/>
      <c r="BV127" s="22"/>
      <c r="BW127" s="45" t="str">
        <f>IFERROR(VLOOKUP(C127,'спецификация'!B:AA,16,0)," ")</f>
        <v/>
      </c>
      <c r="BX127" s="43"/>
      <c r="BY127" s="43"/>
      <c r="BZ127" s="45" t="str">
        <f>IFERROR(VLOOKUP(BF127,'спецификация'!D:Y,22,0)," ")</f>
        <v/>
      </c>
      <c r="CA127" s="43"/>
      <c r="CB127" s="43"/>
      <c r="CC127" s="43"/>
      <c r="CD127" s="43"/>
      <c r="CE127" s="43"/>
      <c r="CF127" s="43"/>
      <c r="CG127" s="49">
        <f>IFERROR(VLOOKUP(C127,CC!A:D,4,0)," ")</f>
        <v>389.2</v>
      </c>
      <c r="CH127" s="22" t="str">
        <f>IFERROR(VLOOKUP(C127,'спецификация'!B:AA,19,0)," ")</f>
        <v/>
      </c>
      <c r="CI127" s="22"/>
      <c r="CJ127" s="43"/>
      <c r="CK127" s="22" t="str">
        <f>IFERROR(VLOOKUP(C127,CC!K:M,3,0)," ")</f>
        <v> </v>
      </c>
      <c r="CL127" s="43"/>
      <c r="CM127" s="43"/>
      <c r="CN127" s="43"/>
      <c r="CO127" s="43"/>
      <c r="CP127" s="43"/>
      <c r="CQ127" s="43"/>
      <c r="CR127" s="43"/>
      <c r="CS127" s="43" t="b">
        <v>0</v>
      </c>
      <c r="CT127" s="43" t="b">
        <v>0</v>
      </c>
      <c r="CU127" s="43" t="b">
        <v>0</v>
      </c>
      <c r="CV127" s="43" t="b">
        <v>0</v>
      </c>
      <c r="CW127" s="43"/>
      <c r="CX127" s="43"/>
      <c r="CY127" s="43"/>
      <c r="CZ127" s="43"/>
      <c r="DA127" s="43"/>
      <c r="DB127" s="43"/>
      <c r="DC127" s="43"/>
      <c r="DD127" s="22">
        <f>IFERROR(VLOOKUP($C127,'Лист4'!$D:$AI,27,0)," ")</f>
        <v>10</v>
      </c>
      <c r="DE127" s="22">
        <f>IFERROR(VLOOKUP($C127,'Лист4'!$D:$AI,28,0)," ")</f>
        <v>4</v>
      </c>
      <c r="DF127" s="22">
        <f>IFERROR(VLOOKUP($C127,'Лист4'!$D:$AI,29,0)," ")</f>
        <v>10</v>
      </c>
      <c r="DG127" s="22">
        <f t="shared" si="3"/>
        <v>400</v>
      </c>
      <c r="DH127" s="22">
        <f>IFERROR(VLOOKUP($C127,'Лист4'!$D:$AI,32,0)," ")</f>
        <v>0.084</v>
      </c>
      <c r="DI127" s="22"/>
      <c r="DJ127" s="22"/>
      <c r="DK127" s="22"/>
      <c r="DL127" s="22"/>
      <c r="DM127" s="22"/>
      <c r="DN127" s="22"/>
      <c r="DO127" s="22"/>
      <c r="DP127" s="22"/>
      <c r="DQ127" s="22"/>
      <c r="DR127" s="22"/>
      <c r="DS127" s="22"/>
      <c r="DT127" s="22"/>
      <c r="DU127" s="22"/>
      <c r="DV127" s="22"/>
      <c r="DW127" s="22"/>
      <c r="DX127" s="22"/>
      <c r="DY127" s="22"/>
      <c r="DZ127" s="22"/>
      <c r="EA127" s="22"/>
      <c r="EB127" s="22"/>
      <c r="EC127" s="22"/>
      <c r="ED127" s="22"/>
      <c r="EE127" s="22"/>
      <c r="EF127" s="22"/>
      <c r="EG127" s="22"/>
      <c r="EH127" s="22"/>
      <c r="EI127" s="22"/>
      <c r="EJ127" s="22"/>
      <c r="EK127" s="22"/>
      <c r="EL127" s="22"/>
      <c r="EM127" s="43"/>
      <c r="EN127" s="43"/>
      <c r="EO127" s="43"/>
      <c r="EP127" s="43"/>
      <c r="EQ127" s="43"/>
      <c r="ER127" s="43"/>
      <c r="ES127" s="43"/>
      <c r="ET127" s="43"/>
      <c r="EU127" s="43"/>
      <c r="EV127" s="43"/>
      <c r="EW127" s="43"/>
      <c r="EX127" s="43"/>
      <c r="EY127" s="43"/>
      <c r="EZ127" s="43"/>
      <c r="FA127" s="43"/>
      <c r="FB127" s="43"/>
      <c r="FC127" s="43"/>
    </row>
    <row r="128" ht="18.0" customHeight="1">
      <c r="A128" s="2"/>
      <c r="B128" s="22" t="str">
        <f>IFERROR(VLOOKUP(C128,'Реестр'!C:AC,27,0)," ")</f>
        <v>Биг-Л</v>
      </c>
      <c r="C128" s="43" t="s">
        <v>2143</v>
      </c>
      <c r="D128" s="22" t="str">
        <f>IFERROR(VLOOKUP(C128,'Лист4'!D:P,13,0)," ")</f>
        <v>qeep</v>
      </c>
      <c r="E128" s="22" t="str">
        <f>IF(OR(ISERROR(VLOOKUP(C128,'Актуальность'!A:B,2,0)), VLOOKUP(C128,'Актуальность'!A:B,2,0)=""), "Актуальный", VLOOKUP(C128,'Актуальность'!A:B,2,0))</f>
        <v>Вывод</v>
      </c>
      <c r="F128" s="43" t="str">
        <f>IFERROR(VLOOKUP(C128,'Актуальность'!A:C,3,0)," ")</f>
        <v>Старый артикул</v>
      </c>
      <c r="G128" s="43"/>
      <c r="H128" s="22"/>
      <c r="I128" s="22"/>
      <c r="J128" s="43"/>
      <c r="K128" s="43"/>
      <c r="L128" s="22" t="b">
        <f t="shared" ref="L128:R128" si="124">T128&lt;&gt;""</f>
        <v>1</v>
      </c>
      <c r="M128" s="22" t="b">
        <f t="shared" si="124"/>
        <v>1</v>
      </c>
      <c r="N128" s="22" t="b">
        <f t="shared" si="124"/>
        <v>1</v>
      </c>
      <c r="O128" s="22" t="b">
        <f t="shared" si="124"/>
        <v>0</v>
      </c>
      <c r="P128" s="22" t="b">
        <f t="shared" si="124"/>
        <v>0</v>
      </c>
      <c r="Q128" s="22" t="b">
        <f t="shared" si="124"/>
        <v>0</v>
      </c>
      <c r="R128" s="22" t="b">
        <f t="shared" si="124"/>
        <v>0</v>
      </c>
      <c r="S128" s="43"/>
      <c r="T128" s="43" t="str">
        <f>IFERROR(VLOOKUP( C128,'1С'!A:B,2,0)," ")</f>
        <v>QB101100464</v>
      </c>
      <c r="U128" s="22" t="str">
        <f>IFERROR(VLOOKUP(T128,'Лист4'!C:I,3,0)," ")</f>
        <v>qeepmctd3</v>
      </c>
      <c r="V128" s="22" t="str">
        <f>IFERROR(VLOOKUP(T128,'Лист4'!C:I,4,0)," ")</f>
        <v>qeepmctd3</v>
      </c>
      <c r="W128" s="22" t="str">
        <f>IFERROR(VLOOKUP(T128,'Лист4'!C:I,5,0)," ")</f>
        <v/>
      </c>
      <c r="X128" s="43" t="str">
        <f>IFERROR(VLOOKUP(T128,'Лист4'!C:I,7,0)," ")</f>
        <v/>
      </c>
      <c r="Y128" s="43" t="str">
        <f>IFERROR(VLOOKUP(T128,'Лист4'!C:I,6,0)," ")</f>
        <v/>
      </c>
      <c r="Z128" s="43"/>
      <c r="AA128" s="43"/>
      <c r="AB128" s="22">
        <v>1.33851547E8</v>
      </c>
      <c r="AC128" s="22">
        <v>7.82091641E8</v>
      </c>
      <c r="AD128" s="22"/>
      <c r="AE128" s="22"/>
      <c r="AF128" s="22"/>
      <c r="AG128" s="43"/>
      <c r="AH128" s="43"/>
      <c r="AI128" s="43" t="str">
        <f>IFERROR(VLOOKUP(T128,'1С'!B:C,2,0)," ")</f>
        <v>БАД Масло мст ,qeep, 60 капсул</v>
      </c>
      <c r="AJ128" s="22" t="s">
        <v>2146</v>
      </c>
      <c r="AK128" s="22" t="s">
        <v>2147</v>
      </c>
      <c r="AL128" s="43"/>
      <c r="AM128" s="43"/>
      <c r="AN128" s="43"/>
      <c r="AO128" s="43"/>
      <c r="AP128" s="43"/>
      <c r="AQ128" s="46" t="s">
        <v>2148</v>
      </c>
      <c r="AR128" s="46" t="s">
        <v>2149</v>
      </c>
      <c r="AS128" s="43"/>
      <c r="AT128" s="43"/>
      <c r="AU128" s="43"/>
      <c r="AV128" s="43"/>
      <c r="AW128" s="43"/>
      <c r="AX128" s="22" t="s">
        <v>361</v>
      </c>
      <c r="AY128" s="22" t="s">
        <v>2147</v>
      </c>
      <c r="AZ128" s="43"/>
      <c r="BA128" s="43"/>
      <c r="BB128" s="43"/>
      <c r="BC128" s="43"/>
      <c r="BD128" s="43"/>
      <c r="BE128" s="43"/>
      <c r="BF128" s="22" t="str">
        <f>IFERROR(VLOOKUP(C128,'спецификация'!B:D,3,0)," ")</f>
        <v>4630040229763</v>
      </c>
      <c r="BG128" s="22">
        <v>2.106909808E9</v>
      </c>
      <c r="BH128" s="22" t="str">
        <f>IFERROR(VLOOKUP(C128,'спецификация'!B:AA,5,0)," ")</f>
        <v>RU.77.99.11.003.R.000753.03.22 от 11.03.2022 г.</v>
      </c>
      <c r="BI128" s="22"/>
      <c r="BJ128" s="22" t="str">
        <f>IFERROR(VLOOKUP(C128,'спецификация'!B:AA,6,0)," ")</f>
        <v>ЧЗ</v>
      </c>
      <c r="BK128" s="43"/>
      <c r="BL128" s="43"/>
      <c r="BM128" s="22" t="str">
        <f>IFERROR(VLOOKUP(BF128,'спецификация'!D:H,5,0)," ")</f>
        <v>каприл-каприновые триглицериды, капсула растительная (носитель крахмал модифицированный, каррагинан, агент влагоудерживающий глицерин), витамин D3 (холекальциферол), антиокислитель Гриндокс (аскорбилпальмитат, натуральные токоферолы, лецитин, рапсовое масло).
</v>
      </c>
      <c r="BN128" s="43"/>
      <c r="BO128" s="22" t="str">
        <f>IFERROR(VLOOKUP(C128,'спецификация'!B:AA,10,0)," ")</f>
        <v>взрослым по 1 капсуле в день во время еды. Продолжительность приема 1 месяц.</v>
      </c>
      <c r="BP128" s="43" t="str">
        <f>IFERROR(VLOOKUP(C128,'спецификация'!B:AA,11,0),"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28" s="22" t="str">
        <f>IFERROR(VLOOKUP(C128,'спецификация'!B:AA,12,0)," ")</f>
        <v>Хранить в сухом, защищенном от прямых солнечных лучей и недоступном для детей месте, при температуре от 15°С до 25°С и относительной влажности воздуха не более 60%.</v>
      </c>
      <c r="BR128" s="22">
        <v>60.0</v>
      </c>
      <c r="BS128" s="22" t="s">
        <v>492</v>
      </c>
      <c r="BT128" s="22"/>
      <c r="BU128" s="22"/>
      <c r="BV128" s="22" t="s">
        <v>307</v>
      </c>
      <c r="BW128" s="44" t="str">
        <f>IFERROR(VLOOKUP(C128,'спецификация'!B:AA,16,0)," ")</f>
        <v>https://docs.google.com/document/d/1ThcayqgrOo1pLvAsWZhQ16LA69NqV_9K/edit</v>
      </c>
      <c r="BX128" s="43"/>
      <c r="BY128" s="43"/>
      <c r="BZ128" s="44" t="str">
        <f>IFERROR(VLOOKUP(BF128,'спецификация'!D:Y,22,0)," ")</f>
        <v>https://drive.google.com/drive/u/0/folders/117OppYloEvtUnhrD6HOxWVPYonPbZOux</v>
      </c>
      <c r="CA128" s="43"/>
      <c r="CB128" s="43"/>
      <c r="CC128" s="43"/>
      <c r="CD128" s="43"/>
      <c r="CE128" s="43"/>
      <c r="CF128" s="43"/>
      <c r="CG128" s="49">
        <f>IFERROR(VLOOKUP(C128,CC!A:D,4,0)," ")</f>
        <v>143.3</v>
      </c>
      <c r="CH128" s="22" t="str">
        <f>IFERROR(VLOOKUP(C128,'спецификация'!B:AA,19,0)," ")</f>
        <v>ООО «Сибфармконтракт», Россия, 634034, г. Томск, ул. Нахимова 8, стр. 11.</v>
      </c>
      <c r="CI128" s="22"/>
      <c r="CJ128" s="22" t="s">
        <v>562</v>
      </c>
      <c r="CK128" s="22" t="str">
        <f>IFERROR(VLOOKUP(C128,CC!K:M,3,0)," ")</f>
        <v> </v>
      </c>
      <c r="CL128" s="43"/>
      <c r="CM128" s="43"/>
      <c r="CN128" s="43"/>
      <c r="CO128" s="43"/>
      <c r="CP128" s="43"/>
      <c r="CQ128" s="43"/>
      <c r="CR128" s="43"/>
      <c r="CS128" s="43" t="b">
        <v>0</v>
      </c>
      <c r="CT128" s="43" t="b">
        <v>0</v>
      </c>
      <c r="CU128" s="43" t="b">
        <v>0</v>
      </c>
      <c r="CV128" s="43" t="b">
        <v>0</v>
      </c>
      <c r="CW128" s="43"/>
      <c r="CX128" s="43"/>
      <c r="CY128" s="43"/>
      <c r="CZ128" s="43"/>
      <c r="DA128" s="43"/>
      <c r="DB128" s="43"/>
      <c r="DC128" s="43"/>
      <c r="DD128" s="22">
        <f>IFERROR(VLOOKUP($C128,'Лист4'!$D:$AI,27,0)," ")</f>
        <v>5</v>
      </c>
      <c r="DE128" s="22">
        <f>IFERROR(VLOOKUP($C128,'Лист4'!$D:$AI,28,0)," ")</f>
        <v>9</v>
      </c>
      <c r="DF128" s="22">
        <f>IFERROR(VLOOKUP($C128,'Лист4'!$D:$AI,29,0)," ")</f>
        <v>5</v>
      </c>
      <c r="DG128" s="22">
        <f t="shared" si="3"/>
        <v>225</v>
      </c>
      <c r="DH128" s="22">
        <f>IFERROR(VLOOKUP($C128,'Лист4'!$D:$AI,32,0)," ")</f>
        <v>0.051</v>
      </c>
      <c r="DI128" s="22"/>
      <c r="DJ128" s="22"/>
      <c r="DK128" s="22"/>
      <c r="DL128" s="22"/>
      <c r="DM128" s="22"/>
      <c r="DN128" s="22"/>
      <c r="DO128" s="22"/>
      <c r="DP128" s="22"/>
      <c r="DQ128" s="22"/>
      <c r="DR128" s="22"/>
      <c r="DS128" s="22"/>
      <c r="DT128" s="22"/>
      <c r="DU128" s="22"/>
      <c r="DV128" s="22"/>
      <c r="DW128" s="22"/>
      <c r="DX128" s="22"/>
      <c r="DY128" s="22"/>
      <c r="DZ128" s="22"/>
      <c r="EA128" s="22"/>
      <c r="EB128" s="22"/>
      <c r="EC128" s="22"/>
      <c r="ED128" s="22"/>
      <c r="EE128" s="22"/>
      <c r="EF128" s="22"/>
      <c r="EG128" s="22"/>
      <c r="EH128" s="22"/>
      <c r="EI128" s="22"/>
      <c r="EJ128" s="22"/>
      <c r="EK128" s="22"/>
      <c r="EL128" s="22"/>
      <c r="EM128" s="43"/>
      <c r="EN128" s="43"/>
      <c r="EO128" s="43"/>
      <c r="EP128" s="43"/>
      <c r="EQ128" s="43"/>
      <c r="ER128" s="43"/>
      <c r="ES128" s="43"/>
      <c r="ET128" s="43"/>
      <c r="EU128" s="43"/>
      <c r="EV128" s="43"/>
      <c r="EW128" s="43"/>
      <c r="EX128" s="43"/>
      <c r="EY128" s="43"/>
      <c r="EZ128" s="43"/>
      <c r="FA128" s="43"/>
      <c r="FB128" s="43"/>
      <c r="FC128" s="43"/>
    </row>
    <row r="129" ht="18.0" customHeight="1">
      <c r="A129" s="2"/>
      <c r="B129" s="22" t="str">
        <f>IFERROR(VLOOKUP(C129,'Реестр'!C:AC,27,0)," ")</f>
        <v>Биг-Л</v>
      </c>
      <c r="C129" s="43" t="s">
        <v>2157</v>
      </c>
      <c r="D129" s="22" t="str">
        <f>IFERROR(VLOOKUP(C129,'Лист4'!D:P,13,0)," ")</f>
        <v>qeep</v>
      </c>
      <c r="E129" s="22" t="str">
        <f>IF(OR(ISERROR(VLOOKUP(C129,'Актуальность'!A:B,2,0)), VLOOKUP(C129,'Актуальность'!A:B,2,0)=""), "Актуальный", VLOOKUP(C129,'Актуальность'!A:B,2,0))</f>
        <v>Вывод</v>
      </c>
      <c r="F129" s="43" t="str">
        <f>IFERROR(VLOOKUP(C129,'Актуальность'!A:C,3,0)," ")</f>
        <v>Старый артикул</v>
      </c>
      <c r="G129" s="43"/>
      <c r="H129" s="22"/>
      <c r="I129" s="22"/>
      <c r="J129" s="43"/>
      <c r="K129" s="43"/>
      <c r="L129" s="22" t="b">
        <f t="shared" ref="L129:R129" si="125">T129&lt;&gt;""</f>
        <v>1</v>
      </c>
      <c r="M129" s="22" t="b">
        <f t="shared" si="125"/>
        <v>1</v>
      </c>
      <c r="N129" s="22" t="b">
        <f t="shared" si="125"/>
        <v>1</v>
      </c>
      <c r="O129" s="22" t="b">
        <f t="shared" si="125"/>
        <v>0</v>
      </c>
      <c r="P129" s="22" t="b">
        <f t="shared" si="125"/>
        <v>0</v>
      </c>
      <c r="Q129" s="22" t="b">
        <f t="shared" si="125"/>
        <v>0</v>
      </c>
      <c r="R129" s="22" t="b">
        <f t="shared" si="125"/>
        <v>0</v>
      </c>
      <c r="S129" s="43"/>
      <c r="T129" s="43" t="str">
        <f>IFERROR(VLOOKUP( C129,'1С'!A:B,2,0)," ")</f>
        <v>QB101100421</v>
      </c>
      <c r="U129" s="22" t="str">
        <f>IFERROR(VLOOKUP(T129,'Лист4'!C:I,3,0)," ")</f>
        <v>qeepd3k2</v>
      </c>
      <c r="V129" s="22" t="str">
        <f>IFERROR(VLOOKUP(T129,'Лист4'!C:I,4,0)," ")</f>
        <v>qeepd3k2</v>
      </c>
      <c r="W129" s="22" t="str">
        <f>IFERROR(VLOOKUP(T129,'Лист4'!C:I,5,0)," ")</f>
        <v/>
      </c>
      <c r="X129" s="43" t="str">
        <f>IFERROR(VLOOKUP(T129,'Лист4'!C:I,7,0)," ")</f>
        <v/>
      </c>
      <c r="Y129" s="43" t="str">
        <f>IFERROR(VLOOKUP(T129,'Лист4'!C:I,6,0)," ")</f>
        <v/>
      </c>
      <c r="Z129" s="43"/>
      <c r="AA129" s="43"/>
      <c r="AB129" s="22">
        <v>1.34150432E8</v>
      </c>
      <c r="AC129" s="22">
        <v>7.84856113E8</v>
      </c>
      <c r="AD129" s="22"/>
      <c r="AE129" s="22"/>
      <c r="AF129" s="22"/>
      <c r="AG129" s="43"/>
      <c r="AH129" s="43"/>
      <c r="AI129" s="43" t="str">
        <f>IFERROR(VLOOKUP(T129,'1С'!B:C,2,0)," ")</f>
        <v>БАД Д3 К2 ,qeep, 60 капсул</v>
      </c>
      <c r="AJ129" s="22" t="s">
        <v>1175</v>
      </c>
      <c r="AK129" s="22" t="s">
        <v>2160</v>
      </c>
      <c r="AL129" s="43"/>
      <c r="AM129" s="43"/>
      <c r="AN129" s="43"/>
      <c r="AO129" s="43"/>
      <c r="AP129" s="43"/>
      <c r="AQ129" s="46" t="s">
        <v>2161</v>
      </c>
      <c r="AR129" s="46" t="s">
        <v>2162</v>
      </c>
      <c r="AS129" s="43"/>
      <c r="AT129" s="43"/>
      <c r="AU129" s="43"/>
      <c r="AV129" s="43"/>
      <c r="AW129" s="43"/>
      <c r="AX129" s="22" t="s">
        <v>361</v>
      </c>
      <c r="AY129" s="22" t="s">
        <v>2160</v>
      </c>
      <c r="AZ129" s="43"/>
      <c r="BA129" s="43"/>
      <c r="BB129" s="43"/>
      <c r="BC129" s="43"/>
      <c r="BD129" s="43"/>
      <c r="BE129" s="43"/>
      <c r="BF129" s="22" t="str">
        <f>IFERROR(VLOOKUP(C129,'спецификация'!B:D,3,0)," ")</f>
        <v>2253870026870</v>
      </c>
      <c r="BG129" s="22">
        <v>2.106909808E9</v>
      </c>
      <c r="BH129" s="22" t="str">
        <f>IFERROR(VLOOKUP(C129,'спецификация'!B:AA,5,0)," ")</f>
        <v>RU.77.99.88.003.R.003512.09.19 от 24.09.2019</v>
      </c>
      <c r="BI129" s="22"/>
      <c r="BJ129" s="22" t="str">
        <f>IFERROR(VLOOKUP(C129,'спецификация'!B:AA,6,0)," ")</f>
        <v>ЧЗ</v>
      </c>
      <c r="BK129" s="43"/>
      <c r="BL129" s="43"/>
      <c r="BM129" s="22" t="str">
        <f>IFERROR(VLOOKUP(BF129,'спецификация'!D:H,5,0)," ")</f>
        <v>менахинон (витамин К2), холекальциферол (витамин D3), масло подсолнечное высокоолеиновое рафинированное (носитель), антиокислитель гриндокс (аскорбилпальмитат, натуральный концентрат смеси токоферолов, лецитин, рапсовое масло), капсула желатиновая (желатин, глицерин).</v>
      </c>
      <c r="BN129" s="43"/>
      <c r="BO129" s="22" t="str">
        <f>IFERROR(VLOOKUP(C129,'спецификация'!B:AA,10,0)," ")</f>
        <v>взрослым по 1 капсуле в день во время еды. Продолжительность приема 1 месяц.</v>
      </c>
      <c r="BP129" s="43" t="str">
        <f>IFERROR(VLOOKUP(C129,'спецификация'!B:AA,11,0),"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29" s="22" t="str">
        <f>IFERROR(VLOOKUP(C129,'спецификация'!B:AA,12,0)," ")</f>
        <v>Хранить в недоступном для детей месте, при температуре от +15 до +25ºС и относительной влажности воздуха не более 60%.</v>
      </c>
      <c r="BR129" s="22">
        <v>60.0</v>
      </c>
      <c r="BS129" s="22" t="s">
        <v>492</v>
      </c>
      <c r="BT129" s="22"/>
      <c r="BU129" s="22"/>
      <c r="BV129" s="22" t="s">
        <v>307</v>
      </c>
      <c r="BW129" s="44" t="str">
        <f>IFERROR(VLOOKUP(C129,'спецификация'!B:AA,16,0)," ")</f>
        <v>https://docs.google.com/document/d/1yixXXuC4-pYV5bZp63kx9O0T84_cJXX6yB4vQAfGVJA/edit</v>
      </c>
      <c r="BX129" s="43"/>
      <c r="BY129" s="43"/>
      <c r="BZ129" s="44" t="str">
        <f>IFERROR(VLOOKUP(BF129,'спецификация'!D:Y,22,0)," ")</f>
        <v>https://drive.google.com/drive/u/0/folders/1uBqzRgevQQ33UxyNkNFz5PBYU860OfPA</v>
      </c>
      <c r="CA129" s="43"/>
      <c r="CB129" s="43"/>
      <c r="CC129" s="43"/>
      <c r="CD129" s="43"/>
      <c r="CE129" s="43"/>
      <c r="CF129" s="43"/>
      <c r="CG129" s="49">
        <f>IFERROR(VLOOKUP(C129,CC!A:D,4,0)," ")</f>
        <v>217.04</v>
      </c>
      <c r="CH129" s="22" t="str">
        <f>IFERROR(VLOOKUP(C129,'спецификация'!B:AA,19,0)," ")</f>
        <v>ООО «Сибфармконтракт», Россия, 634034, г. Томск, ул. Нахимова 8, стр. 11.</v>
      </c>
      <c r="CI129" s="22"/>
      <c r="CJ129" s="22" t="s">
        <v>562</v>
      </c>
      <c r="CK129" s="22" t="str">
        <f>IFERROR(VLOOKUP(C129,CC!K:M,3,0)," ")</f>
        <v> </v>
      </c>
      <c r="CL129" s="43"/>
      <c r="CM129" s="43"/>
      <c r="CN129" s="43"/>
      <c r="CO129" s="43"/>
      <c r="CP129" s="43"/>
      <c r="CQ129" s="43"/>
      <c r="CR129" s="43"/>
      <c r="CS129" s="43" t="b">
        <v>0</v>
      </c>
      <c r="CT129" s="43" t="b">
        <v>0</v>
      </c>
      <c r="CU129" s="43" t="b">
        <v>0</v>
      </c>
      <c r="CV129" s="43" t="b">
        <v>0</v>
      </c>
      <c r="CW129" s="43"/>
      <c r="CX129" s="43"/>
      <c r="CY129" s="43"/>
      <c r="CZ129" s="43"/>
      <c r="DA129" s="43"/>
      <c r="DB129" s="43"/>
      <c r="DC129" s="43"/>
      <c r="DD129" s="22">
        <f>IFERROR(VLOOKUP($C129,'Лист4'!$D:$AI,27,0)," ")</f>
        <v>10</v>
      </c>
      <c r="DE129" s="22">
        <f>IFERROR(VLOOKUP($C129,'Лист4'!$D:$AI,28,0)," ")</f>
        <v>6</v>
      </c>
      <c r="DF129" s="22">
        <f>IFERROR(VLOOKUP($C129,'Лист4'!$D:$AI,29,0)," ")</f>
        <v>10</v>
      </c>
      <c r="DG129" s="22">
        <f t="shared" si="3"/>
        <v>600</v>
      </c>
      <c r="DH129" s="22">
        <f>IFERROR(VLOOKUP($C129,'Лист4'!$D:$AI,32,0)," ")</f>
        <v>0.05</v>
      </c>
      <c r="DI129" s="22"/>
      <c r="DJ129" s="22"/>
      <c r="DK129" s="22"/>
      <c r="DL129" s="22"/>
      <c r="DM129" s="22"/>
      <c r="DN129" s="22"/>
      <c r="DO129" s="22"/>
      <c r="DP129" s="22"/>
      <c r="DQ129" s="22"/>
      <c r="DR129" s="22"/>
      <c r="DS129" s="22"/>
      <c r="DT129" s="22"/>
      <c r="DU129" s="22"/>
      <c r="DV129" s="22"/>
      <c r="DW129" s="22"/>
      <c r="DX129" s="22"/>
      <c r="DY129" s="22"/>
      <c r="DZ129" s="22"/>
      <c r="EA129" s="22"/>
      <c r="EB129" s="22"/>
      <c r="EC129" s="22"/>
      <c r="ED129" s="22"/>
      <c r="EE129" s="22"/>
      <c r="EF129" s="22"/>
      <c r="EG129" s="22"/>
      <c r="EH129" s="22"/>
      <c r="EI129" s="22"/>
      <c r="EJ129" s="22"/>
      <c r="EK129" s="22"/>
      <c r="EL129" s="22"/>
      <c r="EM129" s="43"/>
      <c r="EN129" s="43"/>
      <c r="EO129" s="43"/>
      <c r="EP129" s="43"/>
      <c r="EQ129" s="43"/>
      <c r="ER129" s="43"/>
      <c r="ES129" s="43"/>
      <c r="ET129" s="43"/>
      <c r="EU129" s="43"/>
      <c r="EV129" s="43"/>
      <c r="EW129" s="43"/>
      <c r="EX129" s="43"/>
      <c r="EY129" s="43"/>
      <c r="EZ129" s="43"/>
      <c r="FA129" s="43"/>
      <c r="FB129" s="43"/>
      <c r="FC129" s="43"/>
    </row>
    <row r="130" ht="18.0" customHeight="1">
      <c r="A130" s="2"/>
      <c r="B130" s="22" t="str">
        <f>IFERROR(VLOOKUP(C130,'Реестр'!C:AC,27,0)," ")</f>
        <v>Биг-Л</v>
      </c>
      <c r="C130" s="43" t="s">
        <v>2169</v>
      </c>
      <c r="D130" s="22" t="str">
        <f>IFERROR(VLOOKUP(C130,'Лист4'!D:P,13,0)," ")</f>
        <v>qeep</v>
      </c>
      <c r="E130" s="22" t="str">
        <f>IF(OR(ISERROR(VLOOKUP(C130,'Актуальность'!A:B,2,0)), VLOOKUP(C130,'Актуальность'!A:B,2,0)=""), "Актуальный", VLOOKUP(C130,'Актуальность'!A:B,2,0))</f>
        <v>Вывод</v>
      </c>
      <c r="F130" s="43" t="str">
        <f>IFERROR(VLOOKUP(C130,'Актуальность'!A:C,3,0)," ")</f>
        <v>Старый артикул</v>
      </c>
      <c r="G130" s="43"/>
      <c r="H130" s="22"/>
      <c r="I130" s="22"/>
      <c r="J130" s="43"/>
      <c r="K130" s="43"/>
      <c r="L130" s="22" t="b">
        <f t="shared" ref="L130:R130" si="126">T130&lt;&gt;""</f>
        <v>1</v>
      </c>
      <c r="M130" s="22" t="b">
        <f t="shared" si="126"/>
        <v>1</v>
      </c>
      <c r="N130" s="22" t="b">
        <f t="shared" si="126"/>
        <v>1</v>
      </c>
      <c r="O130" s="22" t="b">
        <f t="shared" si="126"/>
        <v>0</v>
      </c>
      <c r="P130" s="22" t="b">
        <f t="shared" si="126"/>
        <v>0</v>
      </c>
      <c r="Q130" s="22" t="b">
        <f t="shared" si="126"/>
        <v>0</v>
      </c>
      <c r="R130" s="22" t="b">
        <f t="shared" si="126"/>
        <v>0</v>
      </c>
      <c r="S130" s="43"/>
      <c r="T130" s="43" t="str">
        <f>IFERROR(VLOOKUP( C130,'1С'!A:B,2,0)," ")</f>
        <v>QB101100422</v>
      </c>
      <c r="U130" s="22" t="str">
        <f>IFERROR(VLOOKUP(T130,'Лист4'!C:I,3,0)," ")</f>
        <v>qeepd3k3_1+1</v>
      </c>
      <c r="V130" s="22" t="str">
        <f>IFERROR(VLOOKUP(T130,'Лист4'!C:I,4,0)," ")</f>
        <v>qeepd3k3_1+1</v>
      </c>
      <c r="W130" s="22" t="str">
        <f>IFERROR(VLOOKUP(T130,'Лист4'!C:I,5,0)," ")</f>
        <v/>
      </c>
      <c r="X130" s="43" t="str">
        <f>IFERROR(VLOOKUP(T130,'Лист4'!C:I,7,0)," ")</f>
        <v/>
      </c>
      <c r="Y130" s="43" t="str">
        <f>IFERROR(VLOOKUP(T130,'Лист4'!C:I,6,0)," ")</f>
        <v/>
      </c>
      <c r="Z130" s="43"/>
      <c r="AA130" s="43"/>
      <c r="AB130" s="22">
        <v>1.52169206E8</v>
      </c>
      <c r="AC130" s="22">
        <v>9.01402455E8</v>
      </c>
      <c r="AD130" s="22"/>
      <c r="AE130" s="22"/>
      <c r="AF130" s="22"/>
      <c r="AG130" s="43"/>
      <c r="AH130" s="43"/>
      <c r="AI130" s="43" t="str">
        <f>IFERROR(VLOOKUP(T130,'1С'!B:C,2,0)," ")</f>
        <v>БАД Д3 К2 ,qeep, 60+60 капсул набор</v>
      </c>
      <c r="AJ130" s="22" t="s">
        <v>2172</v>
      </c>
      <c r="AK130" s="22" t="s">
        <v>2173</v>
      </c>
      <c r="AL130" s="43"/>
      <c r="AM130" s="43"/>
      <c r="AN130" s="43"/>
      <c r="AO130" s="43"/>
      <c r="AP130" s="43"/>
      <c r="AQ130" s="46" t="s">
        <v>2174</v>
      </c>
      <c r="AR130" s="46" t="s">
        <v>2175</v>
      </c>
      <c r="AS130" s="43"/>
      <c r="AT130" s="43"/>
      <c r="AU130" s="43"/>
      <c r="AV130" s="43"/>
      <c r="AW130" s="43"/>
      <c r="AX130" s="22" t="s">
        <v>361</v>
      </c>
      <c r="AY130" s="22" t="s">
        <v>2173</v>
      </c>
      <c r="AZ130" s="43"/>
      <c r="BA130" s="43"/>
      <c r="BB130" s="43"/>
      <c r="BC130" s="43"/>
      <c r="BD130" s="43"/>
      <c r="BE130" s="43"/>
      <c r="BF130" s="22" t="str">
        <f>IFERROR(VLOOKUP(C130,'спецификация'!B:D,3,0)," ")</f>
        <v>2037612220579</v>
      </c>
      <c r="BG130" s="22">
        <v>2.106909808E9</v>
      </c>
      <c r="BH130" s="22" t="str">
        <f>IFERROR(VLOOKUP(C130,'спецификация'!B:AA,5,0)," ")</f>
        <v>RU.77.99.88.003.R.003512.09.19 от 24.09.2019</v>
      </c>
      <c r="BI130" s="22"/>
      <c r="BJ130" s="22" t="str">
        <f>IFERROR(VLOOKUP(C130,'спецификация'!B:AA,6,0)," ")</f>
        <v>ЧЗ</v>
      </c>
      <c r="BK130" s="43"/>
      <c r="BL130" s="43"/>
      <c r="BM130" s="22" t="str">
        <f>IFERROR(VLOOKUP(BF130,'спецификация'!D:H,5,0)," ")</f>
        <v>менахинон (витамин К2), холекальциферол (витамин D3), масло подсолнечное высокоолеиновое рафинированное (носитель), антиокислитель гриндокс (аскорбилпальмитат, натуральный концентрат смеси токоферолов, лецитин, рапсовое масло), капсула желатиновая (желатин, глицерин).</v>
      </c>
      <c r="BN130" s="43"/>
      <c r="BO130" s="22" t="str">
        <f>IFERROR(VLOOKUP(C130,'спецификация'!B:AA,10,0)," ")</f>
        <v>взрослым по 1 капсуле в день во время еды. Продолжительность приема 1 месяц.</v>
      </c>
      <c r="BP130" s="43" t="str">
        <f>IFERROR(VLOOKUP(C130,'спецификация'!B:AA,11,0),"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30" s="22" t="str">
        <f>IFERROR(VLOOKUP(C130,'спецификация'!B:AA,12,0)," ")</f>
        <v>Хранить в недоступном для детей месте, при температуре от +15 до +25ºС и относительной влажности воздуха не более 60%.</v>
      </c>
      <c r="BR130" s="22"/>
      <c r="BS130" s="58" t="s">
        <v>2177</v>
      </c>
      <c r="BT130" s="58"/>
      <c r="BU130" s="22"/>
      <c r="BV130" s="22" t="s">
        <v>307</v>
      </c>
      <c r="BW130" s="44" t="str">
        <f>IFERROR(VLOOKUP(C130,'спецификация'!B:AA,16,0)," ")</f>
        <v>https://docs.google.com/document/d/1yixXXuC4-pYV5bZp63kx9O0T84_cJXX6yB4vQAfGVJA/edit</v>
      </c>
      <c r="BX130" s="43"/>
      <c r="BY130" s="43"/>
      <c r="BZ130" s="45" t="str">
        <f>IFERROR(VLOOKUP(BF130,'спецификация'!D:Y,22,0)," ")</f>
        <v/>
      </c>
      <c r="CA130" s="43"/>
      <c r="CB130" s="43"/>
      <c r="CC130" s="43"/>
      <c r="CD130" s="43"/>
      <c r="CE130" s="43"/>
      <c r="CF130" s="43"/>
      <c r="CG130" s="49">
        <f>IFERROR(VLOOKUP(C130,CC!A:D,4,0)," ")</f>
        <v>434.08</v>
      </c>
      <c r="CH130" s="22" t="str">
        <f>IFERROR(VLOOKUP(C130,'спецификация'!B:AA,19,0)," ")</f>
        <v>ООО «Сибфармконтракт», Россия, 634034, г. Томск, ул. Нахимова 8, стр. 11.</v>
      </c>
      <c r="CI130" s="22"/>
      <c r="CJ130" s="43"/>
      <c r="CK130" s="22" t="str">
        <f>IFERROR(VLOOKUP(C130,CC!K:M,3,0)," ")</f>
        <v> </v>
      </c>
      <c r="CL130" s="43"/>
      <c r="CM130" s="43"/>
      <c r="CN130" s="43"/>
      <c r="CO130" s="43"/>
      <c r="CP130" s="43"/>
      <c r="CQ130" s="43"/>
      <c r="CR130" s="43"/>
      <c r="CS130" s="43" t="b">
        <v>0</v>
      </c>
      <c r="CT130" s="43" t="b">
        <v>0</v>
      </c>
      <c r="CU130" s="43" t="b">
        <v>0</v>
      </c>
      <c r="CV130" s="43" t="b">
        <v>0</v>
      </c>
      <c r="CW130" s="43"/>
      <c r="CX130" s="43"/>
      <c r="CY130" s="43"/>
      <c r="CZ130" s="43"/>
      <c r="DA130" s="43"/>
      <c r="DB130" s="43"/>
      <c r="DC130" s="43"/>
      <c r="DD130" s="22">
        <f>IFERROR(VLOOKUP($C130,'Лист4'!$D:$AI,27,0)," ")</f>
        <v>21</v>
      </c>
      <c r="DE130" s="22">
        <f>IFERROR(VLOOKUP($C130,'Лист4'!$D:$AI,28,0)," ")</f>
        <v>4</v>
      </c>
      <c r="DF130" s="22">
        <f>IFERROR(VLOOKUP($C130,'Лист4'!$D:$AI,29,0)," ")</f>
        <v>21</v>
      </c>
      <c r="DG130" s="22">
        <f t="shared" si="3"/>
        <v>1764</v>
      </c>
      <c r="DH130" s="22">
        <f>IFERROR(VLOOKUP($C130,'Лист4'!$D:$AI,32,0)," ")</f>
        <v>0.1</v>
      </c>
      <c r="DI130" s="22"/>
      <c r="DJ130" s="22"/>
      <c r="DK130" s="22"/>
      <c r="DL130" s="22"/>
      <c r="DM130" s="22"/>
      <c r="DN130" s="22"/>
      <c r="DO130" s="22"/>
      <c r="DP130" s="22"/>
      <c r="DQ130" s="22"/>
      <c r="DR130" s="22"/>
      <c r="DS130" s="22"/>
      <c r="DT130" s="22"/>
      <c r="DU130" s="22"/>
      <c r="DV130" s="22"/>
      <c r="DW130" s="22"/>
      <c r="DX130" s="22"/>
      <c r="DY130" s="22"/>
      <c r="DZ130" s="22"/>
      <c r="EA130" s="22"/>
      <c r="EB130" s="22"/>
      <c r="EC130" s="22"/>
      <c r="ED130" s="22"/>
      <c r="EE130" s="22"/>
      <c r="EF130" s="22"/>
      <c r="EG130" s="22"/>
      <c r="EH130" s="22"/>
      <c r="EI130" s="22"/>
      <c r="EJ130" s="22"/>
      <c r="EK130" s="22"/>
      <c r="EL130" s="22"/>
      <c r="EM130" s="43"/>
      <c r="EN130" s="43"/>
      <c r="EO130" s="43"/>
      <c r="EP130" s="43"/>
      <c r="EQ130" s="43"/>
      <c r="ER130" s="43"/>
      <c r="ES130" s="43"/>
      <c r="ET130" s="43"/>
      <c r="EU130" s="43"/>
      <c r="EV130" s="43"/>
      <c r="EW130" s="43"/>
      <c r="EX130" s="43"/>
      <c r="EY130" s="43"/>
      <c r="EZ130" s="43"/>
      <c r="FA130" s="43"/>
      <c r="FB130" s="43"/>
      <c r="FC130" s="43"/>
    </row>
    <row r="131" ht="18.0" customHeight="1">
      <c r="A131" s="2"/>
      <c r="B131" s="22" t="str">
        <f>IFERROR(VLOOKUP(C131,'Реестр'!C:AC,27,0)," ")</f>
        <v>Биг-Л</v>
      </c>
      <c r="C131" s="43" t="s">
        <v>2178</v>
      </c>
      <c r="D131" s="22" t="str">
        <f>IFERROR(VLOOKUP(C131,'Лист4'!D:P,13,0)," ")</f>
        <v>qeep</v>
      </c>
      <c r="E131" s="22" t="str">
        <f>IF(OR(ISERROR(VLOOKUP(C131,'Актуальность'!A:B,2,0)), VLOOKUP(C131,'Актуальность'!A:B,2,0)=""), "Актуальный", VLOOKUP(C131,'Актуальность'!A:B,2,0))</f>
        <v>Вывод</v>
      </c>
      <c r="F131" s="43" t="str">
        <f>IFERROR(VLOOKUP(C131,'Актуальность'!A:C,3,0)," ")</f>
        <v>Старый артикул</v>
      </c>
      <c r="G131" s="43"/>
      <c r="H131" s="22"/>
      <c r="I131" s="22"/>
      <c r="J131" s="43"/>
      <c r="K131" s="43"/>
      <c r="L131" s="22" t="b">
        <f t="shared" ref="L131:R131" si="127">T131&lt;&gt;""</f>
        <v>1</v>
      </c>
      <c r="M131" s="22" t="b">
        <f t="shared" si="127"/>
        <v>1</v>
      </c>
      <c r="N131" s="22" t="b">
        <f t="shared" si="127"/>
        <v>1</v>
      </c>
      <c r="O131" s="22" t="b">
        <f t="shared" si="127"/>
        <v>0</v>
      </c>
      <c r="P131" s="22" t="b">
        <f t="shared" si="127"/>
        <v>0</v>
      </c>
      <c r="Q131" s="22" t="b">
        <f t="shared" si="127"/>
        <v>0</v>
      </c>
      <c r="R131" s="22" t="b">
        <f t="shared" si="127"/>
        <v>0</v>
      </c>
      <c r="S131" s="43"/>
      <c r="T131" s="43" t="str">
        <f>IFERROR(VLOOKUP( C131,'1С'!A:B,2,0)," ")</f>
        <v>QB101100429</v>
      </c>
      <c r="U131" s="22" t="str">
        <f>IFERROR(VLOOKUP(T131,'Лист4'!C:I,3,0)," ")</f>
        <v>qeepvitakids</v>
      </c>
      <c r="V131" s="22" t="str">
        <f>IFERROR(VLOOKUP(T131,'Лист4'!C:I,4,0)," ")</f>
        <v>qeepvitakids</v>
      </c>
      <c r="W131" s="22" t="str">
        <f>IFERROR(VLOOKUP(T131,'Лист4'!C:I,5,0)," ")</f>
        <v/>
      </c>
      <c r="X131" s="43" t="str">
        <f>IFERROR(VLOOKUP(T131,'Лист4'!C:I,7,0)," ")</f>
        <v/>
      </c>
      <c r="Y131" s="43" t="str">
        <f>IFERROR(VLOOKUP(T131,'Лист4'!C:I,6,0)," ")</f>
        <v/>
      </c>
      <c r="Z131" s="43"/>
      <c r="AA131" s="43"/>
      <c r="AB131" s="22">
        <v>9.196887E7</v>
      </c>
      <c r="AC131" s="22">
        <v>6.37790722E8</v>
      </c>
      <c r="AD131" s="22"/>
      <c r="AE131" s="22"/>
      <c r="AF131" s="22"/>
      <c r="AG131" s="43"/>
      <c r="AH131" s="43"/>
      <c r="AI131" s="43" t="str">
        <f>IFERROR(VLOOKUP(T131,'1С'!B:C,2,0)," ")</f>
        <v>БАД для детей ,qeep, 60 жевательных таблеток</v>
      </c>
      <c r="AJ131" s="22" t="s">
        <v>2180</v>
      </c>
      <c r="AK131" s="22" t="s">
        <v>1903</v>
      </c>
      <c r="AL131" s="43"/>
      <c r="AM131" s="43"/>
      <c r="AN131" s="43"/>
      <c r="AO131" s="43"/>
      <c r="AP131" s="43"/>
      <c r="AQ131" s="46" t="s">
        <v>2181</v>
      </c>
      <c r="AR131" s="46" t="s">
        <v>2182</v>
      </c>
      <c r="AS131" s="43"/>
      <c r="AT131" s="43"/>
      <c r="AU131" s="43"/>
      <c r="AV131" s="43"/>
      <c r="AW131" s="43"/>
      <c r="AX131" s="22" t="s">
        <v>361</v>
      </c>
      <c r="AY131" s="22" t="s">
        <v>1903</v>
      </c>
      <c r="AZ131" s="43"/>
      <c r="BA131" s="43"/>
      <c r="BB131" s="43"/>
      <c r="BC131" s="43"/>
      <c r="BD131" s="43"/>
      <c r="BE131" s="43"/>
      <c r="BF131" s="22" t="str">
        <f>IFERROR(VLOOKUP(C131,'спецификация'!B:D,3,0)," ")</f>
        <v>4630040228476</v>
      </c>
      <c r="BG131" s="22">
        <v>2.106909808E9</v>
      </c>
      <c r="BH131" s="22" t="str">
        <f>IFERROR(VLOOKUP(C131,'спецификация'!B:AA,5,0)," ")</f>
        <v>AM.01.06.01.003.R.000004.01.22</v>
      </c>
      <c r="BI131" s="22"/>
      <c r="BJ131" s="22" t="str">
        <f>IFERROR(VLOOKUP(C131,'спецификация'!B:AA,6,0)," ")</f>
        <v>ЧЗ</v>
      </c>
      <c r="BK131" s="43"/>
      <c r="BL131" s="43"/>
      <c r="BM131" s="22" t="str">
        <f>IFERROR(VLOOKUP(BF131,'спецификация'!D:H,5,0)," ")</f>
        <v>кальция карбонат (морские известняковые водоросли Аквамин F), магния цитрат, холина битартрат, витамин С (натрия аскорбат), кальция карбонат, железа пирофосфат, арабиногалактан, биомассы гидролизованные сухие ультрализаты пептидные: BB-In Bifidobacterium infantis, «BB-Ln» Bifidobacterium longum, «BB-Br» Bifidobacterium breve, цинка цитрат, гибискуса цветков экстракт, витамин Е (токоферола ацетат), витамин В3 (никотинамид), бета-каротин, витамин D3 (холекальциферол), витамин В5 (кальция пантотенат), меди цитрат, витамин В6 (пиридоксина гидрохлорид), витамин В1 (тиамина мононитрат), витамин В2 (рибофлавин), йодказеин, витамин К (менахинон), хрома пиколинат, витамин В9 (фолиевая кислота), витамин В12 (цианокобаламин), витамин Н (биотин). Вспомогательные вещества: сахароза, агенты антислеживающие: кальция стеарат, кремния диоксид.</v>
      </c>
      <c r="BN131" s="43"/>
      <c r="BO131" s="22" t="str">
        <f>IFERROR(VLOOKUP(C131,'спецификация'!B:AA,10,0)," ")</f>
        <v>детям от 3 лет по 1 таблетке в день разжевывать во время приема пищи. Продолжительность приема 1 месяц.</v>
      </c>
      <c r="BP131" s="43" t="str">
        <f>IFERROR(VLOOKUP(C131,'спецификация'!B:AA,11,0)," ")</f>
        <v>Противопоказания: индивидуальная непереносимость компонентов. Перед применением рекомендуется проконсультироваться с врачом, перед применением БАД детьми рекомендуется проконсультироваться с врачом-педиатром.</v>
      </c>
      <c r="BQ131" s="22" t="str">
        <f>IFERROR(VLOOKUP(C131,'спецификация'!B:AA,12,0)," ")</f>
        <v>в недоступном для детей месте, при температуре не выше 25ºС и относительной влажности воздуха не более 60%.</v>
      </c>
      <c r="BR131" s="22">
        <v>60.0</v>
      </c>
      <c r="BS131" s="22" t="s">
        <v>421</v>
      </c>
      <c r="BT131" s="22"/>
      <c r="BU131" s="22"/>
      <c r="BV131" s="22" t="s">
        <v>307</v>
      </c>
      <c r="BW131" s="44" t="str">
        <f>IFERROR(VLOOKUP(C131,'спецификация'!B:AA,16,0)," ")</f>
        <v>https://drive.google.com/drive/u/0/folders/1BVuNK54fppOa8HBSYgKwVscUCPlIBmaE</v>
      </c>
      <c r="BX131" s="43"/>
      <c r="BY131" s="43"/>
      <c r="BZ131" s="44" t="str">
        <f>IFERROR(VLOOKUP(BF131,'спецификация'!D:Y,22,0)," ")</f>
        <v>https://drive.google.com/drive/u/0/folders/1COf_8PlaDgAGDHeeZrVFa959w7zdu5im</v>
      </c>
      <c r="CA131" s="43"/>
      <c r="CB131" s="43"/>
      <c r="CC131" s="43"/>
      <c r="CD131" s="43"/>
      <c r="CE131" s="43"/>
      <c r="CF131" s="43"/>
      <c r="CG131" s="49">
        <f>IFERROR(VLOOKUP(C131,CC!A:D,4,0)," ")</f>
        <v>244.04</v>
      </c>
      <c r="CH131" s="22" t="str">
        <f>IFERROR(VLOOKUP(C131,'спецификация'!B:AA,19,0)," ")</f>
        <v>ООО «Сибфармконтракт», Россия, 634034, г. Томск, ул. Нахимова 8, стр. 11.</v>
      </c>
      <c r="CI131" s="22"/>
      <c r="CJ131" s="22" t="s">
        <v>562</v>
      </c>
      <c r="CK131" s="22" t="str">
        <f>IFERROR(VLOOKUP(C131,CC!K:M,3,0)," ")</f>
        <v> </v>
      </c>
      <c r="CL131" s="43"/>
      <c r="CM131" s="43"/>
      <c r="CN131" s="43"/>
      <c r="CO131" s="43"/>
      <c r="CP131" s="43"/>
      <c r="CQ131" s="43"/>
      <c r="CR131" s="43"/>
      <c r="CS131" s="43" t="b">
        <v>0</v>
      </c>
      <c r="CT131" s="43" t="b">
        <v>0</v>
      </c>
      <c r="CU131" s="43" t="b">
        <v>0</v>
      </c>
      <c r="CV131" s="43" t="b">
        <v>0</v>
      </c>
      <c r="CW131" s="43"/>
      <c r="CX131" s="43"/>
      <c r="CY131" s="43"/>
      <c r="CZ131" s="43"/>
      <c r="DA131" s="43"/>
      <c r="DB131" s="43"/>
      <c r="DC131" s="43"/>
      <c r="DD131" s="22">
        <f>IFERROR(VLOOKUP($C131,'Лист4'!$D:$AI,27,0)," ")</f>
        <v>5</v>
      </c>
      <c r="DE131" s="22">
        <f>IFERROR(VLOOKUP($C131,'Лист4'!$D:$AI,28,0)," ")</f>
        <v>9</v>
      </c>
      <c r="DF131" s="22">
        <f>IFERROR(VLOOKUP($C131,'Лист4'!$D:$AI,29,0)," ")</f>
        <v>5</v>
      </c>
      <c r="DG131" s="22">
        <f t="shared" si="3"/>
        <v>225</v>
      </c>
      <c r="DH131" s="22">
        <f>IFERROR(VLOOKUP($C131,'Лист4'!$D:$AI,32,0)," ")</f>
        <v>0.076</v>
      </c>
      <c r="DI131" s="22"/>
      <c r="DJ131" s="22"/>
      <c r="DK131" s="22"/>
      <c r="DL131" s="22"/>
      <c r="DM131" s="22"/>
      <c r="DN131" s="22"/>
      <c r="DO131" s="22"/>
      <c r="DP131" s="22"/>
      <c r="DQ131" s="22"/>
      <c r="DR131" s="22"/>
      <c r="DS131" s="22"/>
      <c r="DT131" s="22"/>
      <c r="DU131" s="22"/>
      <c r="DV131" s="22"/>
      <c r="DW131" s="22"/>
      <c r="DX131" s="22"/>
      <c r="DY131" s="22"/>
      <c r="DZ131" s="22"/>
      <c r="EA131" s="22"/>
      <c r="EB131" s="22"/>
      <c r="EC131" s="22"/>
      <c r="ED131" s="22"/>
      <c r="EE131" s="22"/>
      <c r="EF131" s="22"/>
      <c r="EG131" s="22"/>
      <c r="EH131" s="22"/>
      <c r="EI131" s="22"/>
      <c r="EJ131" s="22"/>
      <c r="EK131" s="22"/>
      <c r="EL131" s="22"/>
      <c r="EM131" s="43"/>
      <c r="EN131" s="43"/>
      <c r="EO131" s="43"/>
      <c r="EP131" s="43"/>
      <c r="EQ131" s="43"/>
      <c r="ER131" s="43"/>
      <c r="ES131" s="43"/>
      <c r="ET131" s="43"/>
      <c r="EU131" s="43"/>
      <c r="EV131" s="43"/>
      <c r="EW131" s="43"/>
      <c r="EX131" s="43"/>
      <c r="EY131" s="43"/>
      <c r="EZ131" s="43"/>
      <c r="FA131" s="43"/>
      <c r="FB131" s="43"/>
      <c r="FC131" s="43"/>
    </row>
    <row r="132" ht="18.0" customHeight="1">
      <c r="A132" s="2"/>
      <c r="B132" s="22" t="str">
        <f>IFERROR(VLOOKUP(C132,'Реестр'!C:AC,27,0)," ")</f>
        <v>Биг-Л</v>
      </c>
      <c r="C132" s="43" t="s">
        <v>2191</v>
      </c>
      <c r="D132" s="22" t="str">
        <f>IFERROR(VLOOKUP(C132,'Лист4'!D:P,13,0)," ")</f>
        <v>qeep</v>
      </c>
      <c r="E132" s="22" t="str">
        <f>IF(OR(ISERROR(VLOOKUP(C132,'Актуальность'!A:B,2,0)), VLOOKUP(C132,'Актуальность'!A:B,2,0)=""), "Актуальный", VLOOKUP(C132,'Актуальность'!A:B,2,0))</f>
        <v>Вывод</v>
      </c>
      <c r="F132" s="43" t="str">
        <f>IFERROR(VLOOKUP(C132,'Актуальность'!A:C,3,0)," ")</f>
        <v>Старый артикул</v>
      </c>
      <c r="G132" s="43"/>
      <c r="H132" s="22"/>
      <c r="I132" s="22"/>
      <c r="J132" s="43"/>
      <c r="K132" s="43"/>
      <c r="L132" s="22" t="b">
        <f t="shared" ref="L132:R132" si="128">T132&lt;&gt;""</f>
        <v>1</v>
      </c>
      <c r="M132" s="22" t="b">
        <f t="shared" si="128"/>
        <v>1</v>
      </c>
      <c r="N132" s="22" t="b">
        <f t="shared" si="128"/>
        <v>1</v>
      </c>
      <c r="O132" s="22" t="b">
        <f t="shared" si="128"/>
        <v>0</v>
      </c>
      <c r="P132" s="22" t="b">
        <f t="shared" si="128"/>
        <v>0</v>
      </c>
      <c r="Q132" s="22" t="b">
        <f t="shared" si="128"/>
        <v>0</v>
      </c>
      <c r="R132" s="22" t="b">
        <f t="shared" si="128"/>
        <v>0</v>
      </c>
      <c r="S132" s="43"/>
      <c r="T132" s="43" t="str">
        <f>IFERROR(VLOOKUP( C132,'1С'!A:B,2,0)," ")</f>
        <v>QB101100426</v>
      </c>
      <c r="U132" s="22" t="str">
        <f>IFERROR(VLOOKUP(T132,'Лист4'!C:I,3,0)," ")</f>
        <v>qeep_dinokids_30caps</v>
      </c>
      <c r="V132" s="22" t="str">
        <f>IFERROR(VLOOKUP(T132,'Лист4'!C:I,4,0)," ")</f>
        <v>qeep_dinokids_30caps</v>
      </c>
      <c r="W132" s="22" t="str">
        <f>IFERROR(VLOOKUP(T132,'Лист4'!C:I,5,0)," ")</f>
        <v/>
      </c>
      <c r="X132" s="43" t="str">
        <f>IFERROR(VLOOKUP(T132,'Лист4'!C:I,7,0)," ")</f>
        <v/>
      </c>
      <c r="Y132" s="43" t="str">
        <f>IFERROR(VLOOKUP(T132,'Лист4'!C:I,6,0)," ")</f>
        <v/>
      </c>
      <c r="Z132" s="43"/>
      <c r="AA132" s="43"/>
      <c r="AB132" s="22">
        <v>1.59980608E8</v>
      </c>
      <c r="AC132" s="22">
        <v>9.67716766E8</v>
      </c>
      <c r="AD132" s="22"/>
      <c r="AE132" s="22"/>
      <c r="AF132" s="22"/>
      <c r="AG132" s="43"/>
      <c r="AH132" s="43"/>
      <c r="AI132" s="43" t="str">
        <f>IFERROR(VLOOKUP(T132,'1С'!B:C,2,0)," ")</f>
        <v>БАД для детей жевательные ,qeep, 30 шт</v>
      </c>
      <c r="AJ132" s="22" t="s">
        <v>2194</v>
      </c>
      <c r="AK132" s="22" t="s">
        <v>2195</v>
      </c>
      <c r="AL132" s="43"/>
      <c r="AM132" s="43"/>
      <c r="AN132" s="43"/>
      <c r="AO132" s="43"/>
      <c r="AP132" s="43"/>
      <c r="AQ132" s="46" t="s">
        <v>2196</v>
      </c>
      <c r="AR132" s="46" t="s">
        <v>2197</v>
      </c>
      <c r="AS132" s="43"/>
      <c r="AT132" s="43"/>
      <c r="AU132" s="43"/>
      <c r="AV132" s="43"/>
      <c r="AW132" s="43"/>
      <c r="AX132" s="22" t="s">
        <v>361</v>
      </c>
      <c r="AY132" s="22" t="s">
        <v>2195</v>
      </c>
      <c r="AZ132" s="43"/>
      <c r="BA132" s="43"/>
      <c r="BB132" s="43"/>
      <c r="BC132" s="43"/>
      <c r="BD132" s="43"/>
      <c r="BE132" s="43"/>
      <c r="BF132" s="22" t="str">
        <f>IFERROR(VLOOKUP(C132,'спецификация'!B:D,3,0)," ")</f>
        <v>4680169560155</v>
      </c>
      <c r="BG132" s="22">
        <v>2.106909808E9</v>
      </c>
      <c r="BH132" s="22" t="str">
        <f>IFERROR(VLOOKUP(C132,'спецификация'!B:AA,5,0)," ")</f>
        <v>RU.77.99.88.003.Е.010701.12.15 от 09.12.2015 г.</v>
      </c>
      <c r="BI132" s="22"/>
      <c r="BJ132" s="22" t="str">
        <f>IFERROR(VLOOKUP(C132,'спецификация'!B:AA,6,0)," ")</f>
        <v>ЧЗ</v>
      </c>
      <c r="BK132" s="43"/>
      <c r="BL132" s="43"/>
      <c r="BM132" s="22" t="str">
        <f>IFERROR(VLOOKUP(BF132,'спецификация'!D:H,5,0)," ")</f>
        <v>витаминный премикс (мальтодекстрин, аскорбиновая кислота, ниацинамид, витамин Е, пиридоксина гидрохлорид, ретинол ацетат, фолиевая кислота, витамин К1, биотин, витамин Д3, витамин В12), лимонная кислота (регулятор кислотности), сахар, глюкозный сироп, вода, желатин,  глицерин (влагоудерживающий агент), краситель натуральный «Кармин», ароматизатор натуральный «Клубника», глазирователь (масло подсолнечное, воск пчелиный, воск карнаубский).</v>
      </c>
      <c r="BN132" s="43"/>
      <c r="BO132" s="22" t="str">
        <f>IFERROR(VLOOKUP(C132,'спецификация'!B:AA,10,0)," ")</f>
        <v>взрослым и детям старше 3 лет по 1 пастилке 1 раз в день. Продолжительность приема – 1 месяц. Возможны повторные приемы в течение года.</v>
      </c>
      <c r="BP132" s="43" t="str">
        <f>IFERROR(VLOOKUP(C132,'спецификация'!B:AA,11,0)," ")</f>
        <v>индивидуальная непереносимость компонентов продукта, беременность, кормление грудью, нарушения углеводного обмена. Перед применением рекомендуется проконсультироваться с врачом.</v>
      </c>
      <c r="BQ132" s="22" t="str">
        <f>IFERROR(VLOOKUP(C132,'спецификация'!B:AA,12,0)," ")</f>
        <v>хранить в сухом, защищенном от прямых солнечных лучей и недоступном для детей месте при температуре не выше 25°С.</v>
      </c>
      <c r="BR132" s="22">
        <v>30.0</v>
      </c>
      <c r="BS132" s="22" t="s">
        <v>2203</v>
      </c>
      <c r="BT132" s="43"/>
      <c r="BU132" s="22"/>
      <c r="BV132" s="22" t="s">
        <v>307</v>
      </c>
      <c r="BW132" s="44" t="str">
        <f>IFERROR(VLOOKUP(C132,'спецификация'!B:AA,16,0)," ")</f>
        <v>https://docs.google.com/document/d/1jIKHjyWFHZLHNCdEVSki1l8om9KpFxtRQz_Q4rZNu7M/edit?usp=sharing</v>
      </c>
      <c r="BX132" s="43"/>
      <c r="BY132" s="43"/>
      <c r="BZ132" s="44" t="str">
        <f>IFERROR(VLOOKUP(BF132,'спецификация'!D:Y,22,0)," ")</f>
        <v>https://drive.google.com/drive/u/0/folders/1COf_8PlaDgAGDHeeZrVFa959w7zdu5im</v>
      </c>
      <c r="CA132" s="43"/>
      <c r="CB132" s="43"/>
      <c r="CC132" s="43"/>
      <c r="CD132" s="43"/>
      <c r="CE132" s="43"/>
      <c r="CF132" s="43"/>
      <c r="CG132" s="49">
        <f>IFERROR(VLOOKUP(C132,CC!A:D,4,0)," ")</f>
        <v>191</v>
      </c>
      <c r="CH132" s="22" t="str">
        <f>IFERROR(VLOOKUP(C132,'спецификация'!B:AA,19,0)," ")</f>
        <v>ООО «Полярис», Россия, 183001, г. Мурманск, Рыбный порт, причал №1, тел. 8-800-2222-106. Система менеджмента безопасности пищевых продуктов сертифицирована на соответствие ИСО 22000 Ассоциацией по сертификации «Русский Регистр».</v>
      </c>
      <c r="CI132" s="22"/>
      <c r="CJ132" s="22" t="s">
        <v>1913</v>
      </c>
      <c r="CK132" s="22">
        <f>IFERROR(VLOOKUP(C132,CC!K:M,3,0)," ")</f>
        <v>90</v>
      </c>
      <c r="CL132" s="43"/>
      <c r="CM132" s="43"/>
      <c r="CN132" s="43"/>
      <c r="CO132" s="43"/>
      <c r="CP132" s="43"/>
      <c r="CQ132" s="43"/>
      <c r="CR132" s="43"/>
      <c r="CS132" s="43" t="b">
        <v>0</v>
      </c>
      <c r="CT132" s="43" t="b">
        <v>0</v>
      </c>
      <c r="CU132" s="43" t="b">
        <v>0</v>
      </c>
      <c r="CV132" s="43" t="b">
        <v>0</v>
      </c>
      <c r="CW132" s="43"/>
      <c r="CX132" s="43"/>
      <c r="CY132" s="43"/>
      <c r="CZ132" s="43"/>
      <c r="DA132" s="43"/>
      <c r="DB132" s="43"/>
      <c r="DC132" s="43"/>
      <c r="DD132" s="22">
        <f>IFERROR(VLOOKUP($C132,'Лист4'!$D:$AI,27,0)," ")</f>
        <v>5</v>
      </c>
      <c r="DE132" s="22">
        <f>IFERROR(VLOOKUP($C132,'Лист4'!$D:$AI,28,0)," ")</f>
        <v>11</v>
      </c>
      <c r="DF132" s="22">
        <f>IFERROR(VLOOKUP($C132,'Лист4'!$D:$AI,29,0)," ")</f>
        <v>5</v>
      </c>
      <c r="DG132" s="22">
        <f t="shared" si="3"/>
        <v>275</v>
      </c>
      <c r="DH132" s="22">
        <f>IFERROR(VLOOKUP($C132,'Лист4'!$D:$AI,32,0)," ")</f>
        <v>0.12</v>
      </c>
      <c r="DI132" s="22"/>
      <c r="DJ132" s="22"/>
      <c r="DK132" s="22"/>
      <c r="DL132" s="22"/>
      <c r="DM132" s="22"/>
      <c r="DN132" s="22"/>
      <c r="DO132" s="22"/>
      <c r="DP132" s="22"/>
      <c r="DQ132" s="22"/>
      <c r="DR132" s="22"/>
      <c r="DS132" s="22"/>
      <c r="DT132" s="22"/>
      <c r="DU132" s="22"/>
      <c r="DV132" s="22"/>
      <c r="DW132" s="22"/>
      <c r="DX132" s="22"/>
      <c r="DY132" s="22"/>
      <c r="DZ132" s="22"/>
      <c r="EA132" s="22"/>
      <c r="EB132" s="22"/>
      <c r="EC132" s="22"/>
      <c r="ED132" s="22"/>
      <c r="EE132" s="22"/>
      <c r="EF132" s="22"/>
      <c r="EG132" s="22"/>
      <c r="EH132" s="22"/>
      <c r="EI132" s="22"/>
      <c r="EJ132" s="22"/>
      <c r="EK132" s="22"/>
      <c r="EL132" s="22"/>
      <c r="EM132" s="43"/>
      <c r="EN132" s="43"/>
      <c r="EO132" s="43"/>
      <c r="EP132" s="43"/>
      <c r="EQ132" s="43"/>
      <c r="ER132" s="43"/>
      <c r="ES132" s="43"/>
      <c r="ET132" s="43"/>
      <c r="EU132" s="43"/>
      <c r="EV132" s="43"/>
      <c r="EW132" s="43"/>
      <c r="EX132" s="43"/>
      <c r="EY132" s="43"/>
      <c r="EZ132" s="43"/>
      <c r="FA132" s="43"/>
      <c r="FB132" s="43"/>
      <c r="FC132" s="43"/>
    </row>
    <row r="133" ht="18.0" customHeight="1">
      <c r="A133" s="2"/>
      <c r="B133" s="22" t="str">
        <f>IFERROR(VLOOKUP(C133,'Реестр'!C:AC,27,0)," ")</f>
        <v>Биг-Л</v>
      </c>
      <c r="C133" s="43" t="s">
        <v>2205</v>
      </c>
      <c r="D133" s="22" t="str">
        <f>IFERROR(VLOOKUP(C133,'Лист4'!D:P,13,0)," ")</f>
        <v>qeep</v>
      </c>
      <c r="E133" s="22" t="str">
        <f>IF(OR(ISERROR(VLOOKUP(C133,'Актуальность'!A:B,2,0)), VLOOKUP(C133,'Актуальность'!A:B,2,0)=""), "Актуальный", VLOOKUP(C133,'Актуальность'!A:B,2,0))</f>
        <v>Вывод</v>
      </c>
      <c r="F133" s="43" t="str">
        <f>IFERROR(VLOOKUP(C133,'Актуальность'!A:C,3,0)," ")</f>
        <v>Старый артикул</v>
      </c>
      <c r="G133" s="43"/>
      <c r="H133" s="22"/>
      <c r="I133" s="22"/>
      <c r="J133" s="43"/>
      <c r="K133" s="43"/>
      <c r="L133" s="22" t="b">
        <f t="shared" ref="L133:R133" si="129">T133&lt;&gt;""</f>
        <v>1</v>
      </c>
      <c r="M133" s="22" t="b">
        <f t="shared" si="129"/>
        <v>1</v>
      </c>
      <c r="N133" s="22" t="b">
        <f t="shared" si="129"/>
        <v>1</v>
      </c>
      <c r="O133" s="22" t="b">
        <f t="shared" si="129"/>
        <v>0</v>
      </c>
      <c r="P133" s="22" t="b">
        <f t="shared" si="129"/>
        <v>0</v>
      </c>
      <c r="Q133" s="22" t="b">
        <f t="shared" si="129"/>
        <v>0</v>
      </c>
      <c r="R133" s="22" t="b">
        <f t="shared" si="129"/>
        <v>0</v>
      </c>
      <c r="S133" s="43"/>
      <c r="T133" s="43" t="str">
        <f>IFERROR(VLOOKUP( C133,'1С'!A:B,2,0)," ")</f>
        <v>QB101100467</v>
      </c>
      <c r="U133" s="22" t="str">
        <f>IFERROR(VLOOKUP(T133,'Лист4'!C:I,3,0)," ")</f>
        <v>qeepwomenmulti</v>
      </c>
      <c r="V133" s="22" t="str">
        <f>IFERROR(VLOOKUP(T133,'Лист4'!C:I,4,0)," ")</f>
        <v>qeepwomenmulti</v>
      </c>
      <c r="W133" s="22" t="str">
        <f>IFERROR(VLOOKUP(T133,'Лист4'!C:I,5,0)," ")</f>
        <v/>
      </c>
      <c r="X133" s="43" t="str">
        <f>IFERROR(VLOOKUP(T133,'Лист4'!C:I,7,0)," ")</f>
        <v/>
      </c>
      <c r="Y133" s="43" t="str">
        <f>IFERROR(VLOOKUP(T133,'Лист4'!C:I,6,0)," ")</f>
        <v/>
      </c>
      <c r="Z133" s="43"/>
      <c r="AA133" s="43"/>
      <c r="AB133" s="22">
        <v>9.0382271E7</v>
      </c>
      <c r="AC133" s="22">
        <v>6.17417253E8</v>
      </c>
      <c r="AD133" s="22"/>
      <c r="AE133" s="22"/>
      <c r="AF133" s="22"/>
      <c r="AG133" s="43"/>
      <c r="AH133" s="43"/>
      <c r="AI133" s="43" t="str">
        <f>IFERROR(VLOOKUP(T133,'1С'!B:C,2,0)," ")</f>
        <v>БАД мультивитамины для женщин ,qeep, 30 капсул</v>
      </c>
      <c r="AJ133" s="22" t="s">
        <v>2208</v>
      </c>
      <c r="AK133" s="22" t="s">
        <v>2209</v>
      </c>
      <c r="AL133" s="43"/>
      <c r="AM133" s="43"/>
      <c r="AN133" s="43"/>
      <c r="AO133" s="43"/>
      <c r="AP133" s="43"/>
      <c r="AQ133" s="46" t="s">
        <v>2210</v>
      </c>
      <c r="AR133" s="46" t="s">
        <v>2211</v>
      </c>
      <c r="AS133" s="43"/>
      <c r="AT133" s="43"/>
      <c r="AU133" s="43"/>
      <c r="AV133" s="43"/>
      <c r="AW133" s="43"/>
      <c r="AX133" s="22" t="s">
        <v>361</v>
      </c>
      <c r="AY133" s="22" t="s">
        <v>2209</v>
      </c>
      <c r="AZ133" s="43"/>
      <c r="BA133" s="43"/>
      <c r="BB133" s="43"/>
      <c r="BC133" s="43"/>
      <c r="BD133" s="43"/>
      <c r="BE133" s="43"/>
      <c r="BF133" s="22" t="str">
        <f>IFERROR(VLOOKUP(C133,'спецификация'!B:D,3,0)," ")</f>
        <v>4630040228339</v>
      </c>
      <c r="BG133" s="22">
        <v>2.936290001E9</v>
      </c>
      <c r="BH133" s="22" t="str">
        <f>IFERROR(VLOOKUP(C133,'спецификация'!B:AA,5,0)," ")</f>
        <v>RU.77.99.11.003.R.004710.12.19 от 24.12.2019 г.</v>
      </c>
      <c r="BI133" s="22"/>
      <c r="BJ133" s="22" t="str">
        <f>IFERROR(VLOOKUP(C133,'спецификация'!B:AA,6,0)," ")</f>
        <v>ЧЗ</v>
      </c>
      <c r="BK133" s="43"/>
      <c r="BL133" s="43"/>
      <c r="BM133" s="22" t="str">
        <f>IFERROR(VLOOKUP(BF133,'спецификация'!D:H,5,0)," ")</f>
        <v>рыбий жир, капсула желатиновая (желатин, глицерин), витекса священного экстракт, кремния диоксид (носитель), солодки корня экстракт, витамин Е (токоферола ацетат), ресвератрол, витамин А (ретинола пальмитат), витамин В6 (пиридоксина гидрохлорид), гриндокс (антиокислитель), витамин В9 (фолиевая кислота), витамин D3 (холекальциферол), витамин Н (биотин).</v>
      </c>
      <c r="BN133" s="43"/>
      <c r="BO133" s="22" t="str">
        <f>IFERROR(VLOOKUP(C133,'спецификация'!B:AA,10,0)," ")</f>
        <v>взрослым по 1 капсуле 1 раз в день, во время еды. Продолжительность приема 1 месяц.</v>
      </c>
      <c r="BP133" s="43" t="str">
        <f>IFERROR(VLOOKUP(C133,'спецификация'!B:AA,11,0),"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33" s="22" t="str">
        <f>IFERROR(VLOOKUP(C133,'спецификация'!B:AA,12,0)," ")</f>
        <v>в недоступном для детей месте, при температуре от +15 до +25ºС и относительной влажности воздуха не более 60%.</v>
      </c>
      <c r="BR133" s="22">
        <v>30.0</v>
      </c>
      <c r="BS133" s="22" t="s">
        <v>421</v>
      </c>
      <c r="BT133" s="22"/>
      <c r="BU133" s="22"/>
      <c r="BV133" s="22" t="s">
        <v>307</v>
      </c>
      <c r="BW133" s="44" t="str">
        <f>IFERROR(VLOOKUP(C133,'спецификация'!B:AA,16,0)," ")</f>
        <v>https://drive.google.com/drive/u/0/folders/1DUuSyfNCJ9RRCAlY3qs2QH_jJX1gQqq3</v>
      </c>
      <c r="BX133" s="43"/>
      <c r="BY133" s="43"/>
      <c r="BZ133" s="44" t="str">
        <f>IFERROR(VLOOKUP(BF133,'спецификация'!D:Y,22,0)," ")</f>
        <v>https://drive.google.com/drive/u/0/folders/1DUuSyfNCJ9RRCAlY3qs2QH_jJX1gQqq3</v>
      </c>
      <c r="CA133" s="43"/>
      <c r="CB133" s="43"/>
      <c r="CC133" s="43"/>
      <c r="CD133" s="43"/>
      <c r="CE133" s="43"/>
      <c r="CF133" s="43"/>
      <c r="CG133" s="49">
        <f>IFERROR(VLOOKUP(C133,CC!A:D,4,0)," ")</f>
        <v>235.5</v>
      </c>
      <c r="CH133" s="22" t="str">
        <f>IFERROR(VLOOKUP(C133,'спецификация'!B:AA,19,0)," ")</f>
        <v>ООО «Сибфармконтракт», Россия, 634034, г. Томск, ул. Нахимова 8, стр. 11.</v>
      </c>
      <c r="CI133" s="22"/>
      <c r="CJ133" s="22" t="s">
        <v>562</v>
      </c>
      <c r="CK133" s="22" t="str">
        <f>IFERROR(VLOOKUP(C133,CC!K:M,3,0)," ")</f>
        <v> </v>
      </c>
      <c r="CL133" s="43"/>
      <c r="CM133" s="43"/>
      <c r="CN133" s="43"/>
      <c r="CO133" s="43"/>
      <c r="CP133" s="43"/>
      <c r="CQ133" s="43"/>
      <c r="CR133" s="43"/>
      <c r="CS133" s="43" t="b">
        <v>0</v>
      </c>
      <c r="CT133" s="43" t="b">
        <v>0</v>
      </c>
      <c r="CU133" s="43" t="b">
        <v>0</v>
      </c>
      <c r="CV133" s="43" t="b">
        <v>0</v>
      </c>
      <c r="CW133" s="43"/>
      <c r="CX133" s="43"/>
      <c r="CY133" s="43"/>
      <c r="CZ133" s="43"/>
      <c r="DA133" s="43"/>
      <c r="DB133" s="43"/>
      <c r="DC133" s="43"/>
      <c r="DD133" s="22">
        <f>IFERROR(VLOOKUP($C133,'Лист4'!$D:$AI,27,0)," ")</f>
        <v>10</v>
      </c>
      <c r="DE133" s="22">
        <f>IFERROR(VLOOKUP($C133,'Лист4'!$D:$AI,28,0)," ")</f>
        <v>5</v>
      </c>
      <c r="DF133" s="22">
        <f>IFERROR(VLOOKUP($C133,'Лист4'!$D:$AI,29,0)," ")</f>
        <v>10</v>
      </c>
      <c r="DG133" s="22">
        <f t="shared" si="3"/>
        <v>500</v>
      </c>
      <c r="DH133" s="22">
        <f>IFERROR(VLOOKUP($C133,'Лист4'!$D:$AI,32,0)," ")</f>
        <v>0.1</v>
      </c>
      <c r="DI133" s="22"/>
      <c r="DJ133" s="22"/>
      <c r="DK133" s="22"/>
      <c r="DL133" s="22"/>
      <c r="DM133" s="22"/>
      <c r="DN133" s="22"/>
      <c r="DO133" s="22"/>
      <c r="DP133" s="22"/>
      <c r="DQ133" s="22"/>
      <c r="DR133" s="22"/>
      <c r="DS133" s="22"/>
      <c r="DT133" s="22"/>
      <c r="DU133" s="22"/>
      <c r="DV133" s="22"/>
      <c r="DW133" s="22"/>
      <c r="DX133" s="22"/>
      <c r="DY133" s="22"/>
      <c r="DZ133" s="22"/>
      <c r="EA133" s="22"/>
      <c r="EB133" s="22"/>
      <c r="EC133" s="22"/>
      <c r="ED133" s="22"/>
      <c r="EE133" s="22"/>
      <c r="EF133" s="22"/>
      <c r="EG133" s="22"/>
      <c r="EH133" s="22"/>
      <c r="EI133" s="22"/>
      <c r="EJ133" s="22"/>
      <c r="EK133" s="22"/>
      <c r="EL133" s="22"/>
      <c r="EM133" s="43"/>
      <c r="EN133" s="43"/>
      <c r="EO133" s="43"/>
      <c r="EP133" s="43"/>
      <c r="EQ133" s="43"/>
      <c r="ER133" s="43"/>
      <c r="ES133" s="43"/>
      <c r="ET133" s="43"/>
      <c r="EU133" s="43"/>
      <c r="EV133" s="43"/>
      <c r="EW133" s="43"/>
      <c r="EX133" s="43"/>
      <c r="EY133" s="43"/>
      <c r="EZ133" s="43"/>
      <c r="FA133" s="43"/>
      <c r="FB133" s="43"/>
      <c r="FC133" s="43"/>
    </row>
    <row r="134" ht="18.0" customHeight="1">
      <c r="A134" s="2"/>
      <c r="B134" s="22" t="str">
        <f>IFERROR(VLOOKUP(C134,'Реестр'!C:AC,27,0)," ")</f>
        <v>Биг-Л</v>
      </c>
      <c r="C134" s="43" t="s">
        <v>2217</v>
      </c>
      <c r="D134" s="22" t="str">
        <f>IFERROR(VLOOKUP(C134,'Лист4'!D:P,13,0)," ")</f>
        <v>qeep</v>
      </c>
      <c r="E134" s="22" t="str">
        <f>IF(OR(ISERROR(VLOOKUP(C134,'Актуальность'!A:B,2,0)), VLOOKUP(C134,'Актуальность'!A:B,2,0)=""), "Актуальный", VLOOKUP(C134,'Актуальность'!A:B,2,0))</f>
        <v>Вывод</v>
      </c>
      <c r="F134" s="43" t="str">
        <f>IFERROR(VLOOKUP(C134,'Актуальность'!A:C,3,0)," ")</f>
        <v>Старый артикул</v>
      </c>
      <c r="G134" s="43"/>
      <c r="H134" s="22"/>
      <c r="I134" s="22"/>
      <c r="J134" s="43"/>
      <c r="K134" s="43"/>
      <c r="L134" s="22" t="b">
        <f t="shared" ref="L134:R134" si="130">T134&lt;&gt;""</f>
        <v>1</v>
      </c>
      <c r="M134" s="22" t="b">
        <f t="shared" si="130"/>
        <v>1</v>
      </c>
      <c r="N134" s="22" t="b">
        <f t="shared" si="130"/>
        <v>1</v>
      </c>
      <c r="O134" s="22" t="b">
        <f t="shared" si="130"/>
        <v>0</v>
      </c>
      <c r="P134" s="22" t="b">
        <f t="shared" si="130"/>
        <v>0</v>
      </c>
      <c r="Q134" s="22" t="b">
        <f t="shared" si="130"/>
        <v>0</v>
      </c>
      <c r="R134" s="22" t="b">
        <f t="shared" si="130"/>
        <v>0</v>
      </c>
      <c r="S134" s="43"/>
      <c r="T134" s="43" t="str">
        <f>IFERROR(VLOOKUP( C134,'1С'!A:B,2,0)," ")</f>
        <v>QB101100469</v>
      </c>
      <c r="U134" s="22" t="str">
        <f>IFERROR(VLOOKUP(T134,'Лист4'!C:I,3,0)," ")</f>
        <v>qeepmultivitamin</v>
      </c>
      <c r="V134" s="22" t="str">
        <f>IFERROR(VLOOKUP(T134,'Лист4'!C:I,4,0)," ")</f>
        <v>qeepmultivitamin</v>
      </c>
      <c r="W134" s="22" t="str">
        <f>IFERROR(VLOOKUP(T134,'Лист4'!C:I,5,0)," ")</f>
        <v/>
      </c>
      <c r="X134" s="43" t="str">
        <f>IFERROR(VLOOKUP(T134,'Лист4'!C:I,7,0)," ")</f>
        <v/>
      </c>
      <c r="Y134" s="43" t="str">
        <f>IFERROR(VLOOKUP(T134,'Лист4'!C:I,6,0)," ")</f>
        <v/>
      </c>
      <c r="Z134" s="43"/>
      <c r="AA134" s="43"/>
      <c r="AB134" s="22">
        <v>9.0471365E7</v>
      </c>
      <c r="AC134" s="22">
        <v>6.18268309E8</v>
      </c>
      <c r="AD134" s="22"/>
      <c r="AE134" s="22"/>
      <c r="AF134" s="22"/>
      <c r="AG134" s="43"/>
      <c r="AH134" s="43"/>
      <c r="AI134" s="43" t="str">
        <f>IFERROR(VLOOKUP(T134,'1С'!B:C,2,0)," ")</f>
        <v>БАД мультивитамины для мужчин ,qeep, 60 капсул</v>
      </c>
      <c r="AJ134" s="22" t="s">
        <v>2220</v>
      </c>
      <c r="AK134" s="22" t="s">
        <v>2221</v>
      </c>
      <c r="AL134" s="43"/>
      <c r="AM134" s="43"/>
      <c r="AN134" s="43"/>
      <c r="AO134" s="43"/>
      <c r="AP134" s="43"/>
      <c r="AQ134" s="46" t="s">
        <v>2222</v>
      </c>
      <c r="AR134" s="46" t="s">
        <v>2223</v>
      </c>
      <c r="AS134" s="43"/>
      <c r="AT134" s="43"/>
      <c r="AU134" s="43"/>
      <c r="AV134" s="43"/>
      <c r="AW134" s="43"/>
      <c r="AX134" s="22" t="s">
        <v>361</v>
      </c>
      <c r="AY134" s="22" t="s">
        <v>2221</v>
      </c>
      <c r="AZ134" s="43"/>
      <c r="BA134" s="43"/>
      <c r="BB134" s="43"/>
      <c r="BC134" s="43"/>
      <c r="BD134" s="43"/>
      <c r="BE134" s="43"/>
      <c r="BF134" s="22" t="str">
        <f>IFERROR(VLOOKUP(C134,'спецификация'!B:D,3,0)," ")</f>
        <v>4630040228353</v>
      </c>
      <c r="BG134" s="22">
        <v>2.106909808E9</v>
      </c>
      <c r="BH134" s="22" t="str">
        <f>IFERROR(VLOOKUP(C134,'спецификация'!B:AA,5,0)," ")</f>
        <v>RU.77.99.11.003.R.002995.09.20 от 15.09.2020 г.</v>
      </c>
      <c r="BI134" s="22"/>
      <c r="BJ134" s="22" t="str">
        <f>IFERROR(VLOOKUP(C134,'спецификация'!B:AA,6,0)," ")</f>
        <v>ЧЗ</v>
      </c>
      <c r="BK134" s="43"/>
      <c r="BL134" s="43"/>
      <c r="BM134" s="22" t="str">
        <f>IFERROR(VLOOKUP(BF134,'спецификация'!D:H,5,0)," ")</f>
        <v>оливковое масло нерафинированное, рыбий жир, капсула желатиновая (желатин, глицерин, сорбит), кремния диоксид (носитель), карнозин, ликопин, фосфатидилсерин, коэнзим Q10, антиокислитель гриндокс (аскорбил пальмитат, натуральный концентрат смеси токоферолов, рапсовое масло), холекальциферол (витамин D3), селексен (селен). 
</v>
      </c>
      <c r="BN134" s="43"/>
      <c r="BO134" s="22" t="str">
        <f>IFERROR(VLOOKUP(C134,'спецификация'!B:AA,10,0)," ")</f>
        <v>взрослым по 1 капсуле 1 раз в день во время приема пищи. Продолжительность приема 1 месяц.</v>
      </c>
      <c r="BP134" s="43" t="str">
        <f>IFERROR(VLOOKUP(C134,'спецификация'!B:AA,11,0),"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 </v>
      </c>
      <c r="BQ134" s="22" t="str">
        <f>IFERROR(VLOOKUP(C134,'спецификация'!B:AA,12,0)," ")</f>
        <v>в недоступном для детей месте, при температуре от +15 до +25ºС и относительной влажности воздуха не более 60%.
</v>
      </c>
      <c r="BR134" s="22">
        <v>60.0</v>
      </c>
      <c r="BS134" s="22" t="s">
        <v>421</v>
      </c>
      <c r="BT134" s="22"/>
      <c r="BU134" s="22"/>
      <c r="BV134" s="22" t="s">
        <v>307</v>
      </c>
      <c r="BW134" s="44" t="str">
        <f>IFERROR(VLOOKUP(C134,'спецификация'!B:AA,16,0)," ")</f>
        <v>https://drive.google.com/drive/u/0/folders/1yuD2PuG4FdsyYSsQt8B5N-rYaectUFFZ</v>
      </c>
      <c r="BX134" s="43"/>
      <c r="BY134" s="43"/>
      <c r="BZ134" s="44" t="str">
        <f>IFERROR(VLOOKUP(BF134,'спецификация'!D:Y,22,0)," ")</f>
        <v>https://drive.google.com/drive/u/0/folders/1yuD2PuG4FdsyYSsQt8B5N-rYaectUFFZ</v>
      </c>
      <c r="CA134" s="43"/>
      <c r="CB134" s="43"/>
      <c r="CC134" s="43"/>
      <c r="CD134" s="43"/>
      <c r="CE134" s="43"/>
      <c r="CF134" s="43"/>
      <c r="CG134" s="49">
        <f>IFERROR(VLOOKUP(C134,CC!A:D,4,0)," ")</f>
        <v>402</v>
      </c>
      <c r="CH134" s="22" t="str">
        <f>IFERROR(VLOOKUP(C134,'спецификация'!B:AA,19,0)," ")</f>
        <v>ООО «Сибфармконтракт», Россия, 634034, г. Томск, ул. Нахимова 8, стр. 11.</v>
      </c>
      <c r="CI134" s="22"/>
      <c r="CJ134" s="22" t="s">
        <v>562</v>
      </c>
      <c r="CK134" s="22" t="str">
        <f>IFERROR(VLOOKUP(C134,CC!K:M,3,0)," ")</f>
        <v> </v>
      </c>
      <c r="CL134" s="43"/>
      <c r="CM134" s="43"/>
      <c r="CN134" s="43"/>
      <c r="CO134" s="43"/>
      <c r="CP134" s="43"/>
      <c r="CQ134" s="43"/>
      <c r="CR134" s="43"/>
      <c r="CS134" s="43" t="b">
        <v>0</v>
      </c>
      <c r="CT134" s="43" t="b">
        <v>0</v>
      </c>
      <c r="CU134" s="43" t="b">
        <v>0</v>
      </c>
      <c r="CV134" s="43" t="b">
        <v>0</v>
      </c>
      <c r="CW134" s="43"/>
      <c r="CX134" s="43"/>
      <c r="CY134" s="43"/>
      <c r="CZ134" s="43"/>
      <c r="DA134" s="43"/>
      <c r="DB134" s="43"/>
      <c r="DC134" s="43"/>
      <c r="DD134" s="22">
        <f>IFERROR(VLOOKUP($C134,'Лист4'!$D:$AI,27,0)," ")</f>
        <v>5</v>
      </c>
      <c r="DE134" s="22">
        <f>IFERROR(VLOOKUP($C134,'Лист4'!$D:$AI,28,0)," ")</f>
        <v>9</v>
      </c>
      <c r="DF134" s="22">
        <f>IFERROR(VLOOKUP($C134,'Лист4'!$D:$AI,29,0)," ")</f>
        <v>5</v>
      </c>
      <c r="DG134" s="22">
        <f t="shared" si="3"/>
        <v>225</v>
      </c>
      <c r="DH134" s="22">
        <f>IFERROR(VLOOKUP($C134,'Лист4'!$D:$AI,32,0)," ")</f>
        <v>0.129</v>
      </c>
      <c r="DI134" s="22"/>
      <c r="DJ134" s="22"/>
      <c r="DK134" s="22"/>
      <c r="DL134" s="22"/>
      <c r="DM134" s="22"/>
      <c r="DN134" s="22"/>
      <c r="DO134" s="22"/>
      <c r="DP134" s="22"/>
      <c r="DQ134" s="22"/>
      <c r="DR134" s="22"/>
      <c r="DS134" s="22"/>
      <c r="DT134" s="22"/>
      <c r="DU134" s="22"/>
      <c r="DV134" s="22"/>
      <c r="DW134" s="22"/>
      <c r="DX134" s="22"/>
      <c r="DY134" s="22"/>
      <c r="DZ134" s="22"/>
      <c r="EA134" s="22"/>
      <c r="EB134" s="22"/>
      <c r="EC134" s="22"/>
      <c r="ED134" s="22"/>
      <c r="EE134" s="22"/>
      <c r="EF134" s="22"/>
      <c r="EG134" s="22"/>
      <c r="EH134" s="22"/>
      <c r="EI134" s="22"/>
      <c r="EJ134" s="22"/>
      <c r="EK134" s="22"/>
      <c r="EL134" s="22"/>
      <c r="EM134" s="43"/>
      <c r="EN134" s="43"/>
      <c r="EO134" s="43"/>
      <c r="EP134" s="43"/>
      <c r="EQ134" s="43"/>
      <c r="ER134" s="43"/>
      <c r="ES134" s="43"/>
      <c r="ET134" s="43"/>
      <c r="EU134" s="43"/>
      <c r="EV134" s="43"/>
      <c r="EW134" s="43"/>
      <c r="EX134" s="43"/>
      <c r="EY134" s="43"/>
      <c r="EZ134" s="43"/>
      <c r="FA134" s="43"/>
      <c r="FB134" s="43"/>
      <c r="FC134" s="43"/>
    </row>
    <row r="135" ht="18.0" customHeight="1">
      <c r="A135" s="2"/>
      <c r="B135" s="22" t="str">
        <f>IFERROR(VLOOKUP(C135,'Реестр'!C:AC,27,0)," ")</f>
        <v>Биг-Л</v>
      </c>
      <c r="C135" s="43" t="s">
        <v>2230</v>
      </c>
      <c r="D135" s="22" t="str">
        <f>IFERROR(VLOOKUP(C135,'Лист4'!D:P,13,0)," ")</f>
        <v>qeep</v>
      </c>
      <c r="E135" s="22" t="str">
        <f>IF(OR(ISERROR(VLOOKUP(C135,'Актуальность'!A:B,2,0)), VLOOKUP(C135,'Актуальность'!A:B,2,0)=""), "Актуальный", VLOOKUP(C135,'Актуальность'!A:B,2,0))</f>
        <v>Вывод</v>
      </c>
      <c r="F135" s="43" t="str">
        <f>IFERROR(VLOOKUP(C135,'Актуальность'!A:C,3,0)," ")</f>
        <v>Старый артикул</v>
      </c>
      <c r="G135" s="43"/>
      <c r="H135" s="22"/>
      <c r="I135" s="22"/>
      <c r="J135" s="43"/>
      <c r="K135" s="43"/>
      <c r="L135" s="22" t="b">
        <f t="shared" ref="L135:R135" si="131">T135&lt;&gt;""</f>
        <v>1</v>
      </c>
      <c r="M135" s="22" t="b">
        <f t="shared" si="131"/>
        <v>1</v>
      </c>
      <c r="N135" s="22" t="b">
        <f t="shared" si="131"/>
        <v>1</v>
      </c>
      <c r="O135" s="22" t="b">
        <f t="shared" si="131"/>
        <v>0</v>
      </c>
      <c r="P135" s="22" t="b">
        <f t="shared" si="131"/>
        <v>0</v>
      </c>
      <c r="Q135" s="22" t="b">
        <f t="shared" si="131"/>
        <v>0</v>
      </c>
      <c r="R135" s="22" t="b">
        <f t="shared" si="131"/>
        <v>0</v>
      </c>
      <c r="S135" s="43"/>
      <c r="T135" s="43" t="str">
        <f>IFERROR(VLOOKUP( C135,'1С'!A:B,2,0)," ")</f>
        <v>QB101100468</v>
      </c>
      <c r="U135" s="22" t="str">
        <f>IFERROR(VLOOKUP(T135,'Лист4'!C:I,3,0)," ")</f>
        <v>qeepwomenmulti1+1</v>
      </c>
      <c r="V135" s="22" t="str">
        <f>IFERROR(VLOOKUP(T135,'Лист4'!C:I,4,0)," ")</f>
        <v>qeepwomenmulti1+1</v>
      </c>
      <c r="W135" s="22" t="str">
        <f>IFERROR(VLOOKUP(T135,'Лист4'!C:I,5,0)," ")</f>
        <v/>
      </c>
      <c r="X135" s="43" t="str">
        <f>IFERROR(VLOOKUP(T135,'Лист4'!C:I,7,0)," ")</f>
        <v/>
      </c>
      <c r="Y135" s="43" t="str">
        <f>IFERROR(VLOOKUP(T135,'Лист4'!C:I,6,0)," ")</f>
        <v/>
      </c>
      <c r="Z135" s="43"/>
      <c r="AA135" s="43"/>
      <c r="AB135" s="22">
        <v>1.48386453E8</v>
      </c>
      <c r="AC135" s="22">
        <v>8.71809764E8</v>
      </c>
      <c r="AD135" s="22"/>
      <c r="AE135" s="22"/>
      <c r="AF135" s="22"/>
      <c r="AG135" s="43"/>
      <c r="AH135" s="43"/>
      <c r="AI135" s="43" t="str">
        <f>IFERROR(VLOOKUP(T135,'1С'!B:C,2,0)," ")</f>
        <v>БАД мультивитамины для женщин ,qeep, 30+30капсул набор</v>
      </c>
      <c r="AJ135" s="22" t="s">
        <v>2233</v>
      </c>
      <c r="AK135" s="22" t="s">
        <v>823</v>
      </c>
      <c r="AL135" s="43"/>
      <c r="AM135" s="43"/>
      <c r="AN135" s="43"/>
      <c r="AO135" s="43"/>
      <c r="AP135" s="43"/>
      <c r="AQ135" s="46" t="s">
        <v>2234</v>
      </c>
      <c r="AR135" s="46" t="s">
        <v>2235</v>
      </c>
      <c r="AS135" s="43"/>
      <c r="AT135" s="43"/>
      <c r="AU135" s="43"/>
      <c r="AV135" s="43"/>
      <c r="AW135" s="43"/>
      <c r="AX135" s="22" t="s">
        <v>361</v>
      </c>
      <c r="AY135" s="22" t="s">
        <v>823</v>
      </c>
      <c r="AZ135" s="43"/>
      <c r="BA135" s="43"/>
      <c r="BB135" s="43"/>
      <c r="BC135" s="43"/>
      <c r="BD135" s="43"/>
      <c r="BE135" s="43"/>
      <c r="BF135" s="22" t="str">
        <f>IFERROR(VLOOKUP(C135,'спецификация'!B:D,3,0)," ")</f>
        <v>2037517661576</v>
      </c>
      <c r="BG135" s="22"/>
      <c r="BH135" s="22" t="str">
        <f>IFERROR(VLOOKUP(C135,'спецификация'!B:AA,5,0)," ")</f>
        <v>RU.77.99.11.003.R.004710.12.19 от 24.12.2019 г.</v>
      </c>
      <c r="BI135" s="22"/>
      <c r="BJ135" s="22" t="str">
        <f>IFERROR(VLOOKUP(C135,'спецификация'!B:AA,6,0)," ")</f>
        <v>ЧЗ</v>
      </c>
      <c r="BK135" s="43"/>
      <c r="BL135" s="43"/>
      <c r="BM135" s="22" t="str">
        <f>IFERROR(VLOOKUP(BF135,'спецификация'!D:H,5,0)," ")</f>
        <v/>
      </c>
      <c r="BN135" s="43"/>
      <c r="BO135" s="22" t="str">
        <f>IFERROR(VLOOKUP(C135,'спецификация'!B:AA,10,0)," ")</f>
        <v/>
      </c>
      <c r="BP135" s="43" t="str">
        <f>IFERROR(VLOOKUP(C135,'спецификация'!B:AA,11,0)," ")</f>
        <v/>
      </c>
      <c r="BQ135" s="22" t="str">
        <f>IFERROR(VLOOKUP(C135,'спецификация'!B:AA,12,0)," ")</f>
        <v/>
      </c>
      <c r="BR135" s="22"/>
      <c r="BS135" s="58" t="s">
        <v>2237</v>
      </c>
      <c r="BT135" s="58"/>
      <c r="BU135" s="22"/>
      <c r="BV135" s="22"/>
      <c r="BW135" s="45" t="str">
        <f>IFERROR(VLOOKUP(C135,'спецификация'!B:AA,16,0)," ")</f>
        <v/>
      </c>
      <c r="BX135" s="43"/>
      <c r="BY135" s="43"/>
      <c r="BZ135" s="45" t="str">
        <f>IFERROR(VLOOKUP(BF135,'спецификация'!D:Y,22,0)," ")</f>
        <v/>
      </c>
      <c r="CA135" s="43"/>
      <c r="CB135" s="43"/>
      <c r="CC135" s="43"/>
      <c r="CD135" s="43"/>
      <c r="CE135" s="43"/>
      <c r="CF135" s="43"/>
      <c r="CG135" s="49">
        <f>IFERROR(VLOOKUP(C135,CC!A:D,4,0)," ")</f>
        <v>470.99</v>
      </c>
      <c r="CH135" s="22" t="str">
        <f>IFERROR(VLOOKUP(C135,'спецификация'!B:AA,19,0)," ")</f>
        <v/>
      </c>
      <c r="CI135" s="22"/>
      <c r="CJ135" s="43"/>
      <c r="CK135" s="22" t="str">
        <f>IFERROR(VLOOKUP(C135,CC!K:M,3,0)," ")</f>
        <v> </v>
      </c>
      <c r="CL135" s="43"/>
      <c r="CM135" s="43"/>
      <c r="CN135" s="43"/>
      <c r="CO135" s="43"/>
      <c r="CP135" s="43"/>
      <c r="CQ135" s="43"/>
      <c r="CR135" s="43"/>
      <c r="CS135" s="43" t="b">
        <v>0</v>
      </c>
      <c r="CT135" s="43" t="b">
        <v>0</v>
      </c>
      <c r="CU135" s="43" t="b">
        <v>0</v>
      </c>
      <c r="CV135" s="43" t="b">
        <v>0</v>
      </c>
      <c r="CW135" s="43"/>
      <c r="CX135" s="43"/>
      <c r="CY135" s="43"/>
      <c r="CZ135" s="43"/>
      <c r="DA135" s="43"/>
      <c r="DB135" s="43"/>
      <c r="DC135" s="43"/>
      <c r="DD135" s="22">
        <f>IFERROR(VLOOKUP($C135,'Лист4'!$D:$AI,27,0)," ")</f>
        <v>21</v>
      </c>
      <c r="DE135" s="22">
        <f>IFERROR(VLOOKUP($C135,'Лист4'!$D:$AI,28,0)," ")</f>
        <v>14</v>
      </c>
      <c r="DF135" s="22">
        <f>IFERROR(VLOOKUP($C135,'Лист4'!$D:$AI,29,0)," ")</f>
        <v>21</v>
      </c>
      <c r="DG135" s="22">
        <f t="shared" si="3"/>
        <v>6174</v>
      </c>
      <c r="DH135" s="22">
        <f>IFERROR(VLOOKUP($C135,'Лист4'!$D:$AI,32,0)," ")</f>
        <v>0.136</v>
      </c>
      <c r="DI135" s="22"/>
      <c r="DJ135" s="22"/>
      <c r="DK135" s="22"/>
      <c r="DL135" s="22"/>
      <c r="DM135" s="22"/>
      <c r="DN135" s="22"/>
      <c r="DO135" s="22"/>
      <c r="DP135" s="22"/>
      <c r="DQ135" s="22"/>
      <c r="DR135" s="22"/>
      <c r="DS135" s="22"/>
      <c r="DT135" s="22"/>
      <c r="DU135" s="22"/>
      <c r="DV135" s="22"/>
      <c r="DW135" s="22"/>
      <c r="DX135" s="22"/>
      <c r="DY135" s="22"/>
      <c r="DZ135" s="22"/>
      <c r="EA135" s="22"/>
      <c r="EB135" s="22"/>
      <c r="EC135" s="22"/>
      <c r="ED135" s="22"/>
      <c r="EE135" s="22"/>
      <c r="EF135" s="22"/>
      <c r="EG135" s="22"/>
      <c r="EH135" s="22"/>
      <c r="EI135" s="22"/>
      <c r="EJ135" s="22"/>
      <c r="EK135" s="22"/>
      <c r="EL135" s="22"/>
      <c r="EM135" s="43"/>
      <c r="EN135" s="43"/>
      <c r="EO135" s="43"/>
      <c r="EP135" s="43"/>
      <c r="EQ135" s="43"/>
      <c r="ER135" s="43"/>
      <c r="ES135" s="43"/>
      <c r="ET135" s="43"/>
      <c r="EU135" s="43"/>
      <c r="EV135" s="43"/>
      <c r="EW135" s="43"/>
      <c r="EX135" s="43"/>
      <c r="EY135" s="43"/>
      <c r="EZ135" s="43"/>
      <c r="FA135" s="43"/>
      <c r="FB135" s="43"/>
      <c r="FC135" s="43"/>
    </row>
    <row r="136" ht="18.0" customHeight="1">
      <c r="A136" s="2"/>
      <c r="B136" s="22" t="str">
        <f>IFERROR(VLOOKUP(C136,'Реестр'!C:AC,27,0)," ")</f>
        <v>Биг-Л</v>
      </c>
      <c r="C136" s="43" t="s">
        <v>2238</v>
      </c>
      <c r="D136" s="22" t="str">
        <f>IFERROR(VLOOKUP(C136,'Лист4'!D:P,13,0)," ")</f>
        <v>qeep</v>
      </c>
      <c r="E136" s="22" t="str">
        <f>IF(OR(ISERROR(VLOOKUP(C136,'Актуальность'!A:B,2,0)), VLOOKUP(C136,'Актуальность'!A:B,2,0)=""), "Актуальный", VLOOKUP(C136,'Актуальность'!A:B,2,0))</f>
        <v>Вывод</v>
      </c>
      <c r="F136" s="43" t="str">
        <f>IFERROR(VLOOKUP(C136,'Актуальность'!A:C,3,0)," ")</f>
        <v>Старый артикул</v>
      </c>
      <c r="G136" s="43"/>
      <c r="H136" s="22"/>
      <c r="I136" s="22"/>
      <c r="J136" s="43"/>
      <c r="K136" s="43"/>
      <c r="L136" s="22" t="b">
        <f t="shared" ref="L136:R136" si="132">T136&lt;&gt;""</f>
        <v>1</v>
      </c>
      <c r="M136" s="22" t="b">
        <f t="shared" si="132"/>
        <v>1</v>
      </c>
      <c r="N136" s="22" t="b">
        <f t="shared" si="132"/>
        <v>1</v>
      </c>
      <c r="O136" s="22" t="b">
        <f t="shared" si="132"/>
        <v>0</v>
      </c>
      <c r="P136" s="22" t="b">
        <f t="shared" si="132"/>
        <v>0</v>
      </c>
      <c r="Q136" s="22" t="b">
        <f t="shared" si="132"/>
        <v>0</v>
      </c>
      <c r="R136" s="22" t="b">
        <f t="shared" si="132"/>
        <v>0</v>
      </c>
      <c r="S136" s="43"/>
      <c r="T136" s="43" t="str">
        <f>IFERROR(VLOOKUP( C136,'1С'!A:B,2,0)," ")</f>
        <v>QB101100455</v>
      </c>
      <c r="U136" s="22" t="str">
        <f>IFERROR(VLOOKUP(T136,'Лист4'!C:I,3,0)," ")</f>
        <v>qoenzyme1+1</v>
      </c>
      <c r="V136" s="22" t="str">
        <f>IFERROR(VLOOKUP(T136,'Лист4'!C:I,4,0)," ")</f>
        <v>qoenzyme1+1</v>
      </c>
      <c r="W136" s="22" t="str">
        <f>IFERROR(VLOOKUP(T136,'Лист4'!C:I,5,0)," ")</f>
        <v/>
      </c>
      <c r="X136" s="43" t="str">
        <f>IFERROR(VLOOKUP(T136,'Лист4'!C:I,7,0)," ")</f>
        <v/>
      </c>
      <c r="Y136" s="43" t="str">
        <f>IFERROR(VLOOKUP(T136,'Лист4'!C:I,6,0)," ")</f>
        <v/>
      </c>
      <c r="Z136" s="43"/>
      <c r="AA136" s="43"/>
      <c r="AB136" s="22">
        <v>1.45755886E8</v>
      </c>
      <c r="AC136" s="22">
        <v>8.72805901E8</v>
      </c>
      <c r="AD136" s="22"/>
      <c r="AE136" s="22"/>
      <c r="AF136" s="22"/>
      <c r="AG136" s="43"/>
      <c r="AH136" s="43"/>
      <c r="AI136" s="43" t="str">
        <f>IFERROR(VLOOKUP(T136,'1С'!B:C,2,0)," ")</f>
        <v>БАД Коэнзим q10 ,qeep, 30+30 капсул набор</v>
      </c>
      <c r="AJ136" s="22" t="s">
        <v>2241</v>
      </c>
      <c r="AK136" s="22" t="s">
        <v>2242</v>
      </c>
      <c r="AL136" s="43"/>
      <c r="AM136" s="43"/>
      <c r="AN136" s="43"/>
      <c r="AO136" s="43"/>
      <c r="AP136" s="43"/>
      <c r="AQ136" s="46" t="s">
        <v>2243</v>
      </c>
      <c r="AR136" s="46" t="s">
        <v>2244</v>
      </c>
      <c r="AS136" s="43"/>
      <c r="AT136" s="43"/>
      <c r="AU136" s="43"/>
      <c r="AV136" s="43"/>
      <c r="AW136" s="43"/>
      <c r="AX136" s="22" t="s">
        <v>361</v>
      </c>
      <c r="AY136" s="22" t="s">
        <v>2242</v>
      </c>
      <c r="AZ136" s="43"/>
      <c r="BA136" s="43"/>
      <c r="BB136" s="43"/>
      <c r="BC136" s="43"/>
      <c r="BD136" s="43"/>
      <c r="BE136" s="43"/>
      <c r="BF136" s="22" t="str">
        <f>IFERROR(VLOOKUP(C136,'спецификация'!B:D,3,0)," ")</f>
        <v>2037448909051</v>
      </c>
      <c r="BG136" s="22"/>
      <c r="BH136" s="22" t="str">
        <f>IFERROR(VLOOKUP(C136,'спецификация'!B:AA,5,0)," ")</f>
        <v/>
      </c>
      <c r="BI136" s="22"/>
      <c r="BJ136" s="22" t="str">
        <f>IFERROR(VLOOKUP(C136,'спецификация'!B:AA,6,0)," ")</f>
        <v>ЧЗ</v>
      </c>
      <c r="BK136" s="43"/>
      <c r="BL136" s="43"/>
      <c r="BM136" s="22" t="str">
        <f>IFERROR(VLOOKUP(BF136,'спецификация'!D:H,5,0)," ")</f>
        <v/>
      </c>
      <c r="BN136" s="43"/>
      <c r="BO136" s="22" t="str">
        <f>IFERROR(VLOOKUP(C136,'спецификация'!B:AA,10,0)," ")</f>
        <v/>
      </c>
      <c r="BP136" s="43" t="str">
        <f>IFERROR(VLOOKUP(C136,'спецификация'!B:AA,11,0)," ")</f>
        <v/>
      </c>
      <c r="BQ136" s="22" t="str">
        <f>IFERROR(VLOOKUP(C136,'спецификация'!B:AA,12,0)," ")</f>
        <v/>
      </c>
      <c r="BR136" s="22"/>
      <c r="BS136" s="43"/>
      <c r="BT136" s="43"/>
      <c r="BU136" s="22"/>
      <c r="BV136" s="22"/>
      <c r="BW136" s="45" t="str">
        <f>IFERROR(VLOOKUP(C136,'спецификация'!B:AA,16,0)," ")</f>
        <v/>
      </c>
      <c r="BX136" s="43"/>
      <c r="BY136" s="43"/>
      <c r="BZ136" s="45" t="str">
        <f>IFERROR(VLOOKUP(BF136,'спецификация'!D:Y,22,0)," ")</f>
        <v/>
      </c>
      <c r="CA136" s="43"/>
      <c r="CB136" s="43"/>
      <c r="CC136" s="43"/>
      <c r="CD136" s="43"/>
      <c r="CE136" s="43"/>
      <c r="CF136" s="43"/>
      <c r="CG136" s="49">
        <f>IFERROR(VLOOKUP(C136,CC!A:D,4,0)," ")</f>
        <v>291.6</v>
      </c>
      <c r="CH136" s="22" t="str">
        <f>IFERROR(VLOOKUP(C136,'спецификация'!B:AA,19,0)," ")</f>
        <v>ООО «Сибфармконтракт», Россия, 634034, г. Томск, ул. Нахимова 8, стр. 11.</v>
      </c>
      <c r="CI136" s="22"/>
      <c r="CJ136" s="43"/>
      <c r="CK136" s="22" t="str">
        <f>IFERROR(VLOOKUP(C136,CC!K:M,3,0)," ")</f>
        <v> </v>
      </c>
      <c r="CL136" s="43"/>
      <c r="CM136" s="43"/>
      <c r="CN136" s="43"/>
      <c r="CO136" s="43"/>
      <c r="CP136" s="43"/>
      <c r="CQ136" s="43"/>
      <c r="CR136" s="43"/>
      <c r="CS136" s="43" t="b">
        <v>0</v>
      </c>
      <c r="CT136" s="43" t="b">
        <v>0</v>
      </c>
      <c r="CU136" s="43" t="b">
        <v>0</v>
      </c>
      <c r="CV136" s="43" t="b">
        <v>0</v>
      </c>
      <c r="CW136" s="43"/>
      <c r="CX136" s="43"/>
      <c r="CY136" s="43"/>
      <c r="CZ136" s="43"/>
      <c r="DA136" s="43"/>
      <c r="DB136" s="43"/>
      <c r="DC136" s="43"/>
      <c r="DD136" s="22">
        <f>IFERROR(VLOOKUP($C136,'Лист4'!$D:$AI,27,0)," ")</f>
        <v>21</v>
      </c>
      <c r="DE136" s="22">
        <f>IFERROR(VLOOKUP($C136,'Лист4'!$D:$AI,28,0)," ")</f>
        <v>14</v>
      </c>
      <c r="DF136" s="22">
        <f>IFERROR(VLOOKUP($C136,'Лист4'!$D:$AI,29,0)," ")</f>
        <v>21</v>
      </c>
      <c r="DG136" s="22">
        <f t="shared" si="3"/>
        <v>6174</v>
      </c>
      <c r="DH136" s="22">
        <f>IFERROR(VLOOKUP($C136,'Лист4'!$D:$AI,32,0)," ")</f>
        <v>0.74</v>
      </c>
      <c r="DI136" s="22"/>
      <c r="DJ136" s="22"/>
      <c r="DK136" s="22"/>
      <c r="DL136" s="22"/>
      <c r="DM136" s="22"/>
      <c r="DN136" s="22"/>
      <c r="DO136" s="22"/>
      <c r="DP136" s="22"/>
      <c r="DQ136" s="22"/>
      <c r="DR136" s="22"/>
      <c r="DS136" s="22"/>
      <c r="DT136" s="22"/>
      <c r="DU136" s="22"/>
      <c r="DV136" s="22"/>
      <c r="DW136" s="22"/>
      <c r="DX136" s="22"/>
      <c r="DY136" s="22"/>
      <c r="DZ136" s="22"/>
      <c r="EA136" s="22"/>
      <c r="EB136" s="22"/>
      <c r="EC136" s="22"/>
      <c r="ED136" s="22"/>
      <c r="EE136" s="22"/>
      <c r="EF136" s="22"/>
      <c r="EG136" s="22"/>
      <c r="EH136" s="22"/>
      <c r="EI136" s="22"/>
      <c r="EJ136" s="22"/>
      <c r="EK136" s="22"/>
      <c r="EL136" s="22"/>
      <c r="EM136" s="43"/>
      <c r="EN136" s="43"/>
      <c r="EO136" s="43"/>
      <c r="EP136" s="43"/>
      <c r="EQ136" s="43"/>
      <c r="ER136" s="43"/>
      <c r="ES136" s="43"/>
      <c r="ET136" s="43"/>
      <c r="EU136" s="43"/>
      <c r="EV136" s="43"/>
      <c r="EW136" s="43"/>
      <c r="EX136" s="43"/>
      <c r="EY136" s="43"/>
      <c r="EZ136" s="43"/>
      <c r="FA136" s="43"/>
      <c r="FB136" s="43"/>
      <c r="FC136" s="43"/>
    </row>
    <row r="137" ht="18.0" customHeight="1">
      <c r="A137" s="2"/>
      <c r="B137" s="22" t="str">
        <f>IFERROR(VLOOKUP(C137,'Реестр'!C:AC,27,0)," ")</f>
        <v>Биг-Л</v>
      </c>
      <c r="C137" s="43" t="s">
        <v>2246</v>
      </c>
      <c r="D137" s="22" t="str">
        <f>IFERROR(VLOOKUP(C137,'Лист4'!D:P,13,0)," ")</f>
        <v>qeep</v>
      </c>
      <c r="E137" s="22" t="str">
        <f>IF(OR(ISERROR(VLOOKUP(C137,'Актуальность'!A:B,2,0)), VLOOKUP(C137,'Актуальность'!A:B,2,0)=""), "Актуальный", VLOOKUP(C137,'Актуальность'!A:B,2,0))</f>
        <v>Вывод</v>
      </c>
      <c r="F137" s="43" t="str">
        <f>IFERROR(VLOOKUP(C137,'Актуальность'!A:C,3,0)," ")</f>
        <v>Старый артикул</v>
      </c>
      <c r="G137" s="43"/>
      <c r="H137" s="22"/>
      <c r="I137" s="22"/>
      <c r="J137" s="43"/>
      <c r="K137" s="43"/>
      <c r="L137" s="22" t="b">
        <f t="shared" ref="L137:R137" si="133">T137&lt;&gt;""</f>
        <v>1</v>
      </c>
      <c r="M137" s="22" t="b">
        <f t="shared" si="133"/>
        <v>1</v>
      </c>
      <c r="N137" s="22" t="b">
        <f t="shared" si="133"/>
        <v>1</v>
      </c>
      <c r="O137" s="22" t="b">
        <f t="shared" si="133"/>
        <v>0</v>
      </c>
      <c r="P137" s="22" t="b">
        <f t="shared" si="133"/>
        <v>0</v>
      </c>
      <c r="Q137" s="22" t="b">
        <f t="shared" si="133"/>
        <v>0</v>
      </c>
      <c r="R137" s="22" t="b">
        <f t="shared" si="133"/>
        <v>0</v>
      </c>
      <c r="S137" s="43"/>
      <c r="T137" s="43" t="str">
        <f>IFERROR(VLOOKUP( C137,'1С'!A:B,2,0)," ")</f>
        <v>QB101100425</v>
      </c>
      <c r="U137" s="22" t="str">
        <f>IFERROR(VLOOKUP(T137,'Лист4'!C:I,3,0)," ")</f>
        <v>qeepantioxy1+1</v>
      </c>
      <c r="V137" s="22" t="str">
        <f>IFERROR(VLOOKUP(T137,'Лист4'!C:I,4,0)," ")</f>
        <v>qeepantioxy1+1</v>
      </c>
      <c r="W137" s="22" t="str">
        <f>IFERROR(VLOOKUP(T137,'Лист4'!C:I,5,0)," ")</f>
        <v/>
      </c>
      <c r="X137" s="43" t="str">
        <f>IFERROR(VLOOKUP(T137,'Лист4'!C:I,7,0)," ")</f>
        <v/>
      </c>
      <c r="Y137" s="43" t="str">
        <f>IFERROR(VLOOKUP(T137,'Лист4'!C:I,6,0)," ")</f>
        <v/>
      </c>
      <c r="Z137" s="43"/>
      <c r="AA137" s="43"/>
      <c r="AB137" s="22">
        <v>1.49730224E8</v>
      </c>
      <c r="AC137" s="22">
        <v>8.8044412E8</v>
      </c>
      <c r="AD137" s="22"/>
      <c r="AE137" s="22"/>
      <c r="AF137" s="22"/>
      <c r="AG137" s="43"/>
      <c r="AH137" s="43"/>
      <c r="AI137" s="43" t="str">
        <f>IFERROR(VLOOKUP(T137,'1С'!B:C,2,0)," ")</f>
        <v>БАД Дигидрокверцетин ,qeep, 30+30 капсул набор</v>
      </c>
      <c r="AJ137" s="22" t="s">
        <v>838</v>
      </c>
      <c r="AK137" s="22" t="s">
        <v>2249</v>
      </c>
      <c r="AL137" s="43"/>
      <c r="AM137" s="43"/>
      <c r="AN137" s="43"/>
      <c r="AO137" s="43"/>
      <c r="AP137" s="43"/>
      <c r="AQ137" s="46" t="s">
        <v>2250</v>
      </c>
      <c r="AR137" s="46" t="s">
        <v>2251</v>
      </c>
      <c r="AS137" s="43"/>
      <c r="AT137" s="43"/>
      <c r="AU137" s="43"/>
      <c r="AV137" s="43"/>
      <c r="AW137" s="43"/>
      <c r="AX137" s="22" t="s">
        <v>361</v>
      </c>
      <c r="AY137" s="22" t="s">
        <v>2249</v>
      </c>
      <c r="AZ137" s="43"/>
      <c r="BA137" s="43"/>
      <c r="BB137" s="43"/>
      <c r="BC137" s="43"/>
      <c r="BD137" s="43"/>
      <c r="BE137" s="43"/>
      <c r="BF137" s="22" t="str">
        <f>IFERROR(VLOOKUP(C137,'спецификация'!B:D,3,0)," ")</f>
        <v>2037552727756</v>
      </c>
      <c r="BG137" s="22">
        <v>2.106909808E9</v>
      </c>
      <c r="BH137" s="22" t="str">
        <f>IFERROR(VLOOKUP(C137,'спецификация'!B:AA,5,0)," ")</f>
        <v/>
      </c>
      <c r="BI137" s="22"/>
      <c r="BJ137" s="22" t="str">
        <f>IFERROR(VLOOKUP(C137,'спецификация'!B:AA,6,0)," ")</f>
        <v>ЧЗ</v>
      </c>
      <c r="BK137" s="43"/>
      <c r="BL137" s="43"/>
      <c r="BM137" s="22" t="str">
        <f>IFERROR(VLOOKUP(BF137,'спецификация'!D:H,5,0)," ")</f>
        <v/>
      </c>
      <c r="BN137" s="43"/>
      <c r="BO137" s="22" t="str">
        <f>IFERROR(VLOOKUP(C137,'спецификация'!B:AA,10,0)," ")</f>
        <v/>
      </c>
      <c r="BP137" s="43" t="str">
        <f>IFERROR(VLOOKUP(C137,'спецификация'!B:AA,11,0)," ")</f>
        <v/>
      </c>
      <c r="BQ137" s="22" t="str">
        <f>IFERROR(VLOOKUP(C137,'спецификация'!B:AA,12,0)," ")</f>
        <v/>
      </c>
      <c r="BR137" s="22"/>
      <c r="BS137" s="43"/>
      <c r="BT137" s="43"/>
      <c r="BU137" s="22"/>
      <c r="BV137" s="22"/>
      <c r="BW137" s="44" t="str">
        <f>IFERROR(VLOOKUP(C137,'спецификация'!B:AA,16,0)," ")</f>
        <v>https://docs.google.com/document/d/1EIezxMzKUpoWGP3W2pUYe-Sa3on8YRHFyxttusem3As/edit?usp=sharing</v>
      </c>
      <c r="BX137" s="43"/>
      <c r="BY137" s="43"/>
      <c r="BZ137" s="45" t="str">
        <f>IFERROR(VLOOKUP(BF137,'спецификация'!D:Y,22,0)," ")</f>
        <v/>
      </c>
      <c r="CA137" s="43"/>
      <c r="CB137" s="43"/>
      <c r="CC137" s="43"/>
      <c r="CD137" s="43"/>
      <c r="CE137" s="43"/>
      <c r="CF137" s="43"/>
      <c r="CG137" s="49">
        <f>IFERROR(VLOOKUP(C137,CC!A:D,4,0)," ")</f>
        <v>289.1</v>
      </c>
      <c r="CH137" s="22" t="str">
        <f>IFERROR(VLOOKUP(C137,'спецификация'!B:AA,19,0)," ")</f>
        <v/>
      </c>
      <c r="CI137" s="22"/>
      <c r="CJ137" s="43"/>
      <c r="CK137" s="22" t="str">
        <f>IFERROR(VLOOKUP(C137,CC!K:M,3,0)," ")</f>
        <v> </v>
      </c>
      <c r="CL137" s="43"/>
      <c r="CM137" s="43"/>
      <c r="CN137" s="43"/>
      <c r="CO137" s="43"/>
      <c r="CP137" s="43"/>
      <c r="CQ137" s="43"/>
      <c r="CR137" s="43"/>
      <c r="CS137" s="43" t="b">
        <v>0</v>
      </c>
      <c r="CT137" s="43" t="b">
        <v>0</v>
      </c>
      <c r="CU137" s="43" t="b">
        <v>0</v>
      </c>
      <c r="CV137" s="43" t="b">
        <v>0</v>
      </c>
      <c r="CW137" s="43"/>
      <c r="CX137" s="43"/>
      <c r="CY137" s="43"/>
      <c r="CZ137" s="43"/>
      <c r="DA137" s="43"/>
      <c r="DB137" s="43"/>
      <c r="DC137" s="43"/>
      <c r="DD137" s="22">
        <f>IFERROR(VLOOKUP($C137,'Лист4'!$D:$AI,27,0)," ")</f>
        <v>14</v>
      </c>
      <c r="DE137" s="22">
        <f>IFERROR(VLOOKUP($C137,'Лист4'!$D:$AI,28,0)," ")</f>
        <v>7</v>
      </c>
      <c r="DF137" s="22">
        <f>IFERROR(VLOOKUP($C137,'Лист4'!$D:$AI,29,0)," ")</f>
        <v>14</v>
      </c>
      <c r="DG137" s="22">
        <f t="shared" si="3"/>
        <v>1372</v>
      </c>
      <c r="DH137" s="22">
        <f>IFERROR(VLOOKUP($C137,'Лист4'!$D:$AI,32,0)," ")</f>
        <v>0.1</v>
      </c>
      <c r="DI137" s="22"/>
      <c r="DJ137" s="22"/>
      <c r="DK137" s="22"/>
      <c r="DL137" s="22"/>
      <c r="DM137" s="22"/>
      <c r="DN137" s="22"/>
      <c r="DO137" s="22"/>
      <c r="DP137" s="22"/>
      <c r="DQ137" s="22"/>
      <c r="DR137" s="22"/>
      <c r="DS137" s="22"/>
      <c r="DT137" s="22"/>
      <c r="DU137" s="22"/>
      <c r="DV137" s="22"/>
      <c r="DW137" s="22"/>
      <c r="DX137" s="22"/>
      <c r="DY137" s="22"/>
      <c r="DZ137" s="22"/>
      <c r="EA137" s="22"/>
      <c r="EB137" s="22"/>
      <c r="EC137" s="22"/>
      <c r="ED137" s="22"/>
      <c r="EE137" s="22"/>
      <c r="EF137" s="22"/>
      <c r="EG137" s="22"/>
      <c r="EH137" s="22"/>
      <c r="EI137" s="22"/>
      <c r="EJ137" s="22"/>
      <c r="EK137" s="22"/>
      <c r="EL137" s="22"/>
      <c r="EM137" s="43"/>
      <c r="EN137" s="43"/>
      <c r="EO137" s="43"/>
      <c r="EP137" s="43"/>
      <c r="EQ137" s="43"/>
      <c r="ER137" s="43"/>
      <c r="ES137" s="43"/>
      <c r="ET137" s="43"/>
      <c r="EU137" s="43"/>
      <c r="EV137" s="43"/>
      <c r="EW137" s="43"/>
      <c r="EX137" s="43"/>
      <c r="EY137" s="43"/>
      <c r="EZ137" s="43"/>
      <c r="FA137" s="43"/>
      <c r="FB137" s="43"/>
      <c r="FC137" s="43"/>
    </row>
    <row r="138" ht="18.0" customHeight="1">
      <c r="A138" s="2"/>
      <c r="B138" s="22" t="str">
        <f>IFERROR(VLOOKUP(C138,'Реестр'!C:AC,27,0)," ")</f>
        <v>Биг-Л</v>
      </c>
      <c r="C138" s="43" t="s">
        <v>2254</v>
      </c>
      <c r="D138" s="22" t="str">
        <f>IFERROR(VLOOKUP(C138,'Лист4'!D:P,13,0)," ")</f>
        <v>qeep</v>
      </c>
      <c r="E138" s="22" t="str">
        <f>IF(OR(ISERROR(VLOOKUP(C138,'Актуальность'!A:B,2,0)), VLOOKUP(C138,'Актуальность'!A:B,2,0)=""), "Актуальный", VLOOKUP(C138,'Актуальность'!A:B,2,0))</f>
        <v>Вывод</v>
      </c>
      <c r="F138" s="43" t="str">
        <f>IFERROR(VLOOKUP(C138,'Актуальность'!A:C,3,0)," ")</f>
        <v>Старый артикул</v>
      </c>
      <c r="G138" s="43"/>
      <c r="H138" s="22"/>
      <c r="I138" s="22"/>
      <c r="J138" s="43"/>
      <c r="K138" s="43"/>
      <c r="L138" s="22" t="b">
        <f t="shared" ref="L138:R138" si="134">T138&lt;&gt;""</f>
        <v>1</v>
      </c>
      <c r="M138" s="22" t="b">
        <f t="shared" si="134"/>
        <v>1</v>
      </c>
      <c r="N138" s="22" t="b">
        <f t="shared" si="134"/>
        <v>1</v>
      </c>
      <c r="O138" s="22" t="b">
        <f t="shared" si="134"/>
        <v>0</v>
      </c>
      <c r="P138" s="22" t="b">
        <f t="shared" si="134"/>
        <v>0</v>
      </c>
      <c r="Q138" s="22" t="b">
        <f t="shared" si="134"/>
        <v>0</v>
      </c>
      <c r="R138" s="22" t="b">
        <f t="shared" si="134"/>
        <v>0</v>
      </c>
      <c r="S138" s="43"/>
      <c r="T138" s="43" t="str">
        <f>IFERROR(VLOOKUP( C138,'1С'!A:B,2,0)," ")</f>
        <v>QB101100413</v>
      </c>
      <c r="U138" s="22" t="str">
        <f>IFERROR(VLOOKUP(T138,'Лист4'!C:I,3,0)," ")</f>
        <v>qeep_womenmulti_60caps</v>
      </c>
      <c r="V138" s="22" t="str">
        <f>IFERROR(VLOOKUP(T138,'Лист4'!C:I,4,0)," ")</f>
        <v>qeep_womenmulti_60caps</v>
      </c>
      <c r="W138" s="22" t="str">
        <f>IFERROR(VLOOKUP(T138,'Лист4'!C:I,5,0)," ")</f>
        <v/>
      </c>
      <c r="X138" s="43" t="str">
        <f>IFERROR(VLOOKUP(T138,'Лист4'!C:I,7,0)," ")</f>
        <v/>
      </c>
      <c r="Y138" s="43" t="str">
        <f>IFERROR(VLOOKUP(T138,'Лист4'!C:I,6,0)," ")</f>
        <v/>
      </c>
      <c r="Z138" s="43"/>
      <c r="AA138" s="43"/>
      <c r="AB138" s="22">
        <v>1.70004552E8</v>
      </c>
      <c r="AC138" s="22">
        <v>1.092025113E9</v>
      </c>
      <c r="AD138" s="22"/>
      <c r="AE138" s="22"/>
      <c r="AF138" s="22"/>
      <c r="AG138" s="43"/>
      <c r="AH138" s="43"/>
      <c r="AI138" s="43" t="str">
        <f>IFERROR(VLOOKUP(T138,'1С'!B:C,2,0)," ")</f>
        <v>БАД Витамины для женщин ,qeep, 60 капсул</v>
      </c>
      <c r="AJ138" s="22" t="s">
        <v>2256</v>
      </c>
      <c r="AK138" s="22" t="s">
        <v>823</v>
      </c>
      <c r="AL138" s="43"/>
      <c r="AM138" s="43"/>
      <c r="AN138" s="43"/>
      <c r="AO138" s="43"/>
      <c r="AP138" s="43"/>
      <c r="AQ138" s="46" t="s">
        <v>2257</v>
      </c>
      <c r="AR138" s="46" t="s">
        <v>2258</v>
      </c>
      <c r="AS138" s="43"/>
      <c r="AT138" s="43"/>
      <c r="AU138" s="43"/>
      <c r="AV138" s="43"/>
      <c r="AW138" s="43"/>
      <c r="AX138" s="22" t="s">
        <v>361</v>
      </c>
      <c r="AY138" s="22" t="s">
        <v>823</v>
      </c>
      <c r="AZ138" s="43"/>
      <c r="BA138" s="43"/>
      <c r="BB138" s="43"/>
      <c r="BC138" s="43"/>
      <c r="BD138" s="43"/>
      <c r="BE138" s="43"/>
      <c r="BF138" s="22">
        <f>IFERROR(VLOOKUP(C138,'спецификация'!B:D,3,0)," ")</f>
        <v>4620153903698</v>
      </c>
      <c r="BG138" s="22">
        <v>2.106909808E9</v>
      </c>
      <c r="BH138" s="22" t="str">
        <f>IFERROR(VLOOKUP(C138,'спецификация'!B:AA,5,0)," ")</f>
        <v>RU.77.99.11.003.R.004710.12.19 от 24.12.2019 г.</v>
      </c>
      <c r="BI138" s="22"/>
      <c r="BJ138" s="22" t="str">
        <f>IFERROR(VLOOKUP(C138,'спецификация'!B:AA,6,0)," ")</f>
        <v>ЧЗ</v>
      </c>
      <c r="BK138" s="43"/>
      <c r="BL138" s="43"/>
      <c r="BM138" s="22" t="str">
        <f>IFERROR(VLOOKUP(BF138,'спецификация'!D:H,5,0)," ")</f>
        <v>рыбий жир, капсула желатиновая (желатин, глицерин), витекса священного экстракт, кремния диоксид (носитель), солодки корня экстракт, витамин Е (токоферола ацетат), ресвератрол, витамин А (ретинола пальмитат), витамин В6 (пиридоксина гидрохлорид), гриндокс (антиокислитель), витамин В9 (фолиевая кислота), витамин D3 (холекальциферол), витамин Н (биотин).
</v>
      </c>
      <c r="BN138" s="43"/>
      <c r="BO138" s="22" t="str">
        <f>IFERROR(VLOOKUP(C138,'спецификация'!B:AA,10,0)," ")</f>
        <v>взрослым по 1 капсуле 1 раз в день, во время еды. Продолжительность приема 1 месяц.
</v>
      </c>
      <c r="BP138" s="43" t="str">
        <f>IFERROR(VLOOKUP(C138,'спецификация'!B:AA,11,0)," ")</f>
        <v> индивидуальная непереносимость компонентов, беременность и кормление грудью. Перед применением рекомендуется проконсультироваться с врачом.</v>
      </c>
      <c r="BQ138" s="22" t="str">
        <f>IFERROR(VLOOKUP(C138,'спецификация'!B:AA,12,0)," ")</f>
        <v> в недоступном для детей месте, при температуре от +15 до +25ºС и относительной влажности воздуха не более 60%.
</v>
      </c>
      <c r="BR138" s="22">
        <v>60.0</v>
      </c>
      <c r="BS138" s="22" t="s">
        <v>492</v>
      </c>
      <c r="BT138" s="43"/>
      <c r="BU138" s="22"/>
      <c r="BV138" s="22" t="s">
        <v>307</v>
      </c>
      <c r="BW138" s="44" t="str">
        <f>IFERROR(VLOOKUP(C138,'спецификация'!B:AA,16,0)," ")</f>
        <v>https://drive.google.com/drive/u/0/folders/1DUuSyfNCJ9RRCAlY3qs2QH_jJX1gQqq3</v>
      </c>
      <c r="BX138" s="43"/>
      <c r="BY138" s="43"/>
      <c r="BZ138" s="45" t="str">
        <f>IFERROR(VLOOKUP(BF138,'спецификация'!D:Y,22,0)," ")</f>
        <v/>
      </c>
      <c r="CA138" s="43"/>
      <c r="CB138" s="43"/>
      <c r="CC138" s="43"/>
      <c r="CD138" s="43"/>
      <c r="CE138" s="43"/>
      <c r="CF138" s="43"/>
      <c r="CG138" s="49">
        <f>IFERROR(VLOOKUP(C138,CC!A:D,4,0)," ")</f>
        <v>205</v>
      </c>
      <c r="CH138" s="22" t="str">
        <f>IFERROR(VLOOKUP(C138,'спецификация'!B:AA,19,0)," ")</f>
        <v>ООО «Сибфармконтракт», Россия, 634034, г. Томск, ул. Нахимова 8, стр. 11.
По заказу (организация, уполномоченная принимать претензии от потребителя): ООО «Биг-Л», 127473, Россия, г. Москва, Переулок Самотёчный 1-й, д. 15, cтр. 1, этаж подвал № 0, помещ. I, ком. 1, офис 1</v>
      </c>
      <c r="CI138" s="22"/>
      <c r="CJ138" s="22" t="s">
        <v>562</v>
      </c>
      <c r="CK138" s="22">
        <f>IFERROR(VLOOKUP(C138,CC!K:M,3,0)," ")</f>
        <v>90</v>
      </c>
      <c r="CL138" s="43"/>
      <c r="CM138" s="43"/>
      <c r="CN138" s="43"/>
      <c r="CO138" s="43"/>
      <c r="CP138" s="43"/>
      <c r="CQ138" s="43"/>
      <c r="CR138" s="43"/>
      <c r="CS138" s="43" t="b">
        <v>0</v>
      </c>
      <c r="CT138" s="43" t="b">
        <v>0</v>
      </c>
      <c r="CU138" s="43" t="b">
        <v>0</v>
      </c>
      <c r="CV138" s="43" t="b">
        <v>0</v>
      </c>
      <c r="CW138" s="43"/>
      <c r="CX138" s="43"/>
      <c r="CY138" s="43"/>
      <c r="CZ138" s="43"/>
      <c r="DA138" s="43"/>
      <c r="DB138" s="43"/>
      <c r="DC138" s="43"/>
      <c r="DD138" s="22">
        <f>IFERROR(VLOOKUP($C138,'Лист4'!$D:$AI,27,0)," ")</f>
        <v>5</v>
      </c>
      <c r="DE138" s="22">
        <f>IFERROR(VLOOKUP($C138,'Лист4'!$D:$AI,28,0)," ")</f>
        <v>9</v>
      </c>
      <c r="DF138" s="22">
        <f>IFERROR(VLOOKUP($C138,'Лист4'!$D:$AI,29,0)," ")</f>
        <v>5</v>
      </c>
      <c r="DG138" s="22">
        <f t="shared" si="3"/>
        <v>225</v>
      </c>
      <c r="DH138" s="22">
        <f>IFERROR(VLOOKUP($C138,'Лист4'!$D:$AI,32,0)," ")</f>
        <v>0.06</v>
      </c>
      <c r="DI138" s="22"/>
      <c r="DJ138" s="22"/>
      <c r="DK138" s="22"/>
      <c r="DL138" s="22"/>
      <c r="DM138" s="22"/>
      <c r="DN138" s="22"/>
      <c r="DO138" s="22"/>
      <c r="DP138" s="22"/>
      <c r="DQ138" s="22"/>
      <c r="DR138" s="22"/>
      <c r="DS138" s="22"/>
      <c r="DT138" s="22"/>
      <c r="DU138" s="22"/>
      <c r="DV138" s="22"/>
      <c r="DW138" s="22"/>
      <c r="DX138" s="22"/>
      <c r="DY138" s="22"/>
      <c r="DZ138" s="22"/>
      <c r="EA138" s="22"/>
      <c r="EB138" s="22"/>
      <c r="EC138" s="22"/>
      <c r="ED138" s="22"/>
      <c r="EE138" s="22"/>
      <c r="EF138" s="22"/>
      <c r="EG138" s="22"/>
      <c r="EH138" s="22"/>
      <c r="EI138" s="22"/>
      <c r="EJ138" s="22"/>
      <c r="EK138" s="22"/>
      <c r="EL138" s="22"/>
      <c r="EM138" s="43"/>
      <c r="EN138" s="43"/>
      <c r="EO138" s="43"/>
      <c r="EP138" s="43"/>
      <c r="EQ138" s="43"/>
      <c r="ER138" s="43"/>
      <c r="ES138" s="43"/>
      <c r="ET138" s="43"/>
      <c r="EU138" s="43"/>
      <c r="EV138" s="43"/>
      <c r="EW138" s="43"/>
      <c r="EX138" s="43"/>
      <c r="EY138" s="43"/>
      <c r="EZ138" s="43"/>
      <c r="FA138" s="43"/>
      <c r="FB138" s="43"/>
      <c r="FC138" s="43"/>
    </row>
    <row r="139" ht="18.0" customHeight="1">
      <c r="A139" s="2"/>
      <c r="B139" s="22" t="str">
        <f>IFERROR(VLOOKUP(C139,'Реестр'!C:AC,27,0)," ")</f>
        <v>Биг-Л</v>
      </c>
      <c r="C139" s="43" t="s">
        <v>2264</v>
      </c>
      <c r="D139" s="22" t="str">
        <f>IFERROR(VLOOKUP(C139,'Лист4'!D:P,13,0)," ")</f>
        <v>qeep</v>
      </c>
      <c r="E139" s="22" t="str">
        <f>IF(OR(ISERROR(VLOOKUP(C139,'Актуальность'!A:B,2,0)), VLOOKUP(C139,'Актуальность'!A:B,2,0)=""), "Актуальный", VLOOKUP(C139,'Актуальность'!A:B,2,0))</f>
        <v>Вывод</v>
      </c>
      <c r="F139" s="43" t="str">
        <f>IFERROR(VLOOKUP(C139,'Актуальность'!A:C,3,0)," ")</f>
        <v>Старый артикул</v>
      </c>
      <c r="G139" s="43"/>
      <c r="H139" s="22"/>
      <c r="I139" s="22"/>
      <c r="J139" s="43"/>
      <c r="K139" s="43"/>
      <c r="L139" s="22" t="b">
        <f t="shared" ref="L139:R139" si="135">T139&lt;&gt;""</f>
        <v>1</v>
      </c>
      <c r="M139" s="22" t="b">
        <f t="shared" si="135"/>
        <v>0</v>
      </c>
      <c r="N139" s="22" t="b">
        <f t="shared" si="135"/>
        <v>1</v>
      </c>
      <c r="O139" s="22" t="b">
        <f t="shared" si="135"/>
        <v>0</v>
      </c>
      <c r="P139" s="22" t="b">
        <f t="shared" si="135"/>
        <v>0</v>
      </c>
      <c r="Q139" s="22" t="b">
        <f t="shared" si="135"/>
        <v>0</v>
      </c>
      <c r="R139" s="22" t="b">
        <f t="shared" si="135"/>
        <v>0</v>
      </c>
      <c r="S139" s="43"/>
      <c r="T139" s="43" t="str">
        <f>IFERROR(VLOOKUP( C139,'1С'!A:B,2,0)," ")</f>
        <v>QB101100463</v>
      </c>
      <c r="U139" s="22" t="str">
        <f>IFERROR(VLOOKUP(T139,'Лист4'!C:I,3,0)," ")</f>
        <v/>
      </c>
      <c r="V139" s="22" t="str">
        <f>IFERROR(VLOOKUP(T139,'Лист4'!C:I,4,0)," ")</f>
        <v>qeep_magnesium_180g</v>
      </c>
      <c r="W139" s="22" t="str">
        <f>IFERROR(VLOOKUP(T139,'Лист4'!C:I,5,0)," ")</f>
        <v/>
      </c>
      <c r="X139" s="43" t="str">
        <f>IFERROR(VLOOKUP(T139,'Лист4'!C:I,7,0)," ")</f>
        <v/>
      </c>
      <c r="Y139" s="43" t="str">
        <f>IFERROR(VLOOKUP(T139,'Лист4'!C:I,6,0)," ")</f>
        <v/>
      </c>
      <c r="Z139" s="43"/>
      <c r="AA139" s="43"/>
      <c r="AB139" s="22"/>
      <c r="AC139" s="22"/>
      <c r="AD139" s="22"/>
      <c r="AE139" s="22"/>
      <c r="AF139" s="22"/>
      <c r="AG139" s="43"/>
      <c r="AH139" s="43"/>
      <c r="AI139" s="43" t="str">
        <f>IFERROR(VLOOKUP(T139,'1С'!B:C,2,0)," ")</f>
        <v>БАД Магний цитрат порошок, ,qeep, 180 г</v>
      </c>
      <c r="AJ139" s="43"/>
      <c r="AK139" s="43"/>
      <c r="AL139" s="43"/>
      <c r="AM139" s="43"/>
      <c r="AN139" s="43"/>
      <c r="AO139" s="43"/>
      <c r="AP139" s="43"/>
      <c r="AQ139" s="43"/>
      <c r="AR139" s="43"/>
      <c r="AS139" s="43"/>
      <c r="AT139" s="43"/>
      <c r="AU139" s="43"/>
      <c r="AV139" s="43"/>
      <c r="AW139" s="43"/>
      <c r="AX139" s="22"/>
      <c r="AY139" s="22"/>
      <c r="AZ139" s="43"/>
      <c r="BA139" s="43"/>
      <c r="BB139" s="43"/>
      <c r="BC139" s="43"/>
      <c r="BD139" s="43"/>
      <c r="BE139" s="43"/>
      <c r="BF139" s="22" t="str">
        <f>IFERROR(VLOOKUP(C139,'спецификация'!B:D,3,0)," ")</f>
        <v> </v>
      </c>
      <c r="BG139" s="22"/>
      <c r="BH139" s="22" t="str">
        <f>IFERROR(VLOOKUP(C139,'спецификация'!B:AA,5,0)," ")</f>
        <v> </v>
      </c>
      <c r="BI139" s="22"/>
      <c r="BJ139" s="22" t="s">
        <v>245</v>
      </c>
      <c r="BK139" s="43"/>
      <c r="BL139" s="43"/>
      <c r="BM139" s="22" t="str">
        <f>IFERROR(VLOOKUP(BF139,'спецификация'!D:H,5,0)," ")</f>
        <v> </v>
      </c>
      <c r="BN139" s="43"/>
      <c r="BO139" s="22" t="str">
        <f>IFERROR(VLOOKUP(C139,'спецификация'!B:AA,10,0)," ")</f>
        <v> </v>
      </c>
      <c r="BP139" s="43" t="str">
        <f>IFERROR(VLOOKUP(C139,'спецификация'!B:AA,11,0)," ")</f>
        <v> </v>
      </c>
      <c r="BQ139" s="22" t="str">
        <f>IFERROR(VLOOKUP(C139,'спецификация'!B:AA,12,0)," ")</f>
        <v> </v>
      </c>
      <c r="BR139" s="22"/>
      <c r="BS139" s="43"/>
      <c r="BT139" s="43"/>
      <c r="BU139" s="22"/>
      <c r="BV139" s="22" t="s">
        <v>401</v>
      </c>
      <c r="BW139" s="45" t="str">
        <f>IFERROR(VLOOKUP(C139,'спецификация'!B:AA,16,0)," ")</f>
        <v> </v>
      </c>
      <c r="BX139" s="43"/>
      <c r="BY139" s="43"/>
      <c r="BZ139" s="45" t="str">
        <f>IFERROR(VLOOKUP(BF139,'спецификация'!D:Y,22,0)," ")</f>
        <v> </v>
      </c>
      <c r="CA139" s="43"/>
      <c r="CB139" s="43"/>
      <c r="CC139" s="43"/>
      <c r="CD139" s="43"/>
      <c r="CE139" s="43"/>
      <c r="CF139" s="43"/>
      <c r="CG139" s="49">
        <f>IFERROR(VLOOKUP(C139,CC!A:D,4,0)," ")</f>
        <v>312</v>
      </c>
      <c r="CH139" s="22" t="s">
        <v>2267</v>
      </c>
      <c r="CI139" s="22"/>
      <c r="CJ139" s="43"/>
      <c r="CK139" s="22">
        <f>IFERROR(VLOOKUP(C139,CC!K:M,3,0)," ")</f>
        <v>60</v>
      </c>
      <c r="CL139" s="43"/>
      <c r="CM139" s="43"/>
      <c r="CN139" s="43"/>
      <c r="CO139" s="43"/>
      <c r="CP139" s="43"/>
      <c r="CQ139" s="43"/>
      <c r="CR139" s="43"/>
      <c r="CS139" s="43" t="b">
        <v>0</v>
      </c>
      <c r="CT139" s="43" t="b">
        <v>0</v>
      </c>
      <c r="CU139" s="43" t="b">
        <v>0</v>
      </c>
      <c r="CV139" s="43" t="b">
        <v>0</v>
      </c>
      <c r="CW139" s="43"/>
      <c r="CX139" s="43"/>
      <c r="CY139" s="43"/>
      <c r="CZ139" s="43"/>
      <c r="DA139" s="43"/>
      <c r="DB139" s="43"/>
      <c r="DC139" s="43"/>
      <c r="DD139" s="22">
        <f>IFERROR(VLOOKUP($C139,'Лист4'!$D:$AI,27,0)," ")</f>
        <v>1</v>
      </c>
      <c r="DE139" s="22">
        <f>IFERROR(VLOOKUP($C139,'Лист4'!$D:$AI,28,0)," ")</f>
        <v>1</v>
      </c>
      <c r="DF139" s="22">
        <f>IFERROR(VLOOKUP($C139,'Лист4'!$D:$AI,29,0)," ")</f>
        <v>1</v>
      </c>
      <c r="DG139" s="22">
        <f t="shared" si="3"/>
        <v>1</v>
      </c>
      <c r="DH139" s="22">
        <f>IFERROR(VLOOKUP($C139,'Лист4'!$D:$AI,32,0)," ")</f>
        <v>1</v>
      </c>
      <c r="DI139" s="22"/>
      <c r="DJ139" s="22"/>
      <c r="DK139" s="22"/>
      <c r="DL139" s="22"/>
      <c r="DM139" s="22"/>
      <c r="DN139" s="22"/>
      <c r="DO139" s="22"/>
      <c r="DP139" s="22"/>
      <c r="DQ139" s="22"/>
      <c r="DR139" s="22"/>
      <c r="DS139" s="22"/>
      <c r="DT139" s="22"/>
      <c r="DU139" s="22"/>
      <c r="DV139" s="22"/>
      <c r="DW139" s="22"/>
      <c r="DX139" s="22"/>
      <c r="DY139" s="22"/>
      <c r="DZ139" s="22"/>
      <c r="EA139" s="22"/>
      <c r="EB139" s="22"/>
      <c r="EC139" s="22"/>
      <c r="ED139" s="22"/>
      <c r="EE139" s="22"/>
      <c r="EF139" s="22"/>
      <c r="EG139" s="22"/>
      <c r="EH139" s="22"/>
      <c r="EI139" s="22"/>
      <c r="EJ139" s="22"/>
      <c r="EK139" s="22"/>
      <c r="EL139" s="22"/>
      <c r="EM139" s="43"/>
      <c r="EN139" s="43"/>
      <c r="EO139" s="43"/>
      <c r="EP139" s="43"/>
      <c r="EQ139" s="43"/>
      <c r="ER139" s="43"/>
      <c r="ES139" s="43"/>
      <c r="ET139" s="43"/>
      <c r="EU139" s="43"/>
      <c r="EV139" s="43"/>
      <c r="EW139" s="43"/>
      <c r="EX139" s="43"/>
      <c r="EY139" s="43"/>
      <c r="EZ139" s="43"/>
      <c r="FA139" s="43"/>
      <c r="FB139" s="43"/>
      <c r="FC139" s="43"/>
    </row>
    <row r="140" ht="18.0" customHeight="1">
      <c r="A140" s="2"/>
      <c r="B140" s="22" t="str">
        <f>IFERROR(VLOOKUP(C140,'Реестр'!C:AC,27,0)," ")</f>
        <v>Биг-Л</v>
      </c>
      <c r="C140" s="43" t="s">
        <v>2268</v>
      </c>
      <c r="D140" s="22" t="str">
        <f>IFERROR(VLOOKUP(C140,'Лист4'!D:P,13,0)," ")</f>
        <v>qeep</v>
      </c>
      <c r="E140" s="22" t="str">
        <f>IF(OR(ISERROR(VLOOKUP(C140,'Актуальность'!A:B,2,0)), VLOOKUP(C140,'Актуальность'!A:B,2,0)=""), "Актуальный", VLOOKUP(C140,'Актуальность'!A:B,2,0))</f>
        <v>Вывод</v>
      </c>
      <c r="F140" s="43" t="str">
        <f>IFERROR(VLOOKUP(C140,'Актуальность'!A:C,3,0)," ")</f>
        <v>Старый артикул</v>
      </c>
      <c r="G140" s="43"/>
      <c r="H140" s="22"/>
      <c r="I140" s="22"/>
      <c r="J140" s="43"/>
      <c r="K140" s="43"/>
      <c r="L140" s="22" t="b">
        <f t="shared" ref="L140:R140" si="136">T140&lt;&gt;""</f>
        <v>1</v>
      </c>
      <c r="M140" s="22" t="b">
        <f t="shared" si="136"/>
        <v>1</v>
      </c>
      <c r="N140" s="22" t="b">
        <f t="shared" si="136"/>
        <v>1</v>
      </c>
      <c r="O140" s="22" t="b">
        <f t="shared" si="136"/>
        <v>0</v>
      </c>
      <c r="P140" s="22" t="b">
        <f t="shared" si="136"/>
        <v>0</v>
      </c>
      <c r="Q140" s="22" t="b">
        <f t="shared" si="136"/>
        <v>0</v>
      </c>
      <c r="R140" s="22" t="b">
        <f t="shared" si="136"/>
        <v>0</v>
      </c>
      <c r="S140" s="43"/>
      <c r="T140" s="43" t="str">
        <f>IFERROR(VLOOKUP( C140,'1С'!A:B,2,0)," ")</f>
        <v>QB101100461</v>
      </c>
      <c r="U140" s="22" t="str">
        <f>IFERROR(VLOOKUP(T140,'Лист4'!C:I,3,0)," ")</f>
        <v>qeep_magnesiumB6_120caps</v>
      </c>
      <c r="V140" s="22" t="str">
        <f>IFERROR(VLOOKUP(T140,'Лист4'!C:I,4,0)," ")</f>
        <v>qeep_magnesiumB6_120caps</v>
      </c>
      <c r="W140" s="22" t="str">
        <f>IFERROR(VLOOKUP(T140,'Лист4'!C:I,5,0)," ")</f>
        <v/>
      </c>
      <c r="X140" s="43" t="str">
        <f>IFERROR(VLOOKUP(T140,'Лист4'!C:I,7,0)," ")</f>
        <v/>
      </c>
      <c r="Y140" s="43" t="str">
        <f>IFERROR(VLOOKUP(T140,'Лист4'!C:I,6,0)," ")</f>
        <v/>
      </c>
      <c r="Z140" s="43"/>
      <c r="AA140" s="43"/>
      <c r="AB140" s="22">
        <v>1.6886755E8</v>
      </c>
      <c r="AC140" s="22">
        <v>1.082288574E9</v>
      </c>
      <c r="AD140" s="22"/>
      <c r="AE140" s="22"/>
      <c r="AF140" s="22"/>
      <c r="AG140" s="43"/>
      <c r="AH140" s="43"/>
      <c r="AI140" s="43" t="str">
        <f>IFERROR(VLOOKUP(T140,'1С'!B:C,2,0)," ")</f>
        <v>БАД Магний с пробиотиками ,qeep, 120 капсул</v>
      </c>
      <c r="AJ140" s="22" t="s">
        <v>2271</v>
      </c>
      <c r="AK140" s="22" t="s">
        <v>2272</v>
      </c>
      <c r="AL140" s="43"/>
      <c r="AM140" s="43"/>
      <c r="AN140" s="43"/>
      <c r="AO140" s="43"/>
      <c r="AP140" s="43"/>
      <c r="AQ140" s="46" t="s">
        <v>2273</v>
      </c>
      <c r="AR140" s="46" t="s">
        <v>2274</v>
      </c>
      <c r="AS140" s="43"/>
      <c r="AT140" s="43"/>
      <c r="AU140" s="43"/>
      <c r="AV140" s="43"/>
      <c r="AW140" s="43"/>
      <c r="AX140" s="22" t="s">
        <v>361</v>
      </c>
      <c r="AY140" s="22" t="s">
        <v>2272</v>
      </c>
      <c r="AZ140" s="43"/>
      <c r="BA140" s="43"/>
      <c r="BB140" s="43"/>
      <c r="BC140" s="43"/>
      <c r="BD140" s="43"/>
      <c r="BE140" s="43"/>
      <c r="BF140" s="22">
        <f>IFERROR(VLOOKUP(C140,'спецификация'!B:D,3,0)," ")</f>
        <v>4620153903636</v>
      </c>
      <c r="BG140" s="22">
        <v>2.106909808E9</v>
      </c>
      <c r="BH140" s="22" t="str">
        <f>IFERROR(VLOOKUP(C140,'спецификация'!B:AA,5,0)," ")</f>
        <v>AM.01.01.01.003.R.000037.01.23 от 25.01.2023 г</v>
      </c>
      <c r="BI140" s="22"/>
      <c r="BJ140" s="22" t="str">
        <f>IFERROR(VLOOKUP(C140,'спецификация'!B:AA,6,0)," ")</f>
        <v>ЧЗ</v>
      </c>
      <c r="BK140" s="43"/>
      <c r="BL140" s="43"/>
      <c r="BM140" s="22" t="str">
        <f>IFERROR(VLOOKUP(BF140,'спецификация'!D:H,5,0)," ")</f>
        <v>магния оксид, биомасса бактерий селективная сухая серии «Панбиом» консорциум штаммов: Lactobacillus casei ARTB-114, Lactobacillus plantarum ARTB-135, Lactobacillus fermentum ARTB-101, Lactobacillus plantarum ARTB-190, Lactobacillus reuteri ARTB-195, Lactobacillus reuteri ARTB-147, Lactobacillus reuteri ARTB-213; магния дицитрат, витамин В5 (кальция пантотенат), витамин В6 (пиридоксина гидрохлорид). Вспомогательные вещества: капсула желатиновая (желатин, глицерин (агент влагоудерживающий)), инулин (носитель), агенты антислеживающие: магния стеарат, кремния диоксид.</v>
      </c>
      <c r="BN140" s="43"/>
      <c r="BO140" s="22" t="str">
        <f>IFERROR(VLOOKUP(C140,'спецификация'!B:AA,10,0)," ")</f>
        <v>детям от 3-х лет и взрослым принимать по 2 капсулы в день вовремя или сразу после еды. Капсулы запивать водой комнатной температуры. При необходимости использовать только содержимое капсулы: капсулу раскрыть и высыпать содержимое в негорячую жидкость, размешать.</v>
      </c>
      <c r="BP140" s="43" t="str">
        <f>IFERROR(VLOOKUP(C140,'спецификация'!B:AA,11,0),"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40" s="22" t="str">
        <f>IFERROR(VLOOKUP(C140,'спецификация'!B:AA,12,0)," ")</f>
        <v>хранить в недоступном для детей месте, при температуре не выше 25ºС и относительной влажности воздуха не более 60%.</v>
      </c>
      <c r="BR140" s="22">
        <v>120.0</v>
      </c>
      <c r="BS140" s="22" t="s">
        <v>492</v>
      </c>
      <c r="BT140" s="43"/>
      <c r="BU140" s="22"/>
      <c r="BV140" s="22" t="s">
        <v>165</v>
      </c>
      <c r="BW140" s="44" t="str">
        <f>IFERROR(VLOOKUP(C140,'спецификация'!B:AA,16,0)," ")</f>
        <v>https://docs.google.com/document/d/1eE51GrI1cPjILUvKbTY8RpGEXWtupOkO8aj83SEGQkU/edit?usp=sharing</v>
      </c>
      <c r="BX140" s="43"/>
      <c r="BY140" s="43"/>
      <c r="BZ140" s="44" t="str">
        <f>IFERROR(VLOOKUP(BF140,'спецификация'!D:Y,22,0)," ")</f>
        <v>https://drive.google.com/drive/u/0/folders/1RBoFLg9KPRpb-s4RCURYPapOrSWQ4Vcc</v>
      </c>
      <c r="CA140" s="43"/>
      <c r="CB140" s="43"/>
      <c r="CC140" s="43"/>
      <c r="CD140" s="43"/>
      <c r="CE140" s="43"/>
      <c r="CF140" s="43"/>
      <c r="CG140" s="49">
        <f>IFERROR(VLOOKUP(C140,CC!A:D,4,0)," ")</f>
        <v>272.52</v>
      </c>
      <c r="CH140" s="22" t="str">
        <f>IFERROR(VLOOKUP(C140,'спецификация'!B:AA,19,0)," ")</f>
        <v>ООО «Сибфармконтракт», Россия, 634034, г. Томск, ул. Нахимова 8, стр. 11.</v>
      </c>
      <c r="CI140" s="22"/>
      <c r="CJ140" s="22" t="s">
        <v>562</v>
      </c>
      <c r="CK140" s="22">
        <f>IFERROR(VLOOKUP(C140,CC!K:M,3,0)," ")</f>
        <v>90</v>
      </c>
      <c r="CL140" s="43"/>
      <c r="CM140" s="43"/>
      <c r="CN140" s="43"/>
      <c r="CO140" s="43"/>
      <c r="CP140" s="43"/>
      <c r="CQ140" s="43"/>
      <c r="CR140" s="43"/>
      <c r="CS140" s="43" t="b">
        <v>0</v>
      </c>
      <c r="CT140" s="43" t="b">
        <v>0</v>
      </c>
      <c r="CU140" s="43" t="b">
        <v>0</v>
      </c>
      <c r="CV140" s="43" t="b">
        <v>0</v>
      </c>
      <c r="CW140" s="43"/>
      <c r="CX140" s="43"/>
      <c r="CY140" s="43"/>
      <c r="CZ140" s="43"/>
      <c r="DA140" s="43"/>
      <c r="DB140" s="43"/>
      <c r="DC140" s="43"/>
      <c r="DD140" s="22">
        <f>IFERROR(VLOOKUP($C140,'Лист4'!$D:$AI,27,0)," ")</f>
        <v>9</v>
      </c>
      <c r="DE140" s="22">
        <f>IFERROR(VLOOKUP($C140,'Лист4'!$D:$AI,28,0)," ")</f>
        <v>5</v>
      </c>
      <c r="DF140" s="22">
        <f>IFERROR(VLOOKUP($C140,'Лист4'!$D:$AI,29,0)," ")</f>
        <v>9</v>
      </c>
      <c r="DG140" s="22">
        <f t="shared" si="3"/>
        <v>405</v>
      </c>
      <c r="DH140" s="22">
        <f>IFERROR(VLOOKUP($C140,'Лист4'!$D:$AI,32,0)," ")</f>
        <v>0.073</v>
      </c>
      <c r="DI140" s="22"/>
      <c r="DJ140" s="22"/>
      <c r="DK140" s="22"/>
      <c r="DL140" s="22"/>
      <c r="DM140" s="22"/>
      <c r="DN140" s="22"/>
      <c r="DO140" s="22"/>
      <c r="DP140" s="22"/>
      <c r="DQ140" s="22"/>
      <c r="DR140" s="22"/>
      <c r="DS140" s="22"/>
      <c r="DT140" s="22"/>
      <c r="DU140" s="22"/>
      <c r="DV140" s="22"/>
      <c r="DW140" s="22"/>
      <c r="DX140" s="22"/>
      <c r="DY140" s="22"/>
      <c r="DZ140" s="22"/>
      <c r="EA140" s="22"/>
      <c r="EB140" s="22"/>
      <c r="EC140" s="22"/>
      <c r="ED140" s="22"/>
      <c r="EE140" s="22"/>
      <c r="EF140" s="22"/>
      <c r="EG140" s="22"/>
      <c r="EH140" s="22"/>
      <c r="EI140" s="22"/>
      <c r="EJ140" s="22"/>
      <c r="EK140" s="22"/>
      <c r="EL140" s="22"/>
      <c r="EM140" s="43"/>
      <c r="EN140" s="43"/>
      <c r="EO140" s="43"/>
      <c r="EP140" s="43"/>
      <c r="EQ140" s="43"/>
      <c r="ER140" s="43"/>
      <c r="ES140" s="43"/>
      <c r="ET140" s="43"/>
      <c r="EU140" s="43"/>
      <c r="EV140" s="43"/>
      <c r="EW140" s="43"/>
      <c r="EX140" s="43"/>
      <c r="EY140" s="43"/>
      <c r="EZ140" s="43"/>
      <c r="FA140" s="43"/>
      <c r="FB140" s="43"/>
      <c r="FC140" s="43"/>
    </row>
    <row r="141" ht="18.0" customHeight="1">
      <c r="A141" s="2"/>
      <c r="B141" s="22" t="str">
        <f>IFERROR(VLOOKUP(C141,'Реестр'!C:AC,27,0)," ")</f>
        <v>Биг-Л</v>
      </c>
      <c r="C141" s="43" t="s">
        <v>2281</v>
      </c>
      <c r="D141" s="22" t="str">
        <f>IFERROR(VLOOKUP(C141,'Лист4'!D:P,13,0)," ")</f>
        <v>qeep</v>
      </c>
      <c r="E141" s="22" t="str">
        <f>IF(OR(ISERROR(VLOOKUP(C141,'Актуальность'!A:B,2,0)), VLOOKUP(C141,'Актуальность'!A:B,2,0)=""), "Актуальный", VLOOKUP(C141,'Актуальность'!A:B,2,0))</f>
        <v>Вывод</v>
      </c>
      <c r="F141" s="43" t="str">
        <f>IFERROR(VLOOKUP(C141,'Актуальность'!A:C,3,0)," ")</f>
        <v>Старый артикул</v>
      </c>
      <c r="G141" s="43"/>
      <c r="H141" s="22"/>
      <c r="I141" s="22"/>
      <c r="J141" s="43"/>
      <c r="K141" s="43"/>
      <c r="L141" s="22" t="b">
        <f t="shared" ref="L141:R141" si="137">T141&lt;&gt;""</f>
        <v>1</v>
      </c>
      <c r="M141" s="22" t="b">
        <f t="shared" si="137"/>
        <v>1</v>
      </c>
      <c r="N141" s="22" t="b">
        <f t="shared" si="137"/>
        <v>1</v>
      </c>
      <c r="O141" s="22" t="b">
        <f t="shared" si="137"/>
        <v>0</v>
      </c>
      <c r="P141" s="22" t="b">
        <f t="shared" si="137"/>
        <v>0</v>
      </c>
      <c r="Q141" s="22" t="b">
        <f t="shared" si="137"/>
        <v>0</v>
      </c>
      <c r="R141" s="22" t="b">
        <f t="shared" si="137"/>
        <v>0</v>
      </c>
      <c r="S141" s="43"/>
      <c r="T141" s="43" t="str">
        <f>IFERROR(VLOOKUP( C141,'1С'!A:B,2,0)," ")</f>
        <v>QB101100477</v>
      </c>
      <c r="U141" s="22" t="str">
        <f>IFERROR(VLOOKUP(T141,'Лист4'!C:I,3,0)," ")</f>
        <v>qeepchrom</v>
      </c>
      <c r="V141" s="22" t="str">
        <f>IFERROR(VLOOKUP(T141,'Лист4'!C:I,4,0)," ")</f>
        <v>qeepchrom</v>
      </c>
      <c r="W141" s="22" t="str">
        <f>IFERROR(VLOOKUP(T141,'Лист4'!C:I,5,0)," ")</f>
        <v/>
      </c>
      <c r="X141" s="43" t="str">
        <f>IFERROR(VLOOKUP(T141,'Лист4'!C:I,7,0)," ")</f>
        <v/>
      </c>
      <c r="Y141" s="43" t="str">
        <f>IFERROR(VLOOKUP(T141,'Лист4'!C:I,6,0)," ")</f>
        <v/>
      </c>
      <c r="Z141" s="43"/>
      <c r="AA141" s="43"/>
      <c r="AB141" s="22">
        <v>1.23030751E8</v>
      </c>
      <c r="AC141" s="22">
        <v>7.51282312E8</v>
      </c>
      <c r="AD141" s="22"/>
      <c r="AE141" s="22"/>
      <c r="AF141" s="22"/>
      <c r="AG141" s="43"/>
      <c r="AH141" s="43"/>
      <c r="AI141" s="43" t="str">
        <f>IFERROR(VLOOKUP(T141,'1С'!B:C,2,0)," ")</f>
        <v>БАД Пиколинат хрома ,qeep, 60 капсул</v>
      </c>
      <c r="AJ141" s="22" t="s">
        <v>887</v>
      </c>
      <c r="AK141" s="22" t="s">
        <v>2283</v>
      </c>
      <c r="AL141" s="43"/>
      <c r="AM141" s="43"/>
      <c r="AN141" s="43"/>
      <c r="AO141" s="43"/>
      <c r="AP141" s="43"/>
      <c r="AQ141" s="46" t="s">
        <v>2284</v>
      </c>
      <c r="AR141" s="46" t="s">
        <v>2285</v>
      </c>
      <c r="AS141" s="43"/>
      <c r="AT141" s="43"/>
      <c r="AU141" s="43"/>
      <c r="AV141" s="43"/>
      <c r="AW141" s="43"/>
      <c r="AX141" s="22" t="s">
        <v>361</v>
      </c>
      <c r="AY141" s="22" t="s">
        <v>2283</v>
      </c>
      <c r="AZ141" s="43"/>
      <c r="BA141" s="43"/>
      <c r="BB141" s="43"/>
      <c r="BC141" s="43"/>
      <c r="BD141" s="43"/>
      <c r="BE141" s="43"/>
      <c r="BF141" s="22" t="str">
        <f>IFERROR(VLOOKUP(C141,'спецификация'!B:D,3,0)," ")</f>
        <v>4680162841060</v>
      </c>
      <c r="BG141" s="22">
        <v>2.106909808E9</v>
      </c>
      <c r="BH141" s="22" t="str">
        <f>IFERROR(VLOOKUP(C141,'спецификация'!B:AA,5,0)," ")</f>
        <v>RU.77.99.88.003.R.002116.08.23 от 01.08.2023</v>
      </c>
      <c r="BI141" s="22"/>
      <c r="BJ141" s="22" t="str">
        <f>IFERROR(VLOOKUP(C141,'спецификация'!B:AA,6,0)," ")</f>
        <v>ЧЗ</v>
      </c>
      <c r="BK141" s="43"/>
      <c r="BL141" s="43"/>
      <c r="BM141" s="22" t="str">
        <f>IFERROR(VLOOKUP(BF141,'спецификация'!D:H,5,0)," ")</f>
        <v>хрома пиколинат, экстракт плодов ананаса обыкновенного, экстракт коры корицы (коричника цейлонского), микрокристаллическая целлюлоза (носитель Е460), желатин (оболочка капсулы).</v>
      </c>
      <c r="BN141" s="43"/>
      <c r="BO141" s="22" t="str">
        <f>IFERROR(VLOOKUP(C141,'спецификация'!B:AA,10,0)," ")</f>
        <v>Взрослым по 1 капсуле в день во время еды. Продолжительность приема – 1 месяц. При необходимости прием можно повторить. Перед применением рекомендуется проконсультироваться с врачом</v>
      </c>
      <c r="BP141" s="43" t="str">
        <f>IFERROR(VLOOKUP(C141,'спецификация'!B:AA,11,0),"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41" s="22" t="str">
        <f>IFERROR(VLOOKUP(C141,'спецификация'!B:AA,12,0)," ")</f>
        <v>В защищенном от попадания прямых солнечных лучей и недоступном для детей месте при температуре не выше +25 0C</v>
      </c>
      <c r="BR141" s="22">
        <v>60.0</v>
      </c>
      <c r="BS141" s="22" t="s">
        <v>421</v>
      </c>
      <c r="BT141" s="22"/>
      <c r="BU141" s="22"/>
      <c r="BV141" s="22" t="s">
        <v>307</v>
      </c>
      <c r="BW141" s="44" t="str">
        <f>IFERROR(VLOOKUP(C141,'спецификация'!B:AA,16,0)," ")</f>
        <v>https://docs.google.com/document/d/18eebP_PorJ4KxsKonL3j-JrFnLXhauS2uyAAukYGsjY/edit</v>
      </c>
      <c r="BX141" s="43"/>
      <c r="BY141" s="43"/>
      <c r="BZ141" s="44" t="str">
        <f>IFERROR(VLOOKUP(BF141,'спецификация'!D:Y,22,0)," ")</f>
        <v>https://drive.google.com/drive/u/0/folders/1vs_NS0bwsYbQIM3lkjrF0kAOpu5m4hZJ</v>
      </c>
      <c r="CA141" s="43"/>
      <c r="CB141" s="43"/>
      <c r="CC141" s="43"/>
      <c r="CD141" s="43"/>
      <c r="CE141" s="43"/>
      <c r="CF141" s="43"/>
      <c r="CG141" s="49">
        <f>IFERROR(VLOOKUP(C141,CC!A:D,4,0)," ")</f>
        <v>194.6</v>
      </c>
      <c r="CH141" s="22" t="str">
        <f>IFERROR(VLOOKUP(C141,'спецификация'!B:AA,19,0)," ")</f>
        <v>НПК Миламед</v>
      </c>
      <c r="CI141" s="22"/>
      <c r="CJ141" s="22" t="s">
        <v>787</v>
      </c>
      <c r="CK141" s="22" t="str">
        <f>IFERROR(VLOOKUP(C141,CC!K:M,3,0)," ")</f>
        <v> </v>
      </c>
      <c r="CL141" s="43"/>
      <c r="CM141" s="43"/>
      <c r="CN141" s="43"/>
      <c r="CO141" s="43"/>
      <c r="CP141" s="43"/>
      <c r="CQ141" s="43"/>
      <c r="CR141" s="43"/>
      <c r="CS141" s="43" t="b">
        <v>0</v>
      </c>
      <c r="CT141" s="43" t="b">
        <v>0</v>
      </c>
      <c r="CU141" s="43" t="b">
        <v>0</v>
      </c>
      <c r="CV141" s="43" t="b">
        <v>0</v>
      </c>
      <c r="CW141" s="43"/>
      <c r="CX141" s="43"/>
      <c r="CY141" s="43"/>
      <c r="CZ141" s="43"/>
      <c r="DA141" s="43"/>
      <c r="DB141" s="43"/>
      <c r="DC141" s="43"/>
      <c r="DD141" s="22">
        <f>IFERROR(VLOOKUP($C141,'Лист4'!$D:$AI,27,0)," ")</f>
        <v>10</v>
      </c>
      <c r="DE141" s="22">
        <f>IFERROR(VLOOKUP($C141,'Лист4'!$D:$AI,28,0)," ")</f>
        <v>4</v>
      </c>
      <c r="DF141" s="22">
        <f>IFERROR(VLOOKUP($C141,'Лист4'!$D:$AI,29,0)," ")</f>
        <v>10</v>
      </c>
      <c r="DG141" s="22">
        <f t="shared" si="3"/>
        <v>400</v>
      </c>
      <c r="DH141" s="22">
        <f>IFERROR(VLOOKUP($C141,'Лист4'!$D:$AI,32,0)," ")</f>
        <v>0.045</v>
      </c>
      <c r="DI141" s="22"/>
      <c r="DJ141" s="22"/>
      <c r="DK141" s="22"/>
      <c r="DL141" s="22"/>
      <c r="DM141" s="22"/>
      <c r="DN141" s="22"/>
      <c r="DO141" s="22"/>
      <c r="DP141" s="22"/>
      <c r="DQ141" s="22"/>
      <c r="DR141" s="22"/>
      <c r="DS141" s="22"/>
      <c r="DT141" s="22"/>
      <c r="DU141" s="22"/>
      <c r="DV141" s="22"/>
      <c r="DW141" s="22"/>
      <c r="DX141" s="22"/>
      <c r="DY141" s="22"/>
      <c r="DZ141" s="22"/>
      <c r="EA141" s="22"/>
      <c r="EB141" s="22"/>
      <c r="EC141" s="22"/>
      <c r="ED141" s="22"/>
      <c r="EE141" s="22"/>
      <c r="EF141" s="22"/>
      <c r="EG141" s="22"/>
      <c r="EH141" s="22"/>
      <c r="EI141" s="22"/>
      <c r="EJ141" s="22"/>
      <c r="EK141" s="22"/>
      <c r="EL141" s="22"/>
      <c r="EM141" s="43"/>
      <c r="EN141" s="43"/>
      <c r="EO141" s="43"/>
      <c r="EP141" s="43"/>
      <c r="EQ141" s="43"/>
      <c r="ER141" s="43"/>
      <c r="ES141" s="43"/>
      <c r="ET141" s="43"/>
      <c r="EU141" s="43"/>
      <c r="EV141" s="43"/>
      <c r="EW141" s="43"/>
      <c r="EX141" s="43"/>
      <c r="EY141" s="43"/>
      <c r="EZ141" s="43"/>
      <c r="FA141" s="43"/>
      <c r="FB141" s="43"/>
      <c r="FC141" s="43"/>
    </row>
    <row r="142" ht="18.0" customHeight="1">
      <c r="A142" s="2"/>
      <c r="B142" s="22" t="str">
        <f>IFERROR(VLOOKUP(C142,'Реестр'!C:AC,27,0)," ")</f>
        <v>Биг-Л</v>
      </c>
      <c r="C142" s="43" t="s">
        <v>2293</v>
      </c>
      <c r="D142" s="22" t="str">
        <f>IFERROR(VLOOKUP(C142,'Лист4'!D:P,13,0)," ")</f>
        <v>qeep</v>
      </c>
      <c r="E142" s="22" t="str">
        <f>IF(OR(ISERROR(VLOOKUP(C142,'Актуальность'!A:B,2,0)), VLOOKUP(C142,'Актуальность'!A:B,2,0)=""), "Актуальный", VLOOKUP(C142,'Актуальность'!A:B,2,0))</f>
        <v>Вывод</v>
      </c>
      <c r="F142" s="43" t="str">
        <f>IFERROR(VLOOKUP(C142,'Актуальность'!A:C,3,0)," ")</f>
        <v>Старый артикул</v>
      </c>
      <c r="G142" s="43"/>
      <c r="H142" s="22"/>
      <c r="I142" s="22"/>
      <c r="J142" s="43"/>
      <c r="K142" s="43"/>
      <c r="L142" s="22" t="b">
        <f t="shared" ref="L142:R142" si="138">T142&lt;&gt;""</f>
        <v>1</v>
      </c>
      <c r="M142" s="22" t="b">
        <f t="shared" si="138"/>
        <v>1</v>
      </c>
      <c r="N142" s="22" t="b">
        <f t="shared" si="138"/>
        <v>1</v>
      </c>
      <c r="O142" s="22" t="b">
        <f t="shared" si="138"/>
        <v>1</v>
      </c>
      <c r="P142" s="22" t="b">
        <f t="shared" si="138"/>
        <v>0</v>
      </c>
      <c r="Q142" s="22" t="b">
        <f t="shared" si="138"/>
        <v>0</v>
      </c>
      <c r="R142" s="22" t="b">
        <f t="shared" si="138"/>
        <v>0</v>
      </c>
      <c r="S142" s="43"/>
      <c r="T142" s="43" t="str">
        <f>IFERROR(VLOOKUP( C142,'1С'!A:B,2,0)," ")</f>
        <v>QB101100427</v>
      </c>
      <c r="U142" s="22" t="str">
        <f>IFERROR(VLOOKUP(T142,'Лист4'!C:I,3,0)," ")</f>
        <v>qeep_gummy_multivit_60</v>
      </c>
      <c r="V142" s="22" t="str">
        <f>IFERROR(VLOOKUP(T142,'Лист4'!C:I,4,0)," ")</f>
        <v>qeep_gummy_multivit_60</v>
      </c>
      <c r="W142" s="22" t="str">
        <f>IFERROR(VLOOKUP(T142,'Лист4'!C:I,5,0)," ")</f>
        <v>qeep_gummy_multivit_60</v>
      </c>
      <c r="X142" s="43" t="str">
        <f>IFERROR(VLOOKUP(T142,'Лист4'!C:I,7,0)," ")</f>
        <v/>
      </c>
      <c r="Y142" s="43" t="str">
        <f>IFERROR(VLOOKUP(T142,'Лист4'!C:I,6,0)," ")</f>
        <v/>
      </c>
      <c r="Z142" s="43"/>
      <c r="AA142" s="43"/>
      <c r="AB142" s="22">
        <v>2.93061661E8</v>
      </c>
      <c r="AC142" s="22">
        <v>1.773844375E9</v>
      </c>
      <c r="AD142" s="22">
        <v>1.03665483133E11</v>
      </c>
      <c r="AE142" s="22"/>
      <c r="AF142" s="22"/>
      <c r="AG142" s="43"/>
      <c r="AH142" s="43"/>
      <c r="AI142" s="43" t="str">
        <f>IFERROR(VLOOKUP(T142,'1С'!B:C,2,0)," ")</f>
        <v>БАД для детей мультивитамины мишки ,qeep, 60 марм</v>
      </c>
      <c r="AJ142" s="22" t="s">
        <v>2296</v>
      </c>
      <c r="AK142" s="22" t="s">
        <v>2297</v>
      </c>
      <c r="AL142" s="22" t="s">
        <v>2298</v>
      </c>
      <c r="AM142" s="43"/>
      <c r="AN142" s="43"/>
      <c r="AO142" s="43"/>
      <c r="AP142" s="43"/>
      <c r="AQ142" s="46" t="s">
        <v>2299</v>
      </c>
      <c r="AR142" s="46" t="s">
        <v>2300</v>
      </c>
      <c r="AS142" s="46" t="s">
        <v>2301</v>
      </c>
      <c r="AT142" s="43"/>
      <c r="AU142" s="43"/>
      <c r="AV142" s="43"/>
      <c r="AW142" s="43"/>
      <c r="AX142" s="22" t="s">
        <v>361</v>
      </c>
      <c r="AY142" s="22" t="s">
        <v>2297</v>
      </c>
      <c r="AZ142" s="22" t="s">
        <v>372</v>
      </c>
      <c r="BA142" s="43"/>
      <c r="BB142" s="43"/>
      <c r="BC142" s="43"/>
      <c r="BD142" s="43"/>
      <c r="BE142" s="43"/>
      <c r="BF142" s="22" t="str">
        <f>IFERROR(VLOOKUP(C142,'спецификация'!B:D,3,0)," ")</f>
        <v>4640346711329</v>
      </c>
      <c r="BG142" s="22">
        <v>2.106909808E9</v>
      </c>
      <c r="BH142" s="22" t="str">
        <f>IFERROR(VLOOKUP(C142,'спецификация'!B:AA,5,0)," ")</f>
        <v>AM.01.07.01.003.R.000301.03.24 от 11.03.2024 </v>
      </c>
      <c r="BI142" s="22"/>
      <c r="BJ142" s="22" t="str">
        <f>IFERROR(VLOOKUP(C142,'спецификация'!B:AA,6,0)," ")</f>
        <v>ЧЗ</v>
      </c>
      <c r="BK142" s="43"/>
      <c r="BL142" s="43"/>
      <c r="BM142" s="22" t="str">
        <f>IFERROR(VLOOKUP(BF142,'спецификация'!D:H,5,0)," ")</f>
        <v>аскорбиновая кислота (Витамин C), токоферола  ацетат (Витамин Е), лимонная кислота – регулятор кислотности, натуральный ароматизатор "Апельсин", никотинамид (Витамин В3), ретинола ацетат (Витамин A), холекальциферол (Витамин D3), концентрат сока куркумы – краситель, растительное масло (содержит карнаубский воск – глазирователь), пиридоксин гидрохлорида (Витамин B6), филлохинон (Витамин К1), фолиевая кислота (Витамин В9), биотин, цианокобаламин (Витамин B12). глюкозный сироп, сахар, желатин. На предприятии используется сырье, содержащее продукты переработки молока, рыбы, ракообразных и сои.</v>
      </c>
      <c r="BN142" s="43"/>
      <c r="BO142" s="22" t="s">
        <v>2305</v>
      </c>
      <c r="BP142" s="43" t="str">
        <f>IFERROR(VLOOKUP(C142,'спецификация'!B:AA,11,0)," ")</f>
        <v/>
      </c>
      <c r="BQ142" s="22" t="str">
        <f>IFERROR(VLOOKUP(C142,'спецификация'!B:AA,12,0)," ")</f>
        <v/>
      </c>
      <c r="BR142" s="22">
        <v>60.0</v>
      </c>
      <c r="BS142" s="22" t="s">
        <v>421</v>
      </c>
      <c r="BT142" s="22"/>
      <c r="BU142" s="22"/>
      <c r="BV142" s="22" t="s">
        <v>165</v>
      </c>
      <c r="BW142" s="44" t="str">
        <f>IFERROR(VLOOKUP(C142,'спецификация'!B:AA,16,0)," ")</f>
        <v>https://docs.google.com/document/d/1N-BnunlG4I8MuMYdY1slp5qsr1kkJp6GbBB7dASzTS8/edit?tab=t.0</v>
      </c>
      <c r="BX142" s="43"/>
      <c r="BY142" s="43"/>
      <c r="BZ142" s="45" t="str">
        <f>IFERROR(VLOOKUP(BF142,'спецификация'!D:Y,22,0)," ")</f>
        <v/>
      </c>
      <c r="CA142" s="43"/>
      <c r="CB142" s="43"/>
      <c r="CC142" s="43"/>
      <c r="CD142" s="43"/>
      <c r="CE142" s="43"/>
      <c r="CF142" s="43"/>
      <c r="CG142" s="49">
        <f>IFERROR(VLOOKUP(C142,CC!A:D,4,0)," ")</f>
        <v>456</v>
      </c>
      <c r="CH142" s="22" t="str">
        <f>IFERROR(VLOOKUP(C142,'спецификация'!B:AA,19,0)," ")</f>
        <v>ООО "НУТРИЛЕНТ"</v>
      </c>
      <c r="CI142" s="22"/>
      <c r="CJ142" s="22" t="s">
        <v>424</v>
      </c>
      <c r="CK142" s="22">
        <f>IFERROR(VLOOKUP(C142,CC!K:M,3,0)," ")</f>
        <v>60</v>
      </c>
      <c r="CL142" s="43"/>
      <c r="CM142" s="43"/>
      <c r="CN142" s="43"/>
      <c r="CO142" s="43"/>
      <c r="CP142" s="43"/>
      <c r="CQ142" s="43"/>
      <c r="CR142" s="43"/>
      <c r="CS142" s="43" t="b">
        <v>0</v>
      </c>
      <c r="CT142" s="43" t="b">
        <v>0</v>
      </c>
      <c r="CU142" s="43" t="b">
        <v>0</v>
      </c>
      <c r="CV142" s="43" t="b">
        <v>0</v>
      </c>
      <c r="CW142" s="43"/>
      <c r="CX142" s="43"/>
      <c r="CY142" s="43"/>
      <c r="CZ142" s="43"/>
      <c r="DA142" s="43"/>
      <c r="DB142" s="43"/>
      <c r="DC142" s="43"/>
      <c r="DD142" s="22">
        <f>IFERROR(VLOOKUP($C142,'Лист4'!$D:$AI,27,0)," ")</f>
        <v>11</v>
      </c>
      <c r="DE142" s="22">
        <f>IFERROR(VLOOKUP($C142,'Лист4'!$D:$AI,28,0)," ")</f>
        <v>6</v>
      </c>
      <c r="DF142" s="22">
        <f>IFERROR(VLOOKUP($C142,'Лист4'!$D:$AI,29,0)," ")</f>
        <v>11</v>
      </c>
      <c r="DG142" s="22">
        <f t="shared" si="3"/>
        <v>726</v>
      </c>
      <c r="DH142" s="22">
        <f>IFERROR(VLOOKUP($C142,'Лист4'!$D:$AI,32,0)," ")</f>
        <v>0.168</v>
      </c>
      <c r="DI142" s="22"/>
      <c r="DJ142" s="22"/>
      <c r="DK142" s="22"/>
      <c r="DL142" s="22"/>
      <c r="DM142" s="22"/>
      <c r="DN142" s="22"/>
      <c r="DO142" s="22"/>
      <c r="DP142" s="22"/>
      <c r="DQ142" s="22"/>
      <c r="DR142" s="22"/>
      <c r="DS142" s="22"/>
      <c r="DT142" s="22"/>
      <c r="DU142" s="22"/>
      <c r="DV142" s="22"/>
      <c r="DW142" s="22"/>
      <c r="DX142" s="22"/>
      <c r="DY142" s="22"/>
      <c r="DZ142" s="22"/>
      <c r="EA142" s="22"/>
      <c r="EB142" s="22"/>
      <c r="EC142" s="22"/>
      <c r="ED142" s="22"/>
      <c r="EE142" s="22"/>
      <c r="EF142" s="22"/>
      <c r="EG142" s="22"/>
      <c r="EH142" s="22"/>
      <c r="EI142" s="22"/>
      <c r="EJ142" s="22"/>
      <c r="EK142" s="22"/>
      <c r="EL142" s="22"/>
      <c r="EM142" s="43"/>
      <c r="EN142" s="43"/>
      <c r="EO142" s="43"/>
      <c r="EP142" s="43"/>
      <c r="EQ142" s="43"/>
      <c r="ER142" s="43"/>
      <c r="ES142" s="43"/>
      <c r="ET142" s="43"/>
      <c r="EU142" s="43"/>
      <c r="EV142" s="43"/>
      <c r="EW142" s="43"/>
      <c r="EX142" s="43"/>
      <c r="EY142" s="43"/>
      <c r="EZ142" s="43"/>
      <c r="FA142" s="43"/>
      <c r="FB142" s="43"/>
      <c r="FC142" s="43"/>
    </row>
    <row r="143" ht="18.0" customHeight="1">
      <c r="A143" s="2"/>
      <c r="B143" s="22" t="str">
        <f>IFERROR(VLOOKUP(C143,'Реестр'!C:AC,27,0)," ")</f>
        <v>Биг-Л</v>
      </c>
      <c r="C143" s="43" t="s">
        <v>2307</v>
      </c>
      <c r="D143" s="22" t="str">
        <f>IFERROR(VLOOKUP(C143,'Лист4'!D:P,13,0)," ")</f>
        <v>qeep</v>
      </c>
      <c r="E143" s="22" t="str">
        <f>IF(OR(ISERROR(VLOOKUP(C143,'Актуальность'!A:B,2,0)), VLOOKUP(C143,'Актуальность'!A:B,2,0)=""), "Актуальный", VLOOKUP(C143,'Актуальность'!A:B,2,0))</f>
        <v>Вывод</v>
      </c>
      <c r="F143" s="43" t="str">
        <f>IFERROR(VLOOKUP(C143,'Актуальность'!A:C,3,0)," ")</f>
        <v>Старый артикул</v>
      </c>
      <c r="G143" s="43"/>
      <c r="H143" s="22"/>
      <c r="I143" s="22"/>
      <c r="J143" s="43"/>
      <c r="K143" s="43"/>
      <c r="L143" s="22" t="b">
        <f t="shared" ref="L143:R143" si="139">T143&lt;&gt;""</f>
        <v>1</v>
      </c>
      <c r="M143" s="22" t="b">
        <f t="shared" si="139"/>
        <v>1</v>
      </c>
      <c r="N143" s="22" t="b">
        <f t="shared" si="139"/>
        <v>1</v>
      </c>
      <c r="O143" s="22" t="b">
        <f t="shared" si="139"/>
        <v>0</v>
      </c>
      <c r="P143" s="22" t="b">
        <f t="shared" si="139"/>
        <v>0</v>
      </c>
      <c r="Q143" s="22" t="b">
        <f t="shared" si="139"/>
        <v>0</v>
      </c>
      <c r="R143" s="22" t="b">
        <f t="shared" si="139"/>
        <v>0</v>
      </c>
      <c r="S143" s="43"/>
      <c r="T143" s="43" t="str">
        <f>IFERROR(VLOOKUP( C143,'1С'!A:B,2,0)," ")</f>
        <v>QB101100485</v>
      </c>
      <c r="U143" s="22" t="str">
        <f>IFERROR(VLOOKUP(T143,'Лист4'!C:I,3,0)," ")</f>
        <v>qeepprobiotics1+1</v>
      </c>
      <c r="V143" s="22" t="str">
        <f>IFERROR(VLOOKUP(T143,'Лист4'!C:I,4,0)," ")</f>
        <v>qeepprobiotics1+1</v>
      </c>
      <c r="W143" s="22" t="str">
        <f>IFERROR(VLOOKUP(T143,'Лист4'!C:I,5,0)," ")</f>
        <v/>
      </c>
      <c r="X143" s="43" t="str">
        <f>IFERROR(VLOOKUP(T143,'Лист4'!C:I,7,0)," ")</f>
        <v/>
      </c>
      <c r="Y143" s="43" t="str">
        <f>IFERROR(VLOOKUP(T143,'Лист4'!C:I,6,0)," ")</f>
        <v/>
      </c>
      <c r="Z143" s="43"/>
      <c r="AA143" s="43"/>
      <c r="AB143" s="22">
        <v>1.38313003E8</v>
      </c>
      <c r="AC143" s="22">
        <v>8.14830745E8</v>
      </c>
      <c r="AD143" s="22"/>
      <c r="AE143" s="22"/>
      <c r="AF143" s="22"/>
      <c r="AG143" s="43"/>
      <c r="AH143" s="43"/>
      <c r="AI143" s="43" t="str">
        <f>IFERROR(VLOOKUP(T143,'1С'!B:C,2,0)," ")</f>
        <v>БАД Пробиотики ,qeep, 30+30 капсул набор</v>
      </c>
      <c r="AJ143" s="22" t="s">
        <v>2310</v>
      </c>
      <c r="AK143" s="22" t="s">
        <v>2311</v>
      </c>
      <c r="AL143" s="43"/>
      <c r="AM143" s="43"/>
      <c r="AN143" s="43"/>
      <c r="AO143" s="43"/>
      <c r="AP143" s="43"/>
      <c r="AQ143" s="46" t="s">
        <v>2312</v>
      </c>
      <c r="AR143" s="46" t="s">
        <v>2313</v>
      </c>
      <c r="AS143" s="43"/>
      <c r="AT143" s="43"/>
      <c r="AU143" s="43"/>
      <c r="AV143" s="43"/>
      <c r="AW143" s="43"/>
      <c r="AX143" s="22" t="s">
        <v>361</v>
      </c>
      <c r="AY143" s="22" t="s">
        <v>2311</v>
      </c>
      <c r="AZ143" s="43"/>
      <c r="BA143" s="43"/>
      <c r="BB143" s="43"/>
      <c r="BC143" s="43"/>
      <c r="BD143" s="43"/>
      <c r="BE143" s="43"/>
      <c r="BF143" s="22" t="str">
        <f>IFERROR(VLOOKUP(C143,'спецификация'!B:D,3,0)," ")</f>
        <v>2037244389774</v>
      </c>
      <c r="BG143" s="22">
        <v>2.106909808E9</v>
      </c>
      <c r="BH143" s="22" t="str">
        <f>IFERROR(VLOOKUP(C143,'спецификация'!B:AA,5,0)," ")</f>
        <v/>
      </c>
      <c r="BI143" s="22"/>
      <c r="BJ143" s="22" t="str">
        <f>IFERROR(VLOOKUP(C143,'спецификация'!B:AA,6,0)," ")</f>
        <v>ЧЗ</v>
      </c>
      <c r="BK143" s="43"/>
      <c r="BL143" s="43"/>
      <c r="BM143" s="22" t="str">
        <f>IFERROR(VLOOKUP(BF143,'спецификация'!D:H,5,0)," ")</f>
        <v/>
      </c>
      <c r="BN143" s="43"/>
      <c r="BO143" s="22" t="str">
        <f>IFERROR(VLOOKUP(C143,'спецификация'!B:AA,10,0)," ")</f>
        <v/>
      </c>
      <c r="BP143" s="43" t="str">
        <f>IFERROR(VLOOKUP(C143,'спецификация'!B:AA,11,0)," ")</f>
        <v/>
      </c>
      <c r="BQ143" s="22" t="str">
        <f>IFERROR(VLOOKUP(C143,'спецификация'!B:AA,12,0)," ")</f>
        <v/>
      </c>
      <c r="BR143" s="22"/>
      <c r="BS143" s="58" t="s">
        <v>2237</v>
      </c>
      <c r="BT143" s="58"/>
      <c r="BU143" s="22"/>
      <c r="BV143" s="22"/>
      <c r="BW143" s="45" t="str">
        <f>IFERROR(VLOOKUP(C143,'спецификация'!B:AA,16,0)," ")</f>
        <v/>
      </c>
      <c r="BX143" s="43"/>
      <c r="BY143" s="43"/>
      <c r="BZ143" s="45" t="str">
        <f>IFERROR(VLOOKUP(BF143,'спецификация'!D:Y,22,0)," ")</f>
        <v/>
      </c>
      <c r="CA143" s="43"/>
      <c r="CB143" s="43"/>
      <c r="CC143" s="43"/>
      <c r="CD143" s="43"/>
      <c r="CE143" s="43"/>
      <c r="CF143" s="43"/>
      <c r="CG143" s="49">
        <f>IFERROR(VLOOKUP(C143,CC!A:D,4,0)," ")</f>
        <v>310.3</v>
      </c>
      <c r="CH143" s="22" t="str">
        <f>IFERROR(VLOOKUP(C143,'спецификация'!B:AA,19,0)," ")</f>
        <v>ООО «Сибфармконтракт», Россия, 634034, г. Томск, ул. Нахимова 8, стр. 11.</v>
      </c>
      <c r="CI143" s="22"/>
      <c r="CJ143" s="43"/>
      <c r="CK143" s="22" t="str">
        <f>IFERROR(VLOOKUP(C143,CC!K:M,3,0)," ")</f>
        <v> </v>
      </c>
      <c r="CL143" s="43"/>
      <c r="CM143" s="43"/>
      <c r="CN143" s="43"/>
      <c r="CO143" s="43"/>
      <c r="CP143" s="43"/>
      <c r="CQ143" s="43"/>
      <c r="CR143" s="43"/>
      <c r="CS143" s="43" t="b">
        <v>0</v>
      </c>
      <c r="CT143" s="43" t="b">
        <v>0</v>
      </c>
      <c r="CU143" s="43" t="b">
        <v>0</v>
      </c>
      <c r="CV143" s="43" t="b">
        <v>0</v>
      </c>
      <c r="CW143" s="43"/>
      <c r="CX143" s="43"/>
      <c r="CY143" s="43"/>
      <c r="CZ143" s="43"/>
      <c r="DA143" s="43"/>
      <c r="DB143" s="43"/>
      <c r="DC143" s="43"/>
      <c r="DD143" s="22">
        <f>IFERROR(VLOOKUP($C143,'Лист4'!$D:$AI,27,0)," ")</f>
        <v>14</v>
      </c>
      <c r="DE143" s="22">
        <f>IFERROR(VLOOKUP($C143,'Лист4'!$D:$AI,28,0)," ")</f>
        <v>21</v>
      </c>
      <c r="DF143" s="22">
        <f>IFERROR(VLOOKUP($C143,'Лист4'!$D:$AI,29,0)," ")</f>
        <v>14</v>
      </c>
      <c r="DG143" s="22">
        <f t="shared" si="3"/>
        <v>4116</v>
      </c>
      <c r="DH143" s="22">
        <f>IFERROR(VLOOKUP($C143,'Лист4'!$D:$AI,32,0)," ")</f>
        <v>0.075</v>
      </c>
      <c r="DI143" s="22"/>
      <c r="DJ143" s="22"/>
      <c r="DK143" s="22"/>
      <c r="DL143" s="22"/>
      <c r="DM143" s="22"/>
      <c r="DN143" s="22"/>
      <c r="DO143" s="22"/>
      <c r="DP143" s="22"/>
      <c r="DQ143" s="22"/>
      <c r="DR143" s="22"/>
      <c r="DS143" s="22"/>
      <c r="DT143" s="22"/>
      <c r="DU143" s="22"/>
      <c r="DV143" s="22"/>
      <c r="DW143" s="22"/>
      <c r="DX143" s="22"/>
      <c r="DY143" s="22"/>
      <c r="DZ143" s="22"/>
      <c r="EA143" s="22"/>
      <c r="EB143" s="22"/>
      <c r="EC143" s="22"/>
      <c r="ED143" s="22"/>
      <c r="EE143" s="22"/>
      <c r="EF143" s="22"/>
      <c r="EG143" s="22"/>
      <c r="EH143" s="22"/>
      <c r="EI143" s="22"/>
      <c r="EJ143" s="22"/>
      <c r="EK143" s="22"/>
      <c r="EL143" s="22"/>
      <c r="EM143" s="43"/>
      <c r="EN143" s="43"/>
      <c r="EO143" s="43"/>
      <c r="EP143" s="43"/>
      <c r="EQ143" s="43"/>
      <c r="ER143" s="43"/>
      <c r="ES143" s="43"/>
      <c r="ET143" s="43"/>
      <c r="EU143" s="43"/>
      <c r="EV143" s="43"/>
      <c r="EW143" s="43"/>
      <c r="EX143" s="43"/>
      <c r="EY143" s="43"/>
      <c r="EZ143" s="43"/>
      <c r="FA143" s="43"/>
      <c r="FB143" s="43"/>
      <c r="FC143" s="43"/>
    </row>
    <row r="144" ht="18.0" customHeight="1">
      <c r="A144" s="2"/>
      <c r="B144" s="22" t="str">
        <f>IFERROR(VLOOKUP(C144,'Реестр'!C:AC,27,0)," ")</f>
        <v>Биг-Л</v>
      </c>
      <c r="C144" s="43" t="s">
        <v>2315</v>
      </c>
      <c r="D144" s="22" t="str">
        <f>IFERROR(VLOOKUP(C144,'Лист4'!D:P,13,0)," ")</f>
        <v>qeep</v>
      </c>
      <c r="E144" s="22" t="str">
        <f>IF(OR(ISERROR(VLOOKUP(C144,'Актуальность'!A:B,2,0)), VLOOKUP(C144,'Актуальность'!A:B,2,0)=""), "Актуальный", VLOOKUP(C144,'Актуальность'!A:B,2,0))</f>
        <v>Вывод</v>
      </c>
      <c r="F144" s="43" t="str">
        <f>IFERROR(VLOOKUP(C144,'Актуальность'!A:C,3,0)," ")</f>
        <v>Старый артикул</v>
      </c>
      <c r="G144" s="43"/>
      <c r="H144" s="22"/>
      <c r="I144" s="22"/>
      <c r="J144" s="43"/>
      <c r="K144" s="43"/>
      <c r="L144" s="22" t="b">
        <f t="shared" ref="L144:R144" si="140">T144&lt;&gt;""</f>
        <v>1</v>
      </c>
      <c r="M144" s="22" t="b">
        <f t="shared" si="140"/>
        <v>1</v>
      </c>
      <c r="N144" s="22" t="b">
        <f t="shared" si="140"/>
        <v>1</v>
      </c>
      <c r="O144" s="22" t="b">
        <f t="shared" si="140"/>
        <v>0</v>
      </c>
      <c r="P144" s="22" t="b">
        <f t="shared" si="140"/>
        <v>0</v>
      </c>
      <c r="Q144" s="22" t="b">
        <f t="shared" si="140"/>
        <v>0</v>
      </c>
      <c r="R144" s="22" t="b">
        <f t="shared" si="140"/>
        <v>0</v>
      </c>
      <c r="S144" s="43"/>
      <c r="T144" s="43" t="str">
        <f>IFERROR(VLOOKUP( C144,'1С'!A:B,2,0)," ")</f>
        <v>QB101100480</v>
      </c>
      <c r="U144" s="22" t="str">
        <f>IFERROR(VLOOKUP(T144,'Лист4'!C:I,3,0)," ")</f>
        <v>qeepProbiotic_Complex1+1</v>
      </c>
      <c r="V144" s="22" t="str">
        <f>IFERROR(VLOOKUP(T144,'Лист4'!C:I,4,0)," ")</f>
        <v>qeepProbiotic_Complex1+1</v>
      </c>
      <c r="W144" s="22" t="str">
        <f>IFERROR(VLOOKUP(T144,'Лист4'!C:I,5,0)," ")</f>
        <v/>
      </c>
      <c r="X144" s="43" t="str">
        <f>IFERROR(VLOOKUP(T144,'Лист4'!C:I,7,0)," ")</f>
        <v/>
      </c>
      <c r="Y144" s="43" t="str">
        <f>IFERROR(VLOOKUP(T144,'Лист4'!C:I,6,0)," ")</f>
        <v/>
      </c>
      <c r="Z144" s="43"/>
      <c r="AA144" s="43"/>
      <c r="AB144" s="22">
        <v>1.48334501E8</v>
      </c>
      <c r="AC144" s="22">
        <v>8.81228424E8</v>
      </c>
      <c r="AD144" s="22"/>
      <c r="AE144" s="22"/>
      <c r="AF144" s="22"/>
      <c r="AG144" s="43"/>
      <c r="AH144" s="43"/>
      <c r="AI144" s="43" t="str">
        <f>IFERROR(VLOOKUP(T144,'1С'!B:C,2,0)," ")</f>
        <v>БАД Пробиотик комп ,qeep, 30+30 капсул набор</v>
      </c>
      <c r="AJ144" s="22" t="s">
        <v>2318</v>
      </c>
      <c r="AK144" s="22" t="s">
        <v>2319</v>
      </c>
      <c r="AL144" s="43"/>
      <c r="AM144" s="43"/>
      <c r="AN144" s="43"/>
      <c r="AO144" s="43"/>
      <c r="AP144" s="43"/>
      <c r="AQ144" s="46" t="s">
        <v>2320</v>
      </c>
      <c r="AR144" s="46" t="s">
        <v>2321</v>
      </c>
      <c r="AS144" s="43"/>
      <c r="AT144" s="43"/>
      <c r="AU144" s="43"/>
      <c r="AV144" s="43"/>
      <c r="AW144" s="43"/>
      <c r="AX144" s="22" t="s">
        <v>361</v>
      </c>
      <c r="AY144" s="22" t="s">
        <v>2319</v>
      </c>
      <c r="AZ144" s="43"/>
      <c r="BA144" s="43"/>
      <c r="BB144" s="43"/>
      <c r="BC144" s="43"/>
      <c r="BD144" s="43"/>
      <c r="BE144" s="43"/>
      <c r="BF144" s="22" t="str">
        <f>IFERROR(VLOOKUP(C144,'спецификация'!B:D,3,0)," ")</f>
        <v>2037516597500</v>
      </c>
      <c r="BG144" s="22">
        <v>2.106909808E9</v>
      </c>
      <c r="BH144" s="22" t="str">
        <f>IFERROR(VLOOKUP(C144,'спецификация'!B:AA,5,0)," ")</f>
        <v>AM.01.06.01.003.R.000230.11.21 от 22.11.2021 г.</v>
      </c>
      <c r="BI144" s="22"/>
      <c r="BJ144" s="22" t="str">
        <f>IFERROR(VLOOKUP(C144,'спецификация'!B:AA,6,0)," ")</f>
        <v>ЧЗ</v>
      </c>
      <c r="BK144" s="43"/>
      <c r="BL144" s="43"/>
      <c r="BM144" s="22" t="str">
        <f>IFERROR(VLOOKUP(BF144,'спецификация'!D:H,5,0)," ")</f>
        <v>биомасса бактерий селективная сухая серии «Панбиом» («Panbiom»)» (bifidobacterium bifidum, bifidobacterium adolescentis streptococcus thermophiles, propionibacterium freudenreichii, lactobacillus casei, lactobacillus plantarum, lactobacillus delbrueckii subsp.bulgaricus), лактаза, липаза, лактулоза, рибофлавин, пиридоксина гидрохлорид, тиамина гидрохлорид. Вспомогательные вещества: инулин (носитель), капсула желатиновая (желатин, глицерин), антислеживатели: кремния диоксид, кальция стеарат.</v>
      </c>
      <c r="BN144" s="43"/>
      <c r="BO144" s="22" t="str">
        <f>IFERROR(VLOOKUP(C144,'спецификация'!B:AA,10,0)," ")</f>
        <v>взрослым по 1 капсуле 1-3 раза в день во время еды.</v>
      </c>
      <c r="BP144" s="43" t="str">
        <f>IFERROR(VLOOKUP(C144,'спецификация'!B:AA,11,0)," ")</f>
        <v>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v>
      </c>
      <c r="BQ144" s="22" t="str">
        <f>IFERROR(VLOOKUP(C144,'спецификация'!B:AA,12,0)," ")</f>
        <v/>
      </c>
      <c r="BR144" s="22"/>
      <c r="BS144" s="58" t="s">
        <v>2237</v>
      </c>
      <c r="BT144" s="58"/>
      <c r="BU144" s="22"/>
      <c r="BV144" s="22"/>
      <c r="BW144" s="44" t="str">
        <f>IFERROR(VLOOKUP(C144,'спецификация'!B:AA,16,0)," ")</f>
        <v>https://docs.google.com/document/d/1qhJeyy-09B65PljhD1n07YO6rCOv2ZKhrcCbyCZhJz0/edit?usp=sharing</v>
      </c>
      <c r="BX144" s="43"/>
      <c r="BY144" s="43"/>
      <c r="BZ144" s="45" t="str">
        <f>IFERROR(VLOOKUP(BF144,'спецификация'!D:Y,22,0)," ")</f>
        <v/>
      </c>
      <c r="CA144" s="43"/>
      <c r="CB144" s="43"/>
      <c r="CC144" s="43"/>
      <c r="CD144" s="43"/>
      <c r="CE144" s="43"/>
      <c r="CF144" s="43"/>
      <c r="CG144" s="49">
        <f>IFERROR(VLOOKUP(C144,CC!A:D,4,0)," ")</f>
        <v>236.02</v>
      </c>
      <c r="CH144" s="22" t="str">
        <f>IFERROR(VLOOKUP(C144,'спецификация'!B:AA,19,0)," ")</f>
        <v>ООО «Сибфармконтракт», Россия, 634034, г. Томск, ул. Нахимова 8, стр. 11.</v>
      </c>
      <c r="CI144" s="22"/>
      <c r="CJ144" s="43"/>
      <c r="CK144" s="22" t="str">
        <f>IFERROR(VLOOKUP(C144,CC!K:M,3,0)," ")</f>
        <v> </v>
      </c>
      <c r="CL144" s="43"/>
      <c r="CM144" s="43"/>
      <c r="CN144" s="43"/>
      <c r="CO144" s="43"/>
      <c r="CP144" s="43"/>
      <c r="CQ144" s="43"/>
      <c r="CR144" s="43"/>
      <c r="CS144" s="43" t="b">
        <v>0</v>
      </c>
      <c r="CT144" s="43" t="b">
        <v>0</v>
      </c>
      <c r="CU144" s="43" t="b">
        <v>0</v>
      </c>
      <c r="CV144" s="43" t="b">
        <v>0</v>
      </c>
      <c r="CW144" s="43"/>
      <c r="CX144" s="43"/>
      <c r="CY144" s="43"/>
      <c r="CZ144" s="43"/>
      <c r="DA144" s="43"/>
      <c r="DB144" s="43"/>
      <c r="DC144" s="43"/>
      <c r="DD144" s="22">
        <f>IFERROR(VLOOKUP($C144,'Лист4'!$D:$AI,27,0)," ")</f>
        <v>14</v>
      </c>
      <c r="DE144" s="22">
        <f>IFERROR(VLOOKUP($C144,'Лист4'!$D:$AI,28,0)," ")</f>
        <v>21</v>
      </c>
      <c r="DF144" s="22">
        <f>IFERROR(VLOOKUP($C144,'Лист4'!$D:$AI,29,0)," ")</f>
        <v>14</v>
      </c>
      <c r="DG144" s="22">
        <f t="shared" si="3"/>
        <v>4116</v>
      </c>
      <c r="DH144" s="22">
        <f>IFERROR(VLOOKUP($C144,'Лист4'!$D:$AI,32,0)," ")</f>
        <v>0.092</v>
      </c>
      <c r="DI144" s="22"/>
      <c r="DJ144" s="22"/>
      <c r="DK144" s="22"/>
      <c r="DL144" s="22"/>
      <c r="DM144" s="22"/>
      <c r="DN144" s="22"/>
      <c r="DO144" s="22"/>
      <c r="DP144" s="22"/>
      <c r="DQ144" s="22"/>
      <c r="DR144" s="22"/>
      <c r="DS144" s="22"/>
      <c r="DT144" s="22"/>
      <c r="DU144" s="22"/>
      <c r="DV144" s="22"/>
      <c r="DW144" s="22"/>
      <c r="DX144" s="22"/>
      <c r="DY144" s="22"/>
      <c r="DZ144" s="22"/>
      <c r="EA144" s="22"/>
      <c r="EB144" s="22"/>
      <c r="EC144" s="22"/>
      <c r="ED144" s="22"/>
      <c r="EE144" s="22"/>
      <c r="EF144" s="22"/>
      <c r="EG144" s="22"/>
      <c r="EH144" s="22"/>
      <c r="EI144" s="22"/>
      <c r="EJ144" s="22"/>
      <c r="EK144" s="22"/>
      <c r="EL144" s="22"/>
      <c r="EM144" s="43"/>
      <c r="EN144" s="43"/>
      <c r="EO144" s="43"/>
      <c r="EP144" s="43"/>
      <c r="EQ144" s="43"/>
      <c r="ER144" s="43"/>
      <c r="ES144" s="43"/>
      <c r="ET144" s="43"/>
      <c r="EU144" s="43"/>
      <c r="EV144" s="43"/>
      <c r="EW144" s="43"/>
      <c r="EX144" s="43"/>
      <c r="EY144" s="43"/>
      <c r="EZ144" s="43"/>
      <c r="FA144" s="43"/>
      <c r="FB144" s="43"/>
      <c r="FC144" s="43"/>
    </row>
    <row r="145" ht="18.0" customHeight="1">
      <c r="A145" s="2"/>
      <c r="B145" s="22" t="str">
        <f>IFERROR(VLOOKUP(C145,'Реестр'!C:AC,27,0)," ")</f>
        <v>Биг-Л</v>
      </c>
      <c r="C145" s="43" t="s">
        <v>2327</v>
      </c>
      <c r="D145" s="22" t="str">
        <f>IFERROR(VLOOKUP(C145,'Лист4'!D:P,13,0)," ")</f>
        <v>qeep</v>
      </c>
      <c r="E145" s="22" t="str">
        <f>IF(OR(ISERROR(VLOOKUP(C145,'Актуальность'!A:B,2,0)), VLOOKUP(C145,'Актуальность'!A:B,2,0)=""), "Актуальный", VLOOKUP(C145,'Актуальность'!A:B,2,0))</f>
        <v>Вывод</v>
      </c>
      <c r="F145" s="43" t="str">
        <f>IFERROR(VLOOKUP(C145,'Актуальность'!A:C,3,0)," ")</f>
        <v>Старый артикул</v>
      </c>
      <c r="G145" s="43"/>
      <c r="H145" s="22"/>
      <c r="I145" s="22"/>
      <c r="J145" s="43"/>
      <c r="K145" s="43"/>
      <c r="L145" s="22" t="b">
        <f t="shared" ref="L145:R145" si="141">T145&lt;&gt;""</f>
        <v>1</v>
      </c>
      <c r="M145" s="22" t="b">
        <f t="shared" si="141"/>
        <v>1</v>
      </c>
      <c r="N145" s="22" t="b">
        <f t="shared" si="141"/>
        <v>1</v>
      </c>
      <c r="O145" s="22" t="b">
        <f t="shared" si="141"/>
        <v>0</v>
      </c>
      <c r="P145" s="22" t="b">
        <f t="shared" si="141"/>
        <v>0</v>
      </c>
      <c r="Q145" s="22" t="b">
        <f t="shared" si="141"/>
        <v>0</v>
      </c>
      <c r="R145" s="22" t="b">
        <f t="shared" si="141"/>
        <v>0</v>
      </c>
      <c r="S145" s="43"/>
      <c r="T145" s="43" t="str">
        <f>IFERROR(VLOOKUP( C145,'1С'!A:B,2,0)," ")</f>
        <v>QB101100481</v>
      </c>
      <c r="U145" s="22" t="str">
        <f>IFERROR(VLOOKUP(T145,'Лист4'!C:I,3,0)," ")</f>
        <v>qeepProbiotic_Complex</v>
      </c>
      <c r="V145" s="22" t="str">
        <f>IFERROR(VLOOKUP(T145,'Лист4'!C:I,4,0)," ")</f>
        <v>qeepProbiotic_Complex</v>
      </c>
      <c r="W145" s="22" t="str">
        <f>IFERROR(VLOOKUP(T145,'Лист4'!C:I,5,0)," ")</f>
        <v/>
      </c>
      <c r="X145" s="43" t="str">
        <f>IFERROR(VLOOKUP(T145,'Лист4'!C:I,7,0)," ")</f>
        <v/>
      </c>
      <c r="Y145" s="43" t="str">
        <f>IFERROR(VLOOKUP(T145,'Лист4'!C:I,6,0)," ")</f>
        <v/>
      </c>
      <c r="Z145" s="43"/>
      <c r="AA145" s="43"/>
      <c r="AB145" s="22">
        <v>1.48312764E8</v>
      </c>
      <c r="AC145" s="22">
        <v>8.8122843E8</v>
      </c>
      <c r="AD145" s="22"/>
      <c r="AE145" s="22"/>
      <c r="AF145" s="22"/>
      <c r="AG145" s="43"/>
      <c r="AH145" s="43"/>
      <c r="AI145" s="43" t="str">
        <f>IFERROR(VLOOKUP(T145,'1С'!B:C,2,0)," ")</f>
        <v>БАД Пробиотик комплекс ,qeep, 30 капсул</v>
      </c>
      <c r="AJ145" s="22" t="s">
        <v>2318</v>
      </c>
      <c r="AK145" s="22" t="s">
        <v>2330</v>
      </c>
      <c r="AL145" s="43"/>
      <c r="AM145" s="43"/>
      <c r="AN145" s="43"/>
      <c r="AO145" s="43"/>
      <c r="AP145" s="43"/>
      <c r="AQ145" s="46" t="s">
        <v>2331</v>
      </c>
      <c r="AR145" s="46" t="s">
        <v>2332</v>
      </c>
      <c r="AS145" s="43"/>
      <c r="AT145" s="43"/>
      <c r="AU145" s="43"/>
      <c r="AV145" s="43"/>
      <c r="AW145" s="43"/>
      <c r="AX145" s="22" t="s">
        <v>361</v>
      </c>
      <c r="AY145" s="22" t="s">
        <v>2330</v>
      </c>
      <c r="AZ145" s="43"/>
      <c r="BA145" s="43"/>
      <c r="BB145" s="43"/>
      <c r="BC145" s="43"/>
      <c r="BD145" s="43"/>
      <c r="BE145" s="43"/>
      <c r="BF145" s="22">
        <f>IFERROR(VLOOKUP(C145,'спецификация'!B:D,3,0)," ")</f>
        <v>4620153901175</v>
      </c>
      <c r="BG145" s="22">
        <v>2.106909808E9</v>
      </c>
      <c r="BH145" s="22" t="str">
        <f>IFERROR(VLOOKUP(C145,'спецификация'!B:AA,5,0)," ")</f>
        <v>AM.01.06.01.003.R.000230.11.21 от 22.11.2021 г.</v>
      </c>
      <c r="BI145" s="22"/>
      <c r="BJ145" s="22" t="str">
        <f>IFERROR(VLOOKUP(C145,'спецификация'!B:AA,6,0)," ")</f>
        <v>ЧЗ</v>
      </c>
      <c r="BK145" s="43"/>
      <c r="BL145" s="43"/>
      <c r="BM145" s="22" t="str">
        <f>IFERROR(VLOOKUP(BF145,'спецификация'!D:H,5,0)," ")</f>
        <v>биомасса бактерий селективная сухая серии «Панбиом» («Panbiom»)» (bifidobacterium bifidum, bifidobacterium adolescentis streptococcus thermophiles, propionibacterium freudenreichii, lactobacillus casei, lactobacillus plantarum, lactobacillus delbrueckii subsp.bulgaricus), лактаза, липаза, лактулоза, рибофлавин, пиридоксина гидрохлорид, тиамина гидрохлорид. Вспомогательные вещества: инулин (носитель), капсула желатиновая (желатин, глицерин), антислеживатели: кремния диоксид, кальция стеарат.</v>
      </c>
      <c r="BN145" s="43"/>
      <c r="BO145" s="22" t="str">
        <f>IFERROR(VLOOKUP(C145,'спецификация'!B:AA,10,0)," ")</f>
        <v>взрослым по 1 капсуле 1-3 раза в день во время еды.</v>
      </c>
      <c r="BP145" s="43" t="str">
        <f>IFERROR(VLOOKUP(C145,'спецификация'!B:AA,11,0)," ")</f>
        <v>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v>
      </c>
      <c r="BQ145" s="22" t="str">
        <f>IFERROR(VLOOKUP(C145,'спецификация'!B:AA,12,0)," ")</f>
        <v>хранить в недоступном для детей месте, при температуре не выше 25⁰С и относительной влажности воздуха не более 60%.
</v>
      </c>
      <c r="BR145" s="22">
        <v>30.0</v>
      </c>
      <c r="BS145" s="22" t="s">
        <v>492</v>
      </c>
      <c r="BT145" s="43"/>
      <c r="BU145" s="22"/>
      <c r="BV145" s="22" t="s">
        <v>165</v>
      </c>
      <c r="BW145" s="44" t="str">
        <f>IFERROR(VLOOKUP(C145,'спецификация'!B:AA,16,0)," ")</f>
        <v>https://docs.google.com/document/d/11aWMQvntJgQc7yisZpPcuQ83g4k9ozCe/edit</v>
      </c>
      <c r="BX145" s="43"/>
      <c r="BY145" s="43"/>
      <c r="BZ145" s="44" t="str">
        <f>IFERROR(VLOOKUP(BF145,'спецификация'!D:Y,22,0)," ")</f>
        <v>https://drive.google.com/drive/u/0/folders/1ys4mC4OTFH_BP85zDm4KRvMOf2YheWCY</v>
      </c>
      <c r="CA145" s="43"/>
      <c r="CB145" s="43"/>
      <c r="CC145" s="43"/>
      <c r="CD145" s="43"/>
      <c r="CE145" s="43"/>
      <c r="CF145" s="43"/>
      <c r="CG145" s="49">
        <f>IFERROR(VLOOKUP(C145,CC!A:D,4,0)," ")</f>
        <v>118.01</v>
      </c>
      <c r="CH145" s="22" t="str">
        <f>IFERROR(VLOOKUP(C145,'спецификация'!B:AA,19,0)," ")</f>
        <v>ООО «Сибфармконтракт», Россия, 634034, г. Томск, ул. Нахимова 8, стр. 11.</v>
      </c>
      <c r="CI145" s="22"/>
      <c r="CJ145" s="22" t="s">
        <v>562</v>
      </c>
      <c r="CK145" s="22" t="str">
        <f>IFERROR(VLOOKUP(C145,CC!K:M,3,0)," ")</f>
        <v> </v>
      </c>
      <c r="CL145" s="43"/>
      <c r="CM145" s="43"/>
      <c r="CN145" s="43"/>
      <c r="CO145" s="43"/>
      <c r="CP145" s="43"/>
      <c r="CQ145" s="43"/>
      <c r="CR145" s="43"/>
      <c r="CS145" s="43" t="b">
        <v>0</v>
      </c>
      <c r="CT145" s="43" t="b">
        <v>0</v>
      </c>
      <c r="CU145" s="43" t="b">
        <v>0</v>
      </c>
      <c r="CV145" s="43" t="b">
        <v>0</v>
      </c>
      <c r="CW145" s="43"/>
      <c r="CX145" s="43"/>
      <c r="CY145" s="43"/>
      <c r="CZ145" s="43"/>
      <c r="DA145" s="43"/>
      <c r="DB145" s="43"/>
      <c r="DC145" s="43"/>
      <c r="DD145" s="22">
        <f>IFERROR(VLOOKUP($C145,'Лист4'!$D:$AI,27,0)," ")</f>
        <v>9</v>
      </c>
      <c r="DE145" s="22">
        <f>IFERROR(VLOOKUP($C145,'Лист4'!$D:$AI,28,0)," ")</f>
        <v>5</v>
      </c>
      <c r="DF145" s="22">
        <f>IFERROR(VLOOKUP($C145,'Лист4'!$D:$AI,29,0)," ")</f>
        <v>9</v>
      </c>
      <c r="DG145" s="22">
        <f t="shared" si="3"/>
        <v>405</v>
      </c>
      <c r="DH145" s="22">
        <f>IFERROR(VLOOKUP($C145,'Лист4'!$D:$AI,32,0)," ")</f>
        <v>0.046</v>
      </c>
      <c r="DI145" s="22"/>
      <c r="DJ145" s="22"/>
      <c r="DK145" s="22"/>
      <c r="DL145" s="22"/>
      <c r="DM145" s="22"/>
      <c r="DN145" s="22"/>
      <c r="DO145" s="22"/>
      <c r="DP145" s="22"/>
      <c r="DQ145" s="22"/>
      <c r="DR145" s="22"/>
      <c r="DS145" s="22"/>
      <c r="DT145" s="22"/>
      <c r="DU145" s="22"/>
      <c r="DV145" s="22"/>
      <c r="DW145" s="22"/>
      <c r="DX145" s="22"/>
      <c r="DY145" s="22"/>
      <c r="DZ145" s="22"/>
      <c r="EA145" s="22"/>
      <c r="EB145" s="22"/>
      <c r="EC145" s="22"/>
      <c r="ED145" s="22"/>
      <c r="EE145" s="22"/>
      <c r="EF145" s="22"/>
      <c r="EG145" s="22"/>
      <c r="EH145" s="22"/>
      <c r="EI145" s="22"/>
      <c r="EJ145" s="22"/>
      <c r="EK145" s="22"/>
      <c r="EL145" s="22"/>
      <c r="EM145" s="43"/>
      <c r="EN145" s="43"/>
      <c r="EO145" s="43"/>
      <c r="EP145" s="43"/>
      <c r="EQ145" s="43"/>
      <c r="ER145" s="43"/>
      <c r="ES145" s="43"/>
      <c r="ET145" s="43"/>
      <c r="EU145" s="43"/>
      <c r="EV145" s="43"/>
      <c r="EW145" s="43"/>
      <c r="EX145" s="43"/>
      <c r="EY145" s="43"/>
      <c r="EZ145" s="43"/>
      <c r="FA145" s="43"/>
      <c r="FB145" s="43"/>
      <c r="FC145" s="43"/>
    </row>
    <row r="146" ht="18.0" customHeight="1">
      <c r="A146" s="2"/>
      <c r="B146" s="22" t="str">
        <f>IFERROR(VLOOKUP(C146,'Реестр'!C:AC,27,0)," ")</f>
        <v>Биг-Л</v>
      </c>
      <c r="C146" s="43" t="s">
        <v>2336</v>
      </c>
      <c r="D146" s="22" t="str">
        <f>IFERROR(VLOOKUP(C146,'Лист4'!D:P,13,0)," ")</f>
        <v>qeep</v>
      </c>
      <c r="E146" s="22" t="str">
        <f>IF(OR(ISERROR(VLOOKUP(C146,'Актуальность'!A:B,2,0)), VLOOKUP(C146,'Актуальность'!A:B,2,0)=""), "Актуальный", VLOOKUP(C146,'Актуальность'!A:B,2,0))</f>
        <v>Вывод</v>
      </c>
      <c r="F146" s="43" t="str">
        <f>IFERROR(VLOOKUP(C146,'Актуальность'!A:C,3,0)," ")</f>
        <v>Старый артикул</v>
      </c>
      <c r="G146" s="43"/>
      <c r="H146" s="22"/>
      <c r="I146" s="22"/>
      <c r="J146" s="43"/>
      <c r="K146" s="43"/>
      <c r="L146" s="22" t="b">
        <f t="shared" ref="L146:R146" si="142">T146&lt;&gt;""</f>
        <v>1</v>
      </c>
      <c r="M146" s="22" t="b">
        <f t="shared" si="142"/>
        <v>1</v>
      </c>
      <c r="N146" s="22" t="b">
        <f t="shared" si="142"/>
        <v>1</v>
      </c>
      <c r="O146" s="22" t="b">
        <f t="shared" si="142"/>
        <v>1</v>
      </c>
      <c r="P146" s="22" t="b">
        <f t="shared" si="142"/>
        <v>0</v>
      </c>
      <c r="Q146" s="22" t="b">
        <f t="shared" si="142"/>
        <v>0</v>
      </c>
      <c r="R146" s="22" t="b">
        <f t="shared" si="142"/>
        <v>0</v>
      </c>
      <c r="S146" s="43"/>
      <c r="T146" s="43" t="str">
        <f>IFERROR(VLOOKUP( C146,'1С'!A:B,2,0)," ")</f>
        <v>QB101100482</v>
      </c>
      <c r="U146" s="22" t="str">
        <f>IFERROR(VLOOKUP(T146,'Лист4'!C:I,3,0)," ")</f>
        <v>qeep_probiotic_kids_30caps</v>
      </c>
      <c r="V146" s="22" t="str">
        <f>IFERROR(VLOOKUP(T146,'Лист4'!C:I,4,0)," ")</f>
        <v>qeep_probiotic_kids_30caps</v>
      </c>
      <c r="W146" s="22" t="str">
        <f>IFERROR(VLOOKUP(T146,'Лист4'!C:I,5,0)," ")</f>
        <v>qeep_probiotic_kids_30caps</v>
      </c>
      <c r="X146" s="43" t="str">
        <f>IFERROR(VLOOKUP(T146,'Лист4'!C:I,7,0)," ")</f>
        <v/>
      </c>
      <c r="Y146" s="43" t="str">
        <f>IFERROR(VLOOKUP(T146,'Лист4'!C:I,6,0)," ")</f>
        <v/>
      </c>
      <c r="Z146" s="43"/>
      <c r="AA146" s="43"/>
      <c r="AB146" s="22">
        <v>1.59632001E8</v>
      </c>
      <c r="AC146" s="22">
        <v>9.65078619E8</v>
      </c>
      <c r="AD146" s="22"/>
      <c r="AE146" s="22"/>
      <c r="AF146" s="22"/>
      <c r="AG146" s="43"/>
      <c r="AH146" s="43"/>
      <c r="AI146" s="43" t="str">
        <f>IFERROR(VLOOKUP(T146,'1С'!B:C,2,0)," ")</f>
        <v>БАД Пробиотики для детей ,qeep, 30 капсул</v>
      </c>
      <c r="AJ146" s="22" t="s">
        <v>2339</v>
      </c>
      <c r="AK146" s="22" t="s">
        <v>2340</v>
      </c>
      <c r="AL146" s="43"/>
      <c r="AM146" s="43"/>
      <c r="AN146" s="43"/>
      <c r="AO146" s="43"/>
      <c r="AP146" s="43"/>
      <c r="AQ146" s="46" t="s">
        <v>2341</v>
      </c>
      <c r="AR146" s="46" t="s">
        <v>2342</v>
      </c>
      <c r="AS146" s="43"/>
      <c r="AT146" s="43"/>
      <c r="AU146" s="43"/>
      <c r="AV146" s="43"/>
      <c r="AW146" s="43"/>
      <c r="AX146" s="22" t="s">
        <v>361</v>
      </c>
      <c r="AY146" s="22" t="s">
        <v>2340</v>
      </c>
      <c r="AZ146" s="43"/>
      <c r="BA146" s="43"/>
      <c r="BB146" s="43"/>
      <c r="BC146" s="43"/>
      <c r="BD146" s="43"/>
      <c r="BE146" s="43"/>
      <c r="BF146" s="22" t="str">
        <f>IFERROR(VLOOKUP(C146,'спецификация'!B:D,3,0)," ")</f>
        <v>4620153902431</v>
      </c>
      <c r="BG146" s="22">
        <v>2.106909808E9</v>
      </c>
      <c r="BH146" s="22" t="str">
        <f>IFERROR(VLOOKUP(C146,'спецификация'!B:AA,5,0)," ")</f>
        <v>AM.01.06.01.003.R.000133.06.22 от 14.06.2022 г.</v>
      </c>
      <c r="BI146" s="22"/>
      <c r="BJ146" s="22" t="str">
        <f>IFERROR(VLOOKUP(C146,'спецификация'!B:AA,6,0)," ")</f>
        <v>ЧЗ</v>
      </c>
      <c r="BK146" s="43"/>
      <c r="BL146" s="43"/>
      <c r="BM146" s="22" t="str">
        <f>IFERROR(VLOOKUP(BF146,'спецификация'!D:H,5,0)," ")</f>
        <v>Пробиотики, пребиотики, лизаты, бета-глюканы, биомасса бактерий селективная сухая серии «Панбиом» («Panbiom»)» содержит бактерии группы: Bifidobacterium bifidum АRТВ-187, Bifidobacterium breve АRТВ-129, Bifidobacterium infantis ARTB-189, Bifidobacterium longum ARTB-184, Lactobaсillus acidophilus АRTB-130, Lactobaсillus plantarum АRTB-135, Lactobacillus casei ARTB-181, Lactobacillus rhamnosus ARTB-180, витамин С (аскорбиновая кислота), цинка цитрат, концентрат плодовоовощной биоферментированный лизированный тыквенный (BB-Bf с комбучей), концентрат плодовоовощной биоферментированный лизированный свеклы LB-Rt Lactobacillus reuteri ARTB-195, витамин D3 (холекальциферол), витамин А (ретинола ацетат). Вспомогательные вещества: инулин (носитель), капсула желатиновая (желатин (носитель), глицерин (агент влагоудерживающий)), магния стеарат растительный (агент антислеживающий), кремния диоксид (агент антислеживающий).</v>
      </c>
      <c r="BN146" s="43"/>
      <c r="BO146" s="22" t="str">
        <f>IFERROR(VLOOKUP(C146,'спецификация'!B:AA,10,0)," ")</f>
        <v>детям с трех лет и взрослым принимать по 1 капсуле 2 раза в день во время еды. Капсулы запивать водой комнатной температуры. При необходимости использовать только содержимое капсулы: капсулу раскрыть и высыпать содержимое в негорячую жидкость, при необходимости размешать. Продолжительность приема 1 месяц.</v>
      </c>
      <c r="BP146" s="43" t="str">
        <f>IFERROR(VLOOKUP(C146,'спецификация'!B:AA,11,0)," ")</f>
        <v>индивидуальная непереносимость компонентов. Перед применением детям рекомендуется проконсультироваться с врачом-педиатром.</v>
      </c>
      <c r="BQ146" s="22" t="str">
        <f>IFERROR(VLOOKUP(C146,'спецификация'!B:AA,12,0)," ")</f>
        <v>Хранить в недоступном для детей месте, при температуре не выше 25ºС и относительной влажности воздуха не более 60%.</v>
      </c>
      <c r="BR146" s="22">
        <v>30.0</v>
      </c>
      <c r="BS146" s="22" t="s">
        <v>492</v>
      </c>
      <c r="BT146" s="43"/>
      <c r="BU146" s="22"/>
      <c r="BV146" s="22" t="s">
        <v>165</v>
      </c>
      <c r="BW146" s="44" t="str">
        <f>IFERROR(VLOOKUP(C146,'спецификация'!B:AA,16,0)," ")</f>
        <v>https://docs.google.com/document/d/1r9h73pSkIVxTe50Y9uQYKEaK6vNacxibEvRHKUUCOjc/edit?usp=sharing</v>
      </c>
      <c r="BX146" s="43"/>
      <c r="BY146" s="43"/>
      <c r="BZ146" s="44" t="str">
        <f>IFERROR(VLOOKUP(BF146,'спецификация'!D:Y,22,0)," ")</f>
        <v>https://drive.google.com/drive/u/0/folders/1-8FHk6FEoGh2R0ji8NSiflz_iXE_3jzB</v>
      </c>
      <c r="CA146" s="43"/>
      <c r="CB146" s="43"/>
      <c r="CC146" s="43"/>
      <c r="CD146" s="43"/>
      <c r="CE146" s="43"/>
      <c r="CF146" s="43"/>
      <c r="CG146" s="49">
        <f>IFERROR(VLOOKUP(C146,CC!A:D,4,0)," ")</f>
        <v>138.75</v>
      </c>
      <c r="CH146" s="22" t="str">
        <f>IFERROR(VLOOKUP(C146,'спецификация'!B:AA,19,0)," ")</f>
        <v>ООО «Сибфармконтракт», Россия, 634034, г. Томск, ул. Нахимова 8, стр. 11.</v>
      </c>
      <c r="CI146" s="22"/>
      <c r="CJ146" s="22" t="s">
        <v>562</v>
      </c>
      <c r="CK146" s="22">
        <f>IFERROR(VLOOKUP(C146,CC!K:M,3,0)," ")</f>
        <v>90</v>
      </c>
      <c r="CL146" s="43"/>
      <c r="CM146" s="43"/>
      <c r="CN146" s="43"/>
      <c r="CO146" s="43"/>
      <c r="CP146" s="43"/>
      <c r="CQ146" s="43"/>
      <c r="CR146" s="43"/>
      <c r="CS146" s="43" t="b">
        <v>0</v>
      </c>
      <c r="CT146" s="43" t="b">
        <v>0</v>
      </c>
      <c r="CU146" s="43" t="b">
        <v>0</v>
      </c>
      <c r="CV146" s="43" t="b">
        <v>0</v>
      </c>
      <c r="CW146" s="43"/>
      <c r="CX146" s="43"/>
      <c r="CY146" s="43"/>
      <c r="CZ146" s="43"/>
      <c r="DA146" s="43"/>
      <c r="DB146" s="43"/>
      <c r="DC146" s="43"/>
      <c r="DD146" s="22">
        <f>IFERROR(VLOOKUP($C146,'Лист4'!$D:$AI,27,0)," ")</f>
        <v>2</v>
      </c>
      <c r="DE146" s="22">
        <f>IFERROR(VLOOKUP($C146,'Лист4'!$D:$AI,28,0)," ")</f>
        <v>10</v>
      </c>
      <c r="DF146" s="22">
        <f>IFERROR(VLOOKUP($C146,'Лист4'!$D:$AI,29,0)," ")</f>
        <v>2</v>
      </c>
      <c r="DG146" s="22">
        <f t="shared" si="3"/>
        <v>40</v>
      </c>
      <c r="DH146" s="22">
        <f>IFERROR(VLOOKUP($C146,'Лист4'!$D:$AI,32,0)," ")</f>
        <v>0.01</v>
      </c>
      <c r="DI146" s="22"/>
      <c r="DJ146" s="22"/>
      <c r="DK146" s="22"/>
      <c r="DL146" s="22"/>
      <c r="DM146" s="22"/>
      <c r="DN146" s="22"/>
      <c r="DO146" s="22"/>
      <c r="DP146" s="22"/>
      <c r="DQ146" s="22"/>
      <c r="DR146" s="22"/>
      <c r="DS146" s="22"/>
      <c r="DT146" s="22"/>
      <c r="DU146" s="22"/>
      <c r="DV146" s="22"/>
      <c r="DW146" s="22"/>
      <c r="DX146" s="22"/>
      <c r="DY146" s="22"/>
      <c r="DZ146" s="22"/>
      <c r="EA146" s="22"/>
      <c r="EB146" s="22"/>
      <c r="EC146" s="22"/>
      <c r="ED146" s="22"/>
      <c r="EE146" s="22"/>
      <c r="EF146" s="22"/>
      <c r="EG146" s="22"/>
      <c r="EH146" s="22"/>
      <c r="EI146" s="22"/>
      <c r="EJ146" s="22"/>
      <c r="EK146" s="22"/>
      <c r="EL146" s="22"/>
      <c r="EM146" s="43"/>
      <c r="EN146" s="43"/>
      <c r="EO146" s="43"/>
      <c r="EP146" s="43"/>
      <c r="EQ146" s="43"/>
      <c r="ER146" s="43"/>
      <c r="ES146" s="43"/>
      <c r="ET146" s="43"/>
      <c r="EU146" s="43"/>
      <c r="EV146" s="43"/>
      <c r="EW146" s="43"/>
      <c r="EX146" s="43"/>
      <c r="EY146" s="43"/>
      <c r="EZ146" s="43"/>
      <c r="FA146" s="43"/>
      <c r="FB146" s="43"/>
      <c r="FC146" s="43"/>
    </row>
    <row r="147" ht="18.0" customHeight="1">
      <c r="A147" s="2"/>
      <c r="B147" s="22" t="str">
        <f>IFERROR(VLOOKUP(C147,'Реестр'!C:AC,27,0)," ")</f>
        <v>Биг-Л</v>
      </c>
      <c r="C147" s="43" t="s">
        <v>2351</v>
      </c>
      <c r="D147" s="22" t="str">
        <f>IFERROR(VLOOKUP(C147,'Лист4'!D:P,13,0)," ")</f>
        <v>qeep</v>
      </c>
      <c r="E147" s="22" t="str">
        <f>IF(OR(ISERROR(VLOOKUP(C147,'Актуальность'!A:B,2,0)), VLOOKUP(C147,'Актуальность'!A:B,2,0)=""), "Актуальный", VLOOKUP(C147,'Актуальность'!A:B,2,0))</f>
        <v>Вывод</v>
      </c>
      <c r="F147" s="43" t="str">
        <f>IFERROR(VLOOKUP(C147,'Актуальность'!A:C,3,0)," ")</f>
        <v>Старый артикул</v>
      </c>
      <c r="G147" s="43"/>
      <c r="H147" s="22"/>
      <c r="I147" s="22"/>
      <c r="J147" s="43"/>
      <c r="K147" s="43"/>
      <c r="L147" s="22" t="b">
        <f t="shared" ref="L147:R147" si="143">T147&lt;&gt;""</f>
        <v>1</v>
      </c>
      <c r="M147" s="22" t="b">
        <f t="shared" si="143"/>
        <v>1</v>
      </c>
      <c r="N147" s="22" t="b">
        <f t="shared" si="143"/>
        <v>1</v>
      </c>
      <c r="O147" s="22" t="b">
        <f t="shared" si="143"/>
        <v>0</v>
      </c>
      <c r="P147" s="22" t="b">
        <f t="shared" si="143"/>
        <v>0</v>
      </c>
      <c r="Q147" s="22" t="b">
        <f t="shared" si="143"/>
        <v>0</v>
      </c>
      <c r="R147" s="22" t="b">
        <f t="shared" si="143"/>
        <v>0</v>
      </c>
      <c r="S147" s="43"/>
      <c r="T147" s="43" t="str">
        <f>IFERROR(VLOOKUP( C147,'1С'!A:B,2,0)," ")</f>
        <v>QB101100486</v>
      </c>
      <c r="U147" s="22" t="str">
        <f>IFERROR(VLOOKUP(T147,'Лист4'!C:I,3,0)," ")</f>
        <v>qeep_Prebiotics_Probiotic_Complex</v>
      </c>
      <c r="V147" s="22" t="str">
        <f>IFERROR(VLOOKUP(T147,'Лист4'!C:I,4,0)," ")</f>
        <v>qeep_Prebiotics_Probiotic_Complex</v>
      </c>
      <c r="W147" s="22" t="str">
        <f>IFERROR(VLOOKUP(T147,'Лист4'!C:I,5,0)," ")</f>
        <v/>
      </c>
      <c r="X147" s="43" t="str">
        <f>IFERROR(VLOOKUP(T147,'Лист4'!C:I,7,0)," ")</f>
        <v/>
      </c>
      <c r="Y147" s="43" t="str">
        <f>IFERROR(VLOOKUP(T147,'Лист4'!C:I,6,0)," ")</f>
        <v/>
      </c>
      <c r="Z147" s="43"/>
      <c r="AA147" s="43"/>
      <c r="AB147" s="22">
        <v>1.67680176E8</v>
      </c>
      <c r="AC147" s="22">
        <v>1.099704591E9</v>
      </c>
      <c r="AD147" s="22"/>
      <c r="AE147" s="22"/>
      <c r="AF147" s="22"/>
      <c r="AG147" s="43"/>
      <c r="AH147" s="43"/>
      <c r="AI147" s="43" t="str">
        <f>IFERROR(VLOOKUP(T147,'1С'!B:C,2,0)," ")</f>
        <v>БАД Пробиотики, комп ,qeep, 30+30 капсул набор</v>
      </c>
      <c r="AJ147" s="22" t="s">
        <v>2354</v>
      </c>
      <c r="AK147" s="22" t="s">
        <v>2319</v>
      </c>
      <c r="AL147" s="43"/>
      <c r="AM147" s="43"/>
      <c r="AN147" s="43"/>
      <c r="AO147" s="43"/>
      <c r="AP147" s="43"/>
      <c r="AQ147" s="46" t="s">
        <v>2355</v>
      </c>
      <c r="AR147" s="46" t="s">
        <v>2356</v>
      </c>
      <c r="AS147" s="43"/>
      <c r="AT147" s="43"/>
      <c r="AU147" s="43"/>
      <c r="AV147" s="43"/>
      <c r="AW147" s="43"/>
      <c r="AX147" s="22" t="s">
        <v>361</v>
      </c>
      <c r="AY147" s="22" t="s">
        <v>2319</v>
      </c>
      <c r="AZ147" s="43"/>
      <c r="BA147" s="43"/>
      <c r="BB147" s="43"/>
      <c r="BC147" s="43"/>
      <c r="BD147" s="43"/>
      <c r="BE147" s="43"/>
      <c r="BF147" s="22" t="str">
        <f>IFERROR(VLOOKUP(C147,'спецификация'!B:D,3,0)," ")</f>
        <v>2038121301612</v>
      </c>
      <c r="BG147" s="22">
        <v>2.106909808E9</v>
      </c>
      <c r="BH147" s="22" t="str">
        <f>IFERROR(VLOOKUP(C147,'спецификация'!B:AA,5,0)," ")</f>
        <v>AM.01.06.01.003.R.000078.04.22 от 25.04.2022 </v>
      </c>
      <c r="BI147" s="22"/>
      <c r="BJ147" s="22" t="str">
        <f>IFERROR(VLOOKUP(C147,'спецификация'!B:AA,6,0)," ")</f>
        <v>ЧЗ</v>
      </c>
      <c r="BK147" s="43"/>
      <c r="BL147" s="43"/>
      <c r="BM147" s="22" t="str">
        <f>IFERROR(VLOOKUP(BF147,'спецификация'!D:H,5,0)," ")</f>
        <v>биомасса бактерий селективная сухая BB-Bf серии «Панбиом» («Panbiom») (Bifidobacterium bifidum ARTB-187), биомасса бактерий селективная сухая LB-Pl серии «Панбиом» («Panbiom») (Lactobacillus plantarum ARTB-135), биомасса бактерий селективная сухая PR-Frd серии «Панбиом» («Panbiom») (Propionibacterium freudenreichii ARTB-137), инулин, «Метафул (Metafull)» (комбуча концентрат, биомасса гидролизованная «УЛЬТРАЛИЗАТ ПЕПТИДНЫЙ» BB-Bf Bifidobacterium bifidum (ARTB-187), BB-Ad Bifidobacterium adolescentis (ARTB-127), BB-An Bifidobacterium animalis (ARTB-128), BB-Ln Bifidobacterium longum (ARTB-184), BB-Br Bifidobacterium breve (ARTB-129), BB-If Bifidobacterium infantis (ARTB-189), LB-Ac Lactobacillus acidophilus (ARTB-130), LB-Ac Lactobacillus acidophilus (ARTB-177), LB-Pl Lactobacillus plantarum (ARTB-135), LB-Pl Lactobacillus plantarum (ARTB-175), LB-Bg Lactobacillus delbrueckii subsp.bulgaricus (ARTB-131), LB-Sl Lactobacillus salivarius (ARTB-136), LB-Sl Lactobacillus salivarius (ARTB-142), LB-Rm Lactobacillus rhamnosus (ARTB-183), LB-Rm Lactobacillus rhamnosus (ARTB-180), LB-Hl Lactobacillus helveticus (ARTB-133), LB-Hl Lactobacillus helveticus (ARTB-174), гуммиарабик, молочная кислота, мальтодекстрин, гуаровая камедь (галактоманнан), ксантановая камедь (глюкоманнан)).
Вспомогательные вещества: капсула твердая разъёмная желатиновая (желатин (носитель), глицерин (агент влагоудерживающий)), антислеживатели: кальция стеарат, кремния диоксид.
</v>
      </c>
      <c r="BN147" s="43"/>
      <c r="BO147" s="22" t="str">
        <f>IFERROR(VLOOKUP(C147,'спецификация'!B:AA,10,0)," ")</f>
        <v>взрослым по 1 капсуле 1-3 раза в день во время еды. Продолжительность приема 1 месяц.
</v>
      </c>
      <c r="BP147" s="43" t="str">
        <f>IFERROR(VLOOKUP(C147,'спецификация'!B:AA,11,0),"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
</v>
      </c>
      <c r="BQ147" s="22" t="str">
        <f>IFERROR(VLOOKUP(C147,'спецификация'!B:AA,12,0)," ")</f>
        <v>в недоступном для детей месте, при температуре не выше 25ºС и относительной влажности воздуха не более 60%.</v>
      </c>
      <c r="BR147" s="22">
        <v>60.0</v>
      </c>
      <c r="BS147" s="22" t="s">
        <v>492</v>
      </c>
      <c r="BT147" s="43"/>
      <c r="BU147" s="22"/>
      <c r="BV147" s="22" t="s">
        <v>165</v>
      </c>
      <c r="BW147" s="45" t="str">
        <f>IFERROR(VLOOKUP(C147,'спецификация'!B:AA,16,0)," ")</f>
        <v/>
      </c>
      <c r="BX147" s="43"/>
      <c r="BY147" s="43"/>
      <c r="BZ147" s="45" t="str">
        <f>IFERROR(VLOOKUP(BF147,'спецификация'!D:Y,22,0)," ")</f>
        <v/>
      </c>
      <c r="CA147" s="43"/>
      <c r="CB147" s="43"/>
      <c r="CC147" s="43"/>
      <c r="CD147" s="43"/>
      <c r="CE147" s="43"/>
      <c r="CF147" s="43"/>
      <c r="CG147" s="49">
        <f>IFERROR(VLOOKUP(C147,CC!A:D,4,0)," ")</f>
        <v>220.88</v>
      </c>
      <c r="CH147" s="22" t="str">
        <f>IFERROR(VLOOKUP(C147,'спецификация'!B:AA,19,0)," ")</f>
        <v>Сибфармконтракт», Россия, 634034, г. Томск, ул. Нахимова 8, стр. 11.
По заказу (организация, уполномоченная принимать претензии от потребителя): ООО «Биг-Л», 127473, Россия, г. Москва, Переулок Самотёчный 1-й, д. 15, cтр. 1, этаж подвал № 0, помещ. I, ком. 1, офис 1</v>
      </c>
      <c r="CI147" s="22"/>
      <c r="CJ147" s="43"/>
      <c r="CK147" s="22">
        <f>IFERROR(VLOOKUP(C147,CC!K:M,3,0)," ")</f>
        <v>90</v>
      </c>
      <c r="CL147" s="43"/>
      <c r="CM147" s="43"/>
      <c r="CN147" s="43"/>
      <c r="CO147" s="43"/>
      <c r="CP147" s="43"/>
      <c r="CQ147" s="43"/>
      <c r="CR147" s="43"/>
      <c r="CS147" s="43" t="b">
        <v>0</v>
      </c>
      <c r="CT147" s="43" t="b">
        <v>0</v>
      </c>
      <c r="CU147" s="43" t="b">
        <v>0</v>
      </c>
      <c r="CV147" s="43" t="b">
        <v>0</v>
      </c>
      <c r="CW147" s="43"/>
      <c r="CX147" s="43"/>
      <c r="CY147" s="43"/>
      <c r="CZ147" s="43"/>
      <c r="DA147" s="43"/>
      <c r="DB147" s="43"/>
      <c r="DC147" s="43"/>
      <c r="DD147" s="22">
        <f>IFERROR(VLOOKUP($C147,'Лист4'!$D:$AI,27,0)," ")</f>
        <v>14</v>
      </c>
      <c r="DE147" s="22">
        <f>IFERROR(VLOOKUP($C147,'Лист4'!$D:$AI,28,0)," ")</f>
        <v>21</v>
      </c>
      <c r="DF147" s="22">
        <f>IFERROR(VLOOKUP($C147,'Лист4'!$D:$AI,29,0)," ")</f>
        <v>14</v>
      </c>
      <c r="DG147" s="22">
        <f t="shared" si="3"/>
        <v>4116</v>
      </c>
      <c r="DH147" s="22">
        <f>IFERROR(VLOOKUP($C147,'Лист4'!$D:$AI,32,0)," ")</f>
        <v>0.075</v>
      </c>
      <c r="DI147" s="22"/>
      <c r="DJ147" s="22"/>
      <c r="DK147" s="22"/>
      <c r="DL147" s="22"/>
      <c r="DM147" s="22"/>
      <c r="DN147" s="22"/>
      <c r="DO147" s="22"/>
      <c r="DP147" s="22"/>
      <c r="DQ147" s="22"/>
      <c r="DR147" s="22"/>
      <c r="DS147" s="22"/>
      <c r="DT147" s="22"/>
      <c r="DU147" s="22"/>
      <c r="DV147" s="22"/>
      <c r="DW147" s="22"/>
      <c r="DX147" s="22"/>
      <c r="DY147" s="22"/>
      <c r="DZ147" s="22"/>
      <c r="EA147" s="22"/>
      <c r="EB147" s="22"/>
      <c r="EC147" s="22"/>
      <c r="ED147" s="22"/>
      <c r="EE147" s="22"/>
      <c r="EF147" s="22"/>
      <c r="EG147" s="22"/>
      <c r="EH147" s="22"/>
      <c r="EI147" s="22"/>
      <c r="EJ147" s="22"/>
      <c r="EK147" s="22"/>
      <c r="EL147" s="22"/>
      <c r="EM147" s="43"/>
      <c r="EN147" s="43"/>
      <c r="EO147" s="43"/>
      <c r="EP147" s="43"/>
      <c r="EQ147" s="43"/>
      <c r="ER147" s="43"/>
      <c r="ES147" s="43"/>
      <c r="ET147" s="43"/>
      <c r="EU147" s="43"/>
      <c r="EV147" s="43"/>
      <c r="EW147" s="43"/>
      <c r="EX147" s="43"/>
      <c r="EY147" s="43"/>
      <c r="EZ147" s="43"/>
      <c r="FA147" s="43"/>
      <c r="FB147" s="43"/>
      <c r="FC147" s="43"/>
    </row>
    <row r="148" ht="18.0" customHeight="1">
      <c r="A148" s="2"/>
      <c r="B148" s="22" t="str">
        <f>IFERROR(VLOOKUP(C148,'Реестр'!C:AC,27,0)," ")</f>
        <v>Биг-Л</v>
      </c>
      <c r="C148" s="43" t="s">
        <v>2363</v>
      </c>
      <c r="D148" s="22" t="str">
        <f>IFERROR(VLOOKUP(C148,'Лист4'!D:P,13,0)," ")</f>
        <v>qeep</v>
      </c>
      <c r="E148" s="22" t="str">
        <f>IF(OR(ISERROR(VLOOKUP(C148,'Актуальность'!A:B,2,0)), VLOOKUP(C148,'Актуальность'!A:B,2,0)=""), "Актуальный", VLOOKUP(C148,'Актуальность'!A:B,2,0))</f>
        <v>Вывод</v>
      </c>
      <c r="F148" s="43" t="str">
        <f>IFERROR(VLOOKUP(C148,'Актуальность'!A:C,3,0)," ")</f>
        <v>Старый артикул</v>
      </c>
      <c r="G148" s="43"/>
      <c r="H148" s="22"/>
      <c r="I148" s="22"/>
      <c r="J148" s="43"/>
      <c r="K148" s="43"/>
      <c r="L148" s="22" t="b">
        <f t="shared" ref="L148:R148" si="144">T148&lt;&gt;""</f>
        <v>1</v>
      </c>
      <c r="M148" s="22" t="b">
        <f t="shared" si="144"/>
        <v>1</v>
      </c>
      <c r="N148" s="22" t="b">
        <f t="shared" si="144"/>
        <v>1</v>
      </c>
      <c r="O148" s="22" t="b">
        <f t="shared" si="144"/>
        <v>0</v>
      </c>
      <c r="P148" s="22" t="b">
        <f t="shared" si="144"/>
        <v>0</v>
      </c>
      <c r="Q148" s="22" t="b">
        <f t="shared" si="144"/>
        <v>0</v>
      </c>
      <c r="R148" s="22" t="b">
        <f t="shared" si="144"/>
        <v>0</v>
      </c>
      <c r="S148" s="43"/>
      <c r="T148" s="43" t="str">
        <f>IFERROR(VLOOKUP( C148,'1С'!A:B,2,0)," ")</f>
        <v>QB101100483</v>
      </c>
      <c r="U148" s="22" t="str">
        <f>IFERROR(VLOOKUP(T148,'Лист4'!C:I,3,0)," ")</f>
        <v>qeep_womenprobiotics_60caps</v>
      </c>
      <c r="V148" s="22" t="str">
        <f>IFERROR(VLOOKUP(T148,'Лист4'!C:I,4,0)," ")</f>
        <v>qeep_womenprobiotics_60caps</v>
      </c>
      <c r="W148" s="22" t="str">
        <f>IFERROR(VLOOKUP(T148,'Лист4'!C:I,5,0)," ")</f>
        <v/>
      </c>
      <c r="X148" s="43" t="str">
        <f>IFERROR(VLOOKUP(T148,'Лист4'!C:I,7,0)," ")</f>
        <v/>
      </c>
      <c r="Y148" s="43" t="str">
        <f>IFERROR(VLOOKUP(T148,'Лист4'!C:I,6,0)," ")</f>
        <v/>
      </c>
      <c r="Z148" s="43"/>
      <c r="AA148" s="43"/>
      <c r="AB148" s="22">
        <v>1.88611559E8</v>
      </c>
      <c r="AC148" s="22">
        <v>1.286883075E9</v>
      </c>
      <c r="AD148" s="22"/>
      <c r="AE148" s="22"/>
      <c r="AF148" s="22"/>
      <c r="AG148" s="43"/>
      <c r="AH148" s="43"/>
      <c r="AI148" s="43" t="str">
        <f>IFERROR(VLOOKUP(T148,'1С'!B:C,2,0)," ")</f>
        <v>БАД Пробиотики женские ,qeep, 60 капсул</v>
      </c>
      <c r="AJ148" s="22" t="s">
        <v>2366</v>
      </c>
      <c r="AK148" s="22" t="s">
        <v>2367</v>
      </c>
      <c r="AL148" s="43"/>
      <c r="AM148" s="43"/>
      <c r="AN148" s="43"/>
      <c r="AO148" s="43"/>
      <c r="AP148" s="43"/>
      <c r="AQ148" s="46" t="s">
        <v>2368</v>
      </c>
      <c r="AR148" s="46" t="s">
        <v>2369</v>
      </c>
      <c r="AS148" s="43"/>
      <c r="AT148" s="43"/>
      <c r="AU148" s="43"/>
      <c r="AV148" s="43"/>
      <c r="AW148" s="43"/>
      <c r="AX148" s="22" t="s">
        <v>361</v>
      </c>
      <c r="AY148" s="22" t="s">
        <v>2367</v>
      </c>
      <c r="AZ148" s="43"/>
      <c r="BA148" s="43"/>
      <c r="BB148" s="43"/>
      <c r="BC148" s="43"/>
      <c r="BD148" s="43"/>
      <c r="BE148" s="43"/>
      <c r="BF148" s="22">
        <f>IFERROR(VLOOKUP(C148,'спецификация'!B:D,3,0)," ")</f>
        <v>4620153905654</v>
      </c>
      <c r="BG148" s="22">
        <v>2.106909808E9</v>
      </c>
      <c r="BH148" s="22" t="str">
        <f>IFERROR(VLOOKUP(C148,'спецификация'!B:AA,5,0)," ")</f>
        <v>AM.01.06.01.003.R.000235.12.21 от 01.12.2021 г.</v>
      </c>
      <c r="BI148" s="46" t="s">
        <v>2371</v>
      </c>
      <c r="BJ148" s="22" t="str">
        <f>IFERROR(VLOOKUP(C148,'спецификация'!B:AA,6,0)," ")</f>
        <v>ЧЗ</v>
      </c>
      <c r="BK148" s="43"/>
      <c r="BL148" s="43"/>
      <c r="BM148" s="22" t="str">
        <f>IFERROR(VLOOKUP(BF148,'спецификация'!D:H,5,0)," ")</f>
        <v>пробиотики биомасса бактерий селективная сухая серии «Панбиом» («Panbiom»)» (bifidobacterium bifidum, bifidobacterium breve, propionibacterium freudenreichii, lactobacillus casei, lactobaсillus acidophilus, lactobacillus rhamnosus), изофлавоны сои, железа пирофосфат, лактулоза, витамин Е (токоферола ацетат), витамин В9 (фолиевая кислота), витамин В2 (рибофлавин), витамин В6 (пиридоксина гидрохлорид), витамин В1 (тиамина гидрохлорид), витамин В12 (цианокобаламин). Вспомогательные вещества: инулин (носитель), капсула желатиновая (желатин, глицерин), антислеживатели: кремния диоксид, кальция стеарат.</v>
      </c>
      <c r="BN148" s="43"/>
      <c r="BO148" s="22" t="str">
        <f>IFERROR(VLOOKUP(C148,'спецификация'!B:AA,10,0)," ")</f>
        <v> взрослым по 1 капсуле 1-3 раза в день во время еды.
</v>
      </c>
      <c r="BP148" s="43" t="str">
        <f>IFERROR(VLOOKUP(C148,'спецификация'!B:AA,11,0),"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
</v>
      </c>
      <c r="BQ148" s="22" t="str">
        <f>IFERROR(VLOOKUP(C148,'спецификация'!B:AA,12,0)," ")</f>
        <v>в недоступном для детей месте, при температуре не выше +25°С и относительной влажности воздуха не более 60%.</v>
      </c>
      <c r="BR148" s="22">
        <v>60.0</v>
      </c>
      <c r="BS148" s="22" t="s">
        <v>492</v>
      </c>
      <c r="BT148" s="43"/>
      <c r="BU148" s="22"/>
      <c r="BV148" s="22" t="s">
        <v>165</v>
      </c>
      <c r="BW148" s="44" t="str">
        <f>IFERROR(VLOOKUP(C148,'спецификация'!B:AA,16,0)," ")</f>
        <v>https://docs.google.com/document/d/19dvT2CXGSGPZ5hSZAXd0F44IH428h2pdnM5TZWMoYS0/edit?usp=sharing</v>
      </c>
      <c r="BX148" s="43"/>
      <c r="BY148" s="43"/>
      <c r="BZ148" s="44" t="str">
        <f>IFERROR(VLOOKUP(BF148,'спецификация'!D:Y,22,0)," ")</f>
        <v>https://docs.google.com/document/d/1LFY2QVZdh5EpIv7aBWckCTgjNUTaPdt7/edit</v>
      </c>
      <c r="CA148" s="43"/>
      <c r="CB148" s="43"/>
      <c r="CC148" s="43"/>
      <c r="CD148" s="43"/>
      <c r="CE148" s="43"/>
      <c r="CF148" s="43"/>
      <c r="CG148" s="49">
        <f>IFERROR(VLOOKUP(C148,CC!A:D,4,0)," ")</f>
        <v>328.35</v>
      </c>
      <c r="CH148" s="22" t="str">
        <f>IFERROR(VLOOKUP(C148,'спецификация'!B:AA,19,0)," ")</f>
        <v>ООО «Сибфармконтракт»</v>
      </c>
      <c r="CI148" s="22"/>
      <c r="CJ148" s="22" t="s">
        <v>562</v>
      </c>
      <c r="CK148" s="22">
        <f>IFERROR(VLOOKUP(C148,CC!K:M,3,0)," ")</f>
        <v>90</v>
      </c>
      <c r="CL148" s="43"/>
      <c r="CM148" s="43"/>
      <c r="CN148" s="43"/>
      <c r="CO148" s="43"/>
      <c r="CP148" s="43"/>
      <c r="CQ148" s="43"/>
      <c r="CR148" s="43"/>
      <c r="CS148" s="43" t="b">
        <v>0</v>
      </c>
      <c r="CT148" s="43" t="b">
        <v>0</v>
      </c>
      <c r="CU148" s="43" t="b">
        <v>0</v>
      </c>
      <c r="CV148" s="43" t="b">
        <v>0</v>
      </c>
      <c r="CW148" s="43"/>
      <c r="CX148" s="43"/>
      <c r="CY148" s="43"/>
      <c r="CZ148" s="43"/>
      <c r="DA148" s="43"/>
      <c r="DB148" s="43"/>
      <c r="DC148" s="43"/>
      <c r="DD148" s="22">
        <f>IFERROR(VLOOKUP($C148,'Лист4'!$D:$AI,27,0)," ")</f>
        <v>2</v>
      </c>
      <c r="DE148" s="22">
        <f>IFERROR(VLOOKUP($C148,'Лист4'!$D:$AI,28,0)," ")</f>
        <v>9</v>
      </c>
      <c r="DF148" s="22">
        <f>IFERROR(VLOOKUP($C148,'Лист4'!$D:$AI,29,0)," ")</f>
        <v>2</v>
      </c>
      <c r="DG148" s="22">
        <f t="shared" si="3"/>
        <v>36</v>
      </c>
      <c r="DH148" s="22">
        <f>IFERROR(VLOOKUP($C148,'Лист4'!$D:$AI,32,0)," ")</f>
        <v>0.04</v>
      </c>
      <c r="DI148" s="22"/>
      <c r="DJ148" s="22"/>
      <c r="DK148" s="22"/>
      <c r="DL148" s="22"/>
      <c r="DM148" s="22"/>
      <c r="DN148" s="22"/>
      <c r="DO148" s="22"/>
      <c r="DP148" s="22"/>
      <c r="DQ148" s="22"/>
      <c r="DR148" s="22"/>
      <c r="DS148" s="22"/>
      <c r="DT148" s="22"/>
      <c r="DU148" s="22"/>
      <c r="DV148" s="22"/>
      <c r="DW148" s="22"/>
      <c r="DX148" s="22"/>
      <c r="DY148" s="22"/>
      <c r="DZ148" s="22"/>
      <c r="EA148" s="22"/>
      <c r="EB148" s="22"/>
      <c r="EC148" s="22"/>
      <c r="ED148" s="22"/>
      <c r="EE148" s="22"/>
      <c r="EF148" s="22"/>
      <c r="EG148" s="22"/>
      <c r="EH148" s="22"/>
      <c r="EI148" s="22"/>
      <c r="EJ148" s="22"/>
      <c r="EK148" s="22"/>
      <c r="EL148" s="22"/>
      <c r="EM148" s="43"/>
      <c r="EN148" s="43"/>
      <c r="EO148" s="43"/>
      <c r="EP148" s="43"/>
      <c r="EQ148" s="43"/>
      <c r="ER148" s="43"/>
      <c r="ES148" s="43"/>
      <c r="ET148" s="43"/>
      <c r="EU148" s="43"/>
      <c r="EV148" s="43"/>
      <c r="EW148" s="43"/>
      <c r="EX148" s="43"/>
      <c r="EY148" s="43"/>
      <c r="EZ148" s="43"/>
      <c r="FA148" s="43"/>
      <c r="FB148" s="43"/>
      <c r="FC148" s="43"/>
    </row>
    <row r="149" ht="18.0" customHeight="1">
      <c r="A149" s="2"/>
      <c r="B149" s="22" t="str">
        <f>IFERROR(VLOOKUP(C149,'Реестр'!C:AC,27,0)," ")</f>
        <v>Биг-Л</v>
      </c>
      <c r="C149" s="43" t="s">
        <v>2378</v>
      </c>
      <c r="D149" s="22" t="str">
        <f>IFERROR(VLOOKUP(C149,'Лист4'!D:P,13,0)," ")</f>
        <v>qeep</v>
      </c>
      <c r="E149" s="22" t="str">
        <f>IF(OR(ISERROR(VLOOKUP(C149,'Актуальность'!A:B,2,0)), VLOOKUP(C149,'Актуальность'!A:B,2,0)=""), "Актуальный", VLOOKUP(C149,'Актуальность'!A:B,2,0))</f>
        <v>Вывод</v>
      </c>
      <c r="F149" s="43" t="str">
        <f>IFERROR(VLOOKUP(C149,'Актуальность'!A:C,3,0)," ")</f>
        <v>Старый артикул</v>
      </c>
      <c r="G149" s="43"/>
      <c r="H149" s="22"/>
      <c r="I149" s="22"/>
      <c r="J149" s="43"/>
      <c r="K149" s="43"/>
      <c r="L149" s="22" t="b">
        <f t="shared" ref="L149:R149" si="145">T149&lt;&gt;""</f>
        <v>1</v>
      </c>
      <c r="M149" s="22" t="b">
        <f t="shared" si="145"/>
        <v>1</v>
      </c>
      <c r="N149" s="22" t="b">
        <f t="shared" si="145"/>
        <v>1</v>
      </c>
      <c r="O149" s="22" t="b">
        <f t="shared" si="145"/>
        <v>0</v>
      </c>
      <c r="P149" s="22" t="b">
        <f t="shared" si="145"/>
        <v>0</v>
      </c>
      <c r="Q149" s="22" t="b">
        <f t="shared" si="145"/>
        <v>0</v>
      </c>
      <c r="R149" s="22" t="b">
        <f t="shared" si="145"/>
        <v>0</v>
      </c>
      <c r="S149" s="43"/>
      <c r="T149" s="43" t="str">
        <f>IFERROR(VLOOKUP( C149,'1С'!A:B,2,0)," ")</f>
        <v>QB101100510</v>
      </c>
      <c r="U149" s="22" t="str">
        <f>IFERROR(VLOOKUP(T149,'Лист4'!C:I,3,0)," ")</f>
        <v>qeep_biotin_5000_60caps</v>
      </c>
      <c r="V149" s="22" t="str">
        <f>IFERROR(VLOOKUP(T149,'Лист4'!C:I,4,0)," ")</f>
        <v>qeep_biotin_5000_60caps</v>
      </c>
      <c r="W149" s="22" t="str">
        <f>IFERROR(VLOOKUP(T149,'Лист4'!C:I,5,0)," ")</f>
        <v/>
      </c>
      <c r="X149" s="43" t="str">
        <f>IFERROR(VLOOKUP(T149,'Лист4'!C:I,7,0)," ")</f>
        <v/>
      </c>
      <c r="Y149" s="43" t="str">
        <f>IFERROR(VLOOKUP(T149,'Лист4'!C:I,6,0)," ")</f>
        <v/>
      </c>
      <c r="Z149" s="43"/>
      <c r="AA149" s="43"/>
      <c r="AB149" s="22">
        <v>1.59980276E8</v>
      </c>
      <c r="AC149" s="22">
        <v>9.67642951E8</v>
      </c>
      <c r="AD149" s="22"/>
      <c r="AE149" s="22"/>
      <c r="AF149" s="22"/>
      <c r="AG149" s="43"/>
      <c r="AH149" s="43"/>
      <c r="AI149" s="43" t="str">
        <f>IFERROR(VLOOKUP(T149,'1С'!B:C,2,0)," ")</f>
        <v>Биотин 5000 мкг ,qeep, 60 капсул</v>
      </c>
      <c r="AJ149" s="22" t="s">
        <v>2381</v>
      </c>
      <c r="AK149" s="22" t="s">
        <v>2382</v>
      </c>
      <c r="AL149" s="43"/>
      <c r="AM149" s="43"/>
      <c r="AN149" s="43"/>
      <c r="AO149" s="43"/>
      <c r="AP149" s="43"/>
      <c r="AQ149" s="46" t="s">
        <v>2383</v>
      </c>
      <c r="AR149" s="46" t="s">
        <v>2384</v>
      </c>
      <c r="AS149" s="43"/>
      <c r="AT149" s="43"/>
      <c r="AU149" s="43"/>
      <c r="AV149" s="43"/>
      <c r="AW149" s="43"/>
      <c r="AX149" s="22" t="s">
        <v>361</v>
      </c>
      <c r="AY149" s="22" t="s">
        <v>2382</v>
      </c>
      <c r="AZ149" s="43"/>
      <c r="BA149" s="43"/>
      <c r="BB149" s="43"/>
      <c r="BC149" s="43"/>
      <c r="BD149" s="43"/>
      <c r="BE149" s="43"/>
      <c r="BF149" s="22" t="str">
        <f>IFERROR(VLOOKUP(C149,'спецификация'!B:D,3,0)," ")</f>
        <v>4670110185520</v>
      </c>
      <c r="BG149" s="22">
        <v>2.106909808E9</v>
      </c>
      <c r="BH149" s="22" t="str">
        <f>IFERROR(VLOOKUP(C149,'спецификация'!B:AA,5,0)," ")</f>
        <v>AM.01.07.01.003.R.000341.07.21 от 02.07.2021г</v>
      </c>
      <c r="BI149" s="22"/>
      <c r="BJ149" s="22" t="str">
        <f>IFERROR(VLOOKUP(C149,'спецификация'!B:AA,6,0)," ")</f>
        <v>ЧЗ</v>
      </c>
      <c r="BK149" s="43"/>
      <c r="BL149" s="43"/>
      <c r="BM149" s="22" t="str">
        <f>IFERROR(VLOOKUP(BF149,'спецификация'!D:H,5,0)," ")</f>
        <v>витамин Н (биотин), оливковое масло, капсула(желатин пищевой, глицерин-влагоудерживающий агент, сорбат калия, вода очищенная).</v>
      </c>
      <c r="BN149" s="43"/>
      <c r="BO149" s="22" t="str">
        <f>IFERROR(VLOOKUP(C149,'спецификация'!B:AA,10,0)," ")</f>
        <v>принимать по 1 капсуле 1 раз в день во время еды или в соответствии с рекомендациями специалиста. Продолжительность приема: 1 месяц. После перерыва в 1 месяц возможен повторный прием.</v>
      </c>
      <c r="BP149" s="43" t="str">
        <f>IFERROR(VLOOKUP(C149,'спецификация'!B:AA,11,0)," ")</f>
        <v>индивидуальная непереносимость компонентов продукта. Не употреблять во время беременности и в период кормления грудью. Перед применением БАД детям с 14 лет необходимо проконсультироваться с врачом - педиатром. Данный продукт не является лекарственным средством.</v>
      </c>
      <c r="BQ149" s="22" t="str">
        <f>IFERROR(VLOOKUP(C149,'спецификация'!B:AA,12,0)," ")</f>
        <v>хранить в сухом, защищенном от прямых солнечных лучей и недоступном для детей месте, при температуре от +5°C до+ 25°C и относительной влажности воздуха не более 75%.</v>
      </c>
      <c r="BR149" s="22">
        <v>60.0</v>
      </c>
      <c r="BS149" s="22" t="s">
        <v>492</v>
      </c>
      <c r="BT149" s="43"/>
      <c r="BU149" s="22"/>
      <c r="BV149" s="22" t="s">
        <v>307</v>
      </c>
      <c r="BW149" s="44" t="str">
        <f>IFERROR(VLOOKUP(C149,'спецификация'!B:AA,16,0)," ")</f>
        <v>https://docs.google.com/document/d/13hyDvniBc4P4K1GrV4sx8EJIsQ3I-GOIthGYpRptuHg/edit?usp=sharing</v>
      </c>
      <c r="BX149" s="43"/>
      <c r="BY149" s="43"/>
      <c r="BZ149" s="44" t="str">
        <f>IFERROR(VLOOKUP(BF149,'спецификация'!D:Y,22,0)," ")</f>
        <v>https://drive.google.com/drive/u/0/folders/1bBEvN0KgRbMHQ790vpSFS7bTXOrQrnFV</v>
      </c>
      <c r="CA149" s="43"/>
      <c r="CB149" s="43"/>
      <c r="CC149" s="43"/>
      <c r="CD149" s="43"/>
      <c r="CE149" s="43"/>
      <c r="CF149" s="43"/>
      <c r="CG149" s="49">
        <f>IFERROR(VLOOKUP(C149,CC!A:D,4,0)," ")</f>
        <v>256</v>
      </c>
      <c r="CH149" s="22" t="str">
        <f>IFERROR(VLOOKUP(C149,'спецификация'!B:AA,19,0)," ")</f>
        <v>ООО Арсенал Атлета, 443535, Россия, Самарская область, Волжский муниципальный район, сельское поселение Лопатино, село Лопатино, улица Мира, здание 16/8, офис 1, тел.: +7 (902) 580 30 82, e-mail: yozavod@gmail.com.</v>
      </c>
      <c r="CI149" s="22"/>
      <c r="CJ149" s="22" t="s">
        <v>1119</v>
      </c>
      <c r="CK149" s="22">
        <f>IFERROR(VLOOKUP(C149,CC!K:M,3,0)," ")</f>
        <v>60</v>
      </c>
      <c r="CL149" s="43"/>
      <c r="CM149" s="43"/>
      <c r="CN149" s="43"/>
      <c r="CO149" s="43"/>
      <c r="CP149" s="43"/>
      <c r="CQ149" s="43"/>
      <c r="CR149" s="43"/>
      <c r="CS149" s="43" t="b">
        <v>0</v>
      </c>
      <c r="CT149" s="43" t="b">
        <v>0</v>
      </c>
      <c r="CU149" s="43" t="b">
        <v>0</v>
      </c>
      <c r="CV149" s="43" t="b">
        <v>0</v>
      </c>
      <c r="CW149" s="43"/>
      <c r="CX149" s="43"/>
      <c r="CY149" s="43"/>
      <c r="CZ149" s="43"/>
      <c r="DA149" s="43"/>
      <c r="DB149" s="43"/>
      <c r="DC149" s="43"/>
      <c r="DD149" s="22">
        <f>IFERROR(VLOOKUP($C149,'Лист4'!$D:$AI,27,0)," ")</f>
        <v>2</v>
      </c>
      <c r="DE149" s="22">
        <f>IFERROR(VLOOKUP($C149,'Лист4'!$D:$AI,28,0)," ")</f>
        <v>10</v>
      </c>
      <c r="DF149" s="22">
        <f>IFERROR(VLOOKUP($C149,'Лист4'!$D:$AI,29,0)," ")</f>
        <v>2</v>
      </c>
      <c r="DG149" s="22">
        <f t="shared" si="3"/>
        <v>40</v>
      </c>
      <c r="DH149" s="22">
        <f>IFERROR(VLOOKUP($C149,'Лист4'!$D:$AI,32,0)," ")</f>
        <v>0.01</v>
      </c>
      <c r="DI149" s="22"/>
      <c r="DJ149" s="22"/>
      <c r="DK149" s="22"/>
      <c r="DL149" s="22"/>
      <c r="DM149" s="22"/>
      <c r="DN149" s="22"/>
      <c r="DO149" s="22"/>
      <c r="DP149" s="22"/>
      <c r="DQ149" s="22"/>
      <c r="DR149" s="22"/>
      <c r="DS149" s="22"/>
      <c r="DT149" s="22"/>
      <c r="DU149" s="22"/>
      <c r="DV149" s="22"/>
      <c r="DW149" s="22"/>
      <c r="DX149" s="22"/>
      <c r="DY149" s="22"/>
      <c r="DZ149" s="22"/>
      <c r="EA149" s="22"/>
      <c r="EB149" s="22"/>
      <c r="EC149" s="22"/>
      <c r="ED149" s="22"/>
      <c r="EE149" s="22"/>
      <c r="EF149" s="22"/>
      <c r="EG149" s="22"/>
      <c r="EH149" s="22"/>
      <c r="EI149" s="22"/>
      <c r="EJ149" s="22"/>
      <c r="EK149" s="22"/>
      <c r="EL149" s="22"/>
      <c r="EM149" s="43"/>
      <c r="EN149" s="43"/>
      <c r="EO149" s="43"/>
      <c r="EP149" s="43"/>
      <c r="EQ149" s="43"/>
      <c r="ER149" s="43"/>
      <c r="ES149" s="43"/>
      <c r="ET149" s="43"/>
      <c r="EU149" s="43"/>
      <c r="EV149" s="43"/>
      <c r="EW149" s="43"/>
      <c r="EX149" s="43"/>
      <c r="EY149" s="43"/>
      <c r="EZ149" s="43"/>
      <c r="FA149" s="43"/>
      <c r="FB149" s="43"/>
      <c r="FC149" s="43"/>
    </row>
    <row r="150" ht="18.0" customHeight="1">
      <c r="A150" s="2"/>
      <c r="B150" s="22" t="str">
        <f>IFERROR(VLOOKUP(C150,'Реестр'!C:AC,27,0)," ")</f>
        <v>Биг-Л</v>
      </c>
      <c r="C150" s="43" t="s">
        <v>2392</v>
      </c>
      <c r="D150" s="22" t="str">
        <f>IFERROR(VLOOKUP(C150,'Лист4'!D:P,13,0)," ")</f>
        <v>qeep</v>
      </c>
      <c r="E150" s="22" t="str">
        <f>IF(OR(ISERROR(VLOOKUP(C150,'Актуальность'!A:B,2,0)), VLOOKUP(C150,'Актуальность'!A:B,2,0)=""), "Актуальный", VLOOKUP(C150,'Актуальность'!A:B,2,0))</f>
        <v>Вывод</v>
      </c>
      <c r="F150" s="43" t="str">
        <f>IFERROR(VLOOKUP(C150,'Актуальность'!A:C,3,0)," ")</f>
        <v>Старый артикул</v>
      </c>
      <c r="G150" s="43"/>
      <c r="H150" s="22"/>
      <c r="I150" s="22"/>
      <c r="J150" s="43"/>
      <c r="K150" s="43"/>
      <c r="L150" s="22" t="b">
        <f t="shared" ref="L150:R150" si="146">T150&lt;&gt;""</f>
        <v>1</v>
      </c>
      <c r="M150" s="22" t="b">
        <f t="shared" si="146"/>
        <v>1</v>
      </c>
      <c r="N150" s="22" t="b">
        <f t="shared" si="146"/>
        <v>1</v>
      </c>
      <c r="O150" s="22" t="b">
        <f t="shared" si="146"/>
        <v>0</v>
      </c>
      <c r="P150" s="22" t="b">
        <f t="shared" si="146"/>
        <v>0</v>
      </c>
      <c r="Q150" s="22" t="b">
        <f t="shared" si="146"/>
        <v>0</v>
      </c>
      <c r="R150" s="22" t="b">
        <f t="shared" si="146"/>
        <v>0</v>
      </c>
      <c r="S150" s="43"/>
      <c r="T150" s="43" t="str">
        <f>IFERROR(VLOOKUP( C150,'1С'!A:B,2,0)," ")</f>
        <v>QB101100459</v>
      </c>
      <c r="U150" s="22" t="str">
        <f>IFERROR(VLOOKUP(T150,'Лист4'!C:I,3,0)," ")</f>
        <v>qeep_Lecithin_180caps</v>
      </c>
      <c r="V150" s="22" t="str">
        <f>IFERROR(VLOOKUP(T150,'Лист4'!C:I,4,0)," ")</f>
        <v>qeep_Lecithin_180caps</v>
      </c>
      <c r="W150" s="22" t="str">
        <f>IFERROR(VLOOKUP(T150,'Лист4'!C:I,5,0)," ")</f>
        <v/>
      </c>
      <c r="X150" s="43" t="str">
        <f>IFERROR(VLOOKUP(T150,'Лист4'!C:I,7,0)," ")</f>
        <v/>
      </c>
      <c r="Y150" s="43" t="str">
        <f>IFERROR(VLOOKUP(T150,'Лист4'!C:I,6,0)," ")</f>
        <v/>
      </c>
      <c r="Z150" s="43"/>
      <c r="AA150" s="43"/>
      <c r="AB150" s="22">
        <v>1.57970824E8</v>
      </c>
      <c r="AC150" s="22">
        <v>9.48290832E8</v>
      </c>
      <c r="AD150" s="22"/>
      <c r="AE150" s="22"/>
      <c r="AF150" s="22"/>
      <c r="AG150" s="43"/>
      <c r="AH150" s="43"/>
      <c r="AI150" s="43" t="str">
        <f>IFERROR(VLOOKUP(T150,'1С'!B:C,2,0)," ")</f>
        <v>БАД Лецитин ,qeep, 180 капсул</v>
      </c>
      <c r="AJ150" s="22" t="s">
        <v>2395</v>
      </c>
      <c r="AK150" s="22" t="s">
        <v>2396</v>
      </c>
      <c r="AL150" s="43"/>
      <c r="AM150" s="43"/>
      <c r="AN150" s="43"/>
      <c r="AO150" s="43"/>
      <c r="AP150" s="43"/>
      <c r="AQ150" s="46" t="s">
        <v>2397</v>
      </c>
      <c r="AR150" s="46" t="s">
        <v>2398</v>
      </c>
      <c r="AS150" s="43"/>
      <c r="AT150" s="43"/>
      <c r="AU150" s="43"/>
      <c r="AV150" s="43"/>
      <c r="AW150" s="43"/>
      <c r="AX150" s="22" t="s">
        <v>361</v>
      </c>
      <c r="AY150" s="22" t="s">
        <v>2396</v>
      </c>
      <c r="AZ150" s="43"/>
      <c r="BA150" s="43"/>
      <c r="BB150" s="43"/>
      <c r="BC150" s="43"/>
      <c r="BD150" s="43"/>
      <c r="BE150" s="43"/>
      <c r="BF150" s="22">
        <f>IFERROR(VLOOKUP(C150,'спецификация'!B:D,3,0)," ")</f>
        <v>4670110185179</v>
      </c>
      <c r="BG150" s="22">
        <v>2.106909808E9</v>
      </c>
      <c r="BH150" s="22" t="str">
        <f>IFERROR(VLOOKUP(C150,'спецификация'!B:AA,5,0)," ")</f>
        <v>AM.01.07.01.003.R.000340.07.21 от 02.07.2021г</v>
      </c>
      <c r="BI150" s="22"/>
      <c r="BJ150" s="22" t="str">
        <f>IFERROR(VLOOKUP(C150,'спецификация'!B:AA,6,0)," ")</f>
        <v>ЧЗ</v>
      </c>
      <c r="BK150" s="43"/>
      <c r="BL150" s="43"/>
      <c r="BM150" s="22" t="str">
        <f>IFERROR(VLOOKUP(BF150,'спецификация'!D:H,5,0)," ")</f>
        <v>подсолнечный лецитин, масло оливковое нерафинированное, капсула желатиновая(желатин пищевой, глицерин-влагоудерживающий агент, сорбат калия, вода очищенная).</v>
      </c>
      <c r="BN150" s="43"/>
      <c r="BO150" s="22" t="str">
        <f>IFERROR(VLOOKUP(C150,'спецификация'!B:AA,10,0)," ")</f>
        <v>взрослым по 2 капсулы 2 раза в день  во время приема пищи или в соответствии с рекомендациями специалиста.
Продолжительность приема: 1 месяц. При необходимости прием можно повторить</v>
      </c>
      <c r="BP150" s="43" t="str">
        <f>IFERROR(VLOOKUP(C150,'спецификация'!B:AA,11,0)," ")</f>
        <v>индивидуальная непереносимость компонентов, беременность, кормление грудью. С осторожностью принимать во время обострения: желчекаменной болезни, панкреатита, холецистита.</v>
      </c>
      <c r="BQ150" s="22" t="str">
        <f>IFERROR(VLOOKUP(C150,'спецификация'!B:AA,12,0)," ")</f>
        <v>хранить в сухом, защищенном от прямых солнечных лучей и недоступном для детей месте, при температуре от +5°C до+ 25°C и относительной влажности воздуха не более 75%</v>
      </c>
      <c r="BR150" s="22">
        <v>180.0</v>
      </c>
      <c r="BS150" s="22" t="s">
        <v>621</v>
      </c>
      <c r="BT150" s="22"/>
      <c r="BU150" s="22"/>
      <c r="BV150" s="22" t="s">
        <v>307</v>
      </c>
      <c r="BW150" s="44" t="str">
        <f>IFERROR(VLOOKUP(C150,'спецификация'!B:AA,16,0)," ")</f>
        <v>https://docs.google.com/document/d/1KKnLwxSaEbOu5BbZyrEuS83ti0LXxiIes9B8t9JsBrA/edit?usp=sharing</v>
      </c>
      <c r="BX150" s="43"/>
      <c r="BY150" s="43"/>
      <c r="BZ150" s="44" t="str">
        <f>IFERROR(VLOOKUP(BF150,'спецификация'!D:Y,22,0)," ")</f>
        <v>https://drive.google.com/drive/u/0/folders/1oLmNklpFvcNr8xCLr6y8iSP-3UjgZntT</v>
      </c>
      <c r="CA150" s="43"/>
      <c r="CB150" s="43"/>
      <c r="CC150" s="43"/>
      <c r="CD150" s="43"/>
      <c r="CE150" s="43"/>
      <c r="CF150" s="43"/>
      <c r="CG150" s="49">
        <f>IFERROR(VLOOKUP(C150,CC!A:D,4,0)," ")</f>
        <v>421</v>
      </c>
      <c r="CH150" s="22" t="str">
        <f>IFERROR(VLOOKUP(C150,'спецификация'!B:AA,19,0)," ")</f>
        <v>ООО Арсенал Атлета, 443535, Россия, Самарская область, Волжский муниципальный район, сельское поселение Лопатино, село Лопатино, улица Мира, здание 16/8, офис 1, тел.: +7 (902) 580 30 82, e-mail: yozavod@gmail.com.</v>
      </c>
      <c r="CI150" s="22"/>
      <c r="CJ150" s="22" t="s">
        <v>1119</v>
      </c>
      <c r="CK150" s="22">
        <f>IFERROR(VLOOKUP(C150,CC!K:M,3,0)," ")</f>
        <v>60</v>
      </c>
      <c r="CL150" s="43"/>
      <c r="CM150" s="43"/>
      <c r="CN150" s="43"/>
      <c r="CO150" s="43"/>
      <c r="CP150" s="43"/>
      <c r="CQ150" s="43"/>
      <c r="CR150" s="43"/>
      <c r="CS150" s="43" t="b">
        <v>0</v>
      </c>
      <c r="CT150" s="43" t="b">
        <v>0</v>
      </c>
      <c r="CU150" s="43" t="b">
        <v>0</v>
      </c>
      <c r="CV150" s="43" t="b">
        <v>0</v>
      </c>
      <c r="CW150" s="43"/>
      <c r="CX150" s="43"/>
      <c r="CY150" s="43"/>
      <c r="CZ150" s="43"/>
      <c r="DA150" s="43"/>
      <c r="DB150" s="43"/>
      <c r="DC150" s="43"/>
      <c r="DD150" s="22">
        <f>IFERROR(VLOOKUP($C150,'Лист4'!$D:$AI,27,0)," ")</f>
        <v>7</v>
      </c>
      <c r="DE150" s="22">
        <f>IFERROR(VLOOKUP($C150,'Лист4'!$D:$AI,28,0)," ")</f>
        <v>12</v>
      </c>
      <c r="DF150" s="22">
        <f>IFERROR(VLOOKUP($C150,'Лист4'!$D:$AI,29,0)," ")</f>
        <v>7</v>
      </c>
      <c r="DG150" s="22">
        <f t="shared" si="3"/>
        <v>588</v>
      </c>
      <c r="DH150" s="22">
        <f>IFERROR(VLOOKUP($C150,'Лист4'!$D:$AI,32,0)," ")</f>
        <v>0.01</v>
      </c>
      <c r="DI150" s="22"/>
      <c r="DJ150" s="22"/>
      <c r="DK150" s="22"/>
      <c r="DL150" s="22"/>
      <c r="DM150" s="22"/>
      <c r="DN150" s="22"/>
      <c r="DO150" s="22"/>
      <c r="DP150" s="22"/>
      <c r="DQ150" s="22"/>
      <c r="DR150" s="22"/>
      <c r="DS150" s="22"/>
      <c r="DT150" s="22"/>
      <c r="DU150" s="22"/>
      <c r="DV150" s="22"/>
      <c r="DW150" s="22"/>
      <c r="DX150" s="22"/>
      <c r="DY150" s="22"/>
      <c r="DZ150" s="22"/>
      <c r="EA150" s="22"/>
      <c r="EB150" s="22"/>
      <c r="EC150" s="22"/>
      <c r="ED150" s="22"/>
      <c r="EE150" s="22"/>
      <c r="EF150" s="22"/>
      <c r="EG150" s="22"/>
      <c r="EH150" s="22"/>
      <c r="EI150" s="22"/>
      <c r="EJ150" s="22"/>
      <c r="EK150" s="22"/>
      <c r="EL150" s="22"/>
      <c r="EM150" s="43"/>
      <c r="EN150" s="43"/>
      <c r="EO150" s="43"/>
      <c r="EP150" s="43"/>
      <c r="EQ150" s="43"/>
      <c r="ER150" s="43"/>
      <c r="ES150" s="43"/>
      <c r="ET150" s="43"/>
      <c r="EU150" s="43"/>
      <c r="EV150" s="43"/>
      <c r="EW150" s="43"/>
      <c r="EX150" s="43"/>
      <c r="EY150" s="43"/>
      <c r="EZ150" s="43"/>
      <c r="FA150" s="43"/>
      <c r="FB150" s="43"/>
      <c r="FC150" s="43"/>
    </row>
    <row r="151" ht="18.0" customHeight="1">
      <c r="A151" s="2"/>
      <c r="B151" s="22" t="str">
        <f>IFERROR(VLOOKUP(C151,'Реестр'!C:AC,27,0)," ")</f>
        <v>Биг-Л</v>
      </c>
      <c r="C151" s="43" t="s">
        <v>2406</v>
      </c>
      <c r="D151" s="22" t="str">
        <f>IFERROR(VLOOKUP(C151,'Лист4'!D:P,13,0)," ")</f>
        <v>qeep</v>
      </c>
      <c r="E151" s="22" t="str">
        <f>IF(OR(ISERROR(VLOOKUP(C151,'Актуальность'!A:B,2,0)), VLOOKUP(C151,'Актуальность'!A:B,2,0)=""), "Актуальный", VLOOKUP(C151,'Актуальность'!A:B,2,0))</f>
        <v>Вывод</v>
      </c>
      <c r="F151" s="43" t="str">
        <f>IFERROR(VLOOKUP(C151,'Актуальность'!A:C,3,0)," ")</f>
        <v>Старый артикул</v>
      </c>
      <c r="G151" s="43"/>
      <c r="H151" s="22"/>
      <c r="I151" s="22"/>
      <c r="J151" s="43"/>
      <c r="K151" s="43"/>
      <c r="L151" s="22" t="b">
        <f t="shared" ref="L151:R151" si="147">T151&lt;&gt;""</f>
        <v>1</v>
      </c>
      <c r="M151" s="22" t="b">
        <f t="shared" si="147"/>
        <v>1</v>
      </c>
      <c r="N151" s="22" t="b">
        <f t="shared" si="147"/>
        <v>1</v>
      </c>
      <c r="O151" s="22" t="b">
        <f t="shared" si="147"/>
        <v>0</v>
      </c>
      <c r="P151" s="22" t="b">
        <f t="shared" si="147"/>
        <v>0</v>
      </c>
      <c r="Q151" s="22" t="b">
        <f t="shared" si="147"/>
        <v>0</v>
      </c>
      <c r="R151" s="22" t="b">
        <f t="shared" si="147"/>
        <v>0</v>
      </c>
      <c r="S151" s="43"/>
      <c r="T151" s="43" t="str">
        <f>IFERROR(VLOOKUP( C151,'1С'!A:B,2,0)," ")</f>
        <v>QB101100499</v>
      </c>
      <c r="U151" s="22" t="str">
        <f>IFERROR(VLOOKUP(T151,'Лист4'!C:I,3,0)," ")</f>
        <v>qeep_tyrosine_90caps</v>
      </c>
      <c r="V151" s="22" t="str">
        <f>IFERROR(VLOOKUP(T151,'Лист4'!C:I,4,0)," ")</f>
        <v>qeep_tyrosine_90caps</v>
      </c>
      <c r="W151" s="22" t="str">
        <f>IFERROR(VLOOKUP(T151,'Лист4'!C:I,5,0)," ")</f>
        <v/>
      </c>
      <c r="X151" s="43" t="str">
        <f>IFERROR(VLOOKUP(T151,'Лист4'!C:I,7,0)," ")</f>
        <v/>
      </c>
      <c r="Y151" s="43" t="str">
        <f>IFERROR(VLOOKUP(T151,'Лист4'!C:I,6,0)," ")</f>
        <v/>
      </c>
      <c r="Z151" s="43"/>
      <c r="AA151" s="43"/>
      <c r="AB151" s="22">
        <v>1.58306407E8</v>
      </c>
      <c r="AC151" s="22">
        <v>9.50391195E8</v>
      </c>
      <c r="AD151" s="22"/>
      <c r="AE151" s="22"/>
      <c r="AF151" s="22"/>
      <c r="AG151" s="43"/>
      <c r="AH151" s="43"/>
      <c r="AI151" s="43" t="str">
        <f>IFERROR(VLOOKUP(T151,'1С'!B:C,2,0)," ")</f>
        <v>БАД Тирозин ,qeep, 90 капсул</v>
      </c>
      <c r="AJ151" s="22" t="s">
        <v>2409</v>
      </c>
      <c r="AK151" s="22" t="s">
        <v>2410</v>
      </c>
      <c r="AL151" s="43"/>
      <c r="AM151" s="43"/>
      <c r="AN151" s="43"/>
      <c r="AO151" s="43"/>
      <c r="AP151" s="43"/>
      <c r="AQ151" s="46" t="s">
        <v>2411</v>
      </c>
      <c r="AR151" s="46" t="s">
        <v>2412</v>
      </c>
      <c r="AS151" s="43"/>
      <c r="AT151" s="43"/>
      <c r="AU151" s="43"/>
      <c r="AV151" s="43"/>
      <c r="AW151" s="43"/>
      <c r="AX151" s="22" t="s">
        <v>361</v>
      </c>
      <c r="AY151" s="22" t="s">
        <v>2410</v>
      </c>
      <c r="AZ151" s="43"/>
      <c r="BA151" s="43"/>
      <c r="BB151" s="43"/>
      <c r="BC151" s="43"/>
      <c r="BD151" s="43"/>
      <c r="BE151" s="43"/>
      <c r="BF151" s="22">
        <f>IFERROR(VLOOKUP(C151,'спецификация'!B:D,3,0)," ")</f>
        <v>4603335716019</v>
      </c>
      <c r="BG151" s="22">
        <v>2.106909808E9</v>
      </c>
      <c r="BH151" s="22" t="str">
        <f>IFERROR(VLOOKUP(C151,'спецификация'!B:AA,5,0)," ")</f>
        <v>RU.77.99.11.003.R.002166.07.22 от 05.07.2022.</v>
      </c>
      <c r="BI151" s="22"/>
      <c r="BJ151" s="22" t="str">
        <f>IFERROR(VLOOKUP(C151,'спецификация'!B:AA,6,0)," ")</f>
        <v>ЧЗ</v>
      </c>
      <c r="BK151" s="43"/>
      <c r="BL151" s="43"/>
      <c r="BM151" s="22" t="str">
        <f>IFERROR(VLOOKUP(BF151,'спецификация'!D:H,5,0)," ")</f>
        <v>L-тирозин, антислеживающие агенты магниевая соль стеариновой кислоты, тальк пищевой, капсула (желатин, краситель диоксид титана)</v>
      </c>
      <c r="BN151" s="43"/>
      <c r="BO151" s="22" t="str">
        <f>IFERROR(VLOOKUP(C151,'спецификация'!B:AA,10,0)," ")</f>
        <v>взрослым по 3 капсулы в день во время еды в течение одного месяца, при необходимости прием можно продлить.</v>
      </c>
      <c r="BP151" s="43" t="str">
        <f>IFERROR(VLOOKUP(C151,'спецификация'!B:AA,11,0)," ")</f>
        <v>индивидуальная непереносимость, беременность, кормление грудью, перед приемом необходимо проконсультироваться с врачом.</v>
      </c>
      <c r="BQ151" s="22" t="str">
        <f>IFERROR(VLOOKUP(C151,'спецификация'!B:AA,12,0)," ")</f>
        <v>Хранить в сухом недоступном для детей месте при температуре не выше 25◦С.</v>
      </c>
      <c r="BR151" s="22">
        <v>90.0</v>
      </c>
      <c r="BS151" s="22" t="s">
        <v>492</v>
      </c>
      <c r="BT151" s="43"/>
      <c r="BU151" s="22"/>
      <c r="BV151" s="22" t="s">
        <v>307</v>
      </c>
      <c r="BW151" s="44" t="str">
        <f>IFERROR(VLOOKUP(C151,'спецификация'!B:AA,16,0)," ")</f>
        <v>https://docs.google.com/document/d/1KddGQW9GDq287mWP_dxRFNY_0GywMlnL4TwjKSMme9Q/edit?usp=sharing</v>
      </c>
      <c r="BX151" s="43"/>
      <c r="BY151" s="43"/>
      <c r="BZ151" s="44" t="str">
        <f>IFERROR(VLOOKUP(BF151,'спецификация'!D:Y,22,0)," ")</f>
        <v>https://drive.google.com/drive/u/0/folders/19m8lrdZHn9QlUhwuhVd3vXY6W7AbwHzm</v>
      </c>
      <c r="CA151" s="43"/>
      <c r="CB151" s="43"/>
      <c r="CC151" s="43"/>
      <c r="CD151" s="43"/>
      <c r="CE151" s="43"/>
      <c r="CF151" s="43"/>
      <c r="CG151" s="49">
        <f>IFERROR(VLOOKUP(C151,CC!A:D,4,0)," ")</f>
        <v>226</v>
      </c>
      <c r="CH151" s="22" t="str">
        <f>IFERROR(VLOOKUP(C151,'спецификация'!B:AA,19,0)," ")</f>
        <v>ООО "ЮНИЭКО" 115201 Москва 1й Варшавский проезд 2с26</v>
      </c>
      <c r="CI151" s="22"/>
      <c r="CJ151" s="22" t="s">
        <v>519</v>
      </c>
      <c r="CK151" s="22">
        <f>IFERROR(VLOOKUP(C151,CC!K:M,3,0)," ")</f>
        <v>60</v>
      </c>
      <c r="CL151" s="43"/>
      <c r="CM151" s="43"/>
      <c r="CN151" s="43"/>
      <c r="CO151" s="43"/>
      <c r="CP151" s="43"/>
      <c r="CQ151" s="43"/>
      <c r="CR151" s="43"/>
      <c r="CS151" s="43" t="b">
        <v>0</v>
      </c>
      <c r="CT151" s="43" t="b">
        <v>0</v>
      </c>
      <c r="CU151" s="43" t="b">
        <v>0</v>
      </c>
      <c r="CV151" s="43" t="b">
        <v>0</v>
      </c>
      <c r="CW151" s="43"/>
      <c r="CX151" s="43"/>
      <c r="CY151" s="43"/>
      <c r="CZ151" s="43"/>
      <c r="DA151" s="43"/>
      <c r="DB151" s="43"/>
      <c r="DC151" s="43"/>
      <c r="DD151" s="22">
        <f>IFERROR(VLOOKUP($C151,'Лист4'!$D:$AI,27,0)," ")</f>
        <v>9</v>
      </c>
      <c r="DE151" s="22">
        <f>IFERROR(VLOOKUP($C151,'Лист4'!$D:$AI,28,0)," ")</f>
        <v>5</v>
      </c>
      <c r="DF151" s="22">
        <f>IFERROR(VLOOKUP($C151,'Лист4'!$D:$AI,29,0)," ")</f>
        <v>9</v>
      </c>
      <c r="DG151" s="22">
        <f t="shared" si="3"/>
        <v>405</v>
      </c>
      <c r="DH151" s="22">
        <f>IFERROR(VLOOKUP($C151,'Лист4'!$D:$AI,32,0)," ")</f>
        <v>0.01</v>
      </c>
      <c r="DI151" s="22"/>
      <c r="DJ151" s="22"/>
      <c r="DK151" s="22"/>
      <c r="DL151" s="22"/>
      <c r="DM151" s="22"/>
      <c r="DN151" s="22"/>
      <c r="DO151" s="22"/>
      <c r="DP151" s="22"/>
      <c r="DQ151" s="22"/>
      <c r="DR151" s="22"/>
      <c r="DS151" s="22"/>
      <c r="DT151" s="22"/>
      <c r="DU151" s="22"/>
      <c r="DV151" s="22"/>
      <c r="DW151" s="22"/>
      <c r="DX151" s="22"/>
      <c r="DY151" s="22"/>
      <c r="DZ151" s="22"/>
      <c r="EA151" s="22"/>
      <c r="EB151" s="22"/>
      <c r="EC151" s="22"/>
      <c r="ED151" s="22"/>
      <c r="EE151" s="22"/>
      <c r="EF151" s="22"/>
      <c r="EG151" s="22"/>
      <c r="EH151" s="22"/>
      <c r="EI151" s="22"/>
      <c r="EJ151" s="22"/>
      <c r="EK151" s="22"/>
      <c r="EL151" s="22"/>
      <c r="EM151" s="43"/>
      <c r="EN151" s="43"/>
      <c r="EO151" s="43"/>
      <c r="EP151" s="43"/>
      <c r="EQ151" s="43"/>
      <c r="ER151" s="43"/>
      <c r="ES151" s="43"/>
      <c r="ET151" s="43"/>
      <c r="EU151" s="43"/>
      <c r="EV151" s="43"/>
      <c r="EW151" s="43"/>
      <c r="EX151" s="43"/>
      <c r="EY151" s="43"/>
      <c r="EZ151" s="43"/>
      <c r="FA151" s="43"/>
      <c r="FB151" s="43"/>
      <c r="FC151" s="43"/>
    </row>
    <row r="152" ht="18.0" customHeight="1">
      <c r="A152" s="2"/>
      <c r="B152" s="22" t="str">
        <f>IFERROR(VLOOKUP(C152,'Реестр'!C:AC,27,0)," ")</f>
        <v>Биг-Л</v>
      </c>
      <c r="C152" s="43" t="s">
        <v>2418</v>
      </c>
      <c r="D152" s="22" t="str">
        <f>IFERROR(VLOOKUP(C152,'Лист4'!D:P,13,0)," ")</f>
        <v>qeep</v>
      </c>
      <c r="E152" s="22" t="str">
        <f>IF(OR(ISERROR(VLOOKUP(C152,'Актуальность'!A:B,2,0)), VLOOKUP(C152,'Актуальность'!A:B,2,0)=""), "Актуальный", VLOOKUP(C152,'Актуальность'!A:B,2,0))</f>
        <v>Вывод</v>
      </c>
      <c r="F152" s="43" t="str">
        <f>IFERROR(VLOOKUP(C152,'Актуальность'!A:C,3,0)," ")</f>
        <v>Старый артикул</v>
      </c>
      <c r="G152" s="43"/>
      <c r="H152" s="22"/>
      <c r="I152" s="22"/>
      <c r="J152" s="43"/>
      <c r="K152" s="43"/>
      <c r="L152" s="22" t="b">
        <f t="shared" ref="L152:R152" si="148">T152&lt;&gt;""</f>
        <v>1</v>
      </c>
      <c r="M152" s="22" t="b">
        <f t="shared" si="148"/>
        <v>1</v>
      </c>
      <c r="N152" s="22" t="b">
        <f t="shared" si="148"/>
        <v>1</v>
      </c>
      <c r="O152" s="22" t="b">
        <f t="shared" si="148"/>
        <v>0</v>
      </c>
      <c r="P152" s="22" t="b">
        <f t="shared" si="148"/>
        <v>0</v>
      </c>
      <c r="Q152" s="22" t="b">
        <f t="shared" si="148"/>
        <v>0</v>
      </c>
      <c r="R152" s="22" t="b">
        <f t="shared" si="148"/>
        <v>0</v>
      </c>
      <c r="S152" s="43"/>
      <c r="T152" s="43" t="str">
        <f>IFERROR(VLOOKUP( C152,'1С'!A:B,2,0)," ")</f>
        <v>QB101100400</v>
      </c>
      <c r="U152" s="22" t="str">
        <f>IFERROR(VLOOKUP(T152,'Лист4'!C:I,3,0)," ")</f>
        <v>qeep_5htp_60caps</v>
      </c>
      <c r="V152" s="22" t="str">
        <f>IFERROR(VLOOKUP(T152,'Лист4'!C:I,4,0)," ")</f>
        <v>qeep_5htp_60caps</v>
      </c>
      <c r="W152" s="22" t="str">
        <f>IFERROR(VLOOKUP(T152,'Лист4'!C:I,5,0)," ")</f>
        <v/>
      </c>
      <c r="X152" s="43" t="str">
        <f>IFERROR(VLOOKUP(T152,'Лист4'!C:I,7,0)," ")</f>
        <v/>
      </c>
      <c r="Y152" s="43" t="str">
        <f>IFERROR(VLOOKUP(T152,'Лист4'!C:I,6,0)," ")</f>
        <v/>
      </c>
      <c r="Z152" s="43"/>
      <c r="AA152" s="43"/>
      <c r="AB152" s="22">
        <v>1.63758027E8</v>
      </c>
      <c r="AC152" s="22">
        <v>1.020776527E9</v>
      </c>
      <c r="AD152" s="22"/>
      <c r="AE152" s="22"/>
      <c r="AF152" s="22"/>
      <c r="AG152" s="43"/>
      <c r="AH152" s="43"/>
      <c r="AI152" s="43" t="str">
        <f>IFERROR(VLOOKUP(T152,'1С'!B:C,2,0)," ")</f>
        <v>БАД 5 HTP, qeep, 60 капсул</v>
      </c>
      <c r="AJ152" s="22" t="s">
        <v>2421</v>
      </c>
      <c r="AK152" s="22" t="s">
        <v>2422</v>
      </c>
      <c r="AL152" s="43"/>
      <c r="AM152" s="43"/>
      <c r="AN152" s="43"/>
      <c r="AO152" s="43"/>
      <c r="AP152" s="43"/>
      <c r="AQ152" s="46" t="s">
        <v>2423</v>
      </c>
      <c r="AR152" s="46" t="s">
        <v>2424</v>
      </c>
      <c r="AS152" s="43"/>
      <c r="AT152" s="43"/>
      <c r="AU152" s="43"/>
      <c r="AV152" s="43"/>
      <c r="AW152" s="43"/>
      <c r="AX152" s="22" t="s">
        <v>361</v>
      </c>
      <c r="AY152" s="22" t="s">
        <v>2422</v>
      </c>
      <c r="AZ152" s="43"/>
      <c r="BA152" s="43"/>
      <c r="BB152" s="43"/>
      <c r="BC152" s="43"/>
      <c r="BD152" s="43"/>
      <c r="BE152" s="43"/>
      <c r="BF152" s="22" t="str">
        <f>IFERROR(VLOOKUP(C152,'спецификация'!B:D,3,0)," ")</f>
        <v>4620153902455</v>
      </c>
      <c r="BG152" s="22">
        <v>2.106909808E9</v>
      </c>
      <c r="BH152" s="22" t="str">
        <f>IFERROR(VLOOKUP(C152,'спецификация'!B:AA,5,0)," ")</f>
        <v>RU.77.99.11.003.R.002598.08.20 от 20.08.2020 г.</v>
      </c>
      <c r="BI152" s="22"/>
      <c r="BJ152" s="22" t="str">
        <f>IFERROR(VLOOKUP(C152,'спецификация'!B:AA,6,0)," ")</f>
        <v>ЧЗ</v>
      </c>
      <c r="BK152" s="43"/>
      <c r="BL152" s="43"/>
      <c r="BM152" s="22" t="str">
        <f>IFERROR(VLOOKUP(BF152,'спецификация'!D:H,5,0)," ")</f>
        <v>экстракт семян гриффонии (5L-гидрокситриптофан), глицин, L-теанин, кальциевая соль стеариновой кислоты (агент антислеживающий), витамин В6 (пиридоксина гидрохлорид), микрокристаллическая целлюлоза (носитель), крахмал картофельный (носитель), капсула желатиновая (желатин (носитель), глицерин (агент влагоудерживающий)).</v>
      </c>
      <c r="BN152" s="43"/>
      <c r="BO152" s="22" t="str">
        <f>IFERROR(VLOOKUP(C152,'спецификация'!B:AA,10,0)," ")</f>
        <v>взрослым по 1 капсуле 1 раз в день во время еды. Продолжительность приема 1 месяц.</v>
      </c>
      <c r="BP152" s="43" t="str">
        <f>IFERROR(VLOOKUP(C152,'спецификация'!B:AA,11,0),"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52" s="22" t="str">
        <f>IFERROR(VLOOKUP(C152,'спецификация'!B:AA,12,0)," ")</f>
        <v>Хранить в недоступном для детей месте, при температуре не выше 25ºС и относительной влажности воздуха не более 60%.</v>
      </c>
      <c r="BR152" s="22">
        <v>60.0</v>
      </c>
      <c r="BS152" s="22" t="s">
        <v>492</v>
      </c>
      <c r="BT152" s="43"/>
      <c r="BU152" s="22"/>
      <c r="BV152" s="22" t="s">
        <v>307</v>
      </c>
      <c r="BW152" s="44" t="str">
        <f>IFERROR(VLOOKUP(C152,'спецификация'!B:AA,16,0)," ")</f>
        <v>https://docs.google.com/document/d/1ydm0jUlYk3YSuTDnErCtWOXpgNZrkzslAgSNYUI_juA/edit?usp=sharing</v>
      </c>
      <c r="BX152" s="43"/>
      <c r="BY152" s="43"/>
      <c r="BZ152" s="44" t="str">
        <f>IFERROR(VLOOKUP(BF152,'спецификация'!D:Y,22,0)," ")</f>
        <v>https://drive.google.com/drive/u/0/folders/14EzPiNoC20r_DImCcRjqOlTY6wTeMGDE</v>
      </c>
      <c r="CA152" s="43"/>
      <c r="CB152" s="43"/>
      <c r="CC152" s="43"/>
      <c r="CD152" s="43"/>
      <c r="CE152" s="43"/>
      <c r="CF152" s="43"/>
      <c r="CG152" s="49">
        <f>IFERROR(VLOOKUP(C152,CC!A:D,4,0)," ")</f>
        <v>343.7</v>
      </c>
      <c r="CH152" s="22" t="str">
        <f>IFERROR(VLOOKUP(C152,'спецификация'!B:AA,19,0)," ")</f>
        <v>ООО «Сибфармконтракт», Россия, 634034, г. Томск, ул. Нахимова 8, стр. 11.</v>
      </c>
      <c r="CI152" s="22"/>
      <c r="CJ152" s="22" t="s">
        <v>562</v>
      </c>
      <c r="CK152" s="22">
        <f>IFERROR(VLOOKUP(C152,CC!K:M,3,0)," ")</f>
        <v>90</v>
      </c>
      <c r="CL152" s="43"/>
      <c r="CM152" s="43"/>
      <c r="CN152" s="43"/>
      <c r="CO152" s="43"/>
      <c r="CP152" s="43"/>
      <c r="CQ152" s="43"/>
      <c r="CR152" s="43"/>
      <c r="CS152" s="43" t="b">
        <v>0</v>
      </c>
      <c r="CT152" s="43" t="b">
        <v>0</v>
      </c>
      <c r="CU152" s="43" t="b">
        <v>0</v>
      </c>
      <c r="CV152" s="43" t="b">
        <v>0</v>
      </c>
      <c r="CW152" s="43"/>
      <c r="CX152" s="43"/>
      <c r="CY152" s="43"/>
      <c r="CZ152" s="43"/>
      <c r="DA152" s="43"/>
      <c r="DB152" s="43"/>
      <c r="DC152" s="43"/>
      <c r="DD152" s="22">
        <f>IFERROR(VLOOKUP($C152,'Лист4'!$D:$AI,27,0)," ")</f>
        <v>9</v>
      </c>
      <c r="DE152" s="22">
        <f>IFERROR(VLOOKUP($C152,'Лист4'!$D:$AI,28,0)," ")</f>
        <v>4</v>
      </c>
      <c r="DF152" s="22">
        <f>IFERROR(VLOOKUP($C152,'Лист4'!$D:$AI,29,0)," ")</f>
        <v>9</v>
      </c>
      <c r="DG152" s="22">
        <f t="shared" si="3"/>
        <v>324</v>
      </c>
      <c r="DH152" s="22">
        <f>IFERROR(VLOOKUP($C152,'Лист4'!$D:$AI,32,0)," ")</f>
        <v>0.062</v>
      </c>
      <c r="DI152" s="22"/>
      <c r="DJ152" s="22"/>
      <c r="DK152" s="22"/>
      <c r="DL152" s="22"/>
      <c r="DM152" s="22"/>
      <c r="DN152" s="22"/>
      <c r="DO152" s="22"/>
      <c r="DP152" s="22"/>
      <c r="DQ152" s="22"/>
      <c r="DR152" s="22"/>
      <c r="DS152" s="22"/>
      <c r="DT152" s="22"/>
      <c r="DU152" s="22"/>
      <c r="DV152" s="22"/>
      <c r="DW152" s="22"/>
      <c r="DX152" s="22"/>
      <c r="DY152" s="22"/>
      <c r="DZ152" s="22"/>
      <c r="EA152" s="22"/>
      <c r="EB152" s="22"/>
      <c r="EC152" s="22"/>
      <c r="ED152" s="22"/>
      <c r="EE152" s="22"/>
      <c r="EF152" s="22"/>
      <c r="EG152" s="22"/>
      <c r="EH152" s="22"/>
      <c r="EI152" s="22"/>
      <c r="EJ152" s="22"/>
      <c r="EK152" s="22"/>
      <c r="EL152" s="22"/>
      <c r="EM152" s="43"/>
      <c r="EN152" s="43"/>
      <c r="EO152" s="43"/>
      <c r="EP152" s="43"/>
      <c r="EQ152" s="43"/>
      <c r="ER152" s="43"/>
      <c r="ES152" s="43"/>
      <c r="ET152" s="43"/>
      <c r="EU152" s="43"/>
      <c r="EV152" s="43"/>
      <c r="EW152" s="43"/>
      <c r="EX152" s="43"/>
      <c r="EY152" s="43"/>
      <c r="EZ152" s="43"/>
      <c r="FA152" s="43"/>
      <c r="FB152" s="43"/>
      <c r="FC152" s="43"/>
    </row>
    <row r="153" ht="18.0" customHeight="1">
      <c r="A153" s="2"/>
      <c r="B153" s="22" t="str">
        <f>IFERROR(VLOOKUP(C153,'Реестр'!C:AC,27,0)," ")</f>
        <v>Биг-Л</v>
      </c>
      <c r="C153" s="43" t="s">
        <v>2431</v>
      </c>
      <c r="D153" s="22" t="str">
        <f>IFERROR(VLOOKUP(C153,'Лист4'!D:P,13,0)," ")</f>
        <v>qeep</v>
      </c>
      <c r="E153" s="22" t="str">
        <f>IF(OR(ISERROR(VLOOKUP(C153,'Актуальность'!A:B,2,0)), VLOOKUP(C153,'Актуальность'!A:B,2,0)=""), "Актуальный", VLOOKUP(C153,'Актуальность'!A:B,2,0))</f>
        <v>Вывод</v>
      </c>
      <c r="F153" s="43" t="str">
        <f>IFERROR(VLOOKUP(C153,'Актуальность'!A:C,3,0)," ")</f>
        <v>Старый артикул</v>
      </c>
      <c r="G153" s="43"/>
      <c r="H153" s="22"/>
      <c r="I153" s="22"/>
      <c r="J153" s="43"/>
      <c r="K153" s="43"/>
      <c r="L153" s="22" t="b">
        <f t="shared" ref="L153:R153" si="149">T153&lt;&gt;""</f>
        <v>1</v>
      </c>
      <c r="M153" s="22" t="b">
        <f t="shared" si="149"/>
        <v>1</v>
      </c>
      <c r="N153" s="22" t="b">
        <f t="shared" si="149"/>
        <v>1</v>
      </c>
      <c r="O153" s="22" t="b">
        <f t="shared" si="149"/>
        <v>0</v>
      </c>
      <c r="P153" s="22" t="b">
        <f t="shared" si="149"/>
        <v>0</v>
      </c>
      <c r="Q153" s="22" t="b">
        <f t="shared" si="149"/>
        <v>0</v>
      </c>
      <c r="R153" s="22" t="b">
        <f t="shared" si="149"/>
        <v>0</v>
      </c>
      <c r="S153" s="43"/>
      <c r="T153" s="43" t="str">
        <f>IFERROR(VLOOKUP( C153,'1С'!A:B,2,0)," ")</f>
        <v>QB101100465</v>
      </c>
      <c r="U153" s="22" t="str">
        <f>IFERROR(VLOOKUP(T153,'Лист4'!C:I,3,0)," ")</f>
        <v>qeep_maslo_chernogo_tmina_60caps</v>
      </c>
      <c r="V153" s="22" t="str">
        <f>IFERROR(VLOOKUP(T153,'Лист4'!C:I,4,0)," ")</f>
        <v>qeep_maslo_chernogo_tmina_60caps</v>
      </c>
      <c r="W153" s="22" t="str">
        <f>IFERROR(VLOOKUP(T153,'Лист4'!C:I,5,0)," ")</f>
        <v/>
      </c>
      <c r="X153" s="43" t="str">
        <f>IFERROR(VLOOKUP(T153,'Лист4'!C:I,7,0)," ")</f>
        <v/>
      </c>
      <c r="Y153" s="43" t="str">
        <f>IFERROR(VLOOKUP(T153,'Лист4'!C:I,6,0)," ")</f>
        <v/>
      </c>
      <c r="Z153" s="43"/>
      <c r="AA153" s="43"/>
      <c r="AB153" s="22">
        <v>1.59661866E8</v>
      </c>
      <c r="AC153" s="22">
        <v>9.66794115E8</v>
      </c>
      <c r="AD153" s="22"/>
      <c r="AE153" s="22"/>
      <c r="AF153" s="22"/>
      <c r="AG153" s="43"/>
      <c r="AH153" s="43"/>
      <c r="AI153" s="43" t="str">
        <f>IFERROR(VLOOKUP(T153,'1С'!B:C,2,0)," ")</f>
        <v>БАД Масло черного тмина ,qeep, 60 капсул</v>
      </c>
      <c r="AJ153" s="22" t="s">
        <v>2434</v>
      </c>
      <c r="AK153" s="22" t="s">
        <v>2435</v>
      </c>
      <c r="AL153" s="43"/>
      <c r="AM153" s="43"/>
      <c r="AN153" s="43"/>
      <c r="AO153" s="43"/>
      <c r="AP153" s="43"/>
      <c r="AQ153" s="46" t="s">
        <v>2436</v>
      </c>
      <c r="AR153" s="46" t="s">
        <v>2437</v>
      </c>
      <c r="AS153" s="43"/>
      <c r="AT153" s="43"/>
      <c r="AU153" s="43"/>
      <c r="AV153" s="43"/>
      <c r="AW153" s="43"/>
      <c r="AX153" s="22" t="s">
        <v>2438</v>
      </c>
      <c r="AY153" s="22" t="s">
        <v>2435</v>
      </c>
      <c r="AZ153" s="43"/>
      <c r="BA153" s="43"/>
      <c r="BB153" s="43"/>
      <c r="BC153" s="43"/>
      <c r="BD153" s="43"/>
      <c r="BE153" s="43"/>
      <c r="BF153" s="22">
        <f>IFERROR(VLOOKUP(C153,'спецификация'!B:D,3,0)," ")</f>
        <v>4620153902448</v>
      </c>
      <c r="BG153" s="22">
        <v>2.106909808E9</v>
      </c>
      <c r="BH153" s="22" t="str">
        <f>IFERROR(VLOOKUP(C153,'спецификация'!B:AA,5,0)," ")</f>
        <v>RU.77.99.11.003.R.004214.11.19 от 22.11.2019 г.</v>
      </c>
      <c r="BI153" s="22"/>
      <c r="BJ153" s="22" t="str">
        <f>IFERROR(VLOOKUP(C153,'спецификация'!B:AA,6,0)," ")</f>
        <v>ЧЗ</v>
      </c>
      <c r="BK153" s="43"/>
      <c r="BL153" s="43"/>
      <c r="BM153" s="22" t="str">
        <f>IFERROR(VLOOKUP(BF153,'спецификация'!D:H,5,0)," ")</f>
        <v>масло черного тмина, льняное масло, капсула желатиновая (желатин, глицерин), дигидрокверцетин, кремния диоксид (антислеживающий агент), березовый экстракт сухой, антиокислитель гриндокс (рапсовое масло, аскорбилпальмитат, концентрат смеси токоферолов, лецитин).</v>
      </c>
      <c r="BN153" s="43"/>
      <c r="BO153" s="22" t="str">
        <f>IFERROR(VLOOKUP(C153,'спецификация'!B:AA,10,0)," ")</f>
        <v>взрослым по 1 капсуле 1 раз в день во время еды. Продолжительность приёма 1 месяц.</v>
      </c>
      <c r="BP153" s="43" t="str">
        <f>IFERROR(VLOOKUP(C153,'спецификация'!B:AA,11,0),"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53" s="22" t="str">
        <f>IFERROR(VLOOKUP(C153,'спецификация'!B:AA,12,0)," ")</f>
        <v>Хранить в недоступном для детей месте, при температуре от 15 до 25ºС и относительной влажности воздуха не более 60%.</v>
      </c>
      <c r="BR153" s="22">
        <v>60.0</v>
      </c>
      <c r="BS153" s="22" t="s">
        <v>492</v>
      </c>
      <c r="BT153" s="43"/>
      <c r="BU153" s="22"/>
      <c r="BV153" s="22" t="s">
        <v>307</v>
      </c>
      <c r="BW153" s="44" t="str">
        <f>IFERROR(VLOOKUP(C153,'спецификация'!B:AA,16,0)," ")</f>
        <v>https://docs.google.com/document/d/1NkzIaNIrO5zFFMW1Re2vJ8os1yqsSj2X9RsMM3oN4nM/edit?usp=sharing</v>
      </c>
      <c r="BX153" s="43"/>
      <c r="BY153" s="43"/>
      <c r="BZ153" s="44" t="str">
        <f>IFERROR(VLOOKUP(BF153,'спецификация'!D:Y,22,0)," ")</f>
        <v>https://drive.google.com/drive/u/0/folders/1enqq2GVvMzhMHRfe5WeWAH_wraJzlmAL</v>
      </c>
      <c r="CA153" s="43"/>
      <c r="CB153" s="43"/>
      <c r="CC153" s="43"/>
      <c r="CD153" s="43"/>
      <c r="CE153" s="43"/>
      <c r="CF153" s="43"/>
      <c r="CG153" s="49">
        <f>IFERROR(VLOOKUP(C153,CC!A:D,4,0)," ")</f>
        <v>229.06</v>
      </c>
      <c r="CH153" s="22" t="str">
        <f>IFERROR(VLOOKUP(C153,'спецификация'!B:AA,19,0)," ")</f>
        <v>ООО «Сибфармконтракт», Россия, 634034, г. Томск, ул. Нахимова 8, стр. 11.</v>
      </c>
      <c r="CI153" s="22"/>
      <c r="CJ153" s="22" t="s">
        <v>562</v>
      </c>
      <c r="CK153" s="22">
        <f>IFERROR(VLOOKUP(C153,CC!K:M,3,0)," ")</f>
        <v>90</v>
      </c>
      <c r="CL153" s="43"/>
      <c r="CM153" s="43"/>
      <c r="CN153" s="43"/>
      <c r="CO153" s="43"/>
      <c r="CP153" s="43"/>
      <c r="CQ153" s="43"/>
      <c r="CR153" s="43"/>
      <c r="CS153" s="43" t="b">
        <v>0</v>
      </c>
      <c r="CT153" s="43" t="b">
        <v>0</v>
      </c>
      <c r="CU153" s="43" t="b">
        <v>0</v>
      </c>
      <c r="CV153" s="43" t="b">
        <v>0</v>
      </c>
      <c r="CW153" s="43"/>
      <c r="CX153" s="43"/>
      <c r="CY153" s="43"/>
      <c r="CZ153" s="43"/>
      <c r="DA153" s="43"/>
      <c r="DB153" s="43"/>
      <c r="DC153" s="43"/>
      <c r="DD153" s="22">
        <f>IFERROR(VLOOKUP($C153,'Лист4'!$D:$AI,27,0)," ")</f>
        <v>2</v>
      </c>
      <c r="DE153" s="22">
        <f>IFERROR(VLOOKUP($C153,'Лист4'!$D:$AI,28,0)," ")</f>
        <v>10</v>
      </c>
      <c r="DF153" s="22">
        <f>IFERROR(VLOOKUP($C153,'Лист4'!$D:$AI,29,0)," ")</f>
        <v>2</v>
      </c>
      <c r="DG153" s="22">
        <f t="shared" si="3"/>
        <v>40</v>
      </c>
      <c r="DH153" s="22">
        <f>IFERROR(VLOOKUP($C153,'Лист4'!$D:$AI,32,0)," ")</f>
        <v>0.007</v>
      </c>
      <c r="DI153" s="22"/>
      <c r="DJ153" s="22"/>
      <c r="DK153" s="22"/>
      <c r="DL153" s="22"/>
      <c r="DM153" s="22"/>
      <c r="DN153" s="22"/>
      <c r="DO153" s="22"/>
      <c r="DP153" s="22"/>
      <c r="DQ153" s="22"/>
      <c r="DR153" s="22"/>
      <c r="DS153" s="22"/>
      <c r="DT153" s="22"/>
      <c r="DU153" s="22"/>
      <c r="DV153" s="22"/>
      <c r="DW153" s="22"/>
      <c r="DX153" s="22"/>
      <c r="DY153" s="22"/>
      <c r="DZ153" s="22"/>
      <c r="EA153" s="22"/>
      <c r="EB153" s="22"/>
      <c r="EC153" s="22"/>
      <c r="ED153" s="22"/>
      <c r="EE153" s="22"/>
      <c r="EF153" s="22"/>
      <c r="EG153" s="22"/>
      <c r="EH153" s="22"/>
      <c r="EI153" s="22"/>
      <c r="EJ153" s="22"/>
      <c r="EK153" s="22"/>
      <c r="EL153" s="22"/>
      <c r="EM153" s="43"/>
      <c r="EN153" s="43"/>
      <c r="EO153" s="43"/>
      <c r="EP153" s="43"/>
      <c r="EQ153" s="43"/>
      <c r="ER153" s="43"/>
      <c r="ES153" s="43"/>
      <c r="ET153" s="43"/>
      <c r="EU153" s="43"/>
      <c r="EV153" s="43"/>
      <c r="EW153" s="43"/>
      <c r="EX153" s="43"/>
      <c r="EY153" s="43"/>
      <c r="EZ153" s="43"/>
      <c r="FA153" s="43"/>
      <c r="FB153" s="43"/>
      <c r="FC153" s="43"/>
    </row>
    <row r="154" ht="18.0" customHeight="1">
      <c r="A154" s="2"/>
      <c r="B154" s="22" t="str">
        <f>IFERROR(VLOOKUP(C154,'Реестр'!C:AC,27,0)," ")</f>
        <v>Биг-Л</v>
      </c>
      <c r="C154" s="43" t="s">
        <v>2444</v>
      </c>
      <c r="D154" s="22" t="str">
        <f>IFERROR(VLOOKUP(C154,'Лист4'!D:P,13,0)," ")</f>
        <v>qeep</v>
      </c>
      <c r="E154" s="22" t="str">
        <f>IF(OR(ISERROR(VLOOKUP(C154,'Актуальность'!A:B,2,0)), VLOOKUP(C154,'Актуальность'!A:B,2,0)=""), "Актуальный", VLOOKUP(C154,'Актуальность'!A:B,2,0))</f>
        <v>Перезапуск</v>
      </c>
      <c r="F154" s="43" t="str">
        <f>IFERROR(VLOOKUP(C154,'Актуальность'!A:C,3,0)," ")</f>
        <v/>
      </c>
      <c r="G154" s="43"/>
      <c r="H154" s="22"/>
      <c r="I154" s="22"/>
      <c r="J154" s="43"/>
      <c r="K154" s="43"/>
      <c r="L154" s="22" t="b">
        <f t="shared" ref="L154:R154" si="150">T154&lt;&gt;""</f>
        <v>1</v>
      </c>
      <c r="M154" s="22" t="b">
        <f t="shared" si="150"/>
        <v>1</v>
      </c>
      <c r="N154" s="22" t="b">
        <f t="shared" si="150"/>
        <v>1</v>
      </c>
      <c r="O154" s="22" t="b">
        <f t="shared" si="150"/>
        <v>1</v>
      </c>
      <c r="P154" s="22" t="b">
        <f t="shared" si="150"/>
        <v>0</v>
      </c>
      <c r="Q154" s="22" t="b">
        <f t="shared" si="150"/>
        <v>0</v>
      </c>
      <c r="R154" s="22" t="b">
        <f t="shared" si="150"/>
        <v>0</v>
      </c>
      <c r="S154" s="43"/>
      <c r="T154" s="43" t="str">
        <f>IFERROR(VLOOKUP( C154,'1С'!A:B,2,0)," ")</f>
        <v>QB101100494</v>
      </c>
      <c r="U154" s="22" t="str">
        <f>IFERROR(VLOOKUP(T154,'Лист4'!C:I,3,0)," ")</f>
        <v>qeepspirulina</v>
      </c>
      <c r="V154" s="22" t="str">
        <f>IFERROR(VLOOKUP(T154,'Лист4'!C:I,4,0)," ")</f>
        <v>qeepspirulina</v>
      </c>
      <c r="W154" s="22" t="str">
        <f>IFERROR(VLOOKUP(T154,'Лист4'!C:I,5,0)," ")</f>
        <v>qeepspirulina</v>
      </c>
      <c r="X154" s="43" t="str">
        <f>IFERROR(VLOOKUP(T154,'Лист4'!C:I,7,0)," ")</f>
        <v/>
      </c>
      <c r="Y154" s="43" t="str">
        <f>IFERROR(VLOOKUP(T154,'Лист4'!C:I,6,0)," ")</f>
        <v/>
      </c>
      <c r="Z154" s="43"/>
      <c r="AA154" s="43"/>
      <c r="AB154" s="22">
        <v>9.038069E7</v>
      </c>
      <c r="AC154" s="22">
        <v>6.17343284E8</v>
      </c>
      <c r="AD154" s="22">
        <v>1.01797607977E11</v>
      </c>
      <c r="AE154" s="22"/>
      <c r="AF154" s="22"/>
      <c r="AG154" s="43"/>
      <c r="AH154" s="43"/>
      <c r="AI154" s="43" t="str">
        <f>IFERROR(VLOOKUP(T154,'1С'!B:C,2,0)," ")</f>
        <v>БАД Спирулина хлорелла ,qeep, 60 капсул</v>
      </c>
      <c r="AJ154" s="22" t="s">
        <v>2447</v>
      </c>
      <c r="AK154" s="22" t="s">
        <v>2448</v>
      </c>
      <c r="AL154" s="22" t="s">
        <v>2448</v>
      </c>
      <c r="AM154" s="43"/>
      <c r="AN154" s="43"/>
      <c r="AO154" s="43"/>
      <c r="AP154" s="43"/>
      <c r="AQ154" s="46" t="s">
        <v>2449</v>
      </c>
      <c r="AR154" s="46" t="s">
        <v>2450</v>
      </c>
      <c r="AS154" s="46" t="s">
        <v>2451</v>
      </c>
      <c r="AT154" s="43"/>
      <c r="AU154" s="43"/>
      <c r="AV154" s="43"/>
      <c r="AW154" s="43"/>
      <c r="AX154" s="22" t="s">
        <v>2452</v>
      </c>
      <c r="AY154" s="22" t="s">
        <v>2448</v>
      </c>
      <c r="AZ154" s="22" t="s">
        <v>372</v>
      </c>
      <c r="BA154" s="43"/>
      <c r="BB154" s="43"/>
      <c r="BC154" s="43"/>
      <c r="BD154" s="43"/>
      <c r="BE154" s="43"/>
      <c r="BF154" s="22" t="str">
        <f>IFERROR(VLOOKUP(C154,'спецификация'!B:D,3,0)," ")</f>
        <v>4630040228490</v>
      </c>
      <c r="BG154" s="22">
        <v>2.106909803E9</v>
      </c>
      <c r="BH154" s="22" t="str">
        <f>IFERROR(VLOOKUP(C154,'спецификация'!B:AA,5,0)," ")</f>
        <v>AM.01.06.01.003.R.000122.10.19 от 30.10.2019 г.</v>
      </c>
      <c r="BI154" s="46" t="s">
        <v>2455</v>
      </c>
      <c r="BJ154" s="22" t="str">
        <f>IFERROR(VLOOKUP(C154,'спецификация'!B:AA,6,0)," ")</f>
        <v>ЧЗ</v>
      </c>
      <c r="BK154" s="43"/>
      <c r="BL154" s="43"/>
      <c r="BM154" s="22" t="str">
        <f>IFERROR(VLOOKUP(BF154,'спецификация'!D:H,5,0)," ")</f>
        <v>мумиё алтайское, спирулина порошок, хлорелла порошок, чаги экстракт сухой, бета-каротин, маточное молочко, витамин А (ретинола ацетат). Вспомогательные вещества: целлюлоза микрокристаллическая (носитель), капсула желатиновая (желатин, глицерин), антислеживатели: кальция стеарат, кремния диоксид, натрия стеарил фумарат.</v>
      </c>
      <c r="BN154" s="43"/>
      <c r="BO154" s="22" t="str">
        <f>IFERROR(VLOOKUP(C154,'спецификация'!B:AA,10,0)," ")</f>
        <v>взрослым по 1 капсуле 2 раза в день во время еды. Курс приема 1 месяц.</v>
      </c>
      <c r="BP154" s="43" t="str">
        <f>IFERROR(VLOOKUP(C154,'спецификация'!B:AA,11,0),"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54" s="22" t="str">
        <f>IFERROR(VLOOKUP(C154,'спецификация'!B:AA,12,0)," ")</f>
        <v> в недоступном для детей месте, при температуре не выше +25ºС и относительной влажности воздуха не более 60%.
</v>
      </c>
      <c r="BR154" s="22">
        <v>60.0</v>
      </c>
      <c r="BS154" s="22" t="s">
        <v>421</v>
      </c>
      <c r="BT154" s="22"/>
      <c r="BU154" s="22"/>
      <c r="BV154" s="22" t="s">
        <v>307</v>
      </c>
      <c r="BW154" s="44" t="str">
        <f>IFERROR(VLOOKUP(C154,'спецификация'!B:AA,16,0)," ")</f>
        <v>https://drive.google.com/drive/u/0/folders/1MKFLiU6mHE53UV_DZzC9Nf-pTOzGkwD5</v>
      </c>
      <c r="BX154" s="43"/>
      <c r="BY154" s="43"/>
      <c r="BZ154" s="44" t="str">
        <f>IFERROR(VLOOKUP(BF154,'спецификация'!D:Y,22,0)," ")</f>
        <v>https://drive.google.com/drive/u/0/folders/1MKFLiU6mHE53UV_DZzC9Nf-pTOzGkwD5</v>
      </c>
      <c r="CA154" s="43"/>
      <c r="CB154" s="43"/>
      <c r="CC154" s="43"/>
      <c r="CD154" s="43"/>
      <c r="CE154" s="43"/>
      <c r="CF154" s="43"/>
      <c r="CG154" s="49">
        <f>IFERROR(VLOOKUP(C154,CC!A:D,4,0)," ")</f>
        <v>272.47</v>
      </c>
      <c r="CH154" s="22" t="str">
        <f>IFERROR(VLOOKUP(C154,'спецификация'!B:AA,19,0)," ")</f>
        <v>ООО «Сибфармконтракт», Россия, 634034, г. Томск, ул. Нахимова 8, стр. 11.</v>
      </c>
      <c r="CI154" s="22"/>
      <c r="CJ154" s="22" t="s">
        <v>562</v>
      </c>
      <c r="CK154" s="22" t="str">
        <f>IFERROR(VLOOKUP(C154,CC!K:M,3,0)," ")</f>
        <v> </v>
      </c>
      <c r="CL154" s="43"/>
      <c r="CM154" s="43"/>
      <c r="CN154" s="43"/>
      <c r="CO154" s="43"/>
      <c r="CP154" s="43"/>
      <c r="CQ154" s="43"/>
      <c r="CR154" s="43"/>
      <c r="CS154" s="43" t="b">
        <v>0</v>
      </c>
      <c r="CT154" s="43" t="b">
        <v>0</v>
      </c>
      <c r="CU154" s="43" t="b">
        <v>0</v>
      </c>
      <c r="CV154" s="43" t="b">
        <v>0</v>
      </c>
      <c r="CW154" s="43"/>
      <c r="CX154" s="43"/>
      <c r="CY154" s="43"/>
      <c r="CZ154" s="43"/>
      <c r="DA154" s="43"/>
      <c r="DB154" s="43"/>
      <c r="DC154" s="43"/>
      <c r="DD154" s="22">
        <f>IFERROR(VLOOKUP($C154,'Лист4'!$D:$AI,27,0)," ")</f>
        <v>10</v>
      </c>
      <c r="DE154" s="22">
        <f>IFERROR(VLOOKUP($C154,'Лист4'!$D:$AI,28,0)," ")</f>
        <v>5</v>
      </c>
      <c r="DF154" s="22">
        <f>IFERROR(VLOOKUP($C154,'Лист4'!$D:$AI,29,0)," ")</f>
        <v>10</v>
      </c>
      <c r="DG154" s="22">
        <f t="shared" si="3"/>
        <v>500</v>
      </c>
      <c r="DH154" s="22">
        <f>IFERROR(VLOOKUP($C154,'Лист4'!$D:$AI,32,0)," ")</f>
        <v>0.129</v>
      </c>
      <c r="DI154" s="22"/>
      <c r="DJ154" s="22"/>
      <c r="DK154" s="22"/>
      <c r="DL154" s="22"/>
      <c r="DM154" s="22"/>
      <c r="DN154" s="22"/>
      <c r="DO154" s="22"/>
      <c r="DP154" s="22"/>
      <c r="DQ154" s="22"/>
      <c r="DR154" s="22"/>
      <c r="DS154" s="22"/>
      <c r="DT154" s="22"/>
      <c r="DU154" s="22"/>
      <c r="DV154" s="22"/>
      <c r="DW154" s="22"/>
      <c r="DX154" s="22"/>
      <c r="DY154" s="22"/>
      <c r="DZ154" s="22"/>
      <c r="EA154" s="22"/>
      <c r="EB154" s="22"/>
      <c r="EC154" s="22"/>
      <c r="ED154" s="22"/>
      <c r="EE154" s="22"/>
      <c r="EF154" s="22"/>
      <c r="EG154" s="22"/>
      <c r="EH154" s="22"/>
      <c r="EI154" s="22"/>
      <c r="EJ154" s="22"/>
      <c r="EK154" s="22"/>
      <c r="EL154" s="22"/>
      <c r="EM154" s="43"/>
      <c r="EN154" s="43"/>
      <c r="EO154" s="43"/>
      <c r="EP154" s="43"/>
      <c r="EQ154" s="43"/>
      <c r="ER154" s="43"/>
      <c r="ES154" s="43"/>
      <c r="ET154" s="43"/>
      <c r="EU154" s="43"/>
      <c r="EV154" s="43"/>
      <c r="EW154" s="43"/>
      <c r="EX154" s="43"/>
      <c r="EY154" s="43"/>
      <c r="EZ154" s="43"/>
      <c r="FA154" s="43"/>
      <c r="FB154" s="43"/>
      <c r="FC154" s="43"/>
    </row>
    <row r="155" ht="18.0" customHeight="1">
      <c r="A155" s="2"/>
      <c r="B155" s="22" t="str">
        <f>IFERROR(VLOOKUP(C155,'Реестр'!C:AC,27,0)," ")</f>
        <v>Биг-Л</v>
      </c>
      <c r="C155" s="43" t="s">
        <v>2459</v>
      </c>
      <c r="D155" s="22" t="str">
        <f>IFERROR(VLOOKUP(C155,'Лист4'!D:P,13,0)," ")</f>
        <v>qeep</v>
      </c>
      <c r="E155" s="22" t="str">
        <f>IF(OR(ISERROR(VLOOKUP(C155,'Актуальность'!A:B,2,0)), VLOOKUP(C155,'Актуальность'!A:B,2,0)=""), "Актуальный", VLOOKUP(C155,'Актуальность'!A:B,2,0))</f>
        <v>Вывод</v>
      </c>
      <c r="F155" s="43" t="str">
        <f>IFERROR(VLOOKUP(C155,'Актуальность'!A:C,3,0)," ")</f>
        <v>Старый артикул</v>
      </c>
      <c r="G155" s="43"/>
      <c r="H155" s="22"/>
      <c r="I155" s="22"/>
      <c r="J155" s="43"/>
      <c r="K155" s="43"/>
      <c r="L155" s="22" t="b">
        <f t="shared" ref="L155:R155" si="151">T155&lt;&gt;""</f>
        <v>1</v>
      </c>
      <c r="M155" s="22" t="b">
        <f t="shared" si="151"/>
        <v>1</v>
      </c>
      <c r="N155" s="22" t="b">
        <f t="shared" si="151"/>
        <v>1</v>
      </c>
      <c r="O155" s="22" t="b">
        <f t="shared" si="151"/>
        <v>0</v>
      </c>
      <c r="P155" s="22" t="b">
        <f t="shared" si="151"/>
        <v>0</v>
      </c>
      <c r="Q155" s="22" t="b">
        <f t="shared" si="151"/>
        <v>0</v>
      </c>
      <c r="R155" s="22" t="b">
        <f t="shared" si="151"/>
        <v>0</v>
      </c>
      <c r="S155" s="43"/>
      <c r="T155" s="43" t="str">
        <f>IFERROR(VLOOKUP( C155,'1С'!A:B,2,0)," ")</f>
        <v>QB101100495</v>
      </c>
      <c r="U155" s="22" t="str">
        <f>IFERROR(VLOOKUP(T155,'Лист4'!C:I,3,0)," ")</f>
        <v>qeepspirulina1+1</v>
      </c>
      <c r="V155" s="22" t="str">
        <f>IFERROR(VLOOKUP(T155,'Лист4'!C:I,4,0)," ")</f>
        <v>qeepspirulina1+1</v>
      </c>
      <c r="W155" s="22" t="str">
        <f>IFERROR(VLOOKUP(T155,'Лист4'!C:I,5,0)," ")</f>
        <v/>
      </c>
      <c r="X155" s="43" t="str">
        <f>IFERROR(VLOOKUP(T155,'Лист4'!C:I,7,0)," ")</f>
        <v/>
      </c>
      <c r="Y155" s="43" t="str">
        <f>IFERROR(VLOOKUP(T155,'Лист4'!C:I,6,0)," ")</f>
        <v/>
      </c>
      <c r="Z155" s="43"/>
      <c r="AA155" s="43"/>
      <c r="AB155" s="22">
        <v>1.48387857E8</v>
      </c>
      <c r="AC155" s="22">
        <v>8.71802851E8</v>
      </c>
      <c r="AD155" s="22"/>
      <c r="AE155" s="22"/>
      <c r="AF155" s="22"/>
      <c r="AG155" s="43"/>
      <c r="AH155" s="43"/>
      <c r="AI155" s="43" t="str">
        <f>IFERROR(VLOOKUP(T155,'1С'!B:C,2,0)," ")</f>
        <v>БАД Спирулина хлорелла ,qeep, 60+60 капсул набор</v>
      </c>
      <c r="AJ155" s="22" t="s">
        <v>2462</v>
      </c>
      <c r="AK155" s="22" t="s">
        <v>2463</v>
      </c>
      <c r="AL155" s="43"/>
      <c r="AM155" s="43"/>
      <c r="AN155" s="43"/>
      <c r="AO155" s="43"/>
      <c r="AP155" s="43"/>
      <c r="AQ155" s="46" t="s">
        <v>2464</v>
      </c>
      <c r="AR155" s="46" t="s">
        <v>2465</v>
      </c>
      <c r="AS155" s="43"/>
      <c r="AT155" s="43"/>
      <c r="AU155" s="43"/>
      <c r="AV155" s="43"/>
      <c r="AW155" s="43"/>
      <c r="AX155" s="22" t="s">
        <v>2452</v>
      </c>
      <c r="AY155" s="22" t="s">
        <v>2463</v>
      </c>
      <c r="AZ155" s="43"/>
      <c r="BA155" s="43"/>
      <c r="BB155" s="43"/>
      <c r="BC155" s="43"/>
      <c r="BD155" s="43"/>
      <c r="BE155" s="43"/>
      <c r="BF155" s="22" t="str">
        <f>IFERROR(VLOOKUP(C155,'спецификация'!B:D,3,0)," ")</f>
        <v>2037517688269</v>
      </c>
      <c r="BG155" s="22">
        <v>2.106909803E9</v>
      </c>
      <c r="BH155" s="22" t="str">
        <f>IFERROR(VLOOKUP(C155,'спецификация'!B:AA,5,0)," ")</f>
        <v/>
      </c>
      <c r="BI155" s="22"/>
      <c r="BJ155" s="22" t="str">
        <f>IFERROR(VLOOKUP(C155,'спецификация'!B:AA,6,0)," ")</f>
        <v>ЧЗ</v>
      </c>
      <c r="BK155" s="43"/>
      <c r="BL155" s="43"/>
      <c r="BM155" s="22" t="str">
        <f>IFERROR(VLOOKUP(BF155,'спецификация'!D:H,5,0)," ")</f>
        <v/>
      </c>
      <c r="BN155" s="43"/>
      <c r="BO155" s="22" t="str">
        <f>IFERROR(VLOOKUP(C155,'спецификация'!B:AA,10,0)," ")</f>
        <v/>
      </c>
      <c r="BP155" s="43" t="str">
        <f>IFERROR(VLOOKUP(C155,'спецификация'!B:AA,11,0)," ")</f>
        <v/>
      </c>
      <c r="BQ155" s="22" t="str">
        <f>IFERROR(VLOOKUP(C155,'спецификация'!B:AA,12,0)," ")</f>
        <v/>
      </c>
      <c r="BR155" s="22"/>
      <c r="BS155" s="43"/>
      <c r="BT155" s="43"/>
      <c r="BU155" s="22"/>
      <c r="BV155" s="22"/>
      <c r="BW155" s="45" t="str">
        <f>IFERROR(VLOOKUP(C155,'спецификация'!B:AA,16,0)," ")</f>
        <v/>
      </c>
      <c r="BX155" s="43"/>
      <c r="BY155" s="43"/>
      <c r="BZ155" s="45" t="str">
        <f>IFERROR(VLOOKUP(BF155,'спецификация'!D:Y,22,0)," ")</f>
        <v/>
      </c>
      <c r="CA155" s="43"/>
      <c r="CB155" s="43"/>
      <c r="CC155" s="43"/>
      <c r="CD155" s="43"/>
      <c r="CE155" s="43"/>
      <c r="CF155" s="43"/>
      <c r="CG155" s="49">
        <f>IFERROR(VLOOKUP(C155,CC!A:D,4,0)," ")</f>
        <v>544.94</v>
      </c>
      <c r="CH155" s="22" t="str">
        <f>IFERROR(VLOOKUP(C155,'спецификация'!B:AA,19,0)," ")</f>
        <v/>
      </c>
      <c r="CI155" s="22"/>
      <c r="CJ155" s="43"/>
      <c r="CK155" s="22" t="str">
        <f>IFERROR(VLOOKUP(C155,CC!K:M,3,0)," ")</f>
        <v> </v>
      </c>
      <c r="CL155" s="43"/>
      <c r="CM155" s="43"/>
      <c r="CN155" s="43"/>
      <c r="CO155" s="43"/>
      <c r="CP155" s="43"/>
      <c r="CQ155" s="43"/>
      <c r="CR155" s="43"/>
      <c r="CS155" s="43" t="b">
        <v>0</v>
      </c>
      <c r="CT155" s="43" t="b">
        <v>0</v>
      </c>
      <c r="CU155" s="43" t="b">
        <v>0</v>
      </c>
      <c r="CV155" s="43" t="b">
        <v>0</v>
      </c>
      <c r="CW155" s="43"/>
      <c r="CX155" s="43"/>
      <c r="CY155" s="43"/>
      <c r="CZ155" s="43"/>
      <c r="DA155" s="43"/>
      <c r="DB155" s="43"/>
      <c r="DC155" s="43"/>
      <c r="DD155" s="22">
        <f>IFERROR(VLOOKUP($C155,'Лист4'!$D:$AI,27,0)," ")</f>
        <v>14</v>
      </c>
      <c r="DE155" s="22">
        <f>IFERROR(VLOOKUP($C155,'Лист4'!$D:$AI,28,0)," ")</f>
        <v>21</v>
      </c>
      <c r="DF155" s="22">
        <f>IFERROR(VLOOKUP($C155,'Лист4'!$D:$AI,29,0)," ")</f>
        <v>14</v>
      </c>
      <c r="DG155" s="22">
        <f t="shared" si="3"/>
        <v>4116</v>
      </c>
      <c r="DH155" s="22">
        <f>IFERROR(VLOOKUP($C155,'Лист4'!$D:$AI,32,0)," ")</f>
        <v>0.075</v>
      </c>
      <c r="DI155" s="22"/>
      <c r="DJ155" s="22"/>
      <c r="DK155" s="22"/>
      <c r="DL155" s="22"/>
      <c r="DM155" s="22"/>
      <c r="DN155" s="22"/>
      <c r="DO155" s="22"/>
      <c r="DP155" s="22"/>
      <c r="DQ155" s="22"/>
      <c r="DR155" s="22"/>
      <c r="DS155" s="22"/>
      <c r="DT155" s="22"/>
      <c r="DU155" s="22"/>
      <c r="DV155" s="22"/>
      <c r="DW155" s="22"/>
      <c r="DX155" s="22"/>
      <c r="DY155" s="22"/>
      <c r="DZ155" s="22"/>
      <c r="EA155" s="22"/>
      <c r="EB155" s="22"/>
      <c r="EC155" s="22"/>
      <c r="ED155" s="22"/>
      <c r="EE155" s="22"/>
      <c r="EF155" s="22"/>
      <c r="EG155" s="22"/>
      <c r="EH155" s="22"/>
      <c r="EI155" s="22"/>
      <c r="EJ155" s="22"/>
      <c r="EK155" s="22"/>
      <c r="EL155" s="22"/>
      <c r="EM155" s="43"/>
      <c r="EN155" s="43"/>
      <c r="EO155" s="43"/>
      <c r="EP155" s="43"/>
      <c r="EQ155" s="43"/>
      <c r="ER155" s="43"/>
      <c r="ES155" s="43"/>
      <c r="ET155" s="43"/>
      <c r="EU155" s="43"/>
      <c r="EV155" s="43"/>
      <c r="EW155" s="43"/>
      <c r="EX155" s="43"/>
      <c r="EY155" s="43"/>
      <c r="EZ155" s="43"/>
      <c r="FA155" s="43"/>
      <c r="FB155" s="43"/>
      <c r="FC155" s="43"/>
    </row>
    <row r="156" ht="18.0" customHeight="1">
      <c r="A156" s="2"/>
      <c r="B156" s="22" t="str">
        <f>IFERROR(VLOOKUP(C156,'Реестр'!C:AC,27,0)," ")</f>
        <v>Биг-Л</v>
      </c>
      <c r="C156" s="43" t="s">
        <v>2467</v>
      </c>
      <c r="D156" s="22" t="str">
        <f>IFERROR(VLOOKUP(C156,'Лист4'!D:P,13,0)," ")</f>
        <v>qeep</v>
      </c>
      <c r="E156" s="22" t="str">
        <f>IF(OR(ISERROR(VLOOKUP(C156,'Актуальность'!A:B,2,0)), VLOOKUP(C156,'Актуальность'!A:B,2,0)=""), "Актуальный", VLOOKUP(C156,'Актуальность'!A:B,2,0))</f>
        <v>Вывод</v>
      </c>
      <c r="F156" s="43" t="str">
        <f>IFERROR(VLOOKUP(C156,'Актуальность'!A:C,3,0)," ")</f>
        <v>Старый артикул</v>
      </c>
      <c r="G156" s="43"/>
      <c r="H156" s="22"/>
      <c r="I156" s="22"/>
      <c r="J156" s="43"/>
      <c r="K156" s="43"/>
      <c r="L156" s="22" t="b">
        <f t="shared" ref="L156:R156" si="152">T156&lt;&gt;""</f>
        <v>1</v>
      </c>
      <c r="M156" s="22" t="b">
        <f t="shared" si="152"/>
        <v>1</v>
      </c>
      <c r="N156" s="22" t="b">
        <f t="shared" si="152"/>
        <v>1</v>
      </c>
      <c r="O156" s="22" t="b">
        <f t="shared" si="152"/>
        <v>0</v>
      </c>
      <c r="P156" s="22" t="b">
        <f t="shared" si="152"/>
        <v>0</v>
      </c>
      <c r="Q156" s="22" t="b">
        <f t="shared" si="152"/>
        <v>0</v>
      </c>
      <c r="R156" s="22" t="b">
        <f t="shared" si="152"/>
        <v>0</v>
      </c>
      <c r="S156" s="43"/>
      <c r="T156" s="43" t="str">
        <f>IFERROR(VLOOKUP( C156,'1С'!A:B,2,0)," ")</f>
        <v>QB101100496</v>
      </c>
      <c r="U156" s="22" t="str">
        <f>IFERROR(VLOOKUP(T156,'Лист4'!C:I,3,0)," ")</f>
        <v>qeep_spirulina_3000</v>
      </c>
      <c r="V156" s="22" t="str">
        <f>IFERROR(VLOOKUP(T156,'Лист4'!C:I,4,0)," ")</f>
        <v>qeep_spirulina_3000</v>
      </c>
      <c r="W156" s="22" t="str">
        <f>IFERROR(VLOOKUP(T156,'Лист4'!C:I,5,0)," ")</f>
        <v/>
      </c>
      <c r="X156" s="43" t="str">
        <f>IFERROR(VLOOKUP(T156,'Лист4'!C:I,7,0)," ")</f>
        <v/>
      </c>
      <c r="Y156" s="43" t="str">
        <f>IFERROR(VLOOKUP(T156,'Лист4'!C:I,6,0)," ")</f>
        <v/>
      </c>
      <c r="Z156" s="43"/>
      <c r="AA156" s="43"/>
      <c r="AB156" s="22">
        <v>1.65259041E8</v>
      </c>
      <c r="AC156" s="22">
        <v>1.032702789E9</v>
      </c>
      <c r="AD156" s="22"/>
      <c r="AE156" s="22"/>
      <c r="AF156" s="22"/>
      <c r="AG156" s="43"/>
      <c r="AH156" s="43"/>
      <c r="AI156" s="43" t="str">
        <f>IFERROR(VLOOKUP(T156,'1С'!B:C,2,0)," ")</f>
        <v>БАД Спирулина ,qeep, 90 капсул</v>
      </c>
      <c r="AJ156" s="22" t="s">
        <v>2462</v>
      </c>
      <c r="AK156" s="22" t="s">
        <v>2470</v>
      </c>
      <c r="AL156" s="43"/>
      <c r="AM156" s="43"/>
      <c r="AN156" s="43"/>
      <c r="AO156" s="43"/>
      <c r="AP156" s="43"/>
      <c r="AQ156" s="46" t="s">
        <v>2471</v>
      </c>
      <c r="AR156" s="46" t="s">
        <v>2472</v>
      </c>
      <c r="AS156" s="43"/>
      <c r="AT156" s="43"/>
      <c r="AU156" s="43"/>
      <c r="AV156" s="43"/>
      <c r="AW156" s="43"/>
      <c r="AX156" s="22" t="s">
        <v>2452</v>
      </c>
      <c r="AY156" s="22" t="s">
        <v>2470</v>
      </c>
      <c r="AZ156" s="43"/>
      <c r="BA156" s="43"/>
      <c r="BB156" s="43"/>
      <c r="BC156" s="43"/>
      <c r="BD156" s="43"/>
      <c r="BE156" s="43"/>
      <c r="BF156" s="22">
        <f>IFERROR(VLOOKUP(C156,'спецификация'!B:D,3,0)," ")</f>
        <v>4630205143651</v>
      </c>
      <c r="BG156" s="22">
        <v>2.106909808E9</v>
      </c>
      <c r="BH156" s="22" t="str">
        <f>IFERROR(VLOOKUP(C156,'спецификация'!B:AA,5,0)," ")</f>
        <v>AM.01.01.01.003.R.000205.03.23 от 14.03.2023 г</v>
      </c>
      <c r="BI156" s="22"/>
      <c r="BJ156" s="22" t="str">
        <f>IFERROR(VLOOKUP(C156,'спецификация'!B:AA,6,0)," ")</f>
        <v>ЧЗ</v>
      </c>
      <c r="BK156" s="43"/>
      <c r="BL156" s="43"/>
      <c r="BM156" s="22" t="str">
        <f>IFERROR(VLOOKUP(BF156,'спецификация'!D:H,5,0)," ")</f>
        <v>спирулина, твёрдая желатиновая капсула</v>
      </c>
      <c r="BN156" s="43"/>
      <c r="BO156" s="22" t="str">
        <f>IFERROR(VLOOKUP(C156,'спецификация'!B:AA,10,0)," ")</f>
        <v>Взрослым по 1-2 капсулы 3раза в день.</v>
      </c>
      <c r="BP156" s="43" t="str">
        <f>IFERROR(VLOOKUP(C156,'спецификация'!B:AA,11,0)," ")</f>
        <v>индивидуальная непереносимость компонентов продукта, беременность, кормление грудью. </v>
      </c>
      <c r="BQ156" s="22" t="str">
        <f>IFERROR(VLOOKUP(C156,'спецификация'!B:AA,12,0)," ")</f>
        <v>в недоступном для детей месте, при температуре не выше +25ºС и относительной влажности воздуха не более 60%.
</v>
      </c>
      <c r="BR156" s="22">
        <v>90.0</v>
      </c>
      <c r="BS156" s="22" t="s">
        <v>492</v>
      </c>
      <c r="BT156" s="43"/>
      <c r="BU156" s="22"/>
      <c r="BV156" s="22" t="s">
        <v>307</v>
      </c>
      <c r="BW156" s="44" t="str">
        <f>IFERROR(VLOOKUP(C156,'спецификация'!B:AA,16,0)," ")</f>
        <v>https://docs.google.com/document/d/1Rsg8bq7SZt4GO47lBZ__S9uxG3aOkkvWvCPUQQV5u0s/edit?usp=sharing</v>
      </c>
      <c r="BX156" s="43"/>
      <c r="BY156" s="43"/>
      <c r="BZ156" s="44" t="str">
        <f>IFERROR(VLOOKUP(BF156,'спецификация'!D:Y,22,0)," ")</f>
        <v>https://drive.google.com/drive/u/0/folders/1MS-D3YyT4teKpcqhZE0oE6PVxlq_7mvh</v>
      </c>
      <c r="CA156" s="43"/>
      <c r="CB156" s="43"/>
      <c r="CC156" s="43"/>
      <c r="CD156" s="43"/>
      <c r="CE156" s="43"/>
      <c r="CF156" s="43"/>
      <c r="CG156" s="49">
        <f>IFERROR(VLOOKUP(C156,CC!A:D,4,0)," ")</f>
        <v>232.3</v>
      </c>
      <c r="CH156" s="22" t="str">
        <f>IFERROR(VLOOKUP(C156,'спецификация'!B:AA,19,0)," ")</f>
        <v>ООО «Жива Продукт ПРО». 350062, Россия, Краснодарский край, город Краснодар, улица Казбекская, дом 17, кв. (оф.) 85</v>
      </c>
      <c r="CI156" s="22"/>
      <c r="CJ156" s="43"/>
      <c r="CK156" s="22">
        <f>IFERROR(VLOOKUP(C156,CC!K:M,3,0)," ")</f>
        <v>60</v>
      </c>
      <c r="CL156" s="43"/>
      <c r="CM156" s="43"/>
      <c r="CN156" s="43"/>
      <c r="CO156" s="43"/>
      <c r="CP156" s="43"/>
      <c r="CQ156" s="43"/>
      <c r="CR156" s="43"/>
      <c r="CS156" s="43" t="b">
        <v>0</v>
      </c>
      <c r="CT156" s="43" t="b">
        <v>0</v>
      </c>
      <c r="CU156" s="43" t="b">
        <v>0</v>
      </c>
      <c r="CV156" s="43" t="b">
        <v>0</v>
      </c>
      <c r="CW156" s="43"/>
      <c r="CX156" s="43"/>
      <c r="CY156" s="43"/>
      <c r="CZ156" s="43"/>
      <c r="DA156" s="43"/>
      <c r="DB156" s="43"/>
      <c r="DC156" s="43"/>
      <c r="DD156" s="22">
        <f>IFERROR(VLOOKUP($C156,'Лист4'!$D:$AI,27,0)," ")</f>
        <v>11</v>
      </c>
      <c r="DE156" s="22">
        <f>IFERROR(VLOOKUP($C156,'Лист4'!$D:$AI,28,0)," ")</f>
        <v>6</v>
      </c>
      <c r="DF156" s="22">
        <f>IFERROR(VLOOKUP($C156,'Лист4'!$D:$AI,29,0)," ")</f>
        <v>11</v>
      </c>
      <c r="DG156" s="22">
        <f t="shared" si="3"/>
        <v>726</v>
      </c>
      <c r="DH156" s="22">
        <f>IFERROR(VLOOKUP($C156,'Лист4'!$D:$AI,32,0)," ")</f>
        <v>0.098</v>
      </c>
      <c r="DI156" s="22"/>
      <c r="DJ156" s="22"/>
      <c r="DK156" s="22"/>
      <c r="DL156" s="22"/>
      <c r="DM156" s="22"/>
      <c r="DN156" s="22"/>
      <c r="DO156" s="22"/>
      <c r="DP156" s="22"/>
      <c r="DQ156" s="22"/>
      <c r="DR156" s="22"/>
      <c r="DS156" s="22"/>
      <c r="DT156" s="22"/>
      <c r="DU156" s="22"/>
      <c r="DV156" s="22"/>
      <c r="DW156" s="22"/>
      <c r="DX156" s="22"/>
      <c r="DY156" s="22"/>
      <c r="DZ156" s="22"/>
      <c r="EA156" s="22"/>
      <c r="EB156" s="22"/>
      <c r="EC156" s="22"/>
      <c r="ED156" s="22"/>
      <c r="EE156" s="22"/>
      <c r="EF156" s="22"/>
      <c r="EG156" s="22"/>
      <c r="EH156" s="22"/>
      <c r="EI156" s="22"/>
      <c r="EJ156" s="22"/>
      <c r="EK156" s="22"/>
      <c r="EL156" s="22"/>
      <c r="EM156" s="43"/>
      <c r="EN156" s="43"/>
      <c r="EO156" s="43"/>
      <c r="EP156" s="43"/>
      <c r="EQ156" s="43"/>
      <c r="ER156" s="43"/>
      <c r="ES156" s="43"/>
      <c r="ET156" s="43"/>
      <c r="EU156" s="43"/>
      <c r="EV156" s="43"/>
      <c r="EW156" s="43"/>
      <c r="EX156" s="43"/>
      <c r="EY156" s="43"/>
      <c r="EZ156" s="43"/>
      <c r="FA156" s="43"/>
      <c r="FB156" s="43"/>
      <c r="FC156" s="43"/>
    </row>
    <row r="157" ht="18.0" customHeight="1">
      <c r="A157" s="2"/>
      <c r="B157" s="22" t="str">
        <f>IFERROR(VLOOKUP(C157,'Реестр'!C:AC,27,0)," ")</f>
        <v>Биг-Л</v>
      </c>
      <c r="C157" s="43" t="s">
        <v>2478</v>
      </c>
      <c r="D157" s="22" t="str">
        <f>IFERROR(VLOOKUP(C157,'Лист4'!D:P,13,0)," ")</f>
        <v>qeep</v>
      </c>
      <c r="E157" s="22" t="str">
        <f>IF(OR(ISERROR(VLOOKUP(C157,'Актуальность'!A:B,2,0)), VLOOKUP(C157,'Актуальность'!A:B,2,0)=""), "Актуальный", VLOOKUP(C157,'Актуальность'!A:B,2,0))</f>
        <v>Вывод</v>
      </c>
      <c r="F157" s="43" t="str">
        <f>IFERROR(VLOOKUP(C157,'Актуальность'!A:C,3,0)," ")</f>
        <v>Старый артикул</v>
      </c>
      <c r="G157" s="43"/>
      <c r="H157" s="22"/>
      <c r="I157" s="22"/>
      <c r="J157" s="43"/>
      <c r="K157" s="43"/>
      <c r="L157" s="22" t="b">
        <f t="shared" ref="L157:R157" si="153">T157&lt;&gt;""</f>
        <v>1</v>
      </c>
      <c r="M157" s="22" t="b">
        <f t="shared" si="153"/>
        <v>1</v>
      </c>
      <c r="N157" s="22" t="b">
        <f t="shared" si="153"/>
        <v>1</v>
      </c>
      <c r="O157" s="22" t="b">
        <f t="shared" si="153"/>
        <v>0</v>
      </c>
      <c r="P157" s="22" t="b">
        <f t="shared" si="153"/>
        <v>0</v>
      </c>
      <c r="Q157" s="22" t="b">
        <f t="shared" si="153"/>
        <v>0</v>
      </c>
      <c r="R157" s="22" t="b">
        <f t="shared" si="153"/>
        <v>0</v>
      </c>
      <c r="S157" s="43"/>
      <c r="T157" s="43" t="str">
        <f>IFERROR(VLOOKUP( C157,'1С'!A:B,2,0)," ")</f>
        <v>QB101100491</v>
      </c>
      <c r="U157" s="22" t="str">
        <f>IFERROR(VLOOKUP(T157,'Лист4'!C:I,3,0)," ")</f>
        <v>qeep_spirulinachlor_collagen_6060</v>
      </c>
      <c r="V157" s="22" t="str">
        <f>IFERROR(VLOOKUP(T157,'Лист4'!C:I,4,0)," ")</f>
        <v>qeep_spirulinachlor_collagen_6060</v>
      </c>
      <c r="W157" s="22" t="str">
        <f>IFERROR(VLOOKUP(T157,'Лист4'!C:I,5,0)," ")</f>
        <v/>
      </c>
      <c r="X157" s="43" t="str">
        <f>IFERROR(VLOOKUP(T157,'Лист4'!C:I,7,0)," ")</f>
        <v/>
      </c>
      <c r="Y157" s="43" t="str">
        <f>IFERROR(VLOOKUP(T157,'Лист4'!C:I,6,0)," ")</f>
        <v/>
      </c>
      <c r="Z157" s="43"/>
      <c r="AA157" s="43"/>
      <c r="AB157" s="22">
        <v>1.67680829E8</v>
      </c>
      <c r="AC157" s="22">
        <v>1.09972736E9</v>
      </c>
      <c r="AD157" s="22"/>
      <c r="AE157" s="22"/>
      <c r="AF157" s="22"/>
      <c r="AG157" s="43"/>
      <c r="AH157" s="43"/>
      <c r="AI157" s="43" t="str">
        <f>IFERROR(VLOOKUP(T157,'1С'!B:C,2,0)," ")</f>
        <v>БАД Спирулина хлорелла + Коллаген ,qeep, 120 капсул набор</v>
      </c>
      <c r="AJ157" s="22" t="s">
        <v>2481</v>
      </c>
      <c r="AK157" s="22" t="s">
        <v>2482</v>
      </c>
      <c r="AL157" s="43"/>
      <c r="AM157" s="43"/>
      <c r="AN157" s="43"/>
      <c r="AO157" s="43"/>
      <c r="AP157" s="43"/>
      <c r="AQ157" s="46" t="s">
        <v>2483</v>
      </c>
      <c r="AR157" s="46" t="s">
        <v>2484</v>
      </c>
      <c r="AS157" s="43"/>
      <c r="AT157" s="43"/>
      <c r="AU157" s="43"/>
      <c r="AV157" s="43"/>
      <c r="AW157" s="43"/>
      <c r="AX157" s="22" t="s">
        <v>2452</v>
      </c>
      <c r="AY157" s="22" t="s">
        <v>2482</v>
      </c>
      <c r="AZ157" s="43"/>
      <c r="BA157" s="43"/>
      <c r="BB157" s="43"/>
      <c r="BC157" s="43"/>
      <c r="BD157" s="43"/>
      <c r="BE157" s="43"/>
      <c r="BF157" s="22" t="str">
        <f>IFERROR(VLOOKUP(C157,'спецификация'!B:D,3,0)," ")</f>
        <v>2038121312359</v>
      </c>
      <c r="BG157" s="22">
        <v>2.106909808E9</v>
      </c>
      <c r="BH157" s="22" t="str">
        <f>IFERROR(VLOOKUP(C157,'спецификация'!B:AA,5,0)," ")</f>
        <v/>
      </c>
      <c r="BI157" s="22"/>
      <c r="BJ157" s="22" t="str">
        <f>IFERROR(VLOOKUP(C157,'спецификация'!B:AA,6,0)," ")</f>
        <v>ЧЗ</v>
      </c>
      <c r="BK157" s="43"/>
      <c r="BL157" s="43"/>
      <c r="BM157" s="22" t="str">
        <f>IFERROR(VLOOKUP(BF157,'спецификация'!D:H,5,0)," ")</f>
        <v/>
      </c>
      <c r="BN157" s="43"/>
      <c r="BO157" s="22" t="str">
        <f>IFERROR(VLOOKUP(C157,'спецификация'!B:AA,10,0)," ")</f>
        <v/>
      </c>
      <c r="BP157" s="43" t="str">
        <f>IFERROR(VLOOKUP(C157,'спецификация'!B:AA,11,0)," ")</f>
        <v/>
      </c>
      <c r="BQ157" s="22" t="str">
        <f>IFERROR(VLOOKUP(C157,'спецификация'!B:AA,12,0)," ")</f>
        <v/>
      </c>
      <c r="BR157" s="22"/>
      <c r="BS157" s="43"/>
      <c r="BT157" s="43"/>
      <c r="BU157" s="22"/>
      <c r="BV157" s="22"/>
      <c r="BW157" s="45" t="str">
        <f>IFERROR(VLOOKUP(C157,'спецификация'!B:AA,16,0)," ")</f>
        <v/>
      </c>
      <c r="BX157" s="43"/>
      <c r="BY157" s="43"/>
      <c r="BZ157" s="45" t="str">
        <f>IFERROR(VLOOKUP(BF157,'спецификация'!D:Y,22,0)," ")</f>
        <v/>
      </c>
      <c r="CA157" s="43"/>
      <c r="CB157" s="43"/>
      <c r="CC157" s="43"/>
      <c r="CD157" s="43"/>
      <c r="CE157" s="43"/>
      <c r="CF157" s="43"/>
      <c r="CG157" s="49">
        <f>IFERROR(VLOOKUP(C157,CC!A:D,4,0)," ")</f>
        <v>444.06</v>
      </c>
      <c r="CH157" s="22" t="str">
        <f>IFERROR(VLOOKUP(C157,'спецификация'!B:AA,19,0)," ")</f>
        <v/>
      </c>
      <c r="CI157" s="22"/>
      <c r="CJ157" s="43"/>
      <c r="CK157" s="22">
        <f>IFERROR(VLOOKUP(C157,CC!K:M,3,0)," ")</f>
        <v>90</v>
      </c>
      <c r="CL157" s="43"/>
      <c r="CM157" s="43"/>
      <c r="CN157" s="43"/>
      <c r="CO157" s="43"/>
      <c r="CP157" s="43"/>
      <c r="CQ157" s="43"/>
      <c r="CR157" s="43"/>
      <c r="CS157" s="43" t="b">
        <v>0</v>
      </c>
      <c r="CT157" s="43" t="b">
        <v>0</v>
      </c>
      <c r="CU157" s="43" t="b">
        <v>0</v>
      </c>
      <c r="CV157" s="43" t="b">
        <v>0</v>
      </c>
      <c r="CW157" s="43"/>
      <c r="CX157" s="43"/>
      <c r="CY157" s="43"/>
      <c r="CZ157" s="43"/>
      <c r="DA157" s="43"/>
      <c r="DB157" s="43"/>
      <c r="DC157" s="43"/>
      <c r="DD157" s="22">
        <f>IFERROR(VLOOKUP($C157,'Лист4'!$D:$AI,27,0)," ")</f>
        <v>14</v>
      </c>
      <c r="DE157" s="22">
        <f>IFERROR(VLOOKUP($C157,'Лист4'!$D:$AI,28,0)," ")</f>
        <v>21</v>
      </c>
      <c r="DF157" s="22">
        <f>IFERROR(VLOOKUP($C157,'Лист4'!$D:$AI,29,0)," ")</f>
        <v>14</v>
      </c>
      <c r="DG157" s="22">
        <f t="shared" si="3"/>
        <v>4116</v>
      </c>
      <c r="DH157" s="22">
        <f>IFERROR(VLOOKUP($C157,'Лист4'!$D:$AI,32,0)," ")</f>
        <v>0.075</v>
      </c>
      <c r="DI157" s="22"/>
      <c r="DJ157" s="22"/>
      <c r="DK157" s="22"/>
      <c r="DL157" s="22"/>
      <c r="DM157" s="22"/>
      <c r="DN157" s="22"/>
      <c r="DO157" s="22"/>
      <c r="DP157" s="22"/>
      <c r="DQ157" s="22"/>
      <c r="DR157" s="22"/>
      <c r="DS157" s="22"/>
      <c r="DT157" s="22"/>
      <c r="DU157" s="22"/>
      <c r="DV157" s="22"/>
      <c r="DW157" s="22"/>
      <c r="DX157" s="22"/>
      <c r="DY157" s="22"/>
      <c r="DZ157" s="22"/>
      <c r="EA157" s="22"/>
      <c r="EB157" s="22"/>
      <c r="EC157" s="22"/>
      <c r="ED157" s="22"/>
      <c r="EE157" s="22"/>
      <c r="EF157" s="22"/>
      <c r="EG157" s="22"/>
      <c r="EH157" s="22"/>
      <c r="EI157" s="22"/>
      <c r="EJ157" s="22"/>
      <c r="EK157" s="22"/>
      <c r="EL157" s="22"/>
      <c r="EM157" s="43"/>
      <c r="EN157" s="43"/>
      <c r="EO157" s="43"/>
      <c r="EP157" s="43"/>
      <c r="EQ157" s="43"/>
      <c r="ER157" s="43"/>
      <c r="ES157" s="43"/>
      <c r="ET157" s="43"/>
      <c r="EU157" s="43"/>
      <c r="EV157" s="43"/>
      <c r="EW157" s="43"/>
      <c r="EX157" s="43"/>
      <c r="EY157" s="43"/>
      <c r="EZ157" s="43"/>
      <c r="FA157" s="43"/>
      <c r="FB157" s="43"/>
      <c r="FC157" s="43"/>
    </row>
    <row r="158" ht="18.0" customHeight="1">
      <c r="A158" s="2"/>
      <c r="B158" s="22" t="str">
        <f>IFERROR(VLOOKUP(C158,'Реестр'!C:AC,27,0)," ")</f>
        <v>Биг-Л</v>
      </c>
      <c r="C158" s="43" t="s">
        <v>2486</v>
      </c>
      <c r="D158" s="22" t="str">
        <f>IFERROR(VLOOKUP(C158,'Лист4'!D:P,13,0)," ")</f>
        <v>qeep</v>
      </c>
      <c r="E158" s="22" t="str">
        <f>IF(OR(ISERROR(VLOOKUP(C158,'Актуальность'!A:B,2,0)), VLOOKUP(C158,'Актуальность'!A:B,2,0)=""), "Актуальный", VLOOKUP(C158,'Актуальность'!A:B,2,0))</f>
        <v>Вывод</v>
      </c>
      <c r="F158" s="43" t="str">
        <f>IFERROR(VLOOKUP(C158,'Актуальность'!A:C,3,0)," ")</f>
        <v>Старый артикул</v>
      </c>
      <c r="G158" s="43"/>
      <c r="H158" s="22"/>
      <c r="I158" s="22"/>
      <c r="J158" s="43"/>
      <c r="K158" s="43"/>
      <c r="L158" s="22" t="b">
        <f t="shared" ref="L158:R158" si="154">T158&lt;&gt;""</f>
        <v>1</v>
      </c>
      <c r="M158" s="22" t="b">
        <f t="shared" si="154"/>
        <v>1</v>
      </c>
      <c r="N158" s="22" t="b">
        <f t="shared" si="154"/>
        <v>1</v>
      </c>
      <c r="O158" s="22" t="b">
        <f t="shared" si="154"/>
        <v>0</v>
      </c>
      <c r="P158" s="22" t="b">
        <f t="shared" si="154"/>
        <v>0</v>
      </c>
      <c r="Q158" s="22" t="b">
        <f t="shared" si="154"/>
        <v>0</v>
      </c>
      <c r="R158" s="22" t="b">
        <f t="shared" si="154"/>
        <v>0</v>
      </c>
      <c r="S158" s="43"/>
      <c r="T158" s="43" t="str">
        <f>IFERROR(VLOOKUP( C158,'1С'!A:B,2,0)," ")</f>
        <v>QB101100492</v>
      </c>
      <c r="U158" s="22" t="str">
        <f>IFERROR(VLOOKUP(T158,'Лист4'!C:I,3,0)," ")</f>
        <v>qeep_spirulinachlor_mctd3_6060</v>
      </c>
      <c r="V158" s="22" t="str">
        <f>IFERROR(VLOOKUP(T158,'Лист4'!C:I,4,0)," ")</f>
        <v>qeep_spirulinachlor_mctd3_6060</v>
      </c>
      <c r="W158" s="22" t="str">
        <f>IFERROR(VLOOKUP(T158,'Лист4'!C:I,5,0)," ")</f>
        <v/>
      </c>
      <c r="X158" s="43" t="str">
        <f>IFERROR(VLOOKUP(T158,'Лист4'!C:I,7,0)," ")</f>
        <v/>
      </c>
      <c r="Y158" s="43" t="str">
        <f>IFERROR(VLOOKUP(T158,'Лист4'!C:I,6,0)," ")</f>
        <v/>
      </c>
      <c r="Z158" s="43"/>
      <c r="AA158" s="43"/>
      <c r="AB158" s="22">
        <v>1.67680831E8</v>
      </c>
      <c r="AC158" s="22">
        <v>1.099740649E9</v>
      </c>
      <c r="AD158" s="22"/>
      <c r="AE158" s="22"/>
      <c r="AF158" s="22"/>
      <c r="AG158" s="43"/>
      <c r="AH158" s="43"/>
      <c r="AI158" s="43" t="str">
        <f>IFERROR(VLOOKUP(T158,'1С'!B:C,2,0)," ")</f>
        <v>БАД Спирулина хлорелла + мст ,qeep, 120 капсул набор</v>
      </c>
      <c r="AJ158" s="22" t="s">
        <v>2489</v>
      </c>
      <c r="AK158" s="22" t="s">
        <v>2490</v>
      </c>
      <c r="AL158" s="43"/>
      <c r="AM158" s="43"/>
      <c r="AN158" s="43"/>
      <c r="AO158" s="43"/>
      <c r="AP158" s="43"/>
      <c r="AQ158" s="46" t="s">
        <v>2491</v>
      </c>
      <c r="AR158" s="46" t="s">
        <v>2492</v>
      </c>
      <c r="AS158" s="43"/>
      <c r="AT158" s="43"/>
      <c r="AU158" s="43"/>
      <c r="AV158" s="43"/>
      <c r="AW158" s="43"/>
      <c r="AX158" s="22" t="s">
        <v>2452</v>
      </c>
      <c r="AY158" s="22" t="s">
        <v>2490</v>
      </c>
      <c r="AZ158" s="43"/>
      <c r="BA158" s="43"/>
      <c r="BB158" s="43"/>
      <c r="BC158" s="43"/>
      <c r="BD158" s="43"/>
      <c r="BE158" s="43"/>
      <c r="BF158" s="22" t="str">
        <f>IFERROR(VLOOKUP(C158,'спецификация'!B:D,3,0)," ")</f>
        <v>2038121312991</v>
      </c>
      <c r="BG158" s="22">
        <v>2.106909808E9</v>
      </c>
      <c r="BH158" s="22" t="str">
        <f>IFERROR(VLOOKUP(C158,'спецификация'!B:AA,5,0)," ")</f>
        <v/>
      </c>
      <c r="BI158" s="22"/>
      <c r="BJ158" s="22" t="str">
        <f>IFERROR(VLOOKUP(C158,'спецификация'!B:AA,6,0)," ")</f>
        <v>ЧЗ</v>
      </c>
      <c r="BK158" s="43"/>
      <c r="BL158" s="43"/>
      <c r="BM158" s="22" t="str">
        <f>IFERROR(VLOOKUP(BF158,'спецификация'!D:H,5,0)," ")</f>
        <v/>
      </c>
      <c r="BN158" s="43"/>
      <c r="BO158" s="22" t="str">
        <f>IFERROR(VLOOKUP(C158,'спецификация'!B:AA,10,0)," ")</f>
        <v/>
      </c>
      <c r="BP158" s="43" t="str">
        <f>IFERROR(VLOOKUP(C158,'спецификация'!B:AA,11,0)," ")</f>
        <v/>
      </c>
      <c r="BQ158" s="22" t="str">
        <f>IFERROR(VLOOKUP(C158,'спецификация'!B:AA,12,0)," ")</f>
        <v/>
      </c>
      <c r="BR158" s="22"/>
      <c r="BS158" s="43"/>
      <c r="BT158" s="43"/>
      <c r="BU158" s="22"/>
      <c r="BV158" s="22"/>
      <c r="BW158" s="45" t="str">
        <f>IFERROR(VLOOKUP(C158,'спецификация'!B:AA,16,0)," ")</f>
        <v/>
      </c>
      <c r="BX158" s="43"/>
      <c r="BY158" s="43"/>
      <c r="BZ158" s="45" t="str">
        <f>IFERROR(VLOOKUP(BF158,'спецификация'!D:Y,22,0)," ")</f>
        <v/>
      </c>
      <c r="CA158" s="43"/>
      <c r="CB158" s="43"/>
      <c r="CC158" s="43"/>
      <c r="CD158" s="43"/>
      <c r="CE158" s="43"/>
      <c r="CF158" s="43"/>
      <c r="CG158" s="49">
        <f>IFERROR(VLOOKUP(C158,CC!A:D,4,0)," ")</f>
        <v>452</v>
      </c>
      <c r="CH158" s="22" t="str">
        <f>IFERROR(VLOOKUP(C158,'спецификация'!B:AA,19,0)," ")</f>
        <v/>
      </c>
      <c r="CI158" s="22"/>
      <c r="CJ158" s="43"/>
      <c r="CK158" s="22">
        <f>IFERROR(VLOOKUP(C158,CC!K:M,3,0)," ")</f>
        <v>90</v>
      </c>
      <c r="CL158" s="43"/>
      <c r="CM158" s="43"/>
      <c r="CN158" s="43"/>
      <c r="CO158" s="43"/>
      <c r="CP158" s="43"/>
      <c r="CQ158" s="43"/>
      <c r="CR158" s="43"/>
      <c r="CS158" s="43" t="b">
        <v>0</v>
      </c>
      <c r="CT158" s="43" t="b">
        <v>0</v>
      </c>
      <c r="CU158" s="43" t="b">
        <v>0</v>
      </c>
      <c r="CV158" s="43" t="b">
        <v>0</v>
      </c>
      <c r="CW158" s="43"/>
      <c r="CX158" s="43"/>
      <c r="CY158" s="43"/>
      <c r="CZ158" s="43"/>
      <c r="DA158" s="43"/>
      <c r="DB158" s="43"/>
      <c r="DC158" s="43"/>
      <c r="DD158" s="22">
        <f>IFERROR(VLOOKUP($C158,'Лист4'!$D:$AI,27,0)," ")</f>
        <v>14</v>
      </c>
      <c r="DE158" s="22">
        <f>IFERROR(VLOOKUP($C158,'Лист4'!$D:$AI,28,0)," ")</f>
        <v>21</v>
      </c>
      <c r="DF158" s="22">
        <f>IFERROR(VLOOKUP($C158,'Лист4'!$D:$AI,29,0)," ")</f>
        <v>14</v>
      </c>
      <c r="DG158" s="22">
        <f t="shared" si="3"/>
        <v>4116</v>
      </c>
      <c r="DH158" s="22">
        <f>IFERROR(VLOOKUP($C158,'Лист4'!$D:$AI,32,0)," ")</f>
        <v>0.075</v>
      </c>
      <c r="DI158" s="22"/>
      <c r="DJ158" s="22"/>
      <c r="DK158" s="22"/>
      <c r="DL158" s="22"/>
      <c r="DM158" s="22"/>
      <c r="DN158" s="22"/>
      <c r="DO158" s="22"/>
      <c r="DP158" s="22"/>
      <c r="DQ158" s="22"/>
      <c r="DR158" s="22"/>
      <c r="DS158" s="22"/>
      <c r="DT158" s="22"/>
      <c r="DU158" s="22"/>
      <c r="DV158" s="22"/>
      <c r="DW158" s="22"/>
      <c r="DX158" s="22"/>
      <c r="DY158" s="22"/>
      <c r="DZ158" s="22"/>
      <c r="EA158" s="22"/>
      <c r="EB158" s="22"/>
      <c r="EC158" s="22"/>
      <c r="ED158" s="22"/>
      <c r="EE158" s="22"/>
      <c r="EF158" s="22"/>
      <c r="EG158" s="22"/>
      <c r="EH158" s="22"/>
      <c r="EI158" s="22"/>
      <c r="EJ158" s="22"/>
      <c r="EK158" s="22"/>
      <c r="EL158" s="22"/>
      <c r="EM158" s="43"/>
      <c r="EN158" s="43"/>
      <c r="EO158" s="43"/>
      <c r="EP158" s="43"/>
      <c r="EQ158" s="43"/>
      <c r="ER158" s="43"/>
      <c r="ES158" s="43"/>
      <c r="ET158" s="43"/>
      <c r="EU158" s="43"/>
      <c r="EV158" s="43"/>
      <c r="EW158" s="43"/>
      <c r="EX158" s="43"/>
      <c r="EY158" s="43"/>
      <c r="EZ158" s="43"/>
      <c r="FA158" s="43"/>
      <c r="FB158" s="43"/>
      <c r="FC158" s="43"/>
    </row>
    <row r="159" ht="18.0" customHeight="1">
      <c r="A159" s="2"/>
      <c r="B159" s="22" t="str">
        <f>IFERROR(VLOOKUP(C159,'Реестр'!C:AC,27,0)," ")</f>
        <v>Биг-Л</v>
      </c>
      <c r="C159" s="43" t="s">
        <v>2494</v>
      </c>
      <c r="D159" s="22" t="str">
        <f>IFERROR(VLOOKUP(C159,'Лист4'!D:P,13,0)," ")</f>
        <v>qeep</v>
      </c>
      <c r="E159" s="22" t="str">
        <f>IF(OR(ISERROR(VLOOKUP(C159,'Актуальность'!A:B,2,0)), VLOOKUP(C159,'Актуальность'!A:B,2,0)=""), "Актуальный", VLOOKUP(C159,'Актуальность'!A:B,2,0))</f>
        <v>Вывод</v>
      </c>
      <c r="F159" s="43" t="str">
        <f>IFERROR(VLOOKUP(C159,'Актуальность'!A:C,3,0)," ")</f>
        <v>Старый артикул</v>
      </c>
      <c r="G159" s="43"/>
      <c r="H159" s="22"/>
      <c r="I159" s="22"/>
      <c r="J159" s="43"/>
      <c r="K159" s="43"/>
      <c r="L159" s="22" t="b">
        <f t="shared" ref="L159:R159" si="155">T159&lt;&gt;""</f>
        <v>1</v>
      </c>
      <c r="M159" s="22" t="b">
        <f t="shared" si="155"/>
        <v>1</v>
      </c>
      <c r="N159" s="22" t="b">
        <f t="shared" si="155"/>
        <v>1</v>
      </c>
      <c r="O159" s="22" t="b">
        <f t="shared" si="155"/>
        <v>0</v>
      </c>
      <c r="P159" s="22" t="b">
        <f t="shared" si="155"/>
        <v>0</v>
      </c>
      <c r="Q159" s="22" t="b">
        <f t="shared" si="155"/>
        <v>0</v>
      </c>
      <c r="R159" s="22" t="b">
        <f t="shared" si="155"/>
        <v>0</v>
      </c>
      <c r="S159" s="43"/>
      <c r="T159" s="43" t="str">
        <f>IFERROR(VLOOKUP( C159,'1С'!A:B,2,0)," ")</f>
        <v>QB101100493</v>
      </c>
      <c r="U159" s="22" t="str">
        <f>IFERROR(VLOOKUP(T159,'Лист4'!C:I,3,0)," ")</f>
        <v>qeep_spirulinachlor_preprobio_6030</v>
      </c>
      <c r="V159" s="22" t="str">
        <f>IFERROR(VLOOKUP(T159,'Лист4'!C:I,4,0)," ")</f>
        <v>qeep_spirulinachlor_preprobio_6030</v>
      </c>
      <c r="W159" s="22" t="str">
        <f>IFERROR(VLOOKUP(T159,'Лист4'!C:I,5,0)," ")</f>
        <v/>
      </c>
      <c r="X159" s="43" t="str">
        <f>IFERROR(VLOOKUP(T159,'Лист4'!C:I,7,0)," ")</f>
        <v/>
      </c>
      <c r="Y159" s="43" t="str">
        <f>IFERROR(VLOOKUP(T159,'Лист4'!C:I,6,0)," ")</f>
        <v/>
      </c>
      <c r="Z159" s="43"/>
      <c r="AA159" s="43"/>
      <c r="AB159" s="22">
        <v>1.67680833E8</v>
      </c>
      <c r="AC159" s="22">
        <v>1.099757439E9</v>
      </c>
      <c r="AD159" s="22"/>
      <c r="AE159" s="22"/>
      <c r="AF159" s="22"/>
      <c r="AG159" s="43"/>
      <c r="AH159" s="43"/>
      <c r="AI159" s="43" t="str">
        <f>IFERROR(VLOOKUP(T159,'1С'!B:C,2,0)," ")</f>
        <v>БАД Спирулина хлорелла + Пробиотики ,qeep, 90 капсул набор</v>
      </c>
      <c r="AJ159" s="22" t="s">
        <v>2497</v>
      </c>
      <c r="AK159" s="22" t="s">
        <v>2498</v>
      </c>
      <c r="AL159" s="43"/>
      <c r="AM159" s="43"/>
      <c r="AN159" s="43"/>
      <c r="AO159" s="43"/>
      <c r="AP159" s="43"/>
      <c r="AQ159" s="46" t="s">
        <v>2499</v>
      </c>
      <c r="AR159" s="46" t="s">
        <v>2500</v>
      </c>
      <c r="AS159" s="43"/>
      <c r="AT159" s="43"/>
      <c r="AU159" s="43"/>
      <c r="AV159" s="43"/>
      <c r="AW159" s="43"/>
      <c r="AX159" s="22" t="s">
        <v>2452</v>
      </c>
      <c r="AY159" s="22" t="s">
        <v>2498</v>
      </c>
      <c r="AZ159" s="43"/>
      <c r="BA159" s="43"/>
      <c r="BB159" s="43"/>
      <c r="BC159" s="43"/>
      <c r="BD159" s="43"/>
      <c r="BE159" s="43"/>
      <c r="BF159" s="22" t="str">
        <f>IFERROR(VLOOKUP(C159,'спецификация'!B:D,3,0)," ")</f>
        <v>2038121314766</v>
      </c>
      <c r="BG159" s="22">
        <v>2.106909808E9</v>
      </c>
      <c r="BH159" s="22" t="str">
        <f>IFERROR(VLOOKUP(C159,'спецификация'!B:AA,5,0)," ")</f>
        <v/>
      </c>
      <c r="BI159" s="22"/>
      <c r="BJ159" s="22" t="str">
        <f>IFERROR(VLOOKUP(C159,'спецификация'!B:AA,6,0)," ")</f>
        <v>ЧЗ</v>
      </c>
      <c r="BK159" s="43"/>
      <c r="BL159" s="43"/>
      <c r="BM159" s="22" t="str">
        <f>IFERROR(VLOOKUP(BF159,'спецификация'!D:H,5,0)," ")</f>
        <v/>
      </c>
      <c r="BN159" s="43"/>
      <c r="BO159" s="22" t="str">
        <f>IFERROR(VLOOKUP(C159,'спецификация'!B:AA,10,0)," ")</f>
        <v/>
      </c>
      <c r="BP159" s="43" t="str">
        <f>IFERROR(VLOOKUP(C159,'спецификация'!B:AA,11,0)," ")</f>
        <v/>
      </c>
      <c r="BQ159" s="22" t="str">
        <f>IFERROR(VLOOKUP(C159,'спецификация'!B:AA,12,0)," ")</f>
        <v/>
      </c>
      <c r="BR159" s="22"/>
      <c r="BS159" s="43"/>
      <c r="BT159" s="43"/>
      <c r="BU159" s="22"/>
      <c r="BV159" s="22"/>
      <c r="BW159" s="45" t="str">
        <f>IFERROR(VLOOKUP(C159,'спецификация'!B:AA,16,0)," ")</f>
        <v/>
      </c>
      <c r="BX159" s="43"/>
      <c r="BY159" s="43"/>
      <c r="BZ159" s="45" t="str">
        <f>IFERROR(VLOOKUP(BF159,'спецификация'!D:Y,22,0)," ")</f>
        <v/>
      </c>
      <c r="CA159" s="43"/>
      <c r="CB159" s="43"/>
      <c r="CC159" s="43"/>
      <c r="CD159" s="43"/>
      <c r="CE159" s="43"/>
      <c r="CF159" s="43"/>
      <c r="CG159" s="49">
        <f>IFERROR(VLOOKUP(C159,CC!A:D,4,0)," ")</f>
        <v>389.13</v>
      </c>
      <c r="CH159" s="22" t="str">
        <f>IFERROR(VLOOKUP(C159,'спецификация'!B:AA,19,0)," ")</f>
        <v/>
      </c>
      <c r="CI159" s="22"/>
      <c r="CJ159" s="43"/>
      <c r="CK159" s="22">
        <f>IFERROR(VLOOKUP(C159,CC!K:M,3,0)," ")</f>
        <v>90</v>
      </c>
      <c r="CL159" s="43"/>
      <c r="CM159" s="43"/>
      <c r="CN159" s="43"/>
      <c r="CO159" s="43"/>
      <c r="CP159" s="43"/>
      <c r="CQ159" s="43"/>
      <c r="CR159" s="43"/>
      <c r="CS159" s="43" t="b">
        <v>0</v>
      </c>
      <c r="CT159" s="43" t="b">
        <v>0</v>
      </c>
      <c r="CU159" s="43" t="b">
        <v>0</v>
      </c>
      <c r="CV159" s="43" t="b">
        <v>0</v>
      </c>
      <c r="CW159" s="43"/>
      <c r="CX159" s="43"/>
      <c r="CY159" s="43"/>
      <c r="CZ159" s="43"/>
      <c r="DA159" s="43"/>
      <c r="DB159" s="43"/>
      <c r="DC159" s="43"/>
      <c r="DD159" s="22">
        <f>IFERROR(VLOOKUP($C159,'Лист4'!$D:$AI,27,0)," ")</f>
        <v>14</v>
      </c>
      <c r="DE159" s="22">
        <f>IFERROR(VLOOKUP($C159,'Лист4'!$D:$AI,28,0)," ")</f>
        <v>21</v>
      </c>
      <c r="DF159" s="22">
        <f>IFERROR(VLOOKUP($C159,'Лист4'!$D:$AI,29,0)," ")</f>
        <v>14</v>
      </c>
      <c r="DG159" s="22">
        <f t="shared" si="3"/>
        <v>4116</v>
      </c>
      <c r="DH159" s="22">
        <f>IFERROR(VLOOKUP($C159,'Лист4'!$D:$AI,32,0)," ")</f>
        <v>0.075</v>
      </c>
      <c r="DI159" s="22"/>
      <c r="DJ159" s="22"/>
      <c r="DK159" s="22"/>
      <c r="DL159" s="22"/>
      <c r="DM159" s="22"/>
      <c r="DN159" s="22"/>
      <c r="DO159" s="22"/>
      <c r="DP159" s="22"/>
      <c r="DQ159" s="22"/>
      <c r="DR159" s="22"/>
      <c r="DS159" s="22"/>
      <c r="DT159" s="22"/>
      <c r="DU159" s="22"/>
      <c r="DV159" s="22"/>
      <c r="DW159" s="22"/>
      <c r="DX159" s="22"/>
      <c r="DY159" s="22"/>
      <c r="DZ159" s="22"/>
      <c r="EA159" s="22"/>
      <c r="EB159" s="22"/>
      <c r="EC159" s="22"/>
      <c r="ED159" s="22"/>
      <c r="EE159" s="22"/>
      <c r="EF159" s="22"/>
      <c r="EG159" s="22"/>
      <c r="EH159" s="22"/>
      <c r="EI159" s="22"/>
      <c r="EJ159" s="22"/>
      <c r="EK159" s="22"/>
      <c r="EL159" s="22"/>
      <c r="EM159" s="43"/>
      <c r="EN159" s="43"/>
      <c r="EO159" s="43"/>
      <c r="EP159" s="43"/>
      <c r="EQ159" s="43"/>
      <c r="ER159" s="43"/>
      <c r="ES159" s="43"/>
      <c r="ET159" s="43"/>
      <c r="EU159" s="43"/>
      <c r="EV159" s="43"/>
      <c r="EW159" s="43"/>
      <c r="EX159" s="43"/>
      <c r="EY159" s="43"/>
      <c r="EZ159" s="43"/>
      <c r="FA159" s="43"/>
      <c r="FB159" s="43"/>
      <c r="FC159" s="43"/>
    </row>
    <row r="160" ht="18.0" customHeight="1">
      <c r="A160" s="2"/>
      <c r="B160" s="22" t="str">
        <f>IFERROR(VLOOKUP(C160,'Реестр'!C:AC,27,0)," ")</f>
        <v>Биг-Л</v>
      </c>
      <c r="C160" s="43" t="s">
        <v>2502</v>
      </c>
      <c r="D160" s="22" t="str">
        <f>IFERROR(VLOOKUP(C160,'Лист4'!D:P,13,0)," ")</f>
        <v>qeep</v>
      </c>
      <c r="E160" s="22" t="str">
        <f>IF(OR(ISERROR(VLOOKUP(C160,'Актуальность'!A:B,2,0)), VLOOKUP(C160,'Актуальность'!A:B,2,0)=""), "Актуальный", VLOOKUP(C160,'Актуальность'!A:B,2,0))</f>
        <v>Вывод</v>
      </c>
      <c r="F160" s="43" t="str">
        <f>IFERROR(VLOOKUP(C160,'Актуальность'!A:C,3,0)," ")</f>
        <v>Старый артикул</v>
      </c>
      <c r="G160" s="43"/>
      <c r="H160" s="22"/>
      <c r="I160" s="22"/>
      <c r="J160" s="43"/>
      <c r="K160" s="43"/>
      <c r="L160" s="22" t="b">
        <f t="shared" ref="L160:R160" si="156">T160&lt;&gt;""</f>
        <v>1</v>
      </c>
      <c r="M160" s="22" t="b">
        <f t="shared" si="156"/>
        <v>1</v>
      </c>
      <c r="N160" s="22" t="b">
        <f t="shared" si="156"/>
        <v>1</v>
      </c>
      <c r="O160" s="22" t="b">
        <f t="shared" si="156"/>
        <v>0</v>
      </c>
      <c r="P160" s="22" t="b">
        <f t="shared" si="156"/>
        <v>0</v>
      </c>
      <c r="Q160" s="22" t="b">
        <f t="shared" si="156"/>
        <v>0</v>
      </c>
      <c r="R160" s="22" t="b">
        <f t="shared" si="156"/>
        <v>0</v>
      </c>
      <c r="S160" s="43"/>
      <c r="T160" s="43" t="str">
        <f>IFERROR(VLOOKUP( C160,'1С'!A:B,2,0)," ")</f>
        <v>QB101100490</v>
      </c>
      <c r="U160" s="22" t="str">
        <f>IFERROR(VLOOKUP(T160,'Лист4'!C:I,3,0)," ")</f>
        <v>qeep_spirulina+chrom</v>
      </c>
      <c r="V160" s="22" t="str">
        <f>IFERROR(VLOOKUP(T160,'Лист4'!C:I,4,0)," ")</f>
        <v>qeep_spirulina+chrom</v>
      </c>
      <c r="W160" s="22" t="str">
        <f>IFERROR(VLOOKUP(T160,'Лист4'!C:I,5,0)," ")</f>
        <v/>
      </c>
      <c r="X160" s="43" t="str">
        <f>IFERROR(VLOOKUP(T160,'Лист4'!C:I,7,0)," ")</f>
        <v/>
      </c>
      <c r="Y160" s="43" t="str">
        <f>IFERROR(VLOOKUP(T160,'Лист4'!C:I,6,0)," ")</f>
        <v/>
      </c>
      <c r="Z160" s="43"/>
      <c r="AA160" s="43"/>
      <c r="AB160" s="22">
        <v>1.55928221E8</v>
      </c>
      <c r="AC160" s="22"/>
      <c r="AD160" s="22"/>
      <c r="AE160" s="22"/>
      <c r="AF160" s="22"/>
      <c r="AG160" s="43"/>
      <c r="AH160" s="43"/>
      <c r="AI160" s="43" t="str">
        <f>IFERROR(VLOOKUP(T160,'1С'!B:C,2,0)," ")</f>
        <v>БАД Спирулина + хром набор</v>
      </c>
      <c r="AJ160" s="22" t="s">
        <v>2505</v>
      </c>
      <c r="AK160" s="43"/>
      <c r="AL160" s="43"/>
      <c r="AM160" s="43"/>
      <c r="AN160" s="43"/>
      <c r="AO160" s="43"/>
      <c r="AP160" s="43"/>
      <c r="AQ160" s="46" t="s">
        <v>2506</v>
      </c>
      <c r="AR160" s="43"/>
      <c r="AS160" s="43"/>
      <c r="AT160" s="43"/>
      <c r="AU160" s="43"/>
      <c r="AV160" s="43"/>
      <c r="AW160" s="43"/>
      <c r="AX160" s="22" t="s">
        <v>2452</v>
      </c>
      <c r="AY160" s="22"/>
      <c r="AZ160" s="43"/>
      <c r="BA160" s="43"/>
      <c r="BB160" s="43"/>
      <c r="BC160" s="43"/>
      <c r="BD160" s="43"/>
      <c r="BE160" s="43"/>
      <c r="BF160" s="22" t="str">
        <f>IFERROR(VLOOKUP(C160,'спецификация'!B:D,3,0)," ")</f>
        <v>2037698177651</v>
      </c>
      <c r="BG160" s="22">
        <v>2.106909803E9</v>
      </c>
      <c r="BH160" s="22" t="str">
        <f>IFERROR(VLOOKUP(C160,'спецификация'!B:AA,5,0)," ")</f>
        <v/>
      </c>
      <c r="BI160" s="22"/>
      <c r="BJ160" s="22" t="str">
        <f>IFERROR(VLOOKUP(C160,'спецификация'!B:AA,6,0)," ")</f>
        <v>ЧЗ</v>
      </c>
      <c r="BK160" s="43"/>
      <c r="BL160" s="43"/>
      <c r="BM160" s="22" t="str">
        <f>IFERROR(VLOOKUP(BF160,'спецификация'!D:H,5,0)," ")</f>
        <v/>
      </c>
      <c r="BN160" s="43"/>
      <c r="BO160" s="22" t="str">
        <f>IFERROR(VLOOKUP(C160,'спецификация'!B:AA,10,0)," ")</f>
        <v/>
      </c>
      <c r="BP160" s="43" t="str">
        <f>IFERROR(VLOOKUP(C160,'спецификация'!B:AA,11,0)," ")</f>
        <v/>
      </c>
      <c r="BQ160" s="22" t="str">
        <f>IFERROR(VLOOKUP(C160,'спецификация'!B:AA,12,0)," ")</f>
        <v/>
      </c>
      <c r="BR160" s="22"/>
      <c r="BS160" s="43"/>
      <c r="BT160" s="43"/>
      <c r="BU160" s="22"/>
      <c r="BV160" s="22"/>
      <c r="BW160" s="45" t="str">
        <f>IFERROR(VLOOKUP(C160,'спецификация'!B:AA,16,0)," ")</f>
        <v/>
      </c>
      <c r="BX160" s="43"/>
      <c r="BY160" s="43"/>
      <c r="BZ160" s="45" t="str">
        <f>IFERROR(VLOOKUP(BF160,'спецификация'!D:Y,22,0)," ")</f>
        <v/>
      </c>
      <c r="CA160" s="43"/>
      <c r="CB160" s="43"/>
      <c r="CC160" s="43"/>
      <c r="CD160" s="43"/>
      <c r="CE160" s="43"/>
      <c r="CF160" s="43"/>
      <c r="CG160" s="49">
        <f>IFERROR(VLOOKUP(C160,CC!A:D,4,0)," ")</f>
        <v>330</v>
      </c>
      <c r="CH160" s="22" t="str">
        <f>IFERROR(VLOOKUP(C160,'спецификация'!B:AA,19,0)," ")</f>
        <v/>
      </c>
      <c r="CI160" s="22"/>
      <c r="CJ160" s="43"/>
      <c r="CK160" s="22" t="str">
        <f>IFERROR(VLOOKUP(C160,CC!K:M,3,0)," ")</f>
        <v> </v>
      </c>
      <c r="CL160" s="43"/>
      <c r="CM160" s="43"/>
      <c r="CN160" s="43"/>
      <c r="CO160" s="43"/>
      <c r="CP160" s="43"/>
      <c r="CQ160" s="43"/>
      <c r="CR160" s="43"/>
      <c r="CS160" s="43" t="b">
        <v>0</v>
      </c>
      <c r="CT160" s="43" t="b">
        <v>0</v>
      </c>
      <c r="CU160" s="43" t="b">
        <v>0</v>
      </c>
      <c r="CV160" s="43" t="b">
        <v>0</v>
      </c>
      <c r="CW160" s="43"/>
      <c r="CX160" s="43"/>
      <c r="CY160" s="43"/>
      <c r="CZ160" s="43"/>
      <c r="DA160" s="43"/>
      <c r="DB160" s="43"/>
      <c r="DC160" s="43"/>
      <c r="DD160" s="22">
        <f>IFERROR(VLOOKUP($C160,'Лист4'!$D:$AI,27,0)," ")</f>
        <v>14</v>
      </c>
      <c r="DE160" s="22">
        <f>IFERROR(VLOOKUP($C160,'Лист4'!$D:$AI,28,0)," ")</f>
        <v>21</v>
      </c>
      <c r="DF160" s="22">
        <f>IFERROR(VLOOKUP($C160,'Лист4'!$D:$AI,29,0)," ")</f>
        <v>14</v>
      </c>
      <c r="DG160" s="22">
        <f t="shared" si="3"/>
        <v>4116</v>
      </c>
      <c r="DH160" s="22">
        <f>IFERROR(VLOOKUP($C160,'Лист4'!$D:$AI,32,0)," ")</f>
        <v>0.075</v>
      </c>
      <c r="DI160" s="22"/>
      <c r="DJ160" s="22"/>
      <c r="DK160" s="22"/>
      <c r="DL160" s="22"/>
      <c r="DM160" s="22"/>
      <c r="DN160" s="22"/>
      <c r="DO160" s="22"/>
      <c r="DP160" s="22"/>
      <c r="DQ160" s="22"/>
      <c r="DR160" s="22"/>
      <c r="DS160" s="22"/>
      <c r="DT160" s="22"/>
      <c r="DU160" s="22"/>
      <c r="DV160" s="22"/>
      <c r="DW160" s="22"/>
      <c r="DX160" s="22"/>
      <c r="DY160" s="22"/>
      <c r="DZ160" s="22"/>
      <c r="EA160" s="22"/>
      <c r="EB160" s="22"/>
      <c r="EC160" s="22"/>
      <c r="ED160" s="22"/>
      <c r="EE160" s="22"/>
      <c r="EF160" s="22"/>
      <c r="EG160" s="22"/>
      <c r="EH160" s="22"/>
      <c r="EI160" s="22"/>
      <c r="EJ160" s="22"/>
      <c r="EK160" s="22"/>
      <c r="EL160" s="22"/>
      <c r="EM160" s="43"/>
      <c r="EN160" s="43"/>
      <c r="EO160" s="43"/>
      <c r="EP160" s="43"/>
      <c r="EQ160" s="43"/>
      <c r="ER160" s="43"/>
      <c r="ES160" s="43"/>
      <c r="ET160" s="43"/>
      <c r="EU160" s="43"/>
      <c r="EV160" s="43"/>
      <c r="EW160" s="43"/>
      <c r="EX160" s="43"/>
      <c r="EY160" s="43"/>
      <c r="EZ160" s="43"/>
      <c r="FA160" s="43"/>
      <c r="FB160" s="43"/>
      <c r="FC160" s="43"/>
    </row>
    <row r="161" ht="18.0" customHeight="1">
      <c r="A161" s="2"/>
      <c r="B161" s="22" t="str">
        <f>IFERROR(VLOOKUP(C161,'Реестр'!C:AC,27,0)," ")</f>
        <v>Биг-Л</v>
      </c>
      <c r="C161" s="43" t="s">
        <v>2508</v>
      </c>
      <c r="D161" s="22" t="str">
        <f>IFERROR(VLOOKUP(C161,'Лист4'!D:P,13,0)," ")</f>
        <v>qeep</v>
      </c>
      <c r="E161" s="22" t="str">
        <f>IF(OR(ISERROR(VLOOKUP(C161,'Актуальность'!A:B,2,0)), VLOOKUP(C161,'Актуальность'!A:B,2,0)=""), "Актуальный", VLOOKUP(C161,'Актуальность'!A:B,2,0))</f>
        <v>Вывод</v>
      </c>
      <c r="F161" s="43" t="str">
        <f>IFERROR(VLOOKUP(C161,'Актуальность'!A:C,3,0)," ")</f>
        <v>Старый артикул</v>
      </c>
      <c r="G161" s="43"/>
      <c r="H161" s="22"/>
      <c r="I161" s="22"/>
      <c r="J161" s="43"/>
      <c r="K161" s="43"/>
      <c r="L161" s="22" t="b">
        <f t="shared" ref="L161:R161" si="157">T161&lt;&gt;""</f>
        <v>1</v>
      </c>
      <c r="M161" s="22" t="b">
        <f t="shared" si="157"/>
        <v>0</v>
      </c>
      <c r="N161" s="22" t="b">
        <f t="shared" si="157"/>
        <v>1</v>
      </c>
      <c r="O161" s="22" t="b">
        <f t="shared" si="157"/>
        <v>0</v>
      </c>
      <c r="P161" s="22" t="b">
        <f t="shared" si="157"/>
        <v>0</v>
      </c>
      <c r="Q161" s="22" t="b">
        <f t="shared" si="157"/>
        <v>0</v>
      </c>
      <c r="R161" s="22" t="b">
        <f t="shared" si="157"/>
        <v>0</v>
      </c>
      <c r="S161" s="43"/>
      <c r="T161" s="43" t="str">
        <f>IFERROR(VLOOKUP( C161,'1С'!A:B,2,0)," ")</f>
        <v>QB101100435</v>
      </c>
      <c r="U161" s="22" t="str">
        <f>IFERROR(VLOOKUP(T161,'Лист4'!C:I,3,0)," ")</f>
        <v/>
      </c>
      <c r="V161" s="22" t="str">
        <f>IFERROR(VLOOKUP(T161,'Лист4'!C:I,4,0)," ")</f>
        <v>qeep_chlorophyll_500ml</v>
      </c>
      <c r="W161" s="22" t="str">
        <f>IFERROR(VLOOKUP(T161,'Лист4'!C:I,5,0)," ")</f>
        <v/>
      </c>
      <c r="X161" s="43" t="str">
        <f>IFERROR(VLOOKUP(T161,'Лист4'!C:I,7,0)," ")</f>
        <v/>
      </c>
      <c r="Y161" s="43" t="str">
        <f>IFERROR(VLOOKUP(T161,'Лист4'!C:I,6,0)," ")</f>
        <v/>
      </c>
      <c r="Z161" s="43"/>
      <c r="AA161" s="43"/>
      <c r="AB161" s="22"/>
      <c r="AC161" s="22">
        <v>1.044887692E9</v>
      </c>
      <c r="AD161" s="22"/>
      <c r="AE161" s="22"/>
      <c r="AF161" s="22"/>
      <c r="AG161" s="43"/>
      <c r="AH161" s="43"/>
      <c r="AI161" s="43" t="str">
        <f>IFERROR(VLOOKUP(T161,'1С'!B:C,2,0)," ")</f>
        <v>БАД жидкий хлорофилл ,qeep, 500мл</v>
      </c>
      <c r="AJ161" s="43"/>
      <c r="AK161" s="22" t="s">
        <v>701</v>
      </c>
      <c r="AL161" s="43"/>
      <c r="AM161" s="43"/>
      <c r="AN161" s="43"/>
      <c r="AO161" s="43"/>
      <c r="AP161" s="43"/>
      <c r="AQ161" s="43"/>
      <c r="AR161" s="46" t="s">
        <v>2511</v>
      </c>
      <c r="AS161" s="43"/>
      <c r="AT161" s="43"/>
      <c r="AU161" s="43"/>
      <c r="AV161" s="43"/>
      <c r="AW161" s="43"/>
      <c r="AX161" s="22"/>
      <c r="AY161" s="22" t="s">
        <v>701</v>
      </c>
      <c r="AZ161" s="43"/>
      <c r="BA161" s="43"/>
      <c r="BB161" s="43"/>
      <c r="BC161" s="43"/>
      <c r="BD161" s="43"/>
      <c r="BE161" s="43"/>
      <c r="BF161" s="22" t="str">
        <f>IFERROR(VLOOKUP(C161,'спецификация'!B:D,3,0)," ")</f>
        <v> </v>
      </c>
      <c r="BG161" s="22"/>
      <c r="BH161" s="22" t="str">
        <f>IFERROR(VLOOKUP(C161,'спецификация'!B:AA,5,0)," ")</f>
        <v> </v>
      </c>
      <c r="BI161" s="22"/>
      <c r="BJ161" s="22" t="str">
        <f>IFERROR(VLOOKUP(C161,'спецификация'!B:AA,6,0)," ")</f>
        <v> </v>
      </c>
      <c r="BK161" s="43"/>
      <c r="BL161" s="43"/>
      <c r="BM161" s="22" t="str">
        <f>IFERROR(VLOOKUP(BF161,'спецификация'!D:H,5,0)," ")</f>
        <v> </v>
      </c>
      <c r="BN161" s="43"/>
      <c r="BO161" s="22" t="str">
        <f>IFERROR(VLOOKUP(C161,'спецификация'!B:AA,10,0)," ")</f>
        <v> </v>
      </c>
      <c r="BP161" s="43" t="str">
        <f>IFERROR(VLOOKUP(C161,'спецификация'!B:AA,11,0)," ")</f>
        <v> </v>
      </c>
      <c r="BQ161" s="22" t="str">
        <f>IFERROR(VLOOKUP(C161,'спецификация'!B:AA,12,0)," ")</f>
        <v> </v>
      </c>
      <c r="BR161" s="22"/>
      <c r="BS161" s="43"/>
      <c r="BT161" s="43"/>
      <c r="BU161" s="22"/>
      <c r="BV161" s="22" t="s">
        <v>401</v>
      </c>
      <c r="BW161" s="45" t="str">
        <f>IFERROR(VLOOKUP(C161,'спецификация'!B:AA,16,0)," ")</f>
        <v> </v>
      </c>
      <c r="BX161" s="43"/>
      <c r="BY161" s="43"/>
      <c r="BZ161" s="45" t="str">
        <f>IFERROR(VLOOKUP(BF161,'спецификация'!D:Y,22,0)," ")</f>
        <v> </v>
      </c>
      <c r="CA161" s="43"/>
      <c r="CB161" s="43"/>
      <c r="CC161" s="43"/>
      <c r="CD161" s="43"/>
      <c r="CE161" s="43"/>
      <c r="CF161" s="43"/>
      <c r="CG161" s="49">
        <f>IFERROR(VLOOKUP(C161,CC!A:D,4,0)," ")</f>
        <v>423</v>
      </c>
      <c r="CH161" s="22" t="str">
        <f>IFERROR(VLOOKUP(C161,'спецификация'!B:AA,19,0)," ")</f>
        <v> </v>
      </c>
      <c r="CI161" s="22"/>
      <c r="CJ161" s="43"/>
      <c r="CK161" s="22">
        <f>IFERROR(VLOOKUP(C161,CC!K:M,3,0)," ")</f>
        <v>60</v>
      </c>
      <c r="CL161" s="43"/>
      <c r="CM161" s="43"/>
      <c r="CN161" s="43"/>
      <c r="CO161" s="43"/>
      <c r="CP161" s="43"/>
      <c r="CQ161" s="43"/>
      <c r="CR161" s="43"/>
      <c r="CS161" s="43" t="b">
        <v>0</v>
      </c>
      <c r="CT161" s="43" t="b">
        <v>0</v>
      </c>
      <c r="CU161" s="43" t="b">
        <v>0</v>
      </c>
      <c r="CV161" s="43" t="b">
        <v>0</v>
      </c>
      <c r="CW161" s="43"/>
      <c r="CX161" s="43"/>
      <c r="CY161" s="43"/>
      <c r="CZ161" s="43"/>
      <c r="DA161" s="43"/>
      <c r="DB161" s="43"/>
      <c r="DC161" s="43"/>
      <c r="DD161" s="22">
        <f>IFERROR(VLOOKUP($C161,'Лист4'!$D:$AI,27,0)," ")</f>
        <v>6</v>
      </c>
      <c r="DE161" s="22">
        <f>IFERROR(VLOOKUP($C161,'Лист4'!$D:$AI,28,0)," ")</f>
        <v>21</v>
      </c>
      <c r="DF161" s="22">
        <f>IFERROR(VLOOKUP($C161,'Лист4'!$D:$AI,29,0)," ")</f>
        <v>6</v>
      </c>
      <c r="DG161" s="22">
        <f t="shared" si="3"/>
        <v>756</v>
      </c>
      <c r="DH161" s="22">
        <f>IFERROR(VLOOKUP($C161,'Лист4'!$D:$AI,32,0)," ")</f>
        <v>0.576</v>
      </c>
      <c r="DI161" s="22"/>
      <c r="DJ161" s="22"/>
      <c r="DK161" s="22"/>
      <c r="DL161" s="22"/>
      <c r="DM161" s="22"/>
      <c r="DN161" s="22"/>
      <c r="DO161" s="22"/>
      <c r="DP161" s="22"/>
      <c r="DQ161" s="22"/>
      <c r="DR161" s="22"/>
      <c r="DS161" s="22"/>
      <c r="DT161" s="22"/>
      <c r="DU161" s="22"/>
      <c r="DV161" s="22"/>
      <c r="DW161" s="22"/>
      <c r="DX161" s="22"/>
      <c r="DY161" s="22"/>
      <c r="DZ161" s="22"/>
      <c r="EA161" s="22"/>
      <c r="EB161" s="22"/>
      <c r="EC161" s="22"/>
      <c r="ED161" s="22"/>
      <c r="EE161" s="22"/>
      <c r="EF161" s="22"/>
      <c r="EG161" s="22"/>
      <c r="EH161" s="22"/>
      <c r="EI161" s="22"/>
      <c r="EJ161" s="22"/>
      <c r="EK161" s="22"/>
      <c r="EL161" s="22"/>
      <c r="EM161" s="43"/>
      <c r="EN161" s="43"/>
      <c r="EO161" s="43"/>
      <c r="EP161" s="43"/>
      <c r="EQ161" s="43"/>
      <c r="ER161" s="43"/>
      <c r="ES161" s="43"/>
      <c r="ET161" s="43"/>
      <c r="EU161" s="43"/>
      <c r="EV161" s="43"/>
      <c r="EW161" s="43"/>
      <c r="EX161" s="43"/>
      <c r="EY161" s="43"/>
      <c r="EZ161" s="43"/>
      <c r="FA161" s="43"/>
      <c r="FB161" s="43"/>
      <c r="FC161" s="43"/>
    </row>
    <row r="162" ht="18.0" customHeight="1">
      <c r="A162" s="2"/>
      <c r="B162" s="22" t="str">
        <f>IFERROR(VLOOKUP(C162,'Реестр'!C:AC,27,0)," ")</f>
        <v>Биг-Л</v>
      </c>
      <c r="C162" s="43" t="s">
        <v>2512</v>
      </c>
      <c r="D162" s="22" t="str">
        <f>IFERROR(VLOOKUP(C162,'Лист4'!D:P,13,0)," ")</f>
        <v>qeep</v>
      </c>
      <c r="E162" s="22" t="str">
        <f>IF(OR(ISERROR(VLOOKUP(C162,'Актуальность'!A:B,2,0)), VLOOKUP(C162,'Актуальность'!A:B,2,0)=""), "Актуальный", VLOOKUP(C162,'Актуальность'!A:B,2,0))</f>
        <v>Вывод</v>
      </c>
      <c r="F162" s="43" t="str">
        <f>IFERROR(VLOOKUP(C162,'Актуальность'!A:C,3,0)," ")</f>
        <v>Старый артикул</v>
      </c>
      <c r="G162" s="43"/>
      <c r="H162" s="22"/>
      <c r="I162" s="22"/>
      <c r="J162" s="43"/>
      <c r="K162" s="43"/>
      <c r="L162" s="22" t="b">
        <f t="shared" ref="L162:R162" si="158">T162&lt;&gt;""</f>
        <v>1</v>
      </c>
      <c r="M162" s="22" t="b">
        <f t="shared" si="158"/>
        <v>1</v>
      </c>
      <c r="N162" s="22" t="b">
        <f t="shared" si="158"/>
        <v>1</v>
      </c>
      <c r="O162" s="22" t="b">
        <f t="shared" si="158"/>
        <v>0</v>
      </c>
      <c r="P162" s="22" t="b">
        <f t="shared" si="158"/>
        <v>0</v>
      </c>
      <c r="Q162" s="22" t="b">
        <f t="shared" si="158"/>
        <v>0</v>
      </c>
      <c r="R162" s="22" t="b">
        <f t="shared" si="158"/>
        <v>0</v>
      </c>
      <c r="S162" s="43"/>
      <c r="T162" s="43" t="str">
        <f>IFERROR(VLOOKUP( C162,'1С'!A:B,2,0)," ")</f>
        <v>QB101100471</v>
      </c>
      <c r="U162" s="22" t="str">
        <f>IFERROR(VLOOKUP(T162,'Лист4'!C:I,3,0)," ")</f>
        <v>qeepomega3</v>
      </c>
      <c r="V162" s="22" t="str">
        <f>IFERROR(VLOOKUP(T162,'Лист4'!C:I,4,0)," ")</f>
        <v>qeepomega3</v>
      </c>
      <c r="W162" s="22" t="str">
        <f>IFERROR(VLOOKUP(T162,'Лист4'!C:I,5,0)," ")</f>
        <v/>
      </c>
      <c r="X162" s="43" t="str">
        <f>IFERROR(VLOOKUP(T162,'Лист4'!C:I,7,0)," ")</f>
        <v/>
      </c>
      <c r="Y162" s="43" t="str">
        <f>IFERROR(VLOOKUP(T162,'Лист4'!C:I,6,0)," ")</f>
        <v/>
      </c>
      <c r="Z162" s="43"/>
      <c r="AA162" s="43"/>
      <c r="AB162" s="22">
        <v>9.1969281E7</v>
      </c>
      <c r="AC162" s="22">
        <v>6.5063206E8</v>
      </c>
      <c r="AD162" s="22"/>
      <c r="AE162" s="22"/>
      <c r="AF162" s="22"/>
      <c r="AG162" s="43"/>
      <c r="AH162" s="43"/>
      <c r="AI162" s="43" t="str">
        <f>IFERROR(VLOOKUP(T162,'1С'!B:C,2,0)," ")</f>
        <v>БАД Омега 1620 мг ,qeep, 30 капсул</v>
      </c>
      <c r="AJ162" s="22" t="s">
        <v>1067</v>
      </c>
      <c r="AK162" s="22" t="s">
        <v>2515</v>
      </c>
      <c r="AL162" s="43"/>
      <c r="AM162" s="43"/>
      <c r="AN162" s="43"/>
      <c r="AO162" s="43"/>
      <c r="AP162" s="43"/>
      <c r="AQ162" s="46" t="s">
        <v>2516</v>
      </c>
      <c r="AR162" s="46" t="s">
        <v>2517</v>
      </c>
      <c r="AS162" s="43"/>
      <c r="AT162" s="43"/>
      <c r="AU162" s="43"/>
      <c r="AV162" s="43"/>
      <c r="AW162" s="43"/>
      <c r="AX162" s="22" t="s">
        <v>361</v>
      </c>
      <c r="AY162" s="22" t="s">
        <v>2515</v>
      </c>
      <c r="AZ162" s="43"/>
      <c r="BA162" s="43"/>
      <c r="BB162" s="43"/>
      <c r="BC162" s="43"/>
      <c r="BD162" s="43"/>
      <c r="BE162" s="43"/>
      <c r="BF162" s="22" t="str">
        <f>IFERROR(VLOOKUP(C162,'спецификация'!B:D,3,0)," ")</f>
        <v>4630040228483</v>
      </c>
      <c r="BG162" s="22">
        <v>2.106909808E9</v>
      </c>
      <c r="BH162" s="22" t="str">
        <f>IFERROR(VLOOKUP(C162,'спецификация'!B:AA,5,0)," ")</f>
        <v>AM.01.48.01.003.Е.000045.04.19</v>
      </c>
      <c r="BI162" s="22"/>
      <c r="BJ162" s="22" t="str">
        <f>IFERROR(VLOOKUP(C162,'спецификация'!B:AA,6,0)," ")</f>
        <v>ЧЗ</v>
      </c>
      <c r="BK162" s="43"/>
      <c r="BL162" s="43"/>
      <c r="BM162" s="22" t="str">
        <f>IFERROR(VLOOKUP(BF162,'спецификация'!D:H,5,0)," ")</f>
        <v>рыбий жир, капсула желатиновая (желатин (носитель), глицерин (агент влагоудерживающий)), витамин Е (антиокислитель).</v>
      </c>
      <c r="BN162" s="43"/>
      <c r="BO162" s="22" t="str">
        <f>IFERROR(VLOOKUP(C162,'спецификация'!B:AA,10,0)," ")</f>
        <v>принимать взрослым и детям с трех лет во время еды в течение 1 месяца (по рекомендации специалиста доза может быть увеличена) по 1- 2 капсулы в день.</v>
      </c>
      <c r="BP162" s="43" t="str">
        <f>IFERROR(VLOOKUP(C162,'спецификация'!B:AA,11,0),"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162" s="22" t="str">
        <f>IFERROR(VLOOKUP(C162,'спецификация'!B:AA,12,0)," ")</f>
        <v>в недоступном для детей месте, при температуре от +15 до +25ºС и относительной влажности воздуха не более 60%.
</v>
      </c>
      <c r="BR162" s="22">
        <v>30.0</v>
      </c>
      <c r="BS162" s="22" t="s">
        <v>421</v>
      </c>
      <c r="BT162" s="22"/>
      <c r="BU162" s="22"/>
      <c r="BV162" s="22" t="s">
        <v>307</v>
      </c>
      <c r="BW162" s="44" t="str">
        <f>IFERROR(VLOOKUP(C162,'спецификация'!B:AA,16,0)," ")</f>
        <v>https://drive.google.com/drive/u/0/folders/1YYRoKT7rU8dhG1zHTW4AyaJkpbdYipaV</v>
      </c>
      <c r="BX162" s="43"/>
      <c r="BY162" s="43"/>
      <c r="BZ162" s="44" t="str">
        <f>IFERROR(VLOOKUP(BF162,'спецификация'!D:Y,22,0)," ")</f>
        <v>https://drive.google.com/drive/u/0/folders/1YYRoKT7rU8dhG1zHTW4AyaJkpbdYipaV</v>
      </c>
      <c r="CA162" s="43"/>
      <c r="CB162" s="43"/>
      <c r="CC162" s="43"/>
      <c r="CD162" s="43"/>
      <c r="CE162" s="43"/>
      <c r="CF162" s="43"/>
      <c r="CG162" s="49">
        <f>IFERROR(VLOOKUP(C162,CC!A:D,4,0)," ")</f>
        <v>189.61</v>
      </c>
      <c r="CH162" s="22" t="str">
        <f>IFERROR(VLOOKUP(C162,'спецификация'!B:AA,19,0)," ")</f>
        <v>ООО «Сибфармконтракт», Россия, 634034, г. Томск, ул. Нахимова 8, стр. 11.</v>
      </c>
      <c r="CI162" s="22"/>
      <c r="CJ162" s="22" t="s">
        <v>562</v>
      </c>
      <c r="CK162" s="22" t="str">
        <f>IFERROR(VLOOKUP(C162,CC!K:M,3,0)," ")</f>
        <v> </v>
      </c>
      <c r="CL162" s="43"/>
      <c r="CM162" s="43"/>
      <c r="CN162" s="43"/>
      <c r="CO162" s="43"/>
      <c r="CP162" s="43"/>
      <c r="CQ162" s="43"/>
      <c r="CR162" s="43"/>
      <c r="CS162" s="43" t="b">
        <v>0</v>
      </c>
      <c r="CT162" s="43" t="b">
        <v>0</v>
      </c>
      <c r="CU162" s="43" t="b">
        <v>0</v>
      </c>
      <c r="CV162" s="43" t="b">
        <v>0</v>
      </c>
      <c r="CW162" s="43"/>
      <c r="CX162" s="43"/>
      <c r="CY162" s="43"/>
      <c r="CZ162" s="43"/>
      <c r="DA162" s="43"/>
      <c r="DB162" s="43"/>
      <c r="DC162" s="43"/>
      <c r="DD162" s="22">
        <f>IFERROR(VLOOKUP($C162,'Лист4'!$D:$AI,27,0)," ")</f>
        <v>10</v>
      </c>
      <c r="DE162" s="22">
        <f>IFERROR(VLOOKUP($C162,'Лист4'!$D:$AI,28,0)," ")</f>
        <v>5</v>
      </c>
      <c r="DF162" s="22">
        <f>IFERROR(VLOOKUP($C162,'Лист4'!$D:$AI,29,0)," ")</f>
        <v>10</v>
      </c>
      <c r="DG162" s="22">
        <f t="shared" si="3"/>
        <v>500</v>
      </c>
      <c r="DH162" s="22">
        <f>IFERROR(VLOOKUP($C162,'Лист4'!$D:$AI,32,0)," ")</f>
        <v>0.072</v>
      </c>
      <c r="DI162" s="22"/>
      <c r="DJ162" s="22"/>
      <c r="DK162" s="22"/>
      <c r="DL162" s="22"/>
      <c r="DM162" s="22"/>
      <c r="DN162" s="22"/>
      <c r="DO162" s="22"/>
      <c r="DP162" s="22"/>
      <c r="DQ162" s="22"/>
      <c r="DR162" s="22"/>
      <c r="DS162" s="22"/>
      <c r="DT162" s="22"/>
      <c r="DU162" s="22"/>
      <c r="DV162" s="22"/>
      <c r="DW162" s="22"/>
      <c r="DX162" s="22"/>
      <c r="DY162" s="22"/>
      <c r="DZ162" s="22"/>
      <c r="EA162" s="22"/>
      <c r="EB162" s="22"/>
      <c r="EC162" s="22"/>
      <c r="ED162" s="22"/>
      <c r="EE162" s="22"/>
      <c r="EF162" s="22"/>
      <c r="EG162" s="22"/>
      <c r="EH162" s="22"/>
      <c r="EI162" s="22"/>
      <c r="EJ162" s="22"/>
      <c r="EK162" s="22"/>
      <c r="EL162" s="22"/>
      <c r="EM162" s="43"/>
      <c r="EN162" s="43"/>
      <c r="EO162" s="43"/>
      <c r="EP162" s="43"/>
      <c r="EQ162" s="43"/>
      <c r="ER162" s="43"/>
      <c r="ES162" s="43"/>
      <c r="ET162" s="43"/>
      <c r="EU162" s="43"/>
      <c r="EV162" s="43"/>
      <c r="EW162" s="43"/>
      <c r="EX162" s="43"/>
      <c r="EY162" s="43"/>
      <c r="EZ162" s="43"/>
      <c r="FA162" s="43"/>
      <c r="FB162" s="43"/>
      <c r="FC162" s="43"/>
    </row>
    <row r="163" ht="18.0" customHeight="1">
      <c r="A163" s="2"/>
      <c r="B163" s="22" t="str">
        <f>IFERROR(VLOOKUP(C163,'Реестр'!C:AC,27,0)," ")</f>
        <v>Биг-Л</v>
      </c>
      <c r="C163" s="43" t="s">
        <v>2519</v>
      </c>
      <c r="D163" s="22" t="str">
        <f>IFERROR(VLOOKUP(C163,'Лист4'!D:P,13,0)," ")</f>
        <v>qeep</v>
      </c>
      <c r="E163" s="22" t="str">
        <f>IF(OR(ISERROR(VLOOKUP(C163,'Актуальность'!A:B,2,0)), VLOOKUP(C163,'Актуальность'!A:B,2,0)=""), "Актуальный", VLOOKUP(C163,'Актуальность'!A:B,2,0))</f>
        <v>Вывод</v>
      </c>
      <c r="F163" s="43" t="str">
        <f>IFERROR(VLOOKUP(C163,'Актуальность'!A:C,3,0)," ")</f>
        <v>Старый артикул</v>
      </c>
      <c r="G163" s="43"/>
      <c r="H163" s="22"/>
      <c r="I163" s="22"/>
      <c r="J163" s="43"/>
      <c r="K163" s="43"/>
      <c r="L163" s="22" t="b">
        <f t="shared" ref="L163:R163" si="159">T163&lt;&gt;""</f>
        <v>1</v>
      </c>
      <c r="M163" s="22" t="b">
        <f t="shared" si="159"/>
        <v>1</v>
      </c>
      <c r="N163" s="22" t="b">
        <f t="shared" si="159"/>
        <v>1</v>
      </c>
      <c r="O163" s="22" t="b">
        <f t="shared" si="159"/>
        <v>0</v>
      </c>
      <c r="P163" s="22" t="b">
        <f t="shared" si="159"/>
        <v>0</v>
      </c>
      <c r="Q163" s="22" t="b">
        <f t="shared" si="159"/>
        <v>0</v>
      </c>
      <c r="R163" s="22" t="b">
        <f t="shared" si="159"/>
        <v>0</v>
      </c>
      <c r="S163" s="43"/>
      <c r="T163" s="43" t="str">
        <f>IFERROR(VLOOKUP( C163,'1С'!A:B,2,0)," ")</f>
        <v>QB101100472</v>
      </c>
      <c r="U163" s="22" t="str">
        <f>IFERROR(VLOOKUP(T163,'Лист4'!C:I,3,0)," ")</f>
        <v>qeepomega3_1+1</v>
      </c>
      <c r="V163" s="22" t="str">
        <f>IFERROR(VLOOKUP(T163,'Лист4'!C:I,4,0)," ")</f>
        <v>qeepomega3_1+1</v>
      </c>
      <c r="W163" s="22" t="str">
        <f>IFERROR(VLOOKUP(T163,'Лист4'!C:I,5,0)," ")</f>
        <v/>
      </c>
      <c r="X163" s="43" t="str">
        <f>IFERROR(VLOOKUP(T163,'Лист4'!C:I,7,0)," ")</f>
        <v/>
      </c>
      <c r="Y163" s="43" t="str">
        <f>IFERROR(VLOOKUP(T163,'Лист4'!C:I,6,0)," ")</f>
        <v/>
      </c>
      <c r="Z163" s="43"/>
      <c r="AA163" s="43"/>
      <c r="AB163" s="22">
        <v>1.45755982E8</v>
      </c>
      <c r="AC163" s="22">
        <v>8.71788218E8</v>
      </c>
      <c r="AD163" s="22"/>
      <c r="AE163" s="22"/>
      <c r="AF163" s="22"/>
      <c r="AG163" s="43"/>
      <c r="AH163" s="43"/>
      <c r="AI163" s="43" t="str">
        <f>IFERROR(VLOOKUP(T163,'1С'!B:C,2,0)," ")</f>
        <v>БАД Омега 1620 мг ,qeep, 30+30 капсул набор</v>
      </c>
      <c r="AJ163" s="22" t="s">
        <v>2522</v>
      </c>
      <c r="AK163" s="22" t="s">
        <v>2523</v>
      </c>
      <c r="AL163" s="43"/>
      <c r="AM163" s="43"/>
      <c r="AN163" s="43"/>
      <c r="AO163" s="43"/>
      <c r="AP163" s="43"/>
      <c r="AQ163" s="46" t="s">
        <v>2524</v>
      </c>
      <c r="AR163" s="46" t="s">
        <v>2525</v>
      </c>
      <c r="AS163" s="43"/>
      <c r="AT163" s="43"/>
      <c r="AU163" s="43"/>
      <c r="AV163" s="43"/>
      <c r="AW163" s="43"/>
      <c r="AX163" s="22" t="s">
        <v>361</v>
      </c>
      <c r="AY163" s="22" t="s">
        <v>2523</v>
      </c>
      <c r="AZ163" s="43"/>
      <c r="BA163" s="43"/>
      <c r="BB163" s="43"/>
      <c r="BC163" s="43"/>
      <c r="BD163" s="43"/>
      <c r="BE163" s="43"/>
      <c r="BF163" s="22" t="str">
        <f>IFERROR(VLOOKUP(C163,'спецификация'!B:D,3,0)," ")</f>
        <v>2037448913690</v>
      </c>
      <c r="BG163" s="22">
        <v>2.106909808E9</v>
      </c>
      <c r="BH163" s="22" t="str">
        <f>IFERROR(VLOOKUP(C163,'спецификация'!B:AA,5,0)," ")</f>
        <v>AM.01.48.01.003.Е.000045.04.19</v>
      </c>
      <c r="BI163" s="22"/>
      <c r="BJ163" s="22" t="str">
        <f>IFERROR(VLOOKUP(C163,'спецификация'!B:AA,6,0)," ")</f>
        <v>ЧЗ</v>
      </c>
      <c r="BK163" s="43"/>
      <c r="BL163" s="43"/>
      <c r="BM163" s="22" t="str">
        <f>IFERROR(VLOOKUP(BF163,'спецификация'!D:H,5,0)," ")</f>
        <v/>
      </c>
      <c r="BN163" s="43"/>
      <c r="BO163" s="22" t="str">
        <f>IFERROR(VLOOKUP(C163,'спецификация'!B:AA,10,0)," ")</f>
        <v/>
      </c>
      <c r="BP163" s="43" t="str">
        <f>IFERROR(VLOOKUP(C163,'спецификация'!B:AA,11,0)," ")</f>
        <v/>
      </c>
      <c r="BQ163" s="22" t="str">
        <f>IFERROR(VLOOKUP(C163,'спецификация'!B:AA,12,0)," ")</f>
        <v/>
      </c>
      <c r="BR163" s="22"/>
      <c r="BS163" s="58" t="s">
        <v>2237</v>
      </c>
      <c r="BT163" s="58"/>
      <c r="BU163" s="22"/>
      <c r="BV163" s="22"/>
      <c r="BW163" s="45" t="str">
        <f>IFERROR(VLOOKUP(C163,'спецификация'!B:AA,16,0)," ")</f>
        <v/>
      </c>
      <c r="BX163" s="43"/>
      <c r="BY163" s="43"/>
      <c r="BZ163" s="45" t="str">
        <f>IFERROR(VLOOKUP(BF163,'спецификация'!D:Y,22,0)," ")</f>
        <v/>
      </c>
      <c r="CA163" s="43"/>
      <c r="CB163" s="43"/>
      <c r="CC163" s="43"/>
      <c r="CD163" s="43"/>
      <c r="CE163" s="43"/>
      <c r="CF163" s="43"/>
      <c r="CG163" s="49">
        <f>IFERROR(VLOOKUP(C163,CC!A:D,4,0)," ")</f>
        <v>379.22</v>
      </c>
      <c r="CH163" s="22" t="str">
        <f>IFERROR(VLOOKUP(C163,'спецификация'!B:AA,19,0)," ")</f>
        <v>ООО «Сибфармконтракт», Россия, 634034, г. Томск, ул. Нахимова 8, стр. 11.</v>
      </c>
      <c r="CI163" s="22"/>
      <c r="CJ163" s="43"/>
      <c r="CK163" s="22" t="str">
        <f>IFERROR(VLOOKUP(C163,CC!K:M,3,0)," ")</f>
        <v> </v>
      </c>
      <c r="CL163" s="43"/>
      <c r="CM163" s="43"/>
      <c r="CN163" s="43"/>
      <c r="CO163" s="43"/>
      <c r="CP163" s="43"/>
      <c r="CQ163" s="43"/>
      <c r="CR163" s="43"/>
      <c r="CS163" s="43" t="b">
        <v>0</v>
      </c>
      <c r="CT163" s="43" t="b">
        <v>0</v>
      </c>
      <c r="CU163" s="43" t="b">
        <v>0</v>
      </c>
      <c r="CV163" s="43" t="b">
        <v>0</v>
      </c>
      <c r="CW163" s="43"/>
      <c r="CX163" s="43"/>
      <c r="CY163" s="43"/>
      <c r="CZ163" s="43"/>
      <c r="DA163" s="43"/>
      <c r="DB163" s="43"/>
      <c r="DC163" s="43"/>
      <c r="DD163" s="22">
        <f>IFERROR(VLOOKUP($C163,'Лист4'!$D:$AI,27,0)," ")</f>
        <v>14</v>
      </c>
      <c r="DE163" s="22">
        <f>IFERROR(VLOOKUP($C163,'Лист4'!$D:$AI,28,0)," ")</f>
        <v>6</v>
      </c>
      <c r="DF163" s="22">
        <f>IFERROR(VLOOKUP($C163,'Лист4'!$D:$AI,29,0)," ")</f>
        <v>14</v>
      </c>
      <c r="DG163" s="22">
        <f t="shared" si="3"/>
        <v>1176</v>
      </c>
      <c r="DH163" s="22">
        <f>IFERROR(VLOOKUP($C163,'Лист4'!$D:$AI,32,0)," ")</f>
        <v>0.1</v>
      </c>
      <c r="DI163" s="22"/>
      <c r="DJ163" s="22"/>
      <c r="DK163" s="22"/>
      <c r="DL163" s="22"/>
      <c r="DM163" s="22"/>
      <c r="DN163" s="22"/>
      <c r="DO163" s="22"/>
      <c r="DP163" s="22"/>
      <c r="DQ163" s="22"/>
      <c r="DR163" s="22"/>
      <c r="DS163" s="22"/>
      <c r="DT163" s="22"/>
      <c r="DU163" s="22"/>
      <c r="DV163" s="22"/>
      <c r="DW163" s="22"/>
      <c r="DX163" s="22"/>
      <c r="DY163" s="22"/>
      <c r="DZ163" s="22"/>
      <c r="EA163" s="22"/>
      <c r="EB163" s="22"/>
      <c r="EC163" s="22"/>
      <c r="ED163" s="22"/>
      <c r="EE163" s="22"/>
      <c r="EF163" s="22"/>
      <c r="EG163" s="22"/>
      <c r="EH163" s="22"/>
      <c r="EI163" s="22"/>
      <c r="EJ163" s="22"/>
      <c r="EK163" s="22"/>
      <c r="EL163" s="22"/>
      <c r="EM163" s="43"/>
      <c r="EN163" s="43"/>
      <c r="EO163" s="43"/>
      <c r="EP163" s="43"/>
      <c r="EQ163" s="43"/>
      <c r="ER163" s="43"/>
      <c r="ES163" s="43"/>
      <c r="ET163" s="43"/>
      <c r="EU163" s="43"/>
      <c r="EV163" s="43"/>
      <c r="EW163" s="43"/>
      <c r="EX163" s="43"/>
      <c r="EY163" s="43"/>
      <c r="EZ163" s="43"/>
      <c r="FA163" s="43"/>
      <c r="FB163" s="43"/>
      <c r="FC163" s="43"/>
    </row>
    <row r="164" ht="18.0" customHeight="1">
      <c r="A164" s="2"/>
      <c r="B164" s="22" t="str">
        <f>IFERROR(VLOOKUP(C164,'Реестр'!C:AC,27,0)," ")</f>
        <v>Биг-Л</v>
      </c>
      <c r="C164" s="43" t="s">
        <v>2527</v>
      </c>
      <c r="D164" s="22" t="str">
        <f>IFERROR(VLOOKUP(C164,'Лист4'!D:P,13,0)," ")</f>
        <v>qeep</v>
      </c>
      <c r="E164" s="22" t="str">
        <f>IF(OR(ISERROR(VLOOKUP(C164,'Актуальность'!A:B,2,0)), VLOOKUP(C164,'Актуальность'!A:B,2,0)=""), "Актуальный", VLOOKUP(C164,'Актуальность'!A:B,2,0))</f>
        <v>Вывод</v>
      </c>
      <c r="F164" s="43" t="str">
        <f>IFERROR(VLOOKUP(C164,'Актуальность'!A:C,3,0)," ")</f>
        <v>Старый артикул</v>
      </c>
      <c r="G164" s="43"/>
      <c r="H164" s="22"/>
      <c r="I164" s="22"/>
      <c r="J164" s="43"/>
      <c r="K164" s="43"/>
      <c r="L164" s="22" t="b">
        <f t="shared" ref="L164:R164" si="160">T164&lt;&gt;""</f>
        <v>1</v>
      </c>
      <c r="M164" s="22" t="b">
        <f t="shared" si="160"/>
        <v>1</v>
      </c>
      <c r="N164" s="22" t="b">
        <f t="shared" si="160"/>
        <v>1</v>
      </c>
      <c r="O164" s="22" t="b">
        <f t="shared" si="160"/>
        <v>1</v>
      </c>
      <c r="P164" s="22" t="b">
        <f t="shared" si="160"/>
        <v>0</v>
      </c>
      <c r="Q164" s="22" t="b">
        <f t="shared" si="160"/>
        <v>0</v>
      </c>
      <c r="R164" s="22" t="b">
        <f t="shared" si="160"/>
        <v>0</v>
      </c>
      <c r="S164" s="43"/>
      <c r="T164" s="43" t="str">
        <f>IFERROR(VLOOKUP( C164,'1С'!A:B,2,0)," ")</f>
        <v>QB101100436</v>
      </c>
      <c r="U164" s="22" t="str">
        <f>IFERROR(VLOOKUP(T164,'Лист4'!C:I,3,0)," ")</f>
        <v>qeep_ByeBye_fat_60caps</v>
      </c>
      <c r="V164" s="22" t="str">
        <f>IFERROR(VLOOKUP(T164,'Лист4'!C:I,4,0)," ")</f>
        <v>qeep_ByeBye_fat_60caps</v>
      </c>
      <c r="W164" s="22" t="str">
        <f>IFERROR(VLOOKUP(T164,'Лист4'!C:I,5,0)," ")</f>
        <v>qeep_ByeBye_fat_60caps</v>
      </c>
      <c r="X164" s="43" t="str">
        <f>IFERROR(VLOOKUP(T164,'Лист4'!C:I,7,0)," ")</f>
        <v/>
      </c>
      <c r="Y164" s="43" t="str">
        <f>IFERROR(VLOOKUP(T164,'Лист4'!C:I,6,0)," ")</f>
        <v/>
      </c>
      <c r="Z164" s="43"/>
      <c r="AA164" s="43"/>
      <c r="AB164" s="22">
        <v>1.59631114E8</v>
      </c>
      <c r="AC164" s="22">
        <v>9.65075765E8</v>
      </c>
      <c r="AD164" s="22">
        <v>1.02024619078E11</v>
      </c>
      <c r="AE164" s="22"/>
      <c r="AF164" s="22"/>
      <c r="AG164" s="43"/>
      <c r="AH164" s="43"/>
      <c r="AI164" s="43" t="str">
        <f>IFERROR(VLOOKUP(T164,'1С'!B:C,2,0)," ")</f>
        <v>БАД Жиросжигатель byefat ,qeep, 60 капсул</v>
      </c>
      <c r="AJ164" s="22" t="s">
        <v>2530</v>
      </c>
      <c r="AK164" s="22" t="s">
        <v>2531</v>
      </c>
      <c r="AL164" s="22" t="s">
        <v>2531</v>
      </c>
      <c r="AM164" s="43"/>
      <c r="AN164" s="43"/>
      <c r="AO164" s="43"/>
      <c r="AP164" s="43"/>
      <c r="AQ164" s="46" t="s">
        <v>2532</v>
      </c>
      <c r="AR164" s="46" t="s">
        <v>2533</v>
      </c>
      <c r="AS164" s="43"/>
      <c r="AT164" s="43"/>
      <c r="AU164" s="43"/>
      <c r="AV164" s="43"/>
      <c r="AW164" s="43"/>
      <c r="AX164" s="22" t="s">
        <v>528</v>
      </c>
      <c r="AY164" s="22" t="s">
        <v>2531</v>
      </c>
      <c r="AZ164" s="22" t="s">
        <v>2534</v>
      </c>
      <c r="BA164" s="43"/>
      <c r="BB164" s="43"/>
      <c r="BC164" s="43"/>
      <c r="BD164" s="43"/>
      <c r="BE164" s="43"/>
      <c r="BF164" s="22">
        <f>IFERROR(VLOOKUP(C164,'спецификация'!B:D,3,0)," ")</f>
        <v>4630205142760</v>
      </c>
      <c r="BG164" s="22">
        <v>2.106909808E9</v>
      </c>
      <c r="BH164" s="22" t="str">
        <f>IFERROR(VLOOKUP(C164,'спецификация'!B:AA,5,0)," ")</f>
        <v>АМ 01.01.01.003.R.000134.02.23 от 27.02.2023 г</v>
      </c>
      <c r="BI164" s="22"/>
      <c r="BJ164" s="22" t="str">
        <f>IFERROR(VLOOKUP(C164,'спецификация'!B:AA,6,0)," ")</f>
        <v>ЧЗ</v>
      </c>
      <c r="BK164" s="43"/>
      <c r="BL164" s="43"/>
      <c r="BM164" s="22" t="str">
        <f>IFERROR(VLOOKUP(BF164,'спецификация'!D:H,5,0)," ")</f>
        <v>экстракт гарцинии камбоджийской, L-Карнитин, L-Тартрат, микрокристаллическая целлюлоза (носитель), экстракт лимонника, экстракт зеленого чая, пиколинат хрома, яблочный уксус, стеарат кальция, пиколинат цинка, экстракт клюквы.</v>
      </c>
      <c r="BN164" s="43"/>
      <c r="BO164" s="22" t="str">
        <f>IFERROR(VLOOKUP(C164,'спецификация'!B:AA,10,0)," ")</f>
        <v>взрослым по 1 капсуле 3 раза в день после 30 еды. Продолжительность приема 1 месяц. При необходимости прием можно повторить.</v>
      </c>
      <c r="BP164" s="43" t="str">
        <f>IFERROR(VLOOKUP(C164,'спецификация'!B:AA,11,0)," ")</f>
        <v>индивидуальная непереносимость компонентов, беременность, кормление грудью. С осторожностью принимать во время обострения: желчекаменной болезни, панкреатита, холецистита.</v>
      </c>
      <c r="BQ164" s="22" t="str">
        <f>IFERROR(VLOOKUP(C164,'спецификация'!B:AA,12,0)," ")</f>
        <v>хранить в сухом, защищенном от прямых солнечных лучей и недоступном для детей месте, при температуре от +5°C до+ 25°C и относительной влажности воздуха не более 75%</v>
      </c>
      <c r="BR164" s="22">
        <v>60.0</v>
      </c>
      <c r="BS164" s="22" t="s">
        <v>492</v>
      </c>
      <c r="BT164" s="43"/>
      <c r="BU164" s="22"/>
      <c r="BV164" s="22" t="s">
        <v>307</v>
      </c>
      <c r="BW164" s="44" t="str">
        <f>IFERROR(VLOOKUP(C164,'спецификация'!B:AA,16,0)," ")</f>
        <v>https://docs.google.com/document/d/1bD8NKZgUCt82CMLzZcJ6mndEZK2Rj81xZB0NJoDksUM/edit</v>
      </c>
      <c r="BX164" s="43"/>
      <c r="BY164" s="43"/>
      <c r="BZ164" s="44" t="str">
        <f>IFERROR(VLOOKUP(BF164,'спецификация'!D:Y,22,0)," ")</f>
        <v>https://drive.google.com/drive/u/0/folders/1TGGirFDk3-K0-UV0YN5kp9-qHhTT1tKH</v>
      </c>
      <c r="CA164" s="43"/>
      <c r="CB164" s="43"/>
      <c r="CC164" s="43"/>
      <c r="CD164" s="43"/>
      <c r="CE164" s="43"/>
      <c r="CF164" s="43"/>
      <c r="CG164" s="49">
        <f>IFERROR(VLOOKUP(C164,CC!A:D,4,0)," ")</f>
        <v>370</v>
      </c>
      <c r="CH164" s="22" t="str">
        <f>IFERROR(VLOOKUP(C164,'спецификация'!B:AA,19,0)," ")</f>
        <v>ООО «Жива Продукт ПРО». 350062, Россия, Краснодарский край, город Краснодар, улица Казбекская, дом 17, кв. (оф.) 85</v>
      </c>
      <c r="CI164" s="22"/>
      <c r="CJ164" s="22" t="s">
        <v>495</v>
      </c>
      <c r="CK164" s="22">
        <f>IFERROR(VLOOKUP(C164,CC!K:M,3,0)," ")</f>
        <v>60</v>
      </c>
      <c r="CL164" s="43"/>
      <c r="CM164" s="43"/>
      <c r="CN164" s="43"/>
      <c r="CO164" s="43"/>
      <c r="CP164" s="43"/>
      <c r="CQ164" s="43"/>
      <c r="CR164" s="43"/>
      <c r="CS164" s="43" t="b">
        <v>0</v>
      </c>
      <c r="CT164" s="43" t="b">
        <v>0</v>
      </c>
      <c r="CU164" s="43" t="b">
        <v>0</v>
      </c>
      <c r="CV164" s="43" t="b">
        <v>0</v>
      </c>
      <c r="CW164" s="43"/>
      <c r="CX164" s="43"/>
      <c r="CY164" s="43"/>
      <c r="CZ164" s="43"/>
      <c r="DA164" s="43"/>
      <c r="DB164" s="43"/>
      <c r="DC164" s="43"/>
      <c r="DD164" s="22">
        <f>IFERROR(VLOOKUP($C164,'Лист4'!$D:$AI,27,0)," ")</f>
        <v>6</v>
      </c>
      <c r="DE164" s="22">
        <f>IFERROR(VLOOKUP($C164,'Лист4'!$D:$AI,28,0)," ")</f>
        <v>6</v>
      </c>
      <c r="DF164" s="22">
        <f>IFERROR(VLOOKUP($C164,'Лист4'!$D:$AI,29,0)," ")</f>
        <v>6</v>
      </c>
      <c r="DG164" s="22">
        <f t="shared" si="3"/>
        <v>216</v>
      </c>
      <c r="DH164" s="22">
        <f>IFERROR(VLOOKUP($C164,'Лист4'!$D:$AI,32,0)," ")</f>
        <v>0.094</v>
      </c>
      <c r="DI164" s="22"/>
      <c r="DJ164" s="22"/>
      <c r="DK164" s="22"/>
      <c r="DL164" s="22"/>
      <c r="DM164" s="22"/>
      <c r="DN164" s="22"/>
      <c r="DO164" s="22"/>
      <c r="DP164" s="22"/>
      <c r="DQ164" s="22"/>
      <c r="DR164" s="22"/>
      <c r="DS164" s="22"/>
      <c r="DT164" s="22"/>
      <c r="DU164" s="22"/>
      <c r="DV164" s="22"/>
      <c r="DW164" s="22"/>
      <c r="DX164" s="22"/>
      <c r="DY164" s="22"/>
      <c r="DZ164" s="22"/>
      <c r="EA164" s="22"/>
      <c r="EB164" s="22"/>
      <c r="EC164" s="22"/>
      <c r="ED164" s="22"/>
      <c r="EE164" s="22"/>
      <c r="EF164" s="22"/>
      <c r="EG164" s="22"/>
      <c r="EH164" s="22"/>
      <c r="EI164" s="22"/>
      <c r="EJ164" s="22"/>
      <c r="EK164" s="22"/>
      <c r="EL164" s="22"/>
      <c r="EM164" s="43"/>
      <c r="EN164" s="43"/>
      <c r="EO164" s="43"/>
      <c r="EP164" s="43"/>
      <c r="EQ164" s="43"/>
      <c r="ER164" s="43"/>
      <c r="ES164" s="43"/>
      <c r="ET164" s="43"/>
      <c r="EU164" s="43"/>
      <c r="EV164" s="43"/>
      <c r="EW164" s="43"/>
      <c r="EX164" s="43"/>
      <c r="EY164" s="43"/>
      <c r="EZ164" s="43"/>
      <c r="FA164" s="43"/>
      <c r="FB164" s="43"/>
      <c r="FC164" s="43"/>
    </row>
    <row r="165" ht="18.0" customHeight="1">
      <c r="A165" s="2"/>
      <c r="B165" s="22" t="str">
        <f>IFERROR(VLOOKUP(C165,'Реестр'!C:AC,27,0)," ")</f>
        <v>Биг-Л</v>
      </c>
      <c r="C165" s="43" t="s">
        <v>2540</v>
      </c>
      <c r="D165" s="22" t="str">
        <f>IFERROR(VLOOKUP(C165,'Лист4'!D:P,13,0)," ")</f>
        <v>qeep</v>
      </c>
      <c r="E165" s="22" t="str">
        <f>IF(OR(ISERROR(VLOOKUP(C165,'Актуальность'!A:B,2,0)), VLOOKUP(C165,'Актуальность'!A:B,2,0)=""), "Актуальный", VLOOKUP(C165,'Актуальность'!A:B,2,0))</f>
        <v>Вывод</v>
      </c>
      <c r="F165" s="43" t="str">
        <f>IFERROR(VLOOKUP(C165,'Актуальность'!A:C,3,0)," ")</f>
        <v>Старый артикул</v>
      </c>
      <c r="G165" s="43"/>
      <c r="H165" s="22"/>
      <c r="I165" s="22"/>
      <c r="J165" s="43"/>
      <c r="K165" s="43"/>
      <c r="L165" s="22" t="b">
        <f t="shared" ref="L165:R165" si="161">T165&lt;&gt;""</f>
        <v>1</v>
      </c>
      <c r="M165" s="22" t="b">
        <f t="shared" si="161"/>
        <v>1</v>
      </c>
      <c r="N165" s="22" t="b">
        <f t="shared" si="161"/>
        <v>1</v>
      </c>
      <c r="O165" s="22" t="b">
        <f t="shared" si="161"/>
        <v>0</v>
      </c>
      <c r="P165" s="22" t="b">
        <f t="shared" si="161"/>
        <v>0</v>
      </c>
      <c r="Q165" s="22" t="b">
        <f t="shared" si="161"/>
        <v>0</v>
      </c>
      <c r="R165" s="22" t="b">
        <f t="shared" si="161"/>
        <v>0</v>
      </c>
      <c r="S165" s="43"/>
      <c r="T165" s="43" t="str">
        <f>IFERROR(VLOOKUP( C165,'1С'!A:B,2,0)," ")</f>
        <v>QB101100437</v>
      </c>
      <c r="U165" s="22" t="str">
        <f>IFERROR(VLOOKUP(T165,'Лист4'!C:I,3,0)," ")</f>
        <v>qeep_byefat_double_60caps</v>
      </c>
      <c r="V165" s="22" t="str">
        <f>IFERROR(VLOOKUP(T165,'Лист4'!C:I,4,0)," ")</f>
        <v>qeep_byefat_double_60caps</v>
      </c>
      <c r="W165" s="22" t="str">
        <f>IFERROR(VLOOKUP(T165,'Лист4'!C:I,5,0)," ")</f>
        <v/>
      </c>
      <c r="X165" s="43" t="str">
        <f>IFERROR(VLOOKUP(T165,'Лист4'!C:I,7,0)," ")</f>
        <v/>
      </c>
      <c r="Y165" s="43" t="str">
        <f>IFERROR(VLOOKUP(T165,'Лист4'!C:I,6,0)," ")</f>
        <v/>
      </c>
      <c r="Z165" s="43"/>
      <c r="AA165" s="43"/>
      <c r="AB165" s="22">
        <v>1.74420257E8</v>
      </c>
      <c r="AC165" s="22">
        <v>1.15456231E9</v>
      </c>
      <c r="AD165" s="22"/>
      <c r="AE165" s="22"/>
      <c r="AF165" s="22"/>
      <c r="AG165" s="43"/>
      <c r="AH165" s="43"/>
      <c r="AI165" s="43" t="str">
        <f>IFERROR(VLOOKUP(T165,'1С'!B:C,2,0)," ")</f>
        <v>БАД Жиросжигатель double ,qeep, 60 капсул</v>
      </c>
      <c r="AJ165" s="22" t="s">
        <v>2543</v>
      </c>
      <c r="AK165" s="22" t="s">
        <v>2531</v>
      </c>
      <c r="AL165" s="43"/>
      <c r="AM165" s="43"/>
      <c r="AN165" s="43"/>
      <c r="AO165" s="43"/>
      <c r="AP165" s="43"/>
      <c r="AQ165" s="46" t="s">
        <v>2544</v>
      </c>
      <c r="AR165" s="46" t="s">
        <v>2545</v>
      </c>
      <c r="AS165" s="43"/>
      <c r="AT165" s="43"/>
      <c r="AU165" s="43"/>
      <c r="AV165" s="43"/>
      <c r="AW165" s="43"/>
      <c r="AX165" s="22" t="s">
        <v>528</v>
      </c>
      <c r="AY165" s="22" t="s">
        <v>2531</v>
      </c>
      <c r="AZ165" s="43"/>
      <c r="BA165" s="43"/>
      <c r="BB165" s="43"/>
      <c r="BC165" s="43"/>
      <c r="BD165" s="43"/>
      <c r="BE165" s="43"/>
      <c r="BF165" s="22">
        <f>IFERROR(VLOOKUP(C165,'спецификация'!B:D,3,0)," ")</f>
        <v>4673748455225</v>
      </c>
      <c r="BG165" s="22">
        <v>2.106909808E9</v>
      </c>
      <c r="BH165" s="22" t="str">
        <f>IFERROR(VLOOKUP(C165,'спецификация'!B:AA,5,0)," ")</f>
        <v>RU.77.99.11.003.R.003301.09.22 от 20.09.2022</v>
      </c>
      <c r="BI165" s="22"/>
      <c r="BJ165" s="22" t="str">
        <f>IFERROR(VLOOKUP(C165,'спецификация'!B:AA,6,0)," ")</f>
        <v>ЧЗ</v>
      </c>
      <c r="BK165" s="43"/>
      <c r="BL165" s="43"/>
      <c r="BM165" s="22" t="str">
        <f>IFERROR(VLOOKUP(BF165,'спецификация'!D:H,5,0)," ")</f>
        <v>экстракт плодов гарцинии камбоджийской, экстракт плодов ананаса, капсула (желатин), экстракт зерен зеленого кофе, экстракт семян гуараны, экстракт коры йохимбе, магниевая соль стеариновой кислоты (антислеживающий агент).</v>
      </c>
      <c r="BN165" s="43"/>
      <c r="BO165" s="22" t="str">
        <f>IFERROR(VLOOKUP(C165,'спецификация'!B:AA,10,0)," ")</f>
        <v>Взрослым по 1 капсуле в день  во время еды. Продолжительность приёма - 1 месяц. При необходимости  прием можно повторить.</v>
      </c>
      <c r="BP165" s="43" t="str">
        <f>IFERROR(VLOOKUP(C165,'спецификация'!B:AA,11,0)," ")</f>
        <v> индивидуальная непереносимость компонентов БАД, беременность и кормление грудью, повышенная нервная возбудимость, бессонница, выраженный атеросклероз, сердечно-сосудистые заболевания,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
</v>
      </c>
      <c r="BQ165" s="22" t="str">
        <f>IFERROR(VLOOKUP(C165,'спецификация'!B:AA,12,0)," ")</f>
        <v>в сухом, защищенном от попадания прямых солнечных лучей, недоступном для детей месте при температуре не выше 25°С.
</v>
      </c>
      <c r="BR165" s="22">
        <v>60.0</v>
      </c>
      <c r="BS165" s="22" t="s">
        <v>492</v>
      </c>
      <c r="BT165" s="43"/>
      <c r="BU165" s="22"/>
      <c r="BV165" s="22" t="s">
        <v>307</v>
      </c>
      <c r="BW165" s="44" t="str">
        <f>IFERROR(VLOOKUP(C165,'спецификация'!B:AA,16,0)," ")</f>
        <v>https://docs.google.com/document/d/1Ex1P6K19WFJ1VDZE2J3oLMfEFAUDSRcegD1-1BMGdlY/edit?usp=sharing</v>
      </c>
      <c r="BX165" s="43"/>
      <c r="BY165" s="43"/>
      <c r="BZ165" s="44" t="str">
        <f>IFERROR(VLOOKUP(BF165,'спецификация'!D:Y,22,0)," ")</f>
        <v>https://drive.google.com/drive/u/0/folders/1Cm6RUNYUuqmBPUfQhdAFYQIU8s7JtAgR</v>
      </c>
      <c r="CA165" s="43"/>
      <c r="CB165" s="43"/>
      <c r="CC165" s="43"/>
      <c r="CD165" s="43"/>
      <c r="CE165" s="43"/>
      <c r="CF165" s="43"/>
      <c r="CG165" s="49">
        <f>IFERROR(VLOOKUP(C165,CC!A:D,4,0)," ")</f>
        <v>187</v>
      </c>
      <c r="CH165" s="22" t="str">
        <f>IFERROR(VLOOKUP(C165,'спецификация'!B:AA,19,0)," ")</f>
        <v>ООО «Торгово-производственная компания «САМОРАЗВИТИЕ»</v>
      </c>
      <c r="CI165" s="22"/>
      <c r="CJ165" s="22" t="s">
        <v>2553</v>
      </c>
      <c r="CK165" s="22">
        <f>IFERROR(VLOOKUP(C165,CC!K:M,3,0)," ")</f>
        <v>60</v>
      </c>
      <c r="CL165" s="43"/>
      <c r="CM165" s="43"/>
      <c r="CN165" s="43"/>
      <c r="CO165" s="43"/>
      <c r="CP165" s="43"/>
      <c r="CQ165" s="43"/>
      <c r="CR165" s="43"/>
      <c r="CS165" s="43" t="b">
        <v>0</v>
      </c>
      <c r="CT165" s="43" t="b">
        <v>0</v>
      </c>
      <c r="CU165" s="43" t="b">
        <v>0</v>
      </c>
      <c r="CV165" s="43" t="b">
        <v>0</v>
      </c>
      <c r="CW165" s="43"/>
      <c r="CX165" s="43"/>
      <c r="CY165" s="43"/>
      <c r="CZ165" s="43"/>
      <c r="DA165" s="43"/>
      <c r="DB165" s="43"/>
      <c r="DC165" s="43"/>
      <c r="DD165" s="22">
        <f>IFERROR(VLOOKUP($C165,'Лист4'!$D:$AI,27,0)," ")</f>
        <v>6</v>
      </c>
      <c r="DE165" s="22">
        <f>IFERROR(VLOOKUP($C165,'Лист4'!$D:$AI,28,0)," ")</f>
        <v>6</v>
      </c>
      <c r="DF165" s="22">
        <f>IFERROR(VLOOKUP($C165,'Лист4'!$D:$AI,29,0)," ")</f>
        <v>6</v>
      </c>
      <c r="DG165" s="22">
        <f t="shared" si="3"/>
        <v>216</v>
      </c>
      <c r="DH165" s="22">
        <f>IFERROR(VLOOKUP($C165,'Лист4'!$D:$AI,32,0)," ")</f>
        <v>0.094</v>
      </c>
      <c r="DI165" s="22"/>
      <c r="DJ165" s="22"/>
      <c r="DK165" s="22"/>
      <c r="DL165" s="22"/>
      <c r="DM165" s="22"/>
      <c r="DN165" s="22"/>
      <c r="DO165" s="22"/>
      <c r="DP165" s="22"/>
      <c r="DQ165" s="22"/>
      <c r="DR165" s="22"/>
      <c r="DS165" s="22"/>
      <c r="DT165" s="22"/>
      <c r="DU165" s="22"/>
      <c r="DV165" s="22"/>
      <c r="DW165" s="22"/>
      <c r="DX165" s="22"/>
      <c r="DY165" s="22"/>
      <c r="DZ165" s="22"/>
      <c r="EA165" s="22"/>
      <c r="EB165" s="22"/>
      <c r="EC165" s="22"/>
      <c r="ED165" s="22"/>
      <c r="EE165" s="22"/>
      <c r="EF165" s="22"/>
      <c r="EG165" s="22"/>
      <c r="EH165" s="22"/>
      <c r="EI165" s="22"/>
      <c r="EJ165" s="22"/>
      <c r="EK165" s="22"/>
      <c r="EL165" s="22"/>
      <c r="EM165" s="43"/>
      <c r="EN165" s="43"/>
      <c r="EO165" s="43"/>
      <c r="EP165" s="43"/>
      <c r="EQ165" s="43"/>
      <c r="ER165" s="43"/>
      <c r="ES165" s="43"/>
      <c r="ET165" s="43"/>
      <c r="EU165" s="43"/>
      <c r="EV165" s="43"/>
      <c r="EW165" s="43"/>
      <c r="EX165" s="43"/>
      <c r="EY165" s="43"/>
      <c r="EZ165" s="43"/>
      <c r="FA165" s="43"/>
      <c r="FB165" s="43"/>
      <c r="FC165" s="43"/>
    </row>
    <row r="166" ht="18.0" customHeight="1">
      <c r="A166" s="2"/>
      <c r="B166" s="22" t="str">
        <f>IFERROR(VLOOKUP(C166,'Реестр'!C:AC,27,0)," ")</f>
        <v>Биг-Л</v>
      </c>
      <c r="C166" s="43" t="s">
        <v>2554</v>
      </c>
      <c r="D166" s="22" t="str">
        <f>IFERROR(VLOOKUP(C166,'Лист4'!D:P,13,0)," ")</f>
        <v>qeep</v>
      </c>
      <c r="E166" s="22" t="str">
        <f>IF(OR(ISERROR(VLOOKUP(C166,'Актуальность'!A:B,2,0)), VLOOKUP(C166,'Актуальность'!A:B,2,0)=""), "Актуальный", VLOOKUP(C166,'Актуальность'!A:B,2,0))</f>
        <v>Вывод</v>
      </c>
      <c r="F166" s="43" t="str">
        <f>IFERROR(VLOOKUP(C166,'Актуальность'!A:C,3,0)," ")</f>
        <v>Старый артикул</v>
      </c>
      <c r="G166" s="43"/>
      <c r="H166" s="22"/>
      <c r="I166" s="22"/>
      <c r="J166" s="43"/>
      <c r="K166" s="43"/>
      <c r="L166" s="22" t="b">
        <f t="shared" ref="L166:R166" si="162">T166&lt;&gt;""</f>
        <v>1</v>
      </c>
      <c r="M166" s="22" t="b">
        <f t="shared" si="162"/>
        <v>1</v>
      </c>
      <c r="N166" s="22" t="b">
        <f t="shared" si="162"/>
        <v>1</v>
      </c>
      <c r="O166" s="22" t="b">
        <f t="shared" si="162"/>
        <v>0</v>
      </c>
      <c r="P166" s="22" t="b">
        <f t="shared" si="162"/>
        <v>0</v>
      </c>
      <c r="Q166" s="22" t="b">
        <f t="shared" si="162"/>
        <v>0</v>
      </c>
      <c r="R166" s="22" t="b">
        <f t="shared" si="162"/>
        <v>0</v>
      </c>
      <c r="S166" s="43"/>
      <c r="T166" s="43" t="str">
        <f>IFERROR(VLOOKUP( C166,'1С'!A:B,2,0)," ")</f>
        <v>QB101100506</v>
      </c>
      <c r="U166" s="22" t="str">
        <f>IFERROR(VLOOKUP(T166,'Лист4'!C:I,3,0)," ")</f>
        <v>qeepL_Carnitine</v>
      </c>
      <c r="V166" s="22" t="str">
        <f>IFERROR(VLOOKUP(T166,'Лист4'!C:I,4,0)," ")</f>
        <v>qeepL_Carnitine</v>
      </c>
      <c r="W166" s="22" t="str">
        <f>IFERROR(VLOOKUP(T166,'Лист4'!C:I,5,0)," ")</f>
        <v/>
      </c>
      <c r="X166" s="43" t="str">
        <f>IFERROR(VLOOKUP(T166,'Лист4'!C:I,7,0)," ")</f>
        <v/>
      </c>
      <c r="Y166" s="43" t="str">
        <f>IFERROR(VLOOKUP(T166,'Лист4'!C:I,6,0)," ")</f>
        <v/>
      </c>
      <c r="Z166" s="43"/>
      <c r="AA166" s="43"/>
      <c r="AB166" s="22">
        <v>1.4094636E8</v>
      </c>
      <c r="AC166" s="22">
        <v>8.26800291E8</v>
      </c>
      <c r="AD166" s="22"/>
      <c r="AE166" s="22"/>
      <c r="AF166" s="22"/>
      <c r="AG166" s="43"/>
      <c r="AH166" s="43"/>
      <c r="AI166" s="43" t="str">
        <f>IFERROR(VLOOKUP(T166,'1С'!B:C,2,0)," ")</f>
        <v>БАД L Carnitine ,qeep, 90 капсул</v>
      </c>
      <c r="AJ166" s="22" t="s">
        <v>2557</v>
      </c>
      <c r="AK166" s="22" t="s">
        <v>2558</v>
      </c>
      <c r="AL166" s="43"/>
      <c r="AM166" s="43"/>
      <c r="AN166" s="43"/>
      <c r="AO166" s="43"/>
      <c r="AP166" s="43"/>
      <c r="AQ166" s="46" t="s">
        <v>2559</v>
      </c>
      <c r="AR166" s="46" t="s">
        <v>2560</v>
      </c>
      <c r="AS166" s="43"/>
      <c r="AT166" s="43"/>
      <c r="AU166" s="43"/>
      <c r="AV166" s="43"/>
      <c r="AW166" s="43"/>
      <c r="AX166" s="22" t="s">
        <v>2561</v>
      </c>
      <c r="AY166" s="22" t="s">
        <v>2558</v>
      </c>
      <c r="AZ166" s="43"/>
      <c r="BA166" s="43"/>
      <c r="BB166" s="43"/>
      <c r="BC166" s="43"/>
      <c r="BD166" s="43"/>
      <c r="BE166" s="43"/>
      <c r="BF166" s="22">
        <f>IFERROR(VLOOKUP(C166,'спецификация'!B:D,3,0)," ")</f>
        <v>4603745411412</v>
      </c>
      <c r="BG166" s="22">
        <v>3.504009E9</v>
      </c>
      <c r="BH166" s="22" t="str">
        <f>IFERROR(VLOOKUP(C166,'спецификация'!B:AA,5,0)," ")</f>
        <v>RU.77.99.11.003.R.004908.12.21 от 22.12.2021</v>
      </c>
      <c r="BI166" s="22"/>
      <c r="BJ166" s="22" t="str">
        <f>IFERROR(VLOOKUP(C166,'спецификация'!B:AA,6,0)," ")</f>
        <v>ЧЗ</v>
      </c>
      <c r="BK166" s="43"/>
      <c r="BL166" s="43"/>
      <c r="BM166" s="22" t="str">
        <f>IFERROR(VLOOKUP(BF166,'спецификация'!D:H,5,0)," ")</f>
        <v>L-карнитин тартрат, желатиновая капсула (желатин, вода, диоксид титана –краситель), микрокристаллическая целлюлоза – носитель.</v>
      </c>
      <c r="BN166" s="43"/>
      <c r="BO166" s="22" t="str">
        <f>IFERROR(VLOOKUP(C166,'спецификация'!B:AA,10,0)," ")</f>
        <v>взрослым по 1–2 капсулы в день во время еды. Продолжительность приема – 1 месяц.</v>
      </c>
      <c r="BP166" s="43" t="str">
        <f>IFERROR(VLOOKUP(C166,'спецификация'!B:AA,11,0)," ")</f>
        <v>Противопоказания: индивидуальная непереносимость компонентов, беременность и кормление грудью. Перед применением рекомендуется проконсультироваться с врачом.</v>
      </c>
      <c r="BQ166" s="22" t="str">
        <f>IFERROR(VLOOKUP(C166,'спецификация'!B:AA,12,0)," ")</f>
        <v>Хранить в сухом недоступном для детей месте при температуре не выше 25◦С.и относительной влажности воздуха не более 75%.в закртой упаковке</v>
      </c>
      <c r="BR166" s="22">
        <v>90.0</v>
      </c>
      <c r="BS166" s="22" t="s">
        <v>492</v>
      </c>
      <c r="BT166" s="43"/>
      <c r="BU166" s="22"/>
      <c r="BV166" s="22" t="s">
        <v>307</v>
      </c>
      <c r="BW166" s="44" t="str">
        <f>IFERROR(VLOOKUP(C166,'спецификация'!B:AA,16,0)," ")</f>
        <v>https://docs.google.com/document/d/1Ez_TlM0BOBV2i9xuwexYNojj6TYC_tA_x59HAzongUQ/edit</v>
      </c>
      <c r="BX166" s="43"/>
      <c r="BY166" s="43"/>
      <c r="BZ166" s="44" t="str">
        <f>IFERROR(VLOOKUP(BF166,'спецификация'!D:Y,22,0)," ")</f>
        <v>https://drive.google.com/drive/u/0/folders/1P3_-7c4WCYKhA39Sh4hm-xT36mghE_Zw</v>
      </c>
      <c r="CA166" s="43"/>
      <c r="CB166" s="43"/>
      <c r="CC166" s="43"/>
      <c r="CD166" s="43"/>
      <c r="CE166" s="43"/>
      <c r="CF166" s="43"/>
      <c r="CG166" s="49">
        <f>IFERROR(VLOOKUP(C166,CC!A:D,4,0)," ")</f>
        <v>356.16</v>
      </c>
      <c r="CH166" s="22" t="str">
        <f>IFERROR(VLOOKUP(C166,'спецификация'!B:AA,19,0)," ")</f>
        <v>ООО «НПК Современные пищевые технологии», адрес: 188508, Россия, Ленинградская область, м.р-н адрес: 188508, Россия, Ленинградская область, м.р-н Ломоносовский, г.п. Виллозское, тер. Южная часть промзоны Ломоносовский, г.п. Виллозское, тер. Южная часть промзоны Горелово, ул. Заречная, д. 2г, помещ. 50-59.</v>
      </c>
      <c r="CI166" s="22"/>
      <c r="CJ166" s="22" t="s">
        <v>2569</v>
      </c>
      <c r="CK166" s="22" t="str">
        <f>IFERROR(VLOOKUP(C166,CC!K:M,3,0)," ")</f>
        <v> </v>
      </c>
      <c r="CL166" s="43"/>
      <c r="CM166" s="43"/>
      <c r="CN166" s="43"/>
      <c r="CO166" s="43"/>
      <c r="CP166" s="43"/>
      <c r="CQ166" s="43"/>
      <c r="CR166" s="43"/>
      <c r="CS166" s="43" t="b">
        <v>0</v>
      </c>
      <c r="CT166" s="43" t="b">
        <v>0</v>
      </c>
      <c r="CU166" s="43" t="b">
        <v>0</v>
      </c>
      <c r="CV166" s="43" t="b">
        <v>0</v>
      </c>
      <c r="CW166" s="43"/>
      <c r="CX166" s="43"/>
      <c r="CY166" s="43"/>
      <c r="CZ166" s="43"/>
      <c r="DA166" s="43"/>
      <c r="DB166" s="43"/>
      <c r="DC166" s="43"/>
      <c r="DD166" s="22">
        <f>IFERROR(VLOOKUP($C166,'Лист4'!$D:$AI,27,0)," ")</f>
        <v>12</v>
      </c>
      <c r="DE166" s="22">
        <f>IFERROR(VLOOKUP($C166,'Лист4'!$D:$AI,28,0)," ")</f>
        <v>6</v>
      </c>
      <c r="DF166" s="22">
        <f>IFERROR(VLOOKUP($C166,'Лист4'!$D:$AI,29,0)," ")</f>
        <v>12</v>
      </c>
      <c r="DG166" s="22">
        <f t="shared" si="3"/>
        <v>864</v>
      </c>
      <c r="DH166" s="22">
        <f>IFERROR(VLOOKUP($C166,'Лист4'!$D:$AI,32,0)," ")</f>
        <v>0.11</v>
      </c>
      <c r="DI166" s="22"/>
      <c r="DJ166" s="22"/>
      <c r="DK166" s="22"/>
      <c r="DL166" s="22"/>
      <c r="DM166" s="22"/>
      <c r="DN166" s="22"/>
      <c r="DO166" s="22"/>
      <c r="DP166" s="22"/>
      <c r="DQ166" s="22"/>
      <c r="DR166" s="22"/>
      <c r="DS166" s="22"/>
      <c r="DT166" s="22"/>
      <c r="DU166" s="22"/>
      <c r="DV166" s="22"/>
      <c r="DW166" s="22"/>
      <c r="DX166" s="22"/>
      <c r="DY166" s="22"/>
      <c r="DZ166" s="22"/>
      <c r="EA166" s="22"/>
      <c r="EB166" s="22"/>
      <c r="EC166" s="22"/>
      <c r="ED166" s="22"/>
      <c r="EE166" s="22"/>
      <c r="EF166" s="22"/>
      <c r="EG166" s="22"/>
      <c r="EH166" s="22"/>
      <c r="EI166" s="22"/>
      <c r="EJ166" s="22"/>
      <c r="EK166" s="22"/>
      <c r="EL166" s="22"/>
      <c r="EM166" s="43"/>
      <c r="EN166" s="43"/>
      <c r="EO166" s="43"/>
      <c r="EP166" s="43"/>
      <c r="EQ166" s="43"/>
      <c r="ER166" s="43"/>
      <c r="ES166" s="43"/>
      <c r="ET166" s="43"/>
      <c r="EU166" s="43"/>
      <c r="EV166" s="43"/>
      <c r="EW166" s="43"/>
      <c r="EX166" s="43"/>
      <c r="EY166" s="43"/>
      <c r="EZ166" s="43"/>
      <c r="FA166" s="43"/>
      <c r="FB166" s="43"/>
      <c r="FC166" s="43"/>
    </row>
    <row r="167" ht="18.0" customHeight="1">
      <c r="A167" s="2"/>
      <c r="B167" s="22" t="str">
        <f>IFERROR(VLOOKUP(C167,'Реестр'!C:AC,27,0)," ")</f>
        <v>Биг-Л</v>
      </c>
      <c r="C167" s="43" t="s">
        <v>2570</v>
      </c>
      <c r="D167" s="22" t="str">
        <f>IFERROR(VLOOKUP(C167,'Лист4'!D:P,13,0)," ")</f>
        <v>qeep</v>
      </c>
      <c r="E167" s="22" t="str">
        <f>IF(OR(ISERROR(VLOOKUP(C167,'Актуальность'!A:B,2,0)), VLOOKUP(C167,'Актуальность'!A:B,2,0)=""), "Актуальный", VLOOKUP(C167,'Актуальность'!A:B,2,0))</f>
        <v>Вывод</v>
      </c>
      <c r="F167" s="43" t="str">
        <f>IFERROR(VLOOKUP(C167,'Актуальность'!A:C,3,0)," ")</f>
        <v>Старый артикул</v>
      </c>
      <c r="G167" s="43"/>
      <c r="H167" s="22"/>
      <c r="I167" s="22"/>
      <c r="J167" s="43"/>
      <c r="K167" s="43"/>
      <c r="L167" s="22" t="b">
        <f t="shared" ref="L167:R167" si="163">T167&lt;&gt;""</f>
        <v>1</v>
      </c>
      <c r="M167" s="22" t="b">
        <f t="shared" si="163"/>
        <v>1</v>
      </c>
      <c r="N167" s="22" t="b">
        <f t="shared" si="163"/>
        <v>1</v>
      </c>
      <c r="O167" s="22" t="b">
        <f t="shared" si="163"/>
        <v>0</v>
      </c>
      <c r="P167" s="22" t="b">
        <f t="shared" si="163"/>
        <v>0</v>
      </c>
      <c r="Q167" s="22" t="b">
        <f t="shared" si="163"/>
        <v>0</v>
      </c>
      <c r="R167" s="22" t="b">
        <f t="shared" si="163"/>
        <v>0</v>
      </c>
      <c r="S167" s="43"/>
      <c r="T167" s="43" t="str">
        <f>IFERROR(VLOOKUP( C167,'1С'!A:B,2,0)," ")</f>
        <v>QB101100452</v>
      </c>
      <c r="U167" s="22" t="str">
        <f>IFERROR(VLOOKUP(T167,'Лист4'!C:I,3,0)," ")</f>
        <v>qeepcollagen1+1</v>
      </c>
      <c r="V167" s="22" t="str">
        <f>IFERROR(VLOOKUP(T167,'Лист4'!C:I,4,0)," ")</f>
        <v>qeepcollagen1+1</v>
      </c>
      <c r="W167" s="22" t="str">
        <f>IFERROR(VLOOKUP(T167,'Лист4'!C:I,5,0)," ")</f>
        <v/>
      </c>
      <c r="X167" s="43" t="str">
        <f>IFERROR(VLOOKUP(T167,'Лист4'!C:I,7,0)," ")</f>
        <v/>
      </c>
      <c r="Y167" s="43" t="str">
        <f>IFERROR(VLOOKUP(T167,'Лист4'!C:I,6,0)," ")</f>
        <v/>
      </c>
      <c r="Z167" s="43"/>
      <c r="AA167" s="43"/>
      <c r="AB167" s="22">
        <v>1.48386282E8</v>
      </c>
      <c r="AC167" s="22">
        <v>8.7180646E8</v>
      </c>
      <c r="AD167" s="22"/>
      <c r="AE167" s="22"/>
      <c r="AF167" s="22"/>
      <c r="AG167" s="43"/>
      <c r="AH167" s="43"/>
      <c r="AI167" s="43" t="str">
        <f>IFERROR(VLOOKUP(T167,'1С'!B:C,2,0)," ")</f>
        <v>БАД Коллаген с гиалуроновой кислотой ,qeep, 60+60 капсул набор</v>
      </c>
      <c r="AJ167" s="22" t="s">
        <v>2573</v>
      </c>
      <c r="AK167" s="22" t="s">
        <v>2574</v>
      </c>
      <c r="AL167" s="43"/>
      <c r="AM167" s="43"/>
      <c r="AN167" s="43"/>
      <c r="AO167" s="43"/>
      <c r="AP167" s="43"/>
      <c r="AQ167" s="46" t="s">
        <v>2575</v>
      </c>
      <c r="AR167" s="46" t="s">
        <v>2576</v>
      </c>
      <c r="AS167" s="43"/>
      <c r="AT167" s="43"/>
      <c r="AU167" s="43"/>
      <c r="AV167" s="43"/>
      <c r="AW167" s="43"/>
      <c r="AX167" s="22" t="s">
        <v>361</v>
      </c>
      <c r="AY167" s="22" t="s">
        <v>2574</v>
      </c>
      <c r="AZ167" s="43"/>
      <c r="BA167" s="43"/>
      <c r="BB167" s="43"/>
      <c r="BC167" s="43"/>
      <c r="BD167" s="43"/>
      <c r="BE167" s="43"/>
      <c r="BF167" s="22" t="str">
        <f>IFERROR(VLOOKUP(C167,'спецификация'!B:D,3,0)," ")</f>
        <v>2037517656459</v>
      </c>
      <c r="BG167" s="22">
        <v>2.106909808E9</v>
      </c>
      <c r="BH167" s="22" t="str">
        <f>IFERROR(VLOOKUP(C167,'спецификация'!B:AA,5,0)," ")</f>
        <v/>
      </c>
      <c r="BI167" s="22"/>
      <c r="BJ167" s="22" t="str">
        <f>IFERROR(VLOOKUP(C167,'спецификация'!B:AA,6,0)," ")</f>
        <v>ЧЗ</v>
      </c>
      <c r="BK167" s="43"/>
      <c r="BL167" s="43"/>
      <c r="BM167" s="22" t="str">
        <f>IFERROR(VLOOKUP(BF167,'спецификация'!D:H,5,0)," ")</f>
        <v/>
      </c>
      <c r="BN167" s="43"/>
      <c r="BO167" s="22" t="str">
        <f>IFERROR(VLOOKUP(C167,'спецификация'!B:AA,10,0)," ")</f>
        <v/>
      </c>
      <c r="BP167" s="43" t="str">
        <f>IFERROR(VLOOKUP(C167,'спецификация'!B:AA,11,0)," ")</f>
        <v/>
      </c>
      <c r="BQ167" s="22" t="str">
        <f>IFERROR(VLOOKUP(C167,'спецификация'!B:AA,12,0)," ")</f>
        <v/>
      </c>
      <c r="BR167" s="22">
        <v>120.0</v>
      </c>
      <c r="BS167" s="22" t="s">
        <v>492</v>
      </c>
      <c r="BT167" s="43"/>
      <c r="BU167" s="22"/>
      <c r="BV167" s="22"/>
      <c r="BW167" s="45" t="str">
        <f>IFERROR(VLOOKUP(C167,'спецификация'!B:AA,16,0)," ")</f>
        <v/>
      </c>
      <c r="BX167" s="43"/>
      <c r="BY167" s="43"/>
      <c r="BZ167" s="45" t="str">
        <f>IFERROR(VLOOKUP(BF167,'спецификация'!D:Y,22,0)," ")</f>
        <v/>
      </c>
      <c r="CA167" s="43"/>
      <c r="CB167" s="43"/>
      <c r="CC167" s="43"/>
      <c r="CD167" s="43"/>
      <c r="CE167" s="43"/>
      <c r="CF167" s="43"/>
      <c r="CG167" s="49">
        <f>IFERROR(VLOOKUP(C167,CC!A:D,4,0)," ")</f>
        <v>451.08</v>
      </c>
      <c r="CH167" s="22" t="str">
        <f>IFERROR(VLOOKUP(C167,'спецификация'!B:AA,19,0)," ")</f>
        <v/>
      </c>
      <c r="CI167" s="22"/>
      <c r="CJ167" s="43"/>
      <c r="CK167" s="22" t="str">
        <f>IFERROR(VLOOKUP(C167,CC!K:M,3,0)," ")</f>
        <v> </v>
      </c>
      <c r="CL167" s="43"/>
      <c r="CM167" s="43"/>
      <c r="CN167" s="43"/>
      <c r="CO167" s="43"/>
      <c r="CP167" s="43"/>
      <c r="CQ167" s="43"/>
      <c r="CR167" s="43"/>
      <c r="CS167" s="43" t="b">
        <v>0</v>
      </c>
      <c r="CT167" s="43" t="b">
        <v>0</v>
      </c>
      <c r="CU167" s="43" t="b">
        <v>0</v>
      </c>
      <c r="CV167" s="43" t="b">
        <v>0</v>
      </c>
      <c r="CW167" s="43"/>
      <c r="CX167" s="43"/>
      <c r="CY167" s="43"/>
      <c r="CZ167" s="43"/>
      <c r="DA167" s="43"/>
      <c r="DB167" s="43"/>
      <c r="DC167" s="43"/>
      <c r="DD167" s="22">
        <f>IFERROR(VLOOKUP($C167,'Лист4'!$D:$AI,27,0)," ")</f>
        <v>5</v>
      </c>
      <c r="DE167" s="22">
        <f>IFERROR(VLOOKUP($C167,'Лист4'!$D:$AI,28,0)," ")</f>
        <v>10</v>
      </c>
      <c r="DF167" s="22">
        <f>IFERROR(VLOOKUP($C167,'Лист4'!$D:$AI,29,0)," ")</f>
        <v>5</v>
      </c>
      <c r="DG167" s="22">
        <f t="shared" si="3"/>
        <v>250</v>
      </c>
      <c r="DH167" s="22">
        <f>IFERROR(VLOOKUP($C167,'Лист4'!$D:$AI,32,0)," ")</f>
        <v>0.108</v>
      </c>
      <c r="DI167" s="22"/>
      <c r="DJ167" s="22"/>
      <c r="DK167" s="22"/>
      <c r="DL167" s="22"/>
      <c r="DM167" s="22"/>
      <c r="DN167" s="22"/>
      <c r="DO167" s="22"/>
      <c r="DP167" s="22"/>
      <c r="DQ167" s="22"/>
      <c r="DR167" s="22"/>
      <c r="DS167" s="22"/>
      <c r="DT167" s="22"/>
      <c r="DU167" s="22"/>
      <c r="DV167" s="22"/>
      <c r="DW167" s="22"/>
      <c r="DX167" s="22"/>
      <c r="DY167" s="22"/>
      <c r="DZ167" s="22"/>
      <c r="EA167" s="22"/>
      <c r="EB167" s="22"/>
      <c r="EC167" s="22"/>
      <c r="ED167" s="22"/>
      <c r="EE167" s="22"/>
      <c r="EF167" s="22"/>
      <c r="EG167" s="22"/>
      <c r="EH167" s="22"/>
      <c r="EI167" s="22"/>
      <c r="EJ167" s="22"/>
      <c r="EK167" s="22"/>
      <c r="EL167" s="22"/>
      <c r="EM167" s="43"/>
      <c r="EN167" s="43"/>
      <c r="EO167" s="43"/>
      <c r="EP167" s="43"/>
      <c r="EQ167" s="43"/>
      <c r="ER167" s="43"/>
      <c r="ES167" s="43"/>
      <c r="ET167" s="43"/>
      <c r="EU167" s="43"/>
      <c r="EV167" s="43"/>
      <c r="EW167" s="43"/>
      <c r="EX167" s="43"/>
      <c r="EY167" s="43"/>
      <c r="EZ167" s="43"/>
      <c r="FA167" s="43"/>
      <c r="FB167" s="43"/>
      <c r="FC167" s="43"/>
    </row>
    <row r="168" ht="18.0" customHeight="1">
      <c r="A168" s="2"/>
      <c r="B168" s="22" t="str">
        <f>IFERROR(VLOOKUP(C168,'Реестр'!C:AC,27,0)," ")</f>
        <v>Биг-Л</v>
      </c>
      <c r="C168" s="43" t="s">
        <v>2578</v>
      </c>
      <c r="D168" s="22" t="str">
        <f>IFERROR(VLOOKUP(C168,'Лист4'!D:P,13,0)," ")</f>
        <v>qeep</v>
      </c>
      <c r="E168" s="22" t="str">
        <f>IF(OR(ISERROR(VLOOKUP(C168,'Актуальность'!A:B,2,0)), VLOOKUP(C168,'Актуальность'!A:B,2,0)=""), "Актуальный", VLOOKUP(C168,'Актуальность'!A:B,2,0))</f>
        <v>Вывод</v>
      </c>
      <c r="F168" s="43" t="str">
        <f>IFERROR(VLOOKUP(C168,'Актуальность'!A:C,3,0)," ")</f>
        <v>Старый артикул</v>
      </c>
      <c r="G168" s="43"/>
      <c r="H168" s="22"/>
      <c r="I168" s="22"/>
      <c r="J168" s="43"/>
      <c r="K168" s="43"/>
      <c r="L168" s="22" t="b">
        <f t="shared" ref="L168:R168" si="164">T168&lt;&gt;""</f>
        <v>1</v>
      </c>
      <c r="M168" s="22" t="b">
        <f t="shared" si="164"/>
        <v>1</v>
      </c>
      <c r="N168" s="22" t="b">
        <f t="shared" si="164"/>
        <v>1</v>
      </c>
      <c r="O168" s="22" t="b">
        <f t="shared" si="164"/>
        <v>0</v>
      </c>
      <c r="P168" s="22" t="b">
        <f t="shared" si="164"/>
        <v>0</v>
      </c>
      <c r="Q168" s="22" t="b">
        <f t="shared" si="164"/>
        <v>0</v>
      </c>
      <c r="R168" s="22" t="b">
        <f t="shared" si="164"/>
        <v>0</v>
      </c>
      <c r="S168" s="43"/>
      <c r="T168" s="43" t="str">
        <f>IFERROR(VLOOKUP( C168,'1С'!A:B,2,0)," ")</f>
        <v>QB101100447</v>
      </c>
      <c r="U168" s="22" t="str">
        <f>IFERROR(VLOOKUP(T168,'Лист4'!C:I,3,0)," ")</f>
        <v>qeep_Marine_Collagen_60caps</v>
      </c>
      <c r="V168" s="22" t="str">
        <f>IFERROR(VLOOKUP(T168,'Лист4'!C:I,4,0)," ")</f>
        <v>qeep_Marine_Collagen_60caps</v>
      </c>
      <c r="W168" s="22" t="str">
        <f>IFERROR(VLOOKUP(T168,'Лист4'!C:I,5,0)," ")</f>
        <v/>
      </c>
      <c r="X168" s="43" t="str">
        <f>IFERROR(VLOOKUP(T168,'Лист4'!C:I,7,0)," ")</f>
        <v/>
      </c>
      <c r="Y168" s="43" t="str">
        <f>IFERROR(VLOOKUP(T168,'Лист4'!C:I,6,0)," ")</f>
        <v/>
      </c>
      <c r="Z168" s="43"/>
      <c r="AA168" s="43"/>
      <c r="AB168" s="22">
        <v>1.50847785E8</v>
      </c>
      <c r="AC168" s="22">
        <v>8.89954527E8</v>
      </c>
      <c r="AD168" s="22"/>
      <c r="AE168" s="22"/>
      <c r="AF168" s="22"/>
      <c r="AG168" s="43"/>
      <c r="AH168" s="43"/>
      <c r="AI168" s="43" t="str">
        <f>IFERROR(VLOOKUP(T168,'1С'!B:C,2,0)," ")</f>
        <v>БАД Коллаген морской ,qeep, 60 капсул</v>
      </c>
      <c r="AJ168" s="22" t="s">
        <v>2581</v>
      </c>
      <c r="AK168" s="22" t="s">
        <v>2582</v>
      </c>
      <c r="AL168" s="43"/>
      <c r="AM168" s="43"/>
      <c r="AN168" s="43"/>
      <c r="AO168" s="43"/>
      <c r="AP168" s="43"/>
      <c r="AQ168" s="46" t="s">
        <v>2583</v>
      </c>
      <c r="AR168" s="46" t="s">
        <v>2584</v>
      </c>
      <c r="AS168" s="43"/>
      <c r="AT168" s="43"/>
      <c r="AU168" s="43"/>
      <c r="AV168" s="43"/>
      <c r="AW168" s="43"/>
      <c r="AX168" s="22" t="s">
        <v>361</v>
      </c>
      <c r="AY168" s="22" t="s">
        <v>2582</v>
      </c>
      <c r="AZ168" s="43"/>
      <c r="BA168" s="43"/>
      <c r="BB168" s="43"/>
      <c r="BC168" s="43"/>
      <c r="BD168" s="43"/>
      <c r="BE168" s="43"/>
      <c r="BF168" s="22">
        <f>IFERROR(VLOOKUP(C168,'спецификация'!B:D,3,0)," ")</f>
        <v>4670167250868</v>
      </c>
      <c r="BG168" s="22">
        <v>2.106909808E9</v>
      </c>
      <c r="BH168" s="22" t="str">
        <f>IFERROR(VLOOKUP(C168,'спецификация'!B:AA,5,0)," ")</f>
        <v>AM.01.07.01.003.R.000201.02.24 от 19.02.2024</v>
      </c>
      <c r="BI168" s="22"/>
      <c r="BJ168" s="22" t="str">
        <f>IFERROR(VLOOKUP(C168,'спецификация'!B:AA,6,0)," ")</f>
        <v>ЧЗ</v>
      </c>
      <c r="BK168" s="43"/>
      <c r="BL168" s="43"/>
      <c r="BM168" s="22" t="str">
        <f>IFERROR(VLOOKUP(BF168,'спецификация'!D:H,5,0)," ")</f>
        <v>коллаген гидролизованный рыбный, желатиновая капсула (желатин, вода, диоксид титана – краситель), аскорбиновая кислота (витамин С), гиалуроновая кислота, микрокристаллическая целлюлоза – носитель.</v>
      </c>
      <c r="BN168" s="43"/>
      <c r="BO168" s="22" t="str">
        <f>IFERROR(VLOOKUP(C168,'спецификация'!B:AA,10,0)," ")</f>
        <v>взрослым принимать по 1 капсуле 2 раза в день во время еды. Продолжительность приема: 1 месяц. При необходимости прием можно повторить.</v>
      </c>
      <c r="BP168" s="43" t="str">
        <f>IFERROR(VLOOKUP(C168,'спецификация'!B:AA,11,0)," ")</f>
        <v>индивидуальная непереносимость компонентов БАД, беременность, кормление грудью. Перед применением рекомендуется проконсультироваться с врачом.</v>
      </c>
      <c r="BQ168" s="22" t="str">
        <f>IFERROR(VLOOKUP(C168,'спецификация'!B:AA,12,0)," ")</f>
        <v>в недоступном для детей месте, при температуре не выше +25ºС и относительной влажности воздуха не более 60%.
</v>
      </c>
      <c r="BR168" s="22">
        <v>60.0</v>
      </c>
      <c r="BS168" s="22" t="s">
        <v>492</v>
      </c>
      <c r="BT168" s="43"/>
      <c r="BU168" s="22"/>
      <c r="BV168" s="22" t="s">
        <v>307</v>
      </c>
      <c r="BW168" s="44" t="str">
        <f>IFERROR(VLOOKUP(C168,'спецификация'!B:AA,16,0)," ")</f>
        <v>https://docs.google.com/document/d/19VXlTPqXLtzeN799ONdGre9WEtPC7qWH9gapNe_qqvM/edit?usp=sharing</v>
      </c>
      <c r="BX168" s="43"/>
      <c r="BY168" s="43"/>
      <c r="BZ168" s="45" t="str">
        <f>IFERROR(VLOOKUP(BF168,'спецификация'!D:Y,22,0)," ")</f>
        <v/>
      </c>
      <c r="CA168" s="43"/>
      <c r="CB168" s="43"/>
      <c r="CC168" s="43"/>
      <c r="CD168" s="43"/>
      <c r="CE168" s="43"/>
      <c r="CF168" s="43"/>
      <c r="CG168" s="49">
        <f>IFERROR(VLOOKUP(C168,CC!A:D,4,0)," ")</f>
        <v>303.15</v>
      </c>
      <c r="CH168" s="22" t="str">
        <f>IFERROR(VLOOKUP(C168,'спецификация'!B:AA,19,0)," ")</f>
        <v>ООО «НПК Современные пищевые технологии», адрес: 188508, Россия, Ленинградская область, м.р-н адрес: 188508, Россия, Ленинградская область, м.р-н Ломоносовский, г.п. Виллозское, тер. Южная часть промзоны Ломоносовский, г.п. Виллозское, тер. Южная часть промзоны Горелово, ул. Заречная, д. 2г, помещ. 50-59.</v>
      </c>
      <c r="CI168" s="22"/>
      <c r="CJ168" s="22" t="s">
        <v>2569</v>
      </c>
      <c r="CK168" s="22">
        <f>IFERROR(VLOOKUP(C168,CC!K:M,3,0)," ")</f>
        <v>60</v>
      </c>
      <c r="CL168" s="43"/>
      <c r="CM168" s="43"/>
      <c r="CN168" s="43"/>
      <c r="CO168" s="43"/>
      <c r="CP168" s="43"/>
      <c r="CQ168" s="43"/>
      <c r="CR168" s="43"/>
      <c r="CS168" s="43" t="b">
        <v>0</v>
      </c>
      <c r="CT168" s="43" t="b">
        <v>0</v>
      </c>
      <c r="CU168" s="43" t="b">
        <v>0</v>
      </c>
      <c r="CV168" s="43" t="b">
        <v>0</v>
      </c>
      <c r="CW168" s="43"/>
      <c r="CX168" s="43"/>
      <c r="CY168" s="43"/>
      <c r="CZ168" s="43"/>
      <c r="DA168" s="43"/>
      <c r="DB168" s="43"/>
      <c r="DC168" s="43"/>
      <c r="DD168" s="22">
        <f>IFERROR(VLOOKUP($C168,'Лист4'!$D:$AI,27,0)," ")</f>
        <v>6</v>
      </c>
      <c r="DE168" s="22">
        <f>IFERROR(VLOOKUP($C168,'Лист4'!$D:$AI,28,0)," ")</f>
        <v>6</v>
      </c>
      <c r="DF168" s="22">
        <f>IFERROR(VLOOKUP($C168,'Лист4'!$D:$AI,29,0)," ")</f>
        <v>6</v>
      </c>
      <c r="DG168" s="22">
        <f t="shared" si="3"/>
        <v>216</v>
      </c>
      <c r="DH168" s="22">
        <f>IFERROR(VLOOKUP($C168,'Лист4'!$D:$AI,32,0)," ")</f>
        <v>0.07</v>
      </c>
      <c r="DI168" s="22"/>
      <c r="DJ168" s="22"/>
      <c r="DK168" s="22"/>
      <c r="DL168" s="22"/>
      <c r="DM168" s="22"/>
      <c r="DN168" s="22"/>
      <c r="DO168" s="22"/>
      <c r="DP168" s="22"/>
      <c r="DQ168" s="22"/>
      <c r="DR168" s="22"/>
      <c r="DS168" s="22"/>
      <c r="DT168" s="22"/>
      <c r="DU168" s="22"/>
      <c r="DV168" s="22"/>
      <c r="DW168" s="22"/>
      <c r="DX168" s="22"/>
      <c r="DY168" s="22"/>
      <c r="DZ168" s="22"/>
      <c r="EA168" s="22"/>
      <c r="EB168" s="22"/>
      <c r="EC168" s="22"/>
      <c r="ED168" s="22"/>
      <c r="EE168" s="22"/>
      <c r="EF168" s="22"/>
      <c r="EG168" s="22"/>
      <c r="EH168" s="22"/>
      <c r="EI168" s="22"/>
      <c r="EJ168" s="22"/>
      <c r="EK168" s="22"/>
      <c r="EL168" s="22"/>
      <c r="EM168" s="43"/>
      <c r="EN168" s="43"/>
      <c r="EO168" s="43"/>
      <c r="EP168" s="43"/>
      <c r="EQ168" s="43"/>
      <c r="ER168" s="43"/>
      <c r="ES168" s="43"/>
      <c r="ET168" s="43"/>
      <c r="EU168" s="43"/>
      <c r="EV168" s="43"/>
      <c r="EW168" s="43"/>
      <c r="EX168" s="43"/>
      <c r="EY168" s="43"/>
      <c r="EZ168" s="43"/>
      <c r="FA168" s="43"/>
      <c r="FB168" s="43"/>
      <c r="FC168" s="43"/>
    </row>
    <row r="169" ht="18.0" customHeight="1">
      <c r="A169" s="2"/>
      <c r="B169" s="22" t="str">
        <f>IFERROR(VLOOKUP(C169,'Реестр'!C:AC,27,0)," ")</f>
        <v>Биг-Л</v>
      </c>
      <c r="C169" s="43" t="s">
        <v>2591</v>
      </c>
      <c r="D169" s="22" t="str">
        <f>IFERROR(VLOOKUP(C169,'Лист4'!D:P,13,0)," ")</f>
        <v>qeep</v>
      </c>
      <c r="E169" s="22" t="str">
        <f>IF(OR(ISERROR(VLOOKUP(C169,'Актуальность'!A:B,2,0)), VLOOKUP(C169,'Актуальность'!A:B,2,0)=""), "Актуальный", VLOOKUP(C169,'Актуальность'!A:B,2,0))</f>
        <v>Вывод</v>
      </c>
      <c r="F169" s="43" t="str">
        <f>IFERROR(VLOOKUP(C169,'Актуальность'!A:C,3,0)," ")</f>
        <v>Старый артикул</v>
      </c>
      <c r="G169" s="43"/>
      <c r="H169" s="22"/>
      <c r="I169" s="22"/>
      <c r="J169" s="43"/>
      <c r="K169" s="43"/>
      <c r="L169" s="22" t="b">
        <f t="shared" ref="L169:R169" si="165">T169&lt;&gt;""</f>
        <v>1</v>
      </c>
      <c r="M169" s="22" t="b">
        <f t="shared" si="165"/>
        <v>1</v>
      </c>
      <c r="N169" s="22" t="b">
        <f t="shared" si="165"/>
        <v>1</v>
      </c>
      <c r="O169" s="22" t="b">
        <f t="shared" si="165"/>
        <v>0</v>
      </c>
      <c r="P169" s="22" t="b">
        <f t="shared" si="165"/>
        <v>0</v>
      </c>
      <c r="Q169" s="22" t="b">
        <f t="shared" si="165"/>
        <v>0</v>
      </c>
      <c r="R169" s="22" t="b">
        <f t="shared" si="165"/>
        <v>0</v>
      </c>
      <c r="S169" s="43"/>
      <c r="T169" s="43" t="str">
        <f>IFERROR(VLOOKUP( C169,'1С'!A:B,2,0)," ")</f>
        <v>QB101100417</v>
      </c>
      <c r="U169" s="22" t="str">
        <f>IFERROR(VLOOKUP(T169,'Лист4'!C:I,3,0)," ")</f>
        <v>qeep_joint_support_90caps</v>
      </c>
      <c r="V169" s="22" t="str">
        <f>IFERROR(VLOOKUP(T169,'Лист4'!C:I,4,0)," ")</f>
        <v>qeep_joint_support_90caps</v>
      </c>
      <c r="W169" s="22" t="str">
        <f>IFERROR(VLOOKUP(T169,'Лист4'!C:I,5,0)," ")</f>
        <v/>
      </c>
      <c r="X169" s="43" t="str">
        <f>IFERROR(VLOOKUP(T169,'Лист4'!C:I,7,0)," ")</f>
        <v/>
      </c>
      <c r="Y169" s="43" t="str">
        <f>IFERROR(VLOOKUP(T169,'Лист4'!C:I,6,0)," ")</f>
        <v/>
      </c>
      <c r="Z169" s="43"/>
      <c r="AA169" s="43"/>
      <c r="AB169" s="22">
        <v>1.91073458E8</v>
      </c>
      <c r="AC169" s="22">
        <v>1.315703641E9</v>
      </c>
      <c r="AD169" s="22"/>
      <c r="AE169" s="22"/>
      <c r="AF169" s="22"/>
      <c r="AG169" s="43"/>
      <c r="AH169" s="43"/>
      <c r="AI169" s="43" t="str">
        <f>IFERROR(VLOOKUP(T169,'1С'!B:C,2,0)," ")</f>
        <v>БАД Глюкозамин хондроитин ,qeep, 90 капсул</v>
      </c>
      <c r="AJ169" s="22" t="s">
        <v>2594</v>
      </c>
      <c r="AK169" s="22" t="s">
        <v>2595</v>
      </c>
      <c r="AL169" s="43"/>
      <c r="AM169" s="43"/>
      <c r="AN169" s="43"/>
      <c r="AO169" s="43"/>
      <c r="AP169" s="43"/>
      <c r="AQ169" s="46" t="s">
        <v>2596</v>
      </c>
      <c r="AR169" s="46" t="s">
        <v>2597</v>
      </c>
      <c r="AS169" s="43"/>
      <c r="AT169" s="43"/>
      <c r="AU169" s="43"/>
      <c r="AV169" s="43"/>
      <c r="AW169" s="43"/>
      <c r="AX169" s="22" t="s">
        <v>361</v>
      </c>
      <c r="AY169" s="22" t="s">
        <v>2595</v>
      </c>
      <c r="AZ169" s="43"/>
      <c r="BA169" s="43"/>
      <c r="BB169" s="43"/>
      <c r="BC169" s="43"/>
      <c r="BD169" s="43"/>
      <c r="BE169" s="43"/>
      <c r="BF169" s="22">
        <f>IFERROR(VLOOKUP(C169,'спецификация'!B:D,3,0)," ")</f>
        <v>4627144543116</v>
      </c>
      <c r="BG169" s="22">
        <v>2.106909808E9</v>
      </c>
      <c r="BH169" s="22" t="str">
        <f>IFERROR(VLOOKUP(C169,'спецификация'!B:AA,5,0)," ")</f>
        <v>KZ.16.01.78.003.Е.002291.10.14 от 08.10.2014 г</v>
      </c>
      <c r="BI169" s="22"/>
      <c r="BJ169" s="22" t="str">
        <f>IFERROR(VLOOKUP(C169,'спецификация'!B:AA,6,0)," ")</f>
        <v>ЧЗ</v>
      </c>
      <c r="BK169" s="43"/>
      <c r="BL169" s="43"/>
      <c r="BM169" s="22" t="str">
        <f>IFERROR(VLOOKUP(BF169,'спецификация'!D:H,5,0)," ")</f>
        <v>хондроитинсульфат, глюкозамина сульфат, желатин (капсула), экстракт коры ивы, кверцетин, экстракт хвоща, витамин С (аскорбиновая кислота), витамин Е (D,L-альфа-токоферола ацетат), магния оксид (агент антислеживающий).</v>
      </c>
      <c r="BN169" s="43"/>
      <c r="BO169" s="22" t="str">
        <f>IFERROR(VLOOKUP(C169,'спецификация'!B:AA,10,0)," ")</f>
        <v>взрослым и детям старше 14 лет по 1 капсуле 2 раза в день во время еды.</v>
      </c>
      <c r="BP169" s="43" t="str">
        <f>IFERROR(VLOOKUP(C169,'спецификация'!B:AA,11,0)," ")</f>
        <v>индивидуальная непереносимость компонентов продукта, беременность и кормление грудью.</v>
      </c>
      <c r="BQ169" s="22" t="str">
        <f>IFERROR(VLOOKUP(C169,'спецификация'!B:AA,12,0)," ")</f>
        <v>хранить в сухом, защищенном от попадания прямых солнечных лучей, недоступном для детей месте при температуре не выше + 25°С.</v>
      </c>
      <c r="BR169" s="22">
        <v>90.0</v>
      </c>
      <c r="BS169" s="22" t="s">
        <v>492</v>
      </c>
      <c r="BT169" s="43"/>
      <c r="BU169" s="22"/>
      <c r="BV169" s="22" t="s">
        <v>307</v>
      </c>
      <c r="BW169" s="44" t="str">
        <f>IFERROR(VLOOKUP(C169,'спецификация'!B:AA,16,0)," ")</f>
        <v>https://docs.google.com/document/d/1BhgXxS2EtFhm5AOfO6UxYr4_iI_XUPzcMlYW7XUg8v0/edit?usp=sharing</v>
      </c>
      <c r="BX169" s="43"/>
      <c r="BY169" s="43"/>
      <c r="BZ169" s="44" t="str">
        <f>IFERROR(VLOOKUP(BF169,'спецификация'!D:Y,22,0)," ")</f>
        <v>https://drive.google.com/drive/u/0/folders/1xpEsoTf5JEmDcpacUB8fHvBIBxmzfhgf</v>
      </c>
      <c r="CA169" s="43"/>
      <c r="CB169" s="43"/>
      <c r="CC169" s="43"/>
      <c r="CD169" s="43"/>
      <c r="CE169" s="43"/>
      <c r="CF169" s="43"/>
      <c r="CG169" s="49">
        <f>IFERROR(VLOOKUP(C169,CC!A:D,4,0)," ")</f>
        <v>314.4</v>
      </c>
      <c r="CH169" s="22" t="str">
        <f>IFERROR(VLOOKUP(C169,'спецификация'!B:AA,19,0)," ")</f>
        <v>ООО «ВИС», Россия, 193315, г. Санкт-Петербург, ул. Новоселов, д. 49, лит. А, пом. 5-Н. (Адрес места осуществления деятельности по изготовлению продукции: Россия, 197706, г. Санкт-Петербург, г. Сестрорецк, ул. Максима Горького, д. 36/19, лит. А). www.vis-production.ru</v>
      </c>
      <c r="CI169" s="22"/>
      <c r="CJ169" s="22" t="s">
        <v>2606</v>
      </c>
      <c r="CK169" s="22">
        <f>IFERROR(VLOOKUP(C169,CC!K:M,3,0)," ")</f>
        <v>90</v>
      </c>
      <c r="CL169" s="43"/>
      <c r="CM169" s="43"/>
      <c r="CN169" s="43"/>
      <c r="CO169" s="43"/>
      <c r="CP169" s="43"/>
      <c r="CQ169" s="43"/>
      <c r="CR169" s="43"/>
      <c r="CS169" s="43" t="b">
        <v>0</v>
      </c>
      <c r="CT169" s="43" t="b">
        <v>0</v>
      </c>
      <c r="CU169" s="43" t="b">
        <v>0</v>
      </c>
      <c r="CV169" s="43" t="b">
        <v>0</v>
      </c>
      <c r="CW169" s="43"/>
      <c r="CX169" s="43"/>
      <c r="CY169" s="43"/>
      <c r="CZ169" s="43"/>
      <c r="DA169" s="43"/>
      <c r="DB169" s="43"/>
      <c r="DC169" s="43"/>
      <c r="DD169" s="22">
        <f>IFERROR(VLOOKUP($C169,'Лист4'!$D:$AI,27,0)," ")</f>
        <v>6</v>
      </c>
      <c r="DE169" s="22">
        <f>IFERROR(VLOOKUP($C169,'Лист4'!$D:$AI,28,0)," ")</f>
        <v>11</v>
      </c>
      <c r="DF169" s="22">
        <f>IFERROR(VLOOKUP($C169,'Лист4'!$D:$AI,29,0)," ")</f>
        <v>6</v>
      </c>
      <c r="DG169" s="22">
        <f t="shared" si="3"/>
        <v>396</v>
      </c>
      <c r="DH169" s="22">
        <f>IFERROR(VLOOKUP($C169,'Лист4'!$D:$AI,32,0)," ")</f>
        <v>0.12</v>
      </c>
      <c r="DI169" s="22"/>
      <c r="DJ169" s="22"/>
      <c r="DK169" s="22"/>
      <c r="DL169" s="22"/>
      <c r="DM169" s="22"/>
      <c r="DN169" s="22"/>
      <c r="DO169" s="22"/>
      <c r="DP169" s="22"/>
      <c r="DQ169" s="22"/>
      <c r="DR169" s="22"/>
      <c r="DS169" s="22"/>
      <c r="DT169" s="22"/>
      <c r="DU169" s="22"/>
      <c r="DV169" s="22"/>
      <c r="DW169" s="22"/>
      <c r="DX169" s="22"/>
      <c r="DY169" s="22"/>
      <c r="DZ169" s="22"/>
      <c r="EA169" s="22"/>
      <c r="EB169" s="22"/>
      <c r="EC169" s="22"/>
      <c r="ED169" s="22"/>
      <c r="EE169" s="22"/>
      <c r="EF169" s="22"/>
      <c r="EG169" s="22"/>
      <c r="EH169" s="22"/>
      <c r="EI169" s="22"/>
      <c r="EJ169" s="22"/>
      <c r="EK169" s="22"/>
      <c r="EL169" s="22"/>
      <c r="EM169" s="43"/>
      <c r="EN169" s="43"/>
      <c r="EO169" s="43"/>
      <c r="EP169" s="43"/>
      <c r="EQ169" s="43"/>
      <c r="ER169" s="43"/>
      <c r="ES169" s="43"/>
      <c r="ET169" s="43"/>
      <c r="EU169" s="43"/>
      <c r="EV169" s="43"/>
      <c r="EW169" s="43"/>
      <c r="EX169" s="43"/>
      <c r="EY169" s="43"/>
      <c r="EZ169" s="43"/>
      <c r="FA169" s="43"/>
      <c r="FB169" s="43"/>
      <c r="FC169" s="43"/>
    </row>
    <row r="170" ht="18.0" customHeight="1">
      <c r="A170" s="2"/>
      <c r="B170" s="22" t="str">
        <f>IFERROR(VLOOKUP(C170,'Реестр'!C:AC,27,0)," ")</f>
        <v>Биг-Л</v>
      </c>
      <c r="C170" s="43" t="s">
        <v>2607</v>
      </c>
      <c r="D170" s="22" t="str">
        <f>IFERROR(VLOOKUP(C170,'Лист4'!D:P,13,0)," ")</f>
        <v>qeep</v>
      </c>
      <c r="E170" s="22" t="str">
        <f>IF(OR(ISERROR(VLOOKUP(C170,'Актуальность'!A:B,2,0)), VLOOKUP(C170,'Актуальность'!A:B,2,0)=""), "Актуальный", VLOOKUP(C170,'Актуальность'!A:B,2,0))</f>
        <v>Вывод</v>
      </c>
      <c r="F170" s="43" t="str">
        <f>IFERROR(VLOOKUP(C170,'Актуальность'!A:C,3,0)," ")</f>
        <v>Старый артикул</v>
      </c>
      <c r="G170" s="43"/>
      <c r="H170" s="22"/>
      <c r="I170" s="22"/>
      <c r="J170" s="43"/>
      <c r="K170" s="43"/>
      <c r="L170" s="22" t="b">
        <f t="shared" ref="L170:R170" si="166">T170&lt;&gt;""</f>
        <v>1</v>
      </c>
      <c r="M170" s="22" t="b">
        <f t="shared" si="166"/>
        <v>1</v>
      </c>
      <c r="N170" s="22" t="b">
        <f t="shared" si="166"/>
        <v>1</v>
      </c>
      <c r="O170" s="22" t="b">
        <f t="shared" si="166"/>
        <v>0</v>
      </c>
      <c r="P170" s="22" t="b">
        <f t="shared" si="166"/>
        <v>0</v>
      </c>
      <c r="Q170" s="22" t="b">
        <f t="shared" si="166"/>
        <v>0</v>
      </c>
      <c r="R170" s="22" t="b">
        <f t="shared" si="166"/>
        <v>0</v>
      </c>
      <c r="S170" s="43"/>
      <c r="T170" s="43" t="str">
        <f>IFERROR(VLOOKUP( C170,'1С'!A:B,2,0)," ")</f>
        <v>QB101100505</v>
      </c>
      <c r="U170" s="22" t="str">
        <f>IFERROR(VLOOKUP(T170,'Лист4'!C:I,3,0)," ")</f>
        <v>qeepbcaa</v>
      </c>
      <c r="V170" s="22" t="str">
        <f>IFERROR(VLOOKUP(T170,'Лист4'!C:I,4,0)," ")</f>
        <v>qeepbcaa</v>
      </c>
      <c r="W170" s="22" t="str">
        <f>IFERROR(VLOOKUP(T170,'Лист4'!C:I,5,0)," ")</f>
        <v/>
      </c>
      <c r="X170" s="43" t="str">
        <f>IFERROR(VLOOKUP(T170,'Лист4'!C:I,7,0)," ")</f>
        <v/>
      </c>
      <c r="Y170" s="43" t="str">
        <f>IFERROR(VLOOKUP(T170,'Лист4'!C:I,6,0)," ")</f>
        <v/>
      </c>
      <c r="Z170" s="43"/>
      <c r="AA170" s="43"/>
      <c r="AB170" s="22">
        <v>1.40944929E8</v>
      </c>
      <c r="AC170" s="22">
        <v>8.25733116E8</v>
      </c>
      <c r="AD170" s="22"/>
      <c r="AE170" s="22"/>
      <c r="AF170" s="22"/>
      <c r="AG170" s="43"/>
      <c r="AH170" s="43"/>
      <c r="AI170" s="43" t="str">
        <f>IFERROR(VLOOKUP(T170,'1С'!B:C,2,0)," ")</f>
        <v>БАД BCAA ,qeep, 120 капсул</v>
      </c>
      <c r="AJ170" s="22" t="s">
        <v>2610</v>
      </c>
      <c r="AK170" s="22" t="s">
        <v>2611</v>
      </c>
      <c r="AL170" s="43"/>
      <c r="AM170" s="43"/>
      <c r="AN170" s="43"/>
      <c r="AO170" s="43"/>
      <c r="AP170" s="43"/>
      <c r="AQ170" s="46" t="s">
        <v>2612</v>
      </c>
      <c r="AR170" s="46" t="s">
        <v>2613</v>
      </c>
      <c r="AS170" s="43"/>
      <c r="AT170" s="43"/>
      <c r="AU170" s="43"/>
      <c r="AV170" s="43"/>
      <c r="AW170" s="43"/>
      <c r="AX170" s="22" t="s">
        <v>1725</v>
      </c>
      <c r="AY170" s="22" t="s">
        <v>2611</v>
      </c>
      <c r="AZ170" s="43"/>
      <c r="BA170" s="43"/>
      <c r="BB170" s="43"/>
      <c r="BC170" s="43"/>
      <c r="BD170" s="43"/>
      <c r="BE170" s="43"/>
      <c r="BF170" s="22">
        <f>IFERROR(VLOOKUP(C170,'спецификация'!B:D,3,0)," ")</f>
        <v>4603745411405</v>
      </c>
      <c r="BG170" s="22">
        <v>3.504009E9</v>
      </c>
      <c r="BH170" s="22" t="str">
        <f>IFERROR(VLOOKUP(C170,'спецификация'!B:AA,5,0)," ")</f>
        <v>AM.01.07.01.007.R.000744.11.21 от 29.11.2021</v>
      </c>
      <c r="BI170" s="22"/>
      <c r="BJ170" s="22" t="str">
        <f>IFERROR(VLOOKUP(C170,'спецификация'!B:AA,6,0)," ")</f>
        <v>ЧЗ</v>
      </c>
      <c r="BK170" s="43"/>
      <c r="BL170" s="43"/>
      <c r="BM170" s="22" t="str">
        <f>IFERROR(VLOOKUP(BF170,'спецификация'!D:H,5,0)," ")</f>
        <v>L-лейцин, L-изолейцин, L-валин, капсула (желатин, вода, диоксид титана –краситель).</v>
      </c>
      <c r="BN170" s="43"/>
      <c r="BO170" s="22" t="str">
        <f>IFERROR(VLOOKUP(C170,'спецификация'!B:AA,10,0)," ")</f>
        <v>взрослым по 3 капсулы в день во время еды. Продолжительность приема 4 недели.</v>
      </c>
      <c r="BP170" s="43" t="str">
        <f>IFERROR(VLOOKUP(C170,'спецификация'!B:AA,11,0)," ")</f>
        <v>Противопоказания: индивидуальная непереносимость ингредиентов. Не рекомендуется использование детьми в возрасте до 18 лет, беременными и кормящими женщинами, а также лицами с заболеваниями почек и печени.</v>
      </c>
      <c r="BQ170" s="22" t="str">
        <f>IFERROR(VLOOKUP(C170,'спецификация'!B:AA,12,0)," ")</f>
        <v>при температуре от +5 до + 25 С.
</v>
      </c>
      <c r="BR170" s="22">
        <v>120.0</v>
      </c>
      <c r="BS170" s="22" t="s">
        <v>492</v>
      </c>
      <c r="BT170" s="43"/>
      <c r="BU170" s="22"/>
      <c r="BV170" s="22" t="s">
        <v>307</v>
      </c>
      <c r="BW170" s="44" t="str">
        <f>IFERROR(VLOOKUP(C170,'спецификация'!B:AA,16,0)," ")</f>
        <v>https://docs.google.com/document/d/1FVE_45X25rqUYfdloKOhW_C42aOxucCjsOLbO3LoLQw/edit</v>
      </c>
      <c r="BX170" s="43"/>
      <c r="BY170" s="43"/>
      <c r="BZ170" s="44" t="str">
        <f>IFERROR(VLOOKUP(BF170,'спецификация'!D:Y,22,0)," ")</f>
        <v>https://drive.google.com/drive/u/0/folders/16dM0utW8LHhfypbkiJRU_yiZA3FNG4hx</v>
      </c>
      <c r="CA170" s="43"/>
      <c r="CB170" s="43"/>
      <c r="CC170" s="43"/>
      <c r="CD170" s="43"/>
      <c r="CE170" s="43"/>
      <c r="CF170" s="43"/>
      <c r="CG170" s="49">
        <f>IFERROR(VLOOKUP(C170,CC!A:D,4,0)," ")</f>
        <v>313.59</v>
      </c>
      <c r="CH170" s="22" t="str">
        <f>IFERROR(VLOOKUP(C170,'спецификация'!B:AA,19,0)," ")</f>
        <v>ООО «НПК Современные пищевые технологии», адрес: 188508, Россия, Ленинградская область, м.р-н адрес: 188508, Россия, Ленинградская область, м.р-н Ломоносовский, г.п. Виллозское, тер. Южная часть промзоны Ломоносовский, г.п. Виллозское, тер. Южная часть промзоны Горелово, ул. Заречная, д. 2г, помещ. 50-59.</v>
      </c>
      <c r="CI170" s="22"/>
      <c r="CJ170" s="22" t="s">
        <v>2569</v>
      </c>
      <c r="CK170" s="22" t="str">
        <f>IFERROR(VLOOKUP(C170,CC!K:M,3,0)," ")</f>
        <v> </v>
      </c>
      <c r="CL170" s="43"/>
      <c r="CM170" s="43"/>
      <c r="CN170" s="43"/>
      <c r="CO170" s="43"/>
      <c r="CP170" s="43"/>
      <c r="CQ170" s="43"/>
      <c r="CR170" s="43"/>
      <c r="CS170" s="43" t="b">
        <v>0</v>
      </c>
      <c r="CT170" s="43" t="b">
        <v>0</v>
      </c>
      <c r="CU170" s="43" t="b">
        <v>0</v>
      </c>
      <c r="CV170" s="43" t="b">
        <v>0</v>
      </c>
      <c r="CW170" s="43"/>
      <c r="CX170" s="43"/>
      <c r="CY170" s="43"/>
      <c r="CZ170" s="43"/>
      <c r="DA170" s="43"/>
      <c r="DB170" s="43"/>
      <c r="DC170" s="43"/>
      <c r="DD170" s="22">
        <f>IFERROR(VLOOKUP($C170,'Лист4'!$D:$AI,27,0)," ")</f>
        <v>12</v>
      </c>
      <c r="DE170" s="22">
        <f>IFERROR(VLOOKUP($C170,'Лист4'!$D:$AI,28,0)," ")</f>
        <v>6</v>
      </c>
      <c r="DF170" s="22">
        <f>IFERROR(VLOOKUP($C170,'Лист4'!$D:$AI,29,0)," ")</f>
        <v>12</v>
      </c>
      <c r="DG170" s="22">
        <f t="shared" si="3"/>
        <v>864</v>
      </c>
      <c r="DH170" s="22">
        <f>IFERROR(VLOOKUP($C170,'Лист4'!$D:$AI,32,0)," ")</f>
        <v>0.1</v>
      </c>
      <c r="DI170" s="22"/>
      <c r="DJ170" s="22"/>
      <c r="DK170" s="22"/>
      <c r="DL170" s="22"/>
      <c r="DM170" s="22"/>
      <c r="DN170" s="22"/>
      <c r="DO170" s="22"/>
      <c r="DP170" s="22"/>
      <c r="DQ170" s="22"/>
      <c r="DR170" s="22"/>
      <c r="DS170" s="22"/>
      <c r="DT170" s="22"/>
      <c r="DU170" s="22"/>
      <c r="DV170" s="22"/>
      <c r="DW170" s="22"/>
      <c r="DX170" s="22"/>
      <c r="DY170" s="22"/>
      <c r="DZ170" s="22"/>
      <c r="EA170" s="22"/>
      <c r="EB170" s="22"/>
      <c r="EC170" s="22"/>
      <c r="ED170" s="22"/>
      <c r="EE170" s="22"/>
      <c r="EF170" s="22"/>
      <c r="EG170" s="22"/>
      <c r="EH170" s="22"/>
      <c r="EI170" s="22"/>
      <c r="EJ170" s="22"/>
      <c r="EK170" s="22"/>
      <c r="EL170" s="22"/>
      <c r="EM170" s="43"/>
      <c r="EN170" s="43"/>
      <c r="EO170" s="43"/>
      <c r="EP170" s="43"/>
      <c r="EQ170" s="43"/>
      <c r="ER170" s="43"/>
      <c r="ES170" s="43"/>
      <c r="ET170" s="43"/>
      <c r="EU170" s="43"/>
      <c r="EV170" s="43"/>
      <c r="EW170" s="43"/>
      <c r="EX170" s="43"/>
      <c r="EY170" s="43"/>
      <c r="EZ170" s="43"/>
      <c r="FA170" s="43"/>
      <c r="FB170" s="43"/>
      <c r="FC170" s="43"/>
    </row>
    <row r="171" ht="18.0" customHeight="1">
      <c r="A171" s="2"/>
      <c r="B171" s="22" t="str">
        <f>IFERROR(VLOOKUP(C171,'Реестр'!C:AC,27,0)," ")</f>
        <v>Биг-Л</v>
      </c>
      <c r="C171" s="43" t="s">
        <v>2621</v>
      </c>
      <c r="D171" s="22" t="str">
        <f>IFERROR(VLOOKUP(C171,'Лист4'!D:P,13,0)," ")</f>
        <v>qeep</v>
      </c>
      <c r="E171" s="22" t="str">
        <f>IF(OR(ISERROR(VLOOKUP(C171,'Актуальность'!A:B,2,0)), VLOOKUP(C171,'Актуальность'!A:B,2,0)=""), "Актуальный", VLOOKUP(C171,'Актуальность'!A:B,2,0))</f>
        <v>Вывод</v>
      </c>
      <c r="F171" s="43" t="str">
        <f>IFERROR(VLOOKUP(C171,'Актуальность'!A:C,3,0)," ")</f>
        <v>Старый артикул</v>
      </c>
      <c r="G171" s="43"/>
      <c r="H171" s="22"/>
      <c r="I171" s="22"/>
      <c r="J171" s="43"/>
      <c r="K171" s="43"/>
      <c r="L171" s="22" t="b">
        <f t="shared" ref="L171:R171" si="167">T171&lt;&gt;""</f>
        <v>1</v>
      </c>
      <c r="M171" s="22" t="b">
        <f t="shared" si="167"/>
        <v>1</v>
      </c>
      <c r="N171" s="22" t="b">
        <f t="shared" si="167"/>
        <v>1</v>
      </c>
      <c r="O171" s="22" t="b">
        <f t="shared" si="167"/>
        <v>0</v>
      </c>
      <c r="P171" s="22" t="b">
        <f t="shared" si="167"/>
        <v>0</v>
      </c>
      <c r="Q171" s="22" t="b">
        <f t="shared" si="167"/>
        <v>0</v>
      </c>
      <c r="R171" s="22" t="b">
        <f t="shared" si="167"/>
        <v>0</v>
      </c>
      <c r="S171" s="43"/>
      <c r="T171" s="43" t="str">
        <f>IFERROR(VLOOKUP( C171,'1С'!A:B,2,0)," ")</f>
        <v>QB101100504</v>
      </c>
      <c r="U171" s="22" t="str">
        <f>IFERROR(VLOOKUP(T171,'Лист4'!C:I,3,0)," ")</f>
        <v>qeep_bcaa_L_Carnitine</v>
      </c>
      <c r="V171" s="22" t="str">
        <f>IFERROR(VLOOKUP(T171,'Лист4'!C:I,4,0)," ")</f>
        <v>qeep_bcaa_L_Carnitine</v>
      </c>
      <c r="W171" s="22" t="str">
        <f>IFERROR(VLOOKUP(T171,'Лист4'!C:I,5,0)," ")</f>
        <v/>
      </c>
      <c r="X171" s="43" t="str">
        <f>IFERROR(VLOOKUP(T171,'Лист4'!C:I,7,0)," ")</f>
        <v/>
      </c>
      <c r="Y171" s="43" t="str">
        <f>IFERROR(VLOOKUP(T171,'Лист4'!C:I,6,0)," ")</f>
        <v/>
      </c>
      <c r="Z171" s="43"/>
      <c r="AA171" s="43"/>
      <c r="AB171" s="22">
        <v>1.67679765E8</v>
      </c>
      <c r="AC171" s="22">
        <v>1.099581672E9</v>
      </c>
      <c r="AD171" s="22"/>
      <c r="AE171" s="22"/>
      <c r="AF171" s="22"/>
      <c r="AG171" s="43"/>
      <c r="AH171" s="43"/>
      <c r="AI171" s="43" t="str">
        <f>IFERROR(VLOOKUP(T171,'1С'!B:C,2,0)," ")</f>
        <v>БАД BCAA + L Карнитин ,qeep, 120+90 капсул набор</v>
      </c>
      <c r="AJ171" s="22" t="s">
        <v>2624</v>
      </c>
      <c r="AK171" s="22" t="s">
        <v>2625</v>
      </c>
      <c r="AL171" s="43"/>
      <c r="AM171" s="43"/>
      <c r="AN171" s="43"/>
      <c r="AO171" s="43"/>
      <c r="AP171" s="43"/>
      <c r="AQ171" s="46" t="s">
        <v>2626</v>
      </c>
      <c r="AR171" s="46" t="s">
        <v>2627</v>
      </c>
      <c r="AS171" s="43"/>
      <c r="AT171" s="43"/>
      <c r="AU171" s="43"/>
      <c r="AV171" s="43"/>
      <c r="AW171" s="43"/>
      <c r="AX171" s="22" t="s">
        <v>1725</v>
      </c>
      <c r="AY171" s="22" t="s">
        <v>2625</v>
      </c>
      <c r="AZ171" s="43"/>
      <c r="BA171" s="43"/>
      <c r="BB171" s="43"/>
      <c r="BC171" s="43"/>
      <c r="BD171" s="43"/>
      <c r="BE171" s="43"/>
      <c r="BF171" s="22" t="str">
        <f>IFERROR(VLOOKUP(C171,'спецификация'!B:D,3,0)," ")</f>
        <v>2038121282317</v>
      </c>
      <c r="BG171" s="22">
        <v>2.106909808E9</v>
      </c>
      <c r="BH171" s="22" t="str">
        <f>IFERROR(VLOOKUP(C171,'спецификация'!B:AA,5,0)," ")</f>
        <v/>
      </c>
      <c r="BI171" s="22"/>
      <c r="BJ171" s="22" t="str">
        <f>IFERROR(VLOOKUP(C171,'спецификация'!B:AA,6,0)," ")</f>
        <v>ЧЗ</v>
      </c>
      <c r="BK171" s="43"/>
      <c r="BL171" s="43"/>
      <c r="BM171" s="22" t="str">
        <f>IFERROR(VLOOKUP(BF171,'спецификация'!D:H,5,0)," ")</f>
        <v/>
      </c>
      <c r="BN171" s="43"/>
      <c r="BO171" s="22" t="str">
        <f>IFERROR(VLOOKUP(C171,'спецификация'!B:AA,10,0)," ")</f>
        <v/>
      </c>
      <c r="BP171" s="43" t="str">
        <f>IFERROR(VLOOKUP(C171,'спецификация'!B:AA,11,0)," ")</f>
        <v/>
      </c>
      <c r="BQ171" s="22" t="str">
        <f>IFERROR(VLOOKUP(C171,'спецификация'!B:AA,12,0)," ")</f>
        <v/>
      </c>
      <c r="BR171" s="22"/>
      <c r="BS171" s="58" t="s">
        <v>2629</v>
      </c>
      <c r="BT171" s="58"/>
      <c r="BU171" s="22"/>
      <c r="BV171" s="22"/>
      <c r="BW171" s="45" t="str">
        <f>IFERROR(VLOOKUP(C171,'спецификация'!B:AA,16,0)," ")</f>
        <v/>
      </c>
      <c r="BX171" s="43"/>
      <c r="BY171" s="43"/>
      <c r="BZ171" s="45" t="str">
        <f>IFERROR(VLOOKUP(BF171,'спецификация'!D:Y,22,0)," ")</f>
        <v/>
      </c>
      <c r="CA171" s="43"/>
      <c r="CB171" s="43"/>
      <c r="CC171" s="43"/>
      <c r="CD171" s="43"/>
      <c r="CE171" s="43"/>
      <c r="CF171" s="43"/>
      <c r="CG171" s="49">
        <f>IFERROR(VLOOKUP(C171,CC!A:D,4,0)," ")</f>
        <v>669.75</v>
      </c>
      <c r="CH171" s="22" t="str">
        <f>IFERROR(VLOOKUP(C171,'спецификация'!B:AA,19,0)," ")</f>
        <v/>
      </c>
      <c r="CI171" s="22"/>
      <c r="CJ171" s="43"/>
      <c r="CK171" s="22">
        <f>IFERROR(VLOOKUP(C171,CC!K:M,3,0)," ")</f>
        <v>90</v>
      </c>
      <c r="CL171" s="43"/>
      <c r="CM171" s="43"/>
      <c r="CN171" s="43"/>
      <c r="CO171" s="43"/>
      <c r="CP171" s="43"/>
      <c r="CQ171" s="43"/>
      <c r="CR171" s="43"/>
      <c r="CS171" s="43" t="b">
        <v>0</v>
      </c>
      <c r="CT171" s="43" t="b">
        <v>0</v>
      </c>
      <c r="CU171" s="43" t="b">
        <v>0</v>
      </c>
      <c r="CV171" s="43" t="b">
        <v>0</v>
      </c>
      <c r="CW171" s="43"/>
      <c r="CX171" s="43"/>
      <c r="CY171" s="43"/>
      <c r="CZ171" s="43"/>
      <c r="DA171" s="43"/>
      <c r="DB171" s="43"/>
      <c r="DC171" s="43"/>
      <c r="DD171" s="22">
        <f>IFERROR(VLOOKUP($C171,'Лист4'!$D:$AI,27,0)," ")</f>
        <v>12</v>
      </c>
      <c r="DE171" s="22">
        <f>IFERROR(VLOOKUP($C171,'Лист4'!$D:$AI,28,0)," ")</f>
        <v>6</v>
      </c>
      <c r="DF171" s="22">
        <f>IFERROR(VLOOKUP($C171,'Лист4'!$D:$AI,29,0)," ")</f>
        <v>12</v>
      </c>
      <c r="DG171" s="22">
        <f t="shared" si="3"/>
        <v>864</v>
      </c>
      <c r="DH171" s="22">
        <f>IFERROR(VLOOKUP($C171,'Лист4'!$D:$AI,32,0)," ")</f>
        <v>0.11</v>
      </c>
      <c r="DI171" s="22"/>
      <c r="DJ171" s="22"/>
      <c r="DK171" s="22"/>
      <c r="DL171" s="22"/>
      <c r="DM171" s="22"/>
      <c r="DN171" s="22"/>
      <c r="DO171" s="22"/>
      <c r="DP171" s="22"/>
      <c r="DQ171" s="22"/>
      <c r="DR171" s="22"/>
      <c r="DS171" s="22"/>
      <c r="DT171" s="22"/>
      <c r="DU171" s="22"/>
      <c r="DV171" s="22"/>
      <c r="DW171" s="22"/>
      <c r="DX171" s="22"/>
      <c r="DY171" s="22"/>
      <c r="DZ171" s="22"/>
      <c r="EA171" s="22"/>
      <c r="EB171" s="22"/>
      <c r="EC171" s="22"/>
      <c r="ED171" s="22"/>
      <c r="EE171" s="22"/>
      <c r="EF171" s="22"/>
      <c r="EG171" s="22"/>
      <c r="EH171" s="22"/>
      <c r="EI171" s="22"/>
      <c r="EJ171" s="22"/>
      <c r="EK171" s="22"/>
      <c r="EL171" s="22"/>
      <c r="EM171" s="43"/>
      <c r="EN171" s="43"/>
      <c r="EO171" s="43"/>
      <c r="EP171" s="43"/>
      <c r="EQ171" s="43"/>
      <c r="ER171" s="43"/>
      <c r="ES171" s="43"/>
      <c r="ET171" s="43"/>
      <c r="EU171" s="43"/>
      <c r="EV171" s="43"/>
      <c r="EW171" s="43"/>
      <c r="EX171" s="43"/>
      <c r="EY171" s="43"/>
      <c r="EZ171" s="43"/>
      <c r="FA171" s="43"/>
      <c r="FB171" s="43"/>
      <c r="FC171" s="43"/>
    </row>
    <row r="172" ht="18.0" customHeight="1">
      <c r="A172" s="2"/>
      <c r="B172" s="22" t="str">
        <f>IFERROR(VLOOKUP(C172,'Реестр'!C:AC,27,0)," ")</f>
        <v>Биг-Л</v>
      </c>
      <c r="C172" s="43" t="s">
        <v>2630</v>
      </c>
      <c r="D172" s="22" t="str">
        <f>IFERROR(VLOOKUP(C172,'Лист4'!D:P,13,0)," ")</f>
        <v>qeep</v>
      </c>
      <c r="E172" s="22" t="str">
        <f>IF(OR(ISERROR(VLOOKUP(C172,'Актуальность'!A:B,2,0)), VLOOKUP(C172,'Актуальность'!A:B,2,0)=""), "Актуальный", VLOOKUP(C172,'Актуальность'!A:B,2,0))</f>
        <v>Вывод</v>
      </c>
      <c r="F172" s="43" t="str">
        <f>IFERROR(VLOOKUP(C172,'Актуальность'!A:C,3,0)," ")</f>
        <v>Старый артикул</v>
      </c>
      <c r="G172" s="43"/>
      <c r="H172" s="22"/>
      <c r="I172" s="22"/>
      <c r="J172" s="43"/>
      <c r="K172" s="43"/>
      <c r="L172" s="22" t="b">
        <f t="shared" ref="L172:R172" si="168">T172&lt;&gt;""</f>
        <v>1</v>
      </c>
      <c r="M172" s="22" t="b">
        <f t="shared" si="168"/>
        <v>1</v>
      </c>
      <c r="N172" s="22" t="b">
        <f t="shared" si="168"/>
        <v>1</v>
      </c>
      <c r="O172" s="22" t="b">
        <f t="shared" si="168"/>
        <v>0</v>
      </c>
      <c r="P172" s="22" t="b">
        <f t="shared" si="168"/>
        <v>0</v>
      </c>
      <c r="Q172" s="22" t="b">
        <f t="shared" si="168"/>
        <v>0</v>
      </c>
      <c r="R172" s="22" t="b">
        <f t="shared" si="168"/>
        <v>0</v>
      </c>
      <c r="S172" s="43"/>
      <c r="T172" s="43" t="str">
        <f>IFERROR(VLOOKUP( C172,'1С'!A:B,2,0)," ")</f>
        <v>QB101100401</v>
      </c>
      <c r="U172" s="22" t="str">
        <f>IFERROR(VLOOKUP(T172,'Лист4'!C:I,3,0)," ")</f>
        <v>qeep_Alpha_Lipoic_60caps</v>
      </c>
      <c r="V172" s="22" t="str">
        <f>IFERROR(VLOOKUP(T172,'Лист4'!C:I,4,0)," ")</f>
        <v>qeep_Alpha_Lipoic_60caps</v>
      </c>
      <c r="W172" s="22" t="str">
        <f>IFERROR(VLOOKUP(T172,'Лист4'!C:I,5,0)," ")</f>
        <v/>
      </c>
      <c r="X172" s="43" t="str">
        <f>IFERROR(VLOOKUP(T172,'Лист4'!C:I,7,0)," ")</f>
        <v/>
      </c>
      <c r="Y172" s="43" t="str">
        <f>IFERROR(VLOOKUP(T172,'Лист4'!C:I,6,0)," ")</f>
        <v/>
      </c>
      <c r="Z172" s="43"/>
      <c r="AA172" s="43"/>
      <c r="AB172" s="22">
        <v>1.57011739E8</v>
      </c>
      <c r="AC172" s="22">
        <v>9.4693155E8</v>
      </c>
      <c r="AD172" s="22"/>
      <c r="AE172" s="22"/>
      <c r="AF172" s="22"/>
      <c r="AG172" s="43"/>
      <c r="AH172" s="43"/>
      <c r="AI172" s="43" t="str">
        <f>IFERROR(VLOOKUP(T172,'1С'!B:C,2,0)," ")</f>
        <v>БАД Альфа-липоевая кислота ,qeep, 60 капсул</v>
      </c>
      <c r="AJ172" s="22" t="s">
        <v>2633</v>
      </c>
      <c r="AK172" s="22" t="s">
        <v>2634</v>
      </c>
      <c r="AL172" s="43"/>
      <c r="AM172" s="43"/>
      <c r="AN172" s="43"/>
      <c r="AO172" s="43"/>
      <c r="AP172" s="43"/>
      <c r="AQ172" s="46" t="s">
        <v>2635</v>
      </c>
      <c r="AR172" s="46" t="s">
        <v>2636</v>
      </c>
      <c r="AS172" s="43"/>
      <c r="AT172" s="43"/>
      <c r="AU172" s="43"/>
      <c r="AV172" s="43"/>
      <c r="AW172" s="43"/>
      <c r="AX172" s="22" t="s">
        <v>361</v>
      </c>
      <c r="AY172" s="22" t="s">
        <v>2634</v>
      </c>
      <c r="AZ172" s="43"/>
      <c r="BA172" s="43"/>
      <c r="BB172" s="43"/>
      <c r="BC172" s="43"/>
      <c r="BD172" s="43"/>
      <c r="BE172" s="43"/>
      <c r="BF172" s="22">
        <f>IFERROR(VLOOKUP(C172,'спецификация'!B:D,3,0)," ")</f>
        <v>4670110185162</v>
      </c>
      <c r="BG172" s="22">
        <v>2.106909808E9</v>
      </c>
      <c r="BH172" s="22" t="str">
        <f>IFERROR(VLOOKUP(C172,'спецификация'!B:AA,5,0)," ")</f>
        <v>RU.77.99.11.003.R.003718.10.21 от 20.10.2021 г.</v>
      </c>
      <c r="BI172" s="22"/>
      <c r="BJ172" s="22" t="str">
        <f>IFERROR(VLOOKUP(C172,'спецификация'!B:AA,6,0)," ")</f>
        <v>ЧЗ</v>
      </c>
      <c r="BK172" s="43"/>
      <c r="BL172" s="43"/>
      <c r="BM172" s="22" t="str">
        <f>IFERROR(VLOOKUP(BF172,'спецификация'!D:H,5,0)," ")</f>
        <v>Альфа-липоевая кислота, микрокристаллическая целлюлоза, капсула (носитель: желатин пищевой).</v>
      </c>
      <c r="BN172" s="43"/>
      <c r="BO172" s="22" t="str">
        <f>IFERROR(VLOOKUP(C172,'спецификация'!B:AA,10,0)," ")</f>
        <v>взрослым по  1 капсуле (массой 450 мг)  в день во время еды. Продолжительность приема – 1месяц. При необходимости прием можно повторить. Возможны повторные приемы в течение года.</v>
      </c>
      <c r="BP172" s="43" t="str">
        <f>IFERROR(VLOOKUP(C172,'спецификация'!B:AA,11,0)," ")</f>
        <v>индивидуальная непереносимость компонентов БАД к пище, беременность, кормление грудью. Перед применением БАД к пище рекомендуется проконсультироваться с врачом</v>
      </c>
      <c r="BQ172" s="22" t="str">
        <f>IFERROR(VLOOKUP(C172,'спецификация'!B:AA,12,0)," ")</f>
        <v>хранить  в оригинальной упаковке, защищенном от попадания прямых солнечных лучей и недоступном для детей месте, при температуре не выше +25°С.</v>
      </c>
      <c r="BR172" s="22">
        <v>60.0</v>
      </c>
      <c r="BS172" s="22" t="s">
        <v>621</v>
      </c>
      <c r="BT172" s="22"/>
      <c r="BU172" s="22"/>
      <c r="BV172" s="22" t="s">
        <v>307</v>
      </c>
      <c r="BW172" s="44" t="str">
        <f>IFERROR(VLOOKUP(C172,'спецификация'!B:AA,16,0)," ")</f>
        <v>https://docs.google.com/document/d/1jaHhHBpO2bz8T39sAGHWI6ILNbXbLTc_dtD69iW5LJg/edit?usp=sharing</v>
      </c>
      <c r="BX172" s="43"/>
      <c r="BY172" s="43"/>
      <c r="BZ172" s="44" t="str">
        <f>IFERROR(VLOOKUP(BF172,'спецификация'!D:Y,22,0)," ")</f>
        <v>https://drive.google.com/drive/u/0/folders/1ydIE81ORecrhE_zXXgluf8NbWv1VJ0mY</v>
      </c>
      <c r="CA172" s="43"/>
      <c r="CB172" s="43"/>
      <c r="CC172" s="43"/>
      <c r="CD172" s="43"/>
      <c r="CE172" s="43"/>
      <c r="CF172" s="43"/>
      <c r="CG172" s="49">
        <f>IFERROR(VLOOKUP(C172,CC!A:D,4,0)," ")</f>
        <v>275</v>
      </c>
      <c r="CH172" s="22" t="str">
        <f>IFERROR(VLOOKUP(C172,'спецификация'!B:AA,19,0)," ")</f>
        <v>ООО Арсенал Атлета, 443535, Россия, Самарская область, Волжский муниципальный район, сельское поселение Лопатино, село Лопатино, улица Мира, здание 16/8, офис 1, тел.: +7 (902) 580 30 82, e-mail: yozavod@gmail.com.</v>
      </c>
      <c r="CI172" s="22"/>
      <c r="CJ172" s="22" t="s">
        <v>1119</v>
      </c>
      <c r="CK172" s="22">
        <f>IFERROR(VLOOKUP(C172,CC!K:M,3,0)," ")</f>
        <v>60</v>
      </c>
      <c r="CL172" s="43"/>
      <c r="CM172" s="43"/>
      <c r="CN172" s="43"/>
      <c r="CO172" s="43"/>
      <c r="CP172" s="43"/>
      <c r="CQ172" s="43"/>
      <c r="CR172" s="43"/>
      <c r="CS172" s="43" t="b">
        <v>0</v>
      </c>
      <c r="CT172" s="43" t="b">
        <v>0</v>
      </c>
      <c r="CU172" s="43" t="b">
        <v>0</v>
      </c>
      <c r="CV172" s="43" t="b">
        <v>0</v>
      </c>
      <c r="CW172" s="43"/>
      <c r="CX172" s="43"/>
      <c r="CY172" s="43"/>
      <c r="CZ172" s="43"/>
      <c r="DA172" s="43"/>
      <c r="DB172" s="43"/>
      <c r="DC172" s="43"/>
      <c r="DD172" s="22">
        <f>IFERROR(VLOOKUP($C172,'Лист4'!$D:$AI,27,0)," ")</f>
        <v>5</v>
      </c>
      <c r="DE172" s="22">
        <f>IFERROR(VLOOKUP($C172,'Лист4'!$D:$AI,28,0)," ")</f>
        <v>9</v>
      </c>
      <c r="DF172" s="22">
        <f>IFERROR(VLOOKUP($C172,'Лист4'!$D:$AI,29,0)," ")</f>
        <v>5</v>
      </c>
      <c r="DG172" s="22">
        <f t="shared" si="3"/>
        <v>225</v>
      </c>
      <c r="DH172" s="22">
        <f>IFERROR(VLOOKUP($C172,'Лист4'!$D:$AI,32,0)," ")</f>
        <v>0.08</v>
      </c>
      <c r="DI172" s="22"/>
      <c r="DJ172" s="22"/>
      <c r="DK172" s="22"/>
      <c r="DL172" s="22"/>
      <c r="DM172" s="22"/>
      <c r="DN172" s="22"/>
      <c r="DO172" s="22"/>
      <c r="DP172" s="22"/>
      <c r="DQ172" s="22"/>
      <c r="DR172" s="22"/>
      <c r="DS172" s="22"/>
      <c r="DT172" s="22"/>
      <c r="DU172" s="22"/>
      <c r="DV172" s="22"/>
      <c r="DW172" s="22"/>
      <c r="DX172" s="22"/>
      <c r="DY172" s="22"/>
      <c r="DZ172" s="22"/>
      <c r="EA172" s="22"/>
      <c r="EB172" s="22"/>
      <c r="EC172" s="22"/>
      <c r="ED172" s="22"/>
      <c r="EE172" s="22"/>
      <c r="EF172" s="22"/>
      <c r="EG172" s="22"/>
      <c r="EH172" s="22"/>
      <c r="EI172" s="22"/>
      <c r="EJ172" s="22"/>
      <c r="EK172" s="22"/>
      <c r="EL172" s="22"/>
      <c r="EM172" s="43"/>
      <c r="EN172" s="43"/>
      <c r="EO172" s="43"/>
      <c r="EP172" s="43"/>
      <c r="EQ172" s="43"/>
      <c r="ER172" s="43"/>
      <c r="ES172" s="43"/>
      <c r="ET172" s="43"/>
      <c r="EU172" s="43"/>
      <c r="EV172" s="43"/>
      <c r="EW172" s="43"/>
      <c r="EX172" s="43"/>
      <c r="EY172" s="43"/>
      <c r="EZ172" s="43"/>
      <c r="FA172" s="43"/>
      <c r="FB172" s="43"/>
      <c r="FC172" s="43"/>
    </row>
    <row r="173" ht="18.0" customHeight="1">
      <c r="A173" s="2"/>
      <c r="B173" s="22" t="str">
        <f>IFERROR(VLOOKUP(C173,'Реестр'!C:AC,27,0)," ")</f>
        <v>Биг-Л</v>
      </c>
      <c r="C173" s="43" t="s">
        <v>2644</v>
      </c>
      <c r="D173" s="22" t="str">
        <f>IFERROR(VLOOKUP(C173,'Лист4'!D:P,13,0)," ")</f>
        <v>qeep</v>
      </c>
      <c r="E173" s="22" t="str">
        <f>IF(OR(ISERROR(VLOOKUP(C173,'Актуальность'!A:B,2,0)), VLOOKUP(C173,'Актуальность'!A:B,2,0)=""), "Актуальный", VLOOKUP(C173,'Актуальность'!A:B,2,0))</f>
        <v>Вывод</v>
      </c>
      <c r="F173" s="43" t="str">
        <f>IFERROR(VLOOKUP(C173,'Актуальность'!A:C,3,0)," ")</f>
        <v>Старый артикул</v>
      </c>
      <c r="G173" s="43"/>
      <c r="H173" s="22"/>
      <c r="I173" s="22"/>
      <c r="J173" s="43"/>
      <c r="K173" s="43"/>
      <c r="L173" s="22" t="b">
        <f t="shared" ref="L173:R173" si="169">T173&lt;&gt;""</f>
        <v>1</v>
      </c>
      <c r="M173" s="22" t="b">
        <f t="shared" si="169"/>
        <v>1</v>
      </c>
      <c r="N173" s="22" t="b">
        <f t="shared" si="169"/>
        <v>1</v>
      </c>
      <c r="O173" s="22" t="b">
        <f t="shared" si="169"/>
        <v>0</v>
      </c>
      <c r="P173" s="22" t="b">
        <f t="shared" si="169"/>
        <v>0</v>
      </c>
      <c r="Q173" s="22" t="b">
        <f t="shared" si="169"/>
        <v>0</v>
      </c>
      <c r="R173" s="22" t="b">
        <f t="shared" si="169"/>
        <v>0</v>
      </c>
      <c r="S173" s="43"/>
      <c r="T173" s="43" t="str">
        <f>IFERROR(VLOOKUP( C173,'1С'!A:B,2,0)," ")</f>
        <v>QB101100497</v>
      </c>
      <c r="U173" s="22" t="str">
        <f>IFERROR(VLOOKUP(T173,'Лист4'!C:I,3,0)," ")</f>
        <v>qeep_taurine_90caps</v>
      </c>
      <c r="V173" s="22" t="str">
        <f>IFERROR(VLOOKUP(T173,'Лист4'!C:I,4,0)," ")</f>
        <v>qeep_taurine_90caps</v>
      </c>
      <c r="W173" s="22" t="str">
        <f>IFERROR(VLOOKUP(T173,'Лист4'!C:I,5,0)," ")</f>
        <v/>
      </c>
      <c r="X173" s="43" t="str">
        <f>IFERROR(VLOOKUP(T173,'Лист4'!C:I,7,0)," ")</f>
        <v/>
      </c>
      <c r="Y173" s="43" t="str">
        <f>IFERROR(VLOOKUP(T173,'Лист4'!C:I,6,0)," ")</f>
        <v/>
      </c>
      <c r="Z173" s="43"/>
      <c r="AA173" s="43"/>
      <c r="AB173" s="22">
        <v>1.5998048E8</v>
      </c>
      <c r="AC173" s="22">
        <v>9.67670448E8</v>
      </c>
      <c r="AD173" s="22"/>
      <c r="AE173" s="22"/>
      <c r="AF173" s="22"/>
      <c r="AG173" s="43"/>
      <c r="AH173" s="43"/>
      <c r="AI173" s="43" t="str">
        <f>IFERROR(VLOOKUP(T173,'1С'!B:C,2,0)," ")</f>
        <v>БАД Таурин ,qeep, 90 капсул</v>
      </c>
      <c r="AJ173" s="22" t="s">
        <v>2647</v>
      </c>
      <c r="AK173" s="22" t="s">
        <v>2648</v>
      </c>
      <c r="AL173" s="43"/>
      <c r="AM173" s="43"/>
      <c r="AN173" s="43"/>
      <c r="AO173" s="43"/>
      <c r="AP173" s="43"/>
      <c r="AQ173" s="46" t="s">
        <v>2649</v>
      </c>
      <c r="AR173" s="46" t="s">
        <v>2650</v>
      </c>
      <c r="AS173" s="43"/>
      <c r="AT173" s="43"/>
      <c r="AU173" s="43"/>
      <c r="AV173" s="43"/>
      <c r="AW173" s="43"/>
      <c r="AX173" s="22" t="s">
        <v>361</v>
      </c>
      <c r="AY173" s="22" t="s">
        <v>2648</v>
      </c>
      <c r="AZ173" s="43"/>
      <c r="BA173" s="43"/>
      <c r="BB173" s="43"/>
      <c r="BC173" s="43"/>
      <c r="BD173" s="43"/>
      <c r="BE173" s="43"/>
      <c r="BF173" s="22" t="str">
        <f>IFERROR(VLOOKUP(C173,'спецификация'!B:D,3,0)," ")</f>
        <v>4670110185599</v>
      </c>
      <c r="BG173" s="22">
        <v>2.106909808E9</v>
      </c>
      <c r="BH173" s="22" t="str">
        <f>IFERROR(VLOOKUP(C173,'спецификация'!B:AA,5,0)," ")</f>
        <v>RU.77.99.11.003.R.003553.09.21 от 30.09.2021</v>
      </c>
      <c r="BI173" s="22"/>
      <c r="BJ173" s="22" t="str">
        <f>IFERROR(VLOOKUP(C173,'спецификация'!B:AA,6,0)," ")</f>
        <v>ЧЗ</v>
      </c>
      <c r="BK173" s="43"/>
      <c r="BL173" s="43"/>
      <c r="BM173" s="22" t="str">
        <f>IFERROR(VLOOKUP(BF173,'спецификация'!D:H,5,0)," ")</f>
        <v>L-таурин, твердая капсула (носитель: желатин пищевой, изготовленный из шкур крупного рогатого скота (или свиней), без добавления красителя (диоксида титана).</v>
      </c>
      <c r="BN173" s="43"/>
      <c r="BO173" s="22" t="str">
        <f>IFERROR(VLOOKUP(C173,'спецификация'!B:AA,10,0)," ")</f>
        <v>взрослым по 2 капсулы (массой 720мг) в день во время еды. Продолжительность приема 1 месяц. При необходимости, прием можно повторить</v>
      </c>
      <c r="BP173" s="43" t="str">
        <f>IFERROR(VLOOKUP(C173,'спецификация'!B:AA,11,0)," ")</f>
        <v>индивидуальная непереносимость компонентов БАД к пище, беременность, кормление грудью. Перед применением рекомендуется проконсультироваться с врачом</v>
      </c>
      <c r="BQ173" s="22" t="str">
        <f>IFERROR(VLOOKUP(C173,'спецификация'!B:AA,12,0)," ")</f>
        <v>хранить в  оригинальной упаковке, защищенном от попадания прямых солнечных лучей и недоступном для детей месте, при температуре не выше 25°С. После вскрытия упаковку хранить плотно закрытой при тех же условиях.</v>
      </c>
      <c r="BR173" s="22">
        <v>90.0</v>
      </c>
      <c r="BS173" s="22" t="s">
        <v>492</v>
      </c>
      <c r="BT173" s="43"/>
      <c r="BU173" s="22"/>
      <c r="BV173" s="22" t="s">
        <v>307</v>
      </c>
      <c r="BW173" s="44" t="str">
        <f>IFERROR(VLOOKUP(C173,'спецификация'!B:AA,16,0)," ")</f>
        <v>https://docs.google.com/document/d/1-QvxRgCUvznKT_2yArsruGdkjpiinc4YRPlDofqHFtM/edit</v>
      </c>
      <c r="BX173" s="43"/>
      <c r="BY173" s="43"/>
      <c r="BZ173" s="44" t="str">
        <f>IFERROR(VLOOKUP(BF173,'спецификация'!D:Y,22,0)," ")</f>
        <v>https://drive.google.com/drive/u/0/folders/1hZLz5DV-AP6V5Ym0dLGR2azmPO7k-rYM</v>
      </c>
      <c r="CA173" s="43"/>
      <c r="CB173" s="43"/>
      <c r="CC173" s="43"/>
      <c r="CD173" s="43"/>
      <c r="CE173" s="43"/>
      <c r="CF173" s="43"/>
      <c r="CG173" s="49">
        <f>IFERROR(VLOOKUP(C173,CC!A:D,4,0)," ")</f>
        <v>348.81</v>
      </c>
      <c r="CH173" s="22" t="str">
        <f>IFERROR(VLOOKUP(C173,'спецификация'!B:AA,19,0)," ")</f>
        <v>ООО Арсенал Атлета, 443535, Россия, Самарская область, Волжский муниципальный район, сельское поселение Лопатино, село Лопатино, улица Мира, здание 16/8, офис 1, тел.: +7 (902) 580 30 82, e-mail: yozavod@gmail.com.</v>
      </c>
      <c r="CI173" s="22"/>
      <c r="CJ173" s="22" t="s">
        <v>1119</v>
      </c>
      <c r="CK173" s="22">
        <f>IFERROR(VLOOKUP(C173,CC!K:M,3,0)," ")</f>
        <v>60</v>
      </c>
      <c r="CL173" s="43"/>
      <c r="CM173" s="43"/>
      <c r="CN173" s="43"/>
      <c r="CO173" s="43"/>
      <c r="CP173" s="43"/>
      <c r="CQ173" s="43"/>
      <c r="CR173" s="43"/>
      <c r="CS173" s="43" t="b">
        <v>0</v>
      </c>
      <c r="CT173" s="43" t="b">
        <v>0</v>
      </c>
      <c r="CU173" s="43" t="b">
        <v>0</v>
      </c>
      <c r="CV173" s="43" t="b">
        <v>0</v>
      </c>
      <c r="CW173" s="43"/>
      <c r="CX173" s="43"/>
      <c r="CY173" s="43"/>
      <c r="CZ173" s="43"/>
      <c r="DA173" s="43"/>
      <c r="DB173" s="43"/>
      <c r="DC173" s="43"/>
      <c r="DD173" s="22">
        <f>IFERROR(VLOOKUP($C173,'Лист4'!$D:$AI,27,0)," ")</f>
        <v>5</v>
      </c>
      <c r="DE173" s="22">
        <f>IFERROR(VLOOKUP($C173,'Лист4'!$D:$AI,28,0)," ")</f>
        <v>12</v>
      </c>
      <c r="DF173" s="22">
        <f>IFERROR(VLOOKUP($C173,'Лист4'!$D:$AI,29,0)," ")</f>
        <v>5</v>
      </c>
      <c r="DG173" s="22">
        <f t="shared" si="3"/>
        <v>300</v>
      </c>
      <c r="DH173" s="22">
        <f>IFERROR(VLOOKUP($C173,'Лист4'!$D:$AI,32,0)," ")</f>
        <v>0.1</v>
      </c>
      <c r="DI173" s="22"/>
      <c r="DJ173" s="22"/>
      <c r="DK173" s="22"/>
      <c r="DL173" s="22"/>
      <c r="DM173" s="22"/>
      <c r="DN173" s="22"/>
      <c r="DO173" s="22"/>
      <c r="DP173" s="22"/>
      <c r="DQ173" s="22"/>
      <c r="DR173" s="22"/>
      <c r="DS173" s="22"/>
      <c r="DT173" s="22"/>
      <c r="DU173" s="22"/>
      <c r="DV173" s="22"/>
      <c r="DW173" s="22"/>
      <c r="DX173" s="22"/>
      <c r="DY173" s="22"/>
      <c r="DZ173" s="22"/>
      <c r="EA173" s="22"/>
      <c r="EB173" s="22"/>
      <c r="EC173" s="22"/>
      <c r="ED173" s="22"/>
      <c r="EE173" s="22"/>
      <c r="EF173" s="22"/>
      <c r="EG173" s="22"/>
      <c r="EH173" s="22"/>
      <c r="EI173" s="22"/>
      <c r="EJ173" s="22"/>
      <c r="EK173" s="22"/>
      <c r="EL173" s="22"/>
      <c r="EM173" s="43"/>
      <c r="EN173" s="43"/>
      <c r="EO173" s="43"/>
      <c r="EP173" s="43"/>
      <c r="EQ173" s="43"/>
      <c r="ER173" s="43"/>
      <c r="ES173" s="43"/>
      <c r="ET173" s="43"/>
      <c r="EU173" s="43"/>
      <c r="EV173" s="43"/>
      <c r="EW173" s="43"/>
      <c r="EX173" s="43"/>
      <c r="EY173" s="43"/>
      <c r="EZ173" s="43"/>
      <c r="FA173" s="43"/>
      <c r="FB173" s="43"/>
      <c r="FC173" s="43"/>
    </row>
    <row r="174" ht="18.0" customHeight="1">
      <c r="A174" s="2"/>
      <c r="B174" s="22" t="str">
        <f>IFERROR(VLOOKUP(C174,'Реестр'!C:AC,27,0)," ")</f>
        <v>Смарт-Сэйл</v>
      </c>
      <c r="C174" s="43" t="s">
        <v>2660</v>
      </c>
      <c r="D174" s="22" t="str">
        <f>IFERROR(VLOOKUP(C174,'Лист4'!D:P,13,0)," ")</f>
        <v>CPA</v>
      </c>
      <c r="E174" s="22" t="str">
        <f>IF(OR(ISERROR(VLOOKUP(C174,'Актуальность'!A:B,2,0)), VLOOKUP(C174,'Актуальность'!A:B,2,0)=""), "Актуальный", VLOOKUP(C174,'Актуальность'!A:B,2,0))</f>
        <v>Актуальный</v>
      </c>
      <c r="F174" s="43" t="str">
        <f>IFERROR(VLOOKUP(C174,'Актуальность'!A:C,3,0)," ")</f>
        <v/>
      </c>
      <c r="G174" s="43"/>
      <c r="H174" s="22" t="s">
        <v>2663</v>
      </c>
      <c r="I174" s="22" t="s">
        <v>2664</v>
      </c>
      <c r="J174" s="43"/>
      <c r="K174" s="43"/>
      <c r="L174" s="22" t="b">
        <f t="shared" ref="L174:R174" si="170">T174&lt;&gt;""</f>
        <v>1</v>
      </c>
      <c r="M174" s="22" t="b">
        <f t="shared" si="170"/>
        <v>1</v>
      </c>
      <c r="N174" s="22" t="b">
        <f t="shared" si="170"/>
        <v>1</v>
      </c>
      <c r="O174" s="22" t="b">
        <f t="shared" si="170"/>
        <v>1</v>
      </c>
      <c r="P174" s="22" t="b">
        <f t="shared" si="170"/>
        <v>0</v>
      </c>
      <c r="Q174" s="22" t="b">
        <f t="shared" si="170"/>
        <v>0</v>
      </c>
      <c r="R174" s="22" t="b">
        <f t="shared" si="170"/>
        <v>0</v>
      </c>
      <c r="S174" s="43"/>
      <c r="T174" s="43" t="str">
        <f>IFERROR(VLOOKUP( C174,'1С'!A:B,2,0)," ")</f>
        <v>CC101100433</v>
      </c>
      <c r="U174" s="22" t="str">
        <f>IFERROR(VLOOKUP(T174,'Лист4'!C:I,3,0)," ")</f>
        <v>kavmaz</v>
      </c>
      <c r="V174" s="22" t="str">
        <f>IFERROR(VLOOKUP(T174,'Лист4'!C:I,4,0)," ")</f>
        <v>kavmaz</v>
      </c>
      <c r="W174" s="22" t="str">
        <f>IFERROR(VLOOKUP(T174,'Лист4'!C:I,5,0)," ")</f>
        <v>kavmaz</v>
      </c>
      <c r="X174" s="43" t="str">
        <f>IFERROR(VLOOKUP(T174,'Лист4'!C:I,7,0)," ")</f>
        <v/>
      </c>
      <c r="Y174" s="43" t="str">
        <f>IFERROR(VLOOKUP(T174,'Лист4'!C:I,6,0)," ")</f>
        <v/>
      </c>
      <c r="Z174" s="43"/>
      <c r="AA174" s="43"/>
      <c r="AB174" s="22">
        <v>2.22209699E8</v>
      </c>
      <c r="AC174" s="22">
        <v>1.527086051E9</v>
      </c>
      <c r="AD174" s="22">
        <v>1.03701608E11</v>
      </c>
      <c r="AE174" s="22"/>
      <c r="AF174" s="22"/>
      <c r="AG174" s="43"/>
      <c r="AH174" s="43"/>
      <c r="AI174" s="43" t="str">
        <f>IFERROR(VLOOKUP(T174,'1С'!B:C,2,0)," ")</f>
        <v>Мазь для суставов Кавказская мазь , CPA, 40 мл</v>
      </c>
      <c r="AJ174" s="22" t="s">
        <v>2666</v>
      </c>
      <c r="AK174" s="22" t="s">
        <v>2667</v>
      </c>
      <c r="AL174" s="22" t="s">
        <v>2668</v>
      </c>
      <c r="AM174" s="43"/>
      <c r="AN174" s="43"/>
      <c r="AO174" s="43"/>
      <c r="AP174" s="43"/>
      <c r="AQ174" s="46" t="s">
        <v>2669</v>
      </c>
      <c r="AR174" s="46" t="s">
        <v>2670</v>
      </c>
      <c r="AS174" s="46" t="s">
        <v>2671</v>
      </c>
      <c r="AT174" s="43"/>
      <c r="AU174" s="43"/>
      <c r="AV174" s="43"/>
      <c r="AW174" s="43"/>
      <c r="AX174" s="22" t="s">
        <v>594</v>
      </c>
      <c r="AY174" s="22" t="s">
        <v>2667</v>
      </c>
      <c r="AZ174" s="22" t="s">
        <v>2672</v>
      </c>
      <c r="BA174" s="43"/>
      <c r="BB174" s="43"/>
      <c r="BC174" s="43"/>
      <c r="BD174" s="43"/>
      <c r="BE174" s="43"/>
      <c r="BF174" s="43">
        <v>4.685518825374E12</v>
      </c>
      <c r="BG174" s="22">
        <v>3.30499E9</v>
      </c>
      <c r="BH174" s="22" t="str">
        <f>IFERROR(VLOOKUP(C174,'спецификация'!B:AA,5,0)," ")</f>
        <v> </v>
      </c>
      <c r="BI174" s="22"/>
      <c r="BJ174" s="22" t="str">
        <f>IFERROR(VLOOKUP(C174,'спецификация'!B:AA,6,0)," ")</f>
        <v> </v>
      </c>
      <c r="BK174" s="43"/>
      <c r="BL174" s="43"/>
      <c r="BM174" s="22" t="str">
        <f>IFERROR(VLOOKUP(BF174,'спецификация'!D:H,5,0)," ")</f>
        <v>Distilled water, Panthenol, Aloe Barbadensis leaf juice, Hydrolized Keratin, Glycerin, Biotinoyl Tripeptide-1, Hydrolyzed Wheat Protein, Peg-40, Polyvinylpyrrolidone, Polyacrylate Crosspolymer-6, Iris Leaf Extract, Chamomilla Recutita Extract, Sodium acrylates copolymer (and) Lecithin, Phenoxyethanol, Ethylhexylglycerin, Lactic acid, Parfum.</v>
      </c>
      <c r="BN174" s="43"/>
      <c r="BO174" s="22" t="str">
        <f>IFERROR(VLOOKUP(C174,'спецификация'!B:AA,10,0)," ")</f>
        <v> </v>
      </c>
      <c r="BP174" s="43" t="str">
        <f>IFERROR(VLOOKUP(C174,'спецификация'!B:AA,11,0)," ")</f>
        <v> </v>
      </c>
      <c r="BQ174" s="22" t="str">
        <f>IFERROR(VLOOKUP(C174,'спецификация'!B:AA,12,0)," ")</f>
        <v> </v>
      </c>
      <c r="BR174" s="22"/>
      <c r="BS174" s="43"/>
      <c r="BT174" s="43"/>
      <c r="BU174" s="22"/>
      <c r="BV174" s="22" t="s">
        <v>401</v>
      </c>
      <c r="BW174" s="45" t="str">
        <f>IFERROR(VLOOKUP(C174,'спецификация'!B:AA,16,0)," ")</f>
        <v> </v>
      </c>
      <c r="BX174" s="43"/>
      <c r="BY174" s="43"/>
      <c r="BZ174" s="45" t="str">
        <f>IFERROR(VLOOKUP(BF174,'спецификация'!D:Y,22,0)," ")</f>
        <v/>
      </c>
      <c r="CA174" s="43"/>
      <c r="CB174" s="43"/>
      <c r="CC174" s="43"/>
      <c r="CD174" s="43"/>
      <c r="CE174" s="43"/>
      <c r="CF174" s="43"/>
      <c r="CG174" s="49">
        <f>IFERROR(VLOOKUP(C174,CC!A:D,4,0)," ")</f>
        <v>120.5</v>
      </c>
      <c r="CH174" s="22" t="str">
        <f>IFERROR(VLOOKUP(C174,'спецификация'!B:AA,19,0)," ")</f>
        <v> </v>
      </c>
      <c r="CI174" s="22"/>
      <c r="CJ174" s="43"/>
      <c r="CK174" s="22">
        <f>IFERROR(VLOOKUP(C174,CC!K:M,3,0)," ")</f>
        <v>45</v>
      </c>
      <c r="CL174" s="43"/>
      <c r="CM174" s="43"/>
      <c r="CN174" s="43"/>
      <c r="CO174" s="43"/>
      <c r="CP174" s="43"/>
      <c r="CQ174" s="43"/>
      <c r="CR174" s="43"/>
      <c r="CS174" s="43" t="b">
        <v>0</v>
      </c>
      <c r="CT174" s="43" t="b">
        <v>0</v>
      </c>
      <c r="CU174" s="43" t="b">
        <v>0</v>
      </c>
      <c r="CV174" s="43" t="b">
        <v>0</v>
      </c>
      <c r="CW174" s="43"/>
      <c r="CX174" s="43"/>
      <c r="CY174" s="43"/>
      <c r="CZ174" s="43"/>
      <c r="DA174" s="43"/>
      <c r="DB174" s="43"/>
      <c r="DC174" s="43"/>
      <c r="DD174" s="22">
        <f>IFERROR(VLOOKUP($C174,'Лист4'!$D:$AI,27,0)," ")</f>
        <v>12</v>
      </c>
      <c r="DE174" s="22">
        <f>IFERROR(VLOOKUP($C174,'Лист4'!$D:$AI,28,0)," ")</f>
        <v>4</v>
      </c>
      <c r="DF174" s="22">
        <f>IFERROR(VLOOKUP($C174,'Лист4'!$D:$AI,29,0)," ")</f>
        <v>12</v>
      </c>
      <c r="DG174" s="22">
        <f t="shared" si="3"/>
        <v>576</v>
      </c>
      <c r="DH174" s="22">
        <f>IFERROR(VLOOKUP($C174,'Лист4'!$D:$AI,32,0)," ")</f>
        <v>0.05</v>
      </c>
      <c r="DI174" s="22"/>
      <c r="DJ174" s="22"/>
      <c r="DK174" s="22"/>
      <c r="DL174" s="22"/>
      <c r="DM174" s="22"/>
      <c r="DN174" s="22"/>
      <c r="DO174" s="22"/>
      <c r="DP174" s="22"/>
      <c r="DQ174" s="22"/>
      <c r="DR174" s="22"/>
      <c r="DS174" s="22"/>
      <c r="DT174" s="22"/>
      <c r="DU174" s="22"/>
      <c r="DV174" s="22"/>
      <c r="DW174" s="22"/>
      <c r="DX174" s="22"/>
      <c r="DY174" s="22"/>
      <c r="DZ174" s="22"/>
      <c r="EA174" s="22"/>
      <c r="EB174" s="22"/>
      <c r="EC174" s="22"/>
      <c r="ED174" s="22"/>
      <c r="EE174" s="22"/>
      <c r="EF174" s="22"/>
      <c r="EG174" s="22"/>
      <c r="EH174" s="22"/>
      <c r="EI174" s="22"/>
      <c r="EJ174" s="22"/>
      <c r="EK174" s="22"/>
      <c r="EL174" s="22"/>
      <c r="EM174" s="43"/>
      <c r="EN174" s="43"/>
      <c r="EO174" s="43"/>
      <c r="EP174" s="43"/>
      <c r="EQ174" s="43"/>
      <c r="ER174" s="43"/>
      <c r="ES174" s="43"/>
      <c r="ET174" s="43"/>
      <c r="EU174" s="43"/>
      <c r="EV174" s="43"/>
      <c r="EW174" s="43"/>
      <c r="EX174" s="43"/>
      <c r="EY174" s="43"/>
      <c r="EZ174" s="43"/>
      <c r="FA174" s="43"/>
      <c r="FB174" s="43"/>
      <c r="FC174" s="43"/>
    </row>
    <row r="175" ht="18.0" customHeight="1">
      <c r="A175" s="2"/>
      <c r="B175" s="22" t="str">
        <f>IFERROR(VLOOKUP(C175,'Реестр'!C:AC,27,0)," ")</f>
        <v>Смарт-Сэйл</v>
      </c>
      <c r="C175" s="43" t="s">
        <v>2682</v>
      </c>
      <c r="D175" s="22" t="str">
        <f>IFERROR(VLOOKUP(C175,'Лист4'!D:P,13,0)," ")</f>
        <v>CPA</v>
      </c>
      <c r="E175" s="22" t="str">
        <f>IF(OR(ISERROR(VLOOKUP(C175,'Актуальность'!A:B,2,0)), VLOOKUP(C175,'Актуальность'!A:B,2,0)=""), "Актуальный", VLOOKUP(C175,'Актуальность'!A:B,2,0))</f>
        <v>Актуальный</v>
      </c>
      <c r="F175" s="43" t="str">
        <f>IFERROR(VLOOKUP(C175,'Актуальность'!A:C,3,0)," ")</f>
        <v/>
      </c>
      <c r="G175" s="43"/>
      <c r="H175" s="22" t="s">
        <v>2663</v>
      </c>
      <c r="I175" s="22" t="s">
        <v>2684</v>
      </c>
      <c r="J175" s="43"/>
      <c r="K175" s="43"/>
      <c r="L175" s="22" t="b">
        <f t="shared" ref="L175:R175" si="171">T175&lt;&gt;""</f>
        <v>1</v>
      </c>
      <c r="M175" s="22" t="b">
        <f t="shared" si="171"/>
        <v>1</v>
      </c>
      <c r="N175" s="22" t="b">
        <f t="shared" si="171"/>
        <v>1</v>
      </c>
      <c r="O175" s="22" t="b">
        <f t="shared" si="171"/>
        <v>1</v>
      </c>
      <c r="P175" s="22" t="b">
        <f t="shared" si="171"/>
        <v>0</v>
      </c>
      <c r="Q175" s="22" t="b">
        <f t="shared" si="171"/>
        <v>0</v>
      </c>
      <c r="R175" s="22" t="b">
        <f t="shared" si="171"/>
        <v>0</v>
      </c>
      <c r="S175" s="43"/>
      <c r="T175" s="43" t="str">
        <f>IFERROR(VLOOKUP( C175,'1С'!A:B,2,0)," ")</f>
        <v>CO101100442</v>
      </c>
      <c r="U175" s="22" t="str">
        <f>IFERROR(VLOOKUP(T175,'Лист4'!C:I,3,0)," ")</f>
        <v>uromax</v>
      </c>
      <c r="V175" s="22" t="str">
        <f>IFERROR(VLOOKUP(T175,'Лист4'!C:I,4,0)," ")</f>
        <v>uromax</v>
      </c>
      <c r="W175" s="22" t="str">
        <f>IFERROR(VLOOKUP(T175,'Лист4'!C:I,5,0)," ")</f>
        <v>uromax</v>
      </c>
      <c r="X175" s="43" t="str">
        <f>IFERROR(VLOOKUP(T175,'Лист4'!C:I,7,0)," ")</f>
        <v/>
      </c>
      <c r="Y175" s="43" t="str">
        <f>IFERROR(VLOOKUP(T175,'Лист4'!C:I,6,0)," ")</f>
        <v/>
      </c>
      <c r="Z175" s="43"/>
      <c r="AA175" s="43"/>
      <c r="AB175" s="22">
        <v>2.34145577E8</v>
      </c>
      <c r="AC175" s="22">
        <v>1.589191436E9</v>
      </c>
      <c r="AD175" s="22">
        <v>1.03515431798E11</v>
      </c>
      <c r="AE175" s="22"/>
      <c r="AF175" s="22"/>
      <c r="AG175" s="43"/>
      <c r="AH175" s="43"/>
      <c r="AI175" s="43" t="str">
        <f>IFERROR(VLOOKUP(T175,'1С'!B:C,2,0)," ")</f>
        <v>Пищевая добавка Уромакс , CPA, 20 капсул</v>
      </c>
      <c r="AJ175" s="22" t="s">
        <v>2686</v>
      </c>
      <c r="AK175" s="22" t="s">
        <v>2687</v>
      </c>
      <c r="AL175" s="22" t="s">
        <v>2688</v>
      </c>
      <c r="AM175" s="43"/>
      <c r="AN175" s="43"/>
      <c r="AO175" s="43"/>
      <c r="AP175" s="43"/>
      <c r="AQ175" s="46" t="s">
        <v>2689</v>
      </c>
      <c r="AR175" s="46" t="s">
        <v>2690</v>
      </c>
      <c r="AS175" s="46" t="s">
        <v>2691</v>
      </c>
      <c r="AT175" s="43"/>
      <c r="AU175" s="43"/>
      <c r="AV175" s="43"/>
      <c r="AW175" s="43"/>
      <c r="AX175" s="22" t="s">
        <v>649</v>
      </c>
      <c r="AY175" s="22" t="s">
        <v>2687</v>
      </c>
      <c r="AZ175" s="22" t="s">
        <v>2692</v>
      </c>
      <c r="BA175" s="43"/>
      <c r="BB175" s="43"/>
      <c r="BC175" s="43"/>
      <c r="BD175" s="43"/>
      <c r="BE175" s="43"/>
      <c r="BF175" s="22" t="str">
        <f>IFERROR(VLOOKUP(C175,'спецификация'!B:D,3,0)," ")</f>
        <v>4610030632674;4610030634906</v>
      </c>
      <c r="BG175" s="22">
        <v>2.106909809E9</v>
      </c>
      <c r="BH175" s="22" t="str">
        <f>IFERROR(VLOOKUP(C175,'спецификация'!B:AA,5,0)," ")</f>
        <v>ЕАЭС N RU Д-RU.PA01.B.81447/24 от 08.02.2024 по 07.02.2029</v>
      </c>
      <c r="BI175" s="22"/>
      <c r="BJ175" s="22" t="str">
        <f>IFERROR(VLOOKUP(C175,'спецификация'!B:AA,6,0)," ")</f>
        <v/>
      </c>
      <c r="BK175" s="43"/>
      <c r="BL175" s="43"/>
      <c r="BM175" s="22" t="str">
        <f>IFERROR(VLOOKUP(BF175,'спецификация'!D:H,5,0)," ")</f>
        <v>мальтодекстрин, экстракты маки перуанской, ярутки, корня женьшеня, корня эврикомы, йохимбе, ягод годжи, брусничной толокнянки, красного корня, пантов марала, калгана, аира, аниса, диоксид кремния, стеарат кальция.
</v>
      </c>
      <c r="BN175" s="43"/>
      <c r="BO175" s="22" t="str">
        <f>IFERROR(VLOOKUP(C175,'спецификация'!B:AA,10,0)," ")</f>
        <v/>
      </c>
      <c r="BP175" s="43" t="str">
        <f>IFERROR(VLOOKUP(C175,'спецификация'!B:AA,11,0)," ")</f>
        <v>индивидуальная непереносимость компонентов.</v>
      </c>
      <c r="BQ175" s="22" t="str">
        <f>IFERROR(VLOOKUP(C175,'спецификация'!B:AA,12,0)," ")</f>
        <v>хранить при температуре не выше 25 °С в местах, удалённых от прямого солнечного света, отопительных приборов, влаги.
</v>
      </c>
      <c r="BR175" s="22">
        <v>20.0</v>
      </c>
      <c r="BS175" s="22" t="s">
        <v>492</v>
      </c>
      <c r="BT175" s="22"/>
      <c r="BU175" s="22"/>
      <c r="BV175" s="22" t="s">
        <v>307</v>
      </c>
      <c r="BW175" s="44" t="str">
        <f>IFERROR(VLOOKUP(C175,'спецификация'!B:AA,16,0)," ")</f>
        <v>https://docs.google.com/document/d/1mqBrElyjIdOxkOAprMYVaXdQBtNd_VF18tsqniKgZCM/edit</v>
      </c>
      <c r="BX175" s="43"/>
      <c r="BY175" s="43"/>
      <c r="BZ175" s="45" t="str">
        <f>IFERROR(VLOOKUP(BF175,'спецификация'!D:Y,22,0)," ")</f>
        <v/>
      </c>
      <c r="CA175" s="43"/>
      <c r="CB175" s="43"/>
      <c r="CC175" s="43"/>
      <c r="CD175" s="43"/>
      <c r="CE175" s="43"/>
      <c r="CF175" s="43"/>
      <c r="CG175" s="49">
        <f>IFERROR(VLOOKUP(C175,CC!A:D,4,0)," ")</f>
        <v>105</v>
      </c>
      <c r="CH175" s="22" t="str">
        <f>IFERROR(VLOOKUP(C175,'спецификация'!B:AA,19,0)," ")</f>
        <v>ООО «БЬЮТИРИН», 129329, г. Москва, ул. Кольская, д.1, этаж 6, комн.10</v>
      </c>
      <c r="CI175" s="22"/>
      <c r="CJ175" s="43"/>
      <c r="CK175" s="22">
        <f>IFERROR(VLOOKUP(C175,CC!K:M,3,0)," ")</f>
        <v>45</v>
      </c>
      <c r="CL175" s="43"/>
      <c r="CM175" s="43"/>
      <c r="CN175" s="43"/>
      <c r="CO175" s="43"/>
      <c r="CP175" s="43"/>
      <c r="CQ175" s="43"/>
      <c r="CR175" s="43"/>
      <c r="CS175" s="43" t="b">
        <v>0</v>
      </c>
      <c r="CT175" s="43" t="b">
        <v>0</v>
      </c>
      <c r="CU175" s="43" t="b">
        <v>0</v>
      </c>
      <c r="CV175" s="43" t="b">
        <v>0</v>
      </c>
      <c r="CW175" s="43"/>
      <c r="CX175" s="43"/>
      <c r="CY175" s="43"/>
      <c r="CZ175" s="43"/>
      <c r="DA175" s="43"/>
      <c r="DB175" s="43"/>
      <c r="DC175" s="43"/>
      <c r="DD175" s="22">
        <f>IFERROR(VLOOKUP($C175,'Лист4'!$D:$AI,27,0)," ")</f>
        <v>8</v>
      </c>
      <c r="DE175" s="22">
        <f>IFERROR(VLOOKUP($C175,'Лист4'!$D:$AI,28,0)," ")</f>
        <v>3</v>
      </c>
      <c r="DF175" s="22">
        <f>IFERROR(VLOOKUP($C175,'Лист4'!$D:$AI,29,0)," ")</f>
        <v>8</v>
      </c>
      <c r="DG175" s="22">
        <f t="shared" si="3"/>
        <v>192</v>
      </c>
      <c r="DH175" s="22">
        <f>IFERROR(VLOOKUP($C175,'Лист4'!$D:$AI,32,0)," ")</f>
        <v>0.046</v>
      </c>
      <c r="DI175" s="22"/>
      <c r="DJ175" s="22"/>
      <c r="DK175" s="22"/>
      <c r="DL175" s="22"/>
      <c r="DM175" s="22"/>
      <c r="DN175" s="22"/>
      <c r="DO175" s="22"/>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43"/>
      <c r="EN175" s="43"/>
      <c r="EO175" s="43"/>
      <c r="EP175" s="43"/>
      <c r="EQ175" s="43"/>
      <c r="ER175" s="43"/>
      <c r="ES175" s="43"/>
      <c r="ET175" s="43"/>
      <c r="EU175" s="43"/>
      <c r="EV175" s="43"/>
      <c r="EW175" s="43"/>
      <c r="EX175" s="43"/>
      <c r="EY175" s="43"/>
      <c r="EZ175" s="43"/>
      <c r="FA175" s="43"/>
      <c r="FB175" s="43"/>
      <c r="FC175" s="43"/>
    </row>
    <row r="176" ht="18.0" customHeight="1">
      <c r="A176" s="2"/>
      <c r="B176" s="22" t="str">
        <f>IFERROR(VLOOKUP(C176,'Реестр'!C:AC,27,0)," ")</f>
        <v>Смарт-Сэйл</v>
      </c>
      <c r="C176" s="43" t="s">
        <v>2701</v>
      </c>
      <c r="D176" s="22" t="str">
        <f>IFERROR(VLOOKUP(C176,'Лист4'!D:P,13,0)," ")</f>
        <v>CPA</v>
      </c>
      <c r="E176" s="22" t="str">
        <f>IF(OR(ISERROR(VLOOKUP(C176,'Актуальность'!A:B,2,0)), VLOOKUP(C176,'Актуальность'!A:B,2,0)=""), "Актуальный", VLOOKUP(C176,'Актуальность'!A:B,2,0))</f>
        <v>Актуальный</v>
      </c>
      <c r="F176" s="43" t="str">
        <f>IFERROR(VLOOKUP(C176,'Актуальность'!A:C,3,0)," ")</f>
        <v/>
      </c>
      <c r="G176" s="43"/>
      <c r="H176" s="22" t="s">
        <v>2663</v>
      </c>
      <c r="I176" s="22" t="s">
        <v>2703</v>
      </c>
      <c r="J176" s="43"/>
      <c r="K176" s="43"/>
      <c r="L176" s="22" t="b">
        <f t="shared" ref="L176:R176" si="172">T176&lt;&gt;""</f>
        <v>1</v>
      </c>
      <c r="M176" s="22" t="b">
        <f t="shared" si="172"/>
        <v>1</v>
      </c>
      <c r="N176" s="22" t="b">
        <f t="shared" si="172"/>
        <v>1</v>
      </c>
      <c r="O176" s="22" t="b">
        <f t="shared" si="172"/>
        <v>1</v>
      </c>
      <c r="P176" s="22" t="b">
        <f t="shared" si="172"/>
        <v>0</v>
      </c>
      <c r="Q176" s="22" t="b">
        <f t="shared" si="172"/>
        <v>0</v>
      </c>
      <c r="R176" s="22" t="b">
        <f t="shared" si="172"/>
        <v>0</v>
      </c>
      <c r="S176" s="43"/>
      <c r="T176" s="43" t="str">
        <f>IFERROR(VLOOKUP( C176,'1С'!A:B,2,0)," ")</f>
        <v>CO101100432</v>
      </c>
      <c r="U176" s="22" t="str">
        <f>IFERROR(VLOOKUP(T176,'Лист4'!C:I,3,0)," ")</f>
        <v>arterol</v>
      </c>
      <c r="V176" s="22" t="str">
        <f>IFERROR(VLOOKUP(T176,'Лист4'!C:I,4,0)," ")</f>
        <v>arterol</v>
      </c>
      <c r="W176" s="22" t="str">
        <f>IFERROR(VLOOKUP(T176,'Лист4'!C:I,5,0)," ")</f>
        <v>arterol</v>
      </c>
      <c r="X176" s="43" t="str">
        <f>IFERROR(VLOOKUP(T176,'Лист4'!C:I,7,0)," ")</f>
        <v/>
      </c>
      <c r="Y176" s="43" t="str">
        <f>IFERROR(VLOOKUP(T176,'Лист4'!C:I,6,0)," ")</f>
        <v/>
      </c>
      <c r="Z176" s="43"/>
      <c r="AA176" s="43"/>
      <c r="AB176" s="22">
        <v>2.22225755E8</v>
      </c>
      <c r="AC176" s="22">
        <v>1.528107368E9</v>
      </c>
      <c r="AD176" s="22">
        <v>4.663296756E9</v>
      </c>
      <c r="AE176" s="22"/>
      <c r="AF176" s="22"/>
      <c r="AG176" s="43"/>
      <c r="AH176" s="43"/>
      <c r="AI176" s="43" t="str">
        <f>IFERROR(VLOOKUP(T176,'1С'!B:C,2,0)," ")</f>
        <v>Пищевая добавка Артерол, CPA, 10 мл</v>
      </c>
      <c r="AJ176" s="22" t="s">
        <v>2705</v>
      </c>
      <c r="AK176" s="22" t="s">
        <v>2706</v>
      </c>
      <c r="AL176" s="22" t="s">
        <v>2706</v>
      </c>
      <c r="AM176" s="43"/>
      <c r="AN176" s="43"/>
      <c r="AO176" s="43"/>
      <c r="AP176" s="43"/>
      <c r="AQ176" s="46" t="s">
        <v>2707</v>
      </c>
      <c r="AR176" s="46" t="s">
        <v>2708</v>
      </c>
      <c r="AS176" s="46" t="s">
        <v>2709</v>
      </c>
      <c r="AT176" s="43"/>
      <c r="AU176" s="43"/>
      <c r="AV176" s="43"/>
      <c r="AW176" s="43"/>
      <c r="AX176" s="22" t="s">
        <v>649</v>
      </c>
      <c r="AY176" s="22" t="s">
        <v>2706</v>
      </c>
      <c r="AZ176" s="22" t="s">
        <v>372</v>
      </c>
      <c r="BA176" s="43"/>
      <c r="BB176" s="43"/>
      <c r="BC176" s="43"/>
      <c r="BD176" s="43"/>
      <c r="BE176" s="43"/>
      <c r="BF176" s="22">
        <f>IFERROR(VLOOKUP(C176,'спецификация'!B:D,3,0)," ")</f>
        <v>4610030631431</v>
      </c>
      <c r="BG176" s="22">
        <v>2.106909808E9</v>
      </c>
      <c r="BH176" s="22" t="str">
        <f>IFERROR(VLOOKUP(C176,'спецификация'!B:AA,5,0)," ")</f>
        <v>ЕАЭС N RU Д-RU.PA08.B.28041/23 от 04.10.2023 по 03.10.2028</v>
      </c>
      <c r="BI176" s="22"/>
      <c r="BJ176" s="22" t="str">
        <f>IFERROR(VLOOKUP(C176,'спецификация'!B:AA,6,0)," ")</f>
        <v/>
      </c>
      <c r="BK176" s="43"/>
      <c r="BL176" s="43"/>
      <c r="BM176" s="22" t="str">
        <f>IFERROR(VLOOKUP(BF176,'спецификация'!D:H,5,0)," ")</f>
        <v>вода, экстракты гуавы, плодов брусники, листьев гинкго билобы, плодов фенхеля, корней цикория, травы медуницы, кордицепс, ежовик гребенчатый, черный тмин, амарант, кора белой ивы, магний цитрат, лимонная кислота, бензоат натрия, сорбат калия, сукралоза.</v>
      </c>
      <c r="BN176" s="43"/>
      <c r="BO176" s="22" t="str">
        <f>IFERROR(VLOOKUP(C176,'спецификация'!B:AA,10,0)," ")</f>
        <v/>
      </c>
      <c r="BP176" s="43" t="str">
        <f>IFERROR(VLOOKUP(C176,'спецификация'!B:AA,11,0)," ")</f>
        <v>повышенная чувствительность к компонентам средства.
</v>
      </c>
      <c r="BQ176" s="22" t="str">
        <f>IFERROR(VLOOKUP(C176,'спецификация'!B:AA,12,0)," ")</f>
        <v>в недоступном для детей месте при температуре не выше 25°С.</v>
      </c>
      <c r="BR176" s="22">
        <v>10.0</v>
      </c>
      <c r="BS176" s="22" t="s">
        <v>139</v>
      </c>
      <c r="BT176" s="22"/>
      <c r="BU176" s="22"/>
      <c r="BV176" s="22"/>
      <c r="BW176" s="44" t="str">
        <f>IFERROR(VLOOKUP(C176,'спецификация'!B:AA,16,0)," ")</f>
        <v>https://docs.google.com/document/d/1EHtDvxgztV-Ul8TBZawfWzrrCY31RyFh/edit</v>
      </c>
      <c r="BX176" s="43"/>
      <c r="BY176" s="43"/>
      <c r="BZ176" s="45" t="str">
        <f>IFERROR(VLOOKUP(BF176,'спецификация'!D:Y,22,0)," ")</f>
        <v/>
      </c>
      <c r="CA176" s="43"/>
      <c r="CB176" s="43"/>
      <c r="CC176" s="43"/>
      <c r="CD176" s="43"/>
      <c r="CE176" s="43"/>
      <c r="CF176" s="43"/>
      <c r="CG176" s="49">
        <f>IFERROR(VLOOKUP(C176,CC!A:D,4,0)," ")</f>
        <v>85.09</v>
      </c>
      <c r="CH176" s="22" t="str">
        <f>IFERROR(VLOOKUP(C176,'спецификация'!B:AA,19,0)," ")</f>
        <v>ООО Нутрафарм</v>
      </c>
      <c r="CI176" s="22"/>
      <c r="CJ176" s="43"/>
      <c r="CK176" s="22">
        <f>IFERROR(VLOOKUP(C176,CC!K:M,3,0)," ")</f>
        <v>45</v>
      </c>
      <c r="CL176" s="43"/>
      <c r="CM176" s="43"/>
      <c r="CN176" s="43"/>
      <c r="CO176" s="43"/>
      <c r="CP176" s="43"/>
      <c r="CQ176" s="43"/>
      <c r="CR176" s="43"/>
      <c r="CS176" s="43" t="b">
        <v>0</v>
      </c>
      <c r="CT176" s="43" t="b">
        <v>0</v>
      </c>
      <c r="CU176" s="43" t="b">
        <v>0</v>
      </c>
      <c r="CV176" s="43" t="b">
        <v>0</v>
      </c>
      <c r="CW176" s="43"/>
      <c r="CX176" s="43"/>
      <c r="CY176" s="43"/>
      <c r="CZ176" s="43"/>
      <c r="DA176" s="43"/>
      <c r="DB176" s="43"/>
      <c r="DC176" s="43"/>
      <c r="DD176" s="22">
        <f>IFERROR(VLOOKUP($C176,'Лист4'!$D:$AI,27,0)," ")</f>
        <v>8</v>
      </c>
      <c r="DE176" s="22">
        <f>IFERROR(VLOOKUP($C176,'Лист4'!$D:$AI,28,0)," ")</f>
        <v>3</v>
      </c>
      <c r="DF176" s="22">
        <f>IFERROR(VLOOKUP($C176,'Лист4'!$D:$AI,29,0)," ")</f>
        <v>8</v>
      </c>
      <c r="DG176" s="22">
        <f t="shared" si="3"/>
        <v>192</v>
      </c>
      <c r="DH176" s="22">
        <f>IFERROR(VLOOKUP($C176,'Лист4'!$D:$AI,32,0)," ")</f>
        <v>0.05</v>
      </c>
      <c r="DI176" s="22"/>
      <c r="DJ176" s="22"/>
      <c r="DK176" s="22"/>
      <c r="DL176" s="22"/>
      <c r="DM176" s="22"/>
      <c r="DN176" s="22"/>
      <c r="DO176" s="22"/>
      <c r="DP176" s="22"/>
      <c r="DQ176" s="22"/>
      <c r="DR176" s="22"/>
      <c r="DS176" s="22"/>
      <c r="DT176" s="22"/>
      <c r="DU176" s="22"/>
      <c r="DV176" s="22"/>
      <c r="DW176" s="22"/>
      <c r="DX176" s="22"/>
      <c r="DY176" s="22"/>
      <c r="DZ176" s="22"/>
      <c r="EA176" s="22"/>
      <c r="EB176" s="22"/>
      <c r="EC176" s="22"/>
      <c r="ED176" s="22"/>
      <c r="EE176" s="22"/>
      <c r="EF176" s="22"/>
      <c r="EG176" s="22"/>
      <c r="EH176" s="22"/>
      <c r="EI176" s="22"/>
      <c r="EJ176" s="22"/>
      <c r="EK176" s="22"/>
      <c r="EL176" s="22"/>
      <c r="EM176" s="43"/>
      <c r="EN176" s="43"/>
      <c r="EO176" s="43"/>
      <c r="EP176" s="43"/>
      <c r="EQ176" s="43"/>
      <c r="ER176" s="43"/>
      <c r="ES176" s="43"/>
      <c r="ET176" s="43"/>
      <c r="EU176" s="43"/>
      <c r="EV176" s="43"/>
      <c r="EW176" s="43"/>
      <c r="EX176" s="43"/>
      <c r="EY176" s="43"/>
      <c r="EZ176" s="43"/>
      <c r="FA176" s="43"/>
      <c r="FB176" s="43"/>
      <c r="FC176" s="43"/>
    </row>
    <row r="177" ht="18.0" customHeight="1">
      <c r="A177" s="2"/>
      <c r="B177" s="22" t="str">
        <f>IFERROR(VLOOKUP(C177,'Реестр'!C:AC,27,0)," ")</f>
        <v>Смарт-Сэйл</v>
      </c>
      <c r="C177" s="43" t="s">
        <v>2716</v>
      </c>
      <c r="D177" s="22" t="str">
        <f>IFERROR(VLOOKUP(C177,'Лист4'!D:P,13,0)," ")</f>
        <v>CPA</v>
      </c>
      <c r="E177" s="22" t="str">
        <f>IF(OR(ISERROR(VLOOKUP(C177,'Актуальность'!A:B,2,0)), VLOOKUP(C177,'Актуальность'!A:B,2,0)=""), "Актуальный", VLOOKUP(C177,'Актуальность'!A:B,2,0))</f>
        <v>Актуальный</v>
      </c>
      <c r="F177" s="43" t="str">
        <f>IFERROR(VLOOKUP(C177,'Актуальность'!A:C,3,0)," ")</f>
        <v/>
      </c>
      <c r="G177" s="43"/>
      <c r="H177" s="22" t="s">
        <v>2663</v>
      </c>
      <c r="I177" s="22" t="s">
        <v>2718</v>
      </c>
      <c r="J177" s="43"/>
      <c r="K177" s="43"/>
      <c r="L177" s="22" t="b">
        <f t="shared" ref="L177:R177" si="173">T177&lt;&gt;""</f>
        <v>1</v>
      </c>
      <c r="M177" s="22" t="b">
        <f t="shared" si="173"/>
        <v>1</v>
      </c>
      <c r="N177" s="22" t="b">
        <f t="shared" si="173"/>
        <v>1</v>
      </c>
      <c r="O177" s="22" t="b">
        <f t="shared" si="173"/>
        <v>1</v>
      </c>
      <c r="P177" s="22" t="b">
        <f t="shared" si="173"/>
        <v>0</v>
      </c>
      <c r="Q177" s="22" t="b">
        <f t="shared" si="173"/>
        <v>0</v>
      </c>
      <c r="R177" s="22" t="b">
        <f t="shared" si="173"/>
        <v>0</v>
      </c>
      <c r="S177" s="43"/>
      <c r="T177" s="43" t="str">
        <f>IFERROR(VLOOKUP( C177,'1С'!A:B,2,0)," ")</f>
        <v>CO101100453</v>
      </c>
      <c r="U177" s="22" t="str">
        <f>IFERROR(VLOOKUP(T177,'Лист4'!C:I,3,0)," ")</f>
        <v>kinzhal</v>
      </c>
      <c r="V177" s="22" t="str">
        <f>IFERROR(VLOOKUP(T177,'Лист4'!C:I,4,0)," ")</f>
        <v>kinzhal</v>
      </c>
      <c r="W177" s="22" t="str">
        <f>IFERROR(VLOOKUP(T177,'Лист4'!C:I,5,0)," ")</f>
        <v>kinzhal</v>
      </c>
      <c r="X177" s="43" t="str">
        <f>IFERROR(VLOOKUP(T177,'Лист4'!C:I,7,0)," ")</f>
        <v/>
      </c>
      <c r="Y177" s="43" t="str">
        <f>IFERROR(VLOOKUP(T177,'Лист4'!C:I,6,0)," ")</f>
        <v/>
      </c>
      <c r="Z177" s="43"/>
      <c r="AA177" s="43"/>
      <c r="AB177" s="22">
        <v>2.22223765E8</v>
      </c>
      <c r="AC177" s="22">
        <v>1.528074808E9</v>
      </c>
      <c r="AD177" s="22">
        <v>1.03529337206E11</v>
      </c>
      <c r="AE177" s="22"/>
      <c r="AF177" s="22"/>
      <c r="AG177" s="43"/>
      <c r="AH177" s="43"/>
      <c r="AI177" s="43" t="str">
        <f>IFERROR(VLOOKUP(T177,'1С'!B:C,2,0)," ")</f>
        <v>Пищевая добавка Кинжал, CPA, 20 капсул</v>
      </c>
      <c r="AJ177" s="22" t="s">
        <v>2720</v>
      </c>
      <c r="AK177" s="22" t="s">
        <v>2721</v>
      </c>
      <c r="AL177" s="22" t="s">
        <v>2722</v>
      </c>
      <c r="AM177" s="43"/>
      <c r="AN177" s="43"/>
      <c r="AO177" s="43"/>
      <c r="AP177" s="43"/>
      <c r="AQ177" s="46" t="s">
        <v>2723</v>
      </c>
      <c r="AR177" s="46" t="s">
        <v>2724</v>
      </c>
      <c r="AS177" s="46" t="s">
        <v>2725</v>
      </c>
      <c r="AT177" s="43"/>
      <c r="AU177" s="43"/>
      <c r="AV177" s="43"/>
      <c r="AW177" s="43"/>
      <c r="AX177" s="22" t="s">
        <v>649</v>
      </c>
      <c r="AY177" s="22" t="s">
        <v>2721</v>
      </c>
      <c r="AZ177" s="22" t="s">
        <v>2692</v>
      </c>
      <c r="BA177" s="43"/>
      <c r="BB177" s="43"/>
      <c r="BC177" s="43"/>
      <c r="BD177" s="43"/>
      <c r="BE177" s="43"/>
      <c r="BF177" s="22" t="str">
        <f>IFERROR(VLOOKUP(C177,'спецификация'!B:D,3,0)," ")</f>
        <v>4610030632476; 4610030633237</v>
      </c>
      <c r="BG177" s="22">
        <v>2.106909809E9</v>
      </c>
      <c r="BH177" s="22" t="str">
        <f>IFERROR(VLOOKUP(C177,'спецификация'!B:AA,5,0)," ")</f>
        <v>ЕАЭС N RU Д-RU.РА09.В.88179/23 от 21.11.2023 по 20.11.2028</v>
      </c>
      <c r="BI177" s="22"/>
      <c r="BJ177" s="22" t="str">
        <f>IFERROR(VLOOKUP(C177,'спецификация'!B:AA,6,0)," ")</f>
        <v/>
      </c>
      <c r="BK177" s="43"/>
      <c r="BL177" s="43"/>
      <c r="BM177" s="22" t="str">
        <f>IFERROR(VLOOKUP(BF177,'спецификация'!D:H,5,0)," ")</f>
        <v>мальтодекстрин, экстракты готу колы, эпимедиум, маки перуанской, ярутки, корня женьшеня, корня эврикомы, йохимбе, витамин Е, лактоза, стеарат кальция, диоксид кремния.
</v>
      </c>
      <c r="BN177" s="43"/>
      <c r="BO177" s="22" t="str">
        <f>IFERROR(VLOOKUP(C177,'спецификация'!B:AA,10,0)," ")</f>
        <v/>
      </c>
      <c r="BP177" s="43" t="str">
        <f>IFERROR(VLOOKUP(C177,'спецификация'!B:AA,11,0)," ")</f>
        <v>индивидуальная непереносимость компонентов.</v>
      </c>
      <c r="BQ177" s="22" t="str">
        <f>IFERROR(VLOOKUP(C177,'спецификация'!B:AA,12,0)," ")</f>
        <v>хранить при температуре не выше 25 °С в местах, удалённых от прямого солнечного света, отопительных приборов, влаги.</v>
      </c>
      <c r="BR177" s="22">
        <v>20.0</v>
      </c>
      <c r="BS177" s="22" t="s">
        <v>492</v>
      </c>
      <c r="BT177" s="22"/>
      <c r="BU177" s="22"/>
      <c r="BV177" s="22"/>
      <c r="BW177" s="44" t="str">
        <f>IFERROR(VLOOKUP(C177,'спецификация'!B:AA,16,0)," ")</f>
        <v>https://docs.google.com/document/d/1xXS7DHccuHkI_1UHF5MF7NZcHCg5eYSe/edit?usp=drive_web&amp;ouid=104241417680089502627&amp;rtpof=true</v>
      </c>
      <c r="BX177" s="43"/>
      <c r="BY177" s="43"/>
      <c r="BZ177" s="45" t="str">
        <f>IFERROR(VLOOKUP(BF177,'спецификация'!D:Y,22,0)," ")</f>
        <v/>
      </c>
      <c r="CA177" s="43"/>
      <c r="CB177" s="43"/>
      <c r="CC177" s="43"/>
      <c r="CD177" s="43"/>
      <c r="CE177" s="43"/>
      <c r="CF177" s="43"/>
      <c r="CG177" s="49">
        <f>IFERROR(VLOOKUP(C177,CC!A:D,4,0)," ")</f>
        <v>120.23</v>
      </c>
      <c r="CH177" s="22" t="str">
        <f>IFERROR(VLOOKUP(C177,'спецификация'!B:AA,19,0)," ")</f>
        <v>ООО Нутрафарм</v>
      </c>
      <c r="CI177" s="22"/>
      <c r="CJ177" s="43"/>
      <c r="CK177" s="22">
        <f>IFERROR(VLOOKUP(C177,CC!K:M,3,0)," ")</f>
        <v>45</v>
      </c>
      <c r="CL177" s="43"/>
      <c r="CM177" s="43"/>
      <c r="CN177" s="43"/>
      <c r="CO177" s="43"/>
      <c r="CP177" s="43"/>
      <c r="CQ177" s="43"/>
      <c r="CR177" s="43"/>
      <c r="CS177" s="43" t="b">
        <v>0</v>
      </c>
      <c r="CT177" s="43" t="b">
        <v>0</v>
      </c>
      <c r="CU177" s="43" t="b">
        <v>0</v>
      </c>
      <c r="CV177" s="43" t="b">
        <v>0</v>
      </c>
      <c r="CW177" s="43"/>
      <c r="CX177" s="43"/>
      <c r="CY177" s="43"/>
      <c r="CZ177" s="43"/>
      <c r="DA177" s="43"/>
      <c r="DB177" s="43"/>
      <c r="DC177" s="43"/>
      <c r="DD177" s="22">
        <f>IFERROR(VLOOKUP($C177,'Лист4'!$D:$AI,27,0)," ")</f>
        <v>8</v>
      </c>
      <c r="DE177" s="22">
        <f>IFERROR(VLOOKUP($C177,'Лист4'!$D:$AI,28,0)," ")</f>
        <v>8</v>
      </c>
      <c r="DF177" s="22">
        <f>IFERROR(VLOOKUP($C177,'Лист4'!$D:$AI,29,0)," ")</f>
        <v>8</v>
      </c>
      <c r="DG177" s="22">
        <f t="shared" si="3"/>
        <v>512</v>
      </c>
      <c r="DH177" s="22">
        <f>IFERROR(VLOOKUP($C177,'Лист4'!$D:$AI,32,0)," ")</f>
        <v>0.015</v>
      </c>
      <c r="DI177" s="22"/>
      <c r="DJ177" s="22"/>
      <c r="DK177" s="22"/>
      <c r="DL177" s="22"/>
      <c r="DM177" s="22"/>
      <c r="DN177" s="22"/>
      <c r="DO177" s="22"/>
      <c r="DP177" s="22"/>
      <c r="DQ177" s="22"/>
      <c r="DR177" s="22"/>
      <c r="DS177" s="22"/>
      <c r="DT177" s="22"/>
      <c r="DU177" s="22"/>
      <c r="DV177" s="22"/>
      <c r="DW177" s="22"/>
      <c r="DX177" s="22"/>
      <c r="DY177" s="22"/>
      <c r="DZ177" s="22"/>
      <c r="EA177" s="22"/>
      <c r="EB177" s="22"/>
      <c r="EC177" s="22"/>
      <c r="ED177" s="22"/>
      <c r="EE177" s="22"/>
      <c r="EF177" s="22"/>
      <c r="EG177" s="22"/>
      <c r="EH177" s="22"/>
      <c r="EI177" s="22"/>
      <c r="EJ177" s="22"/>
      <c r="EK177" s="22"/>
      <c r="EL177" s="22"/>
      <c r="EM177" s="43"/>
      <c r="EN177" s="43"/>
      <c r="EO177" s="43"/>
      <c r="EP177" s="43"/>
      <c r="EQ177" s="43"/>
      <c r="ER177" s="43"/>
      <c r="ES177" s="43"/>
      <c r="ET177" s="43"/>
      <c r="EU177" s="43"/>
      <c r="EV177" s="43"/>
      <c r="EW177" s="43"/>
      <c r="EX177" s="43"/>
      <c r="EY177" s="43"/>
      <c r="EZ177" s="43"/>
      <c r="FA177" s="43"/>
      <c r="FB177" s="43"/>
      <c r="FC177" s="43"/>
    </row>
    <row r="178" ht="18.0" customHeight="1">
      <c r="A178" s="2"/>
      <c r="B178" s="22" t="str">
        <f>IFERROR(VLOOKUP(C178,'Реестр'!C:AC,27,0)," ")</f>
        <v>Смарт-Сэйл</v>
      </c>
      <c r="C178" s="43" t="s">
        <v>2732</v>
      </c>
      <c r="D178" s="22" t="str">
        <f>IFERROR(VLOOKUP(C178,'Лист4'!D:P,13,0)," ")</f>
        <v>CPA</v>
      </c>
      <c r="E178" s="22" t="str">
        <f>IF(OR(ISERROR(VLOOKUP(C178,'Актуальность'!A:B,2,0)), VLOOKUP(C178,'Актуальность'!A:B,2,0)=""), "Актуальный", VLOOKUP(C178,'Актуальность'!A:B,2,0))</f>
        <v>Актуальный</v>
      </c>
      <c r="F178" s="43" t="str">
        <f>IFERROR(VLOOKUP(C178,'Актуальность'!A:C,3,0)," ")</f>
        <v/>
      </c>
      <c r="G178" s="43"/>
      <c r="H178" s="22" t="s">
        <v>2663</v>
      </c>
      <c r="I178" s="22" t="s">
        <v>2703</v>
      </c>
      <c r="J178" s="43"/>
      <c r="K178" s="43"/>
      <c r="L178" s="22" t="b">
        <f t="shared" ref="L178:R178" si="174">T178&lt;&gt;""</f>
        <v>1</v>
      </c>
      <c r="M178" s="22" t="b">
        <f t="shared" si="174"/>
        <v>1</v>
      </c>
      <c r="N178" s="22" t="b">
        <f t="shared" si="174"/>
        <v>1</v>
      </c>
      <c r="O178" s="22" t="b">
        <f t="shared" si="174"/>
        <v>1</v>
      </c>
      <c r="P178" s="22" t="b">
        <f t="shared" si="174"/>
        <v>0</v>
      </c>
      <c r="Q178" s="22" t="b">
        <f t="shared" si="174"/>
        <v>0</v>
      </c>
      <c r="R178" s="22" t="b">
        <f t="shared" si="174"/>
        <v>0</v>
      </c>
      <c r="S178" s="43"/>
      <c r="T178" s="43" t="str">
        <f>IFERROR(VLOOKUP( C178,'1С'!A:B,2,0)," ")</f>
        <v>CO101100434</v>
      </c>
      <c r="U178" s="22" t="str">
        <f>IFERROR(VLOOKUP(T178,'Лист4'!C:I,3,0)," ")</f>
        <v>arterol_1_1_1</v>
      </c>
      <c r="V178" s="22" t="str">
        <f>IFERROR(VLOOKUP(T178,'Лист4'!C:I,4,0)," ")</f>
        <v>arterol_1_1_1</v>
      </c>
      <c r="W178" s="22" t="str">
        <f>IFERROR(VLOOKUP(T178,'Лист4'!C:I,5,0)," ")</f>
        <v>arterol_1_1_1</v>
      </c>
      <c r="X178" s="43" t="str">
        <f>IFERROR(VLOOKUP(T178,'Лист4'!C:I,7,0)," ")</f>
        <v/>
      </c>
      <c r="Y178" s="43" t="str">
        <f>IFERROR(VLOOKUP(T178,'Лист4'!C:I,6,0)," ")</f>
        <v/>
      </c>
      <c r="Z178" s="43"/>
      <c r="AA178" s="43"/>
      <c r="AB178" s="22">
        <v>5.25494446E8</v>
      </c>
      <c r="AC178" s="22">
        <v>2.82507871E9</v>
      </c>
      <c r="AD178" s="22">
        <v>4.640700956E9</v>
      </c>
      <c r="AE178" s="22"/>
      <c r="AF178" s="22"/>
      <c r="AG178" s="43"/>
      <c r="AH178" s="43"/>
      <c r="AI178" s="43" t="str">
        <f>IFERROR(VLOOKUP(T178,'1С'!B:C,2,0)," ")</f>
        <v>Пищевая добавка Артерол, CPA, 10 мл, набор из 3 шт</v>
      </c>
      <c r="AJ178" s="22" t="s">
        <v>2705</v>
      </c>
      <c r="AK178" s="22" t="s">
        <v>2735</v>
      </c>
      <c r="AL178" s="22" t="s">
        <v>2735</v>
      </c>
      <c r="AM178" s="43"/>
      <c r="AN178" s="43"/>
      <c r="AO178" s="43"/>
      <c r="AP178" s="43"/>
      <c r="AQ178" s="46" t="s">
        <v>2736</v>
      </c>
      <c r="AR178" s="46" t="s">
        <v>2737</v>
      </c>
      <c r="AS178" s="46" t="s">
        <v>2738</v>
      </c>
      <c r="AT178" s="43"/>
      <c r="AU178" s="43"/>
      <c r="AV178" s="43"/>
      <c r="AW178" s="43"/>
      <c r="AX178" s="22" t="s">
        <v>649</v>
      </c>
      <c r="AY178" s="22" t="s">
        <v>2735</v>
      </c>
      <c r="AZ178" s="22" t="s">
        <v>372</v>
      </c>
      <c r="BA178" s="43"/>
      <c r="BB178" s="43"/>
      <c r="BC178" s="43"/>
      <c r="BD178" s="43"/>
      <c r="BE178" s="43"/>
      <c r="BF178" s="22">
        <f>IFERROR(VLOOKUP(C178,'спецификация'!B:D,3,0)," ")</f>
        <v>4627649874784</v>
      </c>
      <c r="BG178" s="22">
        <v>2.106909808E9</v>
      </c>
      <c r="BH178" s="22" t="str">
        <f>IFERROR(VLOOKUP(C178,'спецификация'!B:AA,5,0)," ")</f>
        <v>ЕАЭС N RU Д-RU.PA08.B.28041/23 от 04.10.2023 по 03.10.2028</v>
      </c>
      <c r="BI178" s="22"/>
      <c r="BJ178" s="22" t="str">
        <f>IFERROR(VLOOKUP(C178,'спецификация'!B:AA,6,0)," ")</f>
        <v/>
      </c>
      <c r="BK178" s="43"/>
      <c r="BL178" s="43"/>
      <c r="BM178" s="22" t="str">
        <f>IFERROR(VLOOKUP(BF178,'спецификация'!D:H,5,0)," ")</f>
        <v>вода, экстракты гуавы, плодов брусники, листьев гинкго билобы, плодов фенхеля, корней цикория, травы медуницы, кордицепс, ежовик гребенчатый, черный тмин, амарант, кора белой ивы, магний цитрат, лимонная кислота, бензоат натрия, сорбат калия, сукралоза.</v>
      </c>
      <c r="BN178" s="43"/>
      <c r="BO178" s="22" t="str">
        <f>IFERROR(VLOOKUP(C178,'спецификация'!B:AA,10,0)," ")</f>
        <v/>
      </c>
      <c r="BP178" s="43" t="str">
        <f>IFERROR(VLOOKUP(C178,'спецификация'!B:AA,11,0)," ")</f>
        <v>повышенная чувствительность к компонентам средства.
</v>
      </c>
      <c r="BQ178" s="22" t="str">
        <f>IFERROR(VLOOKUP(C178,'спецификация'!B:AA,12,0)," ")</f>
        <v>в недоступном для детей месте при температуре не выше 25°С.</v>
      </c>
      <c r="BR178" s="22">
        <v>10.0</v>
      </c>
      <c r="BS178" s="60" t="s">
        <v>2739</v>
      </c>
      <c r="BT178" s="60"/>
      <c r="BU178" s="22"/>
      <c r="BV178" s="22"/>
      <c r="BW178" s="44" t="str">
        <f>IFERROR(VLOOKUP(C178,'спецификация'!B:AA,16,0)," ")</f>
        <v>https://docs.google.com/document/d/1EHtDvxgztV-Ul8TBZawfWzrrCY31RyFh/edit</v>
      </c>
      <c r="BX178" s="43"/>
      <c r="BY178" s="43"/>
      <c r="BZ178" s="45" t="str">
        <f>IFERROR(VLOOKUP(BF178,'спецификация'!D:Y,22,0)," ")</f>
        <v/>
      </c>
      <c r="CA178" s="43"/>
      <c r="CB178" s="43"/>
      <c r="CC178" s="43"/>
      <c r="CD178" s="43"/>
      <c r="CE178" s="43"/>
      <c r="CF178" s="43"/>
      <c r="CG178" s="49">
        <f>IFERROR(VLOOKUP(C178,CC!A:D,4,0)," ")</f>
        <v>255.27</v>
      </c>
      <c r="CH178" s="22" t="str">
        <f>IFERROR(VLOOKUP(C178,'спецификация'!B:AA,19,0)," ")</f>
        <v>ООО Нутрафарм</v>
      </c>
      <c r="CI178" s="22"/>
      <c r="CJ178" s="22"/>
      <c r="CK178" s="22">
        <f>IFERROR(VLOOKUP(C178,CC!K:M,3,0)," ")</f>
        <v>45</v>
      </c>
      <c r="CL178" s="43"/>
      <c r="CM178" s="43"/>
      <c r="CN178" s="43"/>
      <c r="CO178" s="43"/>
      <c r="CP178" s="43"/>
      <c r="CQ178" s="43"/>
      <c r="CR178" s="43"/>
      <c r="CS178" s="43" t="b">
        <v>0</v>
      </c>
      <c r="CT178" s="43" t="b">
        <v>0</v>
      </c>
      <c r="CU178" s="43" t="b">
        <v>0</v>
      </c>
      <c r="CV178" s="43" t="b">
        <v>0</v>
      </c>
      <c r="CW178" s="43"/>
      <c r="CX178" s="43"/>
      <c r="CY178" s="43"/>
      <c r="CZ178" s="43"/>
      <c r="DA178" s="43"/>
      <c r="DB178" s="43"/>
      <c r="DC178" s="43"/>
      <c r="DD178" s="22">
        <f>IFERROR(VLOOKUP($C178,'Лист4'!$D:$AI,27,0)," ")</f>
        <v>9</v>
      </c>
      <c r="DE178" s="22">
        <f>IFERROR(VLOOKUP($C178,'Лист4'!$D:$AI,28,0)," ")</f>
        <v>13</v>
      </c>
      <c r="DF178" s="22">
        <f>IFERROR(VLOOKUP($C178,'Лист4'!$D:$AI,29,0)," ")</f>
        <v>9</v>
      </c>
      <c r="DG178" s="22">
        <f t="shared" si="3"/>
        <v>1053</v>
      </c>
      <c r="DH178" s="22">
        <f>IFERROR(VLOOKUP($C178,'Лист4'!$D:$AI,32,0)," ")</f>
        <v>0.14</v>
      </c>
      <c r="DI178" s="22"/>
      <c r="DJ178" s="22"/>
      <c r="DK178" s="22"/>
      <c r="DL178" s="22"/>
      <c r="DM178" s="22"/>
      <c r="DN178" s="22"/>
      <c r="DO178" s="22"/>
      <c r="DP178" s="22"/>
      <c r="DQ178" s="22"/>
      <c r="DR178" s="22"/>
      <c r="DS178" s="22"/>
      <c r="DT178" s="22"/>
      <c r="DU178" s="22"/>
      <c r="DV178" s="22"/>
      <c r="DW178" s="22"/>
      <c r="DX178" s="22"/>
      <c r="DY178" s="22"/>
      <c r="DZ178" s="22"/>
      <c r="EA178" s="22"/>
      <c r="EB178" s="22"/>
      <c r="EC178" s="22"/>
      <c r="ED178" s="22"/>
      <c r="EE178" s="22"/>
      <c r="EF178" s="22"/>
      <c r="EG178" s="22"/>
      <c r="EH178" s="22"/>
      <c r="EI178" s="22"/>
      <c r="EJ178" s="22"/>
      <c r="EK178" s="22"/>
      <c r="EL178" s="22"/>
      <c r="EM178" s="43"/>
      <c r="EN178" s="43"/>
      <c r="EO178" s="43"/>
      <c r="EP178" s="43"/>
      <c r="EQ178" s="43"/>
      <c r="ER178" s="43"/>
      <c r="ES178" s="43"/>
      <c r="ET178" s="43"/>
      <c r="EU178" s="43"/>
      <c r="EV178" s="43"/>
      <c r="EW178" s="43"/>
      <c r="EX178" s="43"/>
      <c r="EY178" s="43"/>
      <c r="EZ178" s="43"/>
      <c r="FA178" s="43"/>
      <c r="FB178" s="43"/>
      <c r="FC178" s="43"/>
    </row>
    <row r="179" ht="18.0" customHeight="1">
      <c r="A179" s="2"/>
      <c r="B179" s="22" t="str">
        <f>IFERROR(VLOOKUP(C179,'Реестр'!C:AC,27,0)," ")</f>
        <v>Смарт-Сэйл</v>
      </c>
      <c r="C179" s="43" t="s">
        <v>3000</v>
      </c>
      <c r="D179" s="22" t="str">
        <f>IFERROR(VLOOKUP(C179,'Лист4'!D:P,13,0)," ")</f>
        <v>Алтея</v>
      </c>
      <c r="E179" s="22" t="str">
        <f>IF(OR(ISERROR(VLOOKUP(C179,'Актуальность'!A:B,2,0)), VLOOKUP(C179,'Актуальность'!A:B,2,0)=""), "Актуальный", VLOOKUP(C179,'Актуальность'!A:B,2,0))</f>
        <v>Актуальный</v>
      </c>
      <c r="F179" s="43" t="str">
        <f>IFERROR(VLOOKUP(C179,'Актуальность'!A:C,3,0)," ")</f>
        <v/>
      </c>
      <c r="G179" s="43"/>
      <c r="H179" s="22" t="s">
        <v>2743</v>
      </c>
      <c r="I179" s="22" t="s">
        <v>2744</v>
      </c>
      <c r="J179" s="43"/>
      <c r="K179" s="43"/>
      <c r="L179" s="22" t="b">
        <f t="shared" ref="L179:R179" si="175">T179&lt;&gt;""</f>
        <v>1</v>
      </c>
      <c r="M179" s="22" t="b">
        <f t="shared" si="175"/>
        <v>1</v>
      </c>
      <c r="N179" s="22" t="b">
        <f t="shared" si="175"/>
        <v>1</v>
      </c>
      <c r="O179" s="22" t="b">
        <f t="shared" si="175"/>
        <v>1</v>
      </c>
      <c r="P179" s="22" t="b">
        <f t="shared" si="175"/>
        <v>1</v>
      </c>
      <c r="Q179" s="22" t="b">
        <f t="shared" si="175"/>
        <v>1</v>
      </c>
      <c r="R179" s="22" t="b">
        <f t="shared" si="175"/>
        <v>1</v>
      </c>
      <c r="S179" s="43"/>
      <c r="T179" s="43" t="str">
        <f>IFERROR(VLOOKUP( C179,'1С'!A:B,2,0)," ")</f>
        <v>AC101100440</v>
      </c>
      <c r="U179" s="22" t="str">
        <f>IFERROR(VLOOKUP(T179,'Лист4'!C:I,3,0)," ")</f>
        <v>retiderm_50ml</v>
      </c>
      <c r="V179" s="22" t="str">
        <f>IFERROR(VLOOKUP(T179,'Лист4'!C:I,4,0)," ")</f>
        <v>retiderm_50ml</v>
      </c>
      <c r="W179" s="22" t="str">
        <f>IFERROR(VLOOKUP(T179,'Лист4'!C:I,5,0)," ")</f>
        <v>retiderm_50ml</v>
      </c>
      <c r="X179" s="43" t="str">
        <f>IFERROR(VLOOKUP(T179,'Лист4'!C:I,7,0)," ")</f>
        <v>retiderm_50ml</v>
      </c>
      <c r="Y179" s="43" t="str">
        <f>IFERROR(VLOOKUP(T179,'Лист4'!C:I,6,0)," ")</f>
        <v>retiderm_50ml</v>
      </c>
      <c r="Z179" s="22" t="s">
        <v>3000</v>
      </c>
      <c r="AA179" s="43"/>
      <c r="AB179" s="22">
        <v>2.23764453E8</v>
      </c>
      <c r="AC179" s="22">
        <v>1.548072003E9</v>
      </c>
      <c r="AD179" s="22">
        <v>1.03821891411E11</v>
      </c>
      <c r="AE179" s="22">
        <v>9.9000076216E10</v>
      </c>
      <c r="AF179" s="22" t="s">
        <v>3003</v>
      </c>
      <c r="AG179" s="22" t="s">
        <v>3004</v>
      </c>
      <c r="AH179" s="43"/>
      <c r="AI179" s="43" t="str">
        <f>IFERROR(VLOOKUP(T179,'1С'!B:C,2,0)," ")</f>
        <v>Крем для лица Ретидерм 0,5%, Алтея, 50 мл</v>
      </c>
      <c r="AJ179" s="22" t="s">
        <v>3005</v>
      </c>
      <c r="AK179" s="22" t="s">
        <v>3006</v>
      </c>
      <c r="AL179" s="22" t="s">
        <v>3007</v>
      </c>
      <c r="AM179" s="22" t="s">
        <v>3008</v>
      </c>
      <c r="AN179" s="22" t="s">
        <v>3009</v>
      </c>
      <c r="AO179" s="22" t="s">
        <v>3010</v>
      </c>
      <c r="AP179" s="43"/>
      <c r="AQ179" s="46" t="s">
        <v>3011</v>
      </c>
      <c r="AR179" s="46" t="s">
        <v>3012</v>
      </c>
      <c r="AS179" s="46" t="s">
        <v>3013</v>
      </c>
      <c r="AT179" s="46" t="s">
        <v>3014</v>
      </c>
      <c r="AU179" s="46" t="s">
        <v>3015</v>
      </c>
      <c r="AV179" s="46" t="s">
        <v>3016</v>
      </c>
      <c r="AW179" s="43"/>
      <c r="AX179" s="22" t="s">
        <v>594</v>
      </c>
      <c r="AY179" s="22" t="s">
        <v>3006</v>
      </c>
      <c r="AZ179" s="22" t="s">
        <v>595</v>
      </c>
      <c r="BA179" s="22" t="s">
        <v>1447</v>
      </c>
      <c r="BB179" s="22" t="s">
        <v>596</v>
      </c>
      <c r="BC179" s="22" t="s">
        <v>597</v>
      </c>
      <c r="BD179" s="43"/>
      <c r="BE179" s="43"/>
      <c r="BF179" s="22" t="str">
        <f>IFERROR(VLOOKUP(C179,'спецификация'!B:D,3,0)," ")</f>
        <v>4610172186219; 4660417421582</v>
      </c>
      <c r="BG179" s="22">
        <v>3.30499E9</v>
      </c>
      <c r="BH179" s="22" t="str">
        <f>IFERROR(VLOOKUP(C179,'спецификация'!B:AA,5,0)," ")</f>
        <v/>
      </c>
      <c r="BI179" s="22"/>
      <c r="BJ179" s="22" t="str">
        <f>IFERROR(VLOOKUP(C179,'спецификация'!B:AA,6,0)," ")</f>
        <v>нет</v>
      </c>
      <c r="BK179" s="43"/>
      <c r="BL179" s="43"/>
      <c r="BM179" s="22" t="str">
        <f>IFERROR(VLOOKUP(BF179,'спецификация'!D:H,5,0)," ")</f>
        <v>AQUA, ISOPROPYL PALMITATE, ACRYLAMIDE/SODIUM ACRYLATE COPOLYMER, NIACINAMIDE, UREA, SQUALANE, HELIANTHUS ANNUUS (SUNFLOWER) SEED OIL, MINERAL OIL, CYCLOPENTASILOXANE, CAPRYLIC/CAPRIC TRIGLYCERIDE,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v>
      </c>
      <c r="BN179" s="43"/>
      <c r="BO179" s="22" t="str">
        <f>IFERROR(VLOOKUP(C179,'спецификация'!B:AA,10,0)," ")</f>
        <v>небольшое количество крема распределить между ладоней. Нанести на сухую кожу лица. Сделать легкий массаж.</v>
      </c>
      <c r="BP179" s="43" t="str">
        <f>IFERROR(VLOOKUP(C179,'спецификация'!B:AA,11,0)," ")</f>
        <v>Меры предосторожности: возможна индивидуальная непереносимость к отдельным компонентам.</v>
      </c>
      <c r="BQ179" s="22" t="str">
        <f>IFERROR(VLOOKUP(C179,'спецификация'!B:AA,12,0)," ")</f>
        <v>хранить в сухом недоступном для света месте при температуре от +5 до +25.</v>
      </c>
      <c r="BR179" s="22">
        <v>50.0</v>
      </c>
      <c r="BS179" s="22" t="s">
        <v>139</v>
      </c>
      <c r="BT179" s="22"/>
      <c r="BU179" s="22"/>
      <c r="BV179" s="22" t="s">
        <v>727</v>
      </c>
      <c r="BW179" s="44" t="str">
        <f>IFERROR(VLOOKUP(C179,'спецификация'!B:AA,16,0)," ")</f>
        <v>https://docs.google.com/document/d/1eW9stCVnpHScM5yFN6L8U9I2EbyhXMXr/edit</v>
      </c>
      <c r="BX179" s="43"/>
      <c r="BY179" s="43"/>
      <c r="BZ179" s="45" t="str">
        <f>IFERROR(VLOOKUP(BF179,'спецификация'!D:Y,22,0)," ")</f>
        <v/>
      </c>
      <c r="CA179" s="43"/>
      <c r="CB179" s="43"/>
      <c r="CC179" s="43"/>
      <c r="CD179" s="43"/>
      <c r="CE179" s="43"/>
      <c r="CF179" s="43"/>
      <c r="CG179" s="49">
        <f>IFERROR(VLOOKUP(C179,CC!A:D,4,0)," ")</f>
        <v>94.3</v>
      </c>
      <c r="CH179" s="22" t="str">
        <f>IFERROR(VLOOKUP(C179,'спецификация'!B:AA,19,0)," ")</f>
        <v>ООО "ДжиЭсЭС Косметикс"</v>
      </c>
      <c r="CI179" s="22"/>
      <c r="CJ179" s="43"/>
      <c r="CK179" s="22">
        <f>IFERROR(VLOOKUP(C179,CC!K:M,3,0)," ")</f>
        <v>90</v>
      </c>
      <c r="CL179" s="43"/>
      <c r="CM179" s="43"/>
      <c r="CN179" s="43"/>
      <c r="CO179" s="43"/>
      <c r="CP179" s="43"/>
      <c r="CQ179" s="43"/>
      <c r="CR179" s="43"/>
      <c r="CS179" s="43" t="b">
        <v>0</v>
      </c>
      <c r="CT179" s="43" t="b">
        <v>0</v>
      </c>
      <c r="CU179" s="43" t="b">
        <v>0</v>
      </c>
      <c r="CV179" s="43" t="b">
        <v>0</v>
      </c>
      <c r="CW179" s="43"/>
      <c r="CX179" s="43"/>
      <c r="CY179" s="43"/>
      <c r="CZ179" s="43"/>
      <c r="DA179" s="43"/>
      <c r="DB179" s="43"/>
      <c r="DC179" s="43"/>
      <c r="DD179" s="22">
        <f>IFERROR(VLOOKUP($C179,'Лист4'!$D:$AI,27,0)," ")</f>
        <v>13</v>
      </c>
      <c r="DE179" s="22">
        <f>IFERROR(VLOOKUP($C179,'Лист4'!$D:$AI,28,0)," ")</f>
        <v>4</v>
      </c>
      <c r="DF179" s="22">
        <f>IFERROR(VLOOKUP($C179,'Лист4'!$D:$AI,29,0)," ")</f>
        <v>13</v>
      </c>
      <c r="DG179" s="22">
        <f t="shared" si="3"/>
        <v>676</v>
      </c>
      <c r="DH179" s="22">
        <f>IFERROR(VLOOKUP($C179,'Лист4'!$D:$AI,32,0)," ")</f>
        <v>0.064</v>
      </c>
      <c r="DI179" s="22"/>
      <c r="DJ179" s="22"/>
      <c r="DK179" s="22"/>
      <c r="DL179" s="22"/>
      <c r="DM179" s="22"/>
      <c r="DN179" s="22"/>
      <c r="DO179" s="22"/>
      <c r="DP179" s="22"/>
      <c r="DQ179" s="22"/>
      <c r="DR179" s="22"/>
      <c r="DS179" s="22"/>
      <c r="DT179" s="22"/>
      <c r="DU179" s="22"/>
      <c r="DV179" s="22"/>
      <c r="DW179" s="22"/>
      <c r="DX179" s="22"/>
      <c r="DY179" s="22"/>
      <c r="DZ179" s="22"/>
      <c r="EA179" s="22"/>
      <c r="EB179" s="22"/>
      <c r="EC179" s="22"/>
      <c r="ED179" s="22"/>
      <c r="EE179" s="22"/>
      <c r="EF179" s="22"/>
      <c r="EG179" s="22"/>
      <c r="EH179" s="22"/>
      <c r="EI179" s="22"/>
      <c r="EJ179" s="22"/>
      <c r="EK179" s="22"/>
      <c r="EL179" s="22"/>
      <c r="EM179" s="43"/>
      <c r="EN179" s="43"/>
      <c r="EO179" s="43"/>
      <c r="EP179" s="43"/>
      <c r="EQ179" s="43"/>
      <c r="ER179" s="43"/>
      <c r="ES179" s="43"/>
      <c r="ET179" s="43"/>
      <c r="EU179" s="43"/>
      <c r="EV179" s="43"/>
      <c r="EW179" s="43"/>
      <c r="EX179" s="43"/>
      <c r="EY179" s="43"/>
      <c r="EZ179" s="43"/>
      <c r="FA179" s="43"/>
      <c r="FB179" s="43"/>
      <c r="FC179" s="43"/>
    </row>
    <row r="180" ht="18.0" customHeight="1">
      <c r="A180" s="2"/>
      <c r="B180" s="22" t="str">
        <f>IFERROR(VLOOKUP(C180,'Реестр'!C:AC,27,0)," ")</f>
        <v>Смарт-Сэйл</v>
      </c>
      <c r="C180" s="43" t="s">
        <v>2740</v>
      </c>
      <c r="D180" s="22" t="str">
        <f>IFERROR(VLOOKUP(C180,'Лист4'!D:P,13,0)," ")</f>
        <v>Алтея</v>
      </c>
      <c r="E180" s="22" t="str">
        <f>IF(OR(ISERROR(VLOOKUP(C180,'Актуальность'!A:B,2,0)), VLOOKUP(C180,'Актуальность'!A:B,2,0)=""), "Актуальный", VLOOKUP(C180,'Актуальность'!A:B,2,0))</f>
        <v>Актуальный</v>
      </c>
      <c r="F180" s="43" t="str">
        <f>IFERROR(VLOOKUP(C180,'Актуальность'!A:C,3,0)," ")</f>
        <v/>
      </c>
      <c r="G180" s="43"/>
      <c r="H180" s="22" t="s">
        <v>2743</v>
      </c>
      <c r="I180" s="22" t="s">
        <v>2744</v>
      </c>
      <c r="J180" s="43"/>
      <c r="K180" s="43"/>
      <c r="L180" s="22" t="b">
        <f t="shared" ref="L180:R180" si="176">T180&lt;&gt;""</f>
        <v>1</v>
      </c>
      <c r="M180" s="22" t="b">
        <f t="shared" si="176"/>
        <v>1</v>
      </c>
      <c r="N180" s="22" t="b">
        <f t="shared" si="176"/>
        <v>1</v>
      </c>
      <c r="O180" s="22" t="b">
        <f t="shared" si="176"/>
        <v>1</v>
      </c>
      <c r="P180" s="22" t="b">
        <f t="shared" si="176"/>
        <v>1</v>
      </c>
      <c r="Q180" s="22" t="b">
        <f t="shared" si="176"/>
        <v>1</v>
      </c>
      <c r="R180" s="22" t="b">
        <f t="shared" si="176"/>
        <v>0</v>
      </c>
      <c r="S180" s="43"/>
      <c r="T180" s="43" t="str">
        <f>IFERROR(VLOOKUP( C180,'1С'!A:B,2,0)," ")</f>
        <v>AC101100442</v>
      </c>
      <c r="U180" s="22" t="str">
        <f>IFERROR(VLOOKUP(T180,'Лист4'!C:I,3,0)," ")</f>
        <v>retinait_krem_1_50ml</v>
      </c>
      <c r="V180" s="22" t="str">
        <f>IFERROR(VLOOKUP(T180,'Лист4'!C:I,4,0)," ")</f>
        <v>retinait_krem_1_50ml</v>
      </c>
      <c r="W180" s="22" t="str">
        <f>IFERROR(VLOOKUP(T180,'Лист4'!C:I,5,0)," ")</f>
        <v>retinait_krem_1_50ml</v>
      </c>
      <c r="X180" s="43" t="str">
        <f>IFERROR(VLOOKUP(T180,'Лист4'!C:I,7,0)," ")</f>
        <v>retinait_krem_1_50ml</v>
      </c>
      <c r="Y180" s="43" t="str">
        <f>IFERROR(VLOOKUP(T180,'Лист4'!C:I,6,0)," ")</f>
        <v>retinait_krem_1_50ml</v>
      </c>
      <c r="Z180" s="43"/>
      <c r="AA180" s="43"/>
      <c r="AB180" s="22">
        <v>5.26299109E8</v>
      </c>
      <c r="AC180" s="22">
        <v>2.829866449E9</v>
      </c>
      <c r="AD180" s="22">
        <v>4.644501567E9</v>
      </c>
      <c r="AE180" s="22">
        <v>9.9000124421E10</v>
      </c>
      <c r="AF180" s="22" t="s">
        <v>2746</v>
      </c>
      <c r="AG180" s="43"/>
      <c r="AH180" s="43"/>
      <c r="AI180" s="43" t="str">
        <f>IFERROR(VLOOKUP(T180,'1С'!B:C,2,0)," ")</f>
        <v>Крем для лица Ретинайт 1%, Алтея, 50 мл</v>
      </c>
      <c r="AJ180" s="22" t="s">
        <v>2747</v>
      </c>
      <c r="AK180" s="22" t="s">
        <v>2747</v>
      </c>
      <c r="AL180" s="22" t="s">
        <v>2748</v>
      </c>
      <c r="AM180" s="22" t="s">
        <v>2749</v>
      </c>
      <c r="AN180" s="22" t="s">
        <v>2747</v>
      </c>
      <c r="AO180" s="43"/>
      <c r="AP180" s="43"/>
      <c r="AQ180" s="46" t="s">
        <v>2750</v>
      </c>
      <c r="AR180" s="46" t="s">
        <v>2751</v>
      </c>
      <c r="AS180" s="46" t="s">
        <v>2752</v>
      </c>
      <c r="AT180" s="46" t="s">
        <v>2753</v>
      </c>
      <c r="AU180" s="46" t="s">
        <v>2754</v>
      </c>
      <c r="AV180" s="43"/>
      <c r="AW180" s="43"/>
      <c r="AX180" s="22" t="s">
        <v>594</v>
      </c>
      <c r="AY180" s="22" t="s">
        <v>2747</v>
      </c>
      <c r="AZ180" s="22" t="s">
        <v>595</v>
      </c>
      <c r="BA180" s="22" t="s">
        <v>1447</v>
      </c>
      <c r="BB180" s="22" t="s">
        <v>596</v>
      </c>
      <c r="BC180" s="43"/>
      <c r="BD180" s="43"/>
      <c r="BE180" s="43"/>
      <c r="BF180" s="22">
        <f>IFERROR(VLOOKUP(C180,'спецификация'!B:D,3,0)," ")</f>
        <v>4660417421605</v>
      </c>
      <c r="BG180" s="22">
        <v>3.30499E9</v>
      </c>
      <c r="BH180" s="22" t="str">
        <f>IFERROR(VLOOKUP(C180,'спецификация'!B:AA,5,0)," ")</f>
        <v/>
      </c>
      <c r="BI180" s="22"/>
      <c r="BJ180" s="22" t="str">
        <f>IFERROR(VLOOKUP(C180,'спецификация'!B:AA,6,0)," ")</f>
        <v>нет</v>
      </c>
      <c r="BK180" s="43"/>
      <c r="BL180" s="43"/>
      <c r="BM180" s="22" t="str">
        <f>IFERROR(VLOOKUP(BF180,'спецификация'!D:H,5,0)," ")</f>
        <v>AQUA, ISOPROPYL PALMITATE, ACRYLAMIDE/SODIUM ACRYLATE COPOLYMER, NIACINAMIDE, UREA, SQUALANE, HELIANTHUS ANNUUS (SUNFLOWER) SEED OIL, MINERAL OIL, CYCLOPENTASILOXANE, CAPRYLIC/CAPRIC TRIGLYCERIDE,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v>
      </c>
      <c r="BN180" s="43"/>
      <c r="BO180" s="22" t="str">
        <f>IFERROR(VLOOKUP(C180,'спецификация'!B:AA,10,0)," ")</f>
        <v>небольшое количество крема распределить между ладоней. Нанести на сухую кожу лица. Сделать легкий массаж.</v>
      </c>
      <c r="BP180" s="43" t="str">
        <f>IFERROR(VLOOKUP(C180,'спецификация'!B:AA,11,0)," ")</f>
        <v>Меры предосторожности: возможна индивидуальная непереносимость к отдельным компонентам.</v>
      </c>
      <c r="BQ180" s="22" t="str">
        <f>IFERROR(VLOOKUP(C180,'спецификация'!B:AA,12,0)," ")</f>
        <v>хранить в сухом недоступном для света месте при температуре от +5 до +25.</v>
      </c>
      <c r="BR180" s="22">
        <v>50.0</v>
      </c>
      <c r="BS180" s="22" t="s">
        <v>139</v>
      </c>
      <c r="BT180" s="22"/>
      <c r="BU180" s="22"/>
      <c r="BV180" s="22" t="s">
        <v>727</v>
      </c>
      <c r="BW180" s="44" t="str">
        <f>IFERROR(VLOOKUP(C180,'спецификация'!B:AA,16,0)," ")</f>
        <v>https://docs.google.com/document/d/1FDNTVe5zY3g7Uhlnkkxc1K9HafFQkNb6/edit?usp=drive_web&amp;ouid=104241417680089502627&amp;rtpof=true</v>
      </c>
      <c r="BX180" s="43"/>
      <c r="BY180" s="43"/>
      <c r="BZ180" s="45" t="str">
        <f>IFERROR(VLOOKUP(BF180,'спецификация'!D:Y,22,0)," ")</f>
        <v/>
      </c>
      <c r="CA180" s="43"/>
      <c r="CB180" s="43"/>
      <c r="CC180" s="43"/>
      <c r="CD180" s="43"/>
      <c r="CE180" s="43"/>
      <c r="CF180" s="43"/>
      <c r="CG180" s="49">
        <f>IFERROR(VLOOKUP(C180,CC!A:D,4,0)," ")</f>
        <v>99.4</v>
      </c>
      <c r="CH180" s="22" t="str">
        <f>IFERROR(VLOOKUP(C180,'спецификация'!B:AA,19,0)," ")</f>
        <v>ООО Восток-Плюс</v>
      </c>
      <c r="CI180" s="22"/>
      <c r="CJ180" s="22" t="s">
        <v>2763</v>
      </c>
      <c r="CK180" s="22">
        <f>IFERROR(VLOOKUP(C180,CC!K:M,3,0)," ")</f>
        <v>45</v>
      </c>
      <c r="CL180" s="43"/>
      <c r="CM180" s="43"/>
      <c r="CN180" s="43"/>
      <c r="CO180" s="43"/>
      <c r="CP180" s="43"/>
      <c r="CQ180" s="43"/>
      <c r="CR180" s="43"/>
      <c r="CS180" s="43" t="b">
        <v>0</v>
      </c>
      <c r="CT180" s="43" t="b">
        <v>0</v>
      </c>
      <c r="CU180" s="43" t="b">
        <v>0</v>
      </c>
      <c r="CV180" s="43" t="b">
        <v>0</v>
      </c>
      <c r="CW180" s="43"/>
      <c r="CX180" s="43"/>
      <c r="CY180" s="43"/>
      <c r="CZ180" s="43"/>
      <c r="DA180" s="43"/>
      <c r="DB180" s="43"/>
      <c r="DC180" s="43"/>
      <c r="DD180" s="22">
        <f>IFERROR(VLOOKUP($C180,'Лист4'!$D:$AI,27,0)," ")</f>
        <v>13</v>
      </c>
      <c r="DE180" s="22">
        <f>IFERROR(VLOOKUP($C180,'Лист4'!$D:$AI,28,0)," ")</f>
        <v>4</v>
      </c>
      <c r="DF180" s="22">
        <f>IFERROR(VLOOKUP($C180,'Лист4'!$D:$AI,29,0)," ")</f>
        <v>13</v>
      </c>
      <c r="DG180" s="22">
        <f t="shared" si="3"/>
        <v>676</v>
      </c>
      <c r="DH180" s="22">
        <f>IFERROR(VLOOKUP($C180,'Лист4'!$D:$AI,32,0)," ")</f>
        <v>0.088</v>
      </c>
      <c r="DI180" s="22"/>
      <c r="DJ180" s="22"/>
      <c r="DK180" s="22"/>
      <c r="DL180" s="22"/>
      <c r="DM180" s="22"/>
      <c r="DN180" s="22"/>
      <c r="DO180" s="22"/>
      <c r="DP180" s="22"/>
      <c r="DQ180" s="22"/>
      <c r="DR180" s="22"/>
      <c r="DS180" s="22"/>
      <c r="DT180" s="22"/>
      <c r="DU180" s="22"/>
      <c r="DV180" s="22"/>
      <c r="DW180" s="22"/>
      <c r="DX180" s="22"/>
      <c r="DY180" s="22"/>
      <c r="DZ180" s="22"/>
      <c r="EA180" s="22"/>
      <c r="EB180" s="22"/>
      <c r="EC180" s="22"/>
      <c r="ED180" s="22"/>
      <c r="EE180" s="22"/>
      <c r="EF180" s="22"/>
      <c r="EG180" s="22"/>
      <c r="EH180" s="22"/>
      <c r="EI180" s="22"/>
      <c r="EJ180" s="22"/>
      <c r="EK180" s="22"/>
      <c r="EL180" s="22"/>
      <c r="EM180" s="43"/>
      <c r="EN180" s="43"/>
      <c r="EO180" s="43"/>
      <c r="EP180" s="43"/>
      <c r="EQ180" s="43"/>
      <c r="ER180" s="43"/>
      <c r="ES180" s="43"/>
      <c r="ET180" s="43"/>
      <c r="EU180" s="43"/>
      <c r="EV180" s="43"/>
      <c r="EW180" s="43"/>
      <c r="EX180" s="43"/>
      <c r="EY180" s="43"/>
      <c r="EZ180" s="43"/>
      <c r="FA180" s="43"/>
      <c r="FB180" s="43"/>
      <c r="FC180" s="43"/>
    </row>
    <row r="181" ht="18.0" customHeight="1">
      <c r="A181" s="2"/>
      <c r="B181" s="22" t="str">
        <f>IFERROR(VLOOKUP(C181,'Реестр'!C:AC,27,0)," ")</f>
        <v>Смарт-Сэйл</v>
      </c>
      <c r="C181" s="43" t="s">
        <v>2764</v>
      </c>
      <c r="D181" s="22" t="str">
        <f>IFERROR(VLOOKUP(C181,'Лист4'!D:P,13,0)," ")</f>
        <v>CPA</v>
      </c>
      <c r="E181" s="22" t="str">
        <f>IF(OR(ISERROR(VLOOKUP(C181,'Актуальность'!A:B,2,0)), VLOOKUP(C181,'Актуальность'!A:B,2,0)=""), "Актуальный", VLOOKUP(C181,'Актуальность'!A:B,2,0))</f>
        <v>Актуальный</v>
      </c>
      <c r="F181" s="43" t="str">
        <f>IFERROR(VLOOKUP(C181,'Актуальность'!A:C,3,0)," ")</f>
        <v/>
      </c>
      <c r="G181" s="43"/>
      <c r="H181" s="22" t="s">
        <v>2663</v>
      </c>
      <c r="I181" s="22" t="s">
        <v>2766</v>
      </c>
      <c r="J181" s="43"/>
      <c r="K181" s="43"/>
      <c r="L181" s="22" t="b">
        <f t="shared" ref="L181:R181" si="177">T181&lt;&gt;""</f>
        <v>1</v>
      </c>
      <c r="M181" s="22" t="b">
        <f t="shared" si="177"/>
        <v>1</v>
      </c>
      <c r="N181" s="22" t="b">
        <f t="shared" si="177"/>
        <v>1</v>
      </c>
      <c r="O181" s="22" t="b">
        <f t="shared" si="177"/>
        <v>1</v>
      </c>
      <c r="P181" s="22" t="b">
        <f t="shared" si="177"/>
        <v>0</v>
      </c>
      <c r="Q181" s="22" t="b">
        <f t="shared" si="177"/>
        <v>0</v>
      </c>
      <c r="R181" s="22" t="b">
        <f t="shared" si="177"/>
        <v>0</v>
      </c>
      <c r="S181" s="43"/>
      <c r="T181" s="43" t="str">
        <f>IFERROR(VLOOKUP( C181,'1С'!A:B,2,0)," ")</f>
        <v>CO101100413</v>
      </c>
      <c r="U181" s="22" t="str">
        <f>IFERROR(VLOOKUP(T181,'Лист4'!C:I,3,0)," ")</f>
        <v>insulight</v>
      </c>
      <c r="V181" s="22" t="str">
        <f>IFERROR(VLOOKUP(T181,'Лист4'!C:I,4,0)," ")</f>
        <v>insulight</v>
      </c>
      <c r="W181" s="22" t="str">
        <f>IFERROR(VLOOKUP(T181,'Лист4'!C:I,5,0)," ")</f>
        <v>insulight</v>
      </c>
      <c r="X181" s="43" t="str">
        <f>IFERROR(VLOOKUP(T181,'Лист4'!C:I,7,0)," ")</f>
        <v/>
      </c>
      <c r="Y181" s="43" t="str">
        <f>IFERROR(VLOOKUP(T181,'Лист4'!C:I,6,0)," ")</f>
        <v/>
      </c>
      <c r="Z181" s="43"/>
      <c r="AA181" s="43"/>
      <c r="AB181" s="22">
        <v>1.22988457E8</v>
      </c>
      <c r="AC181" s="22">
        <v>7.51246155E8</v>
      </c>
      <c r="AD181" s="22">
        <v>1.03340898158E11</v>
      </c>
      <c r="AE181" s="22"/>
      <c r="AF181" s="22"/>
      <c r="AG181" s="43"/>
      <c r="AH181" s="43"/>
      <c r="AI181" s="43" t="str">
        <f>IFERROR(VLOOKUP(T181,'1С'!B:C,2,0)," ")</f>
        <v>Пищевая добавка Инсулайт, CPA, 49 г</v>
      </c>
      <c r="AJ181" s="22" t="s">
        <v>2768</v>
      </c>
      <c r="AK181" s="22" t="s">
        <v>2769</v>
      </c>
      <c r="AL181" s="22" t="s">
        <v>2770</v>
      </c>
      <c r="AM181" s="43"/>
      <c r="AN181" s="43"/>
      <c r="AO181" s="43"/>
      <c r="AP181" s="43"/>
      <c r="AQ181" s="46" t="s">
        <v>2771</v>
      </c>
      <c r="AR181" s="46" t="s">
        <v>2772</v>
      </c>
      <c r="AS181" s="46" t="s">
        <v>2773</v>
      </c>
      <c r="AT181" s="43"/>
      <c r="AU181" s="43"/>
      <c r="AV181" s="43"/>
      <c r="AW181" s="43"/>
      <c r="AX181" s="22" t="s">
        <v>649</v>
      </c>
      <c r="AY181" s="22" t="s">
        <v>2769</v>
      </c>
      <c r="AZ181" s="22" t="s">
        <v>372</v>
      </c>
      <c r="BA181" s="43"/>
      <c r="BB181" s="43"/>
      <c r="BC181" s="43"/>
      <c r="BD181" s="43"/>
      <c r="BE181" s="43"/>
      <c r="BF181" s="22" t="str">
        <f>IFERROR(VLOOKUP(C181,'спецификация'!B:D,3,0)," ")</f>
        <v>4631136905189 (4610030635446) новый</v>
      </c>
      <c r="BG181" s="22">
        <v>2.103909009E9</v>
      </c>
      <c r="BH181" s="22" t="str">
        <f>IFERROR(VLOOKUP(C181,'спецификация'!B:AA,5,0)," ")</f>
        <v>ЕАЭС N RU Д-RU.PA07.B.08686/22 от 11.10.2022 до 03.10.2027</v>
      </c>
      <c r="BI181" s="22"/>
      <c r="BJ181" s="22" t="str">
        <f>IFERROR(VLOOKUP(C181,'спецификация'!B:AA,6,0)," ")</f>
        <v/>
      </c>
      <c r="BK181" s="43"/>
      <c r="BL181" s="43"/>
      <c r="BM181" s="22" t="str">
        <f>IFERROR(VLOOKUP(BF181,'спецификация'!D:H,5,0)," ")</f>
        <v>экстракт ананаса, экстракт лайма, экстракт мангустина, экстракт папайи, экстракт маракуйи, экстракт грейпфрута, изомальт (Е953), инулин, ксантановая камедь (Е415), пектин, лимонная кислота (Е330), экстракт козлятника, экстракт створок фасоли, экстракт стевии, экстракт пажитника, ароматизатор пищевой «Экзотик»</v>
      </c>
      <c r="BN181" s="43"/>
      <c r="BO181" s="22" t="str">
        <f>IFERROR(VLOOKUP(C181,'спецификация'!B:AA,10,0)," ")</f>
        <v/>
      </c>
      <c r="BP181" s="43" t="str">
        <f>IFERROR(VLOOKUP(C181,'спецификация'!B:AA,11,0),"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181" s="22" t="str">
        <f>IFERROR(VLOOKUP(C181,'спецификация'!B:AA,12,0)," ")</f>
        <v>хранить при температуре до 25°C, избегая попадания прямых солнечных лучей.
</v>
      </c>
      <c r="BR181" s="22">
        <v>49.0</v>
      </c>
      <c r="BS181" s="22" t="s">
        <v>580</v>
      </c>
      <c r="BT181" s="22"/>
      <c r="BU181" s="22"/>
      <c r="BV181" s="22"/>
      <c r="BW181" s="44" t="str">
        <f>IFERROR(VLOOKUP(C181,'спецификация'!B:AA,16,0)," ")</f>
        <v>https://drive.google.com/drive/folders/1G6lo-kRQyNnSfgoEJ22qCpQnbf6KBdD7</v>
      </c>
      <c r="BX181" s="43"/>
      <c r="BY181" s="43"/>
      <c r="BZ181" s="45" t="str">
        <f>IFERROR(VLOOKUP(BF181,'спецификация'!D:Y,22,0)," ")</f>
        <v/>
      </c>
      <c r="CA181" s="43"/>
      <c r="CB181" s="43"/>
      <c r="CC181" s="43"/>
      <c r="CD181" s="43"/>
      <c r="CE181" s="43"/>
      <c r="CF181" s="43"/>
      <c r="CG181" s="49">
        <f>IFERROR(VLOOKUP(C181,CC!A:D,4,0)," ")</f>
        <v>143.37</v>
      </c>
      <c r="CH181" s="22" t="str">
        <f>IFERROR(VLOOKUP(C181,'спецификация'!B:AA,19,0)," ")</f>
        <v>ООО «НУТРАФАРМ», 129626, г. Москва, Муниципальный округ Алексеевский, ул. 1-ая Мытищинская, дом 3, строение 1, этаж 3, каб. 306, ком. 5А</v>
      </c>
      <c r="CI181" s="22"/>
      <c r="CJ181" s="43"/>
      <c r="CK181" s="22">
        <f>IFERROR(VLOOKUP(C181,CC!K:M,3,0)," ")</f>
        <v>45</v>
      </c>
      <c r="CL181" s="43"/>
      <c r="CM181" s="43"/>
      <c r="CN181" s="43"/>
      <c r="CO181" s="43"/>
      <c r="CP181" s="43"/>
      <c r="CQ181" s="43"/>
      <c r="CR181" s="43"/>
      <c r="CS181" s="43" t="b">
        <v>0</v>
      </c>
      <c r="CT181" s="43" t="b">
        <v>0</v>
      </c>
      <c r="CU181" s="43" t="b">
        <v>0</v>
      </c>
      <c r="CV181" s="43" t="b">
        <v>0</v>
      </c>
      <c r="CW181" s="43"/>
      <c r="CX181" s="43"/>
      <c r="CY181" s="43"/>
      <c r="CZ181" s="43"/>
      <c r="DA181" s="43"/>
      <c r="DB181" s="43"/>
      <c r="DC181" s="43"/>
      <c r="DD181" s="22">
        <f>IFERROR(VLOOKUP($C181,'Лист4'!$D:$AI,27,0)," ")</f>
        <v>10</v>
      </c>
      <c r="DE181" s="22">
        <f>IFERROR(VLOOKUP($C181,'Лист4'!$D:$AI,28,0)," ")</f>
        <v>7</v>
      </c>
      <c r="DF181" s="22">
        <f>IFERROR(VLOOKUP($C181,'Лист4'!$D:$AI,29,0)," ")</f>
        <v>10</v>
      </c>
      <c r="DG181" s="22">
        <f t="shared" si="3"/>
        <v>700</v>
      </c>
      <c r="DH181" s="22">
        <f>IFERROR(VLOOKUP($C181,'Лист4'!$D:$AI,32,0)," ")</f>
        <v>0.08</v>
      </c>
      <c r="DI181" s="22"/>
      <c r="DJ181" s="22"/>
      <c r="DK181" s="22"/>
      <c r="DL181" s="22"/>
      <c r="DM181" s="22"/>
      <c r="DN181" s="22"/>
      <c r="DO181" s="22"/>
      <c r="DP181" s="22"/>
      <c r="DQ181" s="22"/>
      <c r="DR181" s="22"/>
      <c r="DS181" s="22"/>
      <c r="DT181" s="22"/>
      <c r="DU181" s="22"/>
      <c r="DV181" s="22"/>
      <c r="DW181" s="22"/>
      <c r="DX181" s="22"/>
      <c r="DY181" s="22"/>
      <c r="DZ181" s="22"/>
      <c r="EA181" s="22"/>
      <c r="EB181" s="22"/>
      <c r="EC181" s="22"/>
      <c r="ED181" s="22"/>
      <c r="EE181" s="22"/>
      <c r="EF181" s="22"/>
      <c r="EG181" s="22"/>
      <c r="EH181" s="22"/>
      <c r="EI181" s="22"/>
      <c r="EJ181" s="22"/>
      <c r="EK181" s="22"/>
      <c r="EL181" s="22"/>
      <c r="EM181" s="43"/>
      <c r="EN181" s="43"/>
      <c r="EO181" s="43"/>
      <c r="EP181" s="43"/>
      <c r="EQ181" s="43"/>
      <c r="ER181" s="43"/>
      <c r="ES181" s="43"/>
      <c r="ET181" s="43"/>
      <c r="EU181" s="43"/>
      <c r="EV181" s="43"/>
      <c r="EW181" s="43"/>
      <c r="EX181" s="43"/>
      <c r="EY181" s="43"/>
      <c r="EZ181" s="43"/>
      <c r="FA181" s="43"/>
      <c r="FB181" s="43"/>
      <c r="FC181" s="43"/>
    </row>
    <row r="182" ht="18.0" customHeight="1">
      <c r="A182" s="2"/>
      <c r="B182" s="22" t="str">
        <f>IFERROR(VLOOKUP(C182,'Реестр'!C:AC,27,0)," ")</f>
        <v>Смарт-Сэйл</v>
      </c>
      <c r="C182" s="43" t="s">
        <v>2781</v>
      </c>
      <c r="D182" s="22" t="str">
        <f>IFERROR(VLOOKUP(C182,'Лист4'!D:P,13,0)," ")</f>
        <v>Алтея</v>
      </c>
      <c r="E182" s="22" t="str">
        <f>IF(OR(ISERROR(VLOOKUP(C182,'Актуальность'!A:B,2,0)), VLOOKUP(C182,'Актуальность'!A:B,2,0)=""), "Актуальный", VLOOKUP(C182,'Актуальность'!A:B,2,0))</f>
        <v>Актуальный</v>
      </c>
      <c r="F182" s="43" t="str">
        <f>IFERROR(VLOOKUP(C182,'Актуальность'!A:C,3,0)," ")</f>
        <v/>
      </c>
      <c r="G182" s="43"/>
      <c r="H182" s="22" t="s">
        <v>2743</v>
      </c>
      <c r="I182" s="22" t="s">
        <v>2783</v>
      </c>
      <c r="J182" s="43"/>
      <c r="K182" s="43"/>
      <c r="L182" s="22" t="b">
        <f t="shared" ref="L182:R182" si="178">T182&lt;&gt;""</f>
        <v>1</v>
      </c>
      <c r="M182" s="22" t="b">
        <f t="shared" si="178"/>
        <v>1</v>
      </c>
      <c r="N182" s="22" t="b">
        <f t="shared" si="178"/>
        <v>1</v>
      </c>
      <c r="O182" s="22" t="b">
        <f t="shared" si="178"/>
        <v>1</v>
      </c>
      <c r="P182" s="22" t="b">
        <f t="shared" si="178"/>
        <v>1</v>
      </c>
      <c r="Q182" s="22" t="b">
        <f t="shared" si="178"/>
        <v>1</v>
      </c>
      <c r="R182" s="22" t="b">
        <f t="shared" si="178"/>
        <v>1</v>
      </c>
      <c r="S182" s="43"/>
      <c r="T182" s="43" t="str">
        <f>IFERROR(VLOOKUP( C182,'1С'!A:B,2,0)," ")</f>
        <v>AC101100405</v>
      </c>
      <c r="U182" s="22" t="str">
        <f>IFERROR(VLOOKUP(T182,'Лист4'!C:I,3,0)," ")</f>
        <v>nabor_remuver_kremovii</v>
      </c>
      <c r="V182" s="22" t="str">
        <f>IFERROR(VLOOKUP(T182,'Лист4'!C:I,4,0)," ")</f>
        <v>nabor_remuver_kremovii</v>
      </c>
      <c r="W182" s="22" t="str">
        <f>IFERROR(VLOOKUP(T182,'Лист4'!C:I,5,0)," ")</f>
        <v>nabor_remuver_kremovii</v>
      </c>
      <c r="X182" s="43" t="str">
        <f>IFERROR(VLOOKUP(T182,'Лист4'!C:I,7,0)," ")</f>
        <v>nabor_remuver_kremovii</v>
      </c>
      <c r="Y182" s="43" t="str">
        <f>IFERROR(VLOOKUP(T182,'Лист4'!C:I,6,0)," ")</f>
        <v>nabor_remuver_kremovii</v>
      </c>
      <c r="Z182" s="22" t="s">
        <v>2781</v>
      </c>
      <c r="AA182" s="43"/>
      <c r="AB182" s="22">
        <v>2.51796954E8</v>
      </c>
      <c r="AC182" s="22">
        <v>1.657229241E9</v>
      </c>
      <c r="AD182" s="22">
        <v>1.0370155589E11</v>
      </c>
      <c r="AE182" s="22"/>
      <c r="AF182" s="22" t="s">
        <v>2785</v>
      </c>
      <c r="AG182" s="22" t="s">
        <v>2786</v>
      </c>
      <c r="AH182" s="43"/>
      <c r="AI182" s="43" t="str">
        <f>IFERROR(VLOOKUP(T182,'1С'!B:C,2,0)," ")</f>
        <v>Ремувер для нарощенных ресниц, Алтея, 18 г</v>
      </c>
      <c r="AJ182" s="22" t="s">
        <v>2787</v>
      </c>
      <c r="AK182" s="22" t="s">
        <v>2788</v>
      </c>
      <c r="AL182" s="22" t="s">
        <v>2789</v>
      </c>
      <c r="AM182" s="43"/>
      <c r="AN182" s="22" t="s">
        <v>2790</v>
      </c>
      <c r="AO182" s="22" t="s">
        <v>2791</v>
      </c>
      <c r="AP182" s="43"/>
      <c r="AQ182" s="46" t="s">
        <v>2792</v>
      </c>
      <c r="AR182" s="46" t="s">
        <v>2793</v>
      </c>
      <c r="AS182" s="46" t="s">
        <v>2794</v>
      </c>
      <c r="AT182" s="43"/>
      <c r="AU182" s="46" t="s">
        <v>2795</v>
      </c>
      <c r="AV182" s="46" t="s">
        <v>2796</v>
      </c>
      <c r="AW182" s="43"/>
      <c r="AX182" s="22" t="s">
        <v>2797</v>
      </c>
      <c r="AY182" s="22" t="s">
        <v>2788</v>
      </c>
      <c r="AZ182" s="22" t="s">
        <v>2798</v>
      </c>
      <c r="BA182" s="22"/>
      <c r="BB182" s="22" t="s">
        <v>2799</v>
      </c>
      <c r="BC182" s="22" t="s">
        <v>2800</v>
      </c>
      <c r="BD182" s="43"/>
      <c r="BE182" s="43"/>
      <c r="BF182" s="61" t="s">
        <v>1943</v>
      </c>
      <c r="BG182" s="22">
        <v>3.30499E9</v>
      </c>
      <c r="BH182" s="22" t="str">
        <f>IFERROR(VLOOKUP(C182,'спецификация'!B:AA,5,0)," ")</f>
        <v> </v>
      </c>
      <c r="BI182" s="22"/>
      <c r="BJ182" s="22" t="str">
        <f>IFERROR(VLOOKUP(C182,'спецификация'!B:AA,6,0)," ")</f>
        <v> </v>
      </c>
      <c r="BK182" s="43"/>
      <c r="BL182" s="43"/>
      <c r="BM182" s="22" t="str">
        <f>IFERROR(VLOOKUP(BF182,'спецификация'!D:H,5,0)," ")</f>
        <v>Aqua, Salicylic acid, Azelaic acid, Nicotinamide, Isopentyldiol, Pentylene Glycol, Propylene glycol, Sodium alginate, Xanthan Gum, Phenoxyethanol, Ethylhexylglycerin, Triethanolamine. </v>
      </c>
      <c r="BN182" s="43"/>
      <c r="BO182" s="22" t="str">
        <f>IFERROR(VLOOKUP(C182,'спецификация'!B:AA,10,0)," ")</f>
        <v> </v>
      </c>
      <c r="BP182" s="43" t="str">
        <f>IFERROR(VLOOKUP(C182,'спецификация'!B:AA,11,0)," ")</f>
        <v> </v>
      </c>
      <c r="BQ182" s="22" t="str">
        <f>IFERROR(VLOOKUP(C182,'спецификация'!B:AA,12,0)," ")</f>
        <v> </v>
      </c>
      <c r="BR182" s="22"/>
      <c r="BS182" s="43"/>
      <c r="BT182" s="43"/>
      <c r="BU182" s="22"/>
      <c r="BV182" s="22" t="s">
        <v>401</v>
      </c>
      <c r="BW182" s="45" t="str">
        <f>IFERROR(VLOOKUP(C182,'спецификация'!B:AA,16,0)," ")</f>
        <v> </v>
      </c>
      <c r="BX182" s="43"/>
      <c r="BY182" s="43"/>
      <c r="BZ182" s="44" t="str">
        <f>IFERROR(VLOOKUP(BF182,'спецификация'!D:Y,22,0)," ")</f>
        <v>https://drive.google.com/drive/u/0/folders/14KmE9g7VNzP-n3I9kbp2DWvNX98jU4Ee</v>
      </c>
      <c r="CA182" s="43"/>
      <c r="CB182" s="43"/>
      <c r="CC182" s="43"/>
      <c r="CD182" s="43"/>
      <c r="CE182" s="43"/>
      <c r="CF182" s="43"/>
      <c r="CG182" s="49">
        <f>IFERROR(VLOOKUP(C182,CC!A:D,4,0)," ")</f>
        <v>99.63</v>
      </c>
      <c r="CH182" s="22" t="str">
        <f>IFERROR(VLOOKUP(C182,'спецификация'!B:AA,19,0)," ")</f>
        <v> </v>
      </c>
      <c r="CI182" s="22"/>
      <c r="CJ182" s="43"/>
      <c r="CK182" s="22">
        <f>IFERROR(VLOOKUP(C182,CC!K:M,3,0)," ")</f>
        <v>60</v>
      </c>
      <c r="CL182" s="43"/>
      <c r="CM182" s="43"/>
      <c r="CN182" s="43"/>
      <c r="CO182" s="43"/>
      <c r="CP182" s="43"/>
      <c r="CQ182" s="43"/>
      <c r="CR182" s="43"/>
      <c r="CS182" s="43" t="b">
        <v>0</v>
      </c>
      <c r="CT182" s="43" t="b">
        <v>0</v>
      </c>
      <c r="CU182" s="43" t="b">
        <v>0</v>
      </c>
      <c r="CV182" s="43" t="b">
        <v>0</v>
      </c>
      <c r="CW182" s="43"/>
      <c r="CX182" s="43"/>
      <c r="CY182" s="43"/>
      <c r="CZ182" s="43"/>
      <c r="DA182" s="43"/>
      <c r="DB182" s="43"/>
      <c r="DC182" s="43"/>
      <c r="DD182" s="22">
        <f>IFERROR(VLOOKUP($C182,'Лист4'!$D:$AI,27,0)," ")</f>
        <v>15</v>
      </c>
      <c r="DE182" s="22">
        <f>IFERROR(VLOOKUP($C182,'Лист4'!$D:$AI,28,0)," ")</f>
        <v>6</v>
      </c>
      <c r="DF182" s="22">
        <f>IFERROR(VLOOKUP($C182,'Лист4'!$D:$AI,29,0)," ")</f>
        <v>15</v>
      </c>
      <c r="DG182" s="22">
        <f t="shared" si="3"/>
        <v>1350</v>
      </c>
      <c r="DH182" s="22">
        <f>IFERROR(VLOOKUP($C182,'Лист4'!$D:$AI,32,0)," ")</f>
        <v>0.062</v>
      </c>
      <c r="DI182" s="22"/>
      <c r="DJ182" s="22"/>
      <c r="DK182" s="22"/>
      <c r="DL182" s="22"/>
      <c r="DM182" s="22"/>
      <c r="DN182" s="22"/>
      <c r="DO182" s="22"/>
      <c r="DP182" s="22"/>
      <c r="DQ182" s="22"/>
      <c r="DR182" s="22"/>
      <c r="DS182" s="22"/>
      <c r="DT182" s="22"/>
      <c r="DU182" s="22"/>
      <c r="DV182" s="22"/>
      <c r="DW182" s="22"/>
      <c r="DX182" s="22"/>
      <c r="DY182" s="22"/>
      <c r="DZ182" s="22"/>
      <c r="EA182" s="22"/>
      <c r="EB182" s="22"/>
      <c r="EC182" s="22"/>
      <c r="ED182" s="22"/>
      <c r="EE182" s="22"/>
      <c r="EF182" s="22"/>
      <c r="EG182" s="22"/>
      <c r="EH182" s="22"/>
      <c r="EI182" s="22"/>
      <c r="EJ182" s="22"/>
      <c r="EK182" s="22"/>
      <c r="EL182" s="22"/>
      <c r="EM182" s="43"/>
      <c r="EN182" s="43"/>
      <c r="EO182" s="43"/>
      <c r="EP182" s="43"/>
      <c r="EQ182" s="43"/>
      <c r="ER182" s="43"/>
      <c r="ES182" s="43"/>
      <c r="ET182" s="43"/>
      <c r="EU182" s="43"/>
      <c r="EV182" s="43"/>
      <c r="EW182" s="43"/>
      <c r="EX182" s="43"/>
      <c r="EY182" s="43"/>
      <c r="EZ182" s="43"/>
      <c r="FA182" s="43"/>
      <c r="FB182" s="43"/>
      <c r="FC182" s="43"/>
    </row>
    <row r="183" ht="18.0" customHeight="1">
      <c r="A183" s="2"/>
      <c r="B183" s="22" t="str">
        <f>IFERROR(VLOOKUP(C183,'Реестр'!C:AC,27,0)," ")</f>
        <v>Смарт-Сэйл</v>
      </c>
      <c r="C183" s="43" t="s">
        <v>2810</v>
      </c>
      <c r="D183" s="22" t="str">
        <f>IFERROR(VLOOKUP(C183,'Лист4'!D:P,13,0)," ")</f>
        <v>Алтея</v>
      </c>
      <c r="E183" s="22" t="str">
        <f>IF(OR(ISERROR(VLOOKUP(C183,'Актуальность'!A:B,2,0)), VLOOKUP(C183,'Актуальность'!A:B,2,0)=""), "Актуальный", VLOOKUP(C183,'Актуальность'!A:B,2,0))</f>
        <v>Актуальный</v>
      </c>
      <c r="F183" s="43" t="str">
        <f>IFERROR(VLOOKUP(C183,'Актуальность'!A:C,3,0)," ")</f>
        <v/>
      </c>
      <c r="G183" s="43"/>
      <c r="H183" s="22" t="s">
        <v>2743</v>
      </c>
      <c r="I183" s="22" t="s">
        <v>287</v>
      </c>
      <c r="J183" s="43"/>
      <c r="K183" s="43"/>
      <c r="L183" s="22" t="b">
        <f t="shared" ref="L183:R183" si="179">T183&lt;&gt;""</f>
        <v>1</v>
      </c>
      <c r="M183" s="22" t="b">
        <f t="shared" si="179"/>
        <v>1</v>
      </c>
      <c r="N183" s="22" t="b">
        <f t="shared" si="179"/>
        <v>1</v>
      </c>
      <c r="O183" s="22" t="b">
        <f t="shared" si="179"/>
        <v>1</v>
      </c>
      <c r="P183" s="22" t="b">
        <f t="shared" si="179"/>
        <v>1</v>
      </c>
      <c r="Q183" s="22" t="b">
        <f t="shared" si="179"/>
        <v>1</v>
      </c>
      <c r="R183" s="22" t="b">
        <f t="shared" si="179"/>
        <v>0</v>
      </c>
      <c r="S183" s="43"/>
      <c r="T183" s="43" t="str">
        <f>IFERROR(VLOOKUP( C183,'1С'!A:B,2,0)," ")</f>
        <v>AC101100407</v>
      </c>
      <c r="U183" s="22" t="str">
        <f>IFERROR(VLOOKUP(T183,'Лист4'!C:I,3,0)," ")</f>
        <v>shampun_dlya_rosta_250ml</v>
      </c>
      <c r="V183" s="22" t="str">
        <f>IFERROR(VLOOKUP(T183,'Лист4'!C:I,4,0)," ")</f>
        <v>shampun_dlya_rosta_250ml</v>
      </c>
      <c r="W183" s="22" t="str">
        <f>IFERROR(VLOOKUP(T183,'Лист4'!C:I,5,0)," ")</f>
        <v>shampun_dlya_rosta_250ml</v>
      </c>
      <c r="X183" s="43" t="str">
        <f>IFERROR(VLOOKUP(T183,'Лист4'!C:I,7,0)," ")</f>
        <v>shampun_dlya_rosta_250ml</v>
      </c>
      <c r="Y183" s="43" t="str">
        <f>IFERROR(VLOOKUP(T183,'Лист4'!C:I,6,0)," ")</f>
        <v>shampun_dlya_rosta_250ml</v>
      </c>
      <c r="Z183" s="43"/>
      <c r="AA183" s="43"/>
      <c r="AB183" s="22">
        <v>2.14976664E8</v>
      </c>
      <c r="AC183" s="22">
        <v>1.500240551E9</v>
      </c>
      <c r="AD183" s="22">
        <v>1.03515586487E11</v>
      </c>
      <c r="AE183" s="22">
        <v>9.9000076213E10</v>
      </c>
      <c r="AF183" s="22" t="s">
        <v>2813</v>
      </c>
      <c r="AG183" s="43"/>
      <c r="AH183" s="43"/>
      <c r="AI183" s="43" t="str">
        <f>IFERROR(VLOOKUP(T183,'1С'!B:C,2,0)," ")</f>
        <v>Шампунь для роста волос, Алтея, 250 мл</v>
      </c>
      <c r="AJ183" s="22" t="s">
        <v>2814</v>
      </c>
      <c r="AK183" s="22" t="s">
        <v>2815</v>
      </c>
      <c r="AL183" s="22" t="s">
        <v>2816</v>
      </c>
      <c r="AM183" s="22" t="s">
        <v>2817</v>
      </c>
      <c r="AN183" s="22" t="s">
        <v>2818</v>
      </c>
      <c r="AO183" s="43"/>
      <c r="AP183" s="43"/>
      <c r="AQ183" s="46" t="s">
        <v>2819</v>
      </c>
      <c r="AR183" s="46" t="s">
        <v>2820</v>
      </c>
      <c r="AS183" s="46" t="s">
        <v>2821</v>
      </c>
      <c r="AT183" s="46" t="s">
        <v>2822</v>
      </c>
      <c r="AU183" s="46" t="s">
        <v>2823</v>
      </c>
      <c r="AV183" s="43"/>
      <c r="AW183" s="43"/>
      <c r="AX183" s="22" t="s">
        <v>2824</v>
      </c>
      <c r="AY183" s="22" t="s">
        <v>2815</v>
      </c>
      <c r="AZ183" s="22" t="s">
        <v>2825</v>
      </c>
      <c r="BA183" s="22" t="s">
        <v>2826</v>
      </c>
      <c r="BB183" s="22" t="s">
        <v>2827</v>
      </c>
      <c r="BC183" s="43"/>
      <c r="BD183" s="43"/>
      <c r="BE183" s="43"/>
      <c r="BF183" s="22">
        <f>IFERROR(VLOOKUP(C183,'спецификация'!B:D,3,0)," ")</f>
        <v>4670020496747</v>
      </c>
      <c r="BG183" s="22">
        <v>3.3051E9</v>
      </c>
      <c r="BH183" s="22" t="str">
        <f>IFERROR(VLOOKUP(C183,'спецификация'!B:AA,5,0)," ")</f>
        <v/>
      </c>
      <c r="BI183" s="22"/>
      <c r="BJ183" s="22" t="str">
        <f>IFERROR(VLOOKUP(C183,'спецификация'!B:AA,6,0)," ")</f>
        <v>нет</v>
      </c>
      <c r="BK183" s="43"/>
      <c r="BL183" s="43"/>
      <c r="BM183" s="22" t="str">
        <f>IFERROR(VLOOKUP(BF183,'спецификация'!D:H,5,0)," ")</f>
        <v>Aqua, Sodium Laureth Sulfate, Cocamidopropyl Betaine, Sodium Chloride, Cocamide DEA, Polyquaternium-7, Propylene Glycol, Urtica Dioica Leaf Extract, Arctium Lappa Root Extract, Pinus Sylvestric Leaf Extract, Capsicum Annuum Fruit Extract, Polyquaternium-10, PEG-7 Glyceryl Cocoate, PEG-12 Dimethicone, Salvia Officinalis Leaf Extract, Humulus Lupulus Extract, Ethylene Glycol Distearate (And) Ethoxylated Fatty Alcohols C12-C14, Parfum, Citric Acid, Panthenol, Glycerin, PEG-40 Hydroge- nated Castor Oil, Oenothera Biennis Oil, Retinyl Palmitate, Tocopheryl Acetate, 2-Phenoxyethanol, Benzoic Acid, Dehydroacetic Acid, Methylchloroisothi- azolinone, Methylisothiazolinone, Potassium Sorbate, Sodium Benzoate.</v>
      </c>
      <c r="BN183" s="43"/>
      <c r="BO183" s="22" t="str">
        <f>IFERROR(VLOOKUP(C183,'спецификация'!B:AA,10,0)," ")</f>
        <v>небольшое количество шампуня нанести на влажные волосы, массирующими движениями добиться образования обильной пены, ополоснуть теплой водой.</v>
      </c>
      <c r="BP183" s="43" t="str">
        <f>IFERROR(VLOOKUP(C183,'спецификация'!B:AA,11,0)," ")</f>
        <v>индивидуальная непереносимость ингредиентов.</v>
      </c>
      <c r="BQ183" s="22" t="str">
        <f>IFERROR(VLOOKUP(C183,'спецификация'!B:AA,12,0)," ")</f>
        <v>хранить при температуре не ниже 0ºС и не выше 25ºС</v>
      </c>
      <c r="BR183" s="22">
        <v>250.0</v>
      </c>
      <c r="BS183" s="22" t="s">
        <v>139</v>
      </c>
      <c r="BT183" s="22"/>
      <c r="BU183" s="22"/>
      <c r="BV183" s="22" t="s">
        <v>307</v>
      </c>
      <c r="BW183" s="44" t="str">
        <f>IFERROR(VLOOKUP(C183,'спецификация'!B:AA,16,0)," ")</f>
        <v>https://docs.google.com/document/d/10tb2S4yLd5aaBfcyTzt_9TFm4PsY0gSc/edit?usp=drive_web&amp;ouid=104241417680089502627&amp;rtpof=true</v>
      </c>
      <c r="BX183" s="43"/>
      <c r="BY183" s="43"/>
      <c r="BZ183" s="45" t="str">
        <f>IFERROR(VLOOKUP(BF183,'спецификация'!D:Y,22,0)," ")</f>
        <v/>
      </c>
      <c r="CA183" s="43"/>
      <c r="CB183" s="43"/>
      <c r="CC183" s="43"/>
      <c r="CD183" s="43"/>
      <c r="CE183" s="43"/>
      <c r="CF183" s="43"/>
      <c r="CG183" s="49">
        <f>IFERROR(VLOOKUP(C183,CC!A:D,4,0)," ")</f>
        <v>114.94</v>
      </c>
      <c r="CH183" s="22" t="str">
        <f>IFERROR(VLOOKUP(C183,'спецификация'!B:AA,19,0)," ")</f>
        <v>ООО "Алтэя"</v>
      </c>
      <c r="CI183" s="22"/>
      <c r="CJ183" s="22" t="s">
        <v>2835</v>
      </c>
      <c r="CK183" s="22">
        <f>IFERROR(VLOOKUP(C183,CC!K:M,3,0)," ")</f>
        <v>90</v>
      </c>
      <c r="CL183" s="43"/>
      <c r="CM183" s="43"/>
      <c r="CN183" s="43"/>
      <c r="CO183" s="43"/>
      <c r="CP183" s="43"/>
      <c r="CQ183" s="43"/>
      <c r="CR183" s="43"/>
      <c r="CS183" s="43" t="b">
        <v>0</v>
      </c>
      <c r="CT183" s="43" t="b">
        <v>0</v>
      </c>
      <c r="CU183" s="43" t="b">
        <v>0</v>
      </c>
      <c r="CV183" s="43" t="b">
        <v>0</v>
      </c>
      <c r="CW183" s="43"/>
      <c r="CX183" s="43"/>
      <c r="CY183" s="43"/>
      <c r="CZ183" s="43"/>
      <c r="DA183" s="43"/>
      <c r="DB183" s="43"/>
      <c r="DC183" s="43"/>
      <c r="DD183" s="22">
        <f>IFERROR(VLOOKUP($C183,'Лист4'!$D:$AI,27,0)," ")</f>
        <v>5</v>
      </c>
      <c r="DE183" s="22">
        <f>IFERROR(VLOOKUP($C183,'Лист4'!$D:$AI,28,0)," ")</f>
        <v>5</v>
      </c>
      <c r="DF183" s="22">
        <f>IFERROR(VLOOKUP($C183,'Лист4'!$D:$AI,29,0)," ")</f>
        <v>5</v>
      </c>
      <c r="DG183" s="22">
        <f t="shared" si="3"/>
        <v>125</v>
      </c>
      <c r="DH183" s="22">
        <f>IFERROR(VLOOKUP($C183,'Лист4'!$D:$AI,32,0)," ")</f>
        <v>0.295</v>
      </c>
      <c r="DI183" s="22"/>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2"/>
      <c r="EF183" s="22"/>
      <c r="EG183" s="22"/>
      <c r="EH183" s="22"/>
      <c r="EI183" s="22"/>
      <c r="EJ183" s="22"/>
      <c r="EK183" s="22"/>
      <c r="EL183" s="22"/>
      <c r="EM183" s="43"/>
      <c r="EN183" s="43"/>
      <c r="EO183" s="43"/>
      <c r="EP183" s="43"/>
      <c r="EQ183" s="43"/>
      <c r="ER183" s="43"/>
      <c r="ES183" s="43"/>
      <c r="ET183" s="43"/>
      <c r="EU183" s="43"/>
      <c r="EV183" s="43"/>
      <c r="EW183" s="43"/>
      <c r="EX183" s="43"/>
      <c r="EY183" s="43"/>
      <c r="EZ183" s="43"/>
      <c r="FA183" s="43"/>
      <c r="FB183" s="43"/>
      <c r="FC183" s="43"/>
    </row>
    <row r="184" ht="18.0" customHeight="1">
      <c r="A184" s="2"/>
      <c r="B184" s="22" t="str">
        <f>IFERROR(VLOOKUP(C184,'Реестр'!C:AC,27,0)," ")</f>
        <v>Смарт-Сэйл</v>
      </c>
      <c r="C184" s="43" t="s">
        <v>2836</v>
      </c>
      <c r="D184" s="22" t="str">
        <f>IFERROR(VLOOKUP(C184,'Лист4'!D:P,13,0)," ")</f>
        <v>Алтея</v>
      </c>
      <c r="E184" s="22" t="str">
        <f>IF(OR(ISERROR(VLOOKUP(C184,'Актуальность'!A:B,2,0)), VLOOKUP(C184,'Актуальность'!A:B,2,0)=""), "Актуальный", VLOOKUP(C184,'Актуальность'!A:B,2,0))</f>
        <v>Актуальный</v>
      </c>
      <c r="F184" s="43" t="str">
        <f>IFERROR(VLOOKUP(C184,'Актуальность'!A:C,3,0)," ")</f>
        <v/>
      </c>
      <c r="G184" s="43"/>
      <c r="H184" s="22" t="s">
        <v>2743</v>
      </c>
      <c r="I184" s="22" t="s">
        <v>565</v>
      </c>
      <c r="J184" s="43"/>
      <c r="K184" s="43"/>
      <c r="L184" s="22" t="b">
        <f t="shared" ref="L184:R184" si="180">T184&lt;&gt;""</f>
        <v>1</v>
      </c>
      <c r="M184" s="22" t="b">
        <f t="shared" si="180"/>
        <v>1</v>
      </c>
      <c r="N184" s="22" t="b">
        <f t="shared" si="180"/>
        <v>1</v>
      </c>
      <c r="O184" s="22" t="b">
        <f t="shared" si="180"/>
        <v>1</v>
      </c>
      <c r="P184" s="22" t="b">
        <f t="shared" si="180"/>
        <v>1</v>
      </c>
      <c r="Q184" s="22" t="b">
        <f t="shared" si="180"/>
        <v>1</v>
      </c>
      <c r="R184" s="22" t="b">
        <f t="shared" si="180"/>
        <v>0</v>
      </c>
      <c r="S184" s="43"/>
      <c r="T184" s="43" t="str">
        <f>IFERROR(VLOOKUP( C184,'1С'!A:B,2,0)," ")</f>
        <v>AC101100432</v>
      </c>
      <c r="U184" s="22" t="str">
        <f>IFERROR(VLOOKUP(T184,'Лист4'!C:I,3,0)," ")</f>
        <v>syvorotka_dlya_lica_30ml</v>
      </c>
      <c r="V184" s="22" t="str">
        <f>IFERROR(VLOOKUP(T184,'Лист4'!C:I,4,0)," ")</f>
        <v>syvorotka_dlya_lica_30ml</v>
      </c>
      <c r="W184" s="22" t="str">
        <f>IFERROR(VLOOKUP(T184,'Лист4'!C:I,5,0)," ")</f>
        <v>syvorotka_dlya_lica_30ml</v>
      </c>
      <c r="X184" s="43" t="str">
        <f>IFERROR(VLOOKUP(T184,'Лист4'!C:I,7,0)," ")</f>
        <v>syvorotka_dlya_lica_30ml</v>
      </c>
      <c r="Y184" s="43" t="str">
        <f>IFERROR(VLOOKUP(T184,'Лист4'!C:I,6,0)," ")</f>
        <v>syvorotka_dlya_lica_30ml</v>
      </c>
      <c r="Z184" s="43"/>
      <c r="AA184" s="43"/>
      <c r="AB184" s="22">
        <v>2.39888358E8</v>
      </c>
      <c r="AC184" s="22">
        <v>1.613771317E9</v>
      </c>
      <c r="AD184" s="22">
        <v>1.03821874314E11</v>
      </c>
      <c r="AE184" s="22">
        <v>9.9000076203E10</v>
      </c>
      <c r="AF184" s="22" t="s">
        <v>2839</v>
      </c>
      <c r="AG184" s="43"/>
      <c r="AH184" s="43"/>
      <c r="AI184" s="43" t="str">
        <f>IFERROR(VLOOKUP(T184,'1С'!B:C,2,0)," ")</f>
        <v>Сыворотка с ниацинамидом для лица, Алтея, 30 мл</v>
      </c>
      <c r="AJ184" s="22" t="s">
        <v>2840</v>
      </c>
      <c r="AK184" s="22" t="s">
        <v>2841</v>
      </c>
      <c r="AL184" s="22" t="s">
        <v>2842</v>
      </c>
      <c r="AM184" s="22" t="s">
        <v>2843</v>
      </c>
      <c r="AN184" s="22" t="s">
        <v>2844</v>
      </c>
      <c r="AO184" s="43"/>
      <c r="AP184" s="43"/>
      <c r="AQ184" s="46" t="s">
        <v>2845</v>
      </c>
      <c r="AR184" s="46" t="s">
        <v>2846</v>
      </c>
      <c r="AS184" s="43"/>
      <c r="AT184" s="46" t="s">
        <v>2847</v>
      </c>
      <c r="AU184" s="46" t="s">
        <v>2848</v>
      </c>
      <c r="AV184" s="43"/>
      <c r="AW184" s="43"/>
      <c r="AX184" s="22" t="s">
        <v>325</v>
      </c>
      <c r="AY184" s="22" t="s">
        <v>2841</v>
      </c>
      <c r="AZ184" s="22" t="s">
        <v>2849</v>
      </c>
      <c r="BA184" s="22" t="s">
        <v>1447</v>
      </c>
      <c r="BB184" s="22" t="s">
        <v>2850</v>
      </c>
      <c r="BC184" s="43"/>
      <c r="BD184" s="43"/>
      <c r="BE184" s="43"/>
      <c r="BF184" s="22">
        <f>IFERROR(VLOOKUP(C184,'спецификация'!B:D,3,0)," ")</f>
        <v>4670020497034</v>
      </c>
      <c r="BG184" s="22"/>
      <c r="BH184" s="22" t="str">
        <f>IFERROR(VLOOKUP(C184,'спецификация'!B:AA,5,0)," ")</f>
        <v/>
      </c>
      <c r="BI184" s="22"/>
      <c r="BJ184" s="22" t="str">
        <f>IFERROR(VLOOKUP(C184,'спецификация'!B:AA,6,0)," ")</f>
        <v>нет</v>
      </c>
      <c r="BK184" s="43"/>
      <c r="BL184" s="43"/>
      <c r="BM184" s="22" t="str">
        <f>IFERROR(VLOOKUP(BF184,'спецификация'!D:H,5,0)," ")</f>
        <v>Aqua, Niacinamide, Divinyldimethicone/Dimethicone Copolymer and C12-13 Pareth-23 and C12-13 Pareth-3, Glycerin, Menyanther trifoliate Еxtract, Butylene Glycol
Saccharide Isomerate, Palmaria palmate extract, Dictyopteris membranacea Extract, Peg -40 Hydrogenated Castor Oil, Boron Nitride, Sodium PCA, Glucose, Urea, Glutamic Acid, Lysine, Allantoin, Lactic Acid, Potassium Sorbate, Sodium Benzoate, Gluconolactone, Calcium gluconate, Parfum, Phenoxyethanol, Ethylhexylglycerin, Triethanolamine, Carbomer, Benzyl Benzoate, Hexyl Cinnamal, Citronellol, Hydroxycitronellal, Linalool, alpha-iso-Methylionone .
</v>
      </c>
      <c r="BN184" s="43"/>
      <c r="BO184" s="22" t="str">
        <f>IFERROR(VLOOKUP(C184,'спецификация'!B:AA,10,0)," ")</f>
        <v>наносить утром и/или вечером на чистую кожу лица, шеи и декольте лёгкими массирующими движениями до полного впитывания. Может использоваться как самостоятельно, так и под дневной или ночной кремы.</v>
      </c>
      <c r="BP184" s="43" t="str">
        <f>IFERROR(VLOOKUP(C184,'спецификация'!B:AA,11,0)," ")</f>
        <v>нет</v>
      </c>
      <c r="BQ184" s="22" t="str">
        <f>IFERROR(VLOOKUP(C184,'спецификация'!B:AA,12,0)," ")</f>
        <v>хранить при температуре не ниже 5°С и не выше 25°С                     </v>
      </c>
      <c r="BR184" s="22">
        <v>30.0</v>
      </c>
      <c r="BS184" s="22" t="s">
        <v>139</v>
      </c>
      <c r="BT184" s="22"/>
      <c r="BU184" s="22"/>
      <c r="BV184" s="22" t="s">
        <v>307</v>
      </c>
      <c r="BW184" s="44" t="str">
        <f>IFERROR(VLOOKUP(C184,'спецификация'!B:AA,16,0)," ")</f>
        <v>https://docs.google.com/document/d/1-Zp0BtsnDjdJB0oSALH659LOXXJFbAx3/edit?usp=drive_web&amp;ouid=104241417680089502627&amp;rtpof=true</v>
      </c>
      <c r="BX184" s="43"/>
      <c r="BY184" s="43"/>
      <c r="BZ184" s="45" t="str">
        <f>IFERROR(VLOOKUP(BF184,'спецификация'!D:Y,22,0)," ")</f>
        <v/>
      </c>
      <c r="CA184" s="43"/>
      <c r="CB184" s="43"/>
      <c r="CC184" s="43"/>
      <c r="CD184" s="43"/>
      <c r="CE184" s="43"/>
      <c r="CF184" s="43"/>
      <c r="CG184" s="49">
        <f>IFERROR(VLOOKUP(C184,CC!A:D,4,0)," ")</f>
        <v>153.4</v>
      </c>
      <c r="CH184" s="22" t="str">
        <f>IFERROR(VLOOKUP(C184,'спецификация'!B:AA,19,0)," ")</f>
        <v>ООО "Алтэя"</v>
      </c>
      <c r="CI184" s="22"/>
      <c r="CJ184" s="43"/>
      <c r="CK184" s="22">
        <f>IFERROR(VLOOKUP(C184,CC!K:M,3,0)," ")</f>
        <v>90</v>
      </c>
      <c r="CL184" s="43"/>
      <c r="CM184" s="43"/>
      <c r="CN184" s="43"/>
      <c r="CO184" s="43"/>
      <c r="CP184" s="43"/>
      <c r="CQ184" s="43"/>
      <c r="CR184" s="43"/>
      <c r="CS184" s="43" t="b">
        <v>0</v>
      </c>
      <c r="CT184" s="43" t="b">
        <v>0</v>
      </c>
      <c r="CU184" s="43" t="b">
        <v>0</v>
      </c>
      <c r="CV184" s="43" t="b">
        <v>0</v>
      </c>
      <c r="CW184" s="43"/>
      <c r="CX184" s="43"/>
      <c r="CY184" s="43"/>
      <c r="CZ184" s="43"/>
      <c r="DA184" s="43"/>
      <c r="DB184" s="43"/>
      <c r="DC184" s="43"/>
      <c r="DD184" s="22">
        <f>IFERROR(VLOOKUP($C184,'Лист4'!$D:$AI,27,0)," ")</f>
        <v>7</v>
      </c>
      <c r="DE184" s="22">
        <f>IFERROR(VLOOKUP($C184,'Лист4'!$D:$AI,28,0)," ")</f>
        <v>4</v>
      </c>
      <c r="DF184" s="22">
        <f>IFERROR(VLOOKUP($C184,'Лист4'!$D:$AI,29,0)," ")</f>
        <v>7</v>
      </c>
      <c r="DG184" s="22">
        <f t="shared" si="3"/>
        <v>196</v>
      </c>
      <c r="DH184" s="22">
        <f>IFERROR(VLOOKUP($C184,'Лист4'!$D:$AI,32,0)," ")</f>
        <v>0.048</v>
      </c>
      <c r="DI184" s="22"/>
      <c r="DJ184" s="22"/>
      <c r="DK184" s="22"/>
      <c r="DL184" s="22"/>
      <c r="DM184" s="22"/>
      <c r="DN184" s="22"/>
      <c r="DO184" s="22"/>
      <c r="DP184" s="22"/>
      <c r="DQ184" s="22"/>
      <c r="DR184" s="22"/>
      <c r="DS184" s="22"/>
      <c r="DT184" s="22"/>
      <c r="DU184" s="22"/>
      <c r="DV184" s="22"/>
      <c r="DW184" s="22"/>
      <c r="DX184" s="22"/>
      <c r="DY184" s="22"/>
      <c r="DZ184" s="22"/>
      <c r="EA184" s="22"/>
      <c r="EB184" s="22"/>
      <c r="EC184" s="22"/>
      <c r="ED184" s="22"/>
      <c r="EE184" s="22"/>
      <c r="EF184" s="22"/>
      <c r="EG184" s="22"/>
      <c r="EH184" s="22"/>
      <c r="EI184" s="22"/>
      <c r="EJ184" s="22"/>
      <c r="EK184" s="22"/>
      <c r="EL184" s="22"/>
      <c r="EM184" s="43"/>
      <c r="EN184" s="43"/>
      <c r="EO184" s="43"/>
      <c r="EP184" s="43"/>
      <c r="EQ184" s="43"/>
      <c r="ER184" s="43"/>
      <c r="ES184" s="43"/>
      <c r="ET184" s="43"/>
      <c r="EU184" s="43"/>
      <c r="EV184" s="43"/>
      <c r="EW184" s="43"/>
      <c r="EX184" s="43"/>
      <c r="EY184" s="43"/>
      <c r="EZ184" s="43"/>
      <c r="FA184" s="43"/>
      <c r="FB184" s="43"/>
      <c r="FC184" s="43"/>
    </row>
    <row r="185" ht="18.0" customHeight="1">
      <c r="A185" s="2"/>
      <c r="B185" s="22" t="str">
        <f>IFERROR(VLOOKUP(C185,'Реестр'!C:AC,27,0)," ")</f>
        <v>Смарт-Сэйл</v>
      </c>
      <c r="C185" s="43" t="s">
        <v>2858</v>
      </c>
      <c r="D185" s="22" t="str">
        <f>IFERROR(VLOOKUP(C185,'Лист4'!D:P,13,0)," ")</f>
        <v>CPA</v>
      </c>
      <c r="E185" s="22" t="str">
        <f>IF(OR(ISERROR(VLOOKUP(C185,'Актуальность'!A:B,2,0)), VLOOKUP(C185,'Актуальность'!A:B,2,0)=""), "Актуальный", VLOOKUP(C185,'Актуальность'!A:B,2,0))</f>
        <v>Актуальный</v>
      </c>
      <c r="F185" s="43" t="str">
        <f>IFERROR(VLOOKUP(C185,'Актуальность'!A:C,3,0)," ")</f>
        <v/>
      </c>
      <c r="G185" s="43"/>
      <c r="H185" s="22" t="s">
        <v>2663</v>
      </c>
      <c r="I185" s="22" t="s">
        <v>2860</v>
      </c>
      <c r="J185" s="43"/>
      <c r="K185" s="43"/>
      <c r="L185" s="22" t="b">
        <f t="shared" ref="L185:R185" si="181">T185&lt;&gt;""</f>
        <v>1</v>
      </c>
      <c r="M185" s="22" t="b">
        <f t="shared" si="181"/>
        <v>1</v>
      </c>
      <c r="N185" s="22" t="b">
        <f t="shared" si="181"/>
        <v>1</v>
      </c>
      <c r="O185" s="22" t="b">
        <f t="shared" si="181"/>
        <v>1</v>
      </c>
      <c r="P185" s="22" t="b">
        <f t="shared" si="181"/>
        <v>0</v>
      </c>
      <c r="Q185" s="22" t="b">
        <f t="shared" si="181"/>
        <v>0</v>
      </c>
      <c r="R185" s="22" t="b">
        <f t="shared" si="181"/>
        <v>0</v>
      </c>
      <c r="S185" s="43"/>
      <c r="T185" s="43" t="str">
        <f>IFERROR(VLOOKUP( C185,'1С'!A:B,2,0)," ")</f>
        <v>CC101100417</v>
      </c>
      <c r="U185" s="22" t="str">
        <f>IFERROR(VLOOKUP(T185,'Лист4'!C:I,3,0)," ")</f>
        <v>mycoplax</v>
      </c>
      <c r="V185" s="22" t="str">
        <f>IFERROR(VLOOKUP(T185,'Лист4'!C:I,4,0)," ")</f>
        <v>mycoplax</v>
      </c>
      <c r="W185" s="22" t="str">
        <f>IFERROR(VLOOKUP(T185,'Лист4'!C:I,5,0)," ")</f>
        <v>mycoplax</v>
      </c>
      <c r="X185" s="43" t="str">
        <f>IFERROR(VLOOKUP(T185,'Лист4'!C:I,7,0)," ")</f>
        <v/>
      </c>
      <c r="Y185" s="43" t="str">
        <f>IFERROR(VLOOKUP(T185,'Лист4'!C:I,6,0)," ")</f>
        <v/>
      </c>
      <c r="Z185" s="43"/>
      <c r="AA185" s="43"/>
      <c r="AB185" s="22">
        <v>2.60515862E8</v>
      </c>
      <c r="AC185" s="22">
        <v>1.691245886E9</v>
      </c>
      <c r="AD185" s="22">
        <v>1.03515410999E11</v>
      </c>
      <c r="AE185" s="22"/>
      <c r="AF185" s="22"/>
      <c r="AG185" s="43"/>
      <c r="AH185" s="43"/>
      <c r="AI185" s="43" t="str">
        <f>IFERROR(VLOOKUP(T185,'1С'!B:C,2,0)," ")</f>
        <v>Мазь от грибка ногтей Mycoplax, CPA, 15 мл</v>
      </c>
      <c r="AJ185" s="22" t="s">
        <v>2862</v>
      </c>
      <c r="AK185" s="22" t="s">
        <v>2863</v>
      </c>
      <c r="AL185" s="22" t="s">
        <v>2864</v>
      </c>
      <c r="AM185" s="43"/>
      <c r="AN185" s="43"/>
      <c r="AO185" s="43"/>
      <c r="AP185" s="43"/>
      <c r="AQ185" s="46" t="s">
        <v>2865</v>
      </c>
      <c r="AR185" s="46" t="s">
        <v>2866</v>
      </c>
      <c r="AS185" s="46" t="s">
        <v>2867</v>
      </c>
      <c r="AT185" s="43"/>
      <c r="AU185" s="43"/>
      <c r="AV185" s="43"/>
      <c r="AW185" s="43"/>
      <c r="AX185" s="22" t="s">
        <v>594</v>
      </c>
      <c r="AY185" s="22" t="s">
        <v>2863</v>
      </c>
      <c r="AZ185" s="22" t="s">
        <v>2672</v>
      </c>
      <c r="BA185" s="43"/>
      <c r="BB185" s="43"/>
      <c r="BC185" s="43"/>
      <c r="BD185" s="43"/>
      <c r="BE185" s="43"/>
      <c r="BF185" s="22">
        <f>IFERROR(VLOOKUP(C185,'спецификация'!B:D,3,0)," ")</f>
        <v>4610030633572</v>
      </c>
      <c r="BG185" s="22">
        <v>3.30499E9</v>
      </c>
      <c r="BH185" s="22" t="str">
        <f>IFERROR(VLOOKUP(C185,'спецификация'!B:AA,5,0)," ")</f>
        <v>ЕАЭС N RU Д-RU.PA06.B.47111/24 от 26.07.2024 по 25.07.2029</v>
      </c>
      <c r="BI185" s="22"/>
      <c r="BJ185" s="22" t="str">
        <f>IFERROR(VLOOKUP(C185,'спецификация'!B:AA,6,0)," ")</f>
        <v/>
      </c>
      <c r="BK185" s="43"/>
      <c r="BL185" s="43"/>
      <c r="BM185" s="22" t="str">
        <f>IFERROR(VLOOKUP(BF185,'спецификация'!D:H,5,0)," ")</f>
        <v> вода, глицерин, бланоза, шаромикс ег 10, сабовакс, экстрактыы стемона японская, кордицепс, жгун-корень монье, плодов черного ореха, календулы, чистотела, индийского лука, листьев эхинацеи, маклюры, экстракт портулака , череды, софоры японской, семян кориандра, шиитаке, алоэ, золотого уса, каланхоэ, орегано, аира, масло амаранта, камформа.
</v>
      </c>
      <c r="BN185" s="43"/>
      <c r="BO185" s="22" t="str">
        <f>IFERROR(VLOOKUP(C185,'спецификация'!B:AA,10,0)," ")</f>
        <v/>
      </c>
      <c r="BP185" s="43" t="str">
        <f>IFERROR(VLOOKUP(C185,'спецификация'!B:AA,11,0)," ")</f>
        <v>индивидуальная непереносимость компонентов.</v>
      </c>
      <c r="BQ185" s="22" t="str">
        <f>IFERROR(VLOOKUP(C185,'спецификация'!B:AA,12,0)," ")</f>
        <v>хранить при температуре от + 5°С до + 25°С, в недоступном для детей месте.
</v>
      </c>
      <c r="BR185" s="22">
        <v>15.0</v>
      </c>
      <c r="BS185" s="22" t="s">
        <v>139</v>
      </c>
      <c r="BT185" s="22"/>
      <c r="BU185" s="22"/>
      <c r="BV185" s="22"/>
      <c r="BW185" s="44" t="str">
        <f>IFERROR(VLOOKUP(C185,'спецификация'!B:AA,16,0)," ")</f>
        <v>https://docs.google.com/document/d/14bE0xb0TuGIpnc5vHYSA-pyDq15-A5U1/edit?usp=drive_web&amp;ouid=104241417680089502627&amp;rtpof=true</v>
      </c>
      <c r="BX185" s="43"/>
      <c r="BY185" s="43"/>
      <c r="BZ185" s="45" t="str">
        <f>IFERROR(VLOOKUP(BF185,'спецификация'!D:Y,22,0)," ")</f>
        <v/>
      </c>
      <c r="CA185" s="43"/>
      <c r="CB185" s="43"/>
      <c r="CC185" s="43"/>
      <c r="CD185" s="43"/>
      <c r="CE185" s="43"/>
      <c r="CF185" s="43"/>
      <c r="CG185" s="49">
        <f>IFERROR(VLOOKUP(C185,CC!A:D,4,0)," ")</f>
        <v>113.89</v>
      </c>
      <c r="CH185" s="22" t="str">
        <f>IFERROR(VLOOKUP(C185,'спецификация'!B:AA,19,0)," ")</f>
        <v/>
      </c>
      <c r="CI185" s="22"/>
      <c r="CJ185" s="43"/>
      <c r="CK185" s="22">
        <f>IFERROR(VLOOKUP(C185,CC!K:M,3,0)," ")</f>
        <v>45</v>
      </c>
      <c r="CL185" s="43"/>
      <c r="CM185" s="43"/>
      <c r="CN185" s="43"/>
      <c r="CO185" s="43"/>
      <c r="CP185" s="43"/>
      <c r="CQ185" s="43"/>
      <c r="CR185" s="43"/>
      <c r="CS185" s="43" t="b">
        <v>0</v>
      </c>
      <c r="CT185" s="43" t="b">
        <v>0</v>
      </c>
      <c r="CU185" s="43" t="b">
        <v>0</v>
      </c>
      <c r="CV185" s="43" t="b">
        <v>0</v>
      </c>
      <c r="CW185" s="43"/>
      <c r="CX185" s="43"/>
      <c r="CY185" s="43"/>
      <c r="CZ185" s="43"/>
      <c r="DA185" s="43"/>
      <c r="DB185" s="43"/>
      <c r="DC185" s="43"/>
      <c r="DD185" s="22">
        <f>IFERROR(VLOOKUP($C185,'Лист4'!$D:$AI,27,0)," ")</f>
        <v>11</v>
      </c>
      <c r="DE185" s="22">
        <f>IFERROR(VLOOKUP($C185,'Лист4'!$D:$AI,28,0)," ")</f>
        <v>3</v>
      </c>
      <c r="DF185" s="22">
        <f>IFERROR(VLOOKUP($C185,'Лист4'!$D:$AI,29,0)," ")</f>
        <v>11</v>
      </c>
      <c r="DG185" s="22">
        <f t="shared" si="3"/>
        <v>363</v>
      </c>
      <c r="DH185" s="22">
        <f>IFERROR(VLOOKUP($C185,'Лист4'!$D:$AI,32,0)," ")</f>
        <v>0.026</v>
      </c>
      <c r="DI185" s="22"/>
      <c r="DJ185" s="22"/>
      <c r="DK185" s="22"/>
      <c r="DL185" s="22"/>
      <c r="DM185" s="22"/>
      <c r="DN185" s="22"/>
      <c r="DO185" s="22"/>
      <c r="DP185" s="22"/>
      <c r="DQ185" s="22"/>
      <c r="DR185" s="22"/>
      <c r="DS185" s="22"/>
      <c r="DT185" s="22"/>
      <c r="DU185" s="22"/>
      <c r="DV185" s="22"/>
      <c r="DW185" s="22"/>
      <c r="DX185" s="22"/>
      <c r="DY185" s="22"/>
      <c r="DZ185" s="22"/>
      <c r="EA185" s="22"/>
      <c r="EB185" s="22"/>
      <c r="EC185" s="22"/>
      <c r="ED185" s="22"/>
      <c r="EE185" s="22"/>
      <c r="EF185" s="22"/>
      <c r="EG185" s="22"/>
      <c r="EH185" s="22"/>
      <c r="EI185" s="22"/>
      <c r="EJ185" s="22"/>
      <c r="EK185" s="22"/>
      <c r="EL185" s="22"/>
      <c r="EM185" s="43"/>
      <c r="EN185" s="43"/>
      <c r="EO185" s="43"/>
      <c r="EP185" s="43"/>
      <c r="EQ185" s="43"/>
      <c r="ER185" s="43"/>
      <c r="ES185" s="43"/>
      <c r="ET185" s="43"/>
      <c r="EU185" s="43"/>
      <c r="EV185" s="43"/>
      <c r="EW185" s="43"/>
      <c r="EX185" s="43"/>
      <c r="EY185" s="43"/>
      <c r="EZ185" s="43"/>
      <c r="FA185" s="43"/>
      <c r="FB185" s="43"/>
      <c r="FC185" s="43"/>
    </row>
    <row r="186" ht="18.0" customHeight="1">
      <c r="A186" s="2"/>
      <c r="B186" s="22" t="str">
        <f>IFERROR(VLOOKUP(C186,'Реестр'!C:AC,27,0)," ")</f>
        <v>Смарт-Сэйл</v>
      </c>
      <c r="C186" s="43" t="s">
        <v>2874</v>
      </c>
      <c r="D186" s="22" t="str">
        <f>IFERROR(VLOOKUP(C186,'Лист4'!D:P,13,0)," ")</f>
        <v>CPA</v>
      </c>
      <c r="E186" s="22" t="str">
        <f>IF(OR(ISERROR(VLOOKUP(C186,'Актуальность'!A:B,2,0)), VLOOKUP(C186,'Актуальность'!A:B,2,0)=""), "Актуальный", VLOOKUP(C186,'Актуальность'!A:B,2,0))</f>
        <v>Актуальный</v>
      </c>
      <c r="F186" s="43" t="str">
        <f>IFERROR(VLOOKUP(C186,'Актуальность'!A:C,3,0)," ")</f>
        <v/>
      </c>
      <c r="G186" s="43"/>
      <c r="H186" s="22" t="s">
        <v>2663</v>
      </c>
      <c r="I186" s="22" t="s">
        <v>2876</v>
      </c>
      <c r="J186" s="43"/>
      <c r="K186" s="43"/>
      <c r="L186" s="22" t="b">
        <f t="shared" ref="L186:R186" si="182">T186&lt;&gt;""</f>
        <v>1</v>
      </c>
      <c r="M186" s="22" t="b">
        <f t="shared" si="182"/>
        <v>1</v>
      </c>
      <c r="N186" s="22" t="b">
        <f t="shared" si="182"/>
        <v>1</v>
      </c>
      <c r="O186" s="22" t="b">
        <f t="shared" si="182"/>
        <v>1</v>
      </c>
      <c r="P186" s="22" t="b">
        <f t="shared" si="182"/>
        <v>0</v>
      </c>
      <c r="Q186" s="22" t="b">
        <f t="shared" si="182"/>
        <v>0</v>
      </c>
      <c r="R186" s="22" t="b">
        <f t="shared" si="182"/>
        <v>0</v>
      </c>
      <c r="S186" s="43"/>
      <c r="T186" s="43" t="str">
        <f>IFERROR(VLOOKUP( C186,'1С'!A:B,2,0)," ")</f>
        <v>CO101100407</v>
      </c>
      <c r="U186" s="22" t="str">
        <f>IFERROR(VLOOKUP(T186,'Лист4'!C:I,3,0)," ")</f>
        <v>yagodniy_spas</v>
      </c>
      <c r="V186" s="22" t="str">
        <f>IFERROR(VLOOKUP(T186,'Лист4'!C:I,4,0)," ")</f>
        <v>yagodniy_spas</v>
      </c>
      <c r="W186" s="22" t="str">
        <f>IFERROR(VLOOKUP(T186,'Лист4'!C:I,5,0)," ")</f>
        <v>yagodniy_spas</v>
      </c>
      <c r="X186" s="43" t="str">
        <f>IFERROR(VLOOKUP(T186,'Лист4'!C:I,7,0)," ")</f>
        <v/>
      </c>
      <c r="Y186" s="43" t="str">
        <f>IFERROR(VLOOKUP(T186,'Лист4'!C:I,6,0)," ")</f>
        <v/>
      </c>
      <c r="Z186" s="43"/>
      <c r="AA186" s="43"/>
      <c r="AB186" s="22">
        <v>2.63802739E8</v>
      </c>
      <c r="AC186" s="22">
        <v>1.703614178E9</v>
      </c>
      <c r="AD186" s="22">
        <v>4.663236233E9</v>
      </c>
      <c r="AE186" s="22"/>
      <c r="AF186" s="22"/>
      <c r="AG186" s="43"/>
      <c r="AH186" s="43"/>
      <c r="AI186" s="43" t="str">
        <f>IFERROR(VLOOKUP(T186,'1С'!B:C,2,0)," ")</f>
        <v>Пищевая добавка Ягодный спас, CPA, 10 шипучих таблеток</v>
      </c>
      <c r="AJ186" s="22" t="s">
        <v>2878</v>
      </c>
      <c r="AK186" s="22" t="s">
        <v>2879</v>
      </c>
      <c r="AL186" s="22" t="s">
        <v>2880</v>
      </c>
      <c r="AM186" s="43"/>
      <c r="AN186" s="43"/>
      <c r="AO186" s="43"/>
      <c r="AP186" s="43"/>
      <c r="AQ186" s="46" t="s">
        <v>2881</v>
      </c>
      <c r="AR186" s="46" t="s">
        <v>2882</v>
      </c>
      <c r="AS186" s="46" t="s">
        <v>2883</v>
      </c>
      <c r="AT186" s="43"/>
      <c r="AU186" s="43"/>
      <c r="AV186" s="43"/>
      <c r="AW186" s="43"/>
      <c r="AX186" s="22" t="s">
        <v>649</v>
      </c>
      <c r="AY186" s="22" t="s">
        <v>2879</v>
      </c>
      <c r="AZ186" s="22" t="s">
        <v>2692</v>
      </c>
      <c r="BA186" s="43"/>
      <c r="BB186" s="43"/>
      <c r="BC186" s="43"/>
      <c r="BD186" s="43"/>
      <c r="BE186" s="43"/>
      <c r="BF186" s="22">
        <f>IFERROR(VLOOKUP(C186,'спецификация'!B:D,3,0)," ")</f>
        <v>4610030633701</v>
      </c>
      <c r="BG186" s="22">
        <v>2106.0</v>
      </c>
      <c r="BH186" s="22" t="str">
        <f>IFERROR(VLOOKUP(C186,'спецификация'!B:AA,5,0)," ")</f>
        <v>ЕАЭС N RU Д-RU.РА08.В.33492/24 от 17.09.2024 по 12.09.2029</v>
      </c>
      <c r="BI186" s="22"/>
      <c r="BJ186" s="22" t="str">
        <f>IFERROR(VLOOKUP(C186,'спецификация'!B:AA,6,0)," ")</f>
        <v/>
      </c>
      <c r="BK186" s="43"/>
      <c r="BL186" s="43"/>
      <c r="BM186" s="22" t="str">
        <f>IFERROR(VLOOKUP(BF186,'спецификация'!D:H,5,0)," ")</f>
        <v>экстракты клюквы, брусники, кизила, ягод годжи, рябины, пижмы, гвоздики, санберри, тыквенных семечек, эвкалипта, абрикосовых косточек, лопуха, имбиря, окопника, корня девясила, корня алтея, коры осины, золототысячника, листа грецкого ореха, бибхитаки, солодки, расторопши, душицы, куркумы, зверобоя, черного тмина, цикория, сенны, ароматизатор, сукралоза, декстроза, сорбитол, лимонная кислота, гидрокарбонат натрия.
</v>
      </c>
      <c r="BN186" s="43"/>
      <c r="BO186" s="22" t="str">
        <f>IFERROR(VLOOKUP(C186,'спецификация'!B:AA,10,0)," ")</f>
        <v/>
      </c>
      <c r="BP186" s="43" t="str">
        <f>IFERROR(VLOOKUP(C186,'спецификация'!B:AA,11,0)," ")</f>
        <v>индивидуальная непереносимость компонентов.
</v>
      </c>
      <c r="BQ186" s="22" t="str">
        <f>IFERROR(VLOOKUP(C186,'спецификация'!B:AA,12,0)," ")</f>
        <v>хранить при температуре не выше 25 °С в местах, удалённых от прямого солнечного света, отопительных приборов, влаги.
</v>
      </c>
      <c r="BR186" s="22">
        <v>10.0</v>
      </c>
      <c r="BS186" s="22" t="s">
        <v>210</v>
      </c>
      <c r="BT186" s="22"/>
      <c r="BU186" s="22"/>
      <c r="BV186" s="22"/>
      <c r="BW186" s="44" t="str">
        <f>IFERROR(VLOOKUP(C186,'спецификация'!B:AA,16,0)," ")</f>
        <v>https://docs.google.com/document/d/1lNEP5fW8P5NBXMRghtLBq_SXhZR4a0xN/edit</v>
      </c>
      <c r="BX186" s="43"/>
      <c r="BY186" s="43"/>
      <c r="BZ186" s="45" t="str">
        <f>IFERROR(VLOOKUP(BF186,'спецификация'!D:Y,22,0)," ")</f>
        <v/>
      </c>
      <c r="CA186" s="43"/>
      <c r="CB186" s="43"/>
      <c r="CC186" s="43"/>
      <c r="CD186" s="43"/>
      <c r="CE186" s="43"/>
      <c r="CF186" s="43"/>
      <c r="CG186" s="49">
        <f>IFERROR(VLOOKUP(C186,CC!A:D,4,0)," ")</f>
        <v>138.32</v>
      </c>
      <c r="CH186" s="22" t="str">
        <f>IFERROR(VLOOKUP(C186,'спецификация'!B:AA,19,0)," ")</f>
        <v>ООО "НутраФарм"</v>
      </c>
      <c r="CI186" s="22"/>
      <c r="CJ186" s="43"/>
      <c r="CK186" s="22">
        <f>IFERROR(VLOOKUP(C186,CC!K:M,3,0)," ")</f>
        <v>45</v>
      </c>
      <c r="CL186" s="43"/>
      <c r="CM186" s="43"/>
      <c r="CN186" s="43"/>
      <c r="CO186" s="43"/>
      <c r="CP186" s="43"/>
      <c r="CQ186" s="43"/>
      <c r="CR186" s="43"/>
      <c r="CS186" s="43" t="b">
        <v>0</v>
      </c>
      <c r="CT186" s="43" t="b">
        <v>0</v>
      </c>
      <c r="CU186" s="43" t="b">
        <v>0</v>
      </c>
      <c r="CV186" s="43" t="b">
        <v>0</v>
      </c>
      <c r="CW186" s="43"/>
      <c r="CX186" s="43"/>
      <c r="CY186" s="43"/>
      <c r="CZ186" s="43"/>
      <c r="DA186" s="43"/>
      <c r="DB186" s="43"/>
      <c r="DC186" s="43"/>
      <c r="DD186" s="22">
        <f>IFERROR(VLOOKUP($C186,'Лист4'!$D:$AI,27,0)," ")</f>
        <v>10</v>
      </c>
      <c r="DE186" s="22">
        <f>IFERROR(VLOOKUP($C186,'Лист4'!$D:$AI,28,0)," ")</f>
        <v>3</v>
      </c>
      <c r="DF186" s="22">
        <f>IFERROR(VLOOKUP($C186,'Лист4'!$D:$AI,29,0)," ")</f>
        <v>10</v>
      </c>
      <c r="DG186" s="22">
        <f t="shared" si="3"/>
        <v>300</v>
      </c>
      <c r="DH186" s="22">
        <f>IFERROR(VLOOKUP($C186,'Лист4'!$D:$AI,32,0)," ")</f>
        <v>0.043</v>
      </c>
      <c r="DI186" s="22"/>
      <c r="DJ186" s="22"/>
      <c r="DK186" s="22"/>
      <c r="DL186" s="22"/>
      <c r="DM186" s="22"/>
      <c r="DN186" s="22"/>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43"/>
      <c r="EN186" s="43"/>
      <c r="EO186" s="43"/>
      <c r="EP186" s="43"/>
      <c r="EQ186" s="43"/>
      <c r="ER186" s="43"/>
      <c r="ES186" s="43"/>
      <c r="ET186" s="43"/>
      <c r="EU186" s="43"/>
      <c r="EV186" s="43"/>
      <c r="EW186" s="43"/>
      <c r="EX186" s="43"/>
      <c r="EY186" s="43"/>
      <c r="EZ186" s="43"/>
      <c r="FA186" s="43"/>
      <c r="FB186" s="43"/>
      <c r="FC186" s="43"/>
    </row>
    <row r="187" ht="18.0" customHeight="1">
      <c r="A187" s="2"/>
      <c r="B187" s="22" t="str">
        <f>IFERROR(VLOOKUP(C187,'Реестр'!C:AC,27,0)," ")</f>
        <v>Смарт-Сэйл</v>
      </c>
      <c r="C187" s="43" t="s">
        <v>2890</v>
      </c>
      <c r="D187" s="22" t="str">
        <f>IFERROR(VLOOKUP(C187,'Лист4'!D:P,13,0)," ")</f>
        <v>CPA</v>
      </c>
      <c r="E187" s="22" t="str">
        <f>IF(OR(ISERROR(VLOOKUP(C187,'Актуальность'!A:B,2,0)), VLOOKUP(C187,'Актуальность'!A:B,2,0)=""), "Актуальный", VLOOKUP(C187,'Актуальность'!A:B,2,0))</f>
        <v>Актуальный</v>
      </c>
      <c r="F187" s="43" t="str">
        <f>IFERROR(VLOOKUP(C187,'Актуальность'!A:C,3,0)," ")</f>
        <v/>
      </c>
      <c r="G187" s="43"/>
      <c r="H187" s="22" t="s">
        <v>2663</v>
      </c>
      <c r="I187" s="22" t="s">
        <v>2892</v>
      </c>
      <c r="J187" s="43"/>
      <c r="K187" s="43"/>
      <c r="L187" s="22" t="b">
        <f t="shared" ref="L187:R187" si="183">T187&lt;&gt;""</f>
        <v>1</v>
      </c>
      <c r="M187" s="22" t="b">
        <f t="shared" si="183"/>
        <v>1</v>
      </c>
      <c r="N187" s="22" t="b">
        <f t="shared" si="183"/>
        <v>1</v>
      </c>
      <c r="O187" s="22" t="b">
        <f t="shared" si="183"/>
        <v>1</v>
      </c>
      <c r="P187" s="22" t="b">
        <f t="shared" si="183"/>
        <v>0</v>
      </c>
      <c r="Q187" s="22" t="b">
        <f t="shared" si="183"/>
        <v>0</v>
      </c>
      <c r="R187" s="22" t="b">
        <f t="shared" si="183"/>
        <v>0</v>
      </c>
      <c r="S187" s="43"/>
      <c r="T187" s="43" t="str">
        <f>IFERROR(VLOOKUP( C187,'1С'!A:B,2,0)," ")</f>
        <v>CO101100445</v>
      </c>
      <c r="U187" s="22" t="str">
        <f>IFERROR(VLOOKUP(T187,'Лист4'!C:I,3,0)," ")</f>
        <v>uhovit</v>
      </c>
      <c r="V187" s="22" t="str">
        <f>IFERROR(VLOOKUP(T187,'Лист4'!C:I,4,0)," ")</f>
        <v>uhovit</v>
      </c>
      <c r="W187" s="22" t="str">
        <f>IFERROR(VLOOKUP(T187,'Лист4'!C:I,5,0)," ")</f>
        <v>uhovit</v>
      </c>
      <c r="X187" s="43" t="str">
        <f>IFERROR(VLOOKUP(T187,'Лист4'!C:I,7,0)," ")</f>
        <v/>
      </c>
      <c r="Y187" s="43" t="str">
        <f>IFERROR(VLOOKUP(T187,'Лист4'!C:I,6,0)," ")</f>
        <v/>
      </c>
      <c r="Z187" s="43"/>
      <c r="AA187" s="43"/>
      <c r="AB187" s="22">
        <v>2.34207568E8</v>
      </c>
      <c r="AC187" s="22">
        <v>1.590087137E9</v>
      </c>
      <c r="AD187" s="22">
        <v>4.3892471E9</v>
      </c>
      <c r="AE187" s="22"/>
      <c r="AF187" s="22"/>
      <c r="AG187" s="43"/>
      <c r="AH187" s="43"/>
      <c r="AI187" s="43" t="str">
        <f>IFERROR(VLOOKUP(T187,'1С'!B:C,2,0)," ")</f>
        <v>Пищевая добавка Уховит , CPA, 20 капсул</v>
      </c>
      <c r="AJ187" s="22" t="s">
        <v>2894</v>
      </c>
      <c r="AK187" s="22" t="s">
        <v>2895</v>
      </c>
      <c r="AL187" s="22" t="s">
        <v>2896</v>
      </c>
      <c r="AM187" s="43"/>
      <c r="AN187" s="43"/>
      <c r="AO187" s="43"/>
      <c r="AP187" s="43"/>
      <c r="AQ187" s="46" t="s">
        <v>2897</v>
      </c>
      <c r="AR187" s="46" t="s">
        <v>2898</v>
      </c>
      <c r="AS187" s="46" t="s">
        <v>2899</v>
      </c>
      <c r="AT187" s="43"/>
      <c r="AU187" s="43"/>
      <c r="AV187" s="43"/>
      <c r="AW187" s="43"/>
      <c r="AX187" s="22" t="s">
        <v>649</v>
      </c>
      <c r="AY187" s="22" t="s">
        <v>2895</v>
      </c>
      <c r="AZ187" s="22" t="s">
        <v>2692</v>
      </c>
      <c r="BA187" s="43"/>
      <c r="BB187" s="43"/>
      <c r="BC187" s="43"/>
      <c r="BD187" s="43"/>
      <c r="BE187" s="43"/>
      <c r="BF187" s="22" t="str">
        <f>IFERROR(VLOOKUP(C187,'спецификация'!B:D,3,0)," ")</f>
        <v>4610030632667; 4610030634876</v>
      </c>
      <c r="BG187" s="22">
        <v>2.106909809E9</v>
      </c>
      <c r="BH187" s="22" t="str">
        <f>IFERROR(VLOOKUP(C187,'спецификация'!B:AA,5,0)," ")</f>
        <v>ЕАЭС N RU Д-RU.PA01.B.81452/24 от 08.02.2024 по  07.02.2029</v>
      </c>
      <c r="BI187" s="22"/>
      <c r="BJ187" s="22" t="str">
        <f>IFERROR(VLOOKUP(C187,'спецификация'!B:AA,6,0)," ")</f>
        <v/>
      </c>
      <c r="BK187" s="43"/>
      <c r="BL187" s="43"/>
      <c r="BM187" s="22" t="str">
        <f>IFERROR(VLOOKUP(BF187,'спецификация'!D:H,5,0)," ")</f>
        <v>мальтодекстрин, экстракты элеутерококка, малины, аира, гинкго билоба, аниса, тыквенных семян, магния цитрат, цинка цитрат, витамины B1, B6, B12, диоксид кремния, стеарат кальция.
</v>
      </c>
      <c r="BN187" s="43"/>
      <c r="BO187" s="22" t="str">
        <f>IFERROR(VLOOKUP(C187,'спецификация'!B:AA,10,0)," ")</f>
        <v/>
      </c>
      <c r="BP187" s="43" t="str">
        <f>IFERROR(VLOOKUP(C187,'спецификация'!B:AA,11,0)," ")</f>
        <v>индивидуальная непереносимость компонентов</v>
      </c>
      <c r="BQ187" s="22" t="str">
        <f>IFERROR(VLOOKUP(C187,'спецификация'!B:AA,12,0)," ")</f>
        <v>хранить при температуре не выше 25 °С в местах, удалённых от прямого солнечного света, отопительных приборов, влаги.
</v>
      </c>
      <c r="BR187" s="22">
        <v>20.0</v>
      </c>
      <c r="BS187" s="22" t="s">
        <v>492</v>
      </c>
      <c r="BT187" s="22"/>
      <c r="BU187" s="22"/>
      <c r="BV187" s="22"/>
      <c r="BW187" s="44" t="str">
        <f>IFERROR(VLOOKUP(C187,'спецификация'!B:AA,16,0)," ")</f>
        <v>https://drive.google.com/drive/folders/1oz70kooFlXPPqS2KbfhxCTR9DlHt0gre</v>
      </c>
      <c r="BX187" s="43"/>
      <c r="BY187" s="43"/>
      <c r="BZ187" s="45" t="str">
        <f>IFERROR(VLOOKUP(BF187,'спецификация'!D:Y,22,0)," ")</f>
        <v/>
      </c>
      <c r="CA187" s="43"/>
      <c r="CB187" s="43"/>
      <c r="CC187" s="43"/>
      <c r="CD187" s="43"/>
      <c r="CE187" s="43"/>
      <c r="CF187" s="43"/>
      <c r="CG187" s="49">
        <f>IFERROR(VLOOKUP(C187,CC!A:D,4,0)," ")</f>
        <v>114.12</v>
      </c>
      <c r="CH187" s="22" t="str">
        <f>IFERROR(VLOOKUP(C187,'спецификация'!B:AA,19,0)," ")</f>
        <v/>
      </c>
      <c r="CI187" s="22"/>
      <c r="CJ187" s="43"/>
      <c r="CK187" s="22">
        <f>IFERROR(VLOOKUP(C187,CC!K:M,3,0)," ")</f>
        <v>45</v>
      </c>
      <c r="CL187" s="43"/>
      <c r="CM187" s="43"/>
      <c r="CN187" s="43"/>
      <c r="CO187" s="43"/>
      <c r="CP187" s="43"/>
      <c r="CQ187" s="43"/>
      <c r="CR187" s="43"/>
      <c r="CS187" s="43" t="b">
        <v>0</v>
      </c>
      <c r="CT187" s="43" t="b">
        <v>0</v>
      </c>
      <c r="CU187" s="43" t="b">
        <v>0</v>
      </c>
      <c r="CV187" s="43" t="b">
        <v>0</v>
      </c>
      <c r="CW187" s="43"/>
      <c r="CX187" s="43"/>
      <c r="CY187" s="43"/>
      <c r="CZ187" s="43"/>
      <c r="DA187" s="43"/>
      <c r="DB187" s="43"/>
      <c r="DC187" s="43"/>
      <c r="DD187" s="22">
        <f>IFERROR(VLOOKUP($C187,'Лист4'!$D:$AI,27,0)," ")</f>
        <v>8</v>
      </c>
      <c r="DE187" s="22">
        <f>IFERROR(VLOOKUP($C187,'Лист4'!$D:$AI,28,0)," ")</f>
        <v>2</v>
      </c>
      <c r="DF187" s="22">
        <f>IFERROR(VLOOKUP($C187,'Лист4'!$D:$AI,29,0)," ")</f>
        <v>8</v>
      </c>
      <c r="DG187" s="22">
        <f t="shared" si="3"/>
        <v>128</v>
      </c>
      <c r="DH187" s="22">
        <f>IFERROR(VLOOKUP($C187,'Лист4'!$D:$AI,32,0)," ")</f>
        <v>0.046</v>
      </c>
      <c r="DI187" s="22"/>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43"/>
      <c r="EN187" s="43"/>
      <c r="EO187" s="43"/>
      <c r="EP187" s="43"/>
      <c r="EQ187" s="43"/>
      <c r="ER187" s="43"/>
      <c r="ES187" s="43"/>
      <c r="ET187" s="43"/>
      <c r="EU187" s="43"/>
      <c r="EV187" s="43"/>
      <c r="EW187" s="43"/>
      <c r="EX187" s="43"/>
      <c r="EY187" s="43"/>
      <c r="EZ187" s="43"/>
      <c r="FA187" s="43"/>
      <c r="FB187" s="43"/>
      <c r="FC187" s="43"/>
    </row>
    <row r="188" ht="18.0" customHeight="1">
      <c r="A188" s="2"/>
      <c r="B188" s="22" t="str">
        <f>IFERROR(VLOOKUP(C188,'Реестр'!C:AC,27,0)," ")</f>
        <v>Смарт-Сэйл</v>
      </c>
      <c r="C188" s="43" t="s">
        <v>2907</v>
      </c>
      <c r="D188" s="22" t="str">
        <f>IFERROR(VLOOKUP(C188,'Лист4'!D:P,13,0)," ")</f>
        <v>CPA</v>
      </c>
      <c r="E188" s="22" t="str">
        <f>IF(OR(ISERROR(VLOOKUP(C188,'Актуальность'!A:B,2,0)), VLOOKUP(C188,'Актуальность'!A:B,2,0)=""), "Актуальный", VLOOKUP(C188,'Актуальность'!A:B,2,0))</f>
        <v>Актуальный</v>
      </c>
      <c r="F188" s="43" t="str">
        <f>IFERROR(VLOOKUP(C188,'Актуальность'!A:C,3,0)," ")</f>
        <v/>
      </c>
      <c r="G188" s="43"/>
      <c r="H188" s="22" t="s">
        <v>2663</v>
      </c>
      <c r="I188" s="22" t="s">
        <v>1027</v>
      </c>
      <c r="J188" s="43"/>
      <c r="K188" s="43"/>
      <c r="L188" s="22" t="b">
        <f t="shared" ref="L188:R188" si="184">T188&lt;&gt;""</f>
        <v>1</v>
      </c>
      <c r="M188" s="22" t="b">
        <f t="shared" si="184"/>
        <v>1</v>
      </c>
      <c r="N188" s="22" t="b">
        <f t="shared" si="184"/>
        <v>1</v>
      </c>
      <c r="O188" s="22" t="b">
        <f t="shared" si="184"/>
        <v>1</v>
      </c>
      <c r="P188" s="22" t="b">
        <f t="shared" si="184"/>
        <v>0</v>
      </c>
      <c r="Q188" s="22" t="b">
        <f t="shared" si="184"/>
        <v>0</v>
      </c>
      <c r="R188" s="22" t="b">
        <f t="shared" si="184"/>
        <v>0</v>
      </c>
      <c r="S188" s="43"/>
      <c r="T188" s="43" t="str">
        <f>IFERROR(VLOOKUP( C188,'1С'!A:B,2,0)," ")</f>
        <v>CO101100435</v>
      </c>
      <c r="U188" s="22" t="str">
        <f>IFERROR(VLOOKUP(T188,'Лист4'!C:I,3,0)," ")</f>
        <v>wbmicelix</v>
      </c>
      <c r="V188" s="22" t="str">
        <f>IFERROR(VLOOKUP(T188,'Лист4'!C:I,4,0)," ")</f>
        <v>wbmicelix</v>
      </c>
      <c r="W188" s="22" t="str">
        <f>IFERROR(VLOOKUP(T188,'Лист4'!C:I,5,0)," ")</f>
        <v>wbmicelix</v>
      </c>
      <c r="X188" s="43" t="str">
        <f>IFERROR(VLOOKUP(T188,'Лист4'!C:I,7,0)," ")</f>
        <v/>
      </c>
      <c r="Y188" s="43" t="str">
        <f>IFERROR(VLOOKUP(T188,'Лист4'!C:I,6,0)," ")</f>
        <v/>
      </c>
      <c r="Z188" s="43"/>
      <c r="AA188" s="43"/>
      <c r="AB188" s="22">
        <v>1.7905602E7</v>
      </c>
      <c r="AC188" s="22">
        <v>2.91845947E8</v>
      </c>
      <c r="AD188" s="22">
        <v>1.03515398245E11</v>
      </c>
      <c r="AE188" s="22"/>
      <c r="AF188" s="22"/>
      <c r="AG188" s="43"/>
      <c r="AH188" s="43"/>
      <c r="AI188" s="43" t="str">
        <f>IFERROR(VLOOKUP(T188,'1С'!B:C,2,0)," ")</f>
        <v>Пищевая добавка Мицеликс , CPA, 10 стиков</v>
      </c>
      <c r="AJ188" s="22" t="s">
        <v>2910</v>
      </c>
      <c r="AK188" s="22" t="s">
        <v>2911</v>
      </c>
      <c r="AL188" s="22" t="s">
        <v>2911</v>
      </c>
      <c r="AM188" s="43"/>
      <c r="AN188" s="43"/>
      <c r="AO188" s="43"/>
      <c r="AP188" s="43"/>
      <c r="AQ188" s="46" t="s">
        <v>2912</v>
      </c>
      <c r="AR188" s="46" t="s">
        <v>2913</v>
      </c>
      <c r="AS188" s="46" t="s">
        <v>2914</v>
      </c>
      <c r="AT188" s="43"/>
      <c r="AU188" s="43"/>
      <c r="AV188" s="43"/>
      <c r="AW188" s="43"/>
      <c r="AX188" s="22" t="s">
        <v>649</v>
      </c>
      <c r="AY188" s="22" t="s">
        <v>2911</v>
      </c>
      <c r="AZ188" s="22" t="s">
        <v>372</v>
      </c>
      <c r="BA188" s="43"/>
      <c r="BB188" s="43"/>
      <c r="BC188" s="43"/>
      <c r="BD188" s="43"/>
      <c r="BE188" s="43"/>
      <c r="BF188" s="22" t="str">
        <f>IFERROR(VLOOKUP(C188,'спецификация'!B:D,3,0)," ")</f>
        <v> </v>
      </c>
      <c r="BG188" s="22">
        <v>2.103909009E9</v>
      </c>
      <c r="BH188" s="22" t="str">
        <f>IFERROR(VLOOKUP(C188,'спецификация'!B:AA,5,0)," ")</f>
        <v> </v>
      </c>
      <c r="BI188" s="22"/>
      <c r="BJ188" s="22" t="str">
        <f>IFERROR(VLOOKUP(C188,'спецификация'!B:AA,6,0)," ")</f>
        <v> </v>
      </c>
      <c r="BK188" s="43"/>
      <c r="BL188" s="43"/>
      <c r="BM188" s="22" t="str">
        <f>IFERROR(VLOOKUP(BF188,'спецификация'!D:H,5,0)," ")</f>
        <v> </v>
      </c>
      <c r="BN188" s="43"/>
      <c r="BO188" s="22" t="str">
        <f>IFERROR(VLOOKUP(C188,'спецификация'!B:AA,10,0)," ")</f>
        <v> </v>
      </c>
      <c r="BP188" s="43" t="str">
        <f>IFERROR(VLOOKUP(C188,'спецификация'!B:AA,11,0)," ")</f>
        <v> </v>
      </c>
      <c r="BQ188" s="22" t="str">
        <f>IFERROR(VLOOKUP(C188,'спецификация'!B:AA,12,0)," ")</f>
        <v> </v>
      </c>
      <c r="BR188" s="22">
        <v>10.0</v>
      </c>
      <c r="BS188" s="22" t="s">
        <v>2918</v>
      </c>
      <c r="BT188" s="22"/>
      <c r="BU188" s="22"/>
      <c r="BV188" s="22" t="s">
        <v>307</v>
      </c>
      <c r="BW188" s="45" t="str">
        <f>IFERROR(VLOOKUP(C188,'спецификация'!B:AA,16,0)," ")</f>
        <v> </v>
      </c>
      <c r="BX188" s="43"/>
      <c r="BY188" s="43"/>
      <c r="BZ188" s="45" t="str">
        <f>IFERROR(VLOOKUP(BF188,'спецификация'!D:Y,22,0)," ")</f>
        <v> </v>
      </c>
      <c r="CA188" s="43"/>
      <c r="CB188" s="43"/>
      <c r="CC188" s="43"/>
      <c r="CD188" s="43"/>
      <c r="CE188" s="43"/>
      <c r="CF188" s="43"/>
      <c r="CG188" s="49">
        <f>IFERROR(VLOOKUP(C188,CC!A:D,4,0)," ")</f>
        <v>116.28</v>
      </c>
      <c r="CH188" s="22" t="str">
        <f>IFERROR(VLOOKUP(C188,'спецификация'!B:AA,19,0)," ")</f>
        <v> </v>
      </c>
      <c r="CI188" s="22"/>
      <c r="CJ188" s="43"/>
      <c r="CK188" s="22" t="str">
        <f>IFERROR(VLOOKUP(C188,CC!K:M,3,0)," ")</f>
        <v> </v>
      </c>
      <c r="CL188" s="43"/>
      <c r="CM188" s="43"/>
      <c r="CN188" s="43"/>
      <c r="CO188" s="43"/>
      <c r="CP188" s="43"/>
      <c r="CQ188" s="43"/>
      <c r="CR188" s="43"/>
      <c r="CS188" s="43" t="b">
        <v>0</v>
      </c>
      <c r="CT188" s="43" t="b">
        <v>0</v>
      </c>
      <c r="CU188" s="43" t="b">
        <v>0</v>
      </c>
      <c r="CV188" s="43" t="b">
        <v>0</v>
      </c>
      <c r="CW188" s="43"/>
      <c r="CX188" s="43"/>
      <c r="CY188" s="43"/>
      <c r="CZ188" s="43"/>
      <c r="DA188" s="43"/>
      <c r="DB188" s="43"/>
      <c r="DC188" s="43"/>
      <c r="DD188" s="22">
        <f>IFERROR(VLOOKUP($C188,'Лист4'!$D:$AI,27,0)," ")</f>
        <v>7</v>
      </c>
      <c r="DE188" s="22">
        <f>IFERROR(VLOOKUP($C188,'Лист4'!$D:$AI,28,0)," ")</f>
        <v>6</v>
      </c>
      <c r="DF188" s="22">
        <f>IFERROR(VLOOKUP($C188,'Лист4'!$D:$AI,29,0)," ")</f>
        <v>7</v>
      </c>
      <c r="DG188" s="22">
        <f t="shared" si="3"/>
        <v>294</v>
      </c>
      <c r="DH188" s="22">
        <f>IFERROR(VLOOKUP($C188,'Лист4'!$D:$AI,32,0)," ")</f>
        <v>0.038</v>
      </c>
      <c r="DI188" s="22"/>
      <c r="DJ188" s="22"/>
      <c r="DK188" s="22"/>
      <c r="DL188" s="22"/>
      <c r="DM188" s="22"/>
      <c r="DN188" s="22"/>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43"/>
      <c r="EN188" s="43"/>
      <c r="EO188" s="43"/>
      <c r="EP188" s="43"/>
      <c r="EQ188" s="43"/>
      <c r="ER188" s="43"/>
      <c r="ES188" s="43"/>
      <c r="ET188" s="43"/>
      <c r="EU188" s="43"/>
      <c r="EV188" s="43"/>
      <c r="EW188" s="43"/>
      <c r="EX188" s="43"/>
      <c r="EY188" s="43"/>
      <c r="EZ188" s="43"/>
      <c r="FA188" s="43"/>
      <c r="FB188" s="43"/>
      <c r="FC188" s="43"/>
    </row>
    <row r="189" ht="18.0" customHeight="1">
      <c r="A189" s="2"/>
      <c r="B189" s="22" t="str">
        <f>IFERROR(VLOOKUP(C189,'Реестр'!C:AC,27,0)," ")</f>
        <v>Смарт-Сэйл</v>
      </c>
      <c r="C189" s="43" t="s">
        <v>2919</v>
      </c>
      <c r="D189" s="22" t="str">
        <f>IFERROR(VLOOKUP(C189,'Лист4'!D:P,13,0)," ")</f>
        <v>Алтея</v>
      </c>
      <c r="E189" s="22" t="str">
        <f>IF(OR(ISERROR(VLOOKUP(C189,'Актуальность'!A:B,2,0)), VLOOKUP(C189,'Актуальность'!A:B,2,0)=""), "Актуальный", VLOOKUP(C189,'Актуальность'!A:B,2,0))</f>
        <v>Актуальный</v>
      </c>
      <c r="F189" s="43" t="str">
        <f>IFERROR(VLOOKUP(C189,'Актуальность'!A:C,3,0)," ")</f>
        <v/>
      </c>
      <c r="G189" s="43"/>
      <c r="H189" s="22" t="s">
        <v>2743</v>
      </c>
      <c r="I189" s="22" t="s">
        <v>287</v>
      </c>
      <c r="J189" s="43"/>
      <c r="K189" s="43"/>
      <c r="L189" s="22" t="b">
        <f t="shared" ref="L189:R189" si="185">T189&lt;&gt;""</f>
        <v>1</v>
      </c>
      <c r="M189" s="22" t="b">
        <f t="shared" si="185"/>
        <v>1</v>
      </c>
      <c r="N189" s="22" t="b">
        <f t="shared" si="185"/>
        <v>1</v>
      </c>
      <c r="O189" s="22" t="b">
        <f t="shared" si="185"/>
        <v>1</v>
      </c>
      <c r="P189" s="22" t="b">
        <f t="shared" si="185"/>
        <v>1</v>
      </c>
      <c r="Q189" s="22" t="b">
        <f t="shared" si="185"/>
        <v>1</v>
      </c>
      <c r="R189" s="22" t="b">
        <f t="shared" si="185"/>
        <v>1</v>
      </c>
      <c r="S189" s="43"/>
      <c r="T189" s="43" t="str">
        <f>IFERROR(VLOOKUP( C189,'1С'!A:B,2,0)," ")</f>
        <v>AC101100418</v>
      </c>
      <c r="U189" s="22" t="str">
        <f>IFERROR(VLOOKUP(T189,'Лист4'!C:I,3,0)," ")</f>
        <v>sprei_buster_100ml</v>
      </c>
      <c r="V189" s="22" t="str">
        <f>IFERROR(VLOOKUP(T189,'Лист4'!C:I,4,0)," ")</f>
        <v>sprei_buster_100ml</v>
      </c>
      <c r="W189" s="22" t="str">
        <f>IFERROR(VLOOKUP(T189,'Лист4'!C:I,5,0)," ")</f>
        <v>sprei_buster_100ml</v>
      </c>
      <c r="X189" s="43" t="str">
        <f>IFERROR(VLOOKUP(T189,'Лист4'!C:I,7,0)," ")</f>
        <v>sprei_buster_100ml</v>
      </c>
      <c r="Y189" s="43" t="str">
        <f>IFERROR(VLOOKUP(T189,'Лист4'!C:I,6,0)," ")</f>
        <v>sprei_buster_100ml</v>
      </c>
      <c r="Z189" s="22" t="s">
        <v>2919</v>
      </c>
      <c r="AA189" s="43"/>
      <c r="AB189" s="22">
        <v>4.18228094E8</v>
      </c>
      <c r="AC189" s="22">
        <v>2.138241943E9</v>
      </c>
      <c r="AD189" s="22">
        <v>4.476422826E9</v>
      </c>
      <c r="AE189" s="22">
        <v>9.9000114724E10</v>
      </c>
      <c r="AF189" s="22" t="s">
        <v>2922</v>
      </c>
      <c r="AG189" s="22" t="s">
        <v>2923</v>
      </c>
      <c r="AH189" s="43"/>
      <c r="AI189" s="43" t="str">
        <f>IFERROR(VLOOKUP(T189,'1С'!B:C,2,0)," ")</f>
        <v>Спрей-Бустер для роста волос, Алтея, 100 мл</v>
      </c>
      <c r="AJ189" s="22" t="s">
        <v>315</v>
      </c>
      <c r="AK189" s="22" t="s">
        <v>2924</v>
      </c>
      <c r="AL189" s="22" t="s">
        <v>2925</v>
      </c>
      <c r="AM189" s="22" t="s">
        <v>2926</v>
      </c>
      <c r="AN189" s="22" t="s">
        <v>2927</v>
      </c>
      <c r="AO189" s="22" t="s">
        <v>2928</v>
      </c>
      <c r="AP189" s="43"/>
      <c r="AQ189" s="46" t="s">
        <v>2929</v>
      </c>
      <c r="AR189" s="46" t="s">
        <v>2930</v>
      </c>
      <c r="AS189" s="46" t="s">
        <v>2931</v>
      </c>
      <c r="AT189" s="46" t="s">
        <v>2932</v>
      </c>
      <c r="AU189" s="46" t="s">
        <v>2933</v>
      </c>
      <c r="AV189" s="46" t="s">
        <v>2934</v>
      </c>
      <c r="AW189" s="43"/>
      <c r="AX189" s="22" t="s">
        <v>298</v>
      </c>
      <c r="AY189" s="22" t="s">
        <v>2924</v>
      </c>
      <c r="AZ189" s="22" t="s">
        <v>326</v>
      </c>
      <c r="BA189" s="22" t="s">
        <v>300</v>
      </c>
      <c r="BB189" s="22" t="s">
        <v>351</v>
      </c>
      <c r="BC189" s="22" t="s">
        <v>2935</v>
      </c>
      <c r="BD189" s="43"/>
      <c r="BE189" s="43"/>
      <c r="BF189" s="22">
        <f>IFERROR(VLOOKUP(C189,'спецификация'!B:D,3,0)," ")</f>
        <v>4603320465359</v>
      </c>
      <c r="BG189" s="22">
        <v>3.305900009E9</v>
      </c>
      <c r="BH189" s="22" t="str">
        <f>IFERROR(VLOOKUP(C189,'спецификация'!B:AA,5,0)," ")</f>
        <v/>
      </c>
      <c r="BI189" s="22"/>
      <c r="BJ189" s="22" t="str">
        <f>IFERROR(VLOOKUP(C189,'спецификация'!B:AA,6,0)," ")</f>
        <v>нт</v>
      </c>
      <c r="BK189" s="43"/>
      <c r="BL189" s="43"/>
      <c r="BM189" s="22" t="str">
        <f>IFERROR(VLOOKUP(BF189,'спецификация'!D:H,5,0)," ")</f>
        <v>Aqua, Niacinamide, Hydroxyethyl Urea, Glycerin, Rosemary Extract, Acetyl Tetrapeptide-3, Capsicum Annuum Extract, D-Panthenol, Phenoxyethanol, PEG-40 Hydrogenated Castor Oil, Fragrance, Glycolic Acid, Oleanolic acid, 1,2-Hexanediol, Ethylhexylglycerin, Hexamethylindanopyran, Hexyl Cinnamal, Tetramethyl Acetyloctahydronaphthalenes, Pinene, D-Limonene</v>
      </c>
      <c r="BN189" s="43"/>
      <c r="BO189" s="22" t="str">
        <f>IFERROR(VLOOKUP(C189,'спецификация'!B:AA,10,0)," ")</f>
        <v>Встряхните флакон и равномерно распылить средство на сухую или влажную кожу головы, разделяя волосы на проборы. Провести легкий массаж. Средство не загрязняет кожу головы и не требует смывания. Рекомендуется для регулярного использования.</v>
      </c>
      <c r="BP189" s="43" t="str">
        <f>IFERROR(VLOOKUP(C189,'спецификация'!B:AA,11,0)," ")</f>
        <v>не наносите на поврежденную кожу и избегайте попадания в глаза. При попадании в глаза тщательно промойте водой. Возможна индивидуальная непереносимость компонентов.</v>
      </c>
      <c r="BQ189" s="22" t="str">
        <f>IFERROR(VLOOKUP(C189,'спецификация'!B:AA,12,0)," ")</f>
        <v>хранить вдали от прямых солнечных лучей и отопительных приборов при температуре от +5 °С до +25 °С в местах, недоступных детям.</v>
      </c>
      <c r="BR189" s="22">
        <v>100.0</v>
      </c>
      <c r="BS189" s="22" t="s">
        <v>139</v>
      </c>
      <c r="BT189" s="22"/>
      <c r="BU189" s="22"/>
      <c r="BV189" s="22" t="s">
        <v>727</v>
      </c>
      <c r="BW189" s="44" t="str">
        <f>IFERROR(VLOOKUP(C189,'спецификация'!B:AA,16,0)," ")</f>
        <v>https://docs.google.com/document/d/1scPonpdIFgslL8OtuqKDeEe2y0ZumXiX/edit?usp=drive_web&amp;ouid=104241417680089502627&amp;rtpof=true</v>
      </c>
      <c r="BX189" s="43"/>
      <c r="BY189" s="43"/>
      <c r="BZ189" s="45" t="str">
        <f>IFERROR(VLOOKUP(BF189,'спецификация'!D:Y,22,0)," ")</f>
        <v/>
      </c>
      <c r="CA189" s="43"/>
      <c r="CB189" s="43"/>
      <c r="CC189" s="43"/>
      <c r="CD189" s="43"/>
      <c r="CE189" s="43"/>
      <c r="CF189" s="43"/>
      <c r="CG189" s="49">
        <f>IFERROR(VLOOKUP(C189,CC!A:D,4,0)," ")</f>
        <v>133.65</v>
      </c>
      <c r="CH189" s="22" t="str">
        <f>IFERROR(VLOOKUP(C189,'спецификация'!B:AA,19,0)," ")</f>
        <v>ООО Марвел</v>
      </c>
      <c r="CI189" s="22"/>
      <c r="CJ189" s="22" t="s">
        <v>2944</v>
      </c>
      <c r="CK189" s="22">
        <f>IFERROR(VLOOKUP(C189,CC!K:M,3,0)," ")</f>
        <v>60</v>
      </c>
      <c r="CL189" s="43"/>
      <c r="CM189" s="43"/>
      <c r="CN189" s="43"/>
      <c r="CO189" s="43"/>
      <c r="CP189" s="43"/>
      <c r="CQ189" s="43"/>
      <c r="CR189" s="43"/>
      <c r="CS189" s="43" t="b">
        <v>0</v>
      </c>
      <c r="CT189" s="43" t="b">
        <v>0</v>
      </c>
      <c r="CU189" s="43" t="b">
        <v>0</v>
      </c>
      <c r="CV189" s="43" t="b">
        <v>0</v>
      </c>
      <c r="CW189" s="43"/>
      <c r="CX189" s="43"/>
      <c r="CY189" s="43"/>
      <c r="CZ189" s="43"/>
      <c r="DA189" s="43"/>
      <c r="DB189" s="43"/>
      <c r="DC189" s="43"/>
      <c r="DD189" s="22">
        <f>IFERROR(VLOOKUP($C189,'Лист4'!$D:$AI,27,0)," ")</f>
        <v>9</v>
      </c>
      <c r="DE189" s="22">
        <f>IFERROR(VLOOKUP($C189,'Лист4'!$D:$AI,28,0)," ")</f>
        <v>13</v>
      </c>
      <c r="DF189" s="22">
        <f>IFERROR(VLOOKUP($C189,'Лист4'!$D:$AI,29,0)," ")</f>
        <v>9</v>
      </c>
      <c r="DG189" s="22">
        <f t="shared" si="3"/>
        <v>1053</v>
      </c>
      <c r="DH189" s="22">
        <f>IFERROR(VLOOKUP($C189,'Лист4'!$D:$AI,32,0)," ")</f>
        <v>1.47</v>
      </c>
      <c r="DI189" s="22"/>
      <c r="DJ189" s="22"/>
      <c r="DK189" s="22"/>
      <c r="DL189" s="22"/>
      <c r="DM189" s="22"/>
      <c r="DN189" s="22"/>
      <c r="DO189" s="22"/>
      <c r="DP189" s="22"/>
      <c r="DQ189" s="22"/>
      <c r="DR189" s="22"/>
      <c r="DS189" s="22"/>
      <c r="DT189" s="22"/>
      <c r="DU189" s="22"/>
      <c r="DV189" s="22"/>
      <c r="DW189" s="22"/>
      <c r="DX189" s="22"/>
      <c r="DY189" s="22"/>
      <c r="DZ189" s="22"/>
      <c r="EA189" s="22"/>
      <c r="EB189" s="22"/>
      <c r="EC189" s="22"/>
      <c r="ED189" s="22"/>
      <c r="EE189" s="22"/>
      <c r="EF189" s="22"/>
      <c r="EG189" s="22"/>
      <c r="EH189" s="22"/>
      <c r="EI189" s="22"/>
      <c r="EJ189" s="22"/>
      <c r="EK189" s="22"/>
      <c r="EL189" s="22"/>
      <c r="EM189" s="43"/>
      <c r="EN189" s="43"/>
      <c r="EO189" s="43"/>
      <c r="EP189" s="43"/>
      <c r="EQ189" s="43"/>
      <c r="ER189" s="43"/>
      <c r="ES189" s="43"/>
      <c r="ET189" s="43"/>
      <c r="EU189" s="43"/>
      <c r="EV189" s="43"/>
      <c r="EW189" s="43"/>
      <c r="EX189" s="43"/>
      <c r="EY189" s="43"/>
      <c r="EZ189" s="43"/>
      <c r="FA189" s="43"/>
      <c r="FB189" s="43"/>
      <c r="FC189" s="43"/>
    </row>
    <row r="190" ht="18.0" customHeight="1">
      <c r="A190" s="2"/>
      <c r="B190" s="22" t="str">
        <f>IFERROR(VLOOKUP(C190,'Реестр'!C:AC,27,0)," ")</f>
        <v>Смарт-Сэйл</v>
      </c>
      <c r="C190" s="43" t="s">
        <v>2945</v>
      </c>
      <c r="D190" s="22" t="str">
        <f>IFERROR(VLOOKUP(C190,'Лист4'!D:P,13,0)," ")</f>
        <v>CPA</v>
      </c>
      <c r="E190" s="22" t="str">
        <f>IF(OR(ISERROR(VLOOKUP(C190,'Актуальность'!A:B,2,0)), VLOOKUP(C190,'Актуальность'!A:B,2,0)=""), "Актуальный", VLOOKUP(C190,'Актуальность'!A:B,2,0))</f>
        <v>Актуальный</v>
      </c>
      <c r="F190" s="43" t="str">
        <f>IFERROR(VLOOKUP(C190,'Актуальность'!A:C,3,0)," ")</f>
        <v/>
      </c>
      <c r="G190" s="43"/>
      <c r="H190" s="22" t="s">
        <v>2663</v>
      </c>
      <c r="I190" s="22" t="s">
        <v>2664</v>
      </c>
      <c r="J190" s="43"/>
      <c r="K190" s="43"/>
      <c r="L190" s="22" t="b">
        <f t="shared" ref="L190:R190" si="186">T190&lt;&gt;""</f>
        <v>1</v>
      </c>
      <c r="M190" s="22" t="b">
        <f t="shared" si="186"/>
        <v>1</v>
      </c>
      <c r="N190" s="22" t="b">
        <f t="shared" si="186"/>
        <v>1</v>
      </c>
      <c r="O190" s="22" t="b">
        <f t="shared" si="186"/>
        <v>1</v>
      </c>
      <c r="P190" s="22" t="b">
        <f t="shared" si="186"/>
        <v>0</v>
      </c>
      <c r="Q190" s="22" t="b">
        <f t="shared" si="186"/>
        <v>0</v>
      </c>
      <c r="R190" s="22" t="b">
        <f t="shared" si="186"/>
        <v>0</v>
      </c>
      <c r="S190" s="43"/>
      <c r="T190" s="43" t="str">
        <f>IFERROR(VLOOKUP( C190,'1С'!A:B,2,0)," ")</f>
        <v>CC101100437</v>
      </c>
      <c r="U190" s="22" t="str">
        <f>IFERROR(VLOOKUP(T190,'Лист4'!C:I,3,0)," ")</f>
        <v>kavmaz_40ml_1_1</v>
      </c>
      <c r="V190" s="22" t="str">
        <f>IFERROR(VLOOKUP(T190,'Лист4'!C:I,4,0)," ")</f>
        <v>kavmaz_40ml_1_1</v>
      </c>
      <c r="W190" s="22" t="str">
        <f>IFERROR(VLOOKUP(T190,'Лист4'!C:I,5,0)," ")</f>
        <v>kavmaz_40ml_1_1</v>
      </c>
      <c r="X190" s="43" t="str">
        <f>IFERROR(VLOOKUP(T190,'Лист4'!C:I,7,0)," ")</f>
        <v/>
      </c>
      <c r="Y190" s="43" t="str">
        <f>IFERROR(VLOOKUP(T190,'Лист4'!C:I,6,0)," ")</f>
        <v/>
      </c>
      <c r="Z190" s="43"/>
      <c r="AA190" s="43"/>
      <c r="AB190" s="22">
        <v>3.04495569E8</v>
      </c>
      <c r="AC190" s="22">
        <v>1.792793774E9</v>
      </c>
      <c r="AD190" s="22">
        <v>1.03701539078E11</v>
      </c>
      <c r="AE190" s="22"/>
      <c r="AF190" s="22"/>
      <c r="AG190" s="43"/>
      <c r="AH190" s="43"/>
      <c r="AI190" s="43" t="str">
        <f>IFERROR(VLOOKUP(T190,'1С'!B:C,2,0)," ")</f>
        <v>Мазь для суставов Кавказская мазь , CPA, 40 мл, набор из 2 шт</v>
      </c>
      <c r="AJ190" s="22" t="s">
        <v>2666</v>
      </c>
      <c r="AK190" s="22" t="s">
        <v>2948</v>
      </c>
      <c r="AL190" s="22" t="s">
        <v>2949</v>
      </c>
      <c r="AM190" s="43"/>
      <c r="AN190" s="43"/>
      <c r="AO190" s="43"/>
      <c r="AP190" s="43"/>
      <c r="AQ190" s="46" t="s">
        <v>2950</v>
      </c>
      <c r="AR190" s="46" t="s">
        <v>2951</v>
      </c>
      <c r="AS190" s="46" t="s">
        <v>2952</v>
      </c>
      <c r="AT190" s="43"/>
      <c r="AU190" s="43"/>
      <c r="AV190" s="43"/>
      <c r="AW190" s="43"/>
      <c r="AX190" s="22" t="s">
        <v>594</v>
      </c>
      <c r="AY190" s="22" t="s">
        <v>2948</v>
      </c>
      <c r="AZ190" s="22" t="s">
        <v>2672</v>
      </c>
      <c r="BA190" s="43"/>
      <c r="BB190" s="43"/>
      <c r="BC190" s="43"/>
      <c r="BD190" s="43"/>
      <c r="BE190" s="43"/>
      <c r="BF190" s="22">
        <f>IFERROR(VLOOKUP(C190,'спецификация'!B:D,3,0)," ")</f>
        <v>2042302907722</v>
      </c>
      <c r="BG190" s="22"/>
      <c r="BH190" s="22" t="str">
        <f>IFERROR(VLOOKUP(C190,'спецификация'!B:AA,5,0)," ")</f>
        <v>ЕАЭС N RU Д-RU.PA07.B.70929/23 от 21.09.2023 по 19.09.2028</v>
      </c>
      <c r="BI190" s="22"/>
      <c r="BJ190" s="22" t="str">
        <f>IFERROR(VLOOKUP(C190,'спецификация'!B:AA,6,0)," ")</f>
        <v/>
      </c>
      <c r="BK190" s="43"/>
      <c r="BL190" s="43"/>
      <c r="BM190" s="22" t="str">
        <f>IFERROR(VLOOKUP(BF190,'спецификация'!D:H,5,0)," ")</f>
        <v/>
      </c>
      <c r="BN190" s="43"/>
      <c r="BO190" s="22" t="str">
        <f>IFERROR(VLOOKUP(C190,'спецификация'!B:AA,10,0)," ")</f>
        <v/>
      </c>
      <c r="BP190" s="43" t="str">
        <f>IFERROR(VLOOKUP(C190,'спецификация'!B:AA,11,0)," ")</f>
        <v/>
      </c>
      <c r="BQ190" s="22" t="str">
        <f>IFERROR(VLOOKUP(C190,'спецификация'!B:AA,12,0)," ")</f>
        <v/>
      </c>
      <c r="BR190" s="22">
        <v>80.0</v>
      </c>
      <c r="BS190" s="22" t="s">
        <v>139</v>
      </c>
      <c r="BT190" s="22"/>
      <c r="BU190" s="22"/>
      <c r="BV190" s="22"/>
      <c r="BW190" s="45" t="str">
        <f>IFERROR(VLOOKUP(C190,'спецификация'!B:AA,16,0)," ")</f>
        <v/>
      </c>
      <c r="BX190" s="43"/>
      <c r="BY190" s="43"/>
      <c r="BZ190" s="45" t="str">
        <f>IFERROR(VLOOKUP(BF190,'спецификация'!D:Y,22,0)," ")</f>
        <v/>
      </c>
      <c r="CA190" s="43"/>
      <c r="CB190" s="43"/>
      <c r="CC190" s="43"/>
      <c r="CD190" s="43"/>
      <c r="CE190" s="43"/>
      <c r="CF190" s="43"/>
      <c r="CG190" s="49">
        <f>IFERROR(VLOOKUP(C190,CC!A:D,4,0)," ")</f>
        <v>241</v>
      </c>
      <c r="CH190" s="22" t="str">
        <f>IFERROR(VLOOKUP(C190,'спецификация'!B:AA,19,0)," ")</f>
        <v/>
      </c>
      <c r="CI190" s="22"/>
      <c r="CJ190" s="22"/>
      <c r="CK190" s="22">
        <f>IFERROR(VLOOKUP(C190,CC!K:M,3,0)," ")</f>
        <v>45</v>
      </c>
      <c r="CL190" s="43"/>
      <c r="CM190" s="43"/>
      <c r="CN190" s="43"/>
      <c r="CO190" s="43"/>
      <c r="CP190" s="43"/>
      <c r="CQ190" s="43"/>
      <c r="CR190" s="43"/>
      <c r="CS190" s="43" t="b">
        <v>0</v>
      </c>
      <c r="CT190" s="43" t="b">
        <v>0</v>
      </c>
      <c r="CU190" s="43" t="b">
        <v>0</v>
      </c>
      <c r="CV190" s="43" t="b">
        <v>0</v>
      </c>
      <c r="CW190" s="43"/>
      <c r="CX190" s="43"/>
      <c r="CY190" s="43"/>
      <c r="CZ190" s="43"/>
      <c r="DA190" s="43"/>
      <c r="DB190" s="43"/>
      <c r="DC190" s="43"/>
      <c r="DD190" s="22">
        <f>IFERROR(VLOOKUP($C190,'Лист4'!$D:$AI,27,0)," ")</f>
        <v>7</v>
      </c>
      <c r="DE190" s="22">
        <f>IFERROR(VLOOKUP($C190,'Лист4'!$D:$AI,28,0)," ")</f>
        <v>18</v>
      </c>
      <c r="DF190" s="22">
        <f>IFERROR(VLOOKUP($C190,'Лист4'!$D:$AI,29,0)," ")</f>
        <v>7</v>
      </c>
      <c r="DG190" s="22">
        <f t="shared" si="3"/>
        <v>882</v>
      </c>
      <c r="DH190" s="22">
        <f>IFERROR(VLOOKUP($C190,'Лист4'!$D:$AI,32,0)," ")</f>
        <v>0.09</v>
      </c>
      <c r="DI190" s="22"/>
      <c r="DJ190" s="22"/>
      <c r="DK190" s="22"/>
      <c r="DL190" s="22"/>
      <c r="DM190" s="22"/>
      <c r="DN190" s="22"/>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43"/>
      <c r="EN190" s="43"/>
      <c r="EO190" s="43"/>
      <c r="EP190" s="43"/>
      <c r="EQ190" s="43"/>
      <c r="ER190" s="43"/>
      <c r="ES190" s="43"/>
      <c r="ET190" s="43"/>
      <c r="EU190" s="43"/>
      <c r="EV190" s="43"/>
      <c r="EW190" s="43"/>
      <c r="EX190" s="43"/>
      <c r="EY190" s="43"/>
      <c r="EZ190" s="43"/>
      <c r="FA190" s="43"/>
      <c r="FB190" s="43"/>
      <c r="FC190" s="43"/>
    </row>
    <row r="191" ht="18.0" customHeight="1">
      <c r="A191" s="2"/>
      <c r="B191" s="22" t="str">
        <f>IFERROR(VLOOKUP(C191,'Реестр'!C:AC,27,0)," ")</f>
        <v>Смарт-Сэйл</v>
      </c>
      <c r="C191" s="43" t="s">
        <v>2954</v>
      </c>
      <c r="D191" s="22" t="str">
        <f>IFERROR(VLOOKUP(C191,'Лист4'!D:P,13,0)," ")</f>
        <v>Алтея</v>
      </c>
      <c r="E191" s="22" t="str">
        <f>IF(OR(ISERROR(VLOOKUP(C191,'Актуальность'!A:B,2,0)), VLOOKUP(C191,'Актуальность'!A:B,2,0)=""), "Актуальный", VLOOKUP(C191,'Актуальность'!A:B,2,0))</f>
        <v>Актуальный</v>
      </c>
      <c r="F191" s="43" t="str">
        <f>IFERROR(VLOOKUP(C191,'Актуальность'!A:C,3,0)," ")</f>
        <v/>
      </c>
      <c r="G191" s="43"/>
      <c r="H191" s="22" t="s">
        <v>2743</v>
      </c>
      <c r="I191" s="22" t="s">
        <v>2744</v>
      </c>
      <c r="J191" s="43"/>
      <c r="K191" s="43"/>
      <c r="L191" s="22" t="b">
        <f t="shared" ref="L191:R191" si="187">T191&lt;&gt;""</f>
        <v>1</v>
      </c>
      <c r="M191" s="22" t="b">
        <f t="shared" si="187"/>
        <v>1</v>
      </c>
      <c r="N191" s="22" t="b">
        <f t="shared" si="187"/>
        <v>1</v>
      </c>
      <c r="O191" s="22" t="b">
        <f t="shared" si="187"/>
        <v>1</v>
      </c>
      <c r="P191" s="22" t="b">
        <f t="shared" si="187"/>
        <v>1</v>
      </c>
      <c r="Q191" s="22" t="b">
        <f t="shared" si="187"/>
        <v>1</v>
      </c>
      <c r="R191" s="22" t="b">
        <f t="shared" si="187"/>
        <v>1</v>
      </c>
      <c r="S191" s="43"/>
      <c r="T191" s="43" t="str">
        <f>IFERROR(VLOOKUP( C191,'1С'!A:B,2,0)," ")</f>
        <v>AC101100443</v>
      </c>
      <c r="U191" s="22" t="str">
        <f>IFERROR(VLOOKUP(T191,'Лист4'!C:I,3,0)," ")</f>
        <v>retinait_krem_025_50ml</v>
      </c>
      <c r="V191" s="22" t="str">
        <f>IFERROR(VLOOKUP(T191,'Лист4'!C:I,4,0)," ")</f>
        <v>retinait_krem_025_50ml</v>
      </c>
      <c r="W191" s="22" t="str">
        <f>IFERROR(VLOOKUP(T191,'Лист4'!C:I,5,0)," ")</f>
        <v>retinait_krem_025_50ml</v>
      </c>
      <c r="X191" s="43" t="str">
        <f>IFERROR(VLOOKUP(T191,'Лист4'!C:I,7,0)," ")</f>
        <v>retinait_krem_025_50ml</v>
      </c>
      <c r="Y191" s="43" t="str">
        <f>IFERROR(VLOOKUP(T191,'Лист4'!C:I,6,0)," ")</f>
        <v>retinait_krem_025_50ml</v>
      </c>
      <c r="Z191" s="22" t="s">
        <v>2954</v>
      </c>
      <c r="AA191" s="43"/>
      <c r="AB191" s="22">
        <v>5.26620725E8</v>
      </c>
      <c r="AC191" s="22">
        <v>2.830096367E9</v>
      </c>
      <c r="AD191" s="22">
        <v>4.644510464E9</v>
      </c>
      <c r="AE191" s="22">
        <v>9.9000124418E10</v>
      </c>
      <c r="AF191" s="22" t="s">
        <v>2957</v>
      </c>
      <c r="AG191" s="22" t="s">
        <v>2958</v>
      </c>
      <c r="AH191" s="43"/>
      <c r="AI191" s="43" t="str">
        <f>IFERROR(VLOOKUP(T191,'1С'!B:C,2,0)," ")</f>
        <v>Крем для лица Ретинайт 0,25%, Алтея, 50 мл</v>
      </c>
      <c r="AJ191" s="22" t="s">
        <v>2959</v>
      </c>
      <c r="AK191" s="22" t="s">
        <v>2959</v>
      </c>
      <c r="AL191" s="22" t="s">
        <v>2960</v>
      </c>
      <c r="AM191" s="22" t="s">
        <v>2749</v>
      </c>
      <c r="AN191" s="22" t="s">
        <v>2959</v>
      </c>
      <c r="AO191" s="22" t="s">
        <v>2961</v>
      </c>
      <c r="AP191" s="43"/>
      <c r="AQ191" s="46" t="s">
        <v>2962</v>
      </c>
      <c r="AR191" s="46" t="s">
        <v>2963</v>
      </c>
      <c r="AS191" s="46" t="s">
        <v>2964</v>
      </c>
      <c r="AT191" s="46" t="s">
        <v>2965</v>
      </c>
      <c r="AU191" s="46" t="s">
        <v>2966</v>
      </c>
      <c r="AV191" s="46" t="s">
        <v>2967</v>
      </c>
      <c r="AW191" s="43"/>
      <c r="AX191" s="22" t="s">
        <v>594</v>
      </c>
      <c r="AY191" s="22" t="s">
        <v>2959</v>
      </c>
      <c r="AZ191" s="22" t="s">
        <v>595</v>
      </c>
      <c r="BA191" s="22" t="s">
        <v>1447</v>
      </c>
      <c r="BB191" s="22" t="s">
        <v>596</v>
      </c>
      <c r="BC191" s="22" t="s">
        <v>597</v>
      </c>
      <c r="BD191" s="43"/>
      <c r="BE191" s="43"/>
      <c r="BF191" s="22">
        <f>IFERROR(VLOOKUP(C191,'спецификация'!B:D,3,0)," ")</f>
        <v>4660417421599</v>
      </c>
      <c r="BG191" s="22">
        <v>3.30499E9</v>
      </c>
      <c r="BH191" s="22" t="str">
        <f>IFERROR(VLOOKUP(C191,'спецификация'!B:AA,5,0)," ")</f>
        <v/>
      </c>
      <c r="BI191" s="22"/>
      <c r="BJ191" s="22" t="str">
        <f>IFERROR(VLOOKUP(C191,'спецификация'!B:AA,6,0)," ")</f>
        <v>нет</v>
      </c>
      <c r="BK191" s="43"/>
      <c r="BL191" s="43"/>
      <c r="BM191" s="22" t="str">
        <f>IFERROR(VLOOKUP(BF191,'спецификация'!D:H,5,0)," ")</f>
        <v>AQUA, ISOPROPYL PALMITATE, ACRYLAMIDE/SODIUM ACRYLATE COPOLYMER, NIACINAMIDE, UREA, SQUALANE, HELIANTHUS ANNUUS (SUNFLOWER) SEED OIL, MINERAL OIL, CYCLOPENTASILOXANE, CAPRYLIC/CAPRIC TRIGLYCERIDE,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v>
      </c>
      <c r="BN191" s="43"/>
      <c r="BO191" s="22" t="str">
        <f>IFERROR(VLOOKUP(C191,'спецификация'!B:AA,10,0)," ")</f>
        <v>небольшое количество крема распределить между ладоней. Нанести на сухую кожу лица. Сделать легкий массаж.</v>
      </c>
      <c r="BP191" s="43" t="str">
        <f>IFERROR(VLOOKUP(C191,'спецификация'!B:AA,11,0)," ")</f>
        <v>Меры предосторожности: возможна индивидуальная непереносимость к отдельным компонентам.</v>
      </c>
      <c r="BQ191" s="22" t="str">
        <f>IFERROR(VLOOKUP(C191,'спецификация'!B:AA,12,0)," ")</f>
        <v>хранить в сухом недоступном для света месте при температуре от +5 до +25.</v>
      </c>
      <c r="BR191" s="22">
        <v>50.0</v>
      </c>
      <c r="BS191" s="22" t="s">
        <v>139</v>
      </c>
      <c r="BT191" s="22"/>
      <c r="BU191" s="22"/>
      <c r="BV191" s="22" t="s">
        <v>727</v>
      </c>
      <c r="BW191" s="44" t="str">
        <f>IFERROR(VLOOKUP(C191,'спецификация'!B:AA,16,0)," ")</f>
        <v>https://docs.google.com/document/d/1cSaA4lAcWsL5SRFX_4-taBolZn_GgoP1KgEBd_RgyeQ/edit?tab=t.0</v>
      </c>
      <c r="BX191" s="43"/>
      <c r="BY191" s="43"/>
      <c r="BZ191" s="45" t="str">
        <f>IFERROR(VLOOKUP(BF191,'спецификация'!D:Y,22,0)," ")</f>
        <v/>
      </c>
      <c r="CA191" s="43"/>
      <c r="CB191" s="43"/>
      <c r="CC191" s="43"/>
      <c r="CD191" s="43"/>
      <c r="CE191" s="43"/>
      <c r="CF191" s="43"/>
      <c r="CG191" s="49">
        <f>IFERROR(VLOOKUP(C191,CC!A:D,4,0)," ")</f>
        <v>87.5</v>
      </c>
      <c r="CH191" s="22" t="str">
        <f>IFERROR(VLOOKUP(C191,'спецификация'!B:AA,19,0)," ")</f>
        <v>ООО Восток-Плюс</v>
      </c>
      <c r="CI191" s="22"/>
      <c r="CJ191" s="22" t="s">
        <v>2763</v>
      </c>
      <c r="CK191" s="22">
        <f>IFERROR(VLOOKUP(C191,CC!K:M,3,0)," ")</f>
        <v>45</v>
      </c>
      <c r="CL191" s="43"/>
      <c r="CM191" s="43"/>
      <c r="CN191" s="43"/>
      <c r="CO191" s="43"/>
      <c r="CP191" s="43"/>
      <c r="CQ191" s="43"/>
      <c r="CR191" s="43"/>
      <c r="CS191" s="43" t="b">
        <v>0</v>
      </c>
      <c r="CT191" s="43" t="b">
        <v>0</v>
      </c>
      <c r="CU191" s="43" t="b">
        <v>0</v>
      </c>
      <c r="CV191" s="43" t="b">
        <v>0</v>
      </c>
      <c r="CW191" s="43"/>
      <c r="CX191" s="43"/>
      <c r="CY191" s="43"/>
      <c r="CZ191" s="43"/>
      <c r="DA191" s="43"/>
      <c r="DB191" s="43"/>
      <c r="DC191" s="43"/>
      <c r="DD191" s="22">
        <f>IFERROR(VLOOKUP($C191,'Лист4'!$D:$AI,27,0)," ")</f>
        <v>13</v>
      </c>
      <c r="DE191" s="22">
        <f>IFERROR(VLOOKUP($C191,'Лист4'!$D:$AI,28,0)," ")</f>
        <v>4</v>
      </c>
      <c r="DF191" s="22">
        <f>IFERROR(VLOOKUP($C191,'Лист4'!$D:$AI,29,0)," ")</f>
        <v>13</v>
      </c>
      <c r="DG191" s="22">
        <f t="shared" si="3"/>
        <v>676</v>
      </c>
      <c r="DH191" s="22">
        <f>IFERROR(VLOOKUP($C191,'Лист4'!$D:$AI,32,0)," ")</f>
        <v>0.088</v>
      </c>
      <c r="DI191" s="22"/>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43"/>
      <c r="EN191" s="43"/>
      <c r="EO191" s="43"/>
      <c r="EP191" s="43"/>
      <c r="EQ191" s="43"/>
      <c r="ER191" s="43"/>
      <c r="ES191" s="43"/>
      <c r="ET191" s="43"/>
      <c r="EU191" s="43"/>
      <c r="EV191" s="43"/>
      <c r="EW191" s="43"/>
      <c r="EX191" s="43"/>
      <c r="EY191" s="43"/>
      <c r="EZ191" s="43"/>
      <c r="FA191" s="43"/>
      <c r="FB191" s="43"/>
      <c r="FC191" s="43"/>
    </row>
    <row r="192" ht="18.0" customHeight="1">
      <c r="A192" s="2"/>
      <c r="B192" s="22" t="str">
        <f>IFERROR(VLOOKUP(C192,'Реестр'!C:AC,27,0)," ")</f>
        <v>Смарт-Сэйл</v>
      </c>
      <c r="C192" s="43" t="s">
        <v>2970</v>
      </c>
      <c r="D192" s="22" t="str">
        <f>IFERROR(VLOOKUP(C192,'Лист4'!D:P,13,0)," ")</f>
        <v>Алтея</v>
      </c>
      <c r="E192" s="22" t="str">
        <f>IF(OR(ISERROR(VLOOKUP(C192,'Актуальность'!A:B,2,0)), VLOOKUP(C192,'Актуальность'!A:B,2,0)=""), "Актуальный", VLOOKUP(C192,'Актуальность'!A:B,2,0))</f>
        <v>Актуальный</v>
      </c>
      <c r="F192" s="43" t="str">
        <f>IFERROR(VLOOKUP(C192,'Актуальность'!A:C,3,0)," ")</f>
        <v/>
      </c>
      <c r="G192" s="43"/>
      <c r="H192" s="22" t="s">
        <v>2743</v>
      </c>
      <c r="I192" s="22" t="s">
        <v>2744</v>
      </c>
      <c r="J192" s="43"/>
      <c r="K192" s="43"/>
      <c r="L192" s="22" t="b">
        <f t="shared" ref="L192:R192" si="188">T192&lt;&gt;""</f>
        <v>1</v>
      </c>
      <c r="M192" s="22" t="b">
        <f t="shared" si="188"/>
        <v>1</v>
      </c>
      <c r="N192" s="22" t="b">
        <f t="shared" si="188"/>
        <v>1</v>
      </c>
      <c r="O192" s="22" t="b">
        <f t="shared" si="188"/>
        <v>1</v>
      </c>
      <c r="P192" s="22" t="b">
        <f t="shared" si="188"/>
        <v>1</v>
      </c>
      <c r="Q192" s="22" t="b">
        <f t="shared" si="188"/>
        <v>0</v>
      </c>
      <c r="R192" s="22" t="b">
        <f t="shared" si="188"/>
        <v>0</v>
      </c>
      <c r="S192" s="43"/>
      <c r="T192" s="43" t="str">
        <f>IFERROR(VLOOKUP( C192,'1С'!A:B,2,0)," ")</f>
        <v>AC101100444</v>
      </c>
      <c r="U192" s="22" t="str">
        <f>IFERROR(VLOOKUP(T192,'Лист4'!C:I,3,0)," ")</f>
        <v>retinait_krem_05_50ml</v>
      </c>
      <c r="V192" s="22" t="str">
        <f>IFERROR(VLOOKUP(T192,'Лист4'!C:I,4,0)," ")</f>
        <v>retinait_krem_05_50ml</v>
      </c>
      <c r="W192" s="22" t="str">
        <f>IFERROR(VLOOKUP(T192,'Лист4'!C:I,5,0)," ")</f>
        <v>retinait_krem_05_50ml</v>
      </c>
      <c r="X192" s="55" t="s">
        <v>2970</v>
      </c>
      <c r="Y192" s="43"/>
      <c r="Z192" s="43"/>
      <c r="AA192" s="43"/>
      <c r="AB192" s="22">
        <v>5.55457305E8</v>
      </c>
      <c r="AC192" s="22">
        <v>2.937061626E9</v>
      </c>
      <c r="AD192" s="22">
        <v>4.737525756E9</v>
      </c>
      <c r="AE192" s="22">
        <v>9.9000131675E10</v>
      </c>
      <c r="AF192" s="22"/>
      <c r="AG192" s="43"/>
      <c r="AH192" s="43"/>
      <c r="AI192" s="43" t="str">
        <f>IFERROR(VLOOKUP(T192,'1С'!B:C,2,0)," ")</f>
        <v>Крем для лица Ретинайт 0,5%, Алтея, 50 мл</v>
      </c>
      <c r="AJ192" s="22" t="s">
        <v>2973</v>
      </c>
      <c r="AK192" s="22" t="s">
        <v>2973</v>
      </c>
      <c r="AL192" s="22" t="s">
        <v>2974</v>
      </c>
      <c r="AM192" s="22" t="s">
        <v>2975</v>
      </c>
      <c r="AN192" s="43"/>
      <c r="AO192" s="43"/>
      <c r="AP192" s="43"/>
      <c r="AQ192" s="46" t="s">
        <v>2976</v>
      </c>
      <c r="AR192" s="46" t="s">
        <v>2977</v>
      </c>
      <c r="AS192" s="46" t="s">
        <v>2978</v>
      </c>
      <c r="AT192" s="43"/>
      <c r="AU192" s="43"/>
      <c r="AV192" s="43"/>
      <c r="AW192" s="43"/>
      <c r="AX192" s="22" t="s">
        <v>594</v>
      </c>
      <c r="AY192" s="22" t="s">
        <v>2973</v>
      </c>
      <c r="AZ192" s="22" t="s">
        <v>595</v>
      </c>
      <c r="BA192" s="22" t="s">
        <v>1447</v>
      </c>
      <c r="BB192" s="43"/>
      <c r="BC192" s="43"/>
      <c r="BD192" s="43"/>
      <c r="BE192" s="43"/>
      <c r="BF192" s="22" t="str">
        <f>IFERROR(VLOOKUP(C192,'спецификация'!B:D,3,0)," ")</f>
        <v>4660417421759/4648767478777(ДжиЭсЭс)</v>
      </c>
      <c r="BG192" s="22">
        <v>3.30499E9</v>
      </c>
      <c r="BH192" s="22" t="str">
        <f>IFERROR(VLOOKUP(C192,'спецификация'!B:AA,5,0)," ")</f>
        <v/>
      </c>
      <c r="BI192" s="22"/>
      <c r="BJ192" s="22" t="str">
        <f>IFERROR(VLOOKUP(C192,'спецификация'!B:AA,6,0)," ")</f>
        <v>нет</v>
      </c>
      <c r="BK192" s="43"/>
      <c r="BL192" s="43"/>
      <c r="BM192" s="22" t="str">
        <f>IFERROR(VLOOKUP(BF192,'спецификация'!D:H,5,0)," ")</f>
        <v>AQUA, ISOPROPYL PALMITATE, ACRYLAMIDE/SODIUM ACRYLATE COPOLYMER, NIACINAMIDE, UREA, SQUALANE, HELIANTHUS ANNUUS (SUNFLOWER) SEED OIL, MINERAL OIL, CYCLOPENTASILOXANE, CAPRYLIC/CAPRIC TRIGLYCERIDE, CAPRYLIC/CAPRIC TRIGLYCERIDE, ACRYLATES/C10-30 ALKYL ACRYLATE CROSSPOLYMER, TOCOPHERYL ACETATE, LECITHIN, RETINOL, PHOSPHOLIPIDS, DIMETHICONOL, PANTHENOL, TRIDECETH-6, C11-13 ISOPARAFFIN, COLLOIDAL GOLD, BHT, TETRASODIUM GLUTAMATE DIACETATE, SODIUM HYDROXIDE, PHENOXYETHANOL, ETHYLHEXYLGLYCERIN, PARFUM, GERANIOL, LINALOOL</v>
      </c>
      <c r="BN192" s="43"/>
      <c r="BO192" s="22" t="str">
        <f>IFERROR(VLOOKUP(C192,'спецификация'!B:AA,10,0)," ")</f>
        <v>небольшое количество крема распределить между ладоней. Нанести на сухую кожу лица. Сделать легкий массаж.</v>
      </c>
      <c r="BP192" s="43" t="str">
        <f>IFERROR(VLOOKUP(C192,'спецификация'!B:AA,11,0)," ")</f>
        <v>Меры предосторожности: возможна индивидуальная непереносимость к отдельным компонентам.</v>
      </c>
      <c r="BQ192" s="22" t="str">
        <f>IFERROR(VLOOKUP(C192,'спецификация'!B:AA,12,0)," ")</f>
        <v>хранить в сухом недоступном для света месте при температуре от +5 до +25.</v>
      </c>
      <c r="BR192" s="22">
        <v>50.0</v>
      </c>
      <c r="BS192" s="22" t="s">
        <v>139</v>
      </c>
      <c r="BT192" s="22"/>
      <c r="BU192" s="22"/>
      <c r="BV192" s="22" t="s">
        <v>727</v>
      </c>
      <c r="BW192" s="44" t="str">
        <f>IFERROR(VLOOKUP(C192,'спецификация'!B:AA,16,0)," ")</f>
        <v>https://docs.google.com/document/d/1eW9stCVnpHScM5yFN6L8U9I2EbyhXMXr/edit</v>
      </c>
      <c r="BX192" s="43"/>
      <c r="BY192" s="43"/>
      <c r="BZ192" s="45" t="str">
        <f>IFERROR(VLOOKUP(BF192,'спецификация'!D:Y,22,0)," ")</f>
        <v/>
      </c>
      <c r="CA192" s="43"/>
      <c r="CB192" s="43"/>
      <c r="CC192" s="43"/>
      <c r="CD192" s="43"/>
      <c r="CE192" s="43"/>
      <c r="CF192" s="43"/>
      <c r="CG192" s="49">
        <f>IFERROR(VLOOKUP(C192,CC!A:D,4,0)," ")</f>
        <v>108.83</v>
      </c>
      <c r="CH192" s="22" t="str">
        <f>IFERROR(VLOOKUP(C192,'спецификация'!B:AA,19,0)," ")</f>
        <v>ООО Восток-Плюс</v>
      </c>
      <c r="CI192" s="22"/>
      <c r="CJ192" s="22"/>
      <c r="CK192" s="22">
        <f>IFERROR(VLOOKUP(C192,CC!K:M,3,0)," ")</f>
        <v>45</v>
      </c>
      <c r="CL192" s="43"/>
      <c r="CM192" s="43"/>
      <c r="CN192" s="43"/>
      <c r="CO192" s="43"/>
      <c r="CP192" s="43"/>
      <c r="CQ192" s="43"/>
      <c r="CR192" s="43"/>
      <c r="CS192" s="43" t="b">
        <v>0</v>
      </c>
      <c r="CT192" s="43" t="b">
        <v>0</v>
      </c>
      <c r="CU192" s="43" t="b">
        <v>0</v>
      </c>
      <c r="CV192" s="43" t="b">
        <v>0</v>
      </c>
      <c r="CW192" s="43"/>
      <c r="CX192" s="43"/>
      <c r="CY192" s="43"/>
      <c r="CZ192" s="43"/>
      <c r="DA192" s="43"/>
      <c r="DB192" s="43"/>
      <c r="DC192" s="43"/>
      <c r="DD192" s="22">
        <f>IFERROR(VLOOKUP($C192,'Лист4'!$D:$AI,27,0)," ")</f>
        <v>13</v>
      </c>
      <c r="DE192" s="22">
        <f>IFERROR(VLOOKUP($C192,'Лист4'!$D:$AI,28,0)," ")</f>
        <v>4</v>
      </c>
      <c r="DF192" s="22">
        <f>IFERROR(VLOOKUP($C192,'Лист4'!$D:$AI,29,0)," ")</f>
        <v>13</v>
      </c>
      <c r="DG192" s="22">
        <f t="shared" si="3"/>
        <v>676</v>
      </c>
      <c r="DH192" s="22">
        <f>IFERROR(VLOOKUP($C192,'Лист4'!$D:$AI,32,0)," ")</f>
        <v>0.088</v>
      </c>
      <c r="DI192" s="22"/>
      <c r="DJ192" s="22"/>
      <c r="DK192" s="22"/>
      <c r="DL192" s="22"/>
      <c r="DM192" s="22"/>
      <c r="DN192" s="22"/>
      <c r="DO192" s="22"/>
      <c r="DP192" s="22"/>
      <c r="DQ192" s="22"/>
      <c r="DR192" s="22"/>
      <c r="DS192" s="22"/>
      <c r="DT192" s="22"/>
      <c r="DU192" s="22"/>
      <c r="DV192" s="22"/>
      <c r="DW192" s="22"/>
      <c r="DX192" s="22"/>
      <c r="DY192" s="22"/>
      <c r="DZ192" s="22"/>
      <c r="EA192" s="22"/>
      <c r="EB192" s="22"/>
      <c r="EC192" s="22"/>
      <c r="ED192" s="22"/>
      <c r="EE192" s="22"/>
      <c r="EF192" s="22"/>
      <c r="EG192" s="22"/>
      <c r="EH192" s="22"/>
      <c r="EI192" s="22"/>
      <c r="EJ192" s="22"/>
      <c r="EK192" s="22"/>
      <c r="EL192" s="22"/>
      <c r="EM192" s="43"/>
      <c r="EN192" s="43"/>
      <c r="EO192" s="43"/>
      <c r="EP192" s="43"/>
      <c r="EQ192" s="43"/>
      <c r="ER192" s="43"/>
      <c r="ES192" s="43"/>
      <c r="ET192" s="43"/>
      <c r="EU192" s="43"/>
      <c r="EV192" s="43"/>
      <c r="EW192" s="43"/>
      <c r="EX192" s="43"/>
      <c r="EY192" s="43"/>
      <c r="EZ192" s="43"/>
      <c r="FA192" s="43"/>
      <c r="FB192" s="43"/>
      <c r="FC192" s="43"/>
    </row>
    <row r="193" ht="18.0" customHeight="1">
      <c r="A193" s="2"/>
      <c r="B193" s="22" t="str">
        <f>IFERROR(VLOOKUP(C193,'Реестр'!C:AC,27,0)," ")</f>
        <v>Смарт-Сэйл</v>
      </c>
      <c r="C193" s="43" t="s">
        <v>2982</v>
      </c>
      <c r="D193" s="22" t="str">
        <f>IFERROR(VLOOKUP(C193,'Лист4'!D:P,13,0)," ")</f>
        <v>Алтея</v>
      </c>
      <c r="E193" s="22" t="str">
        <f>IF(OR(ISERROR(VLOOKUP(C193,'Актуальность'!A:B,2,0)), VLOOKUP(C193,'Актуальность'!A:B,2,0)=""), "Актуальный", VLOOKUP(C193,'Актуальность'!A:B,2,0))</f>
        <v>Актуальный</v>
      </c>
      <c r="F193" s="43" t="str">
        <f>IFERROR(VLOOKUP(C193,'Актуальность'!A:C,3,0)," ")</f>
        <v/>
      </c>
      <c r="G193" s="43"/>
      <c r="H193" s="22" t="s">
        <v>361</v>
      </c>
      <c r="I193" s="22" t="s">
        <v>2984</v>
      </c>
      <c r="J193" s="43"/>
      <c r="K193" s="43"/>
      <c r="L193" s="22" t="b">
        <f t="shared" ref="L193:R193" si="189">T193&lt;&gt;""</f>
        <v>1</v>
      </c>
      <c r="M193" s="22" t="b">
        <f t="shared" si="189"/>
        <v>1</v>
      </c>
      <c r="N193" s="22" t="b">
        <f t="shared" si="189"/>
        <v>1</v>
      </c>
      <c r="O193" s="22" t="b">
        <f t="shared" si="189"/>
        <v>1</v>
      </c>
      <c r="P193" s="22" t="b">
        <f t="shared" si="189"/>
        <v>0</v>
      </c>
      <c r="Q193" s="22" t="b">
        <f t="shared" si="189"/>
        <v>0</v>
      </c>
      <c r="R193" s="22" t="b">
        <f t="shared" si="189"/>
        <v>0</v>
      </c>
      <c r="S193" s="43"/>
      <c r="T193" s="43" t="str">
        <f>IFERROR(VLOOKUP( C193,'1С'!A:B,2,0)," ")</f>
        <v>AB101100407</v>
      </c>
      <c r="U193" s="22" t="str">
        <f>IFERROR(VLOOKUP(T193,'Лист4'!C:I,3,0)," ")</f>
        <v>telomeras_60caps</v>
      </c>
      <c r="V193" s="22" t="str">
        <f>IFERROR(VLOOKUP(T193,'Лист4'!C:I,4,0)," ")</f>
        <v>telomeras_60caps</v>
      </c>
      <c r="W193" s="22" t="str">
        <f>IFERROR(VLOOKUP(T193,'Лист4'!C:I,5,0)," ")</f>
        <v>telomeras_60caps</v>
      </c>
      <c r="X193" s="43" t="str">
        <f>IFERROR(VLOOKUP(T193,'Лист4'!C:I,7,0)," ")</f>
        <v/>
      </c>
      <c r="Y193" s="43" t="str">
        <f>IFERROR(VLOOKUP(T193,'Лист4'!C:I,6,0)," ")</f>
        <v/>
      </c>
      <c r="Z193" s="43"/>
      <c r="AA193" s="43"/>
      <c r="AB193" s="22">
        <v>4.71341724E8</v>
      </c>
      <c r="AC193" s="22">
        <v>2.498032276E9</v>
      </c>
      <c r="AD193" s="22">
        <v>4.537860153E9</v>
      </c>
      <c r="AE193" s="22"/>
      <c r="AF193" s="22"/>
      <c r="AG193" s="43"/>
      <c r="AH193" s="43"/>
      <c r="AI193" s="43" t="str">
        <f>IFERROR(VLOOKUP(T193,'1С'!B:C,2,0)," ")</f>
        <v>Пищевая добавка Теломерас, Алтея, 60 капсул</v>
      </c>
      <c r="AJ193" s="22" t="s">
        <v>2986</v>
      </c>
      <c r="AK193" s="22" t="s">
        <v>2987</v>
      </c>
      <c r="AL193" s="22" t="s">
        <v>2988</v>
      </c>
      <c r="AM193" s="43"/>
      <c r="AN193" s="43"/>
      <c r="AO193" s="43"/>
      <c r="AP193" s="43"/>
      <c r="AQ193" s="46" t="s">
        <v>2989</v>
      </c>
      <c r="AR193" s="46" t="s">
        <v>2990</v>
      </c>
      <c r="AS193" s="46" t="s">
        <v>2991</v>
      </c>
      <c r="AT193" s="43"/>
      <c r="AU193" s="43"/>
      <c r="AV193" s="43"/>
      <c r="AW193" s="43"/>
      <c r="AX193" s="22" t="s">
        <v>2992</v>
      </c>
      <c r="AY193" s="22" t="s">
        <v>2987</v>
      </c>
      <c r="AZ193" s="22" t="s">
        <v>372</v>
      </c>
      <c r="BA193" s="43"/>
      <c r="BB193" s="43"/>
      <c r="BC193" s="43"/>
      <c r="BD193" s="43"/>
      <c r="BE193" s="43"/>
      <c r="BF193" s="22">
        <f>IFERROR(VLOOKUP(C193,'спецификация'!B:D,3,0)," ")</f>
        <v>4673748455362</v>
      </c>
      <c r="BG193" s="22"/>
      <c r="BH193" s="22" t="str">
        <f>IFERROR(VLOOKUP(C193,'спецификация'!B:AA,5,0)," ")</f>
        <v/>
      </c>
      <c r="BI193" s="22"/>
      <c r="BJ193" s="22" t="str">
        <f>IFERROR(VLOOKUP(C193,'спецификация'!B:AA,6,0)," ")</f>
        <v>нет</v>
      </c>
      <c r="BK193" s="43"/>
      <c r="BL193" s="43"/>
      <c r="BM193" s="22" t="str">
        <f>IFERROR(VLOOKUP(BF193,'спецификация'!D:H,5,0)," ")</f>
        <v>бета-никотинамид мононуклеотид (NMN), экстракт корня куркумы, коэнзим Q10, магния бисглицинат, аскорбат натрия, цинка пиколинат, токоферола ацетат (Витамин Е), экстракт корня астрагала перепончатого (циклоастрогенол, ТА-65), ретинола ацетат (Витамин А), холекальциферол (витамин Д3), желатин (капсула)</v>
      </c>
      <c r="BN193" s="43"/>
      <c r="BO193" s="22" t="str">
        <f>IFERROR(VLOOKUP(C193,'спецификация'!B:AA,10,0)," ")</f>
        <v>взрослым по 1 капсуле 2 раза в день.</v>
      </c>
      <c r="BP193" s="43" t="str">
        <f>IFERROR(VLOOKUP(C193,'спецификация'!B:AA,11,0)," ")</f>
        <v>индивидуальная непереносимость компонентов, беременность, кормление грудью. Перед применением рекомендуется проконсультироваться с врачом.</v>
      </c>
      <c r="BQ193" s="22" t="str">
        <f>IFERROR(VLOOKUP(C193,'спецификация'!B:AA,12,0)," ")</f>
        <v>хранить в сухом, защищенном от попадания прямых солнечных лучей, недоступном для детей месте при температуре не выше 25°С</v>
      </c>
      <c r="BR193" s="22">
        <v>60.0</v>
      </c>
      <c r="BS193" s="22" t="s">
        <v>492</v>
      </c>
      <c r="BT193" s="22"/>
      <c r="BU193" s="22"/>
      <c r="BV193" s="22" t="s">
        <v>307</v>
      </c>
      <c r="BW193" s="44" t="str">
        <f>IFERROR(VLOOKUP(C193,'спецификация'!B:AA,16,0)," ")</f>
        <v>https://docs.google.com/document/d/1Jl22__sMvcpWCvZXeq02WUt5xd2EZrXW/edit?usp=drive_web&amp;ouid=104241417680089502627&amp;rtpof=true</v>
      </c>
      <c r="BX193" s="43"/>
      <c r="BY193" s="43"/>
      <c r="BZ193" s="45" t="str">
        <f>IFERROR(VLOOKUP(BF193,'спецификация'!D:Y,22,0)," ")</f>
        <v/>
      </c>
      <c r="CA193" s="43"/>
      <c r="CB193" s="43"/>
      <c r="CC193" s="43"/>
      <c r="CD193" s="43"/>
      <c r="CE193" s="43"/>
      <c r="CF193" s="43"/>
      <c r="CG193" s="49">
        <f>IFERROR(VLOOKUP(C193,CC!A:D,4,0)," ")</f>
        <v>596.28</v>
      </c>
      <c r="CH193" s="22" t="str">
        <f>IFERROR(VLOOKUP(C193,'спецификация'!B:AA,19,0)," ")</f>
        <v>ООО «Контракт Продукт»,195269, Россия, г. Санкт-Петербург, ул. Учительская, д. 23, литер А, помещение 615. Телефон: 8 (800) 444-76-1</v>
      </c>
      <c r="CI193" s="22"/>
      <c r="CJ193" s="22" t="s">
        <v>1702</v>
      </c>
      <c r="CK193" s="22">
        <f>IFERROR(VLOOKUP(C193,CC!K:M,3,0)," ")</f>
        <v>60</v>
      </c>
      <c r="CL193" s="43"/>
      <c r="CM193" s="43"/>
      <c r="CN193" s="43"/>
      <c r="CO193" s="43"/>
      <c r="CP193" s="43"/>
      <c r="CQ193" s="43"/>
      <c r="CR193" s="43"/>
      <c r="CS193" s="43" t="b">
        <v>0</v>
      </c>
      <c r="CT193" s="43" t="b">
        <v>0</v>
      </c>
      <c r="CU193" s="43" t="b">
        <v>0</v>
      </c>
      <c r="CV193" s="43" t="b">
        <v>0</v>
      </c>
      <c r="CW193" s="43"/>
      <c r="CX193" s="43"/>
      <c r="CY193" s="43"/>
      <c r="CZ193" s="43"/>
      <c r="DA193" s="43"/>
      <c r="DB193" s="43"/>
      <c r="DC193" s="43"/>
      <c r="DD193" s="22">
        <f>IFERROR(VLOOKUP($C193,'Лист4'!$D:$AI,27,0)," ")</f>
        <v>5</v>
      </c>
      <c r="DE193" s="22">
        <f>IFERROR(VLOOKUP($C193,'Лист4'!$D:$AI,28,0)," ")</f>
        <v>6</v>
      </c>
      <c r="DF193" s="22">
        <f>IFERROR(VLOOKUP($C193,'Лист4'!$D:$AI,29,0)," ")</f>
        <v>5</v>
      </c>
      <c r="DG193" s="22">
        <f t="shared" si="3"/>
        <v>150</v>
      </c>
      <c r="DH193" s="22">
        <f>IFERROR(VLOOKUP($C193,'Лист4'!$D:$AI,32,0)," ")</f>
        <v>0.06</v>
      </c>
      <c r="DI193" s="22"/>
      <c r="DJ193" s="22"/>
      <c r="DK193" s="22"/>
      <c r="DL193" s="22"/>
      <c r="DM193" s="22"/>
      <c r="DN193" s="22"/>
      <c r="DO193" s="22"/>
      <c r="DP193" s="22"/>
      <c r="DQ193" s="22"/>
      <c r="DR193" s="22"/>
      <c r="DS193" s="22"/>
      <c r="DT193" s="22"/>
      <c r="DU193" s="22"/>
      <c r="DV193" s="22"/>
      <c r="DW193" s="22"/>
      <c r="DX193" s="22"/>
      <c r="DY193" s="22"/>
      <c r="DZ193" s="22"/>
      <c r="EA193" s="22"/>
      <c r="EB193" s="22"/>
      <c r="EC193" s="22"/>
      <c r="ED193" s="22"/>
      <c r="EE193" s="22"/>
      <c r="EF193" s="22"/>
      <c r="EG193" s="22"/>
      <c r="EH193" s="22"/>
      <c r="EI193" s="22"/>
      <c r="EJ193" s="22"/>
      <c r="EK193" s="22"/>
      <c r="EL193" s="22"/>
      <c r="EM193" s="43"/>
      <c r="EN193" s="43"/>
      <c r="EO193" s="43"/>
      <c r="EP193" s="43"/>
      <c r="EQ193" s="43"/>
      <c r="ER193" s="43"/>
      <c r="ES193" s="43"/>
      <c r="ET193" s="43"/>
      <c r="EU193" s="43"/>
      <c r="EV193" s="43"/>
      <c r="EW193" s="43"/>
      <c r="EX193" s="43"/>
      <c r="EY193" s="43"/>
      <c r="EZ193" s="43"/>
      <c r="FA193" s="43"/>
      <c r="FB193" s="43"/>
      <c r="FC193" s="43"/>
    </row>
    <row r="194" ht="18.0" customHeight="1">
      <c r="A194" s="2"/>
      <c r="B194" s="22" t="str">
        <f>IFERROR(VLOOKUP(C194,'Реестр'!C:AC,27,0)," ")</f>
        <v>Смарт-Сэйл</v>
      </c>
      <c r="C194" s="43" t="s">
        <v>3021</v>
      </c>
      <c r="D194" s="22" t="str">
        <f>IFERROR(VLOOKUP(C194,'Лист4'!D:P,13,0)," ")</f>
        <v>Алтея</v>
      </c>
      <c r="E194" s="22" t="str">
        <f>IF(OR(ISERROR(VLOOKUP(C194,'Актуальность'!A:B,2,0)), VLOOKUP(C194,'Актуальность'!A:B,2,0)=""), "Актуальный", VLOOKUP(C194,'Актуальность'!A:B,2,0))</f>
        <v>Актуальный</v>
      </c>
      <c r="F194" s="43" t="str">
        <f>IFERROR(VLOOKUP(C194,'Актуальность'!A:C,3,0)," ")</f>
        <v/>
      </c>
      <c r="G194" s="43"/>
      <c r="H194" s="22" t="s">
        <v>2743</v>
      </c>
      <c r="I194" s="22" t="s">
        <v>565</v>
      </c>
      <c r="J194" s="43"/>
      <c r="K194" s="43"/>
      <c r="L194" s="22" t="b">
        <f t="shared" ref="L194:R194" si="190">T194&lt;&gt;""</f>
        <v>1</v>
      </c>
      <c r="M194" s="22" t="b">
        <f t="shared" si="190"/>
        <v>1</v>
      </c>
      <c r="N194" s="22" t="b">
        <f t="shared" si="190"/>
        <v>1</v>
      </c>
      <c r="O194" s="22" t="b">
        <f t="shared" si="190"/>
        <v>1</v>
      </c>
      <c r="P194" s="22" t="b">
        <f t="shared" si="190"/>
        <v>1</v>
      </c>
      <c r="Q194" s="22" t="b">
        <f t="shared" si="190"/>
        <v>1</v>
      </c>
      <c r="R194" s="22" t="b">
        <f t="shared" si="190"/>
        <v>0</v>
      </c>
      <c r="S194" s="43"/>
      <c r="T194" s="43" t="str">
        <f>IFERROR(VLOOKUP( C194,'1С'!A:B,2,0)," ")</f>
        <v>AC101100426</v>
      </c>
      <c r="U194" s="22" t="str">
        <f>IFERROR(VLOOKUP(T194,'Лист4'!C:I,3,0)," ")</f>
        <v>maska_dlya_lica_100ml</v>
      </c>
      <c r="V194" s="22" t="str">
        <f>IFERROR(VLOOKUP(T194,'Лист4'!C:I,4,0)," ")</f>
        <v>maska_dlya_lica_100ml</v>
      </c>
      <c r="W194" s="22" t="str">
        <f>IFERROR(VLOOKUP(T194,'Лист4'!C:I,5,0)," ")</f>
        <v>maska_dlya_lica_100ml</v>
      </c>
      <c r="X194" s="43" t="str">
        <f>IFERROR(VLOOKUP(T194,'Лист4'!C:I,7,0)," ")</f>
        <v>maska_dlya_lica_100ml</v>
      </c>
      <c r="Y194" s="43" t="str">
        <f>IFERROR(VLOOKUP(T194,'Лист4'!C:I,6,0)," ")</f>
        <v>maska_dlya_lica_100ml</v>
      </c>
      <c r="Z194" s="43"/>
      <c r="AA194" s="43"/>
      <c r="AB194" s="22">
        <v>3.73703287E8</v>
      </c>
      <c r="AC194" s="22">
        <v>2.015306117E9</v>
      </c>
      <c r="AD194" s="22">
        <v>4.334343067E9</v>
      </c>
      <c r="AE194" s="22">
        <v>9.9000114727E10</v>
      </c>
      <c r="AF194" s="22" t="s">
        <v>3024</v>
      </c>
      <c r="AG194" s="43"/>
      <c r="AH194" s="43"/>
      <c r="AI194" s="43" t="str">
        <f>IFERROR(VLOOKUP(T194,'1С'!B:C,2,0)," ")</f>
        <v>Маска для лица очищающая, Алтея, 100 мл</v>
      </c>
      <c r="AJ194" s="22" t="s">
        <v>3025</v>
      </c>
      <c r="AK194" s="22" t="s">
        <v>3026</v>
      </c>
      <c r="AL194" s="22" t="s">
        <v>3027</v>
      </c>
      <c r="AM194" s="22" t="s">
        <v>3028</v>
      </c>
      <c r="AN194" s="22" t="s">
        <v>3029</v>
      </c>
      <c r="AO194" s="43"/>
      <c r="AP194" s="43"/>
      <c r="AQ194" s="46" t="s">
        <v>3030</v>
      </c>
      <c r="AR194" s="46" t="s">
        <v>3031</v>
      </c>
      <c r="AS194" s="46" t="s">
        <v>3032</v>
      </c>
      <c r="AT194" s="46" t="s">
        <v>3033</v>
      </c>
      <c r="AU194" s="46" t="s">
        <v>3034</v>
      </c>
      <c r="AV194" s="43"/>
      <c r="AW194" s="43"/>
      <c r="AX194" s="22" t="s">
        <v>3035</v>
      </c>
      <c r="AY194" s="22" t="s">
        <v>3026</v>
      </c>
      <c r="AZ194" s="22" t="s">
        <v>3036</v>
      </c>
      <c r="BA194" s="22" t="s">
        <v>1447</v>
      </c>
      <c r="BB194" s="22" t="s">
        <v>3037</v>
      </c>
      <c r="BC194" s="43"/>
      <c r="BD194" s="43"/>
      <c r="BE194" s="43"/>
      <c r="BF194" s="22">
        <f>IFERROR(VLOOKUP(C194,'спецификация'!B:D,3,0)," ")</f>
        <v>4670020498741</v>
      </c>
      <c r="BG194" s="22">
        <v>3.30499E9</v>
      </c>
      <c r="BH194" s="22" t="str">
        <f>IFERROR(VLOOKUP(C194,'спецификация'!B:AA,5,0)," ")</f>
        <v/>
      </c>
      <c r="BI194" s="22"/>
      <c r="BJ194" s="22" t="str">
        <f>IFERROR(VLOOKUP(C194,'спецификация'!B:AA,6,0)," ")</f>
        <v>нет</v>
      </c>
      <c r="BK194" s="43"/>
      <c r="BL194" s="43"/>
      <c r="BM194" s="22" t="str">
        <f>IFERROR(VLOOKUP(BF194,'спецификация'!D:H,5,0)," ")</f>
        <v>Aqua, Kaolin, Isopentyldiol, Sorbitol, Cetearyl Alcohol, Glyceryl Monostearate, Caprylic/Capric Triglyceride, Prunus Amygdalus Dulcis (Sweet Almond) Oil, Butyrospermum Parkii Oil, Spongilla Lacustris Spicule, Panthenol, Bisabolol, Tocopheryl Acetate, Sulfur, Peg 30 Castor Oil, Niacinamide, Allantoin, Xanthan Gum, Ceteareth-20, Parfum, Triethanolamine, Carbomer, Phenoxyethanol, Ethylhexylglycerin, Limonene, Citronellol, Linalool</v>
      </c>
      <c r="BN194" s="43"/>
      <c r="BO194" s="22" t="str">
        <f>IFERROR(VLOOKUP(C194,'спецификация'!B:AA,10,0)," ")</f>
        <v>равномерно нанести на подготовленную кожу. Оставить для воздействия на 10-15 минут. Остатки маски смыть теплой водой. Использовать 1-2 раза в неделю</v>
      </c>
      <c r="BP194" s="43" t="str">
        <f>IFERROR(VLOOKUP(C194,'спецификация'!B:AA,11,0)," ")</f>
        <v>не наносите на поврежденную кожу и избегайте попадания в глаза. При попадании в глаза тщательно промойте водой.</v>
      </c>
      <c r="BQ194" s="22" t="str">
        <f>IFERROR(VLOOKUP(C194,'спецификация'!B:AA,12,0)," ")</f>
        <v>хранить при температуре не ниже 0˚С и не выше 25˚ Не допускается хранить продукцию под непосредственным воздействием солнечного света и вблизи отопительных приборов.  </v>
      </c>
      <c r="BR194" s="22">
        <v>100.0</v>
      </c>
      <c r="BS194" s="22" t="s">
        <v>139</v>
      </c>
      <c r="BT194" s="22"/>
      <c r="BU194" s="22"/>
      <c r="BV194" s="22" t="s">
        <v>307</v>
      </c>
      <c r="BW194" s="44" t="str">
        <f>IFERROR(VLOOKUP(C194,'спецификация'!B:AA,16,0)," ")</f>
        <v>https://docs.google.com/document/d/1Sdio0V3R_svotHe0xQT3HhvmyGTRnpi3/edit?usp=drive_web&amp;ouid=104241417680089502627&amp;rtpof=true</v>
      </c>
      <c r="BX194" s="43"/>
      <c r="BY194" s="43"/>
      <c r="BZ194" s="45" t="str">
        <f>IFERROR(VLOOKUP(BF194,'спецификация'!D:Y,22,0)," ")</f>
        <v/>
      </c>
      <c r="CA194" s="43"/>
      <c r="CB194" s="43"/>
      <c r="CC194" s="43"/>
      <c r="CD194" s="43"/>
      <c r="CE194" s="43"/>
      <c r="CF194" s="43"/>
      <c r="CG194" s="49">
        <f>IFERROR(VLOOKUP(C194,CC!A:D,4,0)," ")</f>
        <v>100.1</v>
      </c>
      <c r="CH194" s="22" t="str">
        <f>IFERROR(VLOOKUP(C194,'спецификация'!B:AA,19,0)," ")</f>
        <v>ООО "Алтэя"</v>
      </c>
      <c r="CI194" s="22"/>
      <c r="CJ194" s="22" t="s">
        <v>2835</v>
      </c>
      <c r="CK194" s="22">
        <f>IFERROR(VLOOKUP(C194,CC!K:M,3,0)," ")</f>
        <v>90</v>
      </c>
      <c r="CL194" s="43"/>
      <c r="CM194" s="43"/>
      <c r="CN194" s="43"/>
      <c r="CO194" s="43"/>
      <c r="CP194" s="43"/>
      <c r="CQ194" s="43"/>
      <c r="CR194" s="43"/>
      <c r="CS194" s="43" t="b">
        <v>0</v>
      </c>
      <c r="CT194" s="43" t="b">
        <v>0</v>
      </c>
      <c r="CU194" s="43" t="b">
        <v>0</v>
      </c>
      <c r="CV194" s="43" t="b">
        <v>0</v>
      </c>
      <c r="CW194" s="43"/>
      <c r="CX194" s="43"/>
      <c r="CY194" s="43"/>
      <c r="CZ194" s="43"/>
      <c r="DA194" s="43"/>
      <c r="DB194" s="43"/>
      <c r="DC194" s="43"/>
      <c r="DD194" s="22">
        <f>IFERROR(VLOOKUP($C194,'Лист4'!$D:$AI,27,0)," ")</f>
        <v>6</v>
      </c>
      <c r="DE194" s="22">
        <f>IFERROR(VLOOKUP($C194,'Лист4'!$D:$AI,28,0)," ")</f>
        <v>5</v>
      </c>
      <c r="DF194" s="22">
        <f>IFERROR(VLOOKUP($C194,'Лист4'!$D:$AI,29,0)," ")</f>
        <v>6</v>
      </c>
      <c r="DG194" s="22">
        <f t="shared" si="3"/>
        <v>180</v>
      </c>
      <c r="DH194" s="22">
        <f>IFERROR(VLOOKUP($C194,'Лист4'!$D:$AI,32,0)," ")</f>
        <v>0.132</v>
      </c>
      <c r="DI194" s="22"/>
      <c r="DJ194" s="22"/>
      <c r="DK194" s="22"/>
      <c r="DL194" s="22"/>
      <c r="DM194" s="22"/>
      <c r="DN194" s="22"/>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43"/>
      <c r="EN194" s="43"/>
      <c r="EO194" s="43"/>
      <c r="EP194" s="43"/>
      <c r="EQ194" s="43"/>
      <c r="ER194" s="43"/>
      <c r="ES194" s="43"/>
      <c r="ET194" s="43"/>
      <c r="EU194" s="43"/>
      <c r="EV194" s="43"/>
      <c r="EW194" s="43"/>
      <c r="EX194" s="43"/>
      <c r="EY194" s="43"/>
      <c r="EZ194" s="43"/>
      <c r="FA194" s="43"/>
      <c r="FB194" s="43"/>
      <c r="FC194" s="43"/>
    </row>
    <row r="195" ht="18.0" customHeight="1">
      <c r="A195" s="2"/>
      <c r="B195" s="22" t="str">
        <f>IFERROR(VLOOKUP(C195,'Реестр'!C:AC,27,0)," ")</f>
        <v>Смарт-Сэйл</v>
      </c>
      <c r="C195" s="43" t="s">
        <v>3045</v>
      </c>
      <c r="D195" s="22" t="str">
        <f>IFERROR(VLOOKUP(C195,'Лист4'!D:P,13,0)," ")</f>
        <v>Алтея</v>
      </c>
      <c r="E195" s="22" t="str">
        <f>IF(OR(ISERROR(VLOOKUP(C195,'Актуальность'!A:B,2,0)), VLOOKUP(C195,'Актуальность'!A:B,2,0)=""), "Актуальный", VLOOKUP(C195,'Актуальность'!A:B,2,0))</f>
        <v>Актуальный</v>
      </c>
      <c r="F195" s="43" t="str">
        <f>IFERROR(VLOOKUP(C195,'Актуальность'!A:C,3,0)," ")</f>
        <v/>
      </c>
      <c r="G195" s="43"/>
      <c r="H195" s="22" t="s">
        <v>2743</v>
      </c>
      <c r="I195" s="22" t="s">
        <v>2744</v>
      </c>
      <c r="J195" s="43"/>
      <c r="K195" s="43"/>
      <c r="L195" s="22" t="b">
        <f t="shared" ref="L195:R195" si="191">T195&lt;&gt;""</f>
        <v>1</v>
      </c>
      <c r="M195" s="22" t="b">
        <f t="shared" si="191"/>
        <v>1</v>
      </c>
      <c r="N195" s="22" t="b">
        <f t="shared" si="191"/>
        <v>1</v>
      </c>
      <c r="O195" s="22" t="b">
        <f t="shared" si="191"/>
        <v>1</v>
      </c>
      <c r="P195" s="22" t="b">
        <f t="shared" si="191"/>
        <v>1</v>
      </c>
      <c r="Q195" s="22" t="b">
        <f t="shared" si="191"/>
        <v>1</v>
      </c>
      <c r="R195" s="22" t="b">
        <f t="shared" si="191"/>
        <v>0</v>
      </c>
      <c r="S195" s="43"/>
      <c r="T195" s="43" t="str">
        <f>IFERROR(VLOOKUP( C195,'1С'!A:B,2,0)," ")</f>
        <v>AC101100441</v>
      </c>
      <c r="U195" s="22" t="str">
        <f>IFERROR(VLOOKUP(T195,'Лист4'!C:I,3,0)," ")</f>
        <v>retinait_syvorotka_1_30ml</v>
      </c>
      <c r="V195" s="22" t="str">
        <f>IFERROR(VLOOKUP(T195,'Лист4'!C:I,4,0)," ")</f>
        <v>retinait_syvorotka_1_30ml</v>
      </c>
      <c r="W195" s="22" t="str">
        <f>IFERROR(VLOOKUP(T195,'Лист4'!C:I,5,0)," ")</f>
        <v>retinait_syvorotka_1_30ml</v>
      </c>
      <c r="X195" s="43" t="str">
        <f>IFERROR(VLOOKUP(T195,'Лист4'!C:I,7,0)," ")</f>
        <v>retinait_syvorotka_1_30ml</v>
      </c>
      <c r="Y195" s="43" t="str">
        <f>IFERROR(VLOOKUP(T195,'Лист4'!C:I,6,0)," ")</f>
        <v>retinait_syvorotka_1_30ml</v>
      </c>
      <c r="Z195" s="43"/>
      <c r="AA195" s="43"/>
      <c r="AB195" s="22">
        <v>4.84600035E8</v>
      </c>
      <c r="AC195" s="22">
        <v>2.583177512E9</v>
      </c>
      <c r="AD195" s="22">
        <v>4.60066623E9</v>
      </c>
      <c r="AE195" s="22">
        <v>9.9000125142E10</v>
      </c>
      <c r="AF195" s="22" t="s">
        <v>3048</v>
      </c>
      <c r="AG195" s="43"/>
      <c r="AH195" s="43"/>
      <c r="AI195" s="43" t="str">
        <f>IFERROR(VLOOKUP(T195,'1С'!B:C,2,0)," ")</f>
        <v>Сыворотка для лица Ретинайт 1%, Алтея, 30 мл</v>
      </c>
      <c r="AJ195" s="22" t="s">
        <v>3049</v>
      </c>
      <c r="AK195" s="22" t="s">
        <v>3050</v>
      </c>
      <c r="AL195" s="22" t="s">
        <v>3051</v>
      </c>
      <c r="AM195" s="22" t="s">
        <v>3052</v>
      </c>
      <c r="AN195" s="22" t="s">
        <v>3053</v>
      </c>
      <c r="AO195" s="43"/>
      <c r="AP195" s="43"/>
      <c r="AQ195" s="46" t="s">
        <v>3054</v>
      </c>
      <c r="AR195" s="46" t="s">
        <v>3055</v>
      </c>
      <c r="AS195" s="46" t="s">
        <v>3056</v>
      </c>
      <c r="AT195" s="43"/>
      <c r="AU195" s="46" t="s">
        <v>3057</v>
      </c>
      <c r="AV195" s="43"/>
      <c r="AW195" s="43"/>
      <c r="AX195" s="22" t="s">
        <v>325</v>
      </c>
      <c r="AY195" s="22" t="s">
        <v>3050</v>
      </c>
      <c r="AZ195" s="22" t="s">
        <v>595</v>
      </c>
      <c r="BA195" s="22" t="s">
        <v>1447</v>
      </c>
      <c r="BB195" s="22" t="s">
        <v>2850</v>
      </c>
      <c r="BC195" s="43"/>
      <c r="BD195" s="43"/>
      <c r="BE195" s="43"/>
      <c r="BF195" s="22" t="str">
        <f>IFERROR(VLOOKUP(C195,'спецификация'!B:D,3,0)," ")</f>
        <v> </v>
      </c>
      <c r="BG195" s="22">
        <v>3.30499E9</v>
      </c>
      <c r="BH195" s="22" t="str">
        <f>IFERROR(VLOOKUP(C195,'спецификация'!B:AA,5,0)," ")</f>
        <v> </v>
      </c>
      <c r="BI195" s="22"/>
      <c r="BJ195" s="22" t="str">
        <f>IFERROR(VLOOKUP(C195,'спецификация'!B:AA,6,0)," ")</f>
        <v> </v>
      </c>
      <c r="BK195" s="43"/>
      <c r="BL195" s="43"/>
      <c r="BM195" s="22" t="str">
        <f>IFERROR(VLOOKUP(BF195,'спецификация'!D:H,5,0)," ")</f>
        <v> </v>
      </c>
      <c r="BN195" s="43"/>
      <c r="BO195" s="22" t="str">
        <f>IFERROR(VLOOKUP(C195,'спецификация'!B:AA,10,0)," ")</f>
        <v> </v>
      </c>
      <c r="BP195" s="43" t="str">
        <f>IFERROR(VLOOKUP(C195,'спецификация'!B:AA,11,0)," ")</f>
        <v> </v>
      </c>
      <c r="BQ195" s="22" t="str">
        <f>IFERROR(VLOOKUP(C195,'спецификация'!B:AA,12,0)," ")</f>
        <v> </v>
      </c>
      <c r="BR195" s="22"/>
      <c r="BS195" s="43"/>
      <c r="BT195" s="43"/>
      <c r="BU195" s="22"/>
      <c r="BV195" s="22" t="s">
        <v>401</v>
      </c>
      <c r="BW195" s="45" t="str">
        <f>IFERROR(VLOOKUP(C195,'спецификация'!B:AA,16,0)," ")</f>
        <v> </v>
      </c>
      <c r="BX195" s="43"/>
      <c r="BY195" s="43"/>
      <c r="BZ195" s="45" t="str">
        <f>IFERROR(VLOOKUP(BF195,'спецификация'!D:Y,22,0)," ")</f>
        <v> </v>
      </c>
      <c r="CA195" s="43"/>
      <c r="CB195" s="43"/>
      <c r="CC195" s="43"/>
      <c r="CD195" s="43"/>
      <c r="CE195" s="43"/>
      <c r="CF195" s="43"/>
      <c r="CG195" s="49">
        <f>IFERROR(VLOOKUP(C195,CC!A:D,4,0)," ")</f>
        <v>143.82</v>
      </c>
      <c r="CH195" s="22" t="str">
        <f>IFERROR(VLOOKUP(C195,'спецификация'!B:AA,19,0)," ")</f>
        <v> </v>
      </c>
      <c r="CI195" s="22"/>
      <c r="CJ195" s="43"/>
      <c r="CK195" s="22">
        <f>IFERROR(VLOOKUP(C195,CC!K:M,3,0)," ")</f>
        <v>60</v>
      </c>
      <c r="CL195" s="43"/>
      <c r="CM195" s="43"/>
      <c r="CN195" s="43"/>
      <c r="CO195" s="43"/>
      <c r="CP195" s="43"/>
      <c r="CQ195" s="43"/>
      <c r="CR195" s="43"/>
      <c r="CS195" s="43" t="b">
        <v>0</v>
      </c>
      <c r="CT195" s="43" t="b">
        <v>0</v>
      </c>
      <c r="CU195" s="43" t="b">
        <v>0</v>
      </c>
      <c r="CV195" s="43" t="b">
        <v>0</v>
      </c>
      <c r="CW195" s="43"/>
      <c r="CX195" s="43"/>
      <c r="CY195" s="43"/>
      <c r="CZ195" s="43"/>
      <c r="DA195" s="43"/>
      <c r="DB195" s="43"/>
      <c r="DC195" s="43"/>
      <c r="DD195" s="22">
        <f>IFERROR(VLOOKUP($C195,'Лист4'!$D:$AI,27,0)," ")</f>
        <v>11</v>
      </c>
      <c r="DE195" s="22">
        <f>IFERROR(VLOOKUP($C195,'Лист4'!$D:$AI,28,0)," ")</f>
        <v>4</v>
      </c>
      <c r="DF195" s="22">
        <f>IFERROR(VLOOKUP($C195,'Лист4'!$D:$AI,29,0)," ")</f>
        <v>11</v>
      </c>
      <c r="DG195" s="22">
        <f t="shared" si="3"/>
        <v>484</v>
      </c>
      <c r="DH195" s="22">
        <f>IFERROR(VLOOKUP($C195,'Лист4'!$D:$AI,32,0)," ")</f>
        <v>0.09</v>
      </c>
      <c r="DI195" s="22"/>
      <c r="DJ195" s="22"/>
      <c r="DK195" s="22"/>
      <c r="DL195" s="22"/>
      <c r="DM195" s="22"/>
      <c r="DN195" s="22"/>
      <c r="DO195" s="22"/>
      <c r="DP195" s="22"/>
      <c r="DQ195" s="22"/>
      <c r="DR195" s="22"/>
      <c r="DS195" s="22"/>
      <c r="DT195" s="22"/>
      <c r="DU195" s="22"/>
      <c r="DV195" s="22"/>
      <c r="DW195" s="22"/>
      <c r="DX195" s="22"/>
      <c r="DY195" s="22"/>
      <c r="DZ195" s="22"/>
      <c r="EA195" s="22"/>
      <c r="EB195" s="22"/>
      <c r="EC195" s="22"/>
      <c r="ED195" s="22"/>
      <c r="EE195" s="22"/>
      <c r="EF195" s="22"/>
      <c r="EG195" s="22"/>
      <c r="EH195" s="22"/>
      <c r="EI195" s="22"/>
      <c r="EJ195" s="22"/>
      <c r="EK195" s="22"/>
      <c r="EL195" s="22"/>
      <c r="EM195" s="43"/>
      <c r="EN195" s="43"/>
      <c r="EO195" s="43"/>
      <c r="EP195" s="43"/>
      <c r="EQ195" s="43"/>
      <c r="ER195" s="43"/>
      <c r="ES195" s="43"/>
      <c r="ET195" s="43"/>
      <c r="EU195" s="43"/>
      <c r="EV195" s="43"/>
      <c r="EW195" s="43"/>
      <c r="EX195" s="43"/>
      <c r="EY195" s="43"/>
      <c r="EZ195" s="43"/>
      <c r="FA195" s="43"/>
      <c r="FB195" s="43"/>
      <c r="FC195" s="43"/>
    </row>
    <row r="196" ht="18.0" customHeight="1">
      <c r="A196" s="2"/>
      <c r="B196" s="22" t="str">
        <f>IFERROR(VLOOKUP(C196,'Реестр'!C:AC,27,0)," ")</f>
        <v>Смарт-Сэйл</v>
      </c>
      <c r="C196" s="43" t="s">
        <v>3066</v>
      </c>
      <c r="D196" s="22" t="str">
        <f>IFERROR(VLOOKUP(C196,'Лист4'!D:P,13,0)," ")</f>
        <v>Алтея</v>
      </c>
      <c r="E196" s="22" t="str">
        <f>IF(OR(ISERROR(VLOOKUP(C196,'Актуальность'!A:B,2,0)), VLOOKUP(C196,'Актуальность'!A:B,2,0)=""), "Актуальный", VLOOKUP(C196,'Актуальность'!A:B,2,0))</f>
        <v>Актуальный</v>
      </c>
      <c r="F196" s="43" t="str">
        <f>IFERROR(VLOOKUP(C196,'Актуальность'!A:C,3,0)," ")</f>
        <v/>
      </c>
      <c r="G196" s="43"/>
      <c r="H196" s="22" t="s">
        <v>2743</v>
      </c>
      <c r="I196" s="22" t="s">
        <v>1821</v>
      </c>
      <c r="J196" s="43"/>
      <c r="K196" s="43"/>
      <c r="L196" s="22" t="b">
        <f t="shared" ref="L196:R196" si="192">T196&lt;&gt;""</f>
        <v>1</v>
      </c>
      <c r="M196" s="22" t="b">
        <f t="shared" si="192"/>
        <v>1</v>
      </c>
      <c r="N196" s="22" t="b">
        <f t="shared" si="192"/>
        <v>1</v>
      </c>
      <c r="O196" s="22" t="b">
        <f t="shared" si="192"/>
        <v>1</v>
      </c>
      <c r="P196" s="22" t="b">
        <f t="shared" si="192"/>
        <v>1</v>
      </c>
      <c r="Q196" s="22" t="b">
        <f t="shared" si="192"/>
        <v>1</v>
      </c>
      <c r="R196" s="22" t="b">
        <f t="shared" si="192"/>
        <v>1</v>
      </c>
      <c r="S196" s="43"/>
      <c r="T196" s="43" t="str">
        <f>IFERROR(VLOOKUP( C196,'1С'!A:B,2,0)," ")</f>
        <v>AC101100452</v>
      </c>
      <c r="U196" s="22" t="str">
        <f>IFERROR(VLOOKUP(T196,'Лист4'!C:I,3,0)," ")</f>
        <v>krem_buster_250ml</v>
      </c>
      <c r="V196" s="22" t="str">
        <f>IFERROR(VLOOKUP(T196,'Лист4'!C:I,4,0)," ")</f>
        <v>krem_buster_250ml</v>
      </c>
      <c r="W196" s="22" t="str">
        <f>IFERROR(VLOOKUP(T196,'Лист4'!C:I,5,0)," ")</f>
        <v>krem_buster_250ml</v>
      </c>
      <c r="X196" s="43" t="str">
        <f>IFERROR(VLOOKUP(T196,'Лист4'!C:I,7,0)," ")</f>
        <v>krem_buster_250ml</v>
      </c>
      <c r="Y196" s="43" t="str">
        <f>IFERROR(VLOOKUP(T196,'Лист4'!C:I,6,0)," ")</f>
        <v>krem_buster_250ml</v>
      </c>
      <c r="Z196" s="22" t="s">
        <v>3066</v>
      </c>
      <c r="AA196" s="43"/>
      <c r="AB196" s="22">
        <v>4.18262202E8</v>
      </c>
      <c r="AC196" s="22">
        <v>2.138376665E9</v>
      </c>
      <c r="AD196" s="22">
        <v>4.476306934E9</v>
      </c>
      <c r="AE196" s="22">
        <v>9.9000125268E10</v>
      </c>
      <c r="AF196" s="22" t="s">
        <v>3069</v>
      </c>
      <c r="AG196" s="22" t="s">
        <v>3070</v>
      </c>
      <c r="AH196" s="43"/>
      <c r="AI196" s="43" t="str">
        <f>IFERROR(VLOOKUP(T196,'1С'!B:C,2,0)," ")</f>
        <v>Антицеллюлитный Крем-Бустер, Алтея, 250 мл</v>
      </c>
      <c r="AJ196" s="22" t="s">
        <v>3071</v>
      </c>
      <c r="AK196" s="22" t="s">
        <v>3072</v>
      </c>
      <c r="AL196" s="22" t="s">
        <v>3073</v>
      </c>
      <c r="AM196" s="22" t="s">
        <v>3074</v>
      </c>
      <c r="AN196" s="22" t="s">
        <v>3075</v>
      </c>
      <c r="AO196" s="22" t="s">
        <v>3076</v>
      </c>
      <c r="AP196" s="43"/>
      <c r="AQ196" s="46" t="s">
        <v>3077</v>
      </c>
      <c r="AR196" s="46" t="s">
        <v>3078</v>
      </c>
      <c r="AS196" s="46" t="s">
        <v>3079</v>
      </c>
      <c r="AT196" s="43"/>
      <c r="AU196" s="46" t="s">
        <v>3080</v>
      </c>
      <c r="AV196" s="46" t="s">
        <v>3081</v>
      </c>
      <c r="AW196" s="43"/>
      <c r="AX196" s="22" t="s">
        <v>594</v>
      </c>
      <c r="AY196" s="22" t="s">
        <v>3072</v>
      </c>
      <c r="AZ196" s="22" t="s">
        <v>3082</v>
      </c>
      <c r="BA196" s="22" t="s">
        <v>1834</v>
      </c>
      <c r="BB196" s="22" t="s">
        <v>3083</v>
      </c>
      <c r="BC196" s="22" t="s">
        <v>3084</v>
      </c>
      <c r="BD196" s="43"/>
      <c r="BE196" s="43"/>
      <c r="BF196" s="22">
        <f>IFERROR(VLOOKUP(C196,'спецификация'!B:D,3,0)," ")</f>
        <v>4603320465427</v>
      </c>
      <c r="BG196" s="22">
        <v>3.30499E9</v>
      </c>
      <c r="BH196" s="22" t="str">
        <f>IFERROR(VLOOKUP(C196,'спецификация'!B:AA,5,0)," ")</f>
        <v>ЕАЭС N RU Д-RU.PA03.B.29780/25 от 10.04.2025 по 31.03.2030</v>
      </c>
      <c r="BI196" s="22"/>
      <c r="BJ196" s="22" t="str">
        <f>IFERROR(VLOOKUP(C196,'спецификация'!B:AA,6,0)," ")</f>
        <v/>
      </c>
      <c r="BK196" s="43"/>
      <c r="BL196" s="43"/>
      <c r="BM196" s="22" t="str">
        <f>IFERROR(VLOOKUP(BF196,'спецификация'!D:H,5,0)," ")</f>
        <v>: Aqua, Persea Gratissima (Avocado) Oil, Cocos Nucifera (Coconut) Oil, Glycerin, Cetearyl Alcohol, Glyceryl Stearate, Butyrospermum Parkii (Shea) Butter, Prunus Amygdalus Dulcis (Sweet Almond) Oil, Polyacrylamide, Capsicum Annuum Extract, Caffeine, Fragrance, Fucus Vesiculosus Extract, Citrus Limon (Lemon) Essential Oil, Propylene Glycol,  Laminaria Ochroleuca Extract, Hydrolyzed Elastin, Desamido Collagen, Citrus Paradisi (Grapefruit) Oil, Mentha piperita (peppermint) essential oil, Rosemary African Oil, Coffea arabica extract, Esculapius Extract, Phenoxyethanol, C13-14 Isoparaffin, Vitamin E, Menthol, Ethylhexylglycerin, Laureth-7, C.I.15985</v>
      </c>
      <c r="BN196" s="43"/>
      <c r="BO196" s="22" t="str">
        <f>IFERROR(VLOOKUP(C196,'спецификация'!B:AA,10,0)," ")</f>
        <v>нанесите на чистую кожу тела легкими массажными движениями. Используйте ежедневно для достижения. Используйте ежедневно для достижения наилучшего результата.</v>
      </c>
      <c r="BP196" s="43" t="str">
        <f>IFERROR(VLOOKUP(C196,'спецификация'!B:AA,11,0)," ")</f>
        <v>Меры предосторожности: не наносите на поврежденную кожу и избегайте попадания в глаза. При попадании в глаза тщательно промойте водой. Перед применением тестируйте на небольшом участке кожи.</v>
      </c>
      <c r="BQ196" s="22" t="str">
        <f>IFERROR(VLOOKUP(C196,'спецификация'!B:AA,12,0)," ")</f>
        <v>от +5 до +25°С, в отсутствие прямых солнечных лучей.</v>
      </c>
      <c r="BR196" s="22">
        <v>250.0</v>
      </c>
      <c r="BS196" s="22" t="s">
        <v>139</v>
      </c>
      <c r="BT196" s="22"/>
      <c r="BU196" s="22"/>
      <c r="BV196" s="22" t="s">
        <v>727</v>
      </c>
      <c r="BW196" s="44" t="str">
        <f>IFERROR(VLOOKUP(C196,'спецификация'!B:AA,16,0)," ")</f>
        <v>https://docs.google.com/document/d/1PuaMMQ_jwFyARhm34IaYmz4cbzHXvdiY/edit</v>
      </c>
      <c r="BX196" s="43"/>
      <c r="BY196" s="43"/>
      <c r="BZ196" s="45" t="str">
        <f>IFERROR(VLOOKUP(BF196,'спецификация'!D:Y,22,0)," ")</f>
        <v/>
      </c>
      <c r="CA196" s="43"/>
      <c r="CB196" s="43"/>
      <c r="CC196" s="43"/>
      <c r="CD196" s="43"/>
      <c r="CE196" s="43"/>
      <c r="CF196" s="43"/>
      <c r="CG196" s="49">
        <f>IFERROR(VLOOKUP(C196,CC!A:D,4,0)," ")</f>
        <v>127.95</v>
      </c>
      <c r="CH196" s="22" t="str">
        <f>IFERROR(VLOOKUP(C196,'спецификация'!B:AA,19,0)," ")</f>
        <v>ООО Марвел</v>
      </c>
      <c r="CI196" s="22"/>
      <c r="CJ196" s="22" t="s">
        <v>2944</v>
      </c>
      <c r="CK196" s="22">
        <f>IFERROR(VLOOKUP(C196,CC!K:M,3,0)," ")</f>
        <v>60</v>
      </c>
      <c r="CL196" s="43"/>
      <c r="CM196" s="43"/>
      <c r="CN196" s="43"/>
      <c r="CO196" s="43"/>
      <c r="CP196" s="43"/>
      <c r="CQ196" s="43"/>
      <c r="CR196" s="43"/>
      <c r="CS196" s="43" t="b">
        <v>0</v>
      </c>
      <c r="CT196" s="43" t="b">
        <v>0</v>
      </c>
      <c r="CU196" s="43" t="b">
        <v>0</v>
      </c>
      <c r="CV196" s="43" t="b">
        <v>0</v>
      </c>
      <c r="CW196" s="43"/>
      <c r="CX196" s="43"/>
      <c r="CY196" s="43"/>
      <c r="CZ196" s="43"/>
      <c r="DA196" s="43"/>
      <c r="DB196" s="43"/>
      <c r="DC196" s="43"/>
      <c r="DD196" s="22">
        <f>IFERROR(VLOOKUP($C196,'Лист4'!$D:$AI,27,0)," ")</f>
        <v>6</v>
      </c>
      <c r="DE196" s="22">
        <f>IFERROR(VLOOKUP($C196,'Лист4'!$D:$AI,28,0)," ")</f>
        <v>7</v>
      </c>
      <c r="DF196" s="22">
        <f>IFERROR(VLOOKUP($C196,'Лист4'!$D:$AI,29,0)," ")</f>
        <v>6</v>
      </c>
      <c r="DG196" s="22">
        <f t="shared" si="3"/>
        <v>252</v>
      </c>
      <c r="DH196" s="22">
        <f>IFERROR(VLOOKUP($C196,'Лист4'!$D:$AI,32,0)," ")</f>
        <v>0.283</v>
      </c>
      <c r="DI196" s="22"/>
      <c r="DJ196" s="22"/>
      <c r="DK196" s="22"/>
      <c r="DL196" s="22"/>
      <c r="DM196" s="22"/>
      <c r="DN196" s="22"/>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43"/>
      <c r="EN196" s="43"/>
      <c r="EO196" s="43"/>
      <c r="EP196" s="43"/>
      <c r="EQ196" s="43"/>
      <c r="ER196" s="43"/>
      <c r="ES196" s="43"/>
      <c r="ET196" s="43"/>
      <c r="EU196" s="43"/>
      <c r="EV196" s="43"/>
      <c r="EW196" s="43"/>
      <c r="EX196" s="43"/>
      <c r="EY196" s="43"/>
      <c r="EZ196" s="43"/>
      <c r="FA196" s="43"/>
      <c r="FB196" s="43"/>
      <c r="FC196" s="43"/>
    </row>
    <row r="197" ht="18.0" customHeight="1">
      <c r="A197" s="2"/>
      <c r="B197" s="22" t="str">
        <f>IFERROR(VLOOKUP(C197,'Реестр'!C:AC,27,0)," ")</f>
        <v>Смарт-Сэйл</v>
      </c>
      <c r="C197" s="43" t="s">
        <v>3092</v>
      </c>
      <c r="D197" s="22" t="str">
        <f>IFERROR(VLOOKUP(C197,'Лист4'!D:P,13,0)," ")</f>
        <v>Алтея</v>
      </c>
      <c r="E197" s="22" t="str">
        <f>IF(OR(ISERROR(VLOOKUP(C197,'Актуальность'!A:B,2,0)), VLOOKUP(C197,'Актуальность'!A:B,2,0)=""), "Актуальный", VLOOKUP(C197,'Актуальность'!A:B,2,0))</f>
        <v>Актуальный</v>
      </c>
      <c r="F197" s="43" t="str">
        <f>IFERROR(VLOOKUP(C197,'Актуальность'!A:C,3,0)," ")</f>
        <v/>
      </c>
      <c r="G197" s="43"/>
      <c r="H197" s="22" t="s">
        <v>2743</v>
      </c>
      <c r="I197" s="22" t="s">
        <v>565</v>
      </c>
      <c r="J197" s="43"/>
      <c r="K197" s="43"/>
      <c r="L197" s="22" t="b">
        <f t="shared" ref="L197:R197" si="193">T197&lt;&gt;""</f>
        <v>1</v>
      </c>
      <c r="M197" s="22" t="b">
        <f t="shared" si="193"/>
        <v>1</v>
      </c>
      <c r="N197" s="22" t="b">
        <f t="shared" si="193"/>
        <v>1</v>
      </c>
      <c r="O197" s="22" t="b">
        <f t="shared" si="193"/>
        <v>1</v>
      </c>
      <c r="P197" s="22" t="b">
        <f t="shared" si="193"/>
        <v>1</v>
      </c>
      <c r="Q197" s="22" t="b">
        <f t="shared" si="193"/>
        <v>1</v>
      </c>
      <c r="R197" s="22" t="b">
        <f t="shared" si="193"/>
        <v>1</v>
      </c>
      <c r="S197" s="43"/>
      <c r="T197" s="43" t="str">
        <f>IFERROR(VLOOKUP( C197,'1С'!A:B,2,0)," ")</f>
        <v>AC201100402</v>
      </c>
      <c r="U197" s="22" t="str">
        <f>IFERROR(VLOOKUP(T197,'Лист4'!C:I,3,0)," ")</f>
        <v>gel_antiakne_20ml_v2</v>
      </c>
      <c r="V197" s="22" t="str">
        <f>IFERROR(VLOOKUP(T197,'Лист4'!C:I,4,0)," ")</f>
        <v>gel_antiakne_20ml_v2</v>
      </c>
      <c r="W197" s="22" t="str">
        <f>IFERROR(VLOOKUP(T197,'Лист4'!C:I,5,0)," ")</f>
        <v>gel_antiakne_20ml_v2</v>
      </c>
      <c r="X197" s="43" t="str">
        <f>IFERROR(VLOOKUP(T197,'Лист4'!C:I,7,0)," ")</f>
        <v>gel_antiakne_20ml_v2</v>
      </c>
      <c r="Y197" s="43" t="str">
        <f>IFERROR(VLOOKUP(T197,'Лист4'!C:I,6,0)," ")</f>
        <v>gel_antiakne_20ml_v2</v>
      </c>
      <c r="Z197" s="22" t="s">
        <v>3092</v>
      </c>
      <c r="AA197" s="43"/>
      <c r="AB197" s="22">
        <v>4.88959127E8</v>
      </c>
      <c r="AC197" s="22">
        <v>2.616859755E9</v>
      </c>
      <c r="AD197" s="22">
        <v>4.600273902E9</v>
      </c>
      <c r="AE197" s="22">
        <v>9.900011473E10</v>
      </c>
      <c r="AF197" s="22" t="s">
        <v>3095</v>
      </c>
      <c r="AG197" s="22" t="s">
        <v>3096</v>
      </c>
      <c r="AH197" s="43"/>
      <c r="AI197" s="43" t="str">
        <f>IFERROR(VLOOKUP(T197,'1С'!B:C,2,0)," ")</f>
        <v>Корректор точечный Антиакне, Алтея, 20 мл</v>
      </c>
      <c r="AJ197" s="22" t="s">
        <v>3097</v>
      </c>
      <c r="AK197" s="22" t="s">
        <v>3098</v>
      </c>
      <c r="AL197" s="22" t="s">
        <v>3099</v>
      </c>
      <c r="AM197" s="22" t="s">
        <v>3100</v>
      </c>
      <c r="AN197" s="22" t="s">
        <v>3101</v>
      </c>
      <c r="AO197" s="22" t="s">
        <v>3102</v>
      </c>
      <c r="AP197" s="43"/>
      <c r="AQ197" s="46" t="s">
        <v>3103</v>
      </c>
      <c r="AR197" s="46" t="s">
        <v>3104</v>
      </c>
      <c r="AS197" s="46" t="s">
        <v>3105</v>
      </c>
      <c r="AT197" s="46" t="s">
        <v>3106</v>
      </c>
      <c r="AU197" s="46" t="s">
        <v>3107</v>
      </c>
      <c r="AV197" s="46" t="s">
        <v>3108</v>
      </c>
      <c r="AW197" s="43"/>
      <c r="AX197" s="22" t="s">
        <v>1832</v>
      </c>
      <c r="AY197" s="22" t="s">
        <v>3098</v>
      </c>
      <c r="AZ197" s="22" t="s">
        <v>595</v>
      </c>
      <c r="BA197" s="22" t="s">
        <v>1447</v>
      </c>
      <c r="BB197" s="22" t="s">
        <v>596</v>
      </c>
      <c r="BC197" s="22" t="s">
        <v>594</v>
      </c>
      <c r="BD197" s="43"/>
      <c r="BE197" s="43"/>
      <c r="BF197" s="22">
        <f>IFERROR(VLOOKUP(C197,'спецификация'!B:D,3,0)," ")</f>
        <v>4660417420110</v>
      </c>
      <c r="BG197" s="22">
        <v>3.30499E9</v>
      </c>
      <c r="BH197" s="22" t="str">
        <f>IFERROR(VLOOKUP(C197,'спецификация'!B:AA,5,0)," ")</f>
        <v/>
      </c>
      <c r="BI197" s="22"/>
      <c r="BJ197" s="22" t="str">
        <f>IFERROR(VLOOKUP(C197,'спецификация'!B:AA,6,0)," ")</f>
        <v/>
      </c>
      <c r="BK197" s="43"/>
      <c r="BL197" s="43"/>
      <c r="BM197" s="22" t="str">
        <f>IFERROR(VLOOKUP(BF197,'спецификация'!D:H,5,0)," ")</f>
        <v>Aqua, Butylene Glycol, Glycerin, Salicylic Acid, Acrylic Polymer, Xanthan Gum, Azelaic Acid, Allantoin, Bisabolol, Zinc PCA, Hydrolyzed Collagen, Hydrolyzed Elastin, Magnolia Officinalis Bark Extract, Salvia Officinalis Leaf Extract, Menthol, Melaleuca Alternifolia (Tea Tree) Leaf Oil, Sophora Japonica Extract, Sodium Hyaluronate, Propylene Glycol, Sodium Hydroxide, Parfum, Phenoxyethanol, Ethylhexylglycerin, Potassium Sorbate, Sodium Benzoate, CI 42090.          </v>
      </c>
      <c r="BN197" s="43"/>
      <c r="BO197" s="22" t="str">
        <f>IFERROR(VLOOKUP(C197,'спецификация'!B:AA,10,0)," ")</f>
        <v>нанесите гель точечно на предварительно очищенные проблемные участки кожи, перед использованием других средств подождите 10 минут.</v>
      </c>
      <c r="BP197" s="43" t="str">
        <f>IFERROR(VLOOKUP(C197,'спецификация'!B:AA,11,0)," ")</f>
        <v>Избегать попадания геля на слизистые оболочки и область вокруг глаз. При попадании в глаза тщательно промыть водой.</v>
      </c>
      <c r="BQ197" s="22" t="str">
        <f>IFERROR(VLOOKUP(C197,'спецификация'!B:AA,12,0)," ")</f>
        <v>Хранят при температуре не ниже 0˚С и не выше 25˚ Не допускается хранить продукцию под непосредственным воздействием солнечного света и вблизи отопительных приборов.  </v>
      </c>
      <c r="BR197" s="22">
        <v>20.0</v>
      </c>
      <c r="BS197" s="22" t="s">
        <v>139</v>
      </c>
      <c r="BT197" s="22"/>
      <c r="BU197" s="22"/>
      <c r="BV197" s="22"/>
      <c r="BW197" s="44" t="str">
        <f>IFERROR(VLOOKUP(C197,'спецификация'!B:AA,16,0)," ")</f>
        <v>https://docs.google.com/document/d/1jK67nM4qhH4qI66P6ENCOliGj-DpKMDn/edit?usp=drive_web&amp;ouid=104241417680089502627&amp;rtpof=true</v>
      </c>
      <c r="BX197" s="43"/>
      <c r="BY197" s="43"/>
      <c r="BZ197" s="45" t="str">
        <f>IFERROR(VLOOKUP(BF197,'спецификация'!D:Y,22,0)," ")</f>
        <v/>
      </c>
      <c r="CA197" s="43"/>
      <c r="CB197" s="43"/>
      <c r="CC197" s="43"/>
      <c r="CD197" s="43"/>
      <c r="CE197" s="43"/>
      <c r="CF197" s="43"/>
      <c r="CG197" s="49">
        <f>IFERROR(VLOOKUP(C197,CC!A:D,4,0)," ")</f>
        <v>77.27</v>
      </c>
      <c r="CH197" s="22" t="str">
        <f>IFERROR(VLOOKUP(C197,'спецификация'!B:AA,19,0)," ")</f>
        <v>Восток-Плюс</v>
      </c>
      <c r="CI197" s="22"/>
      <c r="CJ197" s="22" t="s">
        <v>2763</v>
      </c>
      <c r="CK197" s="22">
        <f>IFERROR(VLOOKUP(C197,CC!K:M,3,0)," ")</f>
        <v>45</v>
      </c>
      <c r="CL197" s="43"/>
      <c r="CM197" s="43"/>
      <c r="CN197" s="43"/>
      <c r="CO197" s="43"/>
      <c r="CP197" s="43"/>
      <c r="CQ197" s="43"/>
      <c r="CR197" s="43"/>
      <c r="CS197" s="43" t="b">
        <v>0</v>
      </c>
      <c r="CT197" s="43" t="b">
        <v>0</v>
      </c>
      <c r="CU197" s="43" t="b">
        <v>0</v>
      </c>
      <c r="CV197" s="43" t="b">
        <v>0</v>
      </c>
      <c r="CW197" s="43"/>
      <c r="CX197" s="43"/>
      <c r="CY197" s="43"/>
      <c r="CZ197" s="43"/>
      <c r="DA197" s="43"/>
      <c r="DB197" s="43"/>
      <c r="DC197" s="43"/>
      <c r="DD197" s="22">
        <f>IFERROR(VLOOKUP($C197,'Лист4'!$D:$AI,27,0)," ")</f>
        <v>5</v>
      </c>
      <c r="DE197" s="22">
        <f>IFERROR(VLOOKUP($C197,'Лист4'!$D:$AI,28,0)," ")</f>
        <v>5</v>
      </c>
      <c r="DF197" s="22">
        <f>IFERROR(VLOOKUP($C197,'Лист4'!$D:$AI,29,0)," ")</f>
        <v>5</v>
      </c>
      <c r="DG197" s="22">
        <f t="shared" si="3"/>
        <v>125</v>
      </c>
      <c r="DH197" s="22">
        <f>IFERROR(VLOOKUP($C197,'Лист4'!$D:$AI,32,0)," ")</f>
        <v>0.031</v>
      </c>
      <c r="DI197" s="22"/>
      <c r="DJ197" s="22"/>
      <c r="DK197" s="22"/>
      <c r="DL197" s="22"/>
      <c r="DM197" s="22"/>
      <c r="DN197" s="22"/>
      <c r="DO197" s="22"/>
      <c r="DP197" s="22"/>
      <c r="DQ197" s="22"/>
      <c r="DR197" s="22"/>
      <c r="DS197" s="22"/>
      <c r="DT197" s="22"/>
      <c r="DU197" s="22"/>
      <c r="DV197" s="22"/>
      <c r="DW197" s="22"/>
      <c r="DX197" s="22"/>
      <c r="DY197" s="22"/>
      <c r="DZ197" s="22"/>
      <c r="EA197" s="22"/>
      <c r="EB197" s="22"/>
      <c r="EC197" s="22"/>
      <c r="ED197" s="22"/>
      <c r="EE197" s="22"/>
      <c r="EF197" s="22"/>
      <c r="EG197" s="22"/>
      <c r="EH197" s="22"/>
      <c r="EI197" s="22"/>
      <c r="EJ197" s="22"/>
      <c r="EK197" s="22"/>
      <c r="EL197" s="22"/>
      <c r="EM197" s="43"/>
      <c r="EN197" s="43"/>
      <c r="EO197" s="43"/>
      <c r="EP197" s="43"/>
      <c r="EQ197" s="43"/>
      <c r="ER197" s="43"/>
      <c r="ES197" s="43"/>
      <c r="ET197" s="43"/>
      <c r="EU197" s="43"/>
      <c r="EV197" s="43"/>
      <c r="EW197" s="43"/>
      <c r="EX197" s="43"/>
      <c r="EY197" s="43"/>
      <c r="EZ197" s="43"/>
      <c r="FA197" s="43"/>
      <c r="FB197" s="43"/>
      <c r="FC197" s="43"/>
    </row>
    <row r="198" ht="18.0" customHeight="1">
      <c r="A198" s="2"/>
      <c r="B198" s="22" t="str">
        <f>IFERROR(VLOOKUP(C198,'Реестр'!C:AC,27,0)," ")</f>
        <v>Смарт-Сэйл</v>
      </c>
      <c r="C198" s="43" t="s">
        <v>3114</v>
      </c>
      <c r="D198" s="22" t="str">
        <f>IFERROR(VLOOKUP(C198,'Лист4'!D:P,13,0)," ")</f>
        <v>CPA</v>
      </c>
      <c r="E198" s="22" t="str">
        <f>IF(OR(ISERROR(VLOOKUP(C198,'Актуальность'!A:B,2,0)), VLOOKUP(C198,'Актуальность'!A:B,2,0)=""), "Актуальный", VLOOKUP(C198,'Актуальность'!A:B,2,0))</f>
        <v>Актуальный</v>
      </c>
      <c r="F198" s="43" t="str">
        <f>IFERROR(VLOOKUP(C198,'Актуальность'!A:C,3,0)," ")</f>
        <v/>
      </c>
      <c r="G198" s="43"/>
      <c r="H198" s="22" t="s">
        <v>2663</v>
      </c>
      <c r="I198" s="22" t="s">
        <v>2664</v>
      </c>
      <c r="J198" s="43"/>
      <c r="K198" s="43"/>
      <c r="L198" s="22" t="b">
        <f t="shared" ref="L198:R198" si="194">T198&lt;&gt;""</f>
        <v>1</v>
      </c>
      <c r="M198" s="22" t="b">
        <f t="shared" si="194"/>
        <v>1</v>
      </c>
      <c r="N198" s="22" t="b">
        <f t="shared" si="194"/>
        <v>1</v>
      </c>
      <c r="O198" s="22" t="b">
        <f t="shared" si="194"/>
        <v>1</v>
      </c>
      <c r="P198" s="22" t="b">
        <f t="shared" si="194"/>
        <v>0</v>
      </c>
      <c r="Q198" s="22" t="b">
        <f t="shared" si="194"/>
        <v>0</v>
      </c>
      <c r="R198" s="22" t="b">
        <f t="shared" si="194"/>
        <v>0</v>
      </c>
      <c r="S198" s="43"/>
      <c r="T198" s="43" t="str">
        <f>IFERROR(VLOOKUP( C198,'1С'!A:B,2,0)," ")</f>
        <v>CC101100431</v>
      </c>
      <c r="U198" s="22" t="str">
        <f>IFERROR(VLOOKUP(T198,'Лист4'!C:I,3,0)," ")</f>
        <v>sustalit_75ml</v>
      </c>
      <c r="V198" s="22" t="str">
        <f>IFERROR(VLOOKUP(T198,'Лист4'!C:I,4,0)," ")</f>
        <v>sustalit_75ml</v>
      </c>
      <c r="W198" s="22" t="str">
        <f>IFERROR(VLOOKUP(T198,'Лист4'!C:I,5,0)," ")</f>
        <v>sustalit_75ml</v>
      </c>
      <c r="X198" s="43" t="str">
        <f>IFERROR(VLOOKUP(T198,'Лист4'!C:I,7,0)," ")</f>
        <v/>
      </c>
      <c r="Y198" s="43" t="str">
        <f>IFERROR(VLOOKUP(T198,'Лист4'!C:I,6,0)," ")</f>
        <v/>
      </c>
      <c r="Z198" s="43"/>
      <c r="AA198" s="43"/>
      <c r="AB198" s="22">
        <v>1.9780449E8</v>
      </c>
      <c r="AC198" s="22">
        <v>1.354226463E9</v>
      </c>
      <c r="AD198" s="22">
        <v>1.03614742298E11</v>
      </c>
      <c r="AE198" s="22"/>
      <c r="AF198" s="22"/>
      <c r="AG198" s="43"/>
      <c r="AH198" s="43"/>
      <c r="AI198" s="43" t="str">
        <f>IFERROR(VLOOKUP(T198,'1С'!B:C,2,0)," ")</f>
        <v>Мазь для суставов Сусталит , CPA, 75 мл</v>
      </c>
      <c r="AJ198" s="22" t="s">
        <v>3117</v>
      </c>
      <c r="AK198" s="22" t="s">
        <v>3118</v>
      </c>
      <c r="AL198" s="22" t="s">
        <v>3119</v>
      </c>
      <c r="AM198" s="43"/>
      <c r="AN198" s="43"/>
      <c r="AO198" s="43"/>
      <c r="AP198" s="43"/>
      <c r="AQ198" s="46" t="s">
        <v>3120</v>
      </c>
      <c r="AR198" s="46" t="s">
        <v>3121</v>
      </c>
      <c r="AS198" s="46" t="s">
        <v>3122</v>
      </c>
      <c r="AT198" s="43"/>
      <c r="AU198" s="43"/>
      <c r="AV198" s="43"/>
      <c r="AW198" s="43"/>
      <c r="AX198" s="22" t="s">
        <v>594</v>
      </c>
      <c r="AY198" s="22" t="s">
        <v>3118</v>
      </c>
      <c r="AZ198" s="22" t="s">
        <v>3123</v>
      </c>
      <c r="BA198" s="43"/>
      <c r="BB198" s="43"/>
      <c r="BC198" s="43"/>
      <c r="BD198" s="43"/>
      <c r="BE198" s="43"/>
      <c r="BF198" s="22">
        <f>IFERROR(VLOOKUP(C198,'спецификация'!B:D,3,0)," ")</f>
        <v>4670142965251</v>
      </c>
      <c r="BG198" s="22">
        <v>3.30499E9</v>
      </c>
      <c r="BH198" s="22" t="str">
        <f>IFERROR(VLOOKUP(C198,'спецификация'!B:AA,5,0)," ")</f>
        <v>ЕАЭС N RU Д-RU.РА06.В.20033/22 от 12.09.2022 по 04.09.2027</v>
      </c>
      <c r="BI198" s="22"/>
      <c r="BJ198" s="22" t="str">
        <f>IFERROR(VLOOKUP(C198,'спецификация'!B:AA,6,0)," ")</f>
        <v>нет</v>
      </c>
      <c r="BK198" s="43"/>
      <c r="BL198" s="43"/>
      <c r="BM198" s="22" t="str">
        <f>IFERROR(VLOOKUP(BF198,'спецификация'!D:H,5,0)," ")</f>
        <v>вода, каприлилметикон, монтанов, глицерин, воск эмульсионный, монтанокс, моностеарат глицерина, аристофлекс, пихтовое масло, скипидар живичный (терпентиновое масло), камфора, аллантоин, сенсикеа, ПЭГ-40, экстракт корней лопуха большого, хондроитинсульфат, экстракт красного стручкового перца, ментол, мумие, экстракт коры осины обыкновенной, листьев березы обыкновенной, корней сабельника болотного, коры ивы белой, эфирное масло розмарина.</v>
      </c>
      <c r="BN198" s="43"/>
      <c r="BO198" s="22" t="str">
        <f>IFERROR(VLOOKUP(C198,'спецификация'!B:AA,10,0)," ")</f>
        <v>крем наносить легкими массирующими движениями на проблемные участки тела 2–3  раза в день.</v>
      </c>
      <c r="BP198" s="43" t="str">
        <f>IFERROR(VLOOKUP(C198,'спецификация'!B:AA,11,0)," ")</f>
        <v>индивидуальная непереносимость ингредиентов.</v>
      </c>
      <c r="BQ198" s="22" t="str">
        <f>IFERROR(VLOOKUP(C198,'спецификация'!B:AA,12,0)," ")</f>
        <v>хранить при температуре от +5ºС до +25ºС.</v>
      </c>
      <c r="BR198" s="22">
        <v>75.0</v>
      </c>
      <c r="BS198" s="22" t="s">
        <v>139</v>
      </c>
      <c r="BT198" s="22"/>
      <c r="BU198" s="22"/>
      <c r="BV198" s="22" t="s">
        <v>307</v>
      </c>
      <c r="BW198" s="44" t="str">
        <f>IFERROR(VLOOKUP(C198,'спецификация'!B:AA,16,0)," ")</f>
        <v>https://docs.google.com/document/d/1o1uRrAPR-A5wfaeZeLbca-Wz12ADRvpg/edit</v>
      </c>
      <c r="BX198" s="43"/>
      <c r="BY198" s="43"/>
      <c r="BZ198" s="45" t="str">
        <f>IFERROR(VLOOKUP(BF198,'спецификация'!D:Y,22,0)," ")</f>
        <v/>
      </c>
      <c r="CA198" s="43"/>
      <c r="CB198" s="43"/>
      <c r="CC198" s="43"/>
      <c r="CD198" s="43"/>
      <c r="CE198" s="43"/>
      <c r="CF198" s="43"/>
      <c r="CG198" s="49">
        <f>IFERROR(VLOOKUP(C198,CC!A:D,4,0)," ")</f>
        <v>158.5</v>
      </c>
      <c r="CH198" s="22" t="str">
        <f>IFERROR(VLOOKUP(C198,'спецификация'!B:AA,19,0)," ")</f>
        <v>ООО "Восток плюс"</v>
      </c>
      <c r="CI198" s="22"/>
      <c r="CJ198" s="22" t="s">
        <v>3130</v>
      </c>
      <c r="CK198" s="22">
        <f>IFERROR(VLOOKUP(C198,CC!K:M,3,0)," ")</f>
        <v>60</v>
      </c>
      <c r="CL198" s="43"/>
      <c r="CM198" s="43"/>
      <c r="CN198" s="43"/>
      <c r="CO198" s="43"/>
      <c r="CP198" s="43"/>
      <c r="CQ198" s="43"/>
      <c r="CR198" s="43"/>
      <c r="CS198" s="43" t="b">
        <v>0</v>
      </c>
      <c r="CT198" s="43" t="b">
        <v>0</v>
      </c>
      <c r="CU198" s="43" t="b">
        <v>0</v>
      </c>
      <c r="CV198" s="43" t="b">
        <v>0</v>
      </c>
      <c r="CW198" s="43"/>
      <c r="CX198" s="43"/>
      <c r="CY198" s="43"/>
      <c r="CZ198" s="43"/>
      <c r="DA198" s="43"/>
      <c r="DB198" s="43"/>
      <c r="DC198" s="43"/>
      <c r="DD198" s="22">
        <f>IFERROR(VLOOKUP($C198,'Лист4'!$D:$AI,27,0)," ")</f>
        <v>5</v>
      </c>
      <c r="DE198" s="22">
        <f>IFERROR(VLOOKUP($C198,'Лист4'!$D:$AI,28,0)," ")</f>
        <v>4</v>
      </c>
      <c r="DF198" s="22">
        <f>IFERROR(VLOOKUP($C198,'Лист4'!$D:$AI,29,0)," ")</f>
        <v>5</v>
      </c>
      <c r="DG198" s="22">
        <f t="shared" si="3"/>
        <v>100</v>
      </c>
      <c r="DH198" s="22">
        <f>IFERROR(VLOOKUP($C198,'Лист4'!$D:$AI,32,0)," ")</f>
        <v>0.09</v>
      </c>
      <c r="DI198" s="22"/>
      <c r="DJ198" s="22"/>
      <c r="DK198" s="22"/>
      <c r="DL198" s="22"/>
      <c r="DM198" s="22"/>
      <c r="DN198" s="22"/>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43"/>
      <c r="EN198" s="43"/>
      <c r="EO198" s="43"/>
      <c r="EP198" s="43"/>
      <c r="EQ198" s="43"/>
      <c r="ER198" s="43"/>
      <c r="ES198" s="43"/>
      <c r="ET198" s="43"/>
      <c r="EU198" s="43"/>
      <c r="EV198" s="43"/>
      <c r="EW198" s="43"/>
      <c r="EX198" s="43"/>
      <c r="EY198" s="43"/>
      <c r="EZ198" s="43"/>
      <c r="FA198" s="43"/>
      <c r="FB198" s="43"/>
      <c r="FC198" s="43"/>
    </row>
    <row r="199" ht="18.0" customHeight="1">
      <c r="A199" s="2"/>
      <c r="B199" s="22" t="str">
        <f>IFERROR(VLOOKUP(C199,'Реестр'!C:AC,27,0)," ")</f>
        <v>Смарт-Сэйл</v>
      </c>
      <c r="C199" s="43" t="s">
        <v>3131</v>
      </c>
      <c r="D199" s="22" t="str">
        <f>IFERROR(VLOOKUP(C199,'Лист4'!D:P,13,0)," ")</f>
        <v>CPA</v>
      </c>
      <c r="E199" s="22" t="str">
        <f>IF(OR(ISERROR(VLOOKUP(C199,'Актуальность'!A:B,2,0)), VLOOKUP(C199,'Актуальность'!A:B,2,0)=""), "Актуальный", VLOOKUP(C199,'Актуальность'!A:B,2,0))</f>
        <v>Актуальный</v>
      </c>
      <c r="F199" s="43" t="str">
        <f>IFERROR(VLOOKUP(C199,'Актуальность'!A:C,3,0)," ")</f>
        <v/>
      </c>
      <c r="G199" s="43"/>
      <c r="H199" s="22" t="s">
        <v>2663</v>
      </c>
      <c r="I199" s="22" t="s">
        <v>2703</v>
      </c>
      <c r="J199" s="43"/>
      <c r="K199" s="43"/>
      <c r="L199" s="22" t="b">
        <f t="shared" ref="L199:R199" si="195">T199&lt;&gt;""</f>
        <v>1</v>
      </c>
      <c r="M199" s="22" t="b">
        <f t="shared" si="195"/>
        <v>1</v>
      </c>
      <c r="N199" s="22" t="b">
        <f t="shared" si="195"/>
        <v>1</v>
      </c>
      <c r="O199" s="22" t="b">
        <f t="shared" si="195"/>
        <v>1</v>
      </c>
      <c r="P199" s="22" t="b">
        <f t="shared" si="195"/>
        <v>1</v>
      </c>
      <c r="Q199" s="22" t="b">
        <f t="shared" si="195"/>
        <v>1</v>
      </c>
      <c r="R199" s="22" t="b">
        <f t="shared" si="195"/>
        <v>0</v>
      </c>
      <c r="S199" s="43"/>
      <c r="T199" s="43" t="str">
        <f>IFERROR(VLOOKUP( C199,'1С'!A:B,2,0)," ")</f>
        <v>CO101100446</v>
      </c>
      <c r="U199" s="22" t="s">
        <v>3131</v>
      </c>
      <c r="V199" s="22" t="s">
        <v>3131</v>
      </c>
      <c r="W199" s="22" t="s">
        <v>3131</v>
      </c>
      <c r="X199" s="43" t="str">
        <f>IFERROR(VLOOKUP(T199,'Лист4'!C:I,7,0)," ")</f>
        <v> </v>
      </c>
      <c r="Y199" s="43" t="str">
        <f>IFERROR(VLOOKUP(T199,'Лист4'!C:I,6,0)," ")</f>
        <v> </v>
      </c>
      <c r="Z199" s="43"/>
      <c r="AA199" s="43"/>
      <c r="AB199" s="22">
        <v>1.76157837E8</v>
      </c>
      <c r="AC199" s="22">
        <v>1.12930106E9</v>
      </c>
      <c r="AD199" s="22">
        <v>1.03515442073E11</v>
      </c>
      <c r="AE199" s="22"/>
      <c r="AF199" s="22"/>
      <c r="AG199" s="43"/>
      <c r="AH199" s="43"/>
      <c r="AI199" s="43" t="str">
        <f>IFERROR(VLOOKUP(T199,'1С'!B:C,2,0)," ")</f>
        <v>Пищевая добавка Кардицин, CPA, 10 капсул, набор из 3 шт</v>
      </c>
      <c r="AJ199" s="22" t="s">
        <v>3134</v>
      </c>
      <c r="AK199" s="22" t="s">
        <v>3135</v>
      </c>
      <c r="AL199" s="22" t="s">
        <v>3135</v>
      </c>
      <c r="AM199" s="43"/>
      <c r="AN199" s="43"/>
      <c r="AO199" s="43"/>
      <c r="AP199" s="43"/>
      <c r="AQ199" s="46" t="s">
        <v>3136</v>
      </c>
      <c r="AR199" s="46" t="s">
        <v>3137</v>
      </c>
      <c r="AS199" s="46" t="s">
        <v>3138</v>
      </c>
      <c r="AT199" s="43"/>
      <c r="AU199" s="43"/>
      <c r="AV199" s="43"/>
      <c r="AW199" s="43"/>
      <c r="AX199" s="22" t="s">
        <v>649</v>
      </c>
      <c r="AY199" s="22" t="s">
        <v>3135</v>
      </c>
      <c r="AZ199" s="22" t="s">
        <v>3139</v>
      </c>
      <c r="BA199" s="43"/>
      <c r="BB199" s="43"/>
      <c r="BC199" s="43"/>
      <c r="BD199" s="43"/>
      <c r="BE199" s="43"/>
      <c r="BF199" s="22">
        <f>IFERROR(VLOOKUP(C199,'спецификация'!B:D,3,0)," ")</f>
        <v>2038301524237</v>
      </c>
      <c r="BG199" s="22">
        <v>2.103909009E9</v>
      </c>
      <c r="BH199" s="22" t="str">
        <f>IFERROR(VLOOKUP(C199,'спецификация'!B:AA,5,0)," ")</f>
        <v/>
      </c>
      <c r="BI199" s="22"/>
      <c r="BJ199" s="22" t="str">
        <f>IFERROR(VLOOKUP(C199,'спецификация'!B:AA,6,0)," ")</f>
        <v/>
      </c>
      <c r="BK199" s="43"/>
      <c r="BL199" s="43"/>
      <c r="BM199" s="22" t="str">
        <f>IFERROR(VLOOKUP(BF199,'спецификация'!D:H,5,0)," ")</f>
        <v/>
      </c>
      <c r="BN199" s="43"/>
      <c r="BO199" s="22" t="str">
        <f>IFERROR(VLOOKUP(C199,'спецификация'!B:AA,10,0)," ")</f>
        <v/>
      </c>
      <c r="BP199" s="43" t="str">
        <f>IFERROR(VLOOKUP(C199,'спецификация'!B:AA,11,0)," ")</f>
        <v/>
      </c>
      <c r="BQ199" s="22" t="str">
        <f>IFERROR(VLOOKUP(C199,'спецификация'!B:AA,12,0)," ")</f>
        <v/>
      </c>
      <c r="BR199" s="22"/>
      <c r="BS199" s="43"/>
      <c r="BT199" s="43"/>
      <c r="BU199" s="22"/>
      <c r="BV199" s="22"/>
      <c r="BW199" s="45" t="str">
        <f>IFERROR(VLOOKUP(C199,'спецификация'!B:AA,16,0)," ")</f>
        <v/>
      </c>
      <c r="BX199" s="43"/>
      <c r="BY199" s="43"/>
      <c r="BZ199" s="45" t="str">
        <f>IFERROR(VLOOKUP(BF199,'спецификация'!D:Y,22,0)," ")</f>
        <v/>
      </c>
      <c r="CA199" s="43"/>
      <c r="CB199" s="43"/>
      <c r="CC199" s="43"/>
      <c r="CD199" s="43"/>
      <c r="CE199" s="43"/>
      <c r="CF199" s="43"/>
      <c r="CG199" s="49">
        <f>IFERROR(VLOOKUP(C199,CC!A:D,4,0)," ")</f>
        <v>310.41</v>
      </c>
      <c r="CH199" s="22" t="str">
        <f>IFERROR(VLOOKUP(C199,'спецификация'!B:AA,19,0)," ")</f>
        <v/>
      </c>
      <c r="CI199" s="22"/>
      <c r="CJ199" s="43"/>
      <c r="CK199" s="22">
        <f>IFERROR(VLOOKUP(C199,CC!K:M,3,0)," ")</f>
        <v>45</v>
      </c>
      <c r="CL199" s="43"/>
      <c r="CM199" s="43"/>
      <c r="CN199" s="43"/>
      <c r="CO199" s="43"/>
      <c r="CP199" s="43"/>
      <c r="CQ199" s="43"/>
      <c r="CR199" s="43"/>
      <c r="CS199" s="43" t="b">
        <v>0</v>
      </c>
      <c r="CT199" s="43" t="b">
        <v>0</v>
      </c>
      <c r="CU199" s="43" t="b">
        <v>0</v>
      </c>
      <c r="CV199" s="43" t="b">
        <v>0</v>
      </c>
      <c r="CW199" s="43"/>
      <c r="CX199" s="43"/>
      <c r="CY199" s="43"/>
      <c r="CZ199" s="43"/>
      <c r="DA199" s="43"/>
      <c r="DB199" s="43"/>
      <c r="DC199" s="43"/>
      <c r="DD199" s="22">
        <f>IFERROR(VLOOKUP($C199,'Лист4'!$D:$AI,27,0)," ")</f>
        <v>15</v>
      </c>
      <c r="DE199" s="22">
        <f>IFERROR(VLOOKUP($C199,'Лист4'!$D:$AI,28,0)," ")</f>
        <v>6</v>
      </c>
      <c r="DF199" s="22">
        <f>IFERROR(VLOOKUP($C199,'Лист4'!$D:$AI,29,0)," ")</f>
        <v>15</v>
      </c>
      <c r="DG199" s="22">
        <f t="shared" si="3"/>
        <v>1350</v>
      </c>
      <c r="DH199" s="22">
        <f>IFERROR(VLOOKUP($C199,'Лист4'!$D:$AI,32,0)," ")</f>
        <v>0.048</v>
      </c>
      <c r="DI199" s="22"/>
      <c r="DJ199" s="22"/>
      <c r="DK199" s="22"/>
      <c r="DL199" s="22"/>
      <c r="DM199" s="22"/>
      <c r="DN199" s="22"/>
      <c r="DO199" s="22"/>
      <c r="DP199" s="22"/>
      <c r="DQ199" s="22"/>
      <c r="DR199" s="22"/>
      <c r="DS199" s="22"/>
      <c r="DT199" s="22"/>
      <c r="DU199" s="22"/>
      <c r="DV199" s="22"/>
      <c r="DW199" s="22"/>
      <c r="DX199" s="22"/>
      <c r="DY199" s="22"/>
      <c r="DZ199" s="22"/>
      <c r="EA199" s="22"/>
      <c r="EB199" s="22"/>
      <c r="EC199" s="22"/>
      <c r="ED199" s="22"/>
      <c r="EE199" s="22"/>
      <c r="EF199" s="22"/>
      <c r="EG199" s="22"/>
      <c r="EH199" s="22"/>
      <c r="EI199" s="22"/>
      <c r="EJ199" s="22"/>
      <c r="EK199" s="22"/>
      <c r="EL199" s="22"/>
      <c r="EM199" s="43"/>
      <c r="EN199" s="43"/>
      <c r="EO199" s="43"/>
      <c r="EP199" s="43"/>
      <c r="EQ199" s="43"/>
      <c r="ER199" s="43"/>
      <c r="ES199" s="43"/>
      <c r="ET199" s="43"/>
      <c r="EU199" s="43"/>
      <c r="EV199" s="43"/>
      <c r="EW199" s="43"/>
      <c r="EX199" s="43"/>
      <c r="EY199" s="43"/>
      <c r="EZ199" s="43"/>
      <c r="FA199" s="43"/>
      <c r="FB199" s="43"/>
      <c r="FC199" s="43"/>
    </row>
    <row r="200" ht="18.0" customHeight="1">
      <c r="A200" s="2"/>
      <c r="B200" s="22" t="str">
        <f>IFERROR(VLOOKUP(C200,'Реестр'!C:AC,27,0)," ")</f>
        <v>Смарт-Сэйл</v>
      </c>
      <c r="C200" s="43" t="s">
        <v>3145</v>
      </c>
      <c r="D200" s="22" t="str">
        <f>IFERROR(VLOOKUP(C200,'Лист4'!D:P,13,0)," ")</f>
        <v>CPA</v>
      </c>
      <c r="E200" s="22" t="str">
        <f>IF(OR(ISERROR(VLOOKUP(C200,'Актуальность'!A:B,2,0)), VLOOKUP(C200,'Актуальность'!A:B,2,0)=""), "Актуальный", VLOOKUP(C200,'Актуальность'!A:B,2,0))</f>
        <v>Актуальный</v>
      </c>
      <c r="F200" s="43" t="str">
        <f>IFERROR(VLOOKUP(C200,'Актуальность'!A:C,3,0)," ")</f>
        <v/>
      </c>
      <c r="G200" s="43"/>
      <c r="H200" s="22" t="s">
        <v>2663</v>
      </c>
      <c r="I200" s="22" t="s">
        <v>2664</v>
      </c>
      <c r="J200" s="43"/>
      <c r="K200" s="43"/>
      <c r="L200" s="22" t="b">
        <f t="shared" ref="L200:R200" si="196">T200&lt;&gt;""</f>
        <v>1</v>
      </c>
      <c r="M200" s="22" t="b">
        <f t="shared" si="196"/>
        <v>1</v>
      </c>
      <c r="N200" s="22" t="b">
        <f t="shared" si="196"/>
        <v>1</v>
      </c>
      <c r="O200" s="22" t="b">
        <f t="shared" si="196"/>
        <v>1</v>
      </c>
      <c r="P200" s="22" t="b">
        <f t="shared" si="196"/>
        <v>0</v>
      </c>
      <c r="Q200" s="22" t="b">
        <f t="shared" si="196"/>
        <v>0</v>
      </c>
      <c r="R200" s="22" t="b">
        <f t="shared" si="196"/>
        <v>0</v>
      </c>
      <c r="S200" s="43"/>
      <c r="T200" s="43" t="str">
        <f>IFERROR(VLOOKUP( C200,'1С'!A:B,2,0)," ")</f>
        <v>CC101100434</v>
      </c>
      <c r="U200" s="22" t="str">
        <f>IFERROR(VLOOKUP(T200,'Лист4'!C:I,3,0)," ")</f>
        <v>kavmaz_60ml</v>
      </c>
      <c r="V200" s="22" t="str">
        <f>IFERROR(VLOOKUP(T200,'Лист4'!C:I,4,0)," ")</f>
        <v>kavmaz_60ml</v>
      </c>
      <c r="W200" s="22" t="str">
        <f>IFERROR(VLOOKUP(T200,'Лист4'!C:I,5,0)," ")</f>
        <v>kavmaz_60ml</v>
      </c>
      <c r="X200" s="43" t="str">
        <f>IFERROR(VLOOKUP(T200,'Лист4'!C:I,7,0)," ")</f>
        <v/>
      </c>
      <c r="Y200" s="43" t="str">
        <f>IFERROR(VLOOKUP(T200,'Лист4'!C:I,6,0)," ")</f>
        <v/>
      </c>
      <c r="Z200" s="43"/>
      <c r="AA200" s="43"/>
      <c r="AB200" s="22">
        <v>2.23763365E8</v>
      </c>
      <c r="AC200" s="22">
        <v>1.548037857E9</v>
      </c>
      <c r="AD200" s="22">
        <v>1.03515421547E11</v>
      </c>
      <c r="AE200" s="22"/>
      <c r="AF200" s="22"/>
      <c r="AG200" s="43"/>
      <c r="AH200" s="43"/>
      <c r="AI200" s="43" t="str">
        <f>IFERROR(VLOOKUP(T200,'1С'!B:C,2,0)," ")</f>
        <v>Мазь для суставов Кавказская мазь , CPA, 60 мл</v>
      </c>
      <c r="AJ200" s="22" t="s">
        <v>3148</v>
      </c>
      <c r="AK200" s="22" t="s">
        <v>3149</v>
      </c>
      <c r="AL200" s="22" t="s">
        <v>3150</v>
      </c>
      <c r="AM200" s="43"/>
      <c r="AN200" s="43"/>
      <c r="AO200" s="43"/>
      <c r="AP200" s="43"/>
      <c r="AQ200" s="46" t="s">
        <v>3151</v>
      </c>
      <c r="AR200" s="46" t="s">
        <v>3152</v>
      </c>
      <c r="AS200" s="46" t="s">
        <v>3153</v>
      </c>
      <c r="AT200" s="43"/>
      <c r="AU200" s="43"/>
      <c r="AV200" s="43"/>
      <c r="AW200" s="43"/>
      <c r="AX200" s="22" t="s">
        <v>594</v>
      </c>
      <c r="AY200" s="22" t="s">
        <v>3149</v>
      </c>
      <c r="AZ200" s="22" t="s">
        <v>2672</v>
      </c>
      <c r="BA200" s="43"/>
      <c r="BB200" s="43"/>
      <c r="BC200" s="43"/>
      <c r="BD200" s="43"/>
      <c r="BE200" s="43"/>
      <c r="BF200" s="22" t="str">
        <f>IFERROR(VLOOKUP(C200,'спецификация'!B:D,3,0)," ")</f>
        <v>4693878600524
4660417421292</v>
      </c>
      <c r="BG200" s="22">
        <v>3.30499E9</v>
      </c>
      <c r="BH200" s="22" t="str">
        <f>IFERROR(VLOOKUP(C200,'спецификация'!B:AA,5,0)," ")</f>
        <v/>
      </c>
      <c r="BI200" s="22"/>
      <c r="BJ200" s="22" t="str">
        <f>IFERROR(VLOOKUP(C200,'спецификация'!B:AA,6,0)," ")</f>
        <v/>
      </c>
      <c r="BK200" s="43"/>
      <c r="BL200" s="43"/>
      <c r="BM200" s="22" t="str">
        <f>IFERROR(VLOOKUP(BF200,'спецификация'!D:H,5,0)," ")</f>
        <v>Вода, хондроитин сульфат натрия, экстракт маклюры, экстракт коры дуба, троксерутин, экстракт сабельника, пчелиный яд, экстракт босвелии, экстракт хвои, экстракт коры ивы, экстракт лопуха, экстракт мяты, экстракт солодки, экстракт брусники, экстракт лабазника, экстракт красного перца, экстракт прополиса, карбомер, триэтаноламин, феноксиэтанол, этилгексилглицерин.</v>
      </c>
      <c r="BN200" s="43"/>
      <c r="BO200" s="22" t="str">
        <f>IFERROR(VLOOKUP(C200,'спецификация'!B:AA,10,0)," ")</f>
        <v/>
      </c>
      <c r="BP200" s="43"/>
      <c r="BQ200" s="22" t="str">
        <f>IFERROR(VLOOKUP(C200,'спецификация'!B:AA,12,0)," ")</f>
        <v/>
      </c>
      <c r="BR200" s="43">
        <v>80.0</v>
      </c>
      <c r="BS200" s="22"/>
      <c r="BT200" s="22"/>
      <c r="BU200" s="22"/>
      <c r="BV200" s="22" t="s">
        <v>307</v>
      </c>
      <c r="BW200" s="45" t="str">
        <f>IFERROR(VLOOKUP(C200,'спецификация'!B:AA,16,0)," ")</f>
        <v/>
      </c>
      <c r="BX200" s="43"/>
      <c r="BY200" s="43"/>
      <c r="BZ200" s="45" t="str">
        <f>IFERROR(VLOOKUP(BF200,'спецификация'!D:Y,22,0)," ")</f>
        <v/>
      </c>
      <c r="CA200" s="43"/>
      <c r="CB200" s="43"/>
      <c r="CC200" s="43"/>
      <c r="CD200" s="43"/>
      <c r="CE200" s="43"/>
      <c r="CF200" s="43"/>
      <c r="CG200" s="49">
        <f>IFERROR(VLOOKUP(C200,CC!A:D,4,0)," ")</f>
        <v>133.9</v>
      </c>
      <c r="CH200" s="22" t="s">
        <v>3155</v>
      </c>
      <c r="CI200" s="22"/>
      <c r="CJ200" s="43"/>
      <c r="CK200" s="22">
        <f>IFERROR(VLOOKUP(C200,CC!K:M,3,0)," ")</f>
        <v>45</v>
      </c>
      <c r="CL200" s="43"/>
      <c r="CM200" s="43"/>
      <c r="CN200" s="43"/>
      <c r="CO200" s="43"/>
      <c r="CP200" s="43"/>
      <c r="CQ200" s="43"/>
      <c r="CR200" s="43"/>
      <c r="CS200" s="43" t="b">
        <v>0</v>
      </c>
      <c r="CT200" s="43" t="b">
        <v>0</v>
      </c>
      <c r="CU200" s="43" t="b">
        <v>0</v>
      </c>
      <c r="CV200" s="43" t="b">
        <v>0</v>
      </c>
      <c r="CW200" s="43"/>
      <c r="CX200" s="43"/>
      <c r="CY200" s="43"/>
      <c r="CZ200" s="43"/>
      <c r="DA200" s="43"/>
      <c r="DB200" s="43"/>
      <c r="DC200" s="43"/>
      <c r="DD200" s="22">
        <f>IFERROR(VLOOKUP($C200,'Лист4'!$D:$AI,27,0)," ")</f>
        <v>5</v>
      </c>
      <c r="DE200" s="22">
        <f>IFERROR(VLOOKUP($C200,'Лист4'!$D:$AI,28,0)," ")</f>
        <v>5</v>
      </c>
      <c r="DF200" s="22">
        <f>IFERROR(VLOOKUP($C200,'Лист4'!$D:$AI,29,0)," ")</f>
        <v>5</v>
      </c>
      <c r="DG200" s="22">
        <f t="shared" si="3"/>
        <v>125</v>
      </c>
      <c r="DH200" s="22">
        <f>IFERROR(VLOOKUP($C200,'Лист4'!$D:$AI,32,0)," ")</f>
        <v>0.07</v>
      </c>
      <c r="DI200" s="22"/>
      <c r="DJ200" s="22"/>
      <c r="DK200" s="22"/>
      <c r="DL200" s="22"/>
      <c r="DM200" s="22"/>
      <c r="DN200" s="22"/>
      <c r="DO200" s="22"/>
      <c r="DP200" s="22"/>
      <c r="DQ200" s="22"/>
      <c r="DR200" s="22"/>
      <c r="DS200" s="22"/>
      <c r="DT200" s="22"/>
      <c r="DU200" s="22"/>
      <c r="DV200" s="22"/>
      <c r="DW200" s="22"/>
      <c r="DX200" s="22"/>
      <c r="DY200" s="22"/>
      <c r="DZ200" s="22"/>
      <c r="EA200" s="22"/>
      <c r="EB200" s="22"/>
      <c r="EC200" s="22"/>
      <c r="ED200" s="22"/>
      <c r="EE200" s="22"/>
      <c r="EF200" s="22"/>
      <c r="EG200" s="22"/>
      <c r="EH200" s="22"/>
      <c r="EI200" s="22"/>
      <c r="EJ200" s="22"/>
      <c r="EK200" s="22"/>
      <c r="EL200" s="22"/>
      <c r="EM200" s="43"/>
      <c r="EN200" s="43"/>
      <c r="EO200" s="43"/>
      <c r="EP200" s="43"/>
      <c r="EQ200" s="43"/>
      <c r="ER200" s="43"/>
      <c r="ES200" s="43"/>
      <c r="ET200" s="43"/>
      <c r="EU200" s="43"/>
      <c r="EV200" s="43"/>
      <c r="EW200" s="43"/>
      <c r="EX200" s="43"/>
      <c r="EY200" s="43"/>
      <c r="EZ200" s="43"/>
      <c r="FA200" s="43"/>
      <c r="FB200" s="43"/>
      <c r="FC200" s="43"/>
    </row>
    <row r="201" ht="18.0" customHeight="1">
      <c r="A201" s="2"/>
      <c r="B201" s="22" t="str">
        <f>IFERROR(VLOOKUP(C201,'Реестр'!C:AC,27,0)," ")</f>
        <v>Смарт-Сэйл</v>
      </c>
      <c r="C201" s="43" t="s">
        <v>5545</v>
      </c>
      <c r="D201" s="22" t="str">
        <f>IFERROR(VLOOKUP(C201,'Лист4'!D:P,13,0)," ")</f>
        <v>Алтея</v>
      </c>
      <c r="E201" s="22" t="str">
        <f>IF(OR(ISERROR(VLOOKUP(C201,'Актуальность'!A:B,2,0)), VLOOKUP(C201,'Актуальность'!A:B,2,0)=""), "Актуальный", VLOOKUP(C201,'Актуальность'!A:B,2,0))</f>
        <v>Актуальный</v>
      </c>
      <c r="F201" s="43" t="str">
        <f>IFERROR(VLOOKUP(C201,'Актуальность'!A:C,3,0)," ")</f>
        <v/>
      </c>
      <c r="G201" s="43"/>
      <c r="H201" s="22" t="s">
        <v>361</v>
      </c>
      <c r="I201" s="22" t="s">
        <v>6650</v>
      </c>
      <c r="J201" s="43"/>
      <c r="K201" s="43"/>
      <c r="L201" s="22" t="b">
        <f t="shared" ref="L201:R201" si="197">T201&lt;&gt;""</f>
        <v>1</v>
      </c>
      <c r="M201" s="22" t="b">
        <f t="shared" si="197"/>
        <v>1</v>
      </c>
      <c r="N201" s="22" t="b">
        <f t="shared" si="197"/>
        <v>1</v>
      </c>
      <c r="O201" s="22" t="b">
        <f t="shared" si="197"/>
        <v>1</v>
      </c>
      <c r="P201" s="22" t="b">
        <f t="shared" si="197"/>
        <v>0</v>
      </c>
      <c r="Q201" s="22" t="b">
        <f t="shared" si="197"/>
        <v>0</v>
      </c>
      <c r="R201" s="22" t="b">
        <f t="shared" si="197"/>
        <v>0</v>
      </c>
      <c r="S201" s="43"/>
      <c r="T201" s="43" t="str">
        <f>IFERROR(VLOOKUP( C201,'1С'!A:B,2,0)," ")</f>
        <v>AB101100416</v>
      </c>
      <c r="U201" s="22" t="str">
        <f>IFERROR(VLOOKUP(T201,'Лист4'!C:I,3,0)," ")</f>
        <v>cardicin_BAD_60caps</v>
      </c>
      <c r="V201" s="22" t="str">
        <f>IFERROR(VLOOKUP(T201,'Лист4'!C:I,4,0)," ")</f>
        <v>cardicin_BAD_60caps</v>
      </c>
      <c r="W201" s="22" t="str">
        <f>IFERROR(VLOOKUP(T201,'Лист4'!C:I,5,0)," ")</f>
        <v>cardicin_BAD_60caps</v>
      </c>
      <c r="X201" s="43" t="str">
        <f>IFERROR(VLOOKUP(T201,'Лист4'!C:I,7,0)," ")</f>
        <v/>
      </c>
      <c r="Y201" s="43" t="str">
        <f>IFERROR(VLOOKUP(T201,'Лист4'!C:I,6,0)," ")</f>
        <v/>
      </c>
      <c r="Z201" s="43"/>
      <c r="AA201" s="43"/>
      <c r="AB201" s="22">
        <v>1.74464512E8</v>
      </c>
      <c r="AC201" s="22">
        <v>1.171930661E9</v>
      </c>
      <c r="AD201" s="22">
        <v>1.0334089163E11</v>
      </c>
      <c r="AE201" s="22"/>
      <c r="AF201" s="22"/>
      <c r="AG201" s="43"/>
      <c r="AH201" s="43"/>
      <c r="AI201" s="43" t="str">
        <f>IFERROR(VLOOKUP(T201,'1С'!B:C,2,0)," ")</f>
        <v>БАД Кардицин, Алтея, 60 капсул</v>
      </c>
      <c r="AJ201" s="22" t="s">
        <v>6651</v>
      </c>
      <c r="AK201" s="22" t="s">
        <v>6578</v>
      </c>
      <c r="AL201" s="22" t="s">
        <v>6578</v>
      </c>
      <c r="AM201" s="43"/>
      <c r="AN201" s="43"/>
      <c r="AO201" s="43"/>
      <c r="AP201" s="43"/>
      <c r="AQ201" s="46" t="s">
        <v>6652</v>
      </c>
      <c r="AR201" s="46" t="s">
        <v>6653</v>
      </c>
      <c r="AS201" s="46" t="s">
        <v>6654</v>
      </c>
      <c r="AT201" s="43"/>
      <c r="AU201" s="43"/>
      <c r="AV201" s="43"/>
      <c r="AW201" s="43"/>
      <c r="AX201" s="22" t="s">
        <v>649</v>
      </c>
      <c r="AY201" s="22" t="s">
        <v>6578</v>
      </c>
      <c r="AZ201" s="22" t="s">
        <v>372</v>
      </c>
      <c r="BA201" s="43"/>
      <c r="BB201" s="43"/>
      <c r="BC201" s="43"/>
      <c r="BD201" s="43"/>
      <c r="BE201" s="43"/>
      <c r="BF201" s="22">
        <f>IFERROR(VLOOKUP(C201,'спецификация'!B:D,3,0)," ")</f>
        <v>4670142964940</v>
      </c>
      <c r="BG201" s="22">
        <v>2.106909808E9</v>
      </c>
      <c r="BH201" s="22" t="str">
        <f>IFERROR(VLOOKUP(C201,'спецификация'!B:AA,5,0)," ")</f>
        <v>AM.01.01.01.003.R.000908.12.22 от 28.12.2022</v>
      </c>
      <c r="BI201" s="22"/>
      <c r="BJ201" s="22" t="str">
        <f>IFERROR(VLOOKUP(C201,'спецификация'!B:AA,6,0)," ")</f>
        <v>да</v>
      </c>
      <c r="BK201" s="43"/>
      <c r="BL201" s="43"/>
      <c r="BM201" s="22" t="str">
        <f>IFERROR(VLOOKUP(BF201,'спецификация'!D:H,5,0)," ")</f>
        <v>экстракты корней лопуха большого, травы пустырника сердечного, плодов боярышника кроваво-красного, травы солянки холмовой, концентрированные соки плодов аронии, плодов калины обыкновенной, экстракты листьев березы обыкновенной, травы гречихи посевной, травы череды трехраздельной, чеснок посевной сушеный, концентрированный сок плодов клюквы обыкновенной, стеарат магния, крахмал кукурузный.</v>
      </c>
      <c r="BN201" s="43"/>
      <c r="BO201" s="22" t="str">
        <f>IFERROR(VLOOKUP(C201,'спецификация'!B:AA,10,0)," ")</f>
        <v>взрослым принимать по 1 капсуле 2 раза в день за полчаса до еды, при необходимости можно увеличить до 3 раз в день.</v>
      </c>
      <c r="BP201" s="43" t="str">
        <f>IFERROR(VLOOKUP(C201,'спецификация'!B:AA,11,0)," ")</f>
        <v>индивидуальная непереносимость ингредиентов продукта, беременность, кормление грудью, вегетососудистая дистония по гипотоническому типу, гипотоническая болезнь. Перед применением рекомендуется проконсультироваться с врачом.</v>
      </c>
      <c r="BQ201" s="22" t="str">
        <f>IFERROR(VLOOKUP(C201,'спецификация'!B:AA,12,0)," ")</f>
        <v>хранить при температуре от 0 ºС до +25ºС и относительной влажности воздуха не более 75%, в защищенном от света и недоступном для детей месте.</v>
      </c>
      <c r="BR201" s="22">
        <v>60.0</v>
      </c>
      <c r="BS201" s="22" t="s">
        <v>492</v>
      </c>
      <c r="BT201" s="22"/>
      <c r="BU201" s="22"/>
      <c r="BV201" s="22" t="s">
        <v>727</v>
      </c>
      <c r="BW201" s="44" t="str">
        <f>IFERROR(VLOOKUP(C201,'спецификация'!B:AA,16,0)," ")</f>
        <v>https://docs.google.com/document/d/1b5m7dc0jWUiMp7O5c5lgX5q4Qh4COcNg/edit?usp=drive_link&amp;ouid=104241417680089502627&amp;rtpof=true&amp;sd=true</v>
      </c>
      <c r="BX201" s="43"/>
      <c r="BY201" s="43"/>
      <c r="BZ201" s="45" t="str">
        <f>IFERROR(VLOOKUP(BF201,'спецификация'!D:Y,22,0)," ")</f>
        <v/>
      </c>
      <c r="CA201" s="43"/>
      <c r="CB201" s="43"/>
      <c r="CC201" s="43"/>
      <c r="CD201" s="43"/>
      <c r="CE201" s="43"/>
      <c r="CF201" s="43"/>
      <c r="CG201" s="49">
        <f>IFERROR(VLOOKUP(C201,CC!A:D,4,0)," ")</f>
        <v>225</v>
      </c>
      <c r="CH201" s="22" t="str">
        <f>IFERROR(VLOOKUP(C201,'спецификация'!B:AA,19,0)," ")</f>
        <v>ООО "Биолит"</v>
      </c>
      <c r="CI201" s="22"/>
      <c r="CJ201" s="22" t="s">
        <v>3130</v>
      </c>
      <c r="CK201" s="22">
        <f>IFERROR(VLOOKUP(C201,CC!K:M,3,0)," ")</f>
        <v>60</v>
      </c>
      <c r="CL201" s="43"/>
      <c r="CM201" s="43"/>
      <c r="CN201" s="43"/>
      <c r="CO201" s="43"/>
      <c r="CP201" s="43"/>
      <c r="CQ201" s="43"/>
      <c r="CR201" s="43"/>
      <c r="CS201" s="43" t="b">
        <v>0</v>
      </c>
      <c r="CT201" s="43" t="b">
        <v>0</v>
      </c>
      <c r="CU201" s="43" t="b">
        <v>0</v>
      </c>
      <c r="CV201" s="43" t="b">
        <v>0</v>
      </c>
      <c r="CW201" s="43"/>
      <c r="CX201" s="43"/>
      <c r="CY201" s="43"/>
      <c r="CZ201" s="43"/>
      <c r="DA201" s="43"/>
      <c r="DB201" s="43"/>
      <c r="DC201" s="43"/>
      <c r="DD201" s="22">
        <f>IFERROR(VLOOKUP($C201,'Лист4'!$D:$AI,27,0)," ")</f>
        <v>10</v>
      </c>
      <c r="DE201" s="22">
        <f>IFERROR(VLOOKUP($C201,'Лист4'!$D:$AI,28,0)," ")</f>
        <v>5</v>
      </c>
      <c r="DF201" s="22">
        <f>IFERROR(VLOOKUP($C201,'Лист4'!$D:$AI,29,0)," ")</f>
        <v>10</v>
      </c>
      <c r="DG201" s="22">
        <f t="shared" si="3"/>
        <v>500</v>
      </c>
      <c r="DH201" s="22">
        <f>IFERROR(VLOOKUP($C201,'Лист4'!$D:$AI,32,0)," ")</f>
        <v>0.062</v>
      </c>
      <c r="DI201" s="22"/>
      <c r="DJ201" s="22"/>
      <c r="DK201" s="22"/>
      <c r="DL201" s="22"/>
      <c r="DM201" s="22"/>
      <c r="DN201" s="22"/>
      <c r="DO201" s="22"/>
      <c r="DP201" s="22"/>
      <c r="DQ201" s="22"/>
      <c r="DR201" s="22"/>
      <c r="DS201" s="22"/>
      <c r="DT201" s="22"/>
      <c r="DU201" s="22"/>
      <c r="DV201" s="22"/>
      <c r="DW201" s="22"/>
      <c r="DX201" s="22"/>
      <c r="DY201" s="22"/>
      <c r="DZ201" s="22"/>
      <c r="EA201" s="22"/>
      <c r="EB201" s="22"/>
      <c r="EC201" s="22"/>
      <c r="ED201" s="22"/>
      <c r="EE201" s="22"/>
      <c r="EF201" s="22"/>
      <c r="EG201" s="22"/>
      <c r="EH201" s="22"/>
      <c r="EI201" s="22"/>
      <c r="EJ201" s="22"/>
      <c r="EK201" s="22"/>
      <c r="EL201" s="22"/>
      <c r="EM201" s="43"/>
      <c r="EN201" s="43"/>
      <c r="EO201" s="43"/>
      <c r="EP201" s="43"/>
      <c r="EQ201" s="43"/>
      <c r="ER201" s="43"/>
      <c r="ES201" s="43"/>
      <c r="ET201" s="43"/>
      <c r="EU201" s="43"/>
      <c r="EV201" s="43"/>
      <c r="EW201" s="43"/>
      <c r="EX201" s="43"/>
      <c r="EY201" s="43"/>
      <c r="EZ201" s="43"/>
      <c r="FA201" s="43"/>
      <c r="FB201" s="43"/>
      <c r="FC201" s="43"/>
    </row>
    <row r="202" ht="18.0" customHeight="1">
      <c r="A202" s="2"/>
      <c r="B202" s="22" t="str">
        <f>IFERROR(VLOOKUP(C202,'Реестр'!C:AC,27,0)," ")</f>
        <v>Смарт-Сэйл</v>
      </c>
      <c r="C202" s="43" t="s">
        <v>3156</v>
      </c>
      <c r="D202" s="22" t="str">
        <f>IFERROR(VLOOKUP(C202,'Лист4'!D:P,13,0)," ")</f>
        <v>Алтея</v>
      </c>
      <c r="E202" s="22" t="str">
        <f>IF(OR(ISERROR(VLOOKUP(C202,'Актуальность'!A:B,2,0)), VLOOKUP(C202,'Актуальность'!A:B,2,0)=""), "Актуальный", VLOOKUP(C202,'Актуальность'!A:B,2,0))</f>
        <v>Актуальный</v>
      </c>
      <c r="F202" s="43" t="str">
        <f>IFERROR(VLOOKUP(C202,'Актуальность'!A:C,3,0)," ")</f>
        <v/>
      </c>
      <c r="G202" s="43"/>
      <c r="H202" s="22" t="s">
        <v>2743</v>
      </c>
      <c r="I202" s="22" t="s">
        <v>3158</v>
      </c>
      <c r="J202" s="43"/>
      <c r="K202" s="43"/>
      <c r="L202" s="22" t="b">
        <f t="shared" ref="L202:R202" si="198">T202&lt;&gt;""</f>
        <v>1</v>
      </c>
      <c r="M202" s="22" t="b">
        <f t="shared" si="198"/>
        <v>1</v>
      </c>
      <c r="N202" s="22" t="b">
        <f t="shared" si="198"/>
        <v>1</v>
      </c>
      <c r="O202" s="22" t="b">
        <f t="shared" si="198"/>
        <v>1</v>
      </c>
      <c r="P202" s="22" t="b">
        <f t="shared" si="198"/>
        <v>1</v>
      </c>
      <c r="Q202" s="22" t="b">
        <f t="shared" si="198"/>
        <v>1</v>
      </c>
      <c r="R202" s="22" t="b">
        <f t="shared" si="198"/>
        <v>0</v>
      </c>
      <c r="S202" s="43"/>
      <c r="T202" s="43" t="str">
        <f>IFERROR(VLOOKUP( C202,'1С'!A:B,2,0)," ")</f>
        <v>AC101100434</v>
      </c>
      <c r="U202" s="22" t="str">
        <f>IFERROR(VLOOKUP(T202,'Лист4'!C:I,3,0)," ")</f>
        <v>maslo_dlya_borodi_50ml</v>
      </c>
      <c r="V202" s="22" t="str">
        <f>IFERROR(VLOOKUP(T202,'Лист4'!C:I,4,0)," ")</f>
        <v>maslo_dlya_borodi_50ml</v>
      </c>
      <c r="W202" s="22" t="str">
        <f>IFERROR(VLOOKUP(T202,'Лист4'!C:I,5,0)," ")</f>
        <v>maslo_dlya_borodi_50ml</v>
      </c>
      <c r="X202" s="43" t="str">
        <f>IFERROR(VLOOKUP(T202,'Лист4'!C:I,7,0)," ")</f>
        <v>maslo_dlya_borodi_50ml</v>
      </c>
      <c r="Y202" s="43" t="str">
        <f>IFERROR(VLOOKUP(T202,'Лист4'!C:I,6,0)," ")</f>
        <v>maslo_dlya_borodi_50ml</v>
      </c>
      <c r="Z202" s="43"/>
      <c r="AA202" s="43"/>
      <c r="AB202" s="22">
        <v>2.39879972E8</v>
      </c>
      <c r="AC202" s="22">
        <v>1.613737006E9</v>
      </c>
      <c r="AD202" s="22">
        <v>1.03821881427E11</v>
      </c>
      <c r="AE202" s="22">
        <v>9.9000076215E10</v>
      </c>
      <c r="AF202" s="22" t="s">
        <v>3160</v>
      </c>
      <c r="AG202" s="43"/>
      <c r="AH202" s="43"/>
      <c r="AI202" s="43" t="str">
        <f>IFERROR(VLOOKUP(T202,'1С'!B:C,2,0)," ")</f>
        <v>Масло для бороды, Алтея, 50 мл</v>
      </c>
      <c r="AJ202" s="22" t="s">
        <v>3161</v>
      </c>
      <c r="AK202" s="22" t="s">
        <v>3162</v>
      </c>
      <c r="AL202" s="22" t="s">
        <v>3163</v>
      </c>
      <c r="AM202" s="22" t="s">
        <v>3164</v>
      </c>
      <c r="AN202" s="22" t="s">
        <v>3165</v>
      </c>
      <c r="AO202" s="43"/>
      <c r="AP202" s="43"/>
      <c r="AQ202" s="46" t="s">
        <v>3166</v>
      </c>
      <c r="AR202" s="46" t="s">
        <v>3167</v>
      </c>
      <c r="AS202" s="46" t="s">
        <v>3168</v>
      </c>
      <c r="AT202" s="46" t="s">
        <v>3169</v>
      </c>
      <c r="AU202" s="46" t="s">
        <v>3170</v>
      </c>
      <c r="AV202" s="43"/>
      <c r="AW202" s="43"/>
      <c r="AX202" s="22" t="s">
        <v>2438</v>
      </c>
      <c r="AY202" s="22" t="s">
        <v>3162</v>
      </c>
      <c r="AZ202" s="22" t="s">
        <v>3171</v>
      </c>
      <c r="BA202" s="22" t="s">
        <v>1447</v>
      </c>
      <c r="BB202" s="22" t="s">
        <v>3172</v>
      </c>
      <c r="BC202" s="43"/>
      <c r="BD202" s="43"/>
      <c r="BE202" s="43"/>
      <c r="BF202" s="22">
        <f>IFERROR(VLOOKUP(C202,'спецификация'!B:D,3,0)," ")</f>
        <v>4610172186882</v>
      </c>
      <c r="BG202" s="22">
        <v>3.305900009E9</v>
      </c>
      <c r="BH202" s="22" t="str">
        <f>IFERROR(VLOOKUP(C202,'спецификация'!B:AA,5,0)," ")</f>
        <v/>
      </c>
      <c r="BI202" s="22"/>
      <c r="BJ202" s="22" t="str">
        <f>IFERROR(VLOOKUP(C202,'спецификация'!B:AA,6,0)," ")</f>
        <v>нет</v>
      </c>
      <c r="BK202" s="43"/>
      <c r="BL202" s="43"/>
      <c r="BM202" s="22" t="str">
        <f>IFERROR(VLOOKUP(BF202,'спецификация'!D:H,5,0)," ")</f>
        <v>HELIANTHUS ANNUUS (SUNFLOWER) SEED OIL, GLYCINE SOJA (SOYBEAN) OIL, ISOAMYL LAURATE, RICINUS COMMUNIS (CASTOR) SEED OIL, ARCTIUM LAPPA (BURDOCK) ROOT EXTRACT, ACETYL TETRAPEPTIDE-3, DEXTRAN, TRIFOLIUM PRATENSE (CLOVER) FLOWER EXTRACT, EUCALYPTUS GLOBULUS (EUCALYPTUS) LEAF OIL, MELALEUCA ALTERNIFOLIA (TEA TREE) LEAF OIL, AQUA, BUTYLENE GLYCOL, POLYSORBATE 20, BHT, PARFUM, LINALOOL, LIMONENE, CITRONELLOL, COUMARIN, GERANIOL, EUGENOL.</v>
      </c>
      <c r="BN202" s="43"/>
      <c r="BO202" s="22" t="str">
        <f>IFERROR(VLOOKUP(C202,'спецификация'!B:AA,10,0)," ")</f>
        <v>разотрите несколько капель масла в ладонях, нанесите на бороду и кожу под ней, после чего расчешите волосы</v>
      </c>
      <c r="BP202" s="43" t="str">
        <f>IFERROR(VLOOKUP(C202,'спецификация'!B:AA,11,0)," ")</f>
        <v>Меры предосторожности: индивидуальная непереносимость компонентов, входящих в состав.</v>
      </c>
      <c r="BQ202" s="22" t="str">
        <f>IFERROR(VLOOKUP(C202,'спецификация'!B:AA,12,0)," ")</f>
        <v>хранить в сухом недоступном для света месте при температуре от +5 до +25.</v>
      </c>
      <c r="BR202" s="22">
        <v>50.0</v>
      </c>
      <c r="BS202" s="22" t="s">
        <v>139</v>
      </c>
      <c r="BT202" s="22"/>
      <c r="BU202" s="22"/>
      <c r="BV202" s="22" t="s">
        <v>307</v>
      </c>
      <c r="BW202" s="44" t="str">
        <f>IFERROR(VLOOKUP(C202,'спецификация'!B:AA,16,0)," ")</f>
        <v>https://docs.google.com/document/d/1D9A2Fhig8i3Md3xMpK1UKPyektOcEy3h/edit?usp=drive_web&amp;ouid=104241417680089502627&amp;rtpof=true</v>
      </c>
      <c r="BX202" s="43"/>
      <c r="BY202" s="43"/>
      <c r="BZ202" s="45" t="str">
        <f>IFERROR(VLOOKUP(BF202,'спецификация'!D:Y,22,0)," ")</f>
        <v/>
      </c>
      <c r="CA202" s="43"/>
      <c r="CB202" s="43"/>
      <c r="CC202" s="43"/>
      <c r="CD202" s="43"/>
      <c r="CE202" s="43"/>
      <c r="CF202" s="43"/>
      <c r="CG202" s="49">
        <f>IFERROR(VLOOKUP(C202,CC!A:D,4,0)," ")</f>
        <v>111.2</v>
      </c>
      <c r="CH202" s="22" t="str">
        <f>IFERROR(VLOOKUP(C202,'спецификация'!B:AA,19,0)," ")</f>
        <v>ООО "ДжиЭсЭС Косметикс"</v>
      </c>
      <c r="CI202" s="22"/>
      <c r="CJ202" s="22" t="s">
        <v>3178</v>
      </c>
      <c r="CK202" s="22">
        <f>IFERROR(VLOOKUP(C202,CC!K:M,3,0)," ")</f>
        <v>90</v>
      </c>
      <c r="CL202" s="43"/>
      <c r="CM202" s="43"/>
      <c r="CN202" s="43"/>
      <c r="CO202" s="43"/>
      <c r="CP202" s="43"/>
      <c r="CQ202" s="43"/>
      <c r="CR202" s="43"/>
      <c r="CS202" s="43" t="b">
        <v>0</v>
      </c>
      <c r="CT202" s="43" t="b">
        <v>0</v>
      </c>
      <c r="CU202" s="43" t="b">
        <v>0</v>
      </c>
      <c r="CV202" s="43" t="b">
        <v>0</v>
      </c>
      <c r="CW202" s="43"/>
      <c r="CX202" s="43"/>
      <c r="CY202" s="43"/>
      <c r="CZ202" s="43"/>
      <c r="DA202" s="43"/>
      <c r="DB202" s="43"/>
      <c r="DC202" s="43"/>
      <c r="DD202" s="22">
        <f>IFERROR(VLOOKUP($C202,'Лист4'!$D:$AI,27,0)," ")</f>
        <v>5</v>
      </c>
      <c r="DE202" s="22">
        <f>IFERROR(VLOOKUP($C202,'Лист4'!$D:$AI,28,0)," ")</f>
        <v>10</v>
      </c>
      <c r="DF202" s="22">
        <f>IFERROR(VLOOKUP($C202,'Лист4'!$D:$AI,29,0)," ")</f>
        <v>5</v>
      </c>
      <c r="DG202" s="22">
        <f t="shared" si="3"/>
        <v>250</v>
      </c>
      <c r="DH202" s="22">
        <f>IFERROR(VLOOKUP($C202,'Лист4'!$D:$AI,32,0)," ")</f>
        <v>0.11</v>
      </c>
      <c r="DI202" s="22"/>
      <c r="DJ202" s="22"/>
      <c r="DK202" s="22"/>
      <c r="DL202" s="22"/>
      <c r="DM202" s="22"/>
      <c r="DN202" s="22"/>
      <c r="DO202" s="22"/>
      <c r="DP202" s="22"/>
      <c r="DQ202" s="22"/>
      <c r="DR202" s="22"/>
      <c r="DS202" s="22"/>
      <c r="DT202" s="22"/>
      <c r="DU202" s="22"/>
      <c r="DV202" s="22"/>
      <c r="DW202" s="22"/>
      <c r="DX202" s="22"/>
      <c r="DY202" s="22"/>
      <c r="DZ202" s="22"/>
      <c r="EA202" s="22"/>
      <c r="EB202" s="22"/>
      <c r="EC202" s="22"/>
      <c r="ED202" s="22"/>
      <c r="EE202" s="22"/>
      <c r="EF202" s="22"/>
      <c r="EG202" s="22"/>
      <c r="EH202" s="22"/>
      <c r="EI202" s="22"/>
      <c r="EJ202" s="22"/>
      <c r="EK202" s="22"/>
      <c r="EL202" s="22"/>
      <c r="EM202" s="43"/>
      <c r="EN202" s="43"/>
      <c r="EO202" s="43"/>
      <c r="EP202" s="43"/>
      <c r="EQ202" s="43"/>
      <c r="ER202" s="43"/>
      <c r="ES202" s="43"/>
      <c r="ET202" s="43"/>
      <c r="EU202" s="43"/>
      <c r="EV202" s="43"/>
      <c r="EW202" s="43"/>
      <c r="EX202" s="43"/>
      <c r="EY202" s="43"/>
      <c r="EZ202" s="43"/>
      <c r="FA202" s="43"/>
      <c r="FB202" s="43"/>
      <c r="FC202" s="43"/>
    </row>
    <row r="203" ht="18.0" customHeight="1">
      <c r="A203" s="2"/>
      <c r="B203" s="22" t="str">
        <f>IFERROR(VLOOKUP(C203,'Реестр'!C:AC,27,0)," ")</f>
        <v>Смарт-Сэйл</v>
      </c>
      <c r="C203" s="43" t="s">
        <v>3179</v>
      </c>
      <c r="D203" s="22" t="str">
        <f>IFERROR(VLOOKUP(C203,'Лист4'!D:P,13,0)," ")</f>
        <v>CPA</v>
      </c>
      <c r="E203" s="22" t="str">
        <f>IF(OR(ISERROR(VLOOKUP(C203,'Актуальность'!A:B,2,0)), VLOOKUP(C203,'Актуальность'!A:B,2,0)=""), "Актуальный", VLOOKUP(C203,'Актуальность'!A:B,2,0))</f>
        <v>Актуальный</v>
      </c>
      <c r="F203" s="43" t="str">
        <f>IFERROR(VLOOKUP(C203,'Актуальность'!A:C,3,0)," ")</f>
        <v/>
      </c>
      <c r="G203" s="43"/>
      <c r="H203" s="22" t="s">
        <v>2663</v>
      </c>
      <c r="I203" s="22" t="s">
        <v>2718</v>
      </c>
      <c r="J203" s="43"/>
      <c r="K203" s="43"/>
      <c r="L203" s="22" t="b">
        <f t="shared" ref="L203:R203" si="199">T203&lt;&gt;""</f>
        <v>1</v>
      </c>
      <c r="M203" s="22" t="b">
        <f t="shared" si="199"/>
        <v>1</v>
      </c>
      <c r="N203" s="22" t="b">
        <f t="shared" si="199"/>
        <v>1</v>
      </c>
      <c r="O203" s="22" t="b">
        <f t="shared" si="199"/>
        <v>1</v>
      </c>
      <c r="P203" s="22" t="b">
        <f t="shared" si="199"/>
        <v>0</v>
      </c>
      <c r="Q203" s="22" t="b">
        <f t="shared" si="199"/>
        <v>0</v>
      </c>
      <c r="R203" s="22" t="b">
        <f t="shared" si="199"/>
        <v>0</v>
      </c>
      <c r="S203" s="43"/>
      <c r="T203" s="43" t="str">
        <f>IFERROR(VLOOKUP( C203,'1С'!A:B,2,0)," ")</f>
        <v>CO101100455</v>
      </c>
      <c r="U203" s="22" t="str">
        <f>IFERROR(VLOOKUP(T203,'Лист4'!C:I,3,0)," ")</f>
        <v>kinzhal_1_1</v>
      </c>
      <c r="V203" s="22" t="str">
        <f>IFERROR(VLOOKUP(T203,'Лист4'!C:I,4,0)," ")</f>
        <v>kinzhal_1_1</v>
      </c>
      <c r="W203" s="22" t="str">
        <f>IFERROR(VLOOKUP(T203,'Лист4'!C:I,5,0)," ")</f>
        <v>kinzhal_1_1</v>
      </c>
      <c r="X203" s="43" t="str">
        <f>IFERROR(VLOOKUP(T203,'Лист4'!C:I,7,0)," ")</f>
        <v/>
      </c>
      <c r="Y203" s="43" t="str">
        <f>IFERROR(VLOOKUP(T203,'Лист4'!C:I,6,0)," ")</f>
        <v/>
      </c>
      <c r="Z203" s="43"/>
      <c r="AA203" s="43"/>
      <c r="AB203" s="22">
        <v>3.18413341E8</v>
      </c>
      <c r="AC203" s="22">
        <v>1.851900175E9</v>
      </c>
      <c r="AD203" s="22">
        <v>1.03751021012E11</v>
      </c>
      <c r="AE203" s="22"/>
      <c r="AF203" s="22"/>
      <c r="AG203" s="43"/>
      <c r="AH203" s="43"/>
      <c r="AI203" s="43" t="str">
        <f>IFERROR(VLOOKUP(T203,'1С'!B:C,2,0)," ")</f>
        <v>Пищевая добавка Кинжал, CPA, 20 капсул, набор из 2 шт</v>
      </c>
      <c r="AJ203" s="22" t="s">
        <v>2720</v>
      </c>
      <c r="AK203" s="22" t="s">
        <v>3182</v>
      </c>
      <c r="AL203" s="22" t="s">
        <v>3183</v>
      </c>
      <c r="AM203" s="43"/>
      <c r="AN203" s="43"/>
      <c r="AO203" s="43"/>
      <c r="AP203" s="43"/>
      <c r="AQ203" s="46" t="s">
        <v>3184</v>
      </c>
      <c r="AR203" s="46" t="s">
        <v>3185</v>
      </c>
      <c r="AS203" s="46" t="s">
        <v>3186</v>
      </c>
      <c r="AT203" s="43"/>
      <c r="AU203" s="43"/>
      <c r="AV203" s="43"/>
      <c r="AW203" s="43"/>
      <c r="AX203" s="22" t="s">
        <v>649</v>
      </c>
      <c r="AY203" s="22" t="s">
        <v>3182</v>
      </c>
      <c r="AZ203" s="22" t="s">
        <v>372</v>
      </c>
      <c r="BA203" s="43"/>
      <c r="BB203" s="43"/>
      <c r="BC203" s="43"/>
      <c r="BD203" s="43"/>
      <c r="BE203" s="43"/>
      <c r="BF203" s="22">
        <f>IFERROR(VLOOKUP(C203,'спецификация'!B:D,3,0)," ")</f>
        <v>2042608266288</v>
      </c>
      <c r="BG203" s="22"/>
      <c r="BH203" s="22" t="str">
        <f>IFERROR(VLOOKUP(C203,'спецификация'!B:AA,5,0)," ")</f>
        <v/>
      </c>
      <c r="BI203" s="22"/>
      <c r="BJ203" s="22" t="str">
        <f>IFERROR(VLOOKUP(C203,'спецификация'!B:AA,6,0)," ")</f>
        <v/>
      </c>
      <c r="BK203" s="43"/>
      <c r="BL203" s="43"/>
      <c r="BM203" s="22" t="str">
        <f>IFERROR(VLOOKUP(BF203,'спецификация'!D:H,5,0)," ")</f>
        <v/>
      </c>
      <c r="BN203" s="43"/>
      <c r="BO203" s="22" t="str">
        <f>IFERROR(VLOOKUP(C203,'спецификация'!B:AA,10,0)," ")</f>
        <v/>
      </c>
      <c r="BP203" s="43" t="str">
        <f>IFERROR(VLOOKUP(C203,'спецификация'!B:AA,11,0)," ")</f>
        <v/>
      </c>
      <c r="BQ203" s="22" t="str">
        <f>IFERROR(VLOOKUP(C203,'спецификация'!B:AA,12,0)," ")</f>
        <v/>
      </c>
      <c r="BR203" s="22"/>
      <c r="BS203" s="43"/>
      <c r="BT203" s="43"/>
      <c r="BU203" s="22"/>
      <c r="BV203" s="22"/>
      <c r="BW203" s="45" t="str">
        <f>IFERROR(VLOOKUP(C203,'спецификация'!B:AA,16,0)," ")</f>
        <v/>
      </c>
      <c r="BX203" s="43"/>
      <c r="BY203" s="43"/>
      <c r="BZ203" s="45" t="str">
        <f>IFERROR(VLOOKUP(BF203,'спецификация'!D:Y,22,0)," ")</f>
        <v/>
      </c>
      <c r="CA203" s="43"/>
      <c r="CB203" s="43"/>
      <c r="CC203" s="43"/>
      <c r="CD203" s="43"/>
      <c r="CE203" s="43"/>
      <c r="CF203" s="43"/>
      <c r="CG203" s="49">
        <f>IFERROR(VLOOKUP(C203,CC!A:D,4,0)," ")</f>
        <v>240.46</v>
      </c>
      <c r="CH203" s="22" t="str">
        <f>IFERROR(VLOOKUP(C203,'спецификация'!B:AA,19,0)," ")</f>
        <v/>
      </c>
      <c r="CI203" s="22"/>
      <c r="CJ203" s="43"/>
      <c r="CK203" s="22">
        <f>IFERROR(VLOOKUP(C203,CC!K:M,3,0)," ")</f>
        <v>45</v>
      </c>
      <c r="CL203" s="43"/>
      <c r="CM203" s="43"/>
      <c r="CN203" s="43"/>
      <c r="CO203" s="43"/>
      <c r="CP203" s="43"/>
      <c r="CQ203" s="43"/>
      <c r="CR203" s="43"/>
      <c r="CS203" s="43" t="b">
        <v>0</v>
      </c>
      <c r="CT203" s="43" t="b">
        <v>0</v>
      </c>
      <c r="CU203" s="43" t="b">
        <v>0</v>
      </c>
      <c r="CV203" s="43" t="b">
        <v>0</v>
      </c>
      <c r="CW203" s="43"/>
      <c r="CX203" s="43"/>
      <c r="CY203" s="43"/>
      <c r="CZ203" s="43"/>
      <c r="DA203" s="43"/>
      <c r="DB203" s="43"/>
      <c r="DC203" s="43"/>
      <c r="DD203" s="22">
        <f>IFERROR(VLOOKUP($C203,'Лист4'!$D:$AI,27,0)," ")</f>
        <v>9</v>
      </c>
      <c r="DE203" s="22">
        <f>IFERROR(VLOOKUP($C203,'Лист4'!$D:$AI,28,0)," ")</f>
        <v>15</v>
      </c>
      <c r="DF203" s="22">
        <f>IFERROR(VLOOKUP($C203,'Лист4'!$D:$AI,29,0)," ")</f>
        <v>9</v>
      </c>
      <c r="DG203" s="22">
        <f t="shared" si="3"/>
        <v>1215</v>
      </c>
      <c r="DH203" s="22">
        <f>IFERROR(VLOOKUP($C203,'Лист4'!$D:$AI,32,0)," ")</f>
        <v>0.069</v>
      </c>
      <c r="DI203" s="22"/>
      <c r="DJ203" s="22"/>
      <c r="DK203" s="22"/>
      <c r="DL203" s="22"/>
      <c r="DM203" s="22"/>
      <c r="DN203" s="22"/>
      <c r="DO203" s="22"/>
      <c r="DP203" s="22"/>
      <c r="DQ203" s="22"/>
      <c r="DR203" s="22"/>
      <c r="DS203" s="22"/>
      <c r="DT203" s="22"/>
      <c r="DU203" s="22"/>
      <c r="DV203" s="22"/>
      <c r="DW203" s="22"/>
      <c r="DX203" s="22"/>
      <c r="DY203" s="22"/>
      <c r="DZ203" s="22"/>
      <c r="EA203" s="22"/>
      <c r="EB203" s="22"/>
      <c r="EC203" s="22"/>
      <c r="ED203" s="22"/>
      <c r="EE203" s="22"/>
      <c r="EF203" s="22"/>
      <c r="EG203" s="22"/>
      <c r="EH203" s="22"/>
      <c r="EI203" s="22"/>
      <c r="EJ203" s="22"/>
      <c r="EK203" s="22"/>
      <c r="EL203" s="22"/>
      <c r="EM203" s="43"/>
      <c r="EN203" s="43"/>
      <c r="EO203" s="43"/>
      <c r="EP203" s="43"/>
      <c r="EQ203" s="43"/>
      <c r="ER203" s="43"/>
      <c r="ES203" s="43"/>
      <c r="ET203" s="43"/>
      <c r="EU203" s="43"/>
      <c r="EV203" s="43"/>
      <c r="EW203" s="43"/>
      <c r="EX203" s="43"/>
      <c r="EY203" s="43"/>
      <c r="EZ203" s="43"/>
      <c r="FA203" s="43"/>
      <c r="FB203" s="43"/>
      <c r="FC203" s="43"/>
    </row>
    <row r="204" ht="18.0" customHeight="1">
      <c r="A204" s="2"/>
      <c r="B204" s="22" t="str">
        <f>IFERROR(VLOOKUP(C204,'Реестр'!C:AC,27,0)," ")</f>
        <v>Смарт-Сэйл</v>
      </c>
      <c r="C204" s="43" t="s">
        <v>3187</v>
      </c>
      <c r="D204" s="22" t="str">
        <f>IFERROR(VLOOKUP(C204,'Лист4'!D:P,13,0)," ")</f>
        <v>CPA</v>
      </c>
      <c r="E204" s="22" t="str">
        <f>IF(OR(ISERROR(VLOOKUP(C204,'Актуальность'!A:B,2,0)), VLOOKUP(C204,'Актуальность'!A:B,2,0)=""), "Актуальный", VLOOKUP(C204,'Актуальность'!A:B,2,0))</f>
        <v>Актуальный</v>
      </c>
      <c r="F204" s="43" t="str">
        <f>IFERROR(VLOOKUP(C204,'Актуальность'!A:C,3,0)," ")</f>
        <v/>
      </c>
      <c r="G204" s="43"/>
      <c r="H204" s="22" t="s">
        <v>2663</v>
      </c>
      <c r="I204" s="22" t="s">
        <v>2703</v>
      </c>
      <c r="J204" s="43"/>
      <c r="K204" s="43"/>
      <c r="L204" s="22" t="b">
        <f t="shared" ref="L204:R204" si="200">T204&lt;&gt;""</f>
        <v>1</v>
      </c>
      <c r="M204" s="22" t="b">
        <f t="shared" si="200"/>
        <v>1</v>
      </c>
      <c r="N204" s="22" t="b">
        <f t="shared" si="200"/>
        <v>1</v>
      </c>
      <c r="O204" s="22" t="b">
        <f t="shared" si="200"/>
        <v>1</v>
      </c>
      <c r="P204" s="22" t="b">
        <f t="shared" si="200"/>
        <v>0</v>
      </c>
      <c r="Q204" s="22" t="b">
        <f t="shared" si="200"/>
        <v>0</v>
      </c>
      <c r="R204" s="22" t="b">
        <f t="shared" si="200"/>
        <v>0</v>
      </c>
      <c r="S204" s="43"/>
      <c r="T204" s="43" t="str">
        <f>IFERROR(VLOOKUP( C204,'1С'!A:B,2,0)," ")</f>
        <v>CO101100428</v>
      </c>
      <c r="U204" s="22" t="str">
        <f>IFERROR(VLOOKUP(T204,'Лист4'!C:I,3,0)," ")</f>
        <v>micardin_1_1_1</v>
      </c>
      <c r="V204" s="22" t="str">
        <f>IFERROR(VLOOKUP(T204,'Лист4'!C:I,4,0)," ")</f>
        <v>micardin_1_1_1</v>
      </c>
      <c r="W204" s="22" t="str">
        <f>IFERROR(VLOOKUP(T204,'Лист4'!C:I,5,0)," ")</f>
        <v>micardin_1_1_1</v>
      </c>
      <c r="X204" s="43" t="str">
        <f>IFERROR(VLOOKUP(T204,'Лист4'!C:I,7,0)," ")</f>
        <v/>
      </c>
      <c r="Y204" s="43" t="str">
        <f>IFERROR(VLOOKUP(T204,'Лист4'!C:I,6,0)," ")</f>
        <v/>
      </c>
      <c r="Z204" s="43"/>
      <c r="AA204" s="43"/>
      <c r="AB204" s="22">
        <v>1.72162757E8</v>
      </c>
      <c r="AC204" s="22">
        <v>1.129297876E9</v>
      </c>
      <c r="AD204" s="22">
        <v>1.03596648372E11</v>
      </c>
      <c r="AE204" s="22"/>
      <c r="AF204" s="22"/>
      <c r="AG204" s="43"/>
      <c r="AH204" s="43"/>
      <c r="AI204" s="43" t="str">
        <f>IFERROR(VLOOKUP(T204,'1С'!B:C,2,0)," ")</f>
        <v>Пищевая добавка Микардин, CPA, 10 капсул, набор из 3 шт</v>
      </c>
      <c r="AJ204" s="22" t="s">
        <v>3190</v>
      </c>
      <c r="AK204" s="22" t="s">
        <v>3191</v>
      </c>
      <c r="AL204" s="22" t="s">
        <v>3192</v>
      </c>
      <c r="AM204" s="43"/>
      <c r="AN204" s="43"/>
      <c r="AO204" s="43"/>
      <c r="AP204" s="43"/>
      <c r="AQ204" s="46" t="s">
        <v>3193</v>
      </c>
      <c r="AR204" s="46" t="s">
        <v>3194</v>
      </c>
      <c r="AS204" s="46" t="s">
        <v>3195</v>
      </c>
      <c r="AT204" s="43"/>
      <c r="AU204" s="43"/>
      <c r="AV204" s="43"/>
      <c r="AW204" s="43"/>
      <c r="AX204" s="22" t="s">
        <v>361</v>
      </c>
      <c r="AY204" s="22" t="s">
        <v>3191</v>
      </c>
      <c r="AZ204" s="22" t="s">
        <v>2692</v>
      </c>
      <c r="BA204" s="43"/>
      <c r="BB204" s="43"/>
      <c r="BC204" s="43"/>
      <c r="BD204" s="43"/>
      <c r="BE204" s="43"/>
      <c r="BF204" s="22">
        <f>IFERROR(VLOOKUP(C204,'спецификация'!B:D,3,0)," ")</f>
        <v>2038301462911</v>
      </c>
      <c r="BG204" s="22">
        <v>2.106909809E9</v>
      </c>
      <c r="BH204" s="22" t="str">
        <f>IFERROR(VLOOKUP(C204,'спецификация'!B:AA,5,0)," ")</f>
        <v/>
      </c>
      <c r="BI204" s="22"/>
      <c r="BJ204" s="22" t="str">
        <f>IFERROR(VLOOKUP(C204,'спецификация'!B:AA,6,0)," ")</f>
        <v/>
      </c>
      <c r="BK204" s="43"/>
      <c r="BL204" s="43"/>
      <c r="BM204" s="22" t="str">
        <f>IFERROR(VLOOKUP(BF204,'спецификация'!D:H,5,0)," ")</f>
        <v/>
      </c>
      <c r="BN204" s="43"/>
      <c r="BO204" s="22" t="str">
        <f>IFERROR(VLOOKUP(C204,'спецификация'!B:AA,10,0)," ")</f>
        <v/>
      </c>
      <c r="BP204" s="43" t="str">
        <f>IFERROR(VLOOKUP(C204,'спецификация'!B:AA,11,0)," ")</f>
        <v/>
      </c>
      <c r="BQ204" s="22" t="str">
        <f>IFERROR(VLOOKUP(C204,'спецификация'!B:AA,12,0)," ")</f>
        <v/>
      </c>
      <c r="BR204" s="22"/>
      <c r="BS204" s="43"/>
      <c r="BT204" s="43"/>
      <c r="BU204" s="22"/>
      <c r="BV204" s="22"/>
      <c r="BW204" s="45" t="str">
        <f>IFERROR(VLOOKUP(C204,'спецификация'!B:AA,16,0)," ")</f>
        <v/>
      </c>
      <c r="BX204" s="43"/>
      <c r="BY204" s="43"/>
      <c r="BZ204" s="45" t="str">
        <f>IFERROR(VLOOKUP(BF204,'спецификация'!D:Y,22,0)," ")</f>
        <v/>
      </c>
      <c r="CA204" s="43"/>
      <c r="CB204" s="43"/>
      <c r="CC204" s="43"/>
      <c r="CD204" s="43"/>
      <c r="CE204" s="43"/>
      <c r="CF204" s="43"/>
      <c r="CG204" s="49">
        <f>IFERROR(VLOOKUP(C204,CC!A:D,4,0)," ")</f>
        <v>310.44</v>
      </c>
      <c r="CH204" s="22" t="str">
        <f>IFERROR(VLOOKUP(C204,'спецификация'!B:AA,19,0)," ")</f>
        <v/>
      </c>
      <c r="CI204" s="22"/>
      <c r="CJ204" s="43"/>
      <c r="CK204" s="22">
        <f>IFERROR(VLOOKUP(C204,CC!K:M,3,0)," ")</f>
        <v>45</v>
      </c>
      <c r="CL204" s="43"/>
      <c r="CM204" s="43"/>
      <c r="CN204" s="43"/>
      <c r="CO204" s="43"/>
      <c r="CP204" s="43"/>
      <c r="CQ204" s="43"/>
      <c r="CR204" s="43"/>
      <c r="CS204" s="43" t="b">
        <v>0</v>
      </c>
      <c r="CT204" s="43" t="b">
        <v>0</v>
      </c>
      <c r="CU204" s="43" t="b">
        <v>0</v>
      </c>
      <c r="CV204" s="43" t="b">
        <v>0</v>
      </c>
      <c r="CW204" s="43"/>
      <c r="CX204" s="43"/>
      <c r="CY204" s="43"/>
      <c r="CZ204" s="43"/>
      <c r="DA204" s="43"/>
      <c r="DB204" s="43"/>
      <c r="DC204" s="43"/>
      <c r="DD204" s="22">
        <f>IFERROR(VLOOKUP($C204,'Лист4'!$D:$AI,27,0)," ")</f>
        <v>15</v>
      </c>
      <c r="DE204" s="22">
        <f>IFERROR(VLOOKUP($C204,'Лист4'!$D:$AI,28,0)," ")</f>
        <v>6</v>
      </c>
      <c r="DF204" s="22">
        <f>IFERROR(VLOOKUP($C204,'Лист4'!$D:$AI,29,0)," ")</f>
        <v>15</v>
      </c>
      <c r="DG204" s="22">
        <f t="shared" si="3"/>
        <v>1350</v>
      </c>
      <c r="DH204" s="22">
        <f>IFERROR(VLOOKUP($C204,'Лист4'!$D:$AI,32,0)," ")</f>
        <v>0.048</v>
      </c>
      <c r="DI204" s="22"/>
      <c r="DJ204" s="22"/>
      <c r="DK204" s="22"/>
      <c r="DL204" s="22"/>
      <c r="DM204" s="22"/>
      <c r="DN204" s="22"/>
      <c r="DO204" s="22"/>
      <c r="DP204" s="22"/>
      <c r="DQ204" s="22"/>
      <c r="DR204" s="22"/>
      <c r="DS204" s="22"/>
      <c r="DT204" s="22"/>
      <c r="DU204" s="22"/>
      <c r="DV204" s="22"/>
      <c r="DW204" s="22"/>
      <c r="DX204" s="22"/>
      <c r="DY204" s="22"/>
      <c r="DZ204" s="22"/>
      <c r="EA204" s="22"/>
      <c r="EB204" s="22"/>
      <c r="EC204" s="22"/>
      <c r="ED204" s="22"/>
      <c r="EE204" s="22"/>
      <c r="EF204" s="22"/>
      <c r="EG204" s="22"/>
      <c r="EH204" s="22"/>
      <c r="EI204" s="22"/>
      <c r="EJ204" s="22"/>
      <c r="EK204" s="22"/>
      <c r="EL204" s="22"/>
      <c r="EM204" s="43"/>
      <c r="EN204" s="43"/>
      <c r="EO204" s="43"/>
      <c r="EP204" s="43"/>
      <c r="EQ204" s="43"/>
      <c r="ER204" s="43"/>
      <c r="ES204" s="43"/>
      <c r="ET204" s="43"/>
      <c r="EU204" s="43"/>
      <c r="EV204" s="43"/>
      <c r="EW204" s="43"/>
      <c r="EX204" s="43"/>
      <c r="EY204" s="43"/>
      <c r="EZ204" s="43"/>
      <c r="FA204" s="43"/>
      <c r="FB204" s="43"/>
      <c r="FC204" s="43"/>
    </row>
    <row r="205" ht="18.0" customHeight="1">
      <c r="A205" s="2"/>
      <c r="B205" s="22" t="str">
        <f>IFERROR(VLOOKUP(C205,'Реестр'!C:AC,27,0)," ")</f>
        <v>Смарт-Сэйл</v>
      </c>
      <c r="C205" s="43" t="s">
        <v>3201</v>
      </c>
      <c r="D205" s="22" t="str">
        <f>IFERROR(VLOOKUP(C205,'Лист4'!D:P,13,0)," ")</f>
        <v>Алтея</v>
      </c>
      <c r="E205" s="22" t="str">
        <f>IF(OR(ISERROR(VLOOKUP(C205,'Актуальность'!A:B,2,0)), VLOOKUP(C205,'Актуальность'!A:B,2,0)=""), "Актуальный", VLOOKUP(C205,'Актуальность'!A:B,2,0))</f>
        <v>Актуальный</v>
      </c>
      <c r="F205" s="43" t="str">
        <f>IFERROR(VLOOKUP(C205,'Актуальность'!A:C,3,0)," ")</f>
        <v>Цена вниз</v>
      </c>
      <c r="G205" s="43"/>
      <c r="H205" s="22" t="s">
        <v>2743</v>
      </c>
      <c r="I205" s="22" t="s">
        <v>2783</v>
      </c>
      <c r="J205" s="43"/>
      <c r="K205" s="43"/>
      <c r="L205" s="22" t="b">
        <f t="shared" ref="L205:R205" si="201">T205&lt;&gt;""</f>
        <v>1</v>
      </c>
      <c r="M205" s="22" t="b">
        <f t="shared" si="201"/>
        <v>1</v>
      </c>
      <c r="N205" s="22" t="b">
        <f t="shared" si="201"/>
        <v>1</v>
      </c>
      <c r="O205" s="22" t="b">
        <f t="shared" si="201"/>
        <v>1</v>
      </c>
      <c r="P205" s="22" t="b">
        <f t="shared" si="201"/>
        <v>1</v>
      </c>
      <c r="Q205" s="22" t="b">
        <f t="shared" si="201"/>
        <v>1</v>
      </c>
      <c r="R205" s="22" t="b">
        <f t="shared" si="201"/>
        <v>0</v>
      </c>
      <c r="S205" s="43"/>
      <c r="T205" s="43" t="str">
        <f>IFERROR(VLOOKUP( C205,'1С'!A:B,2,0)," ")</f>
        <v>AC201100400</v>
      </c>
      <c r="U205" s="22" t="str">
        <f>IFERROR(VLOOKUP(T205,'Лист4'!C:I,3,0)," ")</f>
        <v>syvorotka_dlya_rosta_6ml_v2</v>
      </c>
      <c r="V205" s="22" t="str">
        <f>IFERROR(VLOOKUP(T205,'Лист4'!C:I,4,0)," ")</f>
        <v>syvorotka_dlya_rosta_6ml_v2</v>
      </c>
      <c r="W205" s="22" t="str">
        <f>IFERROR(VLOOKUP(T205,'Лист4'!C:I,5,0)," ")</f>
        <v>syvorotka_dlya_rosta_6ml_v2</v>
      </c>
      <c r="X205" s="43" t="str">
        <f>IFERROR(VLOOKUP(T205,'Лист4'!C:I,7,0)," ")</f>
        <v>syvorotka_dlya_rosta_6ml_v2</v>
      </c>
      <c r="Y205" s="43" t="str">
        <f>IFERROR(VLOOKUP(T205,'Лист4'!C:I,6,0)," ")</f>
        <v>syvorotka_dlya_rosta_6ml_v2</v>
      </c>
      <c r="Z205" s="43"/>
      <c r="AA205" s="43"/>
      <c r="AB205" s="22">
        <v>4.55797764E8</v>
      </c>
      <c r="AC205" s="22">
        <v>2.3969724E9</v>
      </c>
      <c r="AD205" s="22">
        <v>4.600683436E9</v>
      </c>
      <c r="AE205" s="22">
        <v>9.9000132524E10</v>
      </c>
      <c r="AF205" s="22" t="s">
        <v>3205</v>
      </c>
      <c r="AG205" s="43"/>
      <c r="AH205" s="43"/>
      <c r="AI205" s="43" t="str">
        <f>IFERROR(VLOOKUP(T205,'1С'!B:C,2,0)," ")</f>
        <v>Сыворотка для роста ресниц и бровей, Алтея, 6 мл</v>
      </c>
      <c r="AJ205" s="22" t="s">
        <v>3206</v>
      </c>
      <c r="AK205" s="22" t="s">
        <v>3207</v>
      </c>
      <c r="AL205" s="22" t="s">
        <v>3207</v>
      </c>
      <c r="AM205" s="22" t="s">
        <v>3208</v>
      </c>
      <c r="AN205" s="22" t="s">
        <v>3209</v>
      </c>
      <c r="AO205" s="43"/>
      <c r="AP205" s="43"/>
      <c r="AQ205" s="46" t="s">
        <v>3210</v>
      </c>
      <c r="AR205" s="46" t="s">
        <v>3211</v>
      </c>
      <c r="AS205" s="46" t="s">
        <v>3212</v>
      </c>
      <c r="AT205" s="43"/>
      <c r="AU205" s="46" t="s">
        <v>3213</v>
      </c>
      <c r="AV205" s="43"/>
      <c r="AW205" s="43"/>
      <c r="AX205" s="22" t="s">
        <v>3214</v>
      </c>
      <c r="AY205" s="22" t="s">
        <v>3207</v>
      </c>
      <c r="AZ205" s="22" t="s">
        <v>3215</v>
      </c>
      <c r="BA205" s="22" t="s">
        <v>3216</v>
      </c>
      <c r="BB205" s="22" t="s">
        <v>3217</v>
      </c>
      <c r="BC205" s="43"/>
      <c r="BD205" s="43"/>
      <c r="BE205" s="43"/>
      <c r="BF205" s="22">
        <f>IFERROR(VLOOKUP(C205,'спецификация'!B:D,3,0)," ")</f>
        <v>4656738598843</v>
      </c>
      <c r="BG205" s="22"/>
      <c r="BH205" s="22" t="str">
        <f>IFERROR(VLOOKUP(C205,'спецификация'!B:AA,5,0)," ")</f>
        <v/>
      </c>
      <c r="BI205" s="22"/>
      <c r="BJ205" s="22" t="str">
        <f>IFERROR(VLOOKUP(C205,'спецификация'!B:AA,6,0)," ")</f>
        <v>нет</v>
      </c>
      <c r="BK205" s="43"/>
      <c r="BL205" s="43"/>
      <c r="BM205" s="22" t="str">
        <f>IFERROR(VLOOKUP(BF205,'спецификация'!D:H,5,0)," ")</f>
        <v>Distilled water, Panthenol, Aloe Barbadensis leaf juice, Hydrolized Keratin, Glycerin, Biotinoyl Tripeptide-1, Hydrolyzed Wheat Protein, Peg-40, Polyvinylpyrrolidone, Polyacrylate Crosspolymer-6, Iris Leaf Extract, Chamomilla Recutita Extract, Sodium acrylates copolymer (and) Lecithin, Phenoxyethanol, Ethylhexylglycerin, Lactic acid, Parfum.</v>
      </c>
      <c r="BN205" s="43"/>
      <c r="BO205" s="22" t="str">
        <f>IFERROR(VLOOKUP(C205,'спецификация'!B:AA,10,0)," ")</f>
        <v/>
      </c>
      <c r="BP205" s="43" t="str">
        <f>IFERROR(VLOOKUP(C205,'спецификация'!B:AA,11,0)," ")</f>
        <v>избегать попадания в глаза. При попадании
промыть водой. При необходимости обратиться к врачу.</v>
      </c>
      <c r="BQ205" s="22" t="str">
        <f>IFERROR(VLOOKUP(C205,'спецификация'!B:AA,12,0)," ")</f>
        <v>при t от +5°C до + 25°C, вдали от солнечных лучей и нагревательных приборов.</v>
      </c>
      <c r="BR205" s="22">
        <v>6.0</v>
      </c>
      <c r="BS205" s="22" t="s">
        <v>139</v>
      </c>
      <c r="BT205" s="22"/>
      <c r="BU205" s="22"/>
      <c r="BV205" s="22" t="s">
        <v>307</v>
      </c>
      <c r="BW205" s="44" t="str">
        <f>IFERROR(VLOOKUP(C205,'спецификация'!B:AA,16,0)," ")</f>
        <v>https://docs.google.com/document/d/1AYf1Lcjos7kL4uJETWcXQ4_3LhMcf7jl/edit?usp=drive_web&amp;ouid=104241417680089502627&amp;rtpof=true</v>
      </c>
      <c r="BX205" s="43"/>
      <c r="BY205" s="43"/>
      <c r="BZ205" s="45" t="str">
        <f>IFERROR(VLOOKUP(BF205,'спецификация'!D:Y,22,0)," ")</f>
        <v/>
      </c>
      <c r="CA205" s="43"/>
      <c r="CB205" s="43"/>
      <c r="CC205" s="43"/>
      <c r="CD205" s="43"/>
      <c r="CE205" s="43"/>
      <c r="CF205" s="43"/>
      <c r="CG205" s="49">
        <f>IFERROR(VLOOKUP(C205,CC!A:D,4,0)," ")</f>
        <v>52.55</v>
      </c>
      <c r="CH205" s="22" t="str">
        <f>IFERROR(VLOOKUP(C205,'спецификация'!B:AA,19,0)," ")</f>
        <v>ООО Юниверсо
Ася, 7 928 038-70-35</v>
      </c>
      <c r="CI205" s="22"/>
      <c r="CJ205" s="22" t="s">
        <v>3223</v>
      </c>
      <c r="CK205" s="22">
        <f>IFERROR(VLOOKUP(C205,CC!K:M,3,0)," ")</f>
        <v>60</v>
      </c>
      <c r="CL205" s="43"/>
      <c r="CM205" s="43"/>
      <c r="CN205" s="43"/>
      <c r="CO205" s="43"/>
      <c r="CP205" s="43"/>
      <c r="CQ205" s="43"/>
      <c r="CR205" s="43"/>
      <c r="CS205" s="43" t="b">
        <v>0</v>
      </c>
      <c r="CT205" s="43" t="b">
        <v>0</v>
      </c>
      <c r="CU205" s="43" t="b">
        <v>0</v>
      </c>
      <c r="CV205" s="43" t="b">
        <v>0</v>
      </c>
      <c r="CW205" s="43"/>
      <c r="CX205" s="43"/>
      <c r="CY205" s="43"/>
      <c r="CZ205" s="43"/>
      <c r="DA205" s="43"/>
      <c r="DB205" s="43"/>
      <c r="DC205" s="43"/>
      <c r="DD205" s="22">
        <f>IFERROR(VLOOKUP($C205,'Лист4'!$D:$AI,27,0)," ")</f>
        <v>14</v>
      </c>
      <c r="DE205" s="22">
        <f>IFERROR(VLOOKUP($C205,'Лист4'!$D:$AI,28,0)," ")</f>
        <v>1</v>
      </c>
      <c r="DF205" s="22">
        <f>IFERROR(VLOOKUP($C205,'Лист4'!$D:$AI,29,0)," ")</f>
        <v>14</v>
      </c>
      <c r="DG205" s="22">
        <f t="shared" si="3"/>
        <v>196</v>
      </c>
      <c r="DH205" s="22">
        <f>IFERROR(VLOOKUP($C205,'Лист4'!$D:$AI,32,0)," ")</f>
        <v>0.016</v>
      </c>
      <c r="DI205" s="22"/>
      <c r="DJ205" s="22"/>
      <c r="DK205" s="22"/>
      <c r="DL205" s="22"/>
      <c r="DM205" s="22"/>
      <c r="DN205" s="22"/>
      <c r="DO205" s="22"/>
      <c r="DP205" s="22"/>
      <c r="DQ205" s="22"/>
      <c r="DR205" s="22"/>
      <c r="DS205" s="22"/>
      <c r="DT205" s="22"/>
      <c r="DU205" s="22"/>
      <c r="DV205" s="22"/>
      <c r="DW205" s="22"/>
      <c r="DX205" s="22"/>
      <c r="DY205" s="22"/>
      <c r="DZ205" s="22"/>
      <c r="EA205" s="22"/>
      <c r="EB205" s="22"/>
      <c r="EC205" s="22"/>
      <c r="ED205" s="22"/>
      <c r="EE205" s="22"/>
      <c r="EF205" s="22"/>
      <c r="EG205" s="22"/>
      <c r="EH205" s="22"/>
      <c r="EI205" s="22"/>
      <c r="EJ205" s="22"/>
      <c r="EK205" s="22"/>
      <c r="EL205" s="22"/>
      <c r="EM205" s="43"/>
      <c r="EN205" s="43"/>
      <c r="EO205" s="43"/>
      <c r="EP205" s="43"/>
      <c r="EQ205" s="43"/>
      <c r="ER205" s="43"/>
      <c r="ES205" s="43"/>
      <c r="ET205" s="43"/>
      <c r="EU205" s="43"/>
      <c r="EV205" s="43"/>
      <c r="EW205" s="43"/>
      <c r="EX205" s="43"/>
      <c r="EY205" s="43"/>
      <c r="EZ205" s="43"/>
      <c r="FA205" s="43"/>
      <c r="FB205" s="43"/>
      <c r="FC205" s="43"/>
    </row>
    <row r="206" ht="18.0" customHeight="1">
      <c r="A206" s="2"/>
      <c r="B206" s="22" t="str">
        <f>IFERROR(VLOOKUP(C206,'Реестр'!C:AC,27,0)," ")</f>
        <v>Смарт-Сэйл</v>
      </c>
      <c r="C206" s="43" t="s">
        <v>3224</v>
      </c>
      <c r="D206" s="22" t="str">
        <f>IFERROR(VLOOKUP(C206,'Лист4'!D:P,13,0)," ")</f>
        <v>Алтея</v>
      </c>
      <c r="E206" s="22" t="str">
        <f>IF(OR(ISERROR(VLOOKUP(C206,'Актуальность'!A:B,2,0)), VLOOKUP(C206,'Актуальность'!A:B,2,0)=""), "Актуальный", VLOOKUP(C206,'Актуальность'!A:B,2,0))</f>
        <v>Актуальный</v>
      </c>
      <c r="F206" s="43" t="str">
        <f>IFERROR(VLOOKUP(C206,'Актуальность'!A:C,3,0)," ")</f>
        <v/>
      </c>
      <c r="G206" s="43"/>
      <c r="H206" s="22" t="s">
        <v>2743</v>
      </c>
      <c r="I206" s="22" t="s">
        <v>287</v>
      </c>
      <c r="J206" s="43"/>
      <c r="K206" s="43"/>
      <c r="L206" s="22" t="b">
        <f t="shared" ref="L206:R206" si="202">T206&lt;&gt;""</f>
        <v>1</v>
      </c>
      <c r="M206" s="22" t="b">
        <f t="shared" si="202"/>
        <v>1</v>
      </c>
      <c r="N206" s="22" t="b">
        <f t="shared" si="202"/>
        <v>1</v>
      </c>
      <c r="O206" s="22" t="b">
        <f t="shared" si="202"/>
        <v>1</v>
      </c>
      <c r="P206" s="22" t="b">
        <f t="shared" si="202"/>
        <v>1</v>
      </c>
      <c r="Q206" s="22" t="b">
        <f t="shared" si="202"/>
        <v>1</v>
      </c>
      <c r="R206" s="22" t="b">
        <f t="shared" si="202"/>
        <v>0</v>
      </c>
      <c r="S206" s="43"/>
      <c r="T206" s="43" t="str">
        <f>IFERROR(VLOOKUP( C206,'1С'!A:B,2,0)," ")</f>
        <v>AC101100414</v>
      </c>
      <c r="U206" s="22" t="str">
        <f>IFERROR(VLOOKUP(T206,'Лист4'!C:I,3,0)," ")</f>
        <v>curly_method_300ml</v>
      </c>
      <c r="V206" s="22" t="str">
        <f>IFERROR(VLOOKUP(T206,'Лист4'!C:I,4,0)," ")</f>
        <v>curly_method_300ml</v>
      </c>
      <c r="W206" s="22" t="str">
        <f>IFERROR(VLOOKUP(T206,'Лист4'!C:I,5,0)," ")</f>
        <v>curly_method_300ml</v>
      </c>
      <c r="X206" s="43" t="str">
        <f>IFERROR(VLOOKUP(T206,'Лист4'!C:I,7,0)," ")</f>
        <v>curly_method_300ml</v>
      </c>
      <c r="Y206" s="43" t="str">
        <f>IFERROR(VLOOKUP(T206,'Лист4'!C:I,6,0)," ")</f>
        <v>curly_method_300ml</v>
      </c>
      <c r="Z206" s="43"/>
      <c r="AA206" s="43"/>
      <c r="AB206" s="22">
        <v>3.99134789E8</v>
      </c>
      <c r="AC206" s="22">
        <v>2.067943215E9</v>
      </c>
      <c r="AD206" s="22">
        <v>4.476310899E9</v>
      </c>
      <c r="AE206" s="22">
        <v>9.9000114726E10</v>
      </c>
      <c r="AF206" s="22" t="s">
        <v>3227</v>
      </c>
      <c r="AG206" s="43"/>
      <c r="AH206" s="43"/>
      <c r="AI206" s="43" t="str">
        <f>IFERROR(VLOOKUP(T206,'1С'!B:C,2,0)," ")</f>
        <v>Крем для кудрявых волос, Алтея, 300 мл</v>
      </c>
      <c r="AJ206" s="22" t="s">
        <v>3228</v>
      </c>
      <c r="AK206" s="22" t="s">
        <v>3229</v>
      </c>
      <c r="AL206" s="22" t="s">
        <v>3230</v>
      </c>
      <c r="AM206" s="22" t="s">
        <v>3231</v>
      </c>
      <c r="AN206" s="22" t="s">
        <v>3228</v>
      </c>
      <c r="AO206" s="43"/>
      <c r="AP206" s="43"/>
      <c r="AQ206" s="46" t="s">
        <v>3232</v>
      </c>
      <c r="AR206" s="46" t="s">
        <v>3233</v>
      </c>
      <c r="AS206" s="46" t="s">
        <v>3234</v>
      </c>
      <c r="AT206" s="43"/>
      <c r="AU206" s="46" t="s">
        <v>3235</v>
      </c>
      <c r="AV206" s="43"/>
      <c r="AW206" s="43"/>
      <c r="AX206" s="22" t="s">
        <v>594</v>
      </c>
      <c r="AY206" s="22" t="s">
        <v>3229</v>
      </c>
      <c r="AZ206" s="22" t="s">
        <v>326</v>
      </c>
      <c r="BA206" s="22" t="s">
        <v>300</v>
      </c>
      <c r="BB206" s="22" t="s">
        <v>3236</v>
      </c>
      <c r="BC206" s="43"/>
      <c r="BD206" s="43"/>
      <c r="BE206" s="43"/>
      <c r="BF206" s="22">
        <f>IFERROR(VLOOKUP(C206,'спецификация'!B:D,3,0)," ")</f>
        <v>4603320465441</v>
      </c>
      <c r="BG206" s="22">
        <v>3.3051E9</v>
      </c>
      <c r="BH206" s="22" t="str">
        <f>IFERROR(VLOOKUP(C206,'спецификация'!B:AA,5,0)," ")</f>
        <v/>
      </c>
      <c r="BI206" s="22"/>
      <c r="BJ206" s="22" t="str">
        <f>IFERROR(VLOOKUP(C206,'спецификация'!B:AA,6,0)," ")</f>
        <v>нет</v>
      </c>
      <c r="BK206" s="43"/>
      <c r="BL206" s="43"/>
      <c r="BM206" s="22" t="str">
        <f>IFERROR(VLOOKUP(BF206,'спецификация'!D:H,5,0)," ")</f>
        <v>Aqua, Myristyl Alcohol, Glycerin, PPG-3 Caprylyl Ether, Persea Gratissima (Avocado) Oil, Polyvinylpyrrolidone, Cetrimonium Chloride, Salvia Hispanica (Chia) Seed Oil, Hydrolyzed Keratin, Hydrolyzed Silk Protein, Argania Spinosa Kernel Oil, Plukenetia volubilis oil, Phenoxyethanol, Fragrance, Ethylhexylglycerin, Citric Acid, Sodium Benzoate, Potassium Sorbate, Eugenol, Linalool </v>
      </c>
      <c r="BN206" s="43"/>
      <c r="BO206" s="22" t="str">
        <f>IFERROR(VLOOKUP(C206,'спецификация'!B:AA,10,0)," ")</f>
        <v>Нанесите крем на чистые влажные волосы, равномерно распределите, формируя кудри руками. Не смывайте. Высушите волосы. Подходит для техники кудрявый метод.</v>
      </c>
      <c r="BP206" s="43" t="str">
        <f>IFERROR(VLOOKUP(C206,'спецификация'!B:AA,11,0)," ")</f>
        <v>избегайте попадания в глаза. При попадании в глаза промойте водой. Во избежание индивидуальной непереносимости протестируйте на небольшом участке кожи</v>
      </c>
      <c r="BQ206" s="22" t="str">
        <f>IFERROR(VLOOKUP(C206,'спецификация'!B:AA,12,0)," ")</f>
        <v>хранить вдали от прямых солнечных лучей и отопительных приборов при температуре от +5 °С до +25 °С в местах, недоступных детям.</v>
      </c>
      <c r="BR206" s="22">
        <v>300.0</v>
      </c>
      <c r="BS206" s="22" t="s">
        <v>139</v>
      </c>
      <c r="BT206" s="22"/>
      <c r="BU206" s="22"/>
      <c r="BV206" s="22" t="s">
        <v>727</v>
      </c>
      <c r="BW206" s="44" t="str">
        <f>IFERROR(VLOOKUP(C206,'спецификация'!B:AA,16,0)," ")</f>
        <v>https://docs.google.com/document/d/1oLDo18o1HPvndjVO2C-fwAG2QJ_6bRAv/edit?usp=drive_web&amp;ouid=104241417680089502627&amp;rtpof=true</v>
      </c>
      <c r="BX206" s="43"/>
      <c r="BY206" s="43"/>
      <c r="BZ206" s="45" t="str">
        <f>IFERROR(VLOOKUP(BF206,'спецификация'!D:Y,22,0)," ")</f>
        <v/>
      </c>
      <c r="CA206" s="54">
        <v>46044.0</v>
      </c>
      <c r="CB206" s="46" t="s">
        <v>6655</v>
      </c>
      <c r="CC206" s="43"/>
      <c r="CD206" s="43"/>
      <c r="CE206" s="43"/>
      <c r="CF206" s="43"/>
      <c r="CG206" s="49">
        <f>IFERROR(VLOOKUP(C206,CC!A:D,4,0)," ")</f>
        <v>129.5</v>
      </c>
      <c r="CH206" s="22" t="str">
        <f>IFERROR(VLOOKUP(C206,'спецификация'!B:AA,19,0)," ")</f>
        <v>ООО Марвел</v>
      </c>
      <c r="CI206" s="22"/>
      <c r="CJ206" s="22" t="s">
        <v>2944</v>
      </c>
      <c r="CK206" s="22">
        <f>IFERROR(VLOOKUP(C206,CC!K:M,3,0)," ")</f>
        <v>60</v>
      </c>
      <c r="CL206" s="43"/>
      <c r="CM206" s="43"/>
      <c r="CN206" s="43"/>
      <c r="CO206" s="43"/>
      <c r="CP206" s="43"/>
      <c r="CQ206" s="43"/>
      <c r="CR206" s="43"/>
      <c r="CS206" s="43" t="b">
        <v>0</v>
      </c>
      <c r="CT206" s="43" t="b">
        <v>0</v>
      </c>
      <c r="CU206" s="43" t="b">
        <v>0</v>
      </c>
      <c r="CV206" s="43" t="b">
        <v>0</v>
      </c>
      <c r="CW206" s="43"/>
      <c r="CX206" s="43"/>
      <c r="CY206" s="43"/>
      <c r="CZ206" s="43"/>
      <c r="DA206" s="43"/>
      <c r="DB206" s="43"/>
      <c r="DC206" s="43"/>
      <c r="DD206" s="22">
        <f>IFERROR(VLOOKUP($C206,'Лист4'!$D:$AI,27,0)," ")</f>
        <v>12</v>
      </c>
      <c r="DE206" s="22">
        <f>IFERROR(VLOOKUP($C206,'Лист4'!$D:$AI,28,0)," ")</f>
        <v>18</v>
      </c>
      <c r="DF206" s="22">
        <f>IFERROR(VLOOKUP($C206,'Лист4'!$D:$AI,29,0)," ")</f>
        <v>12</v>
      </c>
      <c r="DG206" s="22">
        <f t="shared" si="3"/>
        <v>2592</v>
      </c>
      <c r="DH206" s="22">
        <f>IFERROR(VLOOKUP($C206,'Лист4'!$D:$AI,32,0)," ")</f>
        <v>0.345</v>
      </c>
      <c r="DI206" s="22"/>
      <c r="DJ206" s="22"/>
      <c r="DK206" s="22"/>
      <c r="DL206" s="22"/>
      <c r="DM206" s="22"/>
      <c r="DN206" s="22"/>
      <c r="DO206" s="22"/>
      <c r="DP206" s="22"/>
      <c r="DQ206" s="22"/>
      <c r="DR206" s="22"/>
      <c r="DS206" s="22"/>
      <c r="DT206" s="22"/>
      <c r="DU206" s="22"/>
      <c r="DV206" s="22"/>
      <c r="DW206" s="22"/>
      <c r="DX206" s="22"/>
      <c r="DY206" s="22"/>
      <c r="DZ206" s="22"/>
      <c r="EA206" s="22"/>
      <c r="EB206" s="22"/>
      <c r="EC206" s="22"/>
      <c r="ED206" s="22"/>
      <c r="EE206" s="22"/>
      <c r="EF206" s="22"/>
      <c r="EG206" s="22"/>
      <c r="EH206" s="22"/>
      <c r="EI206" s="22"/>
      <c r="EJ206" s="22"/>
      <c r="EK206" s="22"/>
      <c r="EL206" s="22"/>
      <c r="EM206" s="43"/>
      <c r="EN206" s="43"/>
      <c r="EO206" s="43"/>
      <c r="EP206" s="43"/>
      <c r="EQ206" s="43"/>
      <c r="ER206" s="43"/>
      <c r="ES206" s="43"/>
      <c r="ET206" s="43"/>
      <c r="EU206" s="43"/>
      <c r="EV206" s="43"/>
      <c r="EW206" s="43"/>
      <c r="EX206" s="43"/>
      <c r="EY206" s="43"/>
      <c r="EZ206" s="43"/>
      <c r="FA206" s="43"/>
      <c r="FB206" s="43"/>
      <c r="FC206" s="43"/>
    </row>
    <row r="207" ht="18.0" customHeight="1">
      <c r="A207" s="2"/>
      <c r="B207" s="22" t="str">
        <f>IFERROR(VLOOKUP(C207,'Реестр'!C:AC,27,0)," ")</f>
        <v>Смарт-Сэйл</v>
      </c>
      <c r="C207" s="43" t="s">
        <v>3243</v>
      </c>
      <c r="D207" s="22" t="str">
        <f>IFERROR(VLOOKUP(C207,'Лист4'!D:P,13,0)," ")</f>
        <v>Алтея</v>
      </c>
      <c r="E207" s="22" t="str">
        <f>IF(OR(ISERROR(VLOOKUP(C207,'Актуальность'!A:B,2,0)), VLOOKUP(C207,'Актуальность'!A:B,2,0)=""), "Актуальный", VLOOKUP(C207,'Актуальность'!A:B,2,0))</f>
        <v>Актуальный</v>
      </c>
      <c r="F207" s="43" t="str">
        <f>IFERROR(VLOOKUP(C207,'Актуальность'!A:C,3,0)," ")</f>
        <v/>
      </c>
      <c r="G207" s="43"/>
      <c r="H207" s="22" t="s">
        <v>2743</v>
      </c>
      <c r="I207" s="22" t="s">
        <v>287</v>
      </c>
      <c r="J207" s="43"/>
      <c r="K207" s="43"/>
      <c r="L207" s="22" t="b">
        <f t="shared" ref="L207:R207" si="203">T207&lt;&gt;""</f>
        <v>1</v>
      </c>
      <c r="M207" s="22" t="b">
        <f t="shared" si="203"/>
        <v>1</v>
      </c>
      <c r="N207" s="22" t="b">
        <f t="shared" si="203"/>
        <v>1</v>
      </c>
      <c r="O207" s="22" t="b">
        <f t="shared" si="203"/>
        <v>1</v>
      </c>
      <c r="P207" s="22" t="b">
        <f t="shared" si="203"/>
        <v>1</v>
      </c>
      <c r="Q207" s="22" t="b">
        <f t="shared" si="203"/>
        <v>1</v>
      </c>
      <c r="R207" s="22" t="b">
        <f t="shared" si="203"/>
        <v>0</v>
      </c>
      <c r="S207" s="43"/>
      <c r="T207" s="43" t="str">
        <f>IFERROR(VLOOKUP( C207,'1С'!A:B,2,0)," ")</f>
        <v>AC101100415</v>
      </c>
      <c r="U207" s="22" t="str">
        <f>IFERROR(VLOOKUP(T207,'Лист4'!C:I,3,0)," ")</f>
        <v>penka_kudryavii_metod_150ml</v>
      </c>
      <c r="V207" s="22" t="str">
        <f>IFERROR(VLOOKUP(T207,'Лист4'!C:I,4,0)," ")</f>
        <v>penka_kudryavii_metod_150ml</v>
      </c>
      <c r="W207" s="22" t="str">
        <f>IFERROR(VLOOKUP(T207,'Лист4'!C:I,5,0)," ")</f>
        <v>penka_kudryavii_metod_150ml</v>
      </c>
      <c r="X207" s="43" t="str">
        <f>IFERROR(VLOOKUP(T207,'Лист4'!C:I,7,0)," ")</f>
        <v>penka_kudryavii_metod_150ml</v>
      </c>
      <c r="Y207" s="43" t="str">
        <f>IFERROR(VLOOKUP(T207,'Лист4'!C:I,6,0)," ")</f>
        <v>penka_kudryavii_metod_150ml</v>
      </c>
      <c r="Z207" s="43"/>
      <c r="AA207" s="43"/>
      <c r="AB207" s="22">
        <v>3.99763E8</v>
      </c>
      <c r="AC207" s="22">
        <v>2.0679528E9</v>
      </c>
      <c r="AD207" s="22">
        <v>4.476308791E9</v>
      </c>
      <c r="AE207" s="22">
        <v>9.9000125266E10</v>
      </c>
      <c r="AF207" s="22" t="s">
        <v>3246</v>
      </c>
      <c r="AG207" s="43"/>
      <c r="AH207" s="43"/>
      <c r="AI207" s="43" t="str">
        <f>IFERROR(VLOOKUP(T207,'1С'!B:C,2,0)," ")</f>
        <v>Пенка для укладки кудрявых волос, Алтея, 150 мл</v>
      </c>
      <c r="AJ207" s="22" t="s">
        <v>3247</v>
      </c>
      <c r="AK207" s="22" t="s">
        <v>3248</v>
      </c>
      <c r="AL207" s="22" t="s">
        <v>3249</v>
      </c>
      <c r="AM207" s="22" t="s">
        <v>3250</v>
      </c>
      <c r="AN207" s="22" t="s">
        <v>3251</v>
      </c>
      <c r="AO207" s="43"/>
      <c r="AP207" s="43"/>
      <c r="AQ207" s="46" t="s">
        <v>3252</v>
      </c>
      <c r="AR207" s="46" t="s">
        <v>3253</v>
      </c>
      <c r="AS207" s="46" t="s">
        <v>3254</v>
      </c>
      <c r="AT207" s="46" t="s">
        <v>3255</v>
      </c>
      <c r="AU207" s="46" t="s">
        <v>3256</v>
      </c>
      <c r="AV207" s="43"/>
      <c r="AW207" s="43"/>
      <c r="AX207" s="22" t="s">
        <v>325</v>
      </c>
      <c r="AY207" s="22" t="s">
        <v>3248</v>
      </c>
      <c r="AZ207" s="22" t="s">
        <v>1492</v>
      </c>
      <c r="BA207" s="22" t="s">
        <v>1493</v>
      </c>
      <c r="BB207" s="22" t="s">
        <v>3257</v>
      </c>
      <c r="BC207" s="43"/>
      <c r="BD207" s="43"/>
      <c r="BE207" s="43"/>
      <c r="BF207" s="22">
        <f>IFERROR(VLOOKUP(C207,'спецификация'!B:D,3,0)," ")</f>
        <v>4670020498611</v>
      </c>
      <c r="BG207" s="22">
        <v>3.3051E9</v>
      </c>
      <c r="BH207" s="22" t="str">
        <f>IFERROR(VLOOKUP(C207,'спецификация'!B:AA,5,0)," ")</f>
        <v/>
      </c>
      <c r="BI207" s="22"/>
      <c r="BJ207" s="22" t="str">
        <f>IFERROR(VLOOKUP(C207,'спецификация'!B:AA,6,0)," ")</f>
        <v>нет</v>
      </c>
      <c r="BK207" s="43"/>
      <c r="BL207" s="43"/>
      <c r="BM207" s="22" t="str">
        <f>IFERROR(VLOOKUP(BF207,'спецификация'!D:H,5,0)," ")</f>
        <v>вода очищенная, поливинилпирролидон, карбомер, ПЭГ-40 гидрогенизированное касторовое масло, гидроксипропил фосфат крахмала, Д-пантенол, протеины пшеницы гидролизат, бетаин, экстракт женьшеня, L аргинин, кокамидопропилбетаин, поликватерниум 7, глицерин, натрия хлорид, парфюмерная композиция, натрия гидроокись, динатрия  ЭДТА, феноксиэтанол этилгексилглицерин, натрия бензоат, сорбат калия, гексил циннамаль, кумарин. </v>
      </c>
      <c r="BN207" s="43"/>
      <c r="BO207" s="22" t="str">
        <f>IFERROR(VLOOKUP(C207,'спецификация'!B:AA,10,0)," ")</f>
        <v>выдавить нужное количество  пенки на ладонь, нанести на чистые, подсушенные полотенцем волосы. Для создания обьемной прически нанесите на корни волос, затем высушите феном. Для создания локонов и текстурирования кудрей нанесите равномерно по всей длине волос.</v>
      </c>
      <c r="BP207" s="43" t="str">
        <f>IFERROR(VLOOKUP(C207,'спецификация'!B:AA,11,0)," ")</f>
        <v>Меры предосторожности: Индивидуальная непереносимость компонентов состава</v>
      </c>
      <c r="BQ207" s="22" t="str">
        <f>IFERROR(VLOOKUP(C207,'спецификация'!B:AA,12,0)," ")</f>
        <v>хранят при температуре не ниже плюс 5 ˚С и не выше плюс 25 ˚С Не допускается хранить продукцию под непосредственным воздействием солнечного света и вблизи отопительных приборов.  </v>
      </c>
      <c r="BR207" s="22">
        <v>150.0</v>
      </c>
      <c r="BS207" s="22" t="s">
        <v>139</v>
      </c>
      <c r="BT207" s="22"/>
      <c r="BU207" s="22"/>
      <c r="BV207" s="22" t="s">
        <v>307</v>
      </c>
      <c r="BW207" s="44" t="str">
        <f>IFERROR(VLOOKUP(C207,'спецификация'!B:AA,16,0)," ")</f>
        <v>https://docs.google.com/document/d/1JBYpklexhI_lswM4ffH148uSYxZWOk_-/edit?usp=drive_web&amp;ouid=104241417680089502627&amp;rtpof=true</v>
      </c>
      <c r="BX207" s="43"/>
      <c r="BY207" s="43"/>
      <c r="BZ207" s="45" t="str">
        <f>IFERROR(VLOOKUP(BF207,'спецификация'!D:Y,22,0)," ")</f>
        <v/>
      </c>
      <c r="CA207" s="43"/>
      <c r="CB207" s="43"/>
      <c r="CC207" s="43"/>
      <c r="CD207" s="43"/>
      <c r="CE207" s="43"/>
      <c r="CF207" s="43"/>
      <c r="CG207" s="49">
        <f>IFERROR(VLOOKUP(C207,CC!A:D,4,0)," ")</f>
        <v>140.9</v>
      </c>
      <c r="CH207" s="22" t="str">
        <f>IFERROR(VLOOKUP(C207,'спецификация'!B:AA,19,0)," ")</f>
        <v>ООО "Алтэя"</v>
      </c>
      <c r="CI207" s="22"/>
      <c r="CJ207" s="22" t="s">
        <v>2835</v>
      </c>
      <c r="CK207" s="22">
        <f>IFERROR(VLOOKUP(C207,CC!K:M,3,0)," ")</f>
        <v>90</v>
      </c>
      <c r="CL207" s="43"/>
      <c r="CM207" s="43"/>
      <c r="CN207" s="43"/>
      <c r="CO207" s="43"/>
      <c r="CP207" s="43"/>
      <c r="CQ207" s="43"/>
      <c r="CR207" s="43"/>
      <c r="CS207" s="43" t="b">
        <v>0</v>
      </c>
      <c r="CT207" s="43" t="b">
        <v>0</v>
      </c>
      <c r="CU207" s="43" t="b">
        <v>0</v>
      </c>
      <c r="CV207" s="43" t="b">
        <v>0</v>
      </c>
      <c r="CW207" s="43"/>
      <c r="CX207" s="43"/>
      <c r="CY207" s="43"/>
      <c r="CZ207" s="43"/>
      <c r="DA207" s="43"/>
      <c r="DB207" s="43"/>
      <c r="DC207" s="43"/>
      <c r="DD207" s="22">
        <f>IFERROR(VLOOKUP($C207,'Лист4'!$D:$AI,27,0)," ")</f>
        <v>17</v>
      </c>
      <c r="DE207" s="22">
        <f>IFERROR(VLOOKUP($C207,'Лист4'!$D:$AI,28,0)," ")</f>
        <v>4</v>
      </c>
      <c r="DF207" s="22">
        <f>IFERROR(VLOOKUP($C207,'Лист4'!$D:$AI,29,0)," ")</f>
        <v>17</v>
      </c>
      <c r="DG207" s="22">
        <f t="shared" si="3"/>
        <v>1156</v>
      </c>
      <c r="DH207" s="22">
        <f>IFERROR(VLOOKUP($C207,'Лист4'!$D:$AI,32,0)," ")</f>
        <v>0.202</v>
      </c>
      <c r="DI207" s="22"/>
      <c r="DJ207" s="22"/>
      <c r="DK207" s="22"/>
      <c r="DL207" s="22"/>
      <c r="DM207" s="22"/>
      <c r="DN207" s="22"/>
      <c r="DO207" s="22"/>
      <c r="DP207" s="22"/>
      <c r="DQ207" s="22"/>
      <c r="DR207" s="22"/>
      <c r="DS207" s="22"/>
      <c r="DT207" s="22"/>
      <c r="DU207" s="22"/>
      <c r="DV207" s="22"/>
      <c r="DW207" s="22"/>
      <c r="DX207" s="22"/>
      <c r="DY207" s="22"/>
      <c r="DZ207" s="22"/>
      <c r="EA207" s="22"/>
      <c r="EB207" s="22"/>
      <c r="EC207" s="22"/>
      <c r="ED207" s="22"/>
      <c r="EE207" s="22"/>
      <c r="EF207" s="22"/>
      <c r="EG207" s="22"/>
      <c r="EH207" s="22"/>
      <c r="EI207" s="22"/>
      <c r="EJ207" s="22"/>
      <c r="EK207" s="22"/>
      <c r="EL207" s="22"/>
      <c r="EM207" s="43"/>
      <c r="EN207" s="43"/>
      <c r="EO207" s="43"/>
      <c r="EP207" s="43"/>
      <c r="EQ207" s="43"/>
      <c r="ER207" s="43"/>
      <c r="ES207" s="43"/>
      <c r="ET207" s="43"/>
      <c r="EU207" s="43"/>
      <c r="EV207" s="43"/>
      <c r="EW207" s="43"/>
      <c r="EX207" s="43"/>
      <c r="EY207" s="43"/>
      <c r="EZ207" s="43"/>
      <c r="FA207" s="43"/>
      <c r="FB207" s="43"/>
      <c r="FC207" s="43"/>
    </row>
    <row r="208" ht="18.0" customHeight="1">
      <c r="A208" s="2"/>
      <c r="B208" s="22" t="str">
        <f>IFERROR(VLOOKUP(C208,'Реестр'!C:AC,27,0)," ")</f>
        <v>Смарт-Сэйл</v>
      </c>
      <c r="C208" s="43" t="s">
        <v>3262</v>
      </c>
      <c r="D208" s="22" t="str">
        <f>IFERROR(VLOOKUP(C208,'Лист4'!D:P,13,0)," ")</f>
        <v>Алтея</v>
      </c>
      <c r="E208" s="22" t="str">
        <f>IF(OR(ISERROR(VLOOKUP(C208,'Актуальность'!A:B,2,0)), VLOOKUP(C208,'Актуальность'!A:B,2,0)=""), "Актуальный", VLOOKUP(C208,'Актуальность'!A:B,2,0))</f>
        <v>Актуальный</v>
      </c>
      <c r="F208" s="43" t="str">
        <f>IFERROR(VLOOKUP(C208,'Актуальность'!A:C,3,0)," ")</f>
        <v/>
      </c>
      <c r="G208" s="43"/>
      <c r="H208" s="22" t="s">
        <v>361</v>
      </c>
      <c r="I208" s="22" t="s">
        <v>2766</v>
      </c>
      <c r="J208" s="43"/>
      <c r="K208" s="43"/>
      <c r="L208" s="22" t="b">
        <f t="shared" ref="L208:R208" si="204">T208&lt;&gt;""</f>
        <v>1</v>
      </c>
      <c r="M208" s="22" t="b">
        <f t="shared" si="204"/>
        <v>1</v>
      </c>
      <c r="N208" s="22" t="b">
        <f t="shared" si="204"/>
        <v>1</v>
      </c>
      <c r="O208" s="22" t="b">
        <f t="shared" si="204"/>
        <v>1</v>
      </c>
      <c r="P208" s="22" t="b">
        <f t="shared" si="204"/>
        <v>0</v>
      </c>
      <c r="Q208" s="22" t="b">
        <f t="shared" si="204"/>
        <v>0</v>
      </c>
      <c r="R208" s="22" t="b">
        <f t="shared" si="204"/>
        <v>0</v>
      </c>
      <c r="S208" s="43"/>
      <c r="T208" s="43" t="str">
        <f>IFERROR(VLOOKUP( C208,'1С'!A:B,2,0)," ")</f>
        <v>AB101100402</v>
      </c>
      <c r="U208" s="22" t="str">
        <f>IFERROR(VLOOKUP(T208,'Лист4'!C:I,3,0)," ")</f>
        <v>insulight_BAD_60caps</v>
      </c>
      <c r="V208" s="22" t="str">
        <f>IFERROR(VLOOKUP(T208,'Лист4'!C:I,4,0)," ")</f>
        <v>insulight_BAD_60caps</v>
      </c>
      <c r="W208" s="22" t="str">
        <f>IFERROR(VLOOKUP(T208,'Лист4'!C:I,5,0)," ")</f>
        <v>insulight_BAD_60caps</v>
      </c>
      <c r="X208" s="43" t="str">
        <f>IFERROR(VLOOKUP(T208,'Лист4'!C:I,7,0)," ")</f>
        <v/>
      </c>
      <c r="Y208" s="43" t="str">
        <f>IFERROR(VLOOKUP(T208,'Лист4'!C:I,6,0)," ")</f>
        <v/>
      </c>
      <c r="Z208" s="43"/>
      <c r="AA208" s="43"/>
      <c r="AB208" s="22">
        <v>2.29280202E8</v>
      </c>
      <c r="AC208" s="22">
        <v>1.566867106E9</v>
      </c>
      <c r="AD208" s="22">
        <v>1.0351544302E11</v>
      </c>
      <c r="AE208" s="22"/>
      <c r="AF208" s="22"/>
      <c r="AG208" s="43"/>
      <c r="AH208" s="43"/>
      <c r="AI208" s="43" t="str">
        <f>IFERROR(VLOOKUP(T208,'1С'!B:C,2,0)," ")</f>
        <v>БАД Инсулайт, Алтея, 60 капсул</v>
      </c>
      <c r="AJ208" s="22" t="s">
        <v>3265</v>
      </c>
      <c r="AK208" s="22" t="s">
        <v>3266</v>
      </c>
      <c r="AL208" s="22" t="s">
        <v>3266</v>
      </c>
      <c r="AM208" s="43"/>
      <c r="AN208" s="43"/>
      <c r="AO208" s="43"/>
      <c r="AP208" s="43"/>
      <c r="AQ208" s="46" t="s">
        <v>3267</v>
      </c>
      <c r="AR208" s="46" t="s">
        <v>3268</v>
      </c>
      <c r="AS208" s="46" t="s">
        <v>3269</v>
      </c>
      <c r="AT208" s="43"/>
      <c r="AU208" s="43"/>
      <c r="AV208" s="43"/>
      <c r="AW208" s="43"/>
      <c r="AX208" s="22" t="s">
        <v>649</v>
      </c>
      <c r="AY208" s="22" t="s">
        <v>3266</v>
      </c>
      <c r="AZ208" s="22" t="s">
        <v>372</v>
      </c>
      <c r="BA208" s="43"/>
      <c r="BB208" s="43"/>
      <c r="BC208" s="43"/>
      <c r="BD208" s="43"/>
      <c r="BE208" s="43"/>
      <c r="BF208" s="22">
        <f>IFERROR(VLOOKUP(C208,'спецификация'!B:D,3,0)," ")</f>
        <v>4627193453961</v>
      </c>
      <c r="BG208" s="22">
        <v>2.106909803E9</v>
      </c>
      <c r="BH208" s="22" t="str">
        <f>IFERROR(VLOOKUP(C208,'спецификация'!B:AA,5,0)," ")</f>
        <v/>
      </c>
      <c r="BI208" s="22"/>
      <c r="BJ208" s="22" t="str">
        <f>IFERROR(VLOOKUP(C208,'спецификация'!B:AA,6,0)," ")</f>
        <v>да</v>
      </c>
      <c r="BK208" s="43"/>
      <c r="BL208" s="43"/>
      <c r="BM208" s="22" t="str">
        <f>IFERROR(VLOOKUP(BF208,'спецификация'!D:H,5,0)," ")</f>
        <v>инулин, носитель: целлюлоза микрокристаллическая (Е460), пектин, экстракт сухой створок фасоли, экстракт сухой пажитника, экстракт ананаса, экстракт лайма, экстракт мангустина, экстракт папайи, экстракт маракуйи, экстракт грейпфрута, экстракт козлятника, экстракт джимнемы, антислеживающий агент: диоксид кремния аморфный (Е551), антислеживающий агент: магниевая соль стеариновой кислоты (Е470), желатин*, оксид цинка*</v>
      </c>
      <c r="BN208" s="43"/>
      <c r="BO208" s="22" t="str">
        <f>IFERROR(VLOOKUP(C208,'спецификация'!B:AA,10,0)," ")</f>
        <v>взрослым по 1 капсуле 2 раза в день во время еды.</v>
      </c>
      <c r="BP208" s="43" t="str">
        <f>IFERROR(VLOOKUP(C208,'спецификация'!B:AA,11,0)," ")</f>
        <v>индивидуальная непереносимость компонентов продукта, беременность, кормление грудью. Перед применением рекомендуется проконсультироваться с врачом. </v>
      </c>
      <c r="BQ208" s="22" t="str">
        <f>IFERROR(VLOOKUP(C208,'спецификация'!B:AA,12,0)," ")</f>
        <v>хранить в сухом, защищенном от прямых солнечных лучей и недоступном для детей месте при температуре не выше +25°С.  </v>
      </c>
      <c r="BR208" s="22">
        <v>60.0</v>
      </c>
      <c r="BS208" s="22" t="s">
        <v>492</v>
      </c>
      <c r="BT208" s="22"/>
      <c r="BU208" s="22"/>
      <c r="BV208" s="22" t="s">
        <v>307</v>
      </c>
      <c r="BW208" s="44" t="str">
        <f>IFERROR(VLOOKUP(C208,'спецификация'!B:AA,16,0)," ")</f>
        <v>https://docs.google.com/document/d/1JGUaJqNX7-juxkP8FiWdH_9qJd-eNTV-/edit?usp=drive_web&amp;ouid=104241417680089502627&amp;rtpof=true</v>
      </c>
      <c r="BX208" s="43"/>
      <c r="BY208" s="43"/>
      <c r="BZ208" s="45" t="str">
        <f>IFERROR(VLOOKUP(BF208,'спецификация'!D:Y,22,0)," ")</f>
        <v/>
      </c>
      <c r="CA208" s="43"/>
      <c r="CB208" s="43"/>
      <c r="CC208" s="43"/>
      <c r="CD208" s="43"/>
      <c r="CE208" s="43"/>
      <c r="CF208" s="43"/>
      <c r="CG208" s="49">
        <f>IFERROR(VLOOKUP(C208,CC!A:D,4,0)," ")</f>
        <v>164.69</v>
      </c>
      <c r="CH208" s="22" t="str">
        <f>IFERROR(VLOOKUP(C208,'спецификация'!B:AA,19,0)," ")</f>
        <v>ООО "ЗДРАВФАРМ", 129626, Россия, г. Москва, вн. тер г., Муниципальный округ Алексеевский, ул. 1-я Мытищинская, д3, стр. 1, эт. 6, каб 216, ком. 43</v>
      </c>
      <c r="CI208" s="22"/>
      <c r="CJ208" s="22" t="s">
        <v>805</v>
      </c>
      <c r="CK208" s="22">
        <f>IFERROR(VLOOKUP(C208,CC!K:M,3,0)," ")</f>
        <v>90</v>
      </c>
      <c r="CL208" s="43"/>
      <c r="CM208" s="43"/>
      <c r="CN208" s="43"/>
      <c r="CO208" s="43"/>
      <c r="CP208" s="43"/>
      <c r="CQ208" s="43"/>
      <c r="CR208" s="43"/>
      <c r="CS208" s="43" t="b">
        <v>0</v>
      </c>
      <c r="CT208" s="43" t="b">
        <v>0</v>
      </c>
      <c r="CU208" s="43" t="b">
        <v>0</v>
      </c>
      <c r="CV208" s="43" t="b">
        <v>0</v>
      </c>
      <c r="CW208" s="43"/>
      <c r="CX208" s="43"/>
      <c r="CY208" s="43"/>
      <c r="CZ208" s="43"/>
      <c r="DA208" s="43"/>
      <c r="DB208" s="43"/>
      <c r="DC208" s="43"/>
      <c r="DD208" s="22">
        <f>IFERROR(VLOOKUP($C208,'Лист4'!$D:$AI,27,0)," ")</f>
        <v>9</v>
      </c>
      <c r="DE208" s="22">
        <f>IFERROR(VLOOKUP($C208,'Лист4'!$D:$AI,28,0)," ")</f>
        <v>4</v>
      </c>
      <c r="DF208" s="22">
        <f>IFERROR(VLOOKUP($C208,'Лист4'!$D:$AI,29,0)," ")</f>
        <v>9</v>
      </c>
      <c r="DG208" s="22">
        <f t="shared" si="3"/>
        <v>324</v>
      </c>
      <c r="DH208" s="22">
        <f>IFERROR(VLOOKUP($C208,'Лист4'!$D:$AI,32,0)," ")</f>
        <v>0.052</v>
      </c>
      <c r="DI208" s="22"/>
      <c r="DJ208" s="22"/>
      <c r="DK208" s="22"/>
      <c r="DL208" s="22"/>
      <c r="DM208" s="22"/>
      <c r="DN208" s="22"/>
      <c r="DO208" s="22"/>
      <c r="DP208" s="22"/>
      <c r="DQ208" s="22"/>
      <c r="DR208" s="22"/>
      <c r="DS208" s="22"/>
      <c r="DT208" s="22"/>
      <c r="DU208" s="22"/>
      <c r="DV208" s="22"/>
      <c r="DW208" s="22"/>
      <c r="DX208" s="22"/>
      <c r="DY208" s="22"/>
      <c r="DZ208" s="22"/>
      <c r="EA208" s="22"/>
      <c r="EB208" s="22"/>
      <c r="EC208" s="22"/>
      <c r="ED208" s="22"/>
      <c r="EE208" s="22"/>
      <c r="EF208" s="22"/>
      <c r="EG208" s="22"/>
      <c r="EH208" s="22"/>
      <c r="EI208" s="22"/>
      <c r="EJ208" s="22"/>
      <c r="EK208" s="22"/>
      <c r="EL208" s="22"/>
      <c r="EM208" s="43"/>
      <c r="EN208" s="43"/>
      <c r="EO208" s="43"/>
      <c r="EP208" s="43"/>
      <c r="EQ208" s="43"/>
      <c r="ER208" s="43"/>
      <c r="ES208" s="43"/>
      <c r="ET208" s="43"/>
      <c r="EU208" s="43"/>
      <c r="EV208" s="43"/>
      <c r="EW208" s="43"/>
      <c r="EX208" s="43"/>
      <c r="EY208" s="43"/>
      <c r="EZ208" s="43"/>
      <c r="FA208" s="43"/>
      <c r="FB208" s="43"/>
      <c r="FC208" s="43"/>
    </row>
    <row r="209" ht="18.0" customHeight="1">
      <c r="A209" s="2"/>
      <c r="B209" s="22" t="str">
        <f>IFERROR(VLOOKUP(C209,'Реестр'!C:AC,27,0)," ")</f>
        <v>Смарт-Сэйл</v>
      </c>
      <c r="C209" s="43" t="s">
        <v>3276</v>
      </c>
      <c r="D209" s="22" t="str">
        <f>IFERROR(VLOOKUP(C209,'Лист4'!D:P,13,0)," ")</f>
        <v>Алтея</v>
      </c>
      <c r="E209" s="22" t="str">
        <f>IF(OR(ISERROR(VLOOKUP(C209,'Актуальность'!A:B,2,0)), VLOOKUP(C209,'Актуальность'!A:B,2,0)=""), "Актуальный", VLOOKUP(C209,'Актуальность'!A:B,2,0))</f>
        <v>Актуальный</v>
      </c>
      <c r="F209" s="43" t="str">
        <f>IFERROR(VLOOKUP(C209,'Актуальность'!A:C,3,0)," ")</f>
        <v/>
      </c>
      <c r="G209" s="43"/>
      <c r="H209" s="22" t="s">
        <v>2743</v>
      </c>
      <c r="I209" s="22" t="s">
        <v>565</v>
      </c>
      <c r="J209" s="43"/>
      <c r="K209" s="43"/>
      <c r="L209" s="22" t="b">
        <f t="shared" ref="L209:R209" si="205">T209&lt;&gt;""</f>
        <v>1</v>
      </c>
      <c r="M209" s="22" t="b">
        <f t="shared" si="205"/>
        <v>1</v>
      </c>
      <c r="N209" s="22" t="b">
        <f t="shared" si="205"/>
        <v>1</v>
      </c>
      <c r="O209" s="22" t="b">
        <f t="shared" si="205"/>
        <v>1</v>
      </c>
      <c r="P209" s="22" t="b">
        <f t="shared" si="205"/>
        <v>1</v>
      </c>
      <c r="Q209" s="22" t="b">
        <f t="shared" si="205"/>
        <v>1</v>
      </c>
      <c r="R209" s="22" t="b">
        <f t="shared" si="205"/>
        <v>1</v>
      </c>
      <c r="S209" s="43"/>
      <c r="T209" s="43" t="str">
        <f>IFERROR(VLOOKUP( C209,'1С'!A:B,2,0)," ")</f>
        <v>AC101100425</v>
      </c>
      <c r="U209" s="22" t="str">
        <f>IFERROR(VLOOKUP(T209,'Лист4'!C:I,3,0)," ")</f>
        <v>krovavii_piling_30ml</v>
      </c>
      <c r="V209" s="22" t="str">
        <f>IFERROR(VLOOKUP(T209,'Лист4'!C:I,4,0)," ")</f>
        <v>krovavii_piling_30ml</v>
      </c>
      <c r="W209" s="22" t="str">
        <f>IFERROR(VLOOKUP(T209,'Лист4'!C:I,5,0)," ")</f>
        <v>krovavii_piling_30ml</v>
      </c>
      <c r="X209" s="43" t="str">
        <f>IFERROR(VLOOKUP(T209,'Лист4'!C:I,7,0)," ")</f>
        <v>krovavii_piling_30ml</v>
      </c>
      <c r="Y209" s="43" t="str">
        <f>IFERROR(VLOOKUP(T209,'Лист4'!C:I,6,0)," ")</f>
        <v>krovavii_piling_30ml</v>
      </c>
      <c r="Z209" s="22" t="s">
        <v>3276</v>
      </c>
      <c r="AA209" s="43"/>
      <c r="AB209" s="22">
        <v>3.07871378E8</v>
      </c>
      <c r="AC209" s="22">
        <v>1.80607945E9</v>
      </c>
      <c r="AD209" s="22">
        <v>1.03710308859E11</v>
      </c>
      <c r="AE209" s="22">
        <v>9.9000076205E10</v>
      </c>
      <c r="AF209" s="22" t="s">
        <v>3279</v>
      </c>
      <c r="AG209" s="22" t="s">
        <v>3280</v>
      </c>
      <c r="AH209" s="43"/>
      <c r="AI209" s="43" t="str">
        <f>IFERROR(VLOOKUP(T209,'1С'!B:C,2,0)," ")</f>
        <v>Кровавый пилинг для лица, Алтея, 30 мл</v>
      </c>
      <c r="AJ209" s="22" t="s">
        <v>1416</v>
      </c>
      <c r="AK209" s="22" t="s">
        <v>3281</v>
      </c>
      <c r="AL209" s="22" t="s">
        <v>3282</v>
      </c>
      <c r="AM209" s="22" t="s">
        <v>3283</v>
      </c>
      <c r="AN209" s="22" t="s">
        <v>1419</v>
      </c>
      <c r="AO209" s="22" t="s">
        <v>3284</v>
      </c>
      <c r="AP209" s="43"/>
      <c r="AQ209" s="46" t="s">
        <v>3285</v>
      </c>
      <c r="AR209" s="46" t="s">
        <v>3286</v>
      </c>
      <c r="AS209" s="46" t="s">
        <v>3287</v>
      </c>
      <c r="AT209" s="46" t="s">
        <v>3288</v>
      </c>
      <c r="AU209" s="46" t="s">
        <v>3289</v>
      </c>
      <c r="AV209" s="46" t="s">
        <v>3290</v>
      </c>
      <c r="AW209" s="43"/>
      <c r="AX209" s="22" t="s">
        <v>1426</v>
      </c>
      <c r="AY209" s="22" t="s">
        <v>3281</v>
      </c>
      <c r="AZ209" s="22" t="s">
        <v>3291</v>
      </c>
      <c r="BA209" s="22" t="s">
        <v>1447</v>
      </c>
      <c r="BB209" s="22" t="s">
        <v>1427</v>
      </c>
      <c r="BC209" s="22" t="s">
        <v>1428</v>
      </c>
      <c r="BD209" s="43"/>
      <c r="BE209" s="43"/>
      <c r="BF209" s="22" t="str">
        <f>IFERROR(VLOOKUP(C209,'спецификация'!B:D,3,0)," ")</f>
        <v>4670020498208;4603312714007</v>
      </c>
      <c r="BG209" s="22"/>
      <c r="BH209" s="22" t="str">
        <f>IFERROR(VLOOKUP(C209,'спецификация'!B:AA,5,0)," ")</f>
        <v/>
      </c>
      <c r="BI209" s="22"/>
      <c r="BJ209" s="22" t="str">
        <f>IFERROR(VLOOKUP(C209,'спецификация'!B:AA,6,0)," ")</f>
        <v>нет</v>
      </c>
      <c r="BK209" s="43"/>
      <c r="BL209" s="43"/>
      <c r="BM209" s="22" t="str">
        <f>IFERROR(VLOOKUP(BF209,'спецификация'!D:H,5,0)," ")</f>
        <v>Состав: Aqua, Glycolic Acid, Glycerin, Sodium Hydroxide, Lactic Acid, Salicylic Аcid, Citric Acid, Аcrylic Рolymer, Tasmannia Lanceolata Fruit/Leaf Extract, Sodium Hyaluronate, Xanthan Gum, Polysorbate 20, Phenoxyethanol, Ethylhexylglycerin, Parfum, Е 163, Benzyl Аlcohol.</v>
      </c>
      <c r="BN209" s="43"/>
      <c r="BO209" s="22" t="str">
        <f>IFERROR(VLOOKUP(C209,'спецификация'!B:AA,10,0)," ")</f>
        <v>: используйте один или два раза в неделю, лучше вечером, на чистую сухую кожу. Не используйте на влажной коже.
Равномерно нанесите на лицо и шею. Не используйте на чувствительной или поврежденной коже.
Оставьте не более чем на 10 минут. Тщательно смойте теплой водой. Завершите уход увлажняющим кремом.
</v>
      </c>
      <c r="BP209" s="43" t="str">
        <f>IFERROR(VLOOKUP(C209,'спецификация'!B:AA,11,0)," ")</f>
        <v>Меры предосторожности: при сильном жжении сразу же смыть средство водой. Обязательно нанесите солнцезащитный крем SPF 15+ зимой и SPF 30+ летом перед выходом на улицу.</v>
      </c>
      <c r="BQ209" s="22" t="str">
        <f>IFERROR(VLOOKUP(C209,'спецификация'!B:AA,12,0)," ")</f>
        <v>Условия хранения: хранить при температуре не ниже 0°С и не выше 25°</v>
      </c>
      <c r="BR209" s="22">
        <v>30.0</v>
      </c>
      <c r="BS209" s="22" t="s">
        <v>139</v>
      </c>
      <c r="BT209" s="22"/>
      <c r="BU209" s="22"/>
      <c r="BV209" s="22" t="s">
        <v>307</v>
      </c>
      <c r="BW209" s="44" t="str">
        <f>IFERROR(VLOOKUP(C209,'спецификация'!B:AA,16,0)," ")</f>
        <v>https://docs.google.com/document/d/12r4W9I_eQqcf0HqsUT_JKgNud8De2Jvr/edit</v>
      </c>
      <c r="BX209" s="43"/>
      <c r="BY209" s="43"/>
      <c r="BZ209" s="45" t="str">
        <f>IFERROR(VLOOKUP(BF209,'спецификация'!D:Y,22,0)," ")</f>
        <v/>
      </c>
      <c r="CA209" s="43"/>
      <c r="CB209" s="43"/>
      <c r="CC209" s="43"/>
      <c r="CD209" s="43"/>
      <c r="CE209" s="43"/>
      <c r="CF209" s="43"/>
      <c r="CG209" s="49">
        <f>IFERROR(VLOOKUP(C209,CC!A:D,4,0)," ")</f>
        <v>110</v>
      </c>
      <c r="CH209" s="22" t="str">
        <f>IFERROR(VLOOKUP(C209,'спецификация'!B:AA,19,0)," ")</f>
        <v>ООО "Алтэя"</v>
      </c>
      <c r="CI209" s="22"/>
      <c r="CJ209" s="43"/>
      <c r="CK209" s="22">
        <f>IFERROR(VLOOKUP(C209,CC!K:M,3,0)," ")</f>
        <v>90</v>
      </c>
      <c r="CL209" s="43"/>
      <c r="CM209" s="43"/>
      <c r="CN209" s="43"/>
      <c r="CO209" s="43"/>
      <c r="CP209" s="43"/>
      <c r="CQ209" s="43"/>
      <c r="CR209" s="43"/>
      <c r="CS209" s="43" t="b">
        <v>0</v>
      </c>
      <c r="CT209" s="43" t="b">
        <v>0</v>
      </c>
      <c r="CU209" s="43" t="b">
        <v>0</v>
      </c>
      <c r="CV209" s="43" t="b">
        <v>0</v>
      </c>
      <c r="CW209" s="43"/>
      <c r="CX209" s="43"/>
      <c r="CY209" s="43"/>
      <c r="CZ209" s="43"/>
      <c r="DA209" s="43"/>
      <c r="DB209" s="43"/>
      <c r="DC209" s="43"/>
      <c r="DD209" s="22">
        <f>IFERROR(VLOOKUP($C209,'Лист4'!$D:$AI,27,0)," ")</f>
        <v>3</v>
      </c>
      <c r="DE209" s="22">
        <f>IFERROR(VLOOKUP($C209,'Лист4'!$D:$AI,28,0)," ")</f>
        <v>11</v>
      </c>
      <c r="DF209" s="22">
        <f>IFERROR(VLOOKUP($C209,'Лист4'!$D:$AI,29,0)," ")</f>
        <v>3</v>
      </c>
      <c r="DG209" s="22">
        <f t="shared" si="3"/>
        <v>99</v>
      </c>
      <c r="DH209" s="22">
        <f>IFERROR(VLOOKUP($C209,'Лист4'!$D:$AI,32,0)," ")</f>
        <v>0.092</v>
      </c>
      <c r="DI209" s="22"/>
      <c r="DJ209" s="22"/>
      <c r="DK209" s="22"/>
      <c r="DL209" s="22"/>
      <c r="DM209" s="22"/>
      <c r="DN209" s="22"/>
      <c r="DO209" s="22"/>
      <c r="DP209" s="22"/>
      <c r="DQ209" s="22"/>
      <c r="DR209" s="22"/>
      <c r="DS209" s="22"/>
      <c r="DT209" s="22"/>
      <c r="DU209" s="22"/>
      <c r="DV209" s="22"/>
      <c r="DW209" s="22"/>
      <c r="DX209" s="22"/>
      <c r="DY209" s="22"/>
      <c r="DZ209" s="22"/>
      <c r="EA209" s="22"/>
      <c r="EB209" s="22"/>
      <c r="EC209" s="22"/>
      <c r="ED209" s="22"/>
      <c r="EE209" s="22"/>
      <c r="EF209" s="22"/>
      <c r="EG209" s="22"/>
      <c r="EH209" s="22"/>
      <c r="EI209" s="22"/>
      <c r="EJ209" s="22"/>
      <c r="EK209" s="22"/>
      <c r="EL209" s="22"/>
      <c r="EM209" s="43"/>
      <c r="EN209" s="43"/>
      <c r="EO209" s="43"/>
      <c r="EP209" s="43"/>
      <c r="EQ209" s="43"/>
      <c r="ER209" s="43"/>
      <c r="ES209" s="43"/>
      <c r="ET209" s="43"/>
      <c r="EU209" s="43"/>
      <c r="EV209" s="43"/>
      <c r="EW209" s="43"/>
      <c r="EX209" s="43"/>
      <c r="EY209" s="43"/>
      <c r="EZ209" s="43"/>
      <c r="FA209" s="43"/>
      <c r="FB209" s="43"/>
      <c r="FC209" s="43"/>
    </row>
    <row r="210" ht="18.0" customHeight="1">
      <c r="A210" s="2"/>
      <c r="B210" s="22" t="str">
        <f>IFERROR(VLOOKUP(C210,'Реестр'!C:AC,27,0)," ")</f>
        <v>Смарт-Сэйл</v>
      </c>
      <c r="C210" s="43" t="s">
        <v>3301</v>
      </c>
      <c r="D210" s="22" t="str">
        <f>IFERROR(VLOOKUP(C210,'Лист4'!D:P,13,0)," ")</f>
        <v>Алтея</v>
      </c>
      <c r="E210" s="22" t="str">
        <f>IF(OR(ISERROR(VLOOKUP(C210,'Актуальность'!A:B,2,0)), VLOOKUP(C210,'Актуальность'!A:B,2,0)=""), "Актуальный", VLOOKUP(C210,'Актуальность'!A:B,2,0))</f>
        <v>Актуальный</v>
      </c>
      <c r="F210" s="43" t="str">
        <f>IFERROR(VLOOKUP(C210,'Актуальность'!A:C,3,0)," ")</f>
        <v>Цена вниз</v>
      </c>
      <c r="G210" s="43"/>
      <c r="H210" s="22" t="s">
        <v>2743</v>
      </c>
      <c r="I210" s="22" t="s">
        <v>287</v>
      </c>
      <c r="J210" s="43"/>
      <c r="K210" s="43"/>
      <c r="L210" s="22" t="b">
        <f t="shared" ref="L210:R210" si="206">T210&lt;&gt;""</f>
        <v>1</v>
      </c>
      <c r="M210" s="22" t="b">
        <f t="shared" si="206"/>
        <v>1</v>
      </c>
      <c r="N210" s="22" t="b">
        <f t="shared" si="206"/>
        <v>1</v>
      </c>
      <c r="O210" s="22" t="b">
        <f t="shared" si="206"/>
        <v>1</v>
      </c>
      <c r="P210" s="22" t="b">
        <f t="shared" si="206"/>
        <v>1</v>
      </c>
      <c r="Q210" s="22" t="b">
        <f t="shared" si="206"/>
        <v>1</v>
      </c>
      <c r="R210" s="22" t="b">
        <f t="shared" si="206"/>
        <v>0</v>
      </c>
      <c r="S210" s="43"/>
      <c r="T210" s="43" t="str">
        <f>IFERROR(VLOOKUP( C210,'1С'!A:B,2,0)," ")</f>
        <v>AC101100420</v>
      </c>
      <c r="U210" s="22" t="str">
        <f>IFERROR(VLOOKUP(T210,'Лист4'!C:I,3,0)," ")</f>
        <v>skrab_babl_gam_200ml</v>
      </c>
      <c r="V210" s="22" t="str">
        <f>IFERROR(VLOOKUP(T210,'Лист4'!C:I,4,0)," ")</f>
        <v>skrab_babl_gam_200ml</v>
      </c>
      <c r="W210" s="22" t="str">
        <f>IFERROR(VLOOKUP(T210,'Лист4'!C:I,5,0)," ")</f>
        <v>skrab_babl_gam_200ml</v>
      </c>
      <c r="X210" s="43" t="str">
        <f>IFERROR(VLOOKUP(T210,'Лист4'!C:I,7,0)," ")</f>
        <v>skrab_babl_gam_200ml</v>
      </c>
      <c r="Y210" s="43" t="str">
        <f>IFERROR(VLOOKUP(T210,'Лист4'!C:I,6,0)," ")</f>
        <v>skrab_babl_gam_200ml</v>
      </c>
      <c r="Z210" s="43"/>
      <c r="AA210" s="43"/>
      <c r="AB210" s="22">
        <v>4.56967436E8</v>
      </c>
      <c r="AC210" s="22">
        <v>2.445342489E9</v>
      </c>
      <c r="AD210" s="22">
        <v>4.537865832E9</v>
      </c>
      <c r="AE210" s="22">
        <v>9.9000125265E10</v>
      </c>
      <c r="AF210" s="22" t="s">
        <v>3304</v>
      </c>
      <c r="AG210" s="43"/>
      <c r="AH210" s="43"/>
      <c r="AI210" s="43" t="str">
        <f>IFERROR(VLOOKUP(T210,'1С'!B:C,2,0)," ")</f>
        <v>Скраб для кожи головы, Алтея, 200 мл</v>
      </c>
      <c r="AJ210" s="22" t="s">
        <v>3305</v>
      </c>
      <c r="AK210" s="22" t="s">
        <v>3306</v>
      </c>
      <c r="AL210" s="22" t="s">
        <v>3307</v>
      </c>
      <c r="AM210" s="22" t="s">
        <v>3308</v>
      </c>
      <c r="AN210" s="22" t="s">
        <v>3305</v>
      </c>
      <c r="AO210" s="43"/>
      <c r="AP210" s="43"/>
      <c r="AQ210" s="46" t="s">
        <v>3309</v>
      </c>
      <c r="AR210" s="46" t="s">
        <v>3310</v>
      </c>
      <c r="AS210" s="46" t="s">
        <v>3311</v>
      </c>
      <c r="AT210" s="46" t="s">
        <v>3312</v>
      </c>
      <c r="AU210" s="46" t="s">
        <v>3313</v>
      </c>
      <c r="AV210" s="43"/>
      <c r="AW210" s="43"/>
      <c r="AX210" s="22" t="s">
        <v>3314</v>
      </c>
      <c r="AY210" s="22" t="s">
        <v>3306</v>
      </c>
      <c r="AZ210" s="22" t="s">
        <v>326</v>
      </c>
      <c r="BA210" s="22" t="s">
        <v>300</v>
      </c>
      <c r="BB210" s="22" t="s">
        <v>3315</v>
      </c>
      <c r="BC210" s="43"/>
      <c r="BD210" s="43"/>
      <c r="BE210" s="43"/>
      <c r="BF210" s="22">
        <f>IFERROR(VLOOKUP(C210,'спецификация'!B:D,3,0)," ")</f>
        <v>4660417421476</v>
      </c>
      <c r="BG210" s="22">
        <v>3304.0</v>
      </c>
      <c r="BH210" s="22" t="str">
        <f>IFERROR(VLOOKUP(C210,'спецификация'!B:AA,5,0)," ")</f>
        <v/>
      </c>
      <c r="BI210" s="22"/>
      <c r="BJ210" s="22" t="str">
        <f>IFERROR(VLOOKUP(C210,'спецификация'!B:AA,6,0)," ")</f>
        <v/>
      </c>
      <c r="BK210" s="43"/>
      <c r="BL210" s="43"/>
      <c r="BM210" s="22" t="str">
        <f>IFERROR(VLOOKUP(BF210,'спецификация'!D:H,5,0)," ")</f>
        <v>INCI: Water, Cetearyl alcohol, tea tree oil, udipalmitoylethyl hydroxyethylmonium methosulfate, cetearet-20, sunflower oil, cetrimonium chloride, betaine, scrubbing particles, niacinamide, aloe vera gel, glycolic acid, cocamidopropyl betaine, menthol, fragrance, phenoxyethanol, ethylhexiglycerin.</v>
      </c>
      <c r="BN210" s="43"/>
      <c r="BO210" s="22" t="str">
        <f>IFERROR(VLOOKUP(C210,'спецификация'!B:AA,10,0)," ")</f>
        <v>небольшое количество средства нанесите на влажную кожу головы. Мягко помассируйте в течение 2-3 минут, затем смыть большим количеством воды.  В заключении процедуры вымыть голову с использованием шампуня. Рекомендуется применять 1 раз в неделю.</v>
      </c>
      <c r="BP210" s="43" t="str">
        <f>IFERROR(VLOOKUP(C210,'спецификация'!B:AA,11,0)," ")</f>
        <v>индивидуальная непереносимость</v>
      </c>
      <c r="BQ210" s="22" t="str">
        <f>IFERROR(VLOOKUP(C210,'спецификация'!B:AA,12,0)," ")</f>
        <v>хранить при температуре от +5°C до 25°C и относительной влажности воздуха не более 70%</v>
      </c>
      <c r="BR210" s="22">
        <v>200.0</v>
      </c>
      <c r="BS210" s="22" t="s">
        <v>139</v>
      </c>
      <c r="BT210" s="22"/>
      <c r="BU210" s="22"/>
      <c r="BV210" s="22" t="s">
        <v>307</v>
      </c>
      <c r="BW210" s="44" t="str">
        <f>IFERROR(VLOOKUP(C210,'спецификация'!B:AA,16,0)," ")</f>
        <v>https://docs.google.com/document/d/1os1QTPc153Yd8qYOYe3UEYoxRUxCJIfh/edit?usp=drive_web&amp;ouid=104241417680089502627&amp;rtpof=true</v>
      </c>
      <c r="BX210" s="43"/>
      <c r="BY210" s="43"/>
      <c r="BZ210" s="45" t="str">
        <f>IFERROR(VLOOKUP(BF210,'спецификация'!D:Y,22,0)," ")</f>
        <v/>
      </c>
      <c r="CA210" s="43"/>
      <c r="CB210" s="43"/>
      <c r="CC210" s="43"/>
      <c r="CD210" s="43"/>
      <c r="CE210" s="43"/>
      <c r="CF210" s="43"/>
      <c r="CG210" s="49">
        <f>IFERROR(VLOOKUP(C210,CC!A:D,4,0)," ")</f>
        <v>120</v>
      </c>
      <c r="CH210" s="22" t="str">
        <f>IFERROR(VLOOKUP(C210,'спецификация'!B:AA,19,0)," ")</f>
        <v>ООО Восток-Плюс</v>
      </c>
      <c r="CI210" s="22"/>
      <c r="CJ210" s="22"/>
      <c r="CK210" s="22">
        <f>IFERROR(VLOOKUP(C210,CC!K:M,3,0)," ")</f>
        <v>45</v>
      </c>
      <c r="CL210" s="43"/>
      <c r="CM210" s="43"/>
      <c r="CN210" s="43"/>
      <c r="CO210" s="43"/>
      <c r="CP210" s="43"/>
      <c r="CQ210" s="43"/>
      <c r="CR210" s="43"/>
      <c r="CS210" s="43" t="b">
        <v>0</v>
      </c>
      <c r="CT210" s="43" t="b">
        <v>0</v>
      </c>
      <c r="CU210" s="43" t="b">
        <v>0</v>
      </c>
      <c r="CV210" s="43" t="b">
        <v>0</v>
      </c>
      <c r="CW210" s="43"/>
      <c r="CX210" s="43"/>
      <c r="CY210" s="43"/>
      <c r="CZ210" s="43"/>
      <c r="DA210" s="43"/>
      <c r="DB210" s="43"/>
      <c r="DC210" s="43"/>
      <c r="DD210" s="22">
        <f>IFERROR(VLOOKUP($C210,'Лист4'!$D:$AI,27,0)," ")</f>
        <v>4</v>
      </c>
      <c r="DE210" s="22">
        <f>IFERROR(VLOOKUP($C210,'Лист4'!$D:$AI,28,0)," ")</f>
        <v>18</v>
      </c>
      <c r="DF210" s="22">
        <f>IFERROR(VLOOKUP($C210,'Лист4'!$D:$AI,29,0)," ")</f>
        <v>4</v>
      </c>
      <c r="DG210" s="22">
        <f t="shared" si="3"/>
        <v>288</v>
      </c>
      <c r="DH210" s="22">
        <f>IFERROR(VLOOKUP($C210,'Лист4'!$D:$AI,32,0)," ")</f>
        <v>0.206</v>
      </c>
      <c r="DI210" s="22"/>
      <c r="DJ210" s="22"/>
      <c r="DK210" s="22"/>
      <c r="DL210" s="22"/>
      <c r="DM210" s="22"/>
      <c r="DN210" s="22"/>
      <c r="DO210" s="22"/>
      <c r="DP210" s="22"/>
      <c r="DQ210" s="22"/>
      <c r="DR210" s="22"/>
      <c r="DS210" s="22"/>
      <c r="DT210" s="22"/>
      <c r="DU210" s="22"/>
      <c r="DV210" s="22"/>
      <c r="DW210" s="22"/>
      <c r="DX210" s="22"/>
      <c r="DY210" s="22"/>
      <c r="DZ210" s="22"/>
      <c r="EA210" s="22"/>
      <c r="EB210" s="22"/>
      <c r="EC210" s="22"/>
      <c r="ED210" s="22"/>
      <c r="EE210" s="22"/>
      <c r="EF210" s="22"/>
      <c r="EG210" s="22"/>
      <c r="EH210" s="22"/>
      <c r="EI210" s="22"/>
      <c r="EJ210" s="22"/>
      <c r="EK210" s="22"/>
      <c r="EL210" s="22"/>
      <c r="EM210" s="43"/>
      <c r="EN210" s="43"/>
      <c r="EO210" s="43"/>
      <c r="EP210" s="43"/>
      <c r="EQ210" s="43"/>
      <c r="ER210" s="43"/>
      <c r="ES210" s="43"/>
      <c r="ET210" s="43"/>
      <c r="EU210" s="43"/>
      <c r="EV210" s="43"/>
      <c r="EW210" s="43"/>
      <c r="EX210" s="43"/>
      <c r="EY210" s="43"/>
      <c r="EZ210" s="43"/>
      <c r="FA210" s="43"/>
      <c r="FB210" s="43"/>
      <c r="FC210" s="43"/>
    </row>
    <row r="211" ht="18.0" customHeight="1">
      <c r="A211" s="2"/>
      <c r="B211" s="22" t="str">
        <f>IFERROR(VLOOKUP(C211,'Реестр'!C:AC,27,0)," ")</f>
        <v>Смарт-Сэйл</v>
      </c>
      <c r="C211" s="43" t="s">
        <v>3322</v>
      </c>
      <c r="D211" s="22" t="str">
        <f>IFERROR(VLOOKUP(C211,'Лист4'!D:P,13,0)," ")</f>
        <v>CPA</v>
      </c>
      <c r="E211" s="22" t="str">
        <f>IF(OR(ISERROR(VLOOKUP(C211,'Актуальность'!A:B,2,0)), VLOOKUP(C211,'Актуальность'!A:B,2,0)=""), "Актуальный", VLOOKUP(C211,'Актуальность'!A:B,2,0))</f>
        <v>Актуальный</v>
      </c>
      <c r="F211" s="43" t="str">
        <f>IFERROR(VLOOKUP(C211,'Актуальность'!A:C,3,0)," ")</f>
        <v/>
      </c>
      <c r="G211" s="43"/>
      <c r="H211" s="22" t="s">
        <v>2663</v>
      </c>
      <c r="I211" s="22" t="s">
        <v>2703</v>
      </c>
      <c r="J211" s="43"/>
      <c r="K211" s="43"/>
      <c r="L211" s="22" t="b">
        <f t="shared" ref="L211:R211" si="207">T211&lt;&gt;""</f>
        <v>1</v>
      </c>
      <c r="M211" s="22" t="b">
        <f t="shared" si="207"/>
        <v>1</v>
      </c>
      <c r="N211" s="22" t="b">
        <f t="shared" si="207"/>
        <v>1</v>
      </c>
      <c r="O211" s="22" t="b">
        <f t="shared" si="207"/>
        <v>1</v>
      </c>
      <c r="P211" s="22" t="b">
        <f t="shared" si="207"/>
        <v>0</v>
      </c>
      <c r="Q211" s="22" t="b">
        <f t="shared" si="207"/>
        <v>0</v>
      </c>
      <c r="R211" s="22" t="b">
        <f t="shared" si="207"/>
        <v>0</v>
      </c>
      <c r="S211" s="43"/>
      <c r="T211" s="43" t="str">
        <f>IFERROR(VLOOKUP( C211,'1С'!A:B,2,0)," ")</f>
        <v>CO101100425</v>
      </c>
      <c r="U211" s="22" t="str">
        <f>IFERROR(VLOOKUP(T211,'Лист4'!C:I,3,0)," ")</f>
        <v>kardicin</v>
      </c>
      <c r="V211" s="22" t="str">
        <f>IFERROR(VLOOKUP(T211,'Лист4'!C:I,4,0)," ")</f>
        <v>kardicin</v>
      </c>
      <c r="W211" s="22" t="str">
        <f>IFERROR(VLOOKUP(T211,'Лист4'!C:I,5,0)," ")</f>
        <v>kardicin</v>
      </c>
      <c r="X211" s="43" t="str">
        <f>IFERROR(VLOOKUP(T211,'Лист4'!C:I,7,0)," ")</f>
        <v/>
      </c>
      <c r="Y211" s="43" t="str">
        <f>IFERROR(VLOOKUP(T211,'Лист4'!C:I,6,0)," ")</f>
        <v/>
      </c>
      <c r="Z211" s="43"/>
      <c r="AA211" s="43"/>
      <c r="AB211" s="22">
        <v>1.00410775E8</v>
      </c>
      <c r="AC211" s="22">
        <v>7.27886779E8</v>
      </c>
      <c r="AD211" s="22">
        <v>1.01821048654E11</v>
      </c>
      <c r="AE211" s="22"/>
      <c r="AF211" s="22"/>
      <c r="AG211" s="43"/>
      <c r="AH211" s="43"/>
      <c r="AI211" s="43" t="str">
        <f>IFERROR(VLOOKUP(T211,'1С'!B:C,2,0)," ")</f>
        <v>Пищевая добавка Кардицин, CPA, 10 капсул</v>
      </c>
      <c r="AJ211" s="22" t="s">
        <v>3134</v>
      </c>
      <c r="AK211" s="22" t="s">
        <v>3325</v>
      </c>
      <c r="AL211" s="22" t="s">
        <v>3325</v>
      </c>
      <c r="AM211" s="43"/>
      <c r="AN211" s="43"/>
      <c r="AO211" s="43"/>
      <c r="AP211" s="43"/>
      <c r="AQ211" s="46" t="s">
        <v>3326</v>
      </c>
      <c r="AR211" s="46" t="s">
        <v>3327</v>
      </c>
      <c r="AS211" s="46" t="s">
        <v>3328</v>
      </c>
      <c r="AT211" s="43"/>
      <c r="AU211" s="43"/>
      <c r="AV211" s="43"/>
      <c r="AW211" s="43"/>
      <c r="AX211" s="22" t="s">
        <v>649</v>
      </c>
      <c r="AY211" s="22" t="s">
        <v>3325</v>
      </c>
      <c r="AZ211" s="22" t="s">
        <v>372</v>
      </c>
      <c r="BA211" s="43"/>
      <c r="BB211" s="43"/>
      <c r="BC211" s="43"/>
      <c r="BD211" s="43"/>
      <c r="BE211" s="43"/>
      <c r="BF211" s="22">
        <f>IFERROR(VLOOKUP(C211,'спецификация'!B:D,3,0)," ")</f>
        <v>4631144673056</v>
      </c>
      <c r="BG211" s="22">
        <v>2.103909009E9</v>
      </c>
      <c r="BH211" s="22" t="str">
        <f>IFERROR(VLOOKUP(C211,'спецификация'!B:AA,5,0)," ")</f>
        <v>ЕАЭС N RU Д-RU.PA04.B.78364/22 от 02.08.2022 до 10.07.2027</v>
      </c>
      <c r="BI211" s="22"/>
      <c r="BJ211" s="22" t="str">
        <f>IFERROR(VLOOKUP(C211,'спецификация'!B:AA,6,0)," ")</f>
        <v/>
      </c>
      <c r="BK211" s="43"/>
      <c r="BL211" s="43"/>
      <c r="BM211" s="22" t="str">
        <f>IFERROR(VLOOKUP(BF211,'спецификация'!D:H,5,0)," ")</f>
        <v>пантовый гематоген, экстракт гуавы, экстракт плодов брусники, экстракт листьев гинкго билобы, экстракт плодов фенхеля, экстракт корней диоскореи, экстракт листьев крапивы, экстракт корней цикория, экстракт травы медуницы, магний цитрат.</v>
      </c>
      <c r="BN211" s="43"/>
      <c r="BO211" s="22" t="str">
        <f>IFERROR(VLOOKUP(C211,'спецификация'!B:AA,10,0)," ")</f>
        <v/>
      </c>
      <c r="BP211" s="43" t="str">
        <f>IFERROR(VLOOKUP(C211,'спецификация'!B:AA,11,0)," ")</f>
        <v>индивидуальная непереносимость одного или более активных веществ и других компонентов капсул от гипертонии. Не рекомендуется применять в период беременности и лактации, а также в детском возрасте.</v>
      </c>
      <c r="BQ211" s="22" t="str">
        <f>IFERROR(VLOOKUP(C211,'спецификация'!B:AA,12,0)," ")</f>
        <v>хранить в оригинальной закрытой упаковке в защищенном от прямых солнечных лучей и недоступном для детей месте при температуре не выше +25ºС.
</v>
      </c>
      <c r="BR211" s="22">
        <v>10.0</v>
      </c>
      <c r="BS211" s="22" t="s">
        <v>492</v>
      </c>
      <c r="BT211" s="22"/>
      <c r="BU211" s="22"/>
      <c r="BV211" s="22"/>
      <c r="BW211" s="44" t="str">
        <f>IFERROR(VLOOKUP(C211,'спецификация'!B:AA,16,0)," ")</f>
        <v>https://drive.google.com/drive/folders/19nCGaqU6AYPUDCs2x2VOAYSgzlaFwK32</v>
      </c>
      <c r="BX211" s="43"/>
      <c r="BY211" s="43"/>
      <c r="BZ211" s="45" t="str">
        <f>IFERROR(VLOOKUP(BF211,'спецификация'!D:Y,22,0)," ")</f>
        <v/>
      </c>
      <c r="CA211" s="43"/>
      <c r="CB211" s="43"/>
      <c r="CC211" s="43"/>
      <c r="CD211" s="43"/>
      <c r="CE211" s="43"/>
      <c r="CF211" s="43"/>
      <c r="CG211" s="49">
        <f>IFERROR(VLOOKUP(C211,CC!A:D,4,0)," ")</f>
        <v>103.47</v>
      </c>
      <c r="CH211" s="22" t="str">
        <f>IFERROR(VLOOKUP(C211,'спецификация'!B:AA,19,0)," ")</f>
        <v>ООО «Восток Плюс», 107113, г. Москва, Сокольническая пл., дом 4а, этаж 3, пом.IV, комн.11</v>
      </c>
      <c r="CI211" s="22"/>
      <c r="CJ211" s="43"/>
      <c r="CK211" s="22">
        <f>IFERROR(VLOOKUP(C211,CC!K:M,3,0)," ")</f>
        <v>45</v>
      </c>
      <c r="CL211" s="43"/>
      <c r="CM211" s="43"/>
      <c r="CN211" s="43"/>
      <c r="CO211" s="43"/>
      <c r="CP211" s="43"/>
      <c r="CQ211" s="43"/>
      <c r="CR211" s="43"/>
      <c r="CS211" s="43" t="b">
        <v>0</v>
      </c>
      <c r="CT211" s="43" t="b">
        <v>0</v>
      </c>
      <c r="CU211" s="43" t="b">
        <v>0</v>
      </c>
      <c r="CV211" s="43" t="b">
        <v>0</v>
      </c>
      <c r="CW211" s="43"/>
      <c r="CX211" s="43"/>
      <c r="CY211" s="43"/>
      <c r="CZ211" s="43"/>
      <c r="DA211" s="43"/>
      <c r="DB211" s="43"/>
      <c r="DC211" s="43"/>
      <c r="DD211" s="22">
        <f>IFERROR(VLOOKUP($C211,'Лист4'!$D:$AI,27,0)," ")</f>
        <v>10</v>
      </c>
      <c r="DE211" s="22">
        <f>IFERROR(VLOOKUP($C211,'Лист4'!$D:$AI,28,0)," ")</f>
        <v>1</v>
      </c>
      <c r="DF211" s="22">
        <f>IFERROR(VLOOKUP($C211,'Лист4'!$D:$AI,29,0)," ")</f>
        <v>10</v>
      </c>
      <c r="DG211" s="22">
        <f t="shared" si="3"/>
        <v>100</v>
      </c>
      <c r="DH211" s="22">
        <f>IFERROR(VLOOKUP($C211,'Лист4'!$D:$AI,32,0)," ")</f>
        <v>0.015</v>
      </c>
      <c r="DI211" s="22"/>
      <c r="DJ211" s="22"/>
      <c r="DK211" s="22"/>
      <c r="DL211" s="22"/>
      <c r="DM211" s="22"/>
      <c r="DN211" s="22"/>
      <c r="DO211" s="22"/>
      <c r="DP211" s="22"/>
      <c r="DQ211" s="22"/>
      <c r="DR211" s="22"/>
      <c r="DS211" s="22"/>
      <c r="DT211" s="22"/>
      <c r="DU211" s="22"/>
      <c r="DV211" s="22"/>
      <c r="DW211" s="22"/>
      <c r="DX211" s="22"/>
      <c r="DY211" s="22"/>
      <c r="DZ211" s="22"/>
      <c r="EA211" s="22"/>
      <c r="EB211" s="22"/>
      <c r="EC211" s="22"/>
      <c r="ED211" s="22"/>
      <c r="EE211" s="22"/>
      <c r="EF211" s="22"/>
      <c r="EG211" s="22"/>
      <c r="EH211" s="22"/>
      <c r="EI211" s="22"/>
      <c r="EJ211" s="22"/>
      <c r="EK211" s="22"/>
      <c r="EL211" s="22"/>
      <c r="EM211" s="43"/>
      <c r="EN211" s="43"/>
      <c r="EO211" s="43"/>
      <c r="EP211" s="43"/>
      <c r="EQ211" s="43"/>
      <c r="ER211" s="43"/>
      <c r="ES211" s="43"/>
      <c r="ET211" s="43"/>
      <c r="EU211" s="43"/>
      <c r="EV211" s="43"/>
      <c r="EW211" s="43"/>
      <c r="EX211" s="43"/>
      <c r="EY211" s="43"/>
      <c r="EZ211" s="43"/>
      <c r="FA211" s="43"/>
      <c r="FB211" s="43"/>
      <c r="FC211" s="43"/>
    </row>
    <row r="212" ht="18.0" customHeight="1">
      <c r="A212" s="2"/>
      <c r="B212" s="22" t="str">
        <f>IFERROR(VLOOKUP(C212,'Реестр'!C:AC,27,0)," ")</f>
        <v>Смарт-Сэйл</v>
      </c>
      <c r="C212" s="43" t="s">
        <v>3331</v>
      </c>
      <c r="D212" s="22" t="str">
        <f>IFERROR(VLOOKUP(C212,'Лист4'!D:P,13,0)," ")</f>
        <v>CPA</v>
      </c>
      <c r="E212" s="22" t="str">
        <f>IF(OR(ISERROR(VLOOKUP(C212,'Актуальность'!A:B,2,0)), VLOOKUP(C212,'Актуальность'!A:B,2,0)=""), "Актуальный", VLOOKUP(C212,'Актуальность'!A:B,2,0))</f>
        <v>Актуальный</v>
      </c>
      <c r="F212" s="43" t="str">
        <f>IFERROR(VLOOKUP(C212,'Актуальность'!A:C,3,0)," ")</f>
        <v/>
      </c>
      <c r="G212" s="43"/>
      <c r="H212" s="22" t="s">
        <v>2663</v>
      </c>
      <c r="I212" s="22" t="s">
        <v>2860</v>
      </c>
      <c r="J212" s="43"/>
      <c r="K212" s="43"/>
      <c r="L212" s="22" t="b">
        <f t="shared" ref="L212:R212" si="208">T212&lt;&gt;""</f>
        <v>1</v>
      </c>
      <c r="M212" s="22" t="b">
        <f t="shared" si="208"/>
        <v>1</v>
      </c>
      <c r="N212" s="22" t="b">
        <f t="shared" si="208"/>
        <v>1</v>
      </c>
      <c r="O212" s="22" t="b">
        <f t="shared" si="208"/>
        <v>1</v>
      </c>
      <c r="P212" s="22" t="b">
        <f t="shared" si="208"/>
        <v>0</v>
      </c>
      <c r="Q212" s="22" t="b">
        <f t="shared" si="208"/>
        <v>0</v>
      </c>
      <c r="R212" s="22" t="b">
        <f t="shared" si="208"/>
        <v>0</v>
      </c>
      <c r="S212" s="43"/>
      <c r="T212" s="43" t="str">
        <f>IFERROR(VLOOKUP( C212,'1С'!A:B,2,0)," ")</f>
        <v>CC101100416</v>
      </c>
      <c r="U212" s="22" t="str">
        <f>IFERROR(VLOOKUP(T212,'Лист4'!C:I,3,0)," ")</f>
        <v>ekzifol</v>
      </c>
      <c r="V212" s="22" t="str">
        <f>IFERROR(VLOOKUP(T212,'Лист4'!C:I,4,0)," ")</f>
        <v>ekzifol</v>
      </c>
      <c r="W212" s="22" t="str">
        <f>IFERROR(VLOOKUP(T212,'Лист4'!C:I,5,0)," ")</f>
        <v>ekzifol</v>
      </c>
      <c r="X212" s="43" t="str">
        <f>IFERROR(VLOOKUP(T212,'Лист4'!C:I,7,0)," ")</f>
        <v/>
      </c>
      <c r="Y212" s="43" t="str">
        <f>IFERROR(VLOOKUP(T212,'Лист4'!C:I,6,0)," ")</f>
        <v/>
      </c>
      <c r="Z212" s="43"/>
      <c r="AA212" s="43"/>
      <c r="AB212" s="22">
        <v>2.34150851E8</v>
      </c>
      <c r="AC212" s="22">
        <v>1.590039392E9</v>
      </c>
      <c r="AD212" s="22">
        <v>1.03515408311E11</v>
      </c>
      <c r="AE212" s="22"/>
      <c r="AF212" s="22"/>
      <c r="AG212" s="43"/>
      <c r="AH212" s="43"/>
      <c r="AI212" s="43" t="str">
        <f>IFERROR(VLOOKUP(T212,'1С'!B:C,2,0)," ")</f>
        <v>Мазь от грибка ногтей Экзифол, CPA, 30 мл</v>
      </c>
      <c r="AJ212" s="22" t="s">
        <v>3334</v>
      </c>
      <c r="AK212" s="22" t="s">
        <v>3335</v>
      </c>
      <c r="AL212" s="22" t="s">
        <v>3336</v>
      </c>
      <c r="AM212" s="43"/>
      <c r="AN212" s="43"/>
      <c r="AO212" s="43"/>
      <c r="AP212" s="43"/>
      <c r="AQ212" s="46" t="s">
        <v>3337</v>
      </c>
      <c r="AR212" s="46" t="s">
        <v>3338</v>
      </c>
      <c r="AS212" s="46" t="s">
        <v>3339</v>
      </c>
      <c r="AT212" s="43"/>
      <c r="AU212" s="43"/>
      <c r="AV212" s="43"/>
      <c r="AW212" s="43"/>
      <c r="AX212" s="22" t="s">
        <v>594</v>
      </c>
      <c r="AY212" s="22" t="s">
        <v>3335</v>
      </c>
      <c r="AZ212" s="22" t="s">
        <v>2672</v>
      </c>
      <c r="BA212" s="43"/>
      <c r="BB212" s="43"/>
      <c r="BC212" s="43"/>
      <c r="BD212" s="43"/>
      <c r="BE212" s="43"/>
      <c r="BF212" s="22">
        <f>IFERROR(VLOOKUP(C212,'спецификация'!B:D,3,0)," ")</f>
        <v>4690766790237</v>
      </c>
      <c r="BG212" s="22">
        <v>3.30499E9</v>
      </c>
      <c r="BH212" s="22" t="str">
        <f>IFERROR(VLOOKUP(C212,'спецификация'!B:AA,5,0)," ")</f>
        <v>ЕАЭС N RU Д-RU.PA01.B.66386/24 от 02.02.2024 по 31.01.2029</v>
      </c>
      <c r="BI212" s="22"/>
      <c r="BJ212" s="22" t="str">
        <f>IFERROR(VLOOKUP(C212,'спецификация'!B:AA,6,0)," ")</f>
        <v/>
      </c>
      <c r="BK212" s="43"/>
      <c r="BL212" s="43"/>
      <c r="BM212" s="22" t="str">
        <f>IFERROR(VLOOKUP(BF212,'спецификация'!D:H,5,0)," ")</f>
        <v>Вода, жгун-корень моннье, экстракт прополиса, экстракт золотого уса, экстракт коры дуба, экстракт календулы, экстракт вербены, карбомер, экстракт каланхоэ, экстракт почек черного тополя, экстракт имбиря, экстракт чайного дерева, экстракт аира, софора желтоватая, фарнезол, экстракт ромашки, экстракт грецкого ореха, триэтаноламин, масло монарды, консервант.
</v>
      </c>
      <c r="BN212" s="43"/>
      <c r="BO212" s="22" t="str">
        <f>IFERROR(VLOOKUP(C212,'спецификация'!B:AA,10,0)," ")</f>
        <v/>
      </c>
      <c r="BP212" s="43" t="str">
        <f>IFERROR(VLOOKUP(C212,'спецификация'!B:AA,11,0)," ")</f>
        <v>индивидуальная непереносимость одного или нескольких компонентов продукта.
</v>
      </c>
      <c r="BQ212" s="22" t="str">
        <f>IFERROR(VLOOKUP(C212,'спецификация'!B:AA,12,0)," ")</f>
        <v/>
      </c>
      <c r="BR212" s="22">
        <v>30.0</v>
      </c>
      <c r="BS212" s="22" t="s">
        <v>139</v>
      </c>
      <c r="BT212" s="22"/>
      <c r="BU212" s="22"/>
      <c r="BV212" s="22"/>
      <c r="BW212" s="44" t="str">
        <f>IFERROR(VLOOKUP(C212,'спецификация'!B:AA,16,0)," ")</f>
        <v>https://drive.google.com/drive/folders/167NlbT0rHFEGVB3u1X31lA3ZgneGv__-</v>
      </c>
      <c r="BX212" s="43"/>
      <c r="BY212" s="43"/>
      <c r="BZ212" s="45" t="str">
        <f>IFERROR(VLOOKUP(BF212,'спецификация'!D:Y,22,0)," ")</f>
        <v/>
      </c>
      <c r="CA212" s="43"/>
      <c r="CB212" s="43"/>
      <c r="CC212" s="43"/>
      <c r="CD212" s="43"/>
      <c r="CE212" s="43"/>
      <c r="CF212" s="43"/>
      <c r="CG212" s="49">
        <f>IFERROR(VLOOKUP(C212,CC!A:D,4,0)," ")</f>
        <v>120.41</v>
      </c>
      <c r="CH212" s="22" t="str">
        <f>IFERROR(VLOOKUP(C212,'спецификация'!B:AA,19,0)," ")</f>
        <v>ООО «Восток Плюс», 107113, г. Москва, Сокольническая пл., дом 4а, этаж 3.</v>
      </c>
      <c r="CI212" s="22"/>
      <c r="CJ212" s="43"/>
      <c r="CK212" s="22">
        <f>IFERROR(VLOOKUP(C212,CC!K:M,3,0)," ")</f>
        <v>45</v>
      </c>
      <c r="CL212" s="43"/>
      <c r="CM212" s="43"/>
      <c r="CN212" s="43"/>
      <c r="CO212" s="43"/>
      <c r="CP212" s="43"/>
      <c r="CQ212" s="43"/>
      <c r="CR212" s="43"/>
      <c r="CS212" s="43" t="b">
        <v>0</v>
      </c>
      <c r="CT212" s="43" t="b">
        <v>0</v>
      </c>
      <c r="CU212" s="43" t="b">
        <v>0</v>
      </c>
      <c r="CV212" s="43" t="b">
        <v>0</v>
      </c>
      <c r="CW212" s="43"/>
      <c r="CX212" s="43"/>
      <c r="CY212" s="43"/>
      <c r="CZ212" s="43"/>
      <c r="DA212" s="43"/>
      <c r="DB212" s="43"/>
      <c r="DC212" s="43"/>
      <c r="DD212" s="22">
        <f>IFERROR(VLOOKUP($C212,'Лист4'!$D:$AI,27,0)," ")</f>
        <v>4</v>
      </c>
      <c r="DE212" s="22">
        <f>IFERROR(VLOOKUP($C212,'Лист4'!$D:$AI,28,0)," ")</f>
        <v>4</v>
      </c>
      <c r="DF212" s="22">
        <f>IFERROR(VLOOKUP($C212,'Лист4'!$D:$AI,29,0)," ")</f>
        <v>4</v>
      </c>
      <c r="DG212" s="22">
        <f t="shared" si="3"/>
        <v>64</v>
      </c>
      <c r="DH212" s="22">
        <f>IFERROR(VLOOKUP($C212,'Лист4'!$D:$AI,32,0)," ")</f>
        <v>0.052</v>
      </c>
      <c r="DI212" s="22"/>
      <c r="DJ212" s="22"/>
      <c r="DK212" s="22"/>
      <c r="DL212" s="22"/>
      <c r="DM212" s="22"/>
      <c r="DN212" s="22"/>
      <c r="DO212" s="22"/>
      <c r="DP212" s="22"/>
      <c r="DQ212" s="22"/>
      <c r="DR212" s="22"/>
      <c r="DS212" s="22"/>
      <c r="DT212" s="22"/>
      <c r="DU212" s="22"/>
      <c r="DV212" s="22"/>
      <c r="DW212" s="22"/>
      <c r="DX212" s="22"/>
      <c r="DY212" s="22"/>
      <c r="DZ212" s="22"/>
      <c r="EA212" s="22"/>
      <c r="EB212" s="22"/>
      <c r="EC212" s="22"/>
      <c r="ED212" s="22"/>
      <c r="EE212" s="22"/>
      <c r="EF212" s="22"/>
      <c r="EG212" s="22"/>
      <c r="EH212" s="22"/>
      <c r="EI212" s="22"/>
      <c r="EJ212" s="22"/>
      <c r="EK212" s="22"/>
      <c r="EL212" s="22"/>
      <c r="EM212" s="43"/>
      <c r="EN212" s="43"/>
      <c r="EO212" s="43"/>
      <c r="EP212" s="43"/>
      <c r="EQ212" s="43"/>
      <c r="ER212" s="43"/>
      <c r="ES212" s="43"/>
      <c r="ET212" s="43"/>
      <c r="EU212" s="43"/>
      <c r="EV212" s="43"/>
      <c r="EW212" s="43"/>
      <c r="EX212" s="43"/>
      <c r="EY212" s="43"/>
      <c r="EZ212" s="43"/>
      <c r="FA212" s="43"/>
      <c r="FB212" s="43"/>
      <c r="FC212" s="43"/>
    </row>
    <row r="213" ht="18.0" customHeight="1">
      <c r="A213" s="2"/>
      <c r="B213" s="22" t="str">
        <f>IFERROR(VLOOKUP(C213,'Реестр'!C:AC,27,0)," ")</f>
        <v>Смарт-Сэйл</v>
      </c>
      <c r="C213" s="43" t="s">
        <v>3347</v>
      </c>
      <c r="D213" s="22" t="str">
        <f>IFERROR(VLOOKUP(C213,'Лист4'!D:P,13,0)," ")</f>
        <v>Алтея</v>
      </c>
      <c r="E213" s="22" t="str">
        <f>IF(OR(ISERROR(VLOOKUP(C213,'Актуальность'!A:B,2,0)), VLOOKUP(C213,'Актуальность'!A:B,2,0)=""), "Актуальный", VLOOKUP(C213,'Актуальность'!A:B,2,0))</f>
        <v>Актуальный</v>
      </c>
      <c r="F213" s="43" t="str">
        <f>IFERROR(VLOOKUP(C213,'Актуальность'!A:C,3,0)," ")</f>
        <v/>
      </c>
      <c r="G213" s="43"/>
      <c r="H213" s="22" t="s">
        <v>2743</v>
      </c>
      <c r="I213" s="22" t="s">
        <v>1821</v>
      </c>
      <c r="J213" s="43"/>
      <c r="K213" s="43"/>
      <c r="L213" s="22" t="b">
        <f t="shared" ref="L213:R213" si="209">T213&lt;&gt;""</f>
        <v>1</v>
      </c>
      <c r="M213" s="22" t="b">
        <f t="shared" si="209"/>
        <v>1</v>
      </c>
      <c r="N213" s="22" t="b">
        <f t="shared" si="209"/>
        <v>1</v>
      </c>
      <c r="O213" s="22" t="b">
        <f t="shared" si="209"/>
        <v>1</v>
      </c>
      <c r="P213" s="22" t="b">
        <f t="shared" si="209"/>
        <v>1</v>
      </c>
      <c r="Q213" s="22" t="b">
        <f t="shared" si="209"/>
        <v>1</v>
      </c>
      <c r="R213" s="22" t="b">
        <f t="shared" si="209"/>
        <v>0</v>
      </c>
      <c r="S213" s="43"/>
      <c r="T213" s="43" t="str">
        <f>IFERROR(VLOOKUP( C213,'1С'!A:B,2,0)," ")</f>
        <v>AC101100451</v>
      </c>
      <c r="U213" s="22" t="str">
        <f>IFERROR(VLOOKUP(T213,'Лист4'!C:I,3,0)," ")</f>
        <v>krem_ot_rastyazhek</v>
      </c>
      <c r="V213" s="22" t="str">
        <f>IFERROR(VLOOKUP(T213,'Лист4'!C:I,4,0)," ")</f>
        <v>krem_ot_rastyazhek</v>
      </c>
      <c r="W213" s="22" t="str">
        <f>IFERROR(VLOOKUP(T213,'Лист4'!C:I,5,0)," ")</f>
        <v>krem_ot_rastyazhek</v>
      </c>
      <c r="X213" s="43" t="str">
        <f>IFERROR(VLOOKUP(T213,'Лист4'!C:I,7,0)," ")</f>
        <v>krem_ot_rastyazhek</v>
      </c>
      <c r="Y213" s="43" t="str">
        <f>IFERROR(VLOOKUP(T213,'Лист4'!C:I,6,0)," ")</f>
        <v>krem_ot_rastyazhek</v>
      </c>
      <c r="Z213" s="43"/>
      <c r="AA213" s="43"/>
      <c r="AB213" s="22">
        <v>2.60388016E8</v>
      </c>
      <c r="AC213" s="22">
        <v>1.691475362E9</v>
      </c>
      <c r="AD213" s="22">
        <v>1.03515391497E11</v>
      </c>
      <c r="AE213" s="22">
        <v>9.9000114731E10</v>
      </c>
      <c r="AF213" s="22" t="s">
        <v>3350</v>
      </c>
      <c r="AG213" s="43"/>
      <c r="AH213" s="43"/>
      <c r="AI213" s="43" t="str">
        <f>IFERROR(VLOOKUP(T213,'1С'!B:C,2,0)," ")</f>
        <v>Крем от растяжек, Алтея, 200 мл</v>
      </c>
      <c r="AJ213" s="22" t="s">
        <v>3351</v>
      </c>
      <c r="AK213" s="22" t="s">
        <v>3352</v>
      </c>
      <c r="AL213" s="22" t="s">
        <v>3353</v>
      </c>
      <c r="AM213" s="22" t="s">
        <v>3354</v>
      </c>
      <c r="AN213" s="22" t="s">
        <v>3355</v>
      </c>
      <c r="AO213" s="43"/>
      <c r="AP213" s="43"/>
      <c r="AQ213" s="46" t="s">
        <v>3356</v>
      </c>
      <c r="AR213" s="46" t="s">
        <v>3357</v>
      </c>
      <c r="AS213" s="46" t="s">
        <v>3358</v>
      </c>
      <c r="AT213" s="46" t="s">
        <v>3359</v>
      </c>
      <c r="AU213" s="46" t="s">
        <v>3360</v>
      </c>
      <c r="AV213" s="43"/>
      <c r="AW213" s="43"/>
      <c r="AX213" s="22" t="s">
        <v>594</v>
      </c>
      <c r="AY213" s="22" t="s">
        <v>3352</v>
      </c>
      <c r="AZ213" s="22" t="s">
        <v>3361</v>
      </c>
      <c r="BA213" s="22" t="s">
        <v>1834</v>
      </c>
      <c r="BB213" s="22" t="s">
        <v>3083</v>
      </c>
      <c r="BC213" s="43"/>
      <c r="BD213" s="43"/>
      <c r="BE213" s="43"/>
      <c r="BF213" s="22" t="str">
        <f>IFERROR(VLOOKUP(C213,'спецификация'!B:D,3,0)," ")</f>
        <v>4670020497898/4660417421650</v>
      </c>
      <c r="BG213" s="22">
        <v>3.30499E9</v>
      </c>
      <c r="BH213" s="22" t="str">
        <f>IFERROR(VLOOKUP(C213,'спецификация'!B:AA,5,0)," ")</f>
        <v>ЕАЭС N RU Д-RU.PA07.B.04070/24 от 20.08.2024 до 20.08.2031</v>
      </c>
      <c r="BI213" s="22"/>
      <c r="BJ213" s="22" t="str">
        <f>IFERROR(VLOOKUP(C213,'спецификация'!B:AA,6,0)," ")</f>
        <v>нет</v>
      </c>
      <c r="BK213" s="43"/>
      <c r="BL213" s="43"/>
      <c r="BM213" s="22" t="str">
        <f>IFERROR(VLOOKUP(BF213,'спецификация'!D:H,5,0)," ")</f>
        <v>Aqua, Glycerin, Prunus Amygdalus Dulcis (Sweet Almond) Oil, Petrolatum, 
Theobroma Cacao (Cocoa) Seed Butter, Cocos Nucifera Oil, Dodecane, Dimethicone,  Glyceryl Monostearate, Butyrospermum Parkii Oil, Cetylstearyl Alcohol, Ceteareth-23, Ceteareth-6, Stearic Acid, Squalane, Linum Usitatissimum (Linseed) Seed Oil, Isopropyl Myristate, Tocopheryl Acetate, Retinyl Palmitate,  Simmondsia Chinensis (Jojoba) Seed Oil, Prunus Persica (Peach) Kernel Oil, Sodium Hyaluronate,Ceteareth-20, Hydrolyzed Collagen, Hydrolyzed Elastin,  Phenoxyethanol, Ethylhexylglycerin, Sodium Polyacrylate, Parfum, ВНТ, Coumarin, Linalool. 
</v>
      </c>
      <c r="BN213" s="43"/>
      <c r="BO213" s="22" t="str">
        <f>IFERROR(VLOOKUP(C213,'спецификация'!B:AA,10,0)," ")</f>
        <v>нанесите крем на кожу живота, бедер, ягодиц и груди массажными движениями. Для лучшего эффекта используйте крем утром и вечером.</v>
      </c>
      <c r="BP213" s="43" t="str">
        <f>IFERROR(VLOOKUP(C213,'спецификация'!B:AA,11,0)," ")</f>
        <v>Меры предосторожности: возможна индивидуальная непереносимость отдельных компонентов состава.</v>
      </c>
      <c r="BQ213" s="22" t="str">
        <f>IFERROR(VLOOKUP(C213,'спецификация'!B:AA,12,0)," ")</f>
        <v>хранить при температуре не ниже 0°С и не выше 25°С</v>
      </c>
      <c r="BR213" s="22">
        <v>200.0</v>
      </c>
      <c r="BS213" s="22" t="s">
        <v>139</v>
      </c>
      <c r="BT213" s="22"/>
      <c r="BU213" s="22"/>
      <c r="BV213" s="22" t="s">
        <v>307</v>
      </c>
      <c r="BW213" s="44" t="str">
        <f>IFERROR(VLOOKUP(C213,'спецификация'!B:AA,16,0)," ")</f>
        <v>https://docs.google.com/document/d/1O5PaTGwoyDP1k5pawQDgu7MByJ4AlTcn/edit?usp=drive_web&amp;ouid=104241417680089502627&amp;rtpof=true</v>
      </c>
      <c r="BX213" s="43"/>
      <c r="BY213" s="43"/>
      <c r="BZ213" s="45" t="str">
        <f>IFERROR(VLOOKUP(BF213,'спецификация'!D:Y,22,0)," ")</f>
        <v/>
      </c>
      <c r="CA213" s="43"/>
      <c r="CB213" s="43"/>
      <c r="CC213" s="43"/>
      <c r="CD213" s="43"/>
      <c r="CE213" s="43"/>
      <c r="CF213" s="43"/>
      <c r="CG213" s="49">
        <f>IFERROR(VLOOKUP(C213,CC!A:D,4,0)," ")</f>
        <v>130</v>
      </c>
      <c r="CH213" s="22" t="str">
        <f>IFERROR(VLOOKUP(C213,'спецификация'!B:AA,19,0)," ")</f>
        <v>ООО Алтэя/Восток</v>
      </c>
      <c r="CI213" s="22"/>
      <c r="CJ213" s="22" t="s">
        <v>2835</v>
      </c>
      <c r="CK213" s="22">
        <f>IFERROR(VLOOKUP(C213,CC!K:M,3,0)," ")</f>
        <v>90</v>
      </c>
      <c r="CL213" s="43"/>
      <c r="CM213" s="43"/>
      <c r="CN213" s="43"/>
      <c r="CO213" s="43"/>
      <c r="CP213" s="43"/>
      <c r="CQ213" s="43"/>
      <c r="CR213" s="43"/>
      <c r="CS213" s="43" t="b">
        <v>0</v>
      </c>
      <c r="CT213" s="43" t="b">
        <v>0</v>
      </c>
      <c r="CU213" s="43" t="b">
        <v>0</v>
      </c>
      <c r="CV213" s="43" t="b">
        <v>0</v>
      </c>
      <c r="CW213" s="43"/>
      <c r="CX213" s="43"/>
      <c r="CY213" s="43"/>
      <c r="CZ213" s="43"/>
      <c r="DA213" s="43"/>
      <c r="DB213" s="43"/>
      <c r="DC213" s="43"/>
      <c r="DD213" s="22">
        <f>IFERROR(VLOOKUP($C213,'Лист4'!$D:$AI,27,0)," ")</f>
        <v>4</v>
      </c>
      <c r="DE213" s="22">
        <f>IFERROR(VLOOKUP($C213,'Лист4'!$D:$AI,28,0)," ")</f>
        <v>19</v>
      </c>
      <c r="DF213" s="22">
        <f>IFERROR(VLOOKUP($C213,'Лист4'!$D:$AI,29,0)," ")</f>
        <v>4</v>
      </c>
      <c r="DG213" s="22">
        <f t="shared" si="3"/>
        <v>304</v>
      </c>
      <c r="DH213" s="22">
        <f>IFERROR(VLOOKUP($C213,'Лист4'!$D:$AI,32,0)," ")</f>
        <v>0.226</v>
      </c>
      <c r="DI213" s="22"/>
      <c r="DJ213" s="22"/>
      <c r="DK213" s="22"/>
      <c r="DL213" s="22"/>
      <c r="DM213" s="22"/>
      <c r="DN213" s="22"/>
      <c r="DO213" s="22"/>
      <c r="DP213" s="22"/>
      <c r="DQ213" s="22"/>
      <c r="DR213" s="22"/>
      <c r="DS213" s="22"/>
      <c r="DT213" s="22"/>
      <c r="DU213" s="22"/>
      <c r="DV213" s="22"/>
      <c r="DW213" s="22"/>
      <c r="DX213" s="22"/>
      <c r="DY213" s="22"/>
      <c r="DZ213" s="22"/>
      <c r="EA213" s="22"/>
      <c r="EB213" s="22"/>
      <c r="EC213" s="22"/>
      <c r="ED213" s="22"/>
      <c r="EE213" s="22"/>
      <c r="EF213" s="22"/>
      <c r="EG213" s="22"/>
      <c r="EH213" s="22"/>
      <c r="EI213" s="22"/>
      <c r="EJ213" s="22"/>
      <c r="EK213" s="22"/>
      <c r="EL213" s="22"/>
      <c r="EM213" s="43"/>
      <c r="EN213" s="43"/>
      <c r="EO213" s="43"/>
      <c r="EP213" s="43"/>
      <c r="EQ213" s="43"/>
      <c r="ER213" s="43"/>
      <c r="ES213" s="43"/>
      <c r="ET213" s="43"/>
      <c r="EU213" s="43"/>
      <c r="EV213" s="43"/>
      <c r="EW213" s="43"/>
      <c r="EX213" s="43"/>
      <c r="EY213" s="43"/>
      <c r="EZ213" s="43"/>
      <c r="FA213" s="43"/>
      <c r="FB213" s="43"/>
      <c r="FC213" s="43"/>
    </row>
    <row r="214" ht="18.0" customHeight="1">
      <c r="A214" s="2"/>
      <c r="B214" s="22" t="str">
        <f>IFERROR(VLOOKUP(C214,'Реестр'!C:AC,27,0)," ")</f>
        <v>Смарт-Сэйл</v>
      </c>
      <c r="C214" s="43" t="s">
        <v>3369</v>
      </c>
      <c r="D214" s="22" t="str">
        <f>IFERROR(VLOOKUP(C214,'Лист4'!D:P,13,0)," ")</f>
        <v>Алтея</v>
      </c>
      <c r="E214" s="22" t="str">
        <f>IF(OR(ISERROR(VLOOKUP(C214,'Актуальность'!A:B,2,0)), VLOOKUP(C214,'Актуальность'!A:B,2,0)=""), "Актуальный", VLOOKUP(C214,'Актуальность'!A:B,2,0))</f>
        <v>Актуальный</v>
      </c>
      <c r="F214" s="43" t="str">
        <f>IFERROR(VLOOKUP(C214,'Актуальность'!A:C,3,0)," ")</f>
        <v/>
      </c>
      <c r="G214" s="43"/>
      <c r="H214" s="22" t="s">
        <v>2743</v>
      </c>
      <c r="I214" s="22" t="s">
        <v>287</v>
      </c>
      <c r="J214" s="43"/>
      <c r="K214" s="43"/>
      <c r="L214" s="22" t="b">
        <f t="shared" ref="L214:R214" si="210">T214&lt;&gt;""</f>
        <v>1</v>
      </c>
      <c r="M214" s="22" t="b">
        <f t="shared" si="210"/>
        <v>1</v>
      </c>
      <c r="N214" s="22" t="b">
        <f t="shared" si="210"/>
        <v>1</v>
      </c>
      <c r="O214" s="22" t="b">
        <f t="shared" si="210"/>
        <v>1</v>
      </c>
      <c r="P214" s="22" t="b">
        <f t="shared" si="210"/>
        <v>1</v>
      </c>
      <c r="Q214" s="22" t="b">
        <f t="shared" si="210"/>
        <v>1</v>
      </c>
      <c r="R214" s="22" t="b">
        <f t="shared" si="210"/>
        <v>0</v>
      </c>
      <c r="S214" s="43"/>
      <c r="T214" s="43" t="str">
        <f>IFERROR(VLOOKUP( C214,'1С'!A:B,2,0)," ")</f>
        <v>AC101100413</v>
      </c>
      <c r="U214" s="22" t="str">
        <f>IFERROR(VLOOKUP(T214,'Лист4'!C:I,3,0)," ")</f>
        <v>maska-batter_dlya_rosta_500ml</v>
      </c>
      <c r="V214" s="22" t="str">
        <f>IFERROR(VLOOKUP(T214,'Лист4'!C:I,4,0)," ")</f>
        <v>maska-batter_dlya_rosta_500ml</v>
      </c>
      <c r="W214" s="22" t="str">
        <f>IFERROR(VLOOKUP(T214,'Лист4'!C:I,5,0)," ")</f>
        <v>maska-batter_dlya_rosta_500ml</v>
      </c>
      <c r="X214" s="43" t="str">
        <f>IFERROR(VLOOKUP(T214,'Лист4'!C:I,7,0)," ")</f>
        <v>maska-batter_dlya_rosta_500ml</v>
      </c>
      <c r="Y214" s="43" t="str">
        <f>IFERROR(VLOOKUP(T214,'Лист4'!C:I,6,0)," ")</f>
        <v>maska-batter_dlya_rosta_500ml</v>
      </c>
      <c r="Z214" s="43"/>
      <c r="AA214" s="43"/>
      <c r="AB214" s="22">
        <v>3.44464243E8</v>
      </c>
      <c r="AC214" s="22">
        <v>1.917245431E9</v>
      </c>
      <c r="AD214" s="22">
        <v>4.498427241E9</v>
      </c>
      <c r="AE214" s="22">
        <v>9.9000076208E10</v>
      </c>
      <c r="AF214" s="22" t="s">
        <v>3372</v>
      </c>
      <c r="AG214" s="43"/>
      <c r="AH214" s="43"/>
      <c r="AI214" s="43" t="str">
        <f>IFERROR(VLOOKUP(T214,'1С'!B:C,2,0)," ")</f>
        <v>Маска-Баттер для роста волос, Алтея, 500 мл</v>
      </c>
      <c r="AJ214" s="22" t="s">
        <v>3373</v>
      </c>
      <c r="AK214" s="22" t="s">
        <v>3374</v>
      </c>
      <c r="AL214" s="22" t="s">
        <v>3375</v>
      </c>
      <c r="AM214" s="22" t="s">
        <v>3376</v>
      </c>
      <c r="AN214" s="22" t="s">
        <v>3377</v>
      </c>
      <c r="AO214" s="43"/>
      <c r="AP214" s="43"/>
      <c r="AQ214" s="46" t="s">
        <v>3378</v>
      </c>
      <c r="AR214" s="46" t="s">
        <v>3379</v>
      </c>
      <c r="AS214" s="46" t="s">
        <v>3380</v>
      </c>
      <c r="AT214" s="43"/>
      <c r="AU214" s="46" t="s">
        <v>3381</v>
      </c>
      <c r="AV214" s="43"/>
      <c r="AW214" s="43"/>
      <c r="AX214" s="22" t="s">
        <v>3035</v>
      </c>
      <c r="AY214" s="22" t="s">
        <v>3374</v>
      </c>
      <c r="AZ214" s="22" t="s">
        <v>326</v>
      </c>
      <c r="BA214" s="22" t="s">
        <v>300</v>
      </c>
      <c r="BB214" s="22" t="s">
        <v>3382</v>
      </c>
      <c r="BC214" s="43"/>
      <c r="BD214" s="43"/>
      <c r="BE214" s="43"/>
      <c r="BF214" s="22">
        <f>IFERROR(VLOOKUP(C214,'спецификация'!B:D,3,0)," ")</f>
        <v>4603320465366</v>
      </c>
      <c r="BG214" s="22">
        <v>3.305900009E9</v>
      </c>
      <c r="BH214" s="22" t="str">
        <f>IFERROR(VLOOKUP(C214,'спецификация'!B:AA,5,0)," ")</f>
        <v/>
      </c>
      <c r="BI214" s="22"/>
      <c r="BJ214" s="22" t="str">
        <f>IFERROR(VLOOKUP(C214,'спецификация'!B:AA,6,0)," ")</f>
        <v/>
      </c>
      <c r="BK214" s="43"/>
      <c r="BL214" s="43"/>
      <c r="BM214" s="22" t="str">
        <f>IFERROR(VLOOKUP(BF214,'спецификация'!D:H,5,0)," ")</f>
        <v>aqua, cetearyl alcohol, glycerin, Coconut Oil refined, dipalmitoethyl hydroxyethylmonium methosulfate, behentrimonium chloride, Burdock (Arctium Lappa) Root Infused Oil, hydroxyethylcellulose, Rosemary African Oil, Capsicum, Ficus carica
</v>
      </c>
      <c r="BN214" s="43"/>
      <c r="BO214" s="22" t="str">
        <f>IFERROR(VLOOKUP(C214,'спецификация'!B:AA,10,0)," ")</f>
        <v>перед мытьем волос нанести маску на сухие или влажные волосы и кожу головы, разделяя волосы на проборы. Провести легкий массаж. Оставить на 15-20 минут. Смыть водой и промыть голову шампунем</v>
      </c>
      <c r="BP214" s="43" t="str">
        <f>IFERROR(VLOOKUP(C214,'спецификация'!B:AA,11,0)," ")</f>
        <v>Меры предосторожности: не наносите на поврежденную кожу и избегайте попадания в глаза. При попадании в глаза тщательно промойте водой</v>
      </c>
      <c r="BQ214" s="22" t="str">
        <f>IFERROR(VLOOKUP(C214,'спецификация'!B:AA,12,0)," ")</f>
        <v>от +5 до +25°С, в отсутствие прямых солнечных лучей.</v>
      </c>
      <c r="BR214" s="22">
        <v>500.0</v>
      </c>
      <c r="BS214" s="22" t="s">
        <v>139</v>
      </c>
      <c r="BT214" s="22"/>
      <c r="BU214" s="22"/>
      <c r="BV214" s="22" t="s">
        <v>727</v>
      </c>
      <c r="BW214" s="44" t="str">
        <f>IFERROR(VLOOKUP(C214,'спецификация'!B:AA,16,0)," ")</f>
        <v>https://docs.google.com/document/d/18g9fhYJVdG51E_bDog7_l2Aikk4-19_E/edit?usp=drive_web&amp;ouid=104241417680089502627&amp;rtpof=true</v>
      </c>
      <c r="BX214" s="43"/>
      <c r="BY214" s="43"/>
      <c r="BZ214" s="45" t="str">
        <f>IFERROR(VLOOKUP(BF214,'спецификация'!D:Y,22,0)," ")</f>
        <v/>
      </c>
      <c r="CA214" s="43"/>
      <c r="CB214" s="43"/>
      <c r="CC214" s="43"/>
      <c r="CD214" s="43"/>
      <c r="CE214" s="43"/>
      <c r="CF214" s="43"/>
      <c r="CG214" s="49">
        <f>IFERROR(VLOOKUP(C214,CC!A:D,4,0)," ")</f>
        <v>136.15</v>
      </c>
      <c r="CH214" s="22" t="str">
        <f>IFERROR(VLOOKUP(C214,'спецификация'!B:AA,19,0)," ")</f>
        <v/>
      </c>
      <c r="CI214" s="22"/>
      <c r="CJ214" s="22" t="s">
        <v>2944</v>
      </c>
      <c r="CK214" s="22">
        <f>IFERROR(VLOOKUP(C214,CC!K:M,3,0)," ")</f>
        <v>60</v>
      </c>
      <c r="CL214" s="43"/>
      <c r="CM214" s="43"/>
      <c r="CN214" s="43"/>
      <c r="CO214" s="43"/>
      <c r="CP214" s="43"/>
      <c r="CQ214" s="43"/>
      <c r="CR214" s="43"/>
      <c r="CS214" s="43" t="b">
        <v>0</v>
      </c>
      <c r="CT214" s="43" t="b">
        <v>0</v>
      </c>
      <c r="CU214" s="43" t="b">
        <v>0</v>
      </c>
      <c r="CV214" s="43" t="b">
        <v>0</v>
      </c>
      <c r="CW214" s="43"/>
      <c r="CX214" s="43"/>
      <c r="CY214" s="43"/>
      <c r="CZ214" s="43"/>
      <c r="DA214" s="43"/>
      <c r="DB214" s="43"/>
      <c r="DC214" s="43"/>
      <c r="DD214" s="22">
        <f>IFERROR(VLOOKUP($C214,'Лист4'!$D:$AI,27,0)," ")</f>
        <v>9</v>
      </c>
      <c r="DE214" s="22">
        <f>IFERROR(VLOOKUP($C214,'Лист4'!$D:$AI,28,0)," ")</f>
        <v>9</v>
      </c>
      <c r="DF214" s="22">
        <f>IFERROR(VLOOKUP($C214,'Лист4'!$D:$AI,29,0)," ")</f>
        <v>9</v>
      </c>
      <c r="DG214" s="22">
        <f t="shared" si="3"/>
        <v>729</v>
      </c>
      <c r="DH214" s="22">
        <f>IFERROR(VLOOKUP($C214,'Лист4'!$D:$AI,32,0)," ")</f>
        <v>0.52</v>
      </c>
      <c r="DI214" s="22"/>
      <c r="DJ214" s="22"/>
      <c r="DK214" s="22"/>
      <c r="DL214" s="22"/>
      <c r="DM214" s="22"/>
      <c r="DN214" s="22"/>
      <c r="DO214" s="22"/>
      <c r="DP214" s="22"/>
      <c r="DQ214" s="22"/>
      <c r="DR214" s="22"/>
      <c r="DS214" s="22"/>
      <c r="DT214" s="22"/>
      <c r="DU214" s="22"/>
      <c r="DV214" s="22"/>
      <c r="DW214" s="22"/>
      <c r="DX214" s="22"/>
      <c r="DY214" s="22"/>
      <c r="DZ214" s="22"/>
      <c r="EA214" s="22"/>
      <c r="EB214" s="22"/>
      <c r="EC214" s="22"/>
      <c r="ED214" s="22"/>
      <c r="EE214" s="22"/>
      <c r="EF214" s="22"/>
      <c r="EG214" s="22"/>
      <c r="EH214" s="22"/>
      <c r="EI214" s="22"/>
      <c r="EJ214" s="22"/>
      <c r="EK214" s="22"/>
      <c r="EL214" s="22"/>
      <c r="EM214" s="43"/>
      <c r="EN214" s="43"/>
      <c r="EO214" s="43"/>
      <c r="EP214" s="43"/>
      <c r="EQ214" s="43"/>
      <c r="ER214" s="43"/>
      <c r="ES214" s="43"/>
      <c r="ET214" s="43"/>
      <c r="EU214" s="43"/>
      <c r="EV214" s="43"/>
      <c r="EW214" s="43"/>
      <c r="EX214" s="43"/>
      <c r="EY214" s="43"/>
      <c r="EZ214" s="43"/>
      <c r="FA214" s="43"/>
      <c r="FB214" s="43"/>
      <c r="FC214" s="43"/>
    </row>
    <row r="215" ht="18.0" customHeight="1">
      <c r="A215" s="2"/>
      <c r="B215" s="22" t="str">
        <f>IFERROR(VLOOKUP(C215,'Реестр'!C:AC,27,0)," ")</f>
        <v>Смарт-Сэйл</v>
      </c>
      <c r="C215" s="43" t="s">
        <v>3389</v>
      </c>
      <c r="D215" s="22" t="str">
        <f>IFERROR(VLOOKUP(C215,'Лист4'!D:P,13,0)," ")</f>
        <v>CPA</v>
      </c>
      <c r="E215" s="22" t="str">
        <f>IF(OR(ISERROR(VLOOKUP(C215,'Актуальность'!A:B,2,0)), VLOOKUP(C215,'Актуальность'!A:B,2,0)=""), "Актуальный", VLOOKUP(C215,'Актуальность'!A:B,2,0))</f>
        <v>Актуальный</v>
      </c>
      <c r="F215" s="43" t="str">
        <f>IFERROR(VLOOKUP(C215,'Актуальность'!A:C,3,0)," ")</f>
        <v/>
      </c>
      <c r="G215" s="43"/>
      <c r="H215" s="22" t="s">
        <v>2663</v>
      </c>
      <c r="I215" s="22" t="s">
        <v>2876</v>
      </c>
      <c r="J215" s="43"/>
      <c r="K215" s="43"/>
      <c r="L215" s="22" t="b">
        <f t="shared" ref="L215:R215" si="211">T215&lt;&gt;""</f>
        <v>1</v>
      </c>
      <c r="M215" s="22" t="b">
        <f t="shared" si="211"/>
        <v>1</v>
      </c>
      <c r="N215" s="22" t="b">
        <f t="shared" si="211"/>
        <v>1</v>
      </c>
      <c r="O215" s="22" t="b">
        <f t="shared" si="211"/>
        <v>1</v>
      </c>
      <c r="P215" s="22" t="b">
        <f t="shared" si="211"/>
        <v>0</v>
      </c>
      <c r="Q215" s="22" t="b">
        <f t="shared" si="211"/>
        <v>0</v>
      </c>
      <c r="R215" s="22" t="b">
        <f t="shared" si="211"/>
        <v>0</v>
      </c>
      <c r="S215" s="43"/>
      <c r="T215" s="43" t="str">
        <f>IFERROR(VLOOKUP( C215,'1С'!A:B,2,0)," ")</f>
        <v>CO101100429</v>
      </c>
      <c r="U215" s="43" t="s">
        <v>3389</v>
      </c>
      <c r="V215" s="43" t="s">
        <v>3389</v>
      </c>
      <c r="W215" s="43" t="s">
        <v>3389</v>
      </c>
      <c r="X215" s="43" t="str">
        <f>IFERROR(VLOOKUP(T215,'Лист4'!C:I,7,0)," ")</f>
        <v/>
      </c>
      <c r="Y215" s="43" t="str">
        <f>IFERROR(VLOOKUP(T215,'Лист4'!C:I,6,0)," ")</f>
        <v/>
      </c>
      <c r="Z215" s="43"/>
      <c r="AA215" s="43"/>
      <c r="AB215" s="22">
        <v>3.31501221E8</v>
      </c>
      <c r="AC215" s="22">
        <v>1.129300642E9</v>
      </c>
      <c r="AD215" s="22">
        <v>1.03816805317E11</v>
      </c>
      <c r="AE215" s="22"/>
      <c r="AF215" s="22"/>
      <c r="AG215" s="43"/>
      <c r="AH215" s="43"/>
      <c r="AI215" s="43" t="str">
        <f>IFERROR(VLOOKUP(T215,'1С'!B:C,2,0)," ")</f>
        <v>Пищевая добавка Ягодный спас, CPA, 10 шипучих таблеток</v>
      </c>
      <c r="AJ215" s="22" t="s">
        <v>2878</v>
      </c>
      <c r="AK215" s="22" t="s">
        <v>3391</v>
      </c>
      <c r="AL215" s="22" t="s">
        <v>3391</v>
      </c>
      <c r="AM215" s="43"/>
      <c r="AN215" s="43"/>
      <c r="AO215" s="43"/>
      <c r="AP215" s="43"/>
      <c r="AQ215" s="46" t="s">
        <v>3392</v>
      </c>
      <c r="AR215" s="46" t="s">
        <v>3393</v>
      </c>
      <c r="AS215" s="46" t="s">
        <v>3394</v>
      </c>
      <c r="AT215" s="43"/>
      <c r="AU215" s="43"/>
      <c r="AV215" s="43"/>
      <c r="AW215" s="43"/>
      <c r="AX215" s="22" t="s">
        <v>649</v>
      </c>
      <c r="AY215" s="22" t="s">
        <v>3391</v>
      </c>
      <c r="AZ215" s="22" t="s">
        <v>3139</v>
      </c>
      <c r="BA215" s="43"/>
      <c r="BB215" s="43"/>
      <c r="BC215" s="43"/>
      <c r="BD215" s="43"/>
      <c r="BE215" s="43"/>
      <c r="BF215" s="22">
        <f>IFERROR(VLOOKUP(C215,'спецификация'!B:D,3,0)," ")</f>
        <v>2042827589663</v>
      </c>
      <c r="BG215" s="22"/>
      <c r="BH215" s="22" t="str">
        <f>IFERROR(VLOOKUP(C215,'спецификация'!B:AA,5,0)," ")</f>
        <v/>
      </c>
      <c r="BI215" s="22"/>
      <c r="BJ215" s="22" t="str">
        <f>IFERROR(VLOOKUP(C215,'спецификация'!B:AA,6,0)," ")</f>
        <v/>
      </c>
      <c r="BK215" s="43"/>
      <c r="BL215" s="43"/>
      <c r="BM215" s="22" t="str">
        <f>IFERROR(VLOOKUP(BF215,'спецификация'!D:H,5,0)," ")</f>
        <v/>
      </c>
      <c r="BN215" s="43"/>
      <c r="BO215" s="22" t="str">
        <f>IFERROR(VLOOKUP(C215,'спецификация'!B:AA,10,0)," ")</f>
        <v/>
      </c>
      <c r="BP215" s="43" t="str">
        <f>IFERROR(VLOOKUP(C215,'спецификация'!B:AA,11,0)," ")</f>
        <v/>
      </c>
      <c r="BQ215" s="22" t="str">
        <f>IFERROR(VLOOKUP(C215,'спецификация'!B:AA,12,0)," ")</f>
        <v/>
      </c>
      <c r="BR215" s="22"/>
      <c r="BS215" s="43"/>
      <c r="BT215" s="43"/>
      <c r="BU215" s="22"/>
      <c r="BV215" s="22"/>
      <c r="BW215" s="45" t="str">
        <f>IFERROR(VLOOKUP(C215,'спецификация'!B:AA,16,0)," ")</f>
        <v/>
      </c>
      <c r="BX215" s="43"/>
      <c r="BY215" s="43"/>
      <c r="BZ215" s="45" t="str">
        <f>IFERROR(VLOOKUP(BF215,'спецификация'!D:Y,22,0)," ")</f>
        <v/>
      </c>
      <c r="CA215" s="43"/>
      <c r="CB215" s="43"/>
      <c r="CC215" s="43"/>
      <c r="CD215" s="43"/>
      <c r="CE215" s="43"/>
      <c r="CF215" s="43"/>
      <c r="CG215" s="49">
        <f>IFERROR(VLOOKUP(C215,CC!A:D,4,0)," ")</f>
        <v>276.64</v>
      </c>
      <c r="CH215" s="22" t="str">
        <f>IFERROR(VLOOKUP(C215,'спецификация'!B:AA,19,0)," ")</f>
        <v/>
      </c>
      <c r="CI215" s="22"/>
      <c r="CJ215" s="43"/>
      <c r="CK215" s="22">
        <f>IFERROR(VLOOKUP(C215,CC!K:M,3,0)," ")</f>
        <v>45</v>
      </c>
      <c r="CL215" s="43"/>
      <c r="CM215" s="43"/>
      <c r="CN215" s="43"/>
      <c r="CO215" s="43"/>
      <c r="CP215" s="43"/>
      <c r="CQ215" s="43"/>
      <c r="CR215" s="43"/>
      <c r="CS215" s="43" t="b">
        <v>0</v>
      </c>
      <c r="CT215" s="43" t="b">
        <v>0</v>
      </c>
      <c r="CU215" s="43" t="b">
        <v>0</v>
      </c>
      <c r="CV215" s="43" t="b">
        <v>0</v>
      </c>
      <c r="CW215" s="43"/>
      <c r="CX215" s="43"/>
      <c r="CY215" s="43"/>
      <c r="CZ215" s="43"/>
      <c r="DA215" s="43"/>
      <c r="DB215" s="43"/>
      <c r="DC215" s="43"/>
      <c r="DD215" s="22">
        <f>IFERROR(VLOOKUP($C215,'Лист4'!$D:$AI,27,0)," ")</f>
        <v>9</v>
      </c>
      <c r="DE215" s="22">
        <f>IFERROR(VLOOKUP($C215,'Лист4'!$D:$AI,28,0)," ")</f>
        <v>15</v>
      </c>
      <c r="DF215" s="22">
        <f>IFERROR(VLOOKUP($C215,'Лист4'!$D:$AI,29,0)," ")</f>
        <v>9</v>
      </c>
      <c r="DG215" s="22">
        <f t="shared" si="3"/>
        <v>1215</v>
      </c>
      <c r="DH215" s="22">
        <f>IFERROR(VLOOKUP($C215,'Лист4'!$D:$AI,32,0)," ")</f>
        <v>0.113</v>
      </c>
      <c r="DI215" s="22"/>
      <c r="DJ215" s="22"/>
      <c r="DK215" s="22"/>
      <c r="DL215" s="22"/>
      <c r="DM215" s="22"/>
      <c r="DN215" s="22"/>
      <c r="DO215" s="22"/>
      <c r="DP215" s="22"/>
      <c r="DQ215" s="22"/>
      <c r="DR215" s="22"/>
      <c r="DS215" s="22"/>
      <c r="DT215" s="22"/>
      <c r="DU215" s="22"/>
      <c r="DV215" s="22"/>
      <c r="DW215" s="22"/>
      <c r="DX215" s="22"/>
      <c r="DY215" s="22"/>
      <c r="DZ215" s="22"/>
      <c r="EA215" s="22"/>
      <c r="EB215" s="22"/>
      <c r="EC215" s="22"/>
      <c r="ED215" s="22"/>
      <c r="EE215" s="22"/>
      <c r="EF215" s="22"/>
      <c r="EG215" s="22"/>
      <c r="EH215" s="22"/>
      <c r="EI215" s="22"/>
      <c r="EJ215" s="22"/>
      <c r="EK215" s="22"/>
      <c r="EL215" s="22"/>
      <c r="EM215" s="43"/>
      <c r="EN215" s="43"/>
      <c r="EO215" s="43"/>
      <c r="EP215" s="43"/>
      <c r="EQ215" s="43"/>
      <c r="ER215" s="43"/>
      <c r="ES215" s="43"/>
      <c r="ET215" s="43"/>
      <c r="EU215" s="43"/>
      <c r="EV215" s="43"/>
      <c r="EW215" s="43"/>
      <c r="EX215" s="43"/>
      <c r="EY215" s="43"/>
      <c r="EZ215" s="43"/>
      <c r="FA215" s="43"/>
      <c r="FB215" s="43"/>
      <c r="FC215" s="43"/>
    </row>
    <row r="216" ht="18.0" customHeight="1">
      <c r="A216" s="2"/>
      <c r="B216" s="22" t="str">
        <f>IFERROR(VLOOKUP(C216,'Реестр'!C:AC,27,0)," ")</f>
        <v>Смарт-Сэйл</v>
      </c>
      <c r="C216" s="43" t="s">
        <v>3395</v>
      </c>
      <c r="D216" s="22" t="str">
        <f>IFERROR(VLOOKUP(C216,'Лист4'!D:P,13,0)," ")</f>
        <v>Алтея</v>
      </c>
      <c r="E216" s="22" t="str">
        <f>IF(OR(ISERROR(VLOOKUP(C216,'Актуальность'!A:B,2,0)), VLOOKUP(C216,'Актуальность'!A:B,2,0)=""), "Актуальный", VLOOKUP(C216,'Актуальность'!A:B,2,0))</f>
        <v>Актуальный</v>
      </c>
      <c r="F216" s="43" t="str">
        <f>IFERROR(VLOOKUP(C216,'Актуальность'!A:C,3,0)," ")</f>
        <v/>
      </c>
      <c r="G216" s="43"/>
      <c r="H216" s="22" t="s">
        <v>2743</v>
      </c>
      <c r="I216" s="22" t="s">
        <v>565</v>
      </c>
      <c r="J216" s="43"/>
      <c r="K216" s="43"/>
      <c r="L216" s="22" t="b">
        <f t="shared" ref="L216:R216" si="212">T216&lt;&gt;""</f>
        <v>1</v>
      </c>
      <c r="M216" s="22" t="b">
        <f t="shared" si="212"/>
        <v>1</v>
      </c>
      <c r="N216" s="22" t="b">
        <f t="shared" si="212"/>
        <v>1</v>
      </c>
      <c r="O216" s="22" t="b">
        <f t="shared" si="212"/>
        <v>1</v>
      </c>
      <c r="P216" s="22" t="b">
        <f t="shared" si="212"/>
        <v>1</v>
      </c>
      <c r="Q216" s="22" t="b">
        <f t="shared" si="212"/>
        <v>1</v>
      </c>
      <c r="R216" s="22" t="b">
        <f t="shared" si="212"/>
        <v>0</v>
      </c>
      <c r="S216" s="43"/>
      <c r="T216" s="43" t="str">
        <f>IFERROR(VLOOKUP( C216,'1С'!A:B,2,0)," ")</f>
        <v>AC101100427</v>
      </c>
      <c r="U216" s="22" t="str">
        <f>IFERROR(VLOOKUP(T216,'Лист4'!C:I,3,0)," ")</f>
        <v>tonik_dlya_lica_200ml</v>
      </c>
      <c r="V216" s="22" t="str">
        <f>IFERROR(VLOOKUP(T216,'Лист4'!C:I,4,0)," ")</f>
        <v>tonik_dlya_lica_200ml</v>
      </c>
      <c r="W216" s="22" t="str">
        <f>IFERROR(VLOOKUP(T216,'Лист4'!C:I,5,0)," ")</f>
        <v>tonik_dlya_lica_200ml</v>
      </c>
      <c r="X216" s="43" t="str">
        <f>IFERROR(VLOOKUP(T216,'Лист4'!C:I,7,0)," ")</f>
        <v>tonik_dlya_lica_200ml</v>
      </c>
      <c r="Y216" s="43" t="str">
        <f>IFERROR(VLOOKUP(T216,'Лист4'!C:I,6,0)," ")</f>
        <v>tonik_dlya_lica_200ml</v>
      </c>
      <c r="Z216" s="43"/>
      <c r="AA216" s="43"/>
      <c r="AB216" s="22">
        <v>3.85736759E8</v>
      </c>
      <c r="AC216" s="22">
        <v>2.015547267E9</v>
      </c>
      <c r="AD216" s="22">
        <v>4.334347819E9</v>
      </c>
      <c r="AE216" s="22">
        <v>9.9000114728E10</v>
      </c>
      <c r="AF216" s="22" t="s">
        <v>3398</v>
      </c>
      <c r="AG216" s="43"/>
      <c r="AH216" s="43"/>
      <c r="AI216" s="43" t="str">
        <f>IFERROR(VLOOKUP(T216,'1С'!B:C,2,0)," ")</f>
        <v>Тоник для лица матирующий, Алтея, 200 мл</v>
      </c>
      <c r="AJ216" s="22" t="s">
        <v>1439</v>
      </c>
      <c r="AK216" s="22" t="s">
        <v>3399</v>
      </c>
      <c r="AL216" s="22" t="s">
        <v>3400</v>
      </c>
      <c r="AM216" s="22" t="s">
        <v>3401</v>
      </c>
      <c r="AN216" s="22" t="s">
        <v>1439</v>
      </c>
      <c r="AO216" s="43"/>
      <c r="AP216" s="43"/>
      <c r="AQ216" s="46" t="s">
        <v>6656</v>
      </c>
      <c r="AR216" s="46" t="s">
        <v>3403</v>
      </c>
      <c r="AS216" s="46" t="s">
        <v>3404</v>
      </c>
      <c r="AT216" s="46" t="s">
        <v>3405</v>
      </c>
      <c r="AU216" s="46" t="s">
        <v>3406</v>
      </c>
      <c r="AV216" s="43"/>
      <c r="AW216" s="43"/>
      <c r="AX216" s="22" t="s">
        <v>1446</v>
      </c>
      <c r="AY216" s="22" t="s">
        <v>3399</v>
      </c>
      <c r="AZ216" s="22" t="s">
        <v>575</v>
      </c>
      <c r="BA216" s="22" t="s">
        <v>1447</v>
      </c>
      <c r="BB216" s="22" t="s">
        <v>1448</v>
      </c>
      <c r="BC216" s="43"/>
      <c r="BD216" s="43"/>
      <c r="BE216" s="43"/>
      <c r="BF216" s="22">
        <f>IFERROR(VLOOKUP(C216,'спецификация'!B:D,3,0)," ")</f>
        <v>4670020498499</v>
      </c>
      <c r="BG216" s="22">
        <v>3.30499E9</v>
      </c>
      <c r="BH216" s="22" t="str">
        <f>IFERROR(VLOOKUP(C216,'спецификация'!B:AA,5,0)," ")</f>
        <v/>
      </c>
      <c r="BI216" s="22"/>
      <c r="BJ216" s="22" t="str">
        <f>IFERROR(VLOOKUP(C216,'спецификация'!B:AA,6,0)," ")</f>
        <v>да</v>
      </c>
      <c r="BK216" s="43"/>
      <c r="BL216" s="43"/>
      <c r="BM216" s="22" t="str">
        <f>IFERROR(VLOOKUP(BF216,'спецификация'!D:H,5,0)," ")</f>
        <v>Состав/INCI: Aqua, Butylene Glycol, PEG-12 Dimethicone, Centella Asiatica Leaf Extract, Niacinamide, Allantoin, Zinc PCA, Saccharide Isomerate, Sodium Hyaluronate, Sodium Lactate, Sodium Glycolate, Sodium Citrate, Sodium Malate, Sodium Tartrate, Lactic Acid,  Glycolic Acid, Citric Acid, Malic Acid, Tartaric Acid, Salicylic Аcid, Glycolic Acid, Propylene Glycol, PEG-40 Hydrogenated Castor Oil, Аcrylic Рolymer, Sodium Hydroxide, Polysorbate 80, Parfum, Potassium Sorbate, Sodium Benzoate, Phenoxyethanol, Ethylhexylglycerin.</v>
      </c>
      <c r="BN216" s="43"/>
      <c r="BO216" s="22" t="str">
        <f>IFERROR(VLOOKUP(C216,'спецификация'!B:AA,10,0)," ")</f>
        <v>нанесите тоник на ватный диск и протрите лицо, избегая область вокруг глаз.</v>
      </c>
      <c r="BP216" s="43" t="str">
        <f>IFERROR(VLOOKUP(C216,'спецификация'!B:AA,11,0)," ")</f>
        <v>Меры предосторожности: Перед первым использованием необходимо провести тест на чувствительность кожи на локтевом сгибе</v>
      </c>
      <c r="BQ216" s="22" t="str">
        <f>IFERROR(VLOOKUP(C216,'спецификация'!B:AA,12,0)," ")</f>
        <v>хранят при температуре не ниже плюс 5 ˚С и не выше плюс 25 ˚С Не допускается хранить продукцию под непосредственным воздействием </v>
      </c>
      <c r="BR216" s="22">
        <v>200.0</v>
      </c>
      <c r="BS216" s="22" t="s">
        <v>139</v>
      </c>
      <c r="BT216" s="22"/>
      <c r="BU216" s="22"/>
      <c r="BV216" s="22" t="s">
        <v>307</v>
      </c>
      <c r="BW216" s="44" t="str">
        <f>IFERROR(VLOOKUP(C216,'спецификация'!B:AA,16,0)," ")</f>
        <v>https://docs.google.com/document/d/1pXRLz589MMAJ532BLdEd11VgQ5ZQwreA/edit?usp=drive_web&amp;ouid=104241417680089502627&amp;rtpof=true</v>
      </c>
      <c r="BX216" s="43"/>
      <c r="BY216" s="43"/>
      <c r="BZ216" s="45" t="str">
        <f>IFERROR(VLOOKUP(BF216,'спецификация'!D:Y,22,0)," ")</f>
        <v/>
      </c>
      <c r="CA216" s="43"/>
      <c r="CB216" s="43"/>
      <c r="CC216" s="43"/>
      <c r="CD216" s="43"/>
      <c r="CE216" s="43"/>
      <c r="CF216" s="43"/>
      <c r="CG216" s="49">
        <f>IFERROR(VLOOKUP(C216,CC!A:D,4,0)," ")</f>
        <v>107.7</v>
      </c>
      <c r="CH216" s="22" t="str">
        <f>IFERROR(VLOOKUP(C216,'спецификация'!B:AA,19,0)," ")</f>
        <v>ООО "Алтэя"</v>
      </c>
      <c r="CI216" s="22"/>
      <c r="CJ216" s="22" t="s">
        <v>2835</v>
      </c>
      <c r="CK216" s="22">
        <f>IFERROR(VLOOKUP(C216,CC!K:M,3,0)," ")</f>
        <v>90</v>
      </c>
      <c r="CL216" s="43"/>
      <c r="CM216" s="43"/>
      <c r="CN216" s="43"/>
      <c r="CO216" s="43"/>
      <c r="CP216" s="43"/>
      <c r="CQ216" s="43"/>
      <c r="CR216" s="43"/>
      <c r="CS216" s="43" t="b">
        <v>0</v>
      </c>
      <c r="CT216" s="43" t="b">
        <v>0</v>
      </c>
      <c r="CU216" s="43" t="b">
        <v>0</v>
      </c>
      <c r="CV216" s="43" t="b">
        <v>0</v>
      </c>
      <c r="CW216" s="43"/>
      <c r="CX216" s="43"/>
      <c r="CY216" s="43"/>
      <c r="CZ216" s="43"/>
      <c r="DA216" s="43"/>
      <c r="DB216" s="43"/>
      <c r="DC216" s="43"/>
      <c r="DD216" s="22">
        <f>IFERROR(VLOOKUP($C216,'Лист4'!$D:$AI,27,0)," ")</f>
        <v>5</v>
      </c>
      <c r="DE216" s="22">
        <f>IFERROR(VLOOKUP($C216,'Лист4'!$D:$AI,28,0)," ")</f>
        <v>16</v>
      </c>
      <c r="DF216" s="22">
        <f>IFERROR(VLOOKUP($C216,'Лист4'!$D:$AI,29,0)," ")</f>
        <v>5</v>
      </c>
      <c r="DG216" s="22">
        <f t="shared" si="3"/>
        <v>400</v>
      </c>
      <c r="DH216" s="22">
        <f>IFERROR(VLOOKUP($C216,'Лист4'!$D:$AI,32,0)," ")</f>
        <v>0.287</v>
      </c>
      <c r="DI216" s="22"/>
      <c r="DJ216" s="22"/>
      <c r="DK216" s="22"/>
      <c r="DL216" s="22"/>
      <c r="DM216" s="22"/>
      <c r="DN216" s="22"/>
      <c r="DO216" s="22"/>
      <c r="DP216" s="22"/>
      <c r="DQ216" s="22"/>
      <c r="DR216" s="22"/>
      <c r="DS216" s="22"/>
      <c r="DT216" s="22"/>
      <c r="DU216" s="22"/>
      <c r="DV216" s="22"/>
      <c r="DW216" s="22"/>
      <c r="DX216" s="22"/>
      <c r="DY216" s="22"/>
      <c r="DZ216" s="22"/>
      <c r="EA216" s="22"/>
      <c r="EB216" s="22"/>
      <c r="EC216" s="22"/>
      <c r="ED216" s="22"/>
      <c r="EE216" s="22"/>
      <c r="EF216" s="22"/>
      <c r="EG216" s="22"/>
      <c r="EH216" s="22"/>
      <c r="EI216" s="22"/>
      <c r="EJ216" s="22"/>
      <c r="EK216" s="22"/>
      <c r="EL216" s="22"/>
      <c r="EM216" s="43"/>
      <c r="EN216" s="43"/>
      <c r="EO216" s="43"/>
      <c r="EP216" s="43"/>
      <c r="EQ216" s="43"/>
      <c r="ER216" s="43"/>
      <c r="ES216" s="43"/>
      <c r="ET216" s="43"/>
      <c r="EU216" s="43"/>
      <c r="EV216" s="43"/>
      <c r="EW216" s="43"/>
      <c r="EX216" s="43"/>
      <c r="EY216" s="43"/>
      <c r="EZ216" s="43"/>
      <c r="FA216" s="43"/>
      <c r="FB216" s="43"/>
      <c r="FC216" s="43"/>
    </row>
    <row r="217" ht="18.0" customHeight="1">
      <c r="A217" s="2"/>
      <c r="B217" s="22" t="str">
        <f>IFERROR(VLOOKUP(C217,'Реестр'!C:AC,27,0)," ")</f>
        <v>Смарт-Сэйл</v>
      </c>
      <c r="C217" s="43" t="s">
        <v>3413</v>
      </c>
      <c r="D217" s="22" t="str">
        <f>IFERROR(VLOOKUP(C217,'Лист4'!D:P,13,0)," ")</f>
        <v>Алтея</v>
      </c>
      <c r="E217" s="22" t="str">
        <f>IF(OR(ISERROR(VLOOKUP(C217,'Актуальность'!A:B,2,0)), VLOOKUP(C217,'Актуальность'!A:B,2,0)=""), "Актуальный", VLOOKUP(C217,'Актуальность'!A:B,2,0))</f>
        <v>Актуальный</v>
      </c>
      <c r="F217" s="43" t="str">
        <f>IFERROR(VLOOKUP(C217,'Актуальность'!A:C,3,0)," ")</f>
        <v/>
      </c>
      <c r="G217" s="43"/>
      <c r="H217" s="22" t="s">
        <v>2743</v>
      </c>
      <c r="I217" s="22" t="s">
        <v>287</v>
      </c>
      <c r="J217" s="43"/>
      <c r="K217" s="43"/>
      <c r="L217" s="22" t="b">
        <f t="shared" ref="L217:R217" si="213">T217&lt;&gt;""</f>
        <v>1</v>
      </c>
      <c r="M217" s="22" t="b">
        <f t="shared" si="213"/>
        <v>1</v>
      </c>
      <c r="N217" s="22" t="b">
        <f t="shared" si="213"/>
        <v>1</v>
      </c>
      <c r="O217" s="22" t="b">
        <f t="shared" si="213"/>
        <v>1</v>
      </c>
      <c r="P217" s="22" t="b">
        <f t="shared" si="213"/>
        <v>1</v>
      </c>
      <c r="Q217" s="22" t="b">
        <f t="shared" si="213"/>
        <v>1</v>
      </c>
      <c r="R217" s="22" t="b">
        <f t="shared" si="213"/>
        <v>1</v>
      </c>
      <c r="S217" s="43"/>
      <c r="T217" s="43" t="str">
        <f>IFERROR(VLOOKUP( C217,'1С'!A:B,2,0)," ")</f>
        <v>AC101100410</v>
      </c>
      <c r="U217" s="22" t="str">
        <f>IFERROR(VLOOKUP(T217,'Лист4'!C:I,3,0)," ")</f>
        <v>maska-batter_250ml</v>
      </c>
      <c r="V217" s="22" t="str">
        <f>IFERROR(VLOOKUP(T217,'Лист4'!C:I,4,0)," ")</f>
        <v>maska-batter_250ml</v>
      </c>
      <c r="W217" s="22" t="str">
        <f>IFERROR(VLOOKUP(T217,'Лист4'!C:I,5,0)," ")</f>
        <v>maska-batter_250ml</v>
      </c>
      <c r="X217" s="43" t="str">
        <f>IFERROR(VLOOKUP(T217,'Лист4'!C:I,7,0)," ")</f>
        <v>maska-batter_250ml</v>
      </c>
      <c r="Y217" s="43" t="str">
        <f>IFERROR(VLOOKUP(T217,'Лист4'!C:I,6,0)," ")</f>
        <v>maska-batter_250ml</v>
      </c>
      <c r="Z217" s="22" t="s">
        <v>3413</v>
      </c>
      <c r="AA217" s="43"/>
      <c r="AB217" s="22">
        <v>2.60383031E8</v>
      </c>
      <c r="AC217" s="22">
        <v>1.691464882E9</v>
      </c>
      <c r="AD217" s="22">
        <v>1.03515390557E11</v>
      </c>
      <c r="AE217" s="22">
        <v>9.900007621E10</v>
      </c>
      <c r="AF217" s="22" t="s">
        <v>3416</v>
      </c>
      <c r="AG217" s="22" t="s">
        <v>3417</v>
      </c>
      <c r="AH217" s="43"/>
      <c r="AI217" s="43" t="str">
        <f>IFERROR(VLOOKUP(T217,'1С'!B:C,2,0)," ")</f>
        <v>Маска-Баттер для повреждённых волос, Алтея, 250 мл</v>
      </c>
      <c r="AJ217" s="22" t="s">
        <v>3418</v>
      </c>
      <c r="AK217" s="22" t="s">
        <v>3419</v>
      </c>
      <c r="AL217" s="22" t="s">
        <v>3420</v>
      </c>
      <c r="AM217" s="22" t="s">
        <v>3421</v>
      </c>
      <c r="AN217" s="22" t="s">
        <v>3422</v>
      </c>
      <c r="AO217" s="22" t="s">
        <v>3423</v>
      </c>
      <c r="AP217" s="43"/>
      <c r="AQ217" s="46" t="s">
        <v>3424</v>
      </c>
      <c r="AR217" s="46" t="s">
        <v>3425</v>
      </c>
      <c r="AS217" s="46" t="s">
        <v>3426</v>
      </c>
      <c r="AT217" s="46" t="s">
        <v>3427</v>
      </c>
      <c r="AU217" s="46" t="s">
        <v>3428</v>
      </c>
      <c r="AV217" s="46" t="s">
        <v>3429</v>
      </c>
      <c r="AW217" s="43"/>
      <c r="AX217" s="22" t="s">
        <v>3035</v>
      </c>
      <c r="AY217" s="22" t="s">
        <v>3419</v>
      </c>
      <c r="AZ217" s="22" t="s">
        <v>326</v>
      </c>
      <c r="BA217" s="22" t="s">
        <v>300</v>
      </c>
      <c r="BB217" s="22" t="s">
        <v>3382</v>
      </c>
      <c r="BC217" s="22" t="s">
        <v>3430</v>
      </c>
      <c r="BD217" s="43"/>
      <c r="BE217" s="43"/>
      <c r="BF217" s="22">
        <f>IFERROR(VLOOKUP(C217,'спецификация'!B:D,3,0)," ")</f>
        <v>4670020497546</v>
      </c>
      <c r="BG217" s="22">
        <v>3.305900009E9</v>
      </c>
      <c r="BH217" s="22" t="str">
        <f>IFERROR(VLOOKUP(C217,'спецификация'!B:AA,5,0)," ")</f>
        <v/>
      </c>
      <c r="BI217" s="22"/>
      <c r="BJ217" s="22" t="str">
        <f>IFERROR(VLOOKUP(C217,'спецификация'!B:AA,6,0)," ")</f>
        <v>нет</v>
      </c>
      <c r="BK217" s="43"/>
      <c r="BL217" s="43"/>
      <c r="BM217" s="22" t="str">
        <f>IFERROR(VLOOKUP(BF217,'спецификация'!D:H,5,0)," ")</f>
        <v>Aqua, Cetearyl Alcohol, Glycerin, Behenamidopropyl,  Dimethylamine Amodimethicone (and) Cetrimonium chloride (and) Trideceth-3 (and) Trideceth-15, Persea Gratissima (Avocado) Oil, Olea Europaea (Olive) Fruit Oil, Arctium Lappa Root Extract, Lactic Acid, Ceteareth-20, Bis-Hydroxy/Methoxy Amodimethicone, Polyquaternium-10, Hydrolyzed Keratin, Hydrolysed Silk, Hydrolyzed Wheat Protein, Ricinus Communis Seed Oil, Cocos Nucifera Oil, Propylene Glycol, Prunus Armeniaca Extract, Persea americana Fruit Extract, Punica Granatum Fruit Extract, Musa acuminata Fruit Extract, Potassium Sorbate, Sodium Benzoate, Parfum, Benzyl Alcohol, Methylchloroisothiazolinone,  Methylisothiazolinone, CI 19140/CI42090, CI 15510, Linalool, Limonene, Hexyl Cinnamal.</v>
      </c>
      <c r="BN217" s="43"/>
      <c r="BO217" s="22" t="str">
        <f>IFERROR(VLOOKUP(C217,'спецификация'!B:AA,10,0)," ")</f>
        <v>Небольшое количество маски, после мытья головы, нанести на чистые, влажные волосы и оставить на 3-5 минут, затем смыть теплой водой.
При сильном повреждении волос, рекомендуется нанести маску на чистые, влажные волосы и оставить на 15-20 мину, затем смыть теплой водой.
</v>
      </c>
      <c r="BP217" s="43" t="str">
        <f>IFERROR(VLOOKUP(C217,'спецификация'!B:AA,11,0)," ")</f>
        <v>нет</v>
      </c>
      <c r="BQ217" s="22" t="str">
        <f>IFERROR(VLOOKUP(C217,'спецификация'!B:AA,12,0)," ")</f>
        <v>хранить при температуре не ниже 0ºС и не выше 25ºС</v>
      </c>
      <c r="BR217" s="22">
        <v>250.0</v>
      </c>
      <c r="BS217" s="22" t="s">
        <v>139</v>
      </c>
      <c r="BT217" s="22"/>
      <c r="BU217" s="22"/>
      <c r="BV217" s="22" t="s">
        <v>307</v>
      </c>
      <c r="BW217" s="44" t="str">
        <f>IFERROR(VLOOKUP(C217,'спецификация'!B:AA,16,0)," ")</f>
        <v>https://docs.google.com/document/d/1sb7ycmer-qcAEhVlWgh9l2GHDQ_Oe0sa/edit?usp=drive_web&amp;ouid=104241417680089502627&amp;rtpof=true</v>
      </c>
      <c r="BX217" s="43"/>
      <c r="BY217" s="43"/>
      <c r="BZ217" s="45" t="str">
        <f>IFERROR(VLOOKUP(BF217,'спецификация'!D:Y,22,0)," ")</f>
        <v/>
      </c>
      <c r="CA217" s="43"/>
      <c r="CB217" s="43"/>
      <c r="CC217" s="43"/>
      <c r="CD217" s="43"/>
      <c r="CE217" s="43"/>
      <c r="CF217" s="43"/>
      <c r="CG217" s="49">
        <f>IFERROR(VLOOKUP(C217,CC!A:D,4,0)," ")</f>
        <v>122</v>
      </c>
      <c r="CH217" s="22" t="str">
        <f>IFERROR(VLOOKUP(C217,'спецификация'!B:AA,19,0)," ")</f>
        <v>ООО "Алтэя"</v>
      </c>
      <c r="CI217" s="22"/>
      <c r="CJ217" s="22" t="s">
        <v>2835</v>
      </c>
      <c r="CK217" s="22">
        <f>IFERROR(VLOOKUP(C217,CC!K:M,3,0)," ")</f>
        <v>90</v>
      </c>
      <c r="CL217" s="43"/>
      <c r="CM217" s="43"/>
      <c r="CN217" s="43"/>
      <c r="CO217" s="43"/>
      <c r="CP217" s="43"/>
      <c r="CQ217" s="43"/>
      <c r="CR217" s="43"/>
      <c r="CS217" s="43" t="b">
        <v>0</v>
      </c>
      <c r="CT217" s="43" t="b">
        <v>0</v>
      </c>
      <c r="CU217" s="43" t="b">
        <v>0</v>
      </c>
      <c r="CV217" s="43" t="b">
        <v>0</v>
      </c>
      <c r="CW217" s="43"/>
      <c r="CX217" s="43"/>
      <c r="CY217" s="43"/>
      <c r="CZ217" s="43"/>
      <c r="DA217" s="43"/>
      <c r="DB217" s="43"/>
      <c r="DC217" s="43"/>
      <c r="DD217" s="22">
        <f>IFERROR(VLOOKUP($C217,'Лист4'!$D:$AI,27,0)," ")</f>
        <v>8</v>
      </c>
      <c r="DE217" s="22">
        <f>IFERROR(VLOOKUP($C217,'Лист4'!$D:$AI,28,0)," ")</f>
        <v>6</v>
      </c>
      <c r="DF217" s="22">
        <f>IFERROR(VLOOKUP($C217,'Лист4'!$D:$AI,29,0)," ")</f>
        <v>8</v>
      </c>
      <c r="DG217" s="22">
        <f t="shared" si="3"/>
        <v>384</v>
      </c>
      <c r="DH217" s="22">
        <f>IFERROR(VLOOKUP($C217,'Лист4'!$D:$AI,32,0)," ")</f>
        <v>0.29</v>
      </c>
      <c r="DI217" s="22"/>
      <c r="DJ217" s="22"/>
      <c r="DK217" s="22"/>
      <c r="DL217" s="22"/>
      <c r="DM217" s="22"/>
      <c r="DN217" s="22"/>
      <c r="DO217" s="22"/>
      <c r="DP217" s="22"/>
      <c r="DQ217" s="22"/>
      <c r="DR217" s="22"/>
      <c r="DS217" s="22"/>
      <c r="DT217" s="22"/>
      <c r="DU217" s="22"/>
      <c r="DV217" s="22"/>
      <c r="DW217" s="22"/>
      <c r="DX217" s="22"/>
      <c r="DY217" s="22"/>
      <c r="DZ217" s="22"/>
      <c r="EA217" s="22"/>
      <c r="EB217" s="22"/>
      <c r="EC217" s="22"/>
      <c r="ED217" s="22"/>
      <c r="EE217" s="22"/>
      <c r="EF217" s="22"/>
      <c r="EG217" s="22"/>
      <c r="EH217" s="22"/>
      <c r="EI217" s="22"/>
      <c r="EJ217" s="22"/>
      <c r="EK217" s="22"/>
      <c r="EL217" s="22"/>
      <c r="EM217" s="43"/>
      <c r="EN217" s="43"/>
      <c r="EO217" s="43"/>
      <c r="EP217" s="43"/>
      <c r="EQ217" s="43"/>
      <c r="ER217" s="43"/>
      <c r="ES217" s="43"/>
      <c r="ET217" s="43"/>
      <c r="EU217" s="43"/>
      <c r="EV217" s="43"/>
      <c r="EW217" s="43"/>
      <c r="EX217" s="43"/>
      <c r="EY217" s="43"/>
      <c r="EZ217" s="43"/>
      <c r="FA217" s="43"/>
      <c r="FB217" s="43"/>
      <c r="FC217" s="43"/>
    </row>
    <row r="218" ht="18.0" customHeight="1">
      <c r="A218" s="2"/>
      <c r="B218" s="22" t="str">
        <f>IFERROR(VLOOKUP(C218,'Реестр'!C:AC,27,0)," ")</f>
        <v>Смарт-Сэйл</v>
      </c>
      <c r="C218" s="43" t="s">
        <v>3435</v>
      </c>
      <c r="D218" s="22" t="str">
        <f>IFERROR(VLOOKUP(C218,'Лист4'!D:P,13,0)," ")</f>
        <v>CPA</v>
      </c>
      <c r="E218" s="22" t="str">
        <f>IF(OR(ISERROR(VLOOKUP(C218,'Актуальность'!A:B,2,0)), VLOOKUP(C218,'Актуальность'!A:B,2,0)=""), "Актуальный", VLOOKUP(C218,'Актуальность'!A:B,2,0))</f>
        <v>Актуальный</v>
      </c>
      <c r="F218" s="43" t="str">
        <f>IFERROR(VLOOKUP(C218,'Актуальность'!A:C,3,0)," ")</f>
        <v/>
      </c>
      <c r="G218" s="43"/>
      <c r="H218" s="22" t="s">
        <v>2663</v>
      </c>
      <c r="I218" s="22" t="s">
        <v>3437</v>
      </c>
      <c r="J218" s="43"/>
      <c r="K218" s="43"/>
      <c r="L218" s="22" t="b">
        <f t="shared" ref="L218:R218" si="214">T218&lt;&gt;""</f>
        <v>1</v>
      </c>
      <c r="M218" s="22" t="b">
        <f t="shared" si="214"/>
        <v>1</v>
      </c>
      <c r="N218" s="22" t="b">
        <f t="shared" si="214"/>
        <v>1</v>
      </c>
      <c r="O218" s="22" t="b">
        <f t="shared" si="214"/>
        <v>1</v>
      </c>
      <c r="P218" s="22" t="b">
        <f t="shared" si="214"/>
        <v>0</v>
      </c>
      <c r="Q218" s="22" t="b">
        <f t="shared" si="214"/>
        <v>0</v>
      </c>
      <c r="R218" s="22" t="b">
        <f t="shared" si="214"/>
        <v>0</v>
      </c>
      <c r="S218" s="43"/>
      <c r="T218" s="43" t="str">
        <f>IFERROR(VLOOKUP( C218,'1С'!A:B,2,0)," ")</f>
        <v>CC101100406</v>
      </c>
      <c r="U218" s="22" t="str">
        <f>IFERROR(VLOOKUP(T218,'Лист4'!C:I,3,0)," ")</f>
        <v>varifit</v>
      </c>
      <c r="V218" s="22" t="str">
        <f>IFERROR(VLOOKUP(T218,'Лист4'!C:I,4,0)," ")</f>
        <v>varifit</v>
      </c>
      <c r="W218" s="22" t="str">
        <f>IFERROR(VLOOKUP(T218,'Лист4'!C:I,5,0)," ")</f>
        <v>varifit</v>
      </c>
      <c r="X218" s="43" t="str">
        <f>IFERROR(VLOOKUP(T218,'Лист4'!C:I,7,0)," ")</f>
        <v/>
      </c>
      <c r="Y218" s="43" t="str">
        <f>IFERROR(VLOOKUP(T218,'Лист4'!C:I,6,0)," ")</f>
        <v/>
      </c>
      <c r="Z218" s="43"/>
      <c r="AA218" s="43"/>
      <c r="AB218" s="22">
        <v>2.34147545E8</v>
      </c>
      <c r="AC218" s="22">
        <v>1.590032182E9</v>
      </c>
      <c r="AD218" s="22">
        <v>1.03515397749E11</v>
      </c>
      <c r="AE218" s="22"/>
      <c r="AF218" s="22"/>
      <c r="AG218" s="43"/>
      <c r="AH218" s="43"/>
      <c r="AI218" s="43" t="str">
        <f>IFERROR(VLOOKUP(T218,'1С'!B:C,2,0)," ")</f>
        <v>Крем от варикоза Варифит, CPA, 30 мл</v>
      </c>
      <c r="AJ218" s="22" t="s">
        <v>3439</v>
      </c>
      <c r="AK218" s="22" t="s">
        <v>3440</v>
      </c>
      <c r="AL218" s="22" t="s">
        <v>3441</v>
      </c>
      <c r="AM218" s="43"/>
      <c r="AN218" s="43"/>
      <c r="AO218" s="43"/>
      <c r="AP218" s="43"/>
      <c r="AQ218" s="46" t="s">
        <v>3442</v>
      </c>
      <c r="AR218" s="46" t="s">
        <v>3443</v>
      </c>
      <c r="AS218" s="46" t="s">
        <v>3444</v>
      </c>
      <c r="AT218" s="43"/>
      <c r="AU218" s="43"/>
      <c r="AV218" s="43"/>
      <c r="AW218" s="43"/>
      <c r="AX218" s="22" t="s">
        <v>3445</v>
      </c>
      <c r="AY218" s="22" t="s">
        <v>3440</v>
      </c>
      <c r="AZ218" s="22" t="s">
        <v>2672</v>
      </c>
      <c r="BA218" s="43"/>
      <c r="BB218" s="43"/>
      <c r="BC218" s="43"/>
      <c r="BD218" s="43"/>
      <c r="BE218" s="43"/>
      <c r="BF218" s="22">
        <f>IFERROR(VLOOKUP(C218,'спецификация'!B:D,3,0)," ")</f>
        <v>4693006790233</v>
      </c>
      <c r="BG218" s="22">
        <v>3.30499E9</v>
      </c>
      <c r="BH218" s="22" t="str">
        <f>IFERROR(VLOOKUP(C218,'спецификация'!B:AA,5,0)," ")</f>
        <v>ЕАЭС N RU Д-RU.PA01.B.66386/24 от 02.02.2024 по 31.01.2029</v>
      </c>
      <c r="BI218" s="22"/>
      <c r="BJ218" s="22" t="str">
        <f>IFERROR(VLOOKUP(C218,'спецификация'!B:AA,6,0)," ")</f>
        <v/>
      </c>
      <c r="BK218" s="43"/>
      <c r="BL218" s="43"/>
      <c r="BM218" s="22" t="str">
        <f>IFERROR(VLOOKUP(BF218,'спецификация'!D:H,5,0)," ")</f>
        <v>Вода, гирудин, троксерутин, экстракт мяты, экстракт хмеля, экстракт ореха черного, экстракт календулы, карбомер, экстракт хвоща, экстракт тысячелистника, троксерутин, экстракт каштана конского, экстракт маклюры, экстракт корня багульника, триэтаноламин, донник лекарственный, консервант. 
</v>
      </c>
      <c r="BN218" s="43"/>
      <c r="BO218" s="22" t="str">
        <f>IFERROR(VLOOKUP(C218,'спецификация'!B:AA,10,0)," ")</f>
        <v/>
      </c>
      <c r="BP218" s="43" t="str">
        <f>IFERROR(VLOOKUP(C218,'спецификация'!B:AA,11,0)," ")</f>
        <v>не рекомендуется использовать во время беременности и детям. Гипоаллергенно. Возможна индивидуальная непереносимость компонентов.</v>
      </c>
      <c r="BQ218" s="22" t="str">
        <f>IFERROR(VLOOKUP(C218,'спецификация'!B:AA,12,0)," ")</f>
        <v>хранить при температуре до 25°С, избегая попадания прямых солнечных лучей.</v>
      </c>
      <c r="BR218" s="22">
        <v>30.0</v>
      </c>
      <c r="BS218" s="22" t="s">
        <v>139</v>
      </c>
      <c r="BT218" s="22"/>
      <c r="BU218" s="22"/>
      <c r="BV218" s="22" t="s">
        <v>307</v>
      </c>
      <c r="BW218" s="44" t="str">
        <f>IFERROR(VLOOKUP(C218,'спецификация'!B:AA,16,0)," ")</f>
        <v>https://docs.google.com/document/d/1QkeScd1qVCdrTwXY-ZieJNGOjLh9jp49/edit?rtpof=true</v>
      </c>
      <c r="BX218" s="43"/>
      <c r="BY218" s="43"/>
      <c r="BZ218" s="45" t="str">
        <f>IFERROR(VLOOKUP(BF218,'спецификация'!D:Y,22,0)," ")</f>
        <v/>
      </c>
      <c r="CA218" s="43"/>
      <c r="CB218" s="43"/>
      <c r="CC218" s="43"/>
      <c r="CD218" s="43"/>
      <c r="CE218" s="43"/>
      <c r="CF218" s="43"/>
      <c r="CG218" s="49">
        <f>IFERROR(VLOOKUP(C218,CC!A:D,4,0)," ")</f>
        <v>116.85</v>
      </c>
      <c r="CH218" s="22" t="str">
        <f>IFERROR(VLOOKUP(C218,'спецификация'!B:AA,19,0)," ")</f>
        <v>ООО «Восток Плюс», 107113, г. Москва, Сокольническая пл., дом 4а, этаж 3. </v>
      </c>
      <c r="CI218" s="22"/>
      <c r="CJ218" s="43"/>
      <c r="CK218" s="22">
        <f>IFERROR(VLOOKUP(C218,CC!K:M,3,0)," ")</f>
        <v>45</v>
      </c>
      <c r="CL218" s="43"/>
      <c r="CM218" s="43"/>
      <c r="CN218" s="43"/>
      <c r="CO218" s="43"/>
      <c r="CP218" s="43"/>
      <c r="CQ218" s="43"/>
      <c r="CR218" s="43"/>
      <c r="CS218" s="43" t="b">
        <v>0</v>
      </c>
      <c r="CT218" s="43" t="b">
        <v>0</v>
      </c>
      <c r="CU218" s="43" t="b">
        <v>0</v>
      </c>
      <c r="CV218" s="43" t="b">
        <v>0</v>
      </c>
      <c r="CW218" s="43"/>
      <c r="CX218" s="43"/>
      <c r="CY218" s="43"/>
      <c r="CZ218" s="43"/>
      <c r="DA218" s="43"/>
      <c r="DB218" s="43"/>
      <c r="DC218" s="43"/>
      <c r="DD218" s="22">
        <f>IFERROR(VLOOKUP($C218,'Лист4'!$D:$AI,27,0)," ")</f>
        <v>4</v>
      </c>
      <c r="DE218" s="22">
        <f>IFERROR(VLOOKUP($C218,'Лист4'!$D:$AI,28,0)," ")</f>
        <v>4</v>
      </c>
      <c r="DF218" s="22">
        <f>IFERROR(VLOOKUP($C218,'Лист4'!$D:$AI,29,0)," ")</f>
        <v>4</v>
      </c>
      <c r="DG218" s="22">
        <f t="shared" si="3"/>
        <v>64</v>
      </c>
      <c r="DH218" s="22">
        <f>IFERROR(VLOOKUP($C218,'Лист4'!$D:$AI,32,0)," ")</f>
        <v>0.04</v>
      </c>
      <c r="DI218" s="22"/>
      <c r="DJ218" s="22"/>
      <c r="DK218" s="22"/>
      <c r="DL218" s="22"/>
      <c r="DM218" s="22"/>
      <c r="DN218" s="22"/>
      <c r="DO218" s="22"/>
      <c r="DP218" s="22"/>
      <c r="DQ218" s="22"/>
      <c r="DR218" s="22"/>
      <c r="DS218" s="22"/>
      <c r="DT218" s="22"/>
      <c r="DU218" s="22"/>
      <c r="DV218" s="22"/>
      <c r="DW218" s="22"/>
      <c r="DX218" s="22"/>
      <c r="DY218" s="22"/>
      <c r="DZ218" s="22"/>
      <c r="EA218" s="22"/>
      <c r="EB218" s="22"/>
      <c r="EC218" s="22"/>
      <c r="ED218" s="22"/>
      <c r="EE218" s="22"/>
      <c r="EF218" s="22"/>
      <c r="EG218" s="22"/>
      <c r="EH218" s="22"/>
      <c r="EI218" s="22"/>
      <c r="EJ218" s="22"/>
      <c r="EK218" s="22"/>
      <c r="EL218" s="22"/>
      <c r="EM218" s="43"/>
      <c r="EN218" s="43"/>
      <c r="EO218" s="43"/>
      <c r="EP218" s="43"/>
      <c r="EQ218" s="43"/>
      <c r="ER218" s="43"/>
      <c r="ES218" s="43"/>
      <c r="ET218" s="43"/>
      <c r="EU218" s="43"/>
      <c r="EV218" s="43"/>
      <c r="EW218" s="43"/>
      <c r="EX218" s="43"/>
      <c r="EY218" s="43"/>
      <c r="EZ218" s="43"/>
      <c r="FA218" s="43"/>
      <c r="FB218" s="43"/>
      <c r="FC218" s="43"/>
    </row>
    <row r="219" ht="18.0" customHeight="1">
      <c r="A219" s="2"/>
      <c r="B219" s="22" t="str">
        <f>IFERROR(VLOOKUP(C219,'Реестр'!C:AC,27,0)," ")</f>
        <v>Смарт-Сэйл</v>
      </c>
      <c r="C219" s="43" t="s">
        <v>3450</v>
      </c>
      <c r="D219" s="22" t="str">
        <f>IFERROR(VLOOKUP(C219,'Лист4'!D:P,13,0)," ")</f>
        <v>CPA</v>
      </c>
      <c r="E219" s="22" t="str">
        <f>IF(OR(ISERROR(VLOOKUP(C219,'Актуальность'!A:B,2,0)), VLOOKUP(C219,'Актуальность'!A:B,2,0)=""), "Актуальный", VLOOKUP(C219,'Актуальность'!A:B,2,0))</f>
        <v>Актуальный</v>
      </c>
      <c r="F219" s="43" t="str">
        <f>IFERROR(VLOOKUP(C219,'Актуальность'!A:C,3,0)," ")</f>
        <v/>
      </c>
      <c r="G219" s="43"/>
      <c r="H219" s="22" t="s">
        <v>2663</v>
      </c>
      <c r="I219" s="22" t="s">
        <v>1027</v>
      </c>
      <c r="J219" s="43"/>
      <c r="K219" s="43"/>
      <c r="L219" s="22" t="b">
        <f t="shared" ref="L219:R219" si="215">T219&lt;&gt;""</f>
        <v>1</v>
      </c>
      <c r="M219" s="22" t="b">
        <f t="shared" si="215"/>
        <v>1</v>
      </c>
      <c r="N219" s="22" t="b">
        <f t="shared" si="215"/>
        <v>1</v>
      </c>
      <c r="O219" s="22" t="b">
        <f t="shared" si="215"/>
        <v>1</v>
      </c>
      <c r="P219" s="22" t="b">
        <f t="shared" si="215"/>
        <v>0</v>
      </c>
      <c r="Q219" s="22" t="b">
        <f t="shared" si="215"/>
        <v>0</v>
      </c>
      <c r="R219" s="22" t="b">
        <f t="shared" si="215"/>
        <v>0</v>
      </c>
      <c r="S219" s="43"/>
      <c r="T219" s="43" t="str">
        <f>IFERROR(VLOOKUP( C219,'1С'!A:B,2,0)," ")</f>
        <v>CO101100437</v>
      </c>
      <c r="U219" s="22" t="str">
        <f>IFERROR(VLOOKUP(T219,'Лист4'!C:I,3,0)," ")</f>
        <v>khvoinitsa</v>
      </c>
      <c r="V219" s="22" t="str">
        <f>IFERROR(VLOOKUP(T219,'Лист4'!C:I,4,0)," ")</f>
        <v>khvoinitsa</v>
      </c>
      <c r="W219" s="22" t="str">
        <f>IFERROR(VLOOKUP(T219,'Лист4'!C:I,5,0)," ")</f>
        <v>khvoinitsa</v>
      </c>
      <c r="X219" s="43" t="str">
        <f>IFERROR(VLOOKUP(T219,'Лист4'!C:I,7,0)," ")</f>
        <v/>
      </c>
      <c r="Y219" s="43" t="str">
        <f>IFERROR(VLOOKUP(T219,'Лист4'!C:I,6,0)," ")</f>
        <v/>
      </c>
      <c r="Z219" s="43"/>
      <c r="AA219" s="43"/>
      <c r="AB219" s="22">
        <v>1.04628658E8</v>
      </c>
      <c r="AC219" s="22">
        <v>7.36435678E8</v>
      </c>
      <c r="AD219" s="22">
        <v>1.03340899028E11</v>
      </c>
      <c r="AE219" s="22"/>
      <c r="AF219" s="22"/>
      <c r="AG219" s="43"/>
      <c r="AH219" s="43"/>
      <c r="AI219" s="43" t="str">
        <f>IFERROR(VLOOKUP(T219,'1С'!B:C,2,0)," ")</f>
        <v>Пищевая добавка Хвойница , CPA, 7 саше</v>
      </c>
      <c r="AJ219" s="22" t="s">
        <v>3453</v>
      </c>
      <c r="AK219" s="22" t="s">
        <v>3453</v>
      </c>
      <c r="AL219" s="22" t="s">
        <v>3454</v>
      </c>
      <c r="AM219" s="43"/>
      <c r="AN219" s="43"/>
      <c r="AO219" s="43"/>
      <c r="AP219" s="43"/>
      <c r="AQ219" s="46" t="s">
        <v>3455</v>
      </c>
      <c r="AR219" s="46" t="s">
        <v>3456</v>
      </c>
      <c r="AS219" s="46" t="s">
        <v>3457</v>
      </c>
      <c r="AT219" s="43"/>
      <c r="AU219" s="43"/>
      <c r="AV219" s="43"/>
      <c r="AW219" s="43"/>
      <c r="AX219" s="22" t="s">
        <v>3458</v>
      </c>
      <c r="AY219" s="22" t="s">
        <v>3453</v>
      </c>
      <c r="AZ219" s="22" t="s">
        <v>372</v>
      </c>
      <c r="BA219" s="43"/>
      <c r="BB219" s="43"/>
      <c r="BC219" s="43"/>
      <c r="BD219" s="43"/>
      <c r="BE219" s="43"/>
      <c r="BF219" s="22">
        <f>IFERROR(VLOOKUP(C219,'спецификация'!B:D,3,0)," ")</f>
        <v>4631144673063</v>
      </c>
      <c r="BG219" s="22"/>
      <c r="BH219" s="22" t="str">
        <f>IFERROR(VLOOKUP(C219,'спецификация'!B:AA,5,0)," ")</f>
        <v>ЕАЭС N RU Д-RU.РА03.В.97282/24 от 27.04.2024 по 25.04.2029</v>
      </c>
      <c r="BI219" s="22"/>
      <c r="BJ219" s="22" t="str">
        <f>IFERROR(VLOOKUP(C219,'спецификация'!B:AA,6,0)," ")</f>
        <v/>
      </c>
      <c r="BK219" s="43"/>
      <c r="BL219" s="43"/>
      <c r="BM219" s="22" t="str">
        <f>IFERROR(VLOOKUP(BF219,'спецификация'!D:H,5,0)," ")</f>
        <v>Хвоя сосны, хвоя можжевельника.
</v>
      </c>
      <c r="BN219" s="43"/>
      <c r="BO219" s="22" t="str">
        <f>IFERROR(VLOOKUP(C219,'спецификация'!B:AA,10,0)," ")</f>
        <v/>
      </c>
      <c r="BP219" s="43" t="str">
        <f>IFERROR(VLOOKUP(C219,'спецификация'!B:AA,11,0)," ")</f>
        <v>индивидуальная непереносимость компонентов, беременность, кормление грудью, возраст младше 18 лет, проблемы с ЖКТ. Перед применением необходимо проконсультироваться с врачом.</v>
      </c>
      <c r="BQ219" s="22" t="str">
        <f>IFERROR(VLOOKUP(C219,'спецификация'!B:AA,12,0)," ")</f>
        <v> хранить в оригинальной закрытой упаковке в защищенном от прямых солнечных лучей и недоступном для детей месте при температуре не выше +25ºС.
</v>
      </c>
      <c r="BR219" s="22">
        <v>7.0</v>
      </c>
      <c r="BS219" s="60" t="s">
        <v>3464</v>
      </c>
      <c r="BT219" s="60"/>
      <c r="BU219" s="22"/>
      <c r="BV219" s="22"/>
      <c r="BW219" s="44" t="str">
        <f>IFERROR(VLOOKUP(C219,'спецификация'!B:AA,16,0)," ")</f>
        <v>https://drive.google.com/drive/folders/175bOAVUoW15hBtRVK13_l5jJVZntAiAu</v>
      </c>
      <c r="BX219" s="43"/>
      <c r="BY219" s="43"/>
      <c r="BZ219" s="45" t="str">
        <f>IFERROR(VLOOKUP(BF219,'спецификация'!D:Y,22,0)," ")</f>
        <v/>
      </c>
      <c r="CA219" s="43"/>
      <c r="CB219" s="43"/>
      <c r="CC219" s="43"/>
      <c r="CD219" s="43"/>
      <c r="CE219" s="43"/>
      <c r="CF219" s="43"/>
      <c r="CG219" s="49">
        <f>IFERROR(VLOOKUP(C219,CC!A:D,4,0)," ")</f>
        <v>114.81</v>
      </c>
      <c r="CH219" s="22" t="str">
        <f>IFERROR(VLOOKUP(C219,'спецификация'!B:AA,19,0)," ")</f>
        <v>ООО «Восток Плюс», 107113, г. Москва, Сокольническая пл., дом 4а, этаж 3, пом.IV, комн.11</v>
      </c>
      <c r="CI219" s="22"/>
      <c r="CJ219" s="43"/>
      <c r="CK219" s="22">
        <f>IFERROR(VLOOKUP(C219,CC!K:M,3,0)," ")</f>
        <v>45</v>
      </c>
      <c r="CL219" s="43"/>
      <c r="CM219" s="43"/>
      <c r="CN219" s="43"/>
      <c r="CO219" s="43"/>
      <c r="CP219" s="43"/>
      <c r="CQ219" s="43"/>
      <c r="CR219" s="43"/>
      <c r="CS219" s="43" t="b">
        <v>0</v>
      </c>
      <c r="CT219" s="43" t="b">
        <v>0</v>
      </c>
      <c r="CU219" s="43" t="b">
        <v>0</v>
      </c>
      <c r="CV219" s="43" t="b">
        <v>0</v>
      </c>
      <c r="CW219" s="43"/>
      <c r="CX219" s="43"/>
      <c r="CY219" s="43"/>
      <c r="CZ219" s="43"/>
      <c r="DA219" s="43"/>
      <c r="DB219" s="43"/>
      <c r="DC219" s="43"/>
      <c r="DD219" s="22">
        <f>IFERROR(VLOOKUP($C219,'Лист4'!$D:$AI,27,0)," ")</f>
        <v>6</v>
      </c>
      <c r="DE219" s="22">
        <f>IFERROR(VLOOKUP($C219,'Лист4'!$D:$AI,28,0)," ")</f>
        <v>11</v>
      </c>
      <c r="DF219" s="22">
        <f>IFERROR(VLOOKUP($C219,'Лист4'!$D:$AI,29,0)," ")</f>
        <v>6</v>
      </c>
      <c r="DG219" s="22">
        <f t="shared" si="3"/>
        <v>396</v>
      </c>
      <c r="DH219" s="22">
        <f>IFERROR(VLOOKUP($C219,'Лист4'!$D:$AI,32,0)," ")</f>
        <v>0.046</v>
      </c>
      <c r="DI219" s="22"/>
      <c r="DJ219" s="22"/>
      <c r="DK219" s="22"/>
      <c r="DL219" s="22"/>
      <c r="DM219" s="22"/>
      <c r="DN219" s="22"/>
      <c r="DO219" s="22"/>
      <c r="DP219" s="22"/>
      <c r="DQ219" s="22"/>
      <c r="DR219" s="22"/>
      <c r="DS219" s="22"/>
      <c r="DT219" s="22"/>
      <c r="DU219" s="22"/>
      <c r="DV219" s="22"/>
      <c r="DW219" s="22"/>
      <c r="DX219" s="22"/>
      <c r="DY219" s="22"/>
      <c r="DZ219" s="22"/>
      <c r="EA219" s="22"/>
      <c r="EB219" s="22"/>
      <c r="EC219" s="22"/>
      <c r="ED219" s="22"/>
      <c r="EE219" s="22"/>
      <c r="EF219" s="22"/>
      <c r="EG219" s="22"/>
      <c r="EH219" s="22"/>
      <c r="EI219" s="22"/>
      <c r="EJ219" s="22"/>
      <c r="EK219" s="22"/>
      <c r="EL219" s="22"/>
      <c r="EM219" s="43"/>
      <c r="EN219" s="43"/>
      <c r="EO219" s="43"/>
      <c r="EP219" s="43"/>
      <c r="EQ219" s="43"/>
      <c r="ER219" s="43"/>
      <c r="ES219" s="43"/>
      <c r="ET219" s="43"/>
      <c r="EU219" s="43"/>
      <c r="EV219" s="43"/>
      <c r="EW219" s="43"/>
      <c r="EX219" s="43"/>
      <c r="EY219" s="43"/>
      <c r="EZ219" s="43"/>
      <c r="FA219" s="43"/>
      <c r="FB219" s="43"/>
      <c r="FC219" s="43"/>
    </row>
    <row r="220" ht="18.0" customHeight="1">
      <c r="A220" s="2"/>
      <c r="B220" s="22" t="str">
        <f>IFERROR(VLOOKUP(C220,'Реестр'!C:AC,27,0)," ")</f>
        <v>Смарт-Сэйл</v>
      </c>
      <c r="C220" s="43" t="s">
        <v>3466</v>
      </c>
      <c r="D220" s="22" t="str">
        <f>IFERROR(VLOOKUP(C220,'Лист4'!D:P,13,0)," ")</f>
        <v>Алтея</v>
      </c>
      <c r="E220" s="22" t="str">
        <f>IF(OR(ISERROR(VLOOKUP(C220,'Актуальность'!A:B,2,0)), VLOOKUP(C220,'Актуальность'!A:B,2,0)=""), "Актуальный", VLOOKUP(C220,'Актуальность'!A:B,2,0))</f>
        <v>Актуальный</v>
      </c>
      <c r="F220" s="43" t="str">
        <f>IFERROR(VLOOKUP(C220,'Актуальность'!A:C,3,0)," ")</f>
        <v/>
      </c>
      <c r="G220" s="43"/>
      <c r="H220" s="22" t="s">
        <v>2743</v>
      </c>
      <c r="I220" s="22" t="s">
        <v>287</v>
      </c>
      <c r="J220" s="43"/>
      <c r="K220" s="43"/>
      <c r="L220" s="22" t="b">
        <f t="shared" ref="L220:R220" si="216">T220&lt;&gt;""</f>
        <v>1</v>
      </c>
      <c r="M220" s="22" t="b">
        <f t="shared" si="216"/>
        <v>1</v>
      </c>
      <c r="N220" s="22" t="b">
        <f t="shared" si="216"/>
        <v>1</v>
      </c>
      <c r="O220" s="22" t="b">
        <f t="shared" si="216"/>
        <v>1</v>
      </c>
      <c r="P220" s="22" t="b">
        <f t="shared" si="216"/>
        <v>1</v>
      </c>
      <c r="Q220" s="22" t="b">
        <f t="shared" si="216"/>
        <v>1</v>
      </c>
      <c r="R220" s="22" t="b">
        <f t="shared" si="216"/>
        <v>1</v>
      </c>
      <c r="S220" s="43"/>
      <c r="T220" s="43" t="str">
        <f>IFERROR(VLOOKUP( C220,'1С'!A:B,2,0)," ")</f>
        <v>AC101100417</v>
      </c>
      <c r="U220" s="22" t="str">
        <f>IFERROR(VLOOKUP(T220,'Лист4'!C:I,3,0)," ")</f>
        <v>matte_wax_50ml</v>
      </c>
      <c r="V220" s="22" t="str">
        <f>IFERROR(VLOOKUP(T220,'Лист4'!C:I,4,0)," ")</f>
        <v>matte_wax_50ml</v>
      </c>
      <c r="W220" s="22" t="str">
        <f>IFERROR(VLOOKUP(T220,'Лист4'!C:I,5,0)," ")</f>
        <v>matte_wax_50ml</v>
      </c>
      <c r="X220" s="43" t="str">
        <f>IFERROR(VLOOKUP(T220,'Лист4'!C:I,7,0)," ")</f>
        <v>matte_wax_50ml</v>
      </c>
      <c r="Y220" s="43" t="str">
        <f>IFERROR(VLOOKUP(T220,'Лист4'!C:I,6,0)," ")</f>
        <v>matte_wax_50ml</v>
      </c>
      <c r="Z220" s="22" t="s">
        <v>3466</v>
      </c>
      <c r="AA220" s="43"/>
      <c r="AB220" s="22">
        <v>4.18209838E8</v>
      </c>
      <c r="AC220" s="22">
        <v>2.138175361E9</v>
      </c>
      <c r="AD220" s="22">
        <v>4.476315416E9</v>
      </c>
      <c r="AE220" s="22">
        <v>9.9000114732E10</v>
      </c>
      <c r="AF220" s="22" t="s">
        <v>3469</v>
      </c>
      <c r="AG220" s="22" t="s">
        <v>3470</v>
      </c>
      <c r="AH220" s="43"/>
      <c r="AI220" s="43" t="str">
        <f>IFERROR(VLOOKUP(T220,'1С'!B:C,2,0)," ")</f>
        <v>Воск для укладки волос, Алтея, 50 мл</v>
      </c>
      <c r="AJ220" s="22" t="s">
        <v>3471</v>
      </c>
      <c r="AK220" s="22" t="s">
        <v>3472</v>
      </c>
      <c r="AL220" s="22" t="s">
        <v>3473</v>
      </c>
      <c r="AM220" s="22" t="s">
        <v>3474</v>
      </c>
      <c r="AN220" s="22" t="s">
        <v>3475</v>
      </c>
      <c r="AO220" s="22" t="s">
        <v>3476</v>
      </c>
      <c r="AP220" s="43"/>
      <c r="AQ220" s="46" t="s">
        <v>3477</v>
      </c>
      <c r="AR220" s="46" t="s">
        <v>3478</v>
      </c>
      <c r="AS220" s="46" t="s">
        <v>3479</v>
      </c>
      <c r="AT220" s="43"/>
      <c r="AU220" s="46" t="s">
        <v>3480</v>
      </c>
      <c r="AV220" s="46" t="s">
        <v>3481</v>
      </c>
      <c r="AW220" s="43"/>
      <c r="AX220" s="22" t="s">
        <v>3482</v>
      </c>
      <c r="AY220" s="22" t="s">
        <v>3472</v>
      </c>
      <c r="AZ220" s="22" t="s">
        <v>3483</v>
      </c>
      <c r="BA220" s="22" t="s">
        <v>1493</v>
      </c>
      <c r="BB220" s="22" t="s">
        <v>3484</v>
      </c>
      <c r="BC220" s="22" t="s">
        <v>3485</v>
      </c>
      <c r="BD220" s="43"/>
      <c r="BE220" s="43"/>
      <c r="BF220" s="22">
        <f>IFERROR(VLOOKUP(C220,'спецификация'!B:D,3,0)," ")</f>
        <v>4603320465304</v>
      </c>
      <c r="BG220" s="22">
        <v>3.3051E9</v>
      </c>
      <c r="BH220" s="22" t="str">
        <f>IFERROR(VLOOKUP(C220,'спецификация'!B:AA,5,0)," ")</f>
        <v/>
      </c>
      <c r="BI220" s="22"/>
      <c r="BJ220" s="22" t="str">
        <f>IFERROR(VLOOKUP(C220,'спецификация'!B:AA,6,0)," ")</f>
        <v>нет</v>
      </c>
      <c r="BK220" s="43"/>
      <c r="BL220" s="43"/>
      <c r="BM220" s="22" t="str">
        <f>IFERROR(VLOOKUP(BF220,'спецификация'!D:H,5,0)," ")</f>
        <v>Aqua, Ceteareth-20, Microcrystalline Wax, Cetearyl Alcohol, Beeswax, Polyvinylpyrrolidone, Liquid Paraffin, Kaolin, Glyceryl Stearate, Fragrance, Phenoxyethanol, Bergamot Essential Oil, Ethylhexylglycerin, Linalool</v>
      </c>
      <c r="BN220" s="43"/>
      <c r="BO220" s="22" t="str">
        <f>IFERROR(VLOOKUP(C220,'спецификация'!B:AA,10,0)," ")</f>
        <v>Возьмите небольшое количество продукта размером с горошину. Равномерно разотрите средство по ладоням до полного распределения. </v>
      </c>
      <c r="BP220" s="43" t="str">
        <f>IFERROR(VLOOKUP(C220,'спецификация'!B:AA,11,0)," ")</f>
        <v>не наносите на поврежденную кожу и избегайте попадания в глаза. При попадании в глаза тщательно промойте водой. Возможна индивидуальная непереносимость компонентов.</v>
      </c>
      <c r="BQ220" s="22" t="str">
        <f>IFERROR(VLOOKUP(C220,'спецификация'!B:AA,12,0)," ")</f>
        <v>хранят при температуре не ниже плюс 5 ˚С и не выше плюс 25 ˚С Не допускается хранить продукцию под непосредственным воздействием солнечного света и вблизи отопительных приборов.  </v>
      </c>
      <c r="BR220" s="22">
        <v>50.0</v>
      </c>
      <c r="BS220" s="22" t="s">
        <v>139</v>
      </c>
      <c r="BT220" s="22"/>
      <c r="BU220" s="22"/>
      <c r="BV220" s="22" t="s">
        <v>727</v>
      </c>
      <c r="BW220" s="44" t="str">
        <f>IFERROR(VLOOKUP(C220,'спецификация'!B:AA,16,0)," ")</f>
        <v>https://docs.google.com/document/d/1k6sGlZB06CCgdKoCPkks1KREtMI049ud/edit?usp=drive_web&amp;ouid=104241417680089502627&amp;rtpof=true</v>
      </c>
      <c r="BX220" s="43"/>
      <c r="BY220" s="43"/>
      <c r="BZ220" s="45" t="str">
        <f>IFERROR(VLOOKUP(BF220,'спецификация'!D:Y,22,0)," ")</f>
        <v/>
      </c>
      <c r="CA220" s="43"/>
      <c r="CB220" s="43"/>
      <c r="CC220" s="43"/>
      <c r="CD220" s="43"/>
      <c r="CE220" s="43"/>
      <c r="CF220" s="43"/>
      <c r="CG220" s="49">
        <f>IFERROR(VLOOKUP(C220,CC!A:D,4,0)," ")</f>
        <v>115.9</v>
      </c>
      <c r="CH220" s="22" t="str">
        <f>IFERROR(VLOOKUP(C220,'спецификация'!B:AA,19,0)," ")</f>
        <v>ООО Марвел</v>
      </c>
      <c r="CI220" s="22"/>
      <c r="CJ220" s="22" t="s">
        <v>3490</v>
      </c>
      <c r="CK220" s="22">
        <f>IFERROR(VLOOKUP(C220,CC!K:M,3,0)," ")</f>
        <v>60</v>
      </c>
      <c r="CL220" s="43"/>
      <c r="CM220" s="43"/>
      <c r="CN220" s="43"/>
      <c r="CO220" s="43"/>
      <c r="CP220" s="43"/>
      <c r="CQ220" s="43"/>
      <c r="CR220" s="43"/>
      <c r="CS220" s="43" t="b">
        <v>0</v>
      </c>
      <c r="CT220" s="43" t="b">
        <v>0</v>
      </c>
      <c r="CU220" s="43" t="b">
        <v>0</v>
      </c>
      <c r="CV220" s="43" t="b">
        <v>0</v>
      </c>
      <c r="CW220" s="43"/>
      <c r="CX220" s="43"/>
      <c r="CY220" s="43"/>
      <c r="CZ220" s="43"/>
      <c r="DA220" s="43"/>
      <c r="DB220" s="43"/>
      <c r="DC220" s="43"/>
      <c r="DD220" s="22">
        <f>IFERROR(VLOOKUP($C220,'Лист4'!$D:$AI,27,0)," ")</f>
        <v>15</v>
      </c>
      <c r="DE220" s="22">
        <f>IFERROR(VLOOKUP($C220,'Лист4'!$D:$AI,28,0)," ")</f>
        <v>10</v>
      </c>
      <c r="DF220" s="22">
        <f>IFERROR(VLOOKUP($C220,'Лист4'!$D:$AI,29,0)," ")</f>
        <v>15</v>
      </c>
      <c r="DG220" s="22">
        <f t="shared" si="3"/>
        <v>2250</v>
      </c>
      <c r="DH220" s="22">
        <f>IFERROR(VLOOKUP($C220,'Лист4'!$D:$AI,32,0)," ")</f>
        <v>0.091</v>
      </c>
      <c r="DI220" s="22"/>
      <c r="DJ220" s="22"/>
      <c r="DK220" s="22"/>
      <c r="DL220" s="22"/>
      <c r="DM220" s="22"/>
      <c r="DN220" s="22"/>
      <c r="DO220" s="22"/>
      <c r="DP220" s="22"/>
      <c r="DQ220" s="22"/>
      <c r="DR220" s="22"/>
      <c r="DS220" s="22"/>
      <c r="DT220" s="22"/>
      <c r="DU220" s="22"/>
      <c r="DV220" s="22"/>
      <c r="DW220" s="22"/>
      <c r="DX220" s="22"/>
      <c r="DY220" s="22"/>
      <c r="DZ220" s="22"/>
      <c r="EA220" s="22"/>
      <c r="EB220" s="22"/>
      <c r="EC220" s="22"/>
      <c r="ED220" s="22"/>
      <c r="EE220" s="22"/>
      <c r="EF220" s="22"/>
      <c r="EG220" s="22"/>
      <c r="EH220" s="22"/>
      <c r="EI220" s="22"/>
      <c r="EJ220" s="22"/>
      <c r="EK220" s="22"/>
      <c r="EL220" s="22"/>
      <c r="EM220" s="43"/>
      <c r="EN220" s="43"/>
      <c r="EO220" s="43"/>
      <c r="EP220" s="43"/>
      <c r="EQ220" s="43"/>
      <c r="ER220" s="43"/>
      <c r="ES220" s="43"/>
      <c r="ET220" s="43"/>
      <c r="EU220" s="43"/>
      <c r="EV220" s="43"/>
      <c r="EW220" s="43"/>
      <c r="EX220" s="43"/>
      <c r="EY220" s="43"/>
      <c r="EZ220" s="43"/>
      <c r="FA220" s="43"/>
      <c r="FB220" s="43"/>
      <c r="FC220" s="43"/>
    </row>
    <row r="221" ht="18.0" customHeight="1">
      <c r="A221" s="2"/>
      <c r="B221" s="22" t="str">
        <f>IFERROR(VLOOKUP(C221,'Реестр'!C:AC,27,0)," ")</f>
        <v>Смарт-Сэйл</v>
      </c>
      <c r="C221" s="43" t="s">
        <v>3491</v>
      </c>
      <c r="D221" s="22" t="str">
        <f>IFERROR(VLOOKUP(C221,'Лист4'!D:P,13,0)," ")</f>
        <v>CPA</v>
      </c>
      <c r="E221" s="22" t="str">
        <f>IF(OR(ISERROR(VLOOKUP(C221,'Актуальность'!A:B,2,0)), VLOOKUP(C221,'Актуальность'!A:B,2,0)=""), "Актуальный", VLOOKUP(C221,'Актуальность'!A:B,2,0))</f>
        <v>Актуальный</v>
      </c>
      <c r="F221" s="43" t="str">
        <f>IFERROR(VLOOKUP(C221,'Актуальность'!A:C,3,0)," ")</f>
        <v/>
      </c>
      <c r="G221" s="43"/>
      <c r="H221" s="22" t="s">
        <v>2663</v>
      </c>
      <c r="I221" s="22" t="s">
        <v>2860</v>
      </c>
      <c r="J221" s="43"/>
      <c r="K221" s="43"/>
      <c r="L221" s="22" t="b">
        <f t="shared" ref="L221:R221" si="217">T221&lt;&gt;""</f>
        <v>1</v>
      </c>
      <c r="M221" s="22" t="b">
        <f t="shared" si="217"/>
        <v>1</v>
      </c>
      <c r="N221" s="22" t="b">
        <f t="shared" si="217"/>
        <v>1</v>
      </c>
      <c r="O221" s="22" t="b">
        <f t="shared" si="217"/>
        <v>1</v>
      </c>
      <c r="P221" s="22" t="b">
        <f t="shared" si="217"/>
        <v>0</v>
      </c>
      <c r="Q221" s="22" t="b">
        <f t="shared" si="217"/>
        <v>0</v>
      </c>
      <c r="R221" s="22" t="b">
        <f t="shared" si="217"/>
        <v>0</v>
      </c>
      <c r="S221" s="43"/>
      <c r="T221" s="43" t="str">
        <f>IFERROR(VLOOKUP( C221,'1С'!A:B,2,0)," ")</f>
        <v>CC101100414</v>
      </c>
      <c r="U221" s="22" t="str">
        <f>IFERROR(VLOOKUP(T221,'Лист4'!C:I,3,0)," ")</f>
        <v>allicil_gribok15ml</v>
      </c>
      <c r="V221" s="22" t="str">
        <f>IFERROR(VLOOKUP(T221,'Лист4'!C:I,4,0)," ")</f>
        <v>allicil_gribok15ml</v>
      </c>
      <c r="W221" s="22" t="str">
        <f>IFERROR(VLOOKUP(T221,'Лист4'!C:I,5,0)," ")</f>
        <v>allicil_gribok15ml</v>
      </c>
      <c r="X221" s="43" t="str">
        <f>IFERROR(VLOOKUP(T221,'Лист4'!C:I,7,0)," ")</f>
        <v/>
      </c>
      <c r="Y221" s="43" t="str">
        <f>IFERROR(VLOOKUP(T221,'Лист4'!C:I,6,0)," ")</f>
        <v/>
      </c>
      <c r="Z221" s="43"/>
      <c r="AA221" s="43"/>
      <c r="AB221" s="22">
        <v>1.51393048E8</v>
      </c>
      <c r="AC221" s="22">
        <v>9.16705489E8</v>
      </c>
      <c r="AD221" s="22">
        <v>1.02072156318E11</v>
      </c>
      <c r="AE221" s="22"/>
      <c r="AF221" s="22"/>
      <c r="AG221" s="43"/>
      <c r="AH221" s="43"/>
      <c r="AI221" s="43" t="str">
        <f>IFERROR(VLOOKUP(T221,'1С'!B:C,2,0)," ")</f>
        <v>Мазь от грибка ногтей Аллицил, CPA, 15 мл</v>
      </c>
      <c r="AJ221" s="22" t="s">
        <v>3494</v>
      </c>
      <c r="AK221" s="22" t="s">
        <v>3495</v>
      </c>
      <c r="AL221" s="22" t="s">
        <v>3496</v>
      </c>
      <c r="AM221" s="43"/>
      <c r="AN221" s="43"/>
      <c r="AO221" s="43"/>
      <c r="AP221" s="43"/>
      <c r="AQ221" s="46" t="s">
        <v>3497</v>
      </c>
      <c r="AR221" s="46" t="s">
        <v>3498</v>
      </c>
      <c r="AS221" s="46" t="s">
        <v>3499</v>
      </c>
      <c r="AT221" s="43"/>
      <c r="AU221" s="43"/>
      <c r="AV221" s="43"/>
      <c r="AW221" s="43"/>
      <c r="AX221" s="22" t="s">
        <v>594</v>
      </c>
      <c r="AY221" s="22" t="s">
        <v>3495</v>
      </c>
      <c r="AZ221" s="22" t="s">
        <v>2672</v>
      </c>
      <c r="BA221" s="43"/>
      <c r="BB221" s="43"/>
      <c r="BC221" s="43"/>
      <c r="BD221" s="43"/>
      <c r="BE221" s="43"/>
      <c r="BF221" s="22">
        <f>IFERROR(VLOOKUP(C221,'спецификация'!B:D,3,0)," ")</f>
        <v>4627144543055</v>
      </c>
      <c r="BG221" s="22">
        <v>3.30499E9</v>
      </c>
      <c r="BH221" s="22" t="str">
        <f>IFERROR(VLOOKUP(C221,'спецификация'!B:AA,5,0)," ")</f>
        <v>ЕАЭС N RU Д-RU.PA01.B.33475/23 от 25.01.2023 до 23.01.2028</v>
      </c>
      <c r="BI221" s="22"/>
      <c r="BJ221" s="22" t="str">
        <f>IFERROR(VLOOKUP(C221,'спецификация'!B:AA,6,0)," ")</f>
        <v/>
      </c>
      <c r="BK221" s="43"/>
      <c r="BL221" s="43"/>
      <c r="BM221" s="22" t="str">
        <f>IFERROR(VLOOKUP(BF221,'спецификация'!D:H,5,0)," ")</f>
        <v>вода, карбомер, экстракт чеснока, экстракт чёрного ореха, жгун-корень моннье, софора, экстракт чистотела, экстракт стемоны японской, триэтаноламин, камфора, консервант.</v>
      </c>
      <c r="BN221" s="43"/>
      <c r="BO221" s="22" t="str">
        <f>IFERROR(VLOOKUP(C221,'спецификация'!B:AA,10,0)," ")</f>
        <v/>
      </c>
      <c r="BP221" s="43" t="str">
        <f>IFERROR(VLOOKUP(C221,'спецификация'!B:AA,11,0)," ")</f>
        <v>индивидуальная непереносимость компонентов продукта, беременность, кормление грудью. </v>
      </c>
      <c r="BQ221" s="22" t="str">
        <f>IFERROR(VLOOKUP(C221,'спецификация'!B:AA,12,0)," ")</f>
        <v>хранить в оригинальной упаковке, в защищенном от прямых солнечных лучей и недоступном для детей месте при температуре не выше 25°С.</v>
      </c>
      <c r="BR221" s="22">
        <v>15.0</v>
      </c>
      <c r="BS221" s="22" t="s">
        <v>3504</v>
      </c>
      <c r="BT221" s="22"/>
      <c r="BU221" s="22"/>
      <c r="BV221" s="22"/>
      <c r="BW221" s="44" t="str">
        <f>IFERROR(VLOOKUP(C221,'спецификация'!B:AA,16,0)," ")</f>
        <v>https://drive.google.com/drive/folders/1Ym7nsvAqaEG-eS6oeevSB0uvjPtgJkTx</v>
      </c>
      <c r="BX221" s="43"/>
      <c r="BY221" s="43"/>
      <c r="BZ221" s="45" t="str">
        <f>IFERROR(VLOOKUP(BF221,'спецификация'!D:Y,22,0)," ")</f>
        <v/>
      </c>
      <c r="CA221" s="43"/>
      <c r="CB221" s="43"/>
      <c r="CC221" s="43"/>
      <c r="CD221" s="43"/>
      <c r="CE221" s="43"/>
      <c r="CF221" s="43"/>
      <c r="CG221" s="49">
        <f>IFERROR(VLOOKUP(C221,CC!A:D,4,0)," ")</f>
        <v>97.1</v>
      </c>
      <c r="CH221" s="22" t="str">
        <f>IFERROR(VLOOKUP(C221,'спецификация'!B:AA,19,0)," ")</f>
        <v>ООО «Восток Плюс», 107113, г. Москва, Сокольническая пл., дом 4а, этаж 3.</v>
      </c>
      <c r="CI221" s="22"/>
      <c r="CJ221" s="43"/>
      <c r="CK221" s="22">
        <f>IFERROR(VLOOKUP(C221,CC!K:M,3,0)," ")</f>
        <v>45</v>
      </c>
      <c r="CL221" s="43"/>
      <c r="CM221" s="43"/>
      <c r="CN221" s="43"/>
      <c r="CO221" s="43"/>
      <c r="CP221" s="43"/>
      <c r="CQ221" s="43"/>
      <c r="CR221" s="43"/>
      <c r="CS221" s="43" t="b">
        <v>0</v>
      </c>
      <c r="CT221" s="43" t="b">
        <v>0</v>
      </c>
      <c r="CU221" s="43" t="b">
        <v>0</v>
      </c>
      <c r="CV221" s="43" t="b">
        <v>0</v>
      </c>
      <c r="CW221" s="43"/>
      <c r="CX221" s="43"/>
      <c r="CY221" s="43"/>
      <c r="CZ221" s="43"/>
      <c r="DA221" s="43"/>
      <c r="DB221" s="43"/>
      <c r="DC221" s="43"/>
      <c r="DD221" s="22">
        <f>IFERROR(VLOOKUP($C221,'Лист4'!$D:$AI,27,0)," ")</f>
        <v>10</v>
      </c>
      <c r="DE221" s="22">
        <f>IFERROR(VLOOKUP($C221,'Лист4'!$D:$AI,28,0)," ")</f>
        <v>2</v>
      </c>
      <c r="DF221" s="22">
        <f>IFERROR(VLOOKUP($C221,'Лист4'!$D:$AI,29,0)," ")</f>
        <v>10</v>
      </c>
      <c r="DG221" s="22">
        <f t="shared" si="3"/>
        <v>200</v>
      </c>
      <c r="DH221" s="22">
        <f>IFERROR(VLOOKUP($C221,'Лист4'!$D:$AI,32,0)," ")</f>
        <v>0.023</v>
      </c>
      <c r="DI221" s="22"/>
      <c r="DJ221" s="22"/>
      <c r="DK221" s="22"/>
      <c r="DL221" s="22"/>
      <c r="DM221" s="22"/>
      <c r="DN221" s="22"/>
      <c r="DO221" s="22"/>
      <c r="DP221" s="22"/>
      <c r="DQ221" s="22"/>
      <c r="DR221" s="22"/>
      <c r="DS221" s="22"/>
      <c r="DT221" s="22"/>
      <c r="DU221" s="22"/>
      <c r="DV221" s="22"/>
      <c r="DW221" s="22"/>
      <c r="DX221" s="22"/>
      <c r="DY221" s="22"/>
      <c r="DZ221" s="22"/>
      <c r="EA221" s="22"/>
      <c r="EB221" s="22"/>
      <c r="EC221" s="22"/>
      <c r="ED221" s="22"/>
      <c r="EE221" s="22"/>
      <c r="EF221" s="22"/>
      <c r="EG221" s="22"/>
      <c r="EH221" s="22"/>
      <c r="EI221" s="22"/>
      <c r="EJ221" s="22"/>
      <c r="EK221" s="22"/>
      <c r="EL221" s="22"/>
      <c r="EM221" s="43"/>
      <c r="EN221" s="43"/>
      <c r="EO221" s="43"/>
      <c r="EP221" s="43"/>
      <c r="EQ221" s="43"/>
      <c r="ER221" s="43"/>
      <c r="ES221" s="43"/>
      <c r="ET221" s="43"/>
      <c r="EU221" s="43"/>
      <c r="EV221" s="43"/>
      <c r="EW221" s="43"/>
      <c r="EX221" s="43"/>
      <c r="EY221" s="43"/>
      <c r="EZ221" s="43"/>
      <c r="FA221" s="43"/>
      <c r="FB221" s="43"/>
      <c r="FC221" s="43"/>
    </row>
    <row r="222" ht="18.0" customHeight="1">
      <c r="A222" s="2"/>
      <c r="B222" s="22" t="str">
        <f>IFERROR(VLOOKUP(C222,'Реестр'!C:AC,27,0)," ")</f>
        <v>Смарт-Сэйл</v>
      </c>
      <c r="C222" s="43" t="s">
        <v>3506</v>
      </c>
      <c r="D222" s="22" t="str">
        <f>IFERROR(VLOOKUP(C222,'Лист4'!D:P,13,0)," ")</f>
        <v>Алтея</v>
      </c>
      <c r="E222" s="22" t="str">
        <f>IF(OR(ISERROR(VLOOKUP(C222,'Актуальность'!A:B,2,0)), VLOOKUP(C222,'Актуальность'!A:B,2,0)=""), "Актуальный", VLOOKUP(C222,'Актуальность'!A:B,2,0))</f>
        <v>Актуальный</v>
      </c>
      <c r="F222" s="43" t="str">
        <f>IFERROR(VLOOKUP(C222,'Актуальность'!A:C,3,0)," ")</f>
        <v>Фокус+КЗ</v>
      </c>
      <c r="G222" s="43"/>
      <c r="H222" s="22" t="s">
        <v>2743</v>
      </c>
      <c r="I222" s="22" t="s">
        <v>1821</v>
      </c>
      <c r="J222" s="43"/>
      <c r="K222" s="43"/>
      <c r="L222" s="22" t="b">
        <f t="shared" ref="L222:R222" si="218">T222&lt;&gt;""</f>
        <v>1</v>
      </c>
      <c r="M222" s="22" t="b">
        <f t="shared" si="218"/>
        <v>1</v>
      </c>
      <c r="N222" s="22" t="b">
        <f t="shared" si="218"/>
        <v>1</v>
      </c>
      <c r="O222" s="22" t="b">
        <f t="shared" si="218"/>
        <v>1</v>
      </c>
      <c r="P222" s="22" t="b">
        <f t="shared" si="218"/>
        <v>1</v>
      </c>
      <c r="Q222" s="22" t="b">
        <f t="shared" si="218"/>
        <v>1</v>
      </c>
      <c r="R222" s="22" t="b">
        <f t="shared" si="218"/>
        <v>1</v>
      </c>
      <c r="S222" s="43"/>
      <c r="T222" s="43" t="str">
        <f>IFERROR(VLOOKUP( C222,'1С'!A:B,2,0)," ")</f>
        <v>AC101100450</v>
      </c>
      <c r="U222" s="22" t="str">
        <f>IFERROR(VLOOKUP(T222,'Лист4'!C:I,3,0)," ")</f>
        <v>intimvita_300ml</v>
      </c>
      <c r="V222" s="22" t="str">
        <f>IFERROR(VLOOKUP(T222,'Лист4'!C:I,4,0)," ")</f>
        <v>intimvita_300ml</v>
      </c>
      <c r="W222" s="22" t="str">
        <f>IFERROR(VLOOKUP(T222,'Лист4'!C:I,5,0)," ")</f>
        <v>intimvita_300ml</v>
      </c>
      <c r="X222" s="43" t="str">
        <f>IFERROR(VLOOKUP(T222,'Лист4'!C:I,7,0)," ")</f>
        <v>intimvita_300ml</v>
      </c>
      <c r="Y222" s="43" t="str">
        <f>IFERROR(VLOOKUP(T222,'Лист4'!C:I,6,0)," ")</f>
        <v>intimvita_300ml</v>
      </c>
      <c r="Z222" s="22" t="s">
        <v>3506</v>
      </c>
      <c r="AA222" s="43"/>
      <c r="AB222" s="22">
        <v>4.80197142E8</v>
      </c>
      <c r="AC222" s="22">
        <v>2.545691905E9</v>
      </c>
      <c r="AD222" s="22">
        <v>4.56959042E9</v>
      </c>
      <c r="AE222" s="22">
        <v>9.9000114723E10</v>
      </c>
      <c r="AF222" s="22" t="s">
        <v>3510</v>
      </c>
      <c r="AG222" s="22" t="s">
        <v>3511</v>
      </c>
      <c r="AH222" s="43"/>
      <c r="AI222" s="43" t="str">
        <f>IFERROR(VLOOKUP(T222,'1С'!B:C,2,0)," ")</f>
        <v>Гель для интимной гигиены Интимвита, Алтея, 300 мл</v>
      </c>
      <c r="AJ222" s="22" t="s">
        <v>3512</v>
      </c>
      <c r="AK222" s="22" t="s">
        <v>3513</v>
      </c>
      <c r="AL222" s="22" t="s">
        <v>3514</v>
      </c>
      <c r="AM222" s="22" t="s">
        <v>3515</v>
      </c>
      <c r="AN222" s="22" t="s">
        <v>3516</v>
      </c>
      <c r="AO222" s="22" t="s">
        <v>3517</v>
      </c>
      <c r="AP222" s="43"/>
      <c r="AQ222" s="46" t="s">
        <v>3518</v>
      </c>
      <c r="AR222" s="46" t="s">
        <v>3519</v>
      </c>
      <c r="AS222" s="46" t="s">
        <v>3520</v>
      </c>
      <c r="AT222" s="46" t="s">
        <v>3521</v>
      </c>
      <c r="AU222" s="46" t="s">
        <v>3522</v>
      </c>
      <c r="AV222" s="46" t="s">
        <v>3523</v>
      </c>
      <c r="AW222" s="43"/>
      <c r="AX222" s="22" t="s">
        <v>1832</v>
      </c>
      <c r="AY222" s="22" t="s">
        <v>3513</v>
      </c>
      <c r="AZ222" s="22" t="s">
        <v>3524</v>
      </c>
      <c r="BA222" s="22" t="s">
        <v>3525</v>
      </c>
      <c r="BB222" s="22" t="s">
        <v>3526</v>
      </c>
      <c r="BC222" s="22" t="s">
        <v>3527</v>
      </c>
      <c r="BD222" s="43"/>
      <c r="BE222" s="43"/>
      <c r="BF222" s="22">
        <f>IFERROR(VLOOKUP(C222,'спецификация'!B:D,3,0)," ")</f>
        <v>4630084865477</v>
      </c>
      <c r="BG222" s="22">
        <v>3.4013E9</v>
      </c>
      <c r="BH222" s="22" t="str">
        <f>IFERROR(VLOOKUP(C222,'спецификация'!B:AA,5,0)," ")</f>
        <v/>
      </c>
      <c r="BI222" s="22"/>
      <c r="BJ222" s="22" t="str">
        <f>IFERROR(VLOOKUP(C222,'спецификация'!B:AA,6,0)," ")</f>
        <v/>
      </c>
      <c r="BK222" s="43"/>
      <c r="BL222" s="43"/>
      <c r="BM222" s="22" t="str">
        <f>IFERROR(VLOOKUP(BF222,'спецификация'!D:H,5,0)," ")</f>
        <v>Aqua, Sodium Laureth Sulfate, Sodium Chloride, Cocamide DEA, Cocamidopropyl Betaine, Glycerin, Betaine, Propylene Glycol, Calendula Officinalis Flower Extract, Chamomilla Recutita Flower Extract, Fragaria Vesca Leaf Extract, Achillea Millefolium Herb Extract, Pyrus Cydonia Fruit Extract, PEG-120 Methyl Glucose Dioleate, Ethylene Glycol Distearate, Ethoxylated Fatty Alcohols C12-C14, Parfum, Phenoxyethanol, Ethylhexylglycerin, Lactic Acid.</v>
      </c>
      <c r="BN222" s="43"/>
      <c r="BO222" s="22" t="str">
        <f>IFERROR(VLOOKUP(C222,'спецификация'!B:AA,10,0)," ")</f>
        <v>небольшое количество геля нанести на деликатные участки тела, вспенить, тщательно смыть водой. </v>
      </c>
      <c r="BP222" s="43" t="str">
        <f>IFERROR(VLOOKUP(C222,'спецификация'!B:AA,11,0)," ")</f>
        <v>нет</v>
      </c>
      <c r="BQ222" s="22" t="str">
        <f>IFERROR(VLOOKUP(C222,'спецификация'!B:AA,12,0)," ")</f>
        <v>хранить при температуре не ниже 0ºС и не выше 25ºС</v>
      </c>
      <c r="BR222" s="22">
        <v>300.0</v>
      </c>
      <c r="BS222" s="22" t="s">
        <v>139</v>
      </c>
      <c r="BT222" s="22"/>
      <c r="BU222" s="22"/>
      <c r="BV222" s="22" t="s">
        <v>307</v>
      </c>
      <c r="BW222" s="44" t="str">
        <f>IFERROR(VLOOKUP(C222,'спецификация'!B:AA,16,0)," ")</f>
        <v>https://docs.google.com/document/d/12qIGuyAqSTiu1mokxns3mboYuqjjl6Xw/edit</v>
      </c>
      <c r="BX222" s="43"/>
      <c r="BY222" s="43"/>
      <c r="BZ222" s="45" t="str">
        <f>IFERROR(VLOOKUP(BF222,'спецификация'!D:Y,22,0)," ")</f>
        <v/>
      </c>
      <c r="CA222" s="43"/>
      <c r="CB222" s="43"/>
      <c r="CC222" s="43"/>
      <c r="CD222" s="43"/>
      <c r="CE222" s="43"/>
      <c r="CF222" s="43"/>
      <c r="CG222" s="49">
        <f>IFERROR(VLOOKUP(C222,CC!A:D,4,0)," ")</f>
        <v>104.9</v>
      </c>
      <c r="CH222" s="22" t="str">
        <f>IFERROR(VLOOKUP(C222,'спецификация'!B:AA,19,0)," ")</f>
        <v>ООО "ПФК "Две линии", Россия, 659322, Алтайский край, г. Бийск.</v>
      </c>
      <c r="CI222" s="22"/>
      <c r="CJ222" s="22" t="s">
        <v>2835</v>
      </c>
      <c r="CK222" s="22">
        <f>IFERROR(VLOOKUP(C222,CC!K:M,3,0)," ")</f>
        <v>90</v>
      </c>
      <c r="CL222" s="43"/>
      <c r="CM222" s="43"/>
      <c r="CN222" s="43"/>
      <c r="CO222" s="43"/>
      <c r="CP222" s="43"/>
      <c r="CQ222" s="43"/>
      <c r="CR222" s="43"/>
      <c r="CS222" s="43" t="b">
        <v>0</v>
      </c>
      <c r="CT222" s="43" t="b">
        <v>0</v>
      </c>
      <c r="CU222" s="43" t="b">
        <v>0</v>
      </c>
      <c r="CV222" s="43" t="b">
        <v>0</v>
      </c>
      <c r="CW222" s="43"/>
      <c r="CX222" s="43"/>
      <c r="CY222" s="43"/>
      <c r="CZ222" s="43"/>
      <c r="DA222" s="43"/>
      <c r="DB222" s="43"/>
      <c r="DC222" s="43"/>
      <c r="DD222" s="22">
        <f>IFERROR(VLOOKUP($C222,'Лист4'!$D:$AI,27,0)," ")</f>
        <v>9</v>
      </c>
      <c r="DE222" s="22">
        <f>IFERROR(VLOOKUP($C222,'Лист4'!$D:$AI,28,0)," ")</f>
        <v>18</v>
      </c>
      <c r="DF222" s="22">
        <f>IFERROR(VLOOKUP($C222,'Лист4'!$D:$AI,29,0)," ")</f>
        <v>9</v>
      </c>
      <c r="DG222" s="22">
        <f t="shared" si="3"/>
        <v>1458</v>
      </c>
      <c r="DH222" s="22">
        <f>IFERROR(VLOOKUP($C222,'Лист4'!$D:$AI,32,0)," ")</f>
        <v>0.36</v>
      </c>
      <c r="DI222" s="22"/>
      <c r="DJ222" s="22"/>
      <c r="DK222" s="22"/>
      <c r="DL222" s="22"/>
      <c r="DM222" s="22"/>
      <c r="DN222" s="22"/>
      <c r="DO222" s="22"/>
      <c r="DP222" s="22"/>
      <c r="DQ222" s="22"/>
      <c r="DR222" s="22"/>
      <c r="DS222" s="22"/>
      <c r="DT222" s="22"/>
      <c r="DU222" s="22"/>
      <c r="DV222" s="22"/>
      <c r="DW222" s="22"/>
      <c r="DX222" s="22"/>
      <c r="DY222" s="22"/>
      <c r="DZ222" s="22"/>
      <c r="EA222" s="22"/>
      <c r="EB222" s="22"/>
      <c r="EC222" s="22"/>
      <c r="ED222" s="22"/>
      <c r="EE222" s="22"/>
      <c r="EF222" s="22"/>
      <c r="EG222" s="22"/>
      <c r="EH222" s="22"/>
      <c r="EI222" s="22"/>
      <c r="EJ222" s="22"/>
      <c r="EK222" s="22"/>
      <c r="EL222" s="22"/>
      <c r="EM222" s="43"/>
      <c r="EN222" s="43"/>
      <c r="EO222" s="43"/>
      <c r="EP222" s="43"/>
      <c r="EQ222" s="43"/>
      <c r="ER222" s="43"/>
      <c r="ES222" s="43"/>
      <c r="ET222" s="43"/>
      <c r="EU222" s="43"/>
      <c r="EV222" s="43"/>
      <c r="EW222" s="43"/>
      <c r="EX222" s="43"/>
      <c r="EY222" s="43"/>
      <c r="EZ222" s="43"/>
      <c r="FA222" s="43"/>
      <c r="FB222" s="43"/>
      <c r="FC222" s="43"/>
    </row>
    <row r="223" ht="18.0" customHeight="1">
      <c r="A223" s="2"/>
      <c r="B223" s="22" t="str">
        <f>IFERROR(VLOOKUP(C223,'Реестр'!C:AC,27,0)," ")</f>
        <v>Смарт-Сэйл</v>
      </c>
      <c r="C223" s="43" t="s">
        <v>3533</v>
      </c>
      <c r="D223" s="22" t="str">
        <f>IFERROR(VLOOKUP(C223,'Лист4'!D:P,13,0)," ")</f>
        <v>Алтея</v>
      </c>
      <c r="E223" s="22" t="str">
        <f>IF(OR(ISERROR(VLOOKUP(C223,'Актуальность'!A:B,2,0)), VLOOKUP(C223,'Актуальность'!A:B,2,0)=""), "Актуальный", VLOOKUP(C223,'Актуальность'!A:B,2,0))</f>
        <v>Актуальный</v>
      </c>
      <c r="F223" s="43" t="str">
        <f>IFERROR(VLOOKUP(C223,'Актуальность'!A:C,3,0)," ")</f>
        <v/>
      </c>
      <c r="G223" s="43"/>
      <c r="H223" s="22" t="s">
        <v>2743</v>
      </c>
      <c r="I223" s="22" t="s">
        <v>565</v>
      </c>
      <c r="J223" s="43"/>
      <c r="K223" s="43"/>
      <c r="L223" s="22" t="b">
        <f t="shared" ref="L223:R223" si="219">T223&lt;&gt;""</f>
        <v>1</v>
      </c>
      <c r="M223" s="22" t="b">
        <f t="shared" si="219"/>
        <v>1</v>
      </c>
      <c r="N223" s="22" t="b">
        <f t="shared" si="219"/>
        <v>1</v>
      </c>
      <c r="O223" s="22" t="b">
        <f t="shared" si="219"/>
        <v>1</v>
      </c>
      <c r="P223" s="22" t="b">
        <f t="shared" si="219"/>
        <v>1</v>
      </c>
      <c r="Q223" s="22" t="b">
        <f t="shared" si="219"/>
        <v>1</v>
      </c>
      <c r="R223" s="22" t="b">
        <f t="shared" si="219"/>
        <v>0</v>
      </c>
      <c r="S223" s="43"/>
      <c r="T223" s="43" t="str">
        <f>IFERROR(VLOOKUP( C223,'1С'!A:B,2,0)," ")</f>
        <v>AC101100429</v>
      </c>
      <c r="U223" s="22" t="str">
        <f>IFERROR(VLOOKUP(T223,'Лист4'!C:I,3,0)," ")</f>
        <v>krem_dlya_vek_30ml</v>
      </c>
      <c r="V223" s="22" t="str">
        <f>IFERROR(VLOOKUP(T223,'Лист4'!C:I,4,0)," ")</f>
        <v>krem_dlya_vek_30ml</v>
      </c>
      <c r="W223" s="22" t="str">
        <f>IFERROR(VLOOKUP(T223,'Лист4'!C:I,5,0)," ")</f>
        <v>krem_dlya_vek_30ml</v>
      </c>
      <c r="X223" s="43" t="str">
        <f>IFERROR(VLOOKUP(T223,'Лист4'!C:I,7,0)," ")</f>
        <v>krem_dlya_vek_30ml</v>
      </c>
      <c r="Y223" s="43" t="str">
        <f>IFERROR(VLOOKUP(T223,'Лист4'!C:I,6,0)," ")</f>
        <v>krem_dlya_vek_30ml</v>
      </c>
      <c r="Z223" s="43"/>
      <c r="AA223" s="43"/>
      <c r="AB223" s="22">
        <v>4.71396076E8</v>
      </c>
      <c r="AC223" s="22">
        <v>2.498445505E9</v>
      </c>
      <c r="AD223" s="22">
        <v>4.674244671E9</v>
      </c>
      <c r="AE223" s="22">
        <v>9.9000125267E10</v>
      </c>
      <c r="AF223" s="22" t="s">
        <v>3536</v>
      </c>
      <c r="AG223" s="43"/>
      <c r="AH223" s="43"/>
      <c r="AI223" s="43" t="str">
        <f>IFERROR(VLOOKUP(T223,'1С'!B:C,2,0)," ")</f>
        <v>Крем для век от отёков, Алтея, 30 мл</v>
      </c>
      <c r="AJ223" s="22" t="s">
        <v>3537</v>
      </c>
      <c r="AK223" s="22" t="s">
        <v>3538</v>
      </c>
      <c r="AL223" s="22" t="s">
        <v>3539</v>
      </c>
      <c r="AM223" s="22" t="s">
        <v>2749</v>
      </c>
      <c r="AN223" s="22" t="s">
        <v>3540</v>
      </c>
      <c r="AO223" s="43"/>
      <c r="AP223" s="43"/>
      <c r="AQ223" s="46" t="s">
        <v>3541</v>
      </c>
      <c r="AR223" s="46" t="s">
        <v>3542</v>
      </c>
      <c r="AS223" s="46" t="s">
        <v>3543</v>
      </c>
      <c r="AT223" s="46" t="s">
        <v>3544</v>
      </c>
      <c r="AU223" s="46" t="s">
        <v>3545</v>
      </c>
      <c r="AV223" s="43"/>
      <c r="AW223" s="43"/>
      <c r="AX223" s="22" t="s">
        <v>594</v>
      </c>
      <c r="AY223" s="22" t="s">
        <v>3538</v>
      </c>
      <c r="AZ223" s="22" t="s">
        <v>3546</v>
      </c>
      <c r="BA223" s="22" t="s">
        <v>1447</v>
      </c>
      <c r="BB223" s="22" t="s">
        <v>596</v>
      </c>
      <c r="BC223" s="43"/>
      <c r="BD223" s="43"/>
      <c r="BE223" s="43"/>
      <c r="BF223" s="22" t="str">
        <f>IFERROR(VLOOKUP(C223,'спецификация'!B:D,3,0)," ")</f>
        <v>4670020498918/4660417421643</v>
      </c>
      <c r="BG223" s="22">
        <v>3.30499E9</v>
      </c>
      <c r="BH223" s="22" t="str">
        <f>IFERROR(VLOOKUP(C223,'спецификация'!B:AA,5,0)," ")</f>
        <v/>
      </c>
      <c r="BI223" s="22"/>
      <c r="BJ223" s="22" t="str">
        <f>IFERROR(VLOOKUP(C223,'спецификация'!B:AA,6,0)," ")</f>
        <v>нет</v>
      </c>
      <c r="BK223" s="43"/>
      <c r="BL223" s="43"/>
      <c r="BM223" s="22" t="str">
        <f>IFERROR(VLOOKUP(BF223,'спецификация'!D:H,5,0)," ")</f>
        <v>Aqua, Isononyl Isonona- noate, Butylene Glycol, Hydroxyethyl Urea, Glycerin, Ceteareth-20, Palmaria Palmata Extract, Palmitoil Tripeptide-5, Propyl Gallate, Gallyl Glucoside, Epigallo- catechin Gallatyl Glucoside, Caffeine, Centaurea Cyanus Flowers Extract, Simmondsia Chinensis (Jojoba) Seed Oil, Olea Europaea (Olive) Fruit Oil, Sodium Hyaluronate, Carbomer, Triethanolamine, Propylene Glycol, Parfum, Potassium Sorbate, Benzyl Alcohol, Ethylhexylglyc- erin, Hexanediol, Polysorbate - 20</v>
      </c>
      <c r="BN223" s="43"/>
      <c r="BO223" s="22" t="str">
        <f>IFERROR(VLOOKUP(C223,'спецификация'!B:AA,10,0)," ")</f>
        <v>нанесите крем на предварительно очищенную кожу вокруг глаз, распределите легкими массирующими движениями.</v>
      </c>
      <c r="BP223" s="43" t="str">
        <f>IFERROR(VLOOKUP(C223,'спецификация'!B:AA,11,0)," ")</f>
        <v>нет</v>
      </c>
      <c r="BQ223" s="22" t="str">
        <f>IFERROR(VLOOKUP(C223,'спецификация'!B:AA,12,0)," ")</f>
        <v>хранить при температуре не ниже 0˚С и не выше 25˚ Не допускается хранить продукцию под непосредственным воздействием солнечного света и вблизи отопительных приборов.  </v>
      </c>
      <c r="BR223" s="22">
        <v>30.0</v>
      </c>
      <c r="BS223" s="22" t="s">
        <v>139</v>
      </c>
      <c r="BT223" s="22"/>
      <c r="BU223" s="22"/>
      <c r="BV223" s="22" t="s">
        <v>307</v>
      </c>
      <c r="BW223" s="44" t="str">
        <f>IFERROR(VLOOKUP(C223,'спецификация'!B:AA,16,0)," ")</f>
        <v>https://docs.google.com/document/d/1IpiUK8MnCeVduzvGWU79sV4UxNaOzTqd/edit?usp=drive_web&amp;ouid=104241417680089502627&amp;rtpof=true</v>
      </c>
      <c r="BX223" s="43"/>
      <c r="BY223" s="43"/>
      <c r="BZ223" s="45" t="str">
        <f>IFERROR(VLOOKUP(BF223,'спецификация'!D:Y,22,0)," ")</f>
        <v/>
      </c>
      <c r="CA223" s="43"/>
      <c r="CB223" s="43"/>
      <c r="CC223" s="43"/>
      <c r="CD223" s="43"/>
      <c r="CE223" s="43"/>
      <c r="CF223" s="43"/>
      <c r="CG223" s="49">
        <f>IFERROR(VLOOKUP(C223,CC!A:D,4,0)," ")</f>
        <v>129.1</v>
      </c>
      <c r="CH223" s="22" t="str">
        <f>IFERROR(VLOOKUP(C223,'спецификация'!B:AA,19,0)," ")</f>
        <v>ООО "Алтэя"</v>
      </c>
      <c r="CI223" s="22"/>
      <c r="CJ223" s="22" t="s">
        <v>2835</v>
      </c>
      <c r="CK223" s="22">
        <f>IFERROR(VLOOKUP(C223,CC!K:M,3,0)," ")</f>
        <v>90</v>
      </c>
      <c r="CL223" s="43"/>
      <c r="CM223" s="43"/>
      <c r="CN223" s="43"/>
      <c r="CO223" s="43"/>
      <c r="CP223" s="43"/>
      <c r="CQ223" s="43"/>
      <c r="CR223" s="43"/>
      <c r="CS223" s="43" t="b">
        <v>0</v>
      </c>
      <c r="CT223" s="43" t="b">
        <v>0</v>
      </c>
      <c r="CU223" s="43" t="b">
        <v>0</v>
      </c>
      <c r="CV223" s="43" t="b">
        <v>0</v>
      </c>
      <c r="CW223" s="43"/>
      <c r="CX223" s="43"/>
      <c r="CY223" s="43"/>
      <c r="CZ223" s="43"/>
      <c r="DA223" s="43"/>
      <c r="DB223" s="43"/>
      <c r="DC223" s="43"/>
      <c r="DD223" s="22">
        <f>IFERROR(VLOOKUP($C223,'Лист4'!$D:$AI,27,0)," ")</f>
        <v>5</v>
      </c>
      <c r="DE223" s="22">
        <f>IFERROR(VLOOKUP($C223,'Лист4'!$D:$AI,28,0)," ")</f>
        <v>11</v>
      </c>
      <c r="DF223" s="22">
        <f>IFERROR(VLOOKUP($C223,'Лист4'!$D:$AI,29,0)," ")</f>
        <v>5</v>
      </c>
      <c r="DG223" s="22">
        <f t="shared" si="3"/>
        <v>275</v>
      </c>
      <c r="DH223" s="22">
        <f>IFERROR(VLOOKUP($C223,'Лист4'!$D:$AI,32,0)," ")</f>
        <v>0.061</v>
      </c>
      <c r="DI223" s="22"/>
      <c r="DJ223" s="22"/>
      <c r="DK223" s="22"/>
      <c r="DL223" s="22"/>
      <c r="DM223" s="22"/>
      <c r="DN223" s="22"/>
      <c r="DO223" s="22"/>
      <c r="DP223" s="22"/>
      <c r="DQ223" s="22"/>
      <c r="DR223" s="22"/>
      <c r="DS223" s="22"/>
      <c r="DT223" s="22"/>
      <c r="DU223" s="22"/>
      <c r="DV223" s="22"/>
      <c r="DW223" s="22"/>
      <c r="DX223" s="22"/>
      <c r="DY223" s="22"/>
      <c r="DZ223" s="22"/>
      <c r="EA223" s="22"/>
      <c r="EB223" s="22"/>
      <c r="EC223" s="22"/>
      <c r="ED223" s="22"/>
      <c r="EE223" s="22"/>
      <c r="EF223" s="22"/>
      <c r="EG223" s="22"/>
      <c r="EH223" s="22"/>
      <c r="EI223" s="22"/>
      <c r="EJ223" s="22"/>
      <c r="EK223" s="22"/>
      <c r="EL223" s="22"/>
      <c r="EM223" s="43"/>
      <c r="EN223" s="43"/>
      <c r="EO223" s="43"/>
      <c r="EP223" s="43"/>
      <c r="EQ223" s="43"/>
      <c r="ER223" s="43"/>
      <c r="ES223" s="43"/>
      <c r="ET223" s="43"/>
      <c r="EU223" s="43"/>
      <c r="EV223" s="43"/>
      <c r="EW223" s="43"/>
      <c r="EX223" s="43"/>
      <c r="EY223" s="43"/>
      <c r="EZ223" s="43"/>
      <c r="FA223" s="43"/>
      <c r="FB223" s="43"/>
      <c r="FC223" s="43"/>
    </row>
    <row r="224" ht="18.0" customHeight="1">
      <c r="A224" s="2"/>
      <c r="B224" s="22" t="str">
        <f>IFERROR(VLOOKUP(C224,'Реестр'!C:AC,27,0)," ")</f>
        <v>Смарт-Сэйл</v>
      </c>
      <c r="C224" s="43" t="s">
        <v>3552</v>
      </c>
      <c r="D224" s="22" t="str">
        <f>IFERROR(VLOOKUP(C224,'Лист4'!D:P,13,0)," ")</f>
        <v>CPA</v>
      </c>
      <c r="E224" s="22" t="str">
        <f>IF(OR(ISERROR(VLOOKUP(C224,'Актуальность'!A:B,2,0)), VLOOKUP(C224,'Актуальность'!A:B,2,0)=""), "Актуальный", VLOOKUP(C224,'Актуальность'!A:B,2,0))</f>
        <v>Актуальный</v>
      </c>
      <c r="F224" s="43" t="str">
        <f>IFERROR(VLOOKUP(C224,'Актуальность'!A:C,3,0)," ")</f>
        <v/>
      </c>
      <c r="G224" s="43"/>
      <c r="H224" s="22" t="s">
        <v>2663</v>
      </c>
      <c r="I224" s="22" t="s">
        <v>2766</v>
      </c>
      <c r="J224" s="43"/>
      <c r="K224" s="43"/>
      <c r="L224" s="22" t="b">
        <f t="shared" ref="L224:R224" si="220">T224&lt;&gt;""</f>
        <v>1</v>
      </c>
      <c r="M224" s="22" t="b">
        <f t="shared" si="220"/>
        <v>1</v>
      </c>
      <c r="N224" s="22" t="b">
        <f t="shared" si="220"/>
        <v>1</v>
      </c>
      <c r="O224" s="22" t="b">
        <f t="shared" si="220"/>
        <v>1</v>
      </c>
      <c r="P224" s="22" t="b">
        <f t="shared" si="220"/>
        <v>0</v>
      </c>
      <c r="Q224" s="22" t="b">
        <f t="shared" si="220"/>
        <v>0</v>
      </c>
      <c r="R224" s="22" t="b">
        <f t="shared" si="220"/>
        <v>0</v>
      </c>
      <c r="S224" s="43"/>
      <c r="T224" s="43" t="str">
        <f>IFERROR(VLOOKUP( C224,'1С'!A:B,2,0)," ")</f>
        <v>CO101100415</v>
      </c>
      <c r="U224" s="22" t="str">
        <f>IFERROR(VLOOKUP(T224,'Лист4'!C:I,3,0)," ")</f>
        <v>insulight_1_1</v>
      </c>
      <c r="V224" s="22" t="str">
        <f>IFERROR(VLOOKUP(T224,'Лист4'!C:I,4,0)," ")</f>
        <v>insulight_1_1</v>
      </c>
      <c r="W224" s="22" t="str">
        <f>IFERROR(VLOOKUP(T224,'Лист4'!C:I,5,0)," ")</f>
        <v>insulight_1_1</v>
      </c>
      <c r="X224" s="43" t="str">
        <f>IFERROR(VLOOKUP(T224,'Лист4'!C:I,7,0)," ")</f>
        <v/>
      </c>
      <c r="Y224" s="43" t="str">
        <f>IFERROR(VLOOKUP(T224,'Лист4'!C:I,6,0)," ")</f>
        <v/>
      </c>
      <c r="Z224" s="43"/>
      <c r="AA224" s="43"/>
      <c r="AB224" s="22">
        <v>5.25494849E8</v>
      </c>
      <c r="AC224" s="22">
        <v>2.825101652E9</v>
      </c>
      <c r="AD224" s="22">
        <v>4.640680679E9</v>
      </c>
      <c r="AE224" s="22"/>
      <c r="AF224" s="22"/>
      <c r="AG224" s="43"/>
      <c r="AH224" s="43"/>
      <c r="AI224" s="43" t="str">
        <f>IFERROR(VLOOKUP(T224,'1С'!B:C,2,0)," ")</f>
        <v>Пищевая добавка Инсулайт, CPA, 49 г, набор из 2 шт</v>
      </c>
      <c r="AJ224" s="22" t="s">
        <v>2768</v>
      </c>
      <c r="AK224" s="22" t="s">
        <v>3555</v>
      </c>
      <c r="AL224" s="22" t="s">
        <v>3555</v>
      </c>
      <c r="AM224" s="43"/>
      <c r="AN224" s="43"/>
      <c r="AO224" s="43"/>
      <c r="AP224" s="43"/>
      <c r="AQ224" s="46" t="s">
        <v>3556</v>
      </c>
      <c r="AR224" s="46" t="s">
        <v>3557</v>
      </c>
      <c r="AS224" s="46" t="s">
        <v>3558</v>
      </c>
      <c r="AT224" s="43"/>
      <c r="AU224" s="43"/>
      <c r="AV224" s="43"/>
      <c r="AW224" s="43"/>
      <c r="AX224" s="22" t="s">
        <v>649</v>
      </c>
      <c r="AY224" s="22" t="s">
        <v>3555</v>
      </c>
      <c r="AZ224" s="22" t="s">
        <v>372</v>
      </c>
      <c r="BA224" s="43"/>
      <c r="BB224" s="43"/>
      <c r="BC224" s="43"/>
      <c r="BD224" s="43"/>
      <c r="BE224" s="43"/>
      <c r="BF224" s="22">
        <f>IFERROR(VLOOKUP(C224,'спецификация'!B:D,3,0)," ")</f>
        <v>4683765887831</v>
      </c>
      <c r="BG224" s="22">
        <v>2.103909009E9</v>
      </c>
      <c r="BH224" s="22" t="str">
        <f>IFERROR(VLOOKUP(C224,'спецификация'!B:AA,5,0)," ")</f>
        <v>ЕАЭС N RU Д-RU.PA07.B.08686/22 от 11.10.2022 до 03.10.2027</v>
      </c>
      <c r="BI224" s="22"/>
      <c r="BJ224" s="22" t="str">
        <f>IFERROR(VLOOKUP(C224,'спецификация'!B:AA,6,0)," ")</f>
        <v/>
      </c>
      <c r="BK224" s="43"/>
      <c r="BL224" s="43"/>
      <c r="BM224" s="22" t="str">
        <f>IFERROR(VLOOKUP(BF224,'спецификация'!D:H,5,0)," ")</f>
        <v>экстракт ананаса, экстракт лайма, экстракт мангустина, экстракт папайи, экстракт маракуйи, экстракт грейпфрута, изомальт (Е953), инулин, ксантановая камедь (Е415), пектин, лимонная кислота (Е330), экстракт козлятника, экстракт створок фасоли, экстракт стевии, экстракт пажитника, ароматизатор пищевой «Экзотик»</v>
      </c>
      <c r="BN224" s="43"/>
      <c r="BO224" s="22" t="str">
        <f>IFERROR(VLOOKUP(C224,'спецификация'!B:AA,10,0)," ")</f>
        <v/>
      </c>
      <c r="BP224" s="43" t="str">
        <f>IFERROR(VLOOKUP(C224,'спецификация'!B:AA,11,0),"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224" s="22" t="str">
        <f>IFERROR(VLOOKUP(C224,'спецификация'!B:AA,12,0)," ")</f>
        <v>хранить при температуре до 25°C, избегая попадания прямых солнечных лучей.
</v>
      </c>
      <c r="BR224" s="22">
        <v>49.0</v>
      </c>
      <c r="BS224" s="22" t="s">
        <v>580</v>
      </c>
      <c r="BT224" s="22"/>
      <c r="BU224" s="22"/>
      <c r="BV224" s="22"/>
      <c r="BW224" s="44" t="str">
        <f>IFERROR(VLOOKUP(C224,'спецификация'!B:AA,16,0)," ")</f>
        <v>https://drive.google.com/drive/folders/1G6lo-kRQyNnSfgoEJ22qCpQnbf6KBdD7</v>
      </c>
      <c r="BX224" s="43"/>
      <c r="BY224" s="43"/>
      <c r="BZ224" s="45" t="str">
        <f>IFERROR(VLOOKUP(BF224,'спецификация'!D:Y,22,0)," ")</f>
        <v/>
      </c>
      <c r="CA224" s="43"/>
      <c r="CB224" s="43"/>
      <c r="CC224" s="43"/>
      <c r="CD224" s="43"/>
      <c r="CE224" s="43"/>
      <c r="CF224" s="43"/>
      <c r="CG224" s="49">
        <f>IFERROR(VLOOKUP(C224,CC!A:D,4,0)," ")</f>
        <v>286.74</v>
      </c>
      <c r="CH224" s="22" t="str">
        <f>IFERROR(VLOOKUP(C224,'спецификация'!B:AA,19,0)," ")</f>
        <v>ООО «НУТРАФАРМ», 129626, г. Москва, Муниципальный округ Алексеевский, ул. 1-ая Мытищинская, дом 3, строение 1, этаж 3, каб. 306, ком. 5А</v>
      </c>
      <c r="CI224" s="22"/>
      <c r="CJ224" s="22"/>
      <c r="CK224" s="22">
        <f>IFERROR(VLOOKUP(C224,CC!K:M,3,0)," ")</f>
        <v>45</v>
      </c>
      <c r="CL224" s="43"/>
      <c r="CM224" s="43"/>
      <c r="CN224" s="43"/>
      <c r="CO224" s="43"/>
      <c r="CP224" s="43"/>
      <c r="CQ224" s="43"/>
      <c r="CR224" s="43"/>
      <c r="CS224" s="43" t="b">
        <v>0</v>
      </c>
      <c r="CT224" s="43" t="b">
        <v>0</v>
      </c>
      <c r="CU224" s="43" t="b">
        <v>0</v>
      </c>
      <c r="CV224" s="43" t="b">
        <v>0</v>
      </c>
      <c r="CW224" s="43"/>
      <c r="CX224" s="43"/>
      <c r="CY224" s="43"/>
      <c r="CZ224" s="43"/>
      <c r="DA224" s="43"/>
      <c r="DB224" s="43"/>
      <c r="DC224" s="43"/>
      <c r="DD224" s="22">
        <f>IFERROR(VLOOKUP($C224,'Лист4'!$D:$AI,27,0)," ")</f>
        <v>16</v>
      </c>
      <c r="DE224" s="22">
        <f>IFERROR(VLOOKUP($C224,'Лист4'!$D:$AI,28,0)," ")</f>
        <v>11</v>
      </c>
      <c r="DF224" s="22">
        <f>IFERROR(VLOOKUP($C224,'Лист4'!$D:$AI,29,0)," ")</f>
        <v>16</v>
      </c>
      <c r="DG224" s="22">
        <f t="shared" si="3"/>
        <v>2816</v>
      </c>
      <c r="DH224" s="22">
        <f>IFERROR(VLOOKUP($C224,'Лист4'!$D:$AI,32,0)," ")</f>
        <v>0.213</v>
      </c>
      <c r="DI224" s="22"/>
      <c r="DJ224" s="22"/>
      <c r="DK224" s="22"/>
      <c r="DL224" s="22"/>
      <c r="DM224" s="22"/>
      <c r="DN224" s="22"/>
      <c r="DO224" s="22"/>
      <c r="DP224" s="22"/>
      <c r="DQ224" s="22"/>
      <c r="DR224" s="22"/>
      <c r="DS224" s="22"/>
      <c r="DT224" s="22"/>
      <c r="DU224" s="22"/>
      <c r="DV224" s="22"/>
      <c r="DW224" s="22"/>
      <c r="DX224" s="22"/>
      <c r="DY224" s="22"/>
      <c r="DZ224" s="22"/>
      <c r="EA224" s="22"/>
      <c r="EB224" s="22"/>
      <c r="EC224" s="22"/>
      <c r="ED224" s="22"/>
      <c r="EE224" s="22"/>
      <c r="EF224" s="22"/>
      <c r="EG224" s="22"/>
      <c r="EH224" s="22"/>
      <c r="EI224" s="22"/>
      <c r="EJ224" s="22"/>
      <c r="EK224" s="22"/>
      <c r="EL224" s="22"/>
      <c r="EM224" s="43"/>
      <c r="EN224" s="43"/>
      <c r="EO224" s="43"/>
      <c r="EP224" s="43"/>
      <c r="EQ224" s="43"/>
      <c r="ER224" s="43"/>
      <c r="ES224" s="43"/>
      <c r="ET224" s="43"/>
      <c r="EU224" s="43"/>
      <c r="EV224" s="43"/>
      <c r="EW224" s="43"/>
      <c r="EX224" s="43"/>
      <c r="EY224" s="43"/>
      <c r="EZ224" s="43"/>
      <c r="FA224" s="43"/>
      <c r="FB224" s="43"/>
      <c r="FC224" s="43"/>
    </row>
    <row r="225" ht="18.0" customHeight="1">
      <c r="A225" s="2"/>
      <c r="B225" s="22" t="str">
        <f>IFERROR(VLOOKUP(C225,'Реестр'!C:AC,27,0)," ")</f>
        <v>Смарт-Сэйл</v>
      </c>
      <c r="C225" s="43" t="s">
        <v>3560</v>
      </c>
      <c r="D225" s="22" t="str">
        <f>IFERROR(VLOOKUP(C225,'Лист4'!D:P,13,0)," ")</f>
        <v>CPA</v>
      </c>
      <c r="E225" s="22" t="str">
        <f>IF(OR(ISERROR(VLOOKUP(C225,'Актуальность'!A:B,2,0)), VLOOKUP(C225,'Актуальность'!A:B,2,0)=""), "Актуальный", VLOOKUP(C225,'Актуальность'!A:B,2,0))</f>
        <v>Актуальный</v>
      </c>
      <c r="F225" s="43" t="str">
        <f>IFERROR(VLOOKUP(C225,'Актуальность'!A:C,3,0)," ")</f>
        <v/>
      </c>
      <c r="G225" s="43"/>
      <c r="H225" s="22" t="s">
        <v>2663</v>
      </c>
      <c r="I225" s="22" t="s">
        <v>3562</v>
      </c>
      <c r="J225" s="43"/>
      <c r="K225" s="43"/>
      <c r="L225" s="22" t="b">
        <f t="shared" ref="L225:R225" si="221">T225&lt;&gt;""</f>
        <v>1</v>
      </c>
      <c r="M225" s="22" t="b">
        <f t="shared" si="221"/>
        <v>1</v>
      </c>
      <c r="N225" s="22" t="b">
        <f t="shared" si="221"/>
        <v>1</v>
      </c>
      <c r="O225" s="22" t="b">
        <f t="shared" si="221"/>
        <v>1</v>
      </c>
      <c r="P225" s="22" t="b">
        <f t="shared" si="221"/>
        <v>0</v>
      </c>
      <c r="Q225" s="22" t="b">
        <f t="shared" si="221"/>
        <v>0</v>
      </c>
      <c r="R225" s="22" t="b">
        <f t="shared" si="221"/>
        <v>0</v>
      </c>
      <c r="S225" s="43"/>
      <c r="T225" s="43" t="str">
        <f>IFERROR(VLOOKUP( C225,'1С'!A:B,2,0)," ")</f>
        <v>CO101100447</v>
      </c>
      <c r="U225" s="22" t="str">
        <f>IFERROR(VLOOKUP(T225,'Лист4'!C:I,3,0)," ")</f>
        <v>urofol</v>
      </c>
      <c r="V225" s="22" t="str">
        <f>IFERROR(VLOOKUP(T225,'Лист4'!C:I,4,0)," ")</f>
        <v>urofol</v>
      </c>
      <c r="W225" s="22" t="str">
        <f>IFERROR(VLOOKUP(T225,'Лист4'!C:I,5,0)," ")</f>
        <v>urofol</v>
      </c>
      <c r="X225" s="43" t="str">
        <f>IFERROR(VLOOKUP(T225,'Лист4'!C:I,7,0)," ")</f>
        <v/>
      </c>
      <c r="Y225" s="43" t="str">
        <f>IFERROR(VLOOKUP(T225,'Лист4'!C:I,6,0)," ")</f>
        <v/>
      </c>
      <c r="Z225" s="43"/>
      <c r="AA225" s="43"/>
      <c r="AB225" s="22">
        <v>2.22223364E8</v>
      </c>
      <c r="AC225" s="22">
        <v>1.52808575E9</v>
      </c>
      <c r="AD225" s="22">
        <v>1.03515424475E11</v>
      </c>
      <c r="AE225" s="22"/>
      <c r="AF225" s="22"/>
      <c r="AG225" s="43"/>
      <c r="AH225" s="43"/>
      <c r="AI225" s="43" t="str">
        <f>IFERROR(VLOOKUP(T225,'1С'!B:C,2,0)," ")</f>
        <v>Пищевая добавка Урофол, CPA, 20 капсул</v>
      </c>
      <c r="AJ225" s="22" t="s">
        <v>3564</v>
      </c>
      <c r="AK225" s="22" t="s">
        <v>3565</v>
      </c>
      <c r="AL225" s="22" t="s">
        <v>3566</v>
      </c>
      <c r="AM225" s="43"/>
      <c r="AN225" s="43"/>
      <c r="AO225" s="43"/>
      <c r="AP225" s="43"/>
      <c r="AQ225" s="46" t="s">
        <v>3567</v>
      </c>
      <c r="AR225" s="46" t="s">
        <v>3568</v>
      </c>
      <c r="AS225" s="46" t="s">
        <v>3569</v>
      </c>
      <c r="AT225" s="43"/>
      <c r="AU225" s="43"/>
      <c r="AV225" s="43"/>
      <c r="AW225" s="43"/>
      <c r="AX225" s="22" t="s">
        <v>649</v>
      </c>
      <c r="AY225" s="22" t="s">
        <v>3565</v>
      </c>
      <c r="AZ225" s="22" t="s">
        <v>372</v>
      </c>
      <c r="BA225" s="43"/>
      <c r="BB225" s="43"/>
      <c r="BC225" s="43"/>
      <c r="BD225" s="43"/>
      <c r="BE225" s="43"/>
      <c r="BF225" s="22">
        <f>IFERROR(VLOOKUP(C225,'спецификация'!B:D,3,0)," ")</f>
        <v>4600867365678</v>
      </c>
      <c r="BG225" s="22">
        <v>2.106909809E9</v>
      </c>
      <c r="BH225" s="22" t="str">
        <f>IFERROR(VLOOKUP(C225,'спецификация'!B:AA,5,0)," ")</f>
        <v>ЕАЭС N RU Д-RU.PA07.B.70898/23 от 21.09.2023 по 19.09.2028</v>
      </c>
      <c r="BI225" s="22"/>
      <c r="BJ225" s="22" t="str">
        <f>IFERROR(VLOOKUP(C225,'спецификация'!B:AA,6,0)," ")</f>
        <v/>
      </c>
      <c r="BK225" s="43"/>
      <c r="BL225" s="43"/>
      <c r="BM225" s="22" t="str">
        <f>IFERROR(VLOOKUP(BF225,'спецификация'!D:H,5,0)," ")</f>
        <v>панты марала, прополис, экстракт клюквы, экстракт имбиря, экстракт женьшеня, экстракт мяты, экстракт алоэ, экстракт эврикомы, экстракт дамианы, экстракт толокнянки, экстракт плодов пальмы сереноа, пастушья сумка, экстракт эхинацеи, лимонная кислота, витамин С, крахмал, диоксид кремния.
</v>
      </c>
      <c r="BN225" s="43"/>
      <c r="BO225" s="22" t="str">
        <f>IFERROR(VLOOKUP(C225,'спецификация'!B:AA,10,0)," ")</f>
        <v/>
      </c>
      <c r="BP225" s="43" t="str">
        <f>IFERROR(VLOOKUP(C225,'спецификация'!B:AA,11,0)," ")</f>
        <v/>
      </c>
      <c r="BQ225" s="22" t="str">
        <f>IFERROR(VLOOKUP(C225,'спецификация'!B:AA,12,0)," ")</f>
        <v>хранить при температуре не выше 25 °С в местах, удалённых от прямого солнечного света, отопительных приборов, влаги.</v>
      </c>
      <c r="BR225" s="22">
        <v>20.0</v>
      </c>
      <c r="BS225" s="22" t="s">
        <v>492</v>
      </c>
      <c r="BT225" s="22"/>
      <c r="BU225" s="22"/>
      <c r="BV225" s="22"/>
      <c r="BW225" s="44" t="str">
        <f>IFERROR(VLOOKUP(C225,'спецификация'!B:AA,16,0)," ")</f>
        <v>https://drive.google.com/drive/u/4/folders/1IYmICENA2wXsAIhESf714-wVsoPD0S1V</v>
      </c>
      <c r="BX225" s="43"/>
      <c r="BY225" s="43"/>
      <c r="BZ225" s="45" t="str">
        <f>IFERROR(VLOOKUP(BF225,'спецификация'!D:Y,22,0)," ")</f>
        <v/>
      </c>
      <c r="CA225" s="43"/>
      <c r="CB225" s="43"/>
      <c r="CC225" s="43"/>
      <c r="CD225" s="43"/>
      <c r="CE225" s="43"/>
      <c r="CF225" s="43"/>
      <c r="CG225" s="49">
        <f>IFERROR(VLOOKUP(C225,CC!A:D,4,0)," ")</f>
        <v>130.92</v>
      </c>
      <c r="CH225" s="22" t="str">
        <f>IFERROR(VLOOKUP(C225,'спецификация'!B:AA,19,0)," ")</f>
        <v>ООО "САН ДЭЙ" (Восток Плюс)</v>
      </c>
      <c r="CI225" s="22"/>
      <c r="CJ225" s="43"/>
      <c r="CK225" s="22">
        <f>IFERROR(VLOOKUP(C225,CC!K:M,3,0)," ")</f>
        <v>45</v>
      </c>
      <c r="CL225" s="43"/>
      <c r="CM225" s="43"/>
      <c r="CN225" s="43"/>
      <c r="CO225" s="43"/>
      <c r="CP225" s="43"/>
      <c r="CQ225" s="43"/>
      <c r="CR225" s="43"/>
      <c r="CS225" s="43" t="b">
        <v>0</v>
      </c>
      <c r="CT225" s="43" t="b">
        <v>0</v>
      </c>
      <c r="CU225" s="43" t="b">
        <v>0</v>
      </c>
      <c r="CV225" s="43" t="b">
        <v>0</v>
      </c>
      <c r="CW225" s="43"/>
      <c r="CX225" s="43"/>
      <c r="CY225" s="43"/>
      <c r="CZ225" s="43"/>
      <c r="DA225" s="43"/>
      <c r="DB225" s="43"/>
      <c r="DC225" s="43"/>
      <c r="DD225" s="22">
        <f>IFERROR(VLOOKUP($C225,'Лист4'!$D:$AI,27,0)," ")</f>
        <v>8</v>
      </c>
      <c r="DE225" s="22">
        <f>IFERROR(VLOOKUP($C225,'Лист4'!$D:$AI,28,0)," ")</f>
        <v>3</v>
      </c>
      <c r="DF225" s="22">
        <f>IFERROR(VLOOKUP($C225,'Лист4'!$D:$AI,29,0)," ")</f>
        <v>8</v>
      </c>
      <c r="DG225" s="22">
        <f t="shared" si="3"/>
        <v>192</v>
      </c>
      <c r="DH225" s="22">
        <f>IFERROR(VLOOKUP($C225,'Лист4'!$D:$AI,32,0)," ")</f>
        <v>0.046</v>
      </c>
      <c r="DI225" s="22"/>
      <c r="DJ225" s="22"/>
      <c r="DK225" s="22"/>
      <c r="DL225" s="22"/>
      <c r="DM225" s="22"/>
      <c r="DN225" s="22"/>
      <c r="DO225" s="22"/>
      <c r="DP225" s="22"/>
      <c r="DQ225" s="22"/>
      <c r="DR225" s="22"/>
      <c r="DS225" s="22"/>
      <c r="DT225" s="22"/>
      <c r="DU225" s="22"/>
      <c r="DV225" s="22"/>
      <c r="DW225" s="22"/>
      <c r="DX225" s="22"/>
      <c r="DY225" s="22"/>
      <c r="DZ225" s="22"/>
      <c r="EA225" s="22"/>
      <c r="EB225" s="22"/>
      <c r="EC225" s="22"/>
      <c r="ED225" s="22"/>
      <c r="EE225" s="22"/>
      <c r="EF225" s="22"/>
      <c r="EG225" s="22"/>
      <c r="EH225" s="22"/>
      <c r="EI225" s="22"/>
      <c r="EJ225" s="22"/>
      <c r="EK225" s="22"/>
      <c r="EL225" s="22"/>
      <c r="EM225" s="43"/>
      <c r="EN225" s="43"/>
      <c r="EO225" s="43"/>
      <c r="EP225" s="43"/>
      <c r="EQ225" s="43"/>
      <c r="ER225" s="43"/>
      <c r="ES225" s="43"/>
      <c r="ET225" s="43"/>
      <c r="EU225" s="43"/>
      <c r="EV225" s="43"/>
      <c r="EW225" s="43"/>
      <c r="EX225" s="43"/>
      <c r="EY225" s="43"/>
      <c r="EZ225" s="43"/>
      <c r="FA225" s="43"/>
      <c r="FB225" s="43"/>
      <c r="FC225" s="43"/>
    </row>
    <row r="226" ht="18.0" customHeight="1">
      <c r="A226" s="2"/>
      <c r="B226" s="22" t="str">
        <f>IFERROR(VLOOKUP(C226,'Реестр'!C:AC,27,0)," ")</f>
        <v>Смарт-Сэйл</v>
      </c>
      <c r="C226" s="43" t="s">
        <v>3575</v>
      </c>
      <c r="D226" s="22" t="str">
        <f>IFERROR(VLOOKUP(C226,'Лист4'!D:P,13,0)," ")</f>
        <v>Алтея</v>
      </c>
      <c r="E226" s="22" t="str">
        <f>IF(OR(ISERROR(VLOOKUP(C226,'Актуальность'!A:B,2,0)), VLOOKUP(C226,'Актуальность'!A:B,2,0)=""), "Актуальный", VLOOKUP(C226,'Актуальность'!A:B,2,0))</f>
        <v>Актуальный</v>
      </c>
      <c r="F226" s="43" t="str">
        <f>IFERROR(VLOOKUP(C226,'Актуальность'!A:C,3,0)," ")</f>
        <v/>
      </c>
      <c r="G226" s="43"/>
      <c r="H226" s="22" t="s">
        <v>2743</v>
      </c>
      <c r="I226" s="22" t="s">
        <v>287</v>
      </c>
      <c r="J226" s="43"/>
      <c r="K226" s="43"/>
      <c r="L226" s="22" t="b">
        <f t="shared" ref="L226:R226" si="222">T226&lt;&gt;""</f>
        <v>1</v>
      </c>
      <c r="M226" s="22" t="b">
        <f t="shared" si="222"/>
        <v>1</v>
      </c>
      <c r="N226" s="22" t="b">
        <f t="shared" si="222"/>
        <v>1</v>
      </c>
      <c r="O226" s="22" t="b">
        <f t="shared" si="222"/>
        <v>1</v>
      </c>
      <c r="P226" s="22" t="b">
        <f t="shared" si="222"/>
        <v>1</v>
      </c>
      <c r="Q226" s="22" t="b">
        <f t="shared" si="222"/>
        <v>1</v>
      </c>
      <c r="R226" s="22" t="b">
        <f t="shared" si="222"/>
        <v>1</v>
      </c>
      <c r="S226" s="43"/>
      <c r="T226" s="43" t="str">
        <f>IFERROR(VLOOKUP( C226,'1С'!A:B,2,0)," ")</f>
        <v>AC101100416</v>
      </c>
      <c r="U226" s="22" t="str">
        <f>IFERROR(VLOOKUP(T226,'Лист4'!C:I,3,0)," ")</f>
        <v>silk_hair_300ml</v>
      </c>
      <c r="V226" s="22" t="str">
        <f>IFERROR(VLOOKUP(T226,'Лист4'!C:I,4,0)," ")</f>
        <v>silk_hair_300ml</v>
      </c>
      <c r="W226" s="22" t="str">
        <f>IFERROR(VLOOKUP(T226,'Лист4'!C:I,5,0)," ")</f>
        <v>silk_hair_300ml</v>
      </c>
      <c r="X226" s="43" t="str">
        <f>IFERROR(VLOOKUP(T226,'Лист4'!C:I,7,0)," ")</f>
        <v>silk_hair_300ml</v>
      </c>
      <c r="Y226" s="43" t="str">
        <f>IFERROR(VLOOKUP(T226,'Лист4'!C:I,6,0)," ")</f>
        <v>silk_hair_300ml</v>
      </c>
      <c r="Z226" s="22" t="s">
        <v>3575</v>
      </c>
      <c r="AA226" s="43"/>
      <c r="AB226" s="22">
        <v>3.99766297E8</v>
      </c>
      <c r="AC226" s="22">
        <v>2.067962201E9</v>
      </c>
      <c r="AD226" s="22">
        <v>4.476306819E9</v>
      </c>
      <c r="AE226" s="22">
        <v>9.9000114733E10</v>
      </c>
      <c r="AF226" s="22" t="s">
        <v>3578</v>
      </c>
      <c r="AG226" s="22" t="s">
        <v>3579</v>
      </c>
      <c r="AH226" s="43"/>
      <c r="AI226" s="43" t="str">
        <f>IFERROR(VLOOKUP(T226,'1С'!B:C,2,0)," ")</f>
        <v>Kрем для волос разглаживающий, Алтея, 300 мл</v>
      </c>
      <c r="AJ226" s="22" t="s">
        <v>3580</v>
      </c>
      <c r="AK226" s="22" t="s">
        <v>3581</v>
      </c>
      <c r="AL226" s="22" t="s">
        <v>3582</v>
      </c>
      <c r="AM226" s="22" t="s">
        <v>3583</v>
      </c>
      <c r="AN226" s="22" t="s">
        <v>3584</v>
      </c>
      <c r="AO226" s="22" t="s">
        <v>3585</v>
      </c>
      <c r="AP226" s="43"/>
      <c r="AQ226" s="46" t="s">
        <v>3586</v>
      </c>
      <c r="AR226" s="46" t="s">
        <v>3587</v>
      </c>
      <c r="AS226" s="46" t="s">
        <v>3588</v>
      </c>
      <c r="AT226" s="43"/>
      <c r="AU226" s="46" t="s">
        <v>3589</v>
      </c>
      <c r="AV226" s="46" t="s">
        <v>3590</v>
      </c>
      <c r="AW226" s="43"/>
      <c r="AX226" s="22" t="s">
        <v>594</v>
      </c>
      <c r="AY226" s="22" t="s">
        <v>3581</v>
      </c>
      <c r="AZ226" s="22" t="s">
        <v>3591</v>
      </c>
      <c r="BA226" s="22" t="s">
        <v>300</v>
      </c>
      <c r="BB226" s="22" t="s">
        <v>3236</v>
      </c>
      <c r="BC226" s="22" t="s">
        <v>594</v>
      </c>
      <c r="BD226" s="43"/>
      <c r="BE226" s="43"/>
      <c r="BF226" s="22">
        <f>IFERROR(VLOOKUP(C226,'спецификация'!B:D,3,0)," ")</f>
        <v>4603320465465</v>
      </c>
      <c r="BG226" s="22">
        <v>3.3051E9</v>
      </c>
      <c r="BH226" s="22" t="str">
        <f>IFERROR(VLOOKUP(C226,'спецификация'!B:AA,5,0)," ")</f>
        <v/>
      </c>
      <c r="BI226" s="22"/>
      <c r="BJ226" s="22" t="str">
        <f>IFERROR(VLOOKUP(C226,'спецификация'!B:AA,6,0)," ")</f>
        <v>нет</v>
      </c>
      <c r="BK226" s="43"/>
      <c r="BL226" s="43"/>
      <c r="BM226" s="22" t="str">
        <f>IFERROR(VLOOKUP(BF226,'спецификация'!D:H,5,0)," ")</f>
        <v>Aqua, Behentrimonium Methosulfate, Coco-Сaprylate/Сaprate, Fragrance, Hydrolyzed Keratin, Polyquaternium-37, Hydrolyzed Silk,  Argania Spinosa Oil, Silicone Quaternium-16/Glycidoxy Dimethicone Crosspolymer, Undeceth-11, Undeceth-5,Cetyl Alcohol,  Glyceryl Stearate, PEG-100 Stearate, Disodium EDTA, PHENOXYETHANOL, Ethylhexylglycerin, Citric Acid.</v>
      </c>
      <c r="BN226" s="43"/>
      <c r="BO226" s="22" t="str">
        <f>IFERROR(VLOOKUP(C226,'спецификация'!B:AA,10,0)," ")</f>
        <v>нанесите необходимое количество крема между ладонями и распределите по вымытым и слегка подсушенным волосам. Расчешите продукт по всей длине, включая кончики, не смывайте, и приступайте к созданию вашей укладки. </v>
      </c>
      <c r="BP226" s="43" t="str">
        <f>IFERROR(VLOOKUP(C226,'спецификация'!B:AA,11,0)," ")</f>
        <v>: избегайте попадания в глаза. При попадании в глаза промойте водой. Во избежание индивидуальной непереносимости протестируйте на небольшом участке кожи.</v>
      </c>
      <c r="BQ226" s="22" t="str">
        <f>IFERROR(VLOOKUP(C226,'спецификация'!B:AA,12,0)," ")</f>
        <v>хранить вдали от прямых солнечных лучей и отопительных приборов при температуре от +5 °С до +25 °С в местах, недоступных детям.</v>
      </c>
      <c r="BR226" s="22">
        <v>300.0</v>
      </c>
      <c r="BS226" s="22" t="s">
        <v>139</v>
      </c>
      <c r="BT226" s="22"/>
      <c r="BU226" s="22"/>
      <c r="BV226" s="22" t="s">
        <v>727</v>
      </c>
      <c r="BW226" s="44" t="str">
        <f>IFERROR(VLOOKUP(C226,'спецификация'!B:AA,16,0)," ")</f>
        <v>https://docs.google.com/document/d/1cPndhKuQlGxZXbQ4V5apn2_u5dkobJAE/edit</v>
      </c>
      <c r="BX226" s="43"/>
      <c r="BY226" s="43"/>
      <c r="BZ226" s="45" t="str">
        <f>IFERROR(VLOOKUP(BF226,'спецификация'!D:Y,22,0)," ")</f>
        <v/>
      </c>
      <c r="CA226" s="43"/>
      <c r="CB226" s="43"/>
      <c r="CC226" s="43"/>
      <c r="CD226" s="43"/>
      <c r="CE226" s="43"/>
      <c r="CF226" s="43"/>
      <c r="CG226" s="49">
        <f>IFERROR(VLOOKUP(C226,CC!A:D,4,0)," ")</f>
        <v>129.5</v>
      </c>
      <c r="CH226" s="22" t="str">
        <f>IFERROR(VLOOKUP(C226,'спецификация'!B:AA,19,0)," ")</f>
        <v>ООО Марвел</v>
      </c>
      <c r="CI226" s="22"/>
      <c r="CJ226" s="22" t="s">
        <v>2944</v>
      </c>
      <c r="CK226" s="22">
        <f>IFERROR(VLOOKUP(C226,CC!K:M,3,0)," ")</f>
        <v>60</v>
      </c>
      <c r="CL226" s="43"/>
      <c r="CM226" s="43"/>
      <c r="CN226" s="43"/>
      <c r="CO226" s="43"/>
      <c r="CP226" s="43"/>
      <c r="CQ226" s="43"/>
      <c r="CR226" s="43"/>
      <c r="CS226" s="43" t="b">
        <v>0</v>
      </c>
      <c r="CT226" s="43" t="b">
        <v>0</v>
      </c>
      <c r="CU226" s="43" t="b">
        <v>0</v>
      </c>
      <c r="CV226" s="43" t="b">
        <v>0</v>
      </c>
      <c r="CW226" s="43"/>
      <c r="CX226" s="43"/>
      <c r="CY226" s="43"/>
      <c r="CZ226" s="43"/>
      <c r="DA226" s="43"/>
      <c r="DB226" s="43"/>
      <c r="DC226" s="43"/>
      <c r="DD226" s="22">
        <f>IFERROR(VLOOKUP($C226,'Лист4'!$D:$AI,27,0)," ")</f>
        <v>17</v>
      </c>
      <c r="DE226" s="22">
        <f>IFERROR(VLOOKUP($C226,'Лист4'!$D:$AI,28,0)," ")</f>
        <v>11</v>
      </c>
      <c r="DF226" s="22">
        <f>IFERROR(VLOOKUP($C226,'Лист4'!$D:$AI,29,0)," ")</f>
        <v>17</v>
      </c>
      <c r="DG226" s="22">
        <f t="shared" si="3"/>
        <v>3179</v>
      </c>
      <c r="DH226" s="22">
        <f>IFERROR(VLOOKUP($C226,'Лист4'!$D:$AI,32,0)," ")</f>
        <v>0.345</v>
      </c>
      <c r="DI226" s="22"/>
      <c r="DJ226" s="22"/>
      <c r="DK226" s="22"/>
      <c r="DL226" s="22"/>
      <c r="DM226" s="22"/>
      <c r="DN226" s="22"/>
      <c r="DO226" s="22"/>
      <c r="DP226" s="22"/>
      <c r="DQ226" s="22"/>
      <c r="DR226" s="22"/>
      <c r="DS226" s="22"/>
      <c r="DT226" s="22"/>
      <c r="DU226" s="22"/>
      <c r="DV226" s="22"/>
      <c r="DW226" s="22"/>
      <c r="DX226" s="22"/>
      <c r="DY226" s="22"/>
      <c r="DZ226" s="22"/>
      <c r="EA226" s="22"/>
      <c r="EB226" s="22"/>
      <c r="EC226" s="22"/>
      <c r="ED226" s="22"/>
      <c r="EE226" s="22"/>
      <c r="EF226" s="22"/>
      <c r="EG226" s="22"/>
      <c r="EH226" s="22"/>
      <c r="EI226" s="22"/>
      <c r="EJ226" s="22"/>
      <c r="EK226" s="22"/>
      <c r="EL226" s="22"/>
      <c r="EM226" s="43"/>
      <c r="EN226" s="43"/>
      <c r="EO226" s="43"/>
      <c r="EP226" s="43"/>
      <c r="EQ226" s="43"/>
      <c r="ER226" s="43"/>
      <c r="ES226" s="43"/>
      <c r="ET226" s="43"/>
      <c r="EU226" s="43"/>
      <c r="EV226" s="43"/>
      <c r="EW226" s="43"/>
      <c r="EX226" s="43"/>
      <c r="EY226" s="43"/>
      <c r="EZ226" s="43"/>
      <c r="FA226" s="43"/>
      <c r="FB226" s="43"/>
      <c r="FC226" s="43"/>
    </row>
    <row r="227" ht="18.0" customHeight="1">
      <c r="A227" s="2"/>
      <c r="B227" s="22" t="str">
        <f>IFERROR(VLOOKUP(C227,'Реестр'!C:AC,27,0)," ")</f>
        <v>Смарт-Сэйл</v>
      </c>
      <c r="C227" s="43" t="s">
        <v>3597</v>
      </c>
      <c r="D227" s="22" t="str">
        <f>IFERROR(VLOOKUP(C227,'Лист4'!D:P,13,0)," ")</f>
        <v>CPA</v>
      </c>
      <c r="E227" s="22" t="str">
        <f>IF(OR(ISERROR(VLOOKUP(C227,'Актуальность'!A:B,2,0)), VLOOKUP(C227,'Актуальность'!A:B,2,0)=""), "Актуальный", VLOOKUP(C227,'Актуальность'!A:B,2,0))</f>
        <v>Актуальный</v>
      </c>
      <c r="F227" s="43" t="str">
        <f>IFERROR(VLOOKUP(C227,'Актуальность'!A:C,3,0)," ")</f>
        <v/>
      </c>
      <c r="G227" s="43"/>
      <c r="H227" s="22" t="s">
        <v>2663</v>
      </c>
      <c r="I227" s="22" t="s">
        <v>2664</v>
      </c>
      <c r="J227" s="43"/>
      <c r="K227" s="43"/>
      <c r="L227" s="22" t="b">
        <f t="shared" ref="L227:R227" si="223">T227&lt;&gt;""</f>
        <v>1</v>
      </c>
      <c r="M227" s="22" t="b">
        <f t="shared" si="223"/>
        <v>1</v>
      </c>
      <c r="N227" s="22" t="b">
        <f t="shared" si="223"/>
        <v>1</v>
      </c>
      <c r="O227" s="22" t="b">
        <f t="shared" si="223"/>
        <v>1</v>
      </c>
      <c r="P227" s="22" t="b">
        <f t="shared" si="223"/>
        <v>0</v>
      </c>
      <c r="Q227" s="22" t="b">
        <f t="shared" si="223"/>
        <v>0</v>
      </c>
      <c r="R227" s="22" t="b">
        <f t="shared" si="223"/>
        <v>0</v>
      </c>
      <c r="S227" s="43"/>
      <c r="T227" s="43" t="str">
        <f>IFERROR(VLOOKUP( C227,'1С'!A:B,2,0)," ")</f>
        <v>CC101100401</v>
      </c>
      <c r="U227" s="43" t="s">
        <v>3597</v>
      </c>
      <c r="V227" s="43" t="s">
        <v>3597</v>
      </c>
      <c r="W227" s="43" t="s">
        <v>3597</v>
      </c>
      <c r="X227" s="43" t="str">
        <f>IFERROR(VLOOKUP(T227,'Лист4'!C:I,7,0)," ")</f>
        <v/>
      </c>
      <c r="Y227" s="43" t="str">
        <f>IFERROR(VLOOKUP(T227,'Лист4'!C:I,6,0)," ")</f>
        <v/>
      </c>
      <c r="Z227" s="43"/>
      <c r="AA227" s="43"/>
      <c r="AB227" s="22">
        <v>4.0812096E7</v>
      </c>
      <c r="AC227" s="22">
        <v>3.59068917E8</v>
      </c>
      <c r="AD227" s="22">
        <v>1.03544213248E11</v>
      </c>
      <c r="AE227" s="22"/>
      <c r="AF227" s="22"/>
      <c r="AG227" s="43"/>
      <c r="AH227" s="43"/>
      <c r="AI227" s="43" t="str">
        <f>IFERROR(VLOOKUP(T227,'1С'!B:C,2,0)," ")</f>
        <v>Мазь для суставов Артокс, CPA, 50 мл</v>
      </c>
      <c r="AJ227" s="22" t="s">
        <v>3600</v>
      </c>
      <c r="AK227" s="22" t="s">
        <v>3601</v>
      </c>
      <c r="AL227" s="22" t="s">
        <v>3602</v>
      </c>
      <c r="AM227" s="43"/>
      <c r="AN227" s="43"/>
      <c r="AO227" s="43"/>
      <c r="AP227" s="43"/>
      <c r="AQ227" s="46" t="s">
        <v>3603</v>
      </c>
      <c r="AR227" s="46" t="s">
        <v>3604</v>
      </c>
      <c r="AS227" s="46" t="s">
        <v>3605</v>
      </c>
      <c r="AT227" s="43"/>
      <c r="AU227" s="43"/>
      <c r="AV227" s="43"/>
      <c r="AW227" s="43"/>
      <c r="AX227" s="22" t="s">
        <v>3445</v>
      </c>
      <c r="AY227" s="22" t="s">
        <v>3601</v>
      </c>
      <c r="AZ227" s="22" t="s">
        <v>2672</v>
      </c>
      <c r="BA227" s="43"/>
      <c r="BB227" s="43"/>
      <c r="BC227" s="43"/>
      <c r="BD227" s="43"/>
      <c r="BE227" s="43"/>
      <c r="BF227" s="22" t="str">
        <f>IFERROR(VLOOKUP(C227,'спецификация'!B:D,3,0)," ")</f>
        <v>4631159656396 
4699715545348 
4660417421100</v>
      </c>
      <c r="BG227" s="22">
        <v>3.30499E9</v>
      </c>
      <c r="BH227" s="22" t="str">
        <f>IFERROR(VLOOKUP(C227,'спецификация'!B:AA,5,0)," ")</f>
        <v>ЕАЭС N RU Д-RU.PА01.B.10437/21 от 28.09.2021 по 23.09.2026</v>
      </c>
      <c r="BI227" s="22"/>
      <c r="BJ227" s="22" t="str">
        <f>IFERROR(VLOOKUP(C227,'спецификация'!B:AA,6,0)," ")</f>
        <v/>
      </c>
      <c r="BK227" s="43"/>
      <c r="BL227" s="43"/>
      <c r="BM227" s="22" t="str">
        <f>IFERROR(VLOOKUP(BF227,'спецификация'!D:H,5,0)," ")</f>
        <v>экстракт коры дуба, коллаген, экстракт конского каштана, хондроитин, глюкозамин, акулий жир, экстракт лютика желтого, экстракт адамова корня, экстракт маклюры, экстракт мяты, панты марала, экстракт сабельника, экстракт хвои, экстракт золотого уса, экстракт прополиса, экстракт березы, экстракт дьявольского когтя, экстракт коры ивы, экстракт хмеля, экстракт бедренца камнеломного.</v>
      </c>
      <c r="BN227" s="43"/>
      <c r="BO227" s="22" t="str">
        <f>IFERROR(VLOOKUP(C227,'спецификация'!B:AA,10,0)," ")</f>
        <v/>
      </c>
      <c r="BP227" s="43" t="str">
        <f>IFERROR(VLOOKUP(C227,'спецификация'!B:AA,11,0),"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227" s="22" t="str">
        <f>IFERROR(VLOOKUP(C227,'спецификация'!B:AA,12,0)," ")</f>
        <v>хранить при температуре до 25°C, избегая попадания прямых солнечных лучей.
</v>
      </c>
      <c r="BR227" s="22"/>
      <c r="BS227" s="43"/>
      <c r="BT227" s="43"/>
      <c r="BU227" s="22"/>
      <c r="BV227" s="22" t="s">
        <v>401</v>
      </c>
      <c r="BW227" s="44" t="str">
        <f>IFERROR(VLOOKUP(C227,'спецификация'!B:AA,16,0)," ")</f>
        <v>https://docs.google.com/document/d/1wa7GGSg0BA9cWgW0s5BKsYDLsxNSp2n0EsDBzotJVvM/edit#</v>
      </c>
      <c r="BX227" s="43"/>
      <c r="BY227" s="43"/>
      <c r="BZ227" s="45" t="str">
        <f>IFERROR(VLOOKUP(BF227,'спецификация'!D:Y,22,0)," ")</f>
        <v/>
      </c>
      <c r="CA227" s="43"/>
      <c r="CB227" s="43"/>
      <c r="CC227" s="43"/>
      <c r="CD227" s="43"/>
      <c r="CE227" s="43"/>
      <c r="CF227" s="43"/>
      <c r="CG227" s="49">
        <f>IFERROR(VLOOKUP(C227,CC!A:D,4,0)," ")</f>
        <v>123.05</v>
      </c>
      <c r="CH227" s="22" t="str">
        <f>IFERROR(VLOOKUP(C227,'спецификация'!B:AA,19,0)," ")</f>
        <v/>
      </c>
      <c r="CI227" s="22"/>
      <c r="CJ227" s="43"/>
      <c r="CK227" s="22" t="str">
        <f>IFERROR(VLOOKUP(C227,CC!K:M,3,0)," ")</f>
        <v> </v>
      </c>
      <c r="CL227" s="43"/>
      <c r="CM227" s="43"/>
      <c r="CN227" s="43"/>
      <c r="CO227" s="43"/>
      <c r="CP227" s="43"/>
      <c r="CQ227" s="43"/>
      <c r="CR227" s="43"/>
      <c r="CS227" s="43" t="b">
        <v>0</v>
      </c>
      <c r="CT227" s="43" t="b">
        <v>0</v>
      </c>
      <c r="CU227" s="43" t="b">
        <v>0</v>
      </c>
      <c r="CV227" s="43" t="b">
        <v>0</v>
      </c>
      <c r="CW227" s="43"/>
      <c r="CX227" s="43"/>
      <c r="CY227" s="43"/>
      <c r="CZ227" s="43"/>
      <c r="DA227" s="43"/>
      <c r="DB227" s="43"/>
      <c r="DC227" s="43"/>
      <c r="DD227" s="22">
        <f>IFERROR(VLOOKUP($C227,'Лист4'!$D:$AI,27,0)," ")</f>
        <v>14</v>
      </c>
      <c r="DE227" s="22">
        <f>IFERROR(VLOOKUP($C227,'Лист4'!$D:$AI,28,0)," ")</f>
        <v>4</v>
      </c>
      <c r="DF227" s="22">
        <f>IFERROR(VLOOKUP($C227,'Лист4'!$D:$AI,29,0)," ")</f>
        <v>14</v>
      </c>
      <c r="DG227" s="22">
        <f t="shared" si="3"/>
        <v>784</v>
      </c>
      <c r="DH227" s="22">
        <f>IFERROR(VLOOKUP($C227,'Лист4'!$D:$AI,32,0)," ")</f>
        <v>0.054</v>
      </c>
      <c r="DI227" s="22"/>
      <c r="DJ227" s="22"/>
      <c r="DK227" s="22"/>
      <c r="DL227" s="22"/>
      <c r="DM227" s="22"/>
      <c r="DN227" s="22"/>
      <c r="DO227" s="22"/>
      <c r="DP227" s="22"/>
      <c r="DQ227" s="22"/>
      <c r="DR227" s="22"/>
      <c r="DS227" s="22"/>
      <c r="DT227" s="22"/>
      <c r="DU227" s="22"/>
      <c r="DV227" s="22"/>
      <c r="DW227" s="22"/>
      <c r="DX227" s="22"/>
      <c r="DY227" s="22"/>
      <c r="DZ227" s="22"/>
      <c r="EA227" s="22"/>
      <c r="EB227" s="22"/>
      <c r="EC227" s="22"/>
      <c r="ED227" s="22"/>
      <c r="EE227" s="22"/>
      <c r="EF227" s="22"/>
      <c r="EG227" s="22"/>
      <c r="EH227" s="22"/>
      <c r="EI227" s="22"/>
      <c r="EJ227" s="22"/>
      <c r="EK227" s="22"/>
      <c r="EL227" s="22"/>
      <c r="EM227" s="43"/>
      <c r="EN227" s="43"/>
      <c r="EO227" s="43"/>
      <c r="EP227" s="43"/>
      <c r="EQ227" s="43"/>
      <c r="ER227" s="43"/>
      <c r="ES227" s="43"/>
      <c r="ET227" s="43"/>
      <c r="EU227" s="43"/>
      <c r="EV227" s="43"/>
      <c r="EW227" s="43"/>
      <c r="EX227" s="43"/>
      <c r="EY227" s="43"/>
      <c r="EZ227" s="43"/>
      <c r="FA227" s="43"/>
      <c r="FB227" s="43"/>
      <c r="FC227" s="43"/>
    </row>
    <row r="228" ht="18.0" customHeight="1">
      <c r="A228" s="2"/>
      <c r="B228" s="22" t="str">
        <f>IFERROR(VLOOKUP(C228,'Реестр'!C:AC,27,0)," ")</f>
        <v>Смарт-Сэйл</v>
      </c>
      <c r="C228" s="43" t="s">
        <v>3611</v>
      </c>
      <c r="D228" s="22" t="str">
        <f>IFERROR(VLOOKUP(C228,'Лист4'!D:P,13,0)," ")</f>
        <v>CPA</v>
      </c>
      <c r="E228" s="22" t="str">
        <f>IF(OR(ISERROR(VLOOKUP(C228,'Актуальность'!A:B,2,0)), VLOOKUP(C228,'Актуальность'!A:B,2,0)=""), "Актуальный", VLOOKUP(C228,'Актуальность'!A:B,2,0))</f>
        <v>Актуальный</v>
      </c>
      <c r="F228" s="43" t="str">
        <f>IFERROR(VLOOKUP(C228,'Актуальность'!A:C,3,0)," ")</f>
        <v/>
      </c>
      <c r="G228" s="43"/>
      <c r="H228" s="22" t="s">
        <v>2663</v>
      </c>
      <c r="I228" s="22" t="s">
        <v>3613</v>
      </c>
      <c r="J228" s="43"/>
      <c r="K228" s="43"/>
      <c r="L228" s="22" t="b">
        <f t="shared" ref="L228:R228" si="224">T228&lt;&gt;""</f>
        <v>1</v>
      </c>
      <c r="M228" s="22" t="b">
        <f t="shared" si="224"/>
        <v>1</v>
      </c>
      <c r="N228" s="22" t="b">
        <f t="shared" si="224"/>
        <v>1</v>
      </c>
      <c r="O228" s="22" t="b">
        <f t="shared" si="224"/>
        <v>1</v>
      </c>
      <c r="P228" s="22" t="b">
        <f t="shared" si="224"/>
        <v>0</v>
      </c>
      <c r="Q228" s="22" t="b">
        <f t="shared" si="224"/>
        <v>0</v>
      </c>
      <c r="R228" s="22" t="b">
        <f t="shared" si="224"/>
        <v>0</v>
      </c>
      <c r="S228" s="43"/>
      <c r="T228" s="43" t="str">
        <f>IFERROR(VLOOKUP( C228,'1С'!A:B,2,0)," ")</f>
        <v>CC101100408</v>
      </c>
      <c r="U228" s="22" t="str">
        <f>IFERROR(VLOOKUP(T228,'Лист4'!C:I,3,0)," ")</f>
        <v>gemorekt</v>
      </c>
      <c r="V228" s="22" t="str">
        <f>IFERROR(VLOOKUP(T228,'Лист4'!C:I,4,0)," ")</f>
        <v>gemorekt</v>
      </c>
      <c r="W228" s="22" t="str">
        <f>IFERROR(VLOOKUP(T228,'Лист4'!C:I,5,0)," ")</f>
        <v>gemorekt</v>
      </c>
      <c r="X228" s="43" t="str">
        <f>IFERROR(VLOOKUP(T228,'Лист4'!C:I,7,0)," ")</f>
        <v/>
      </c>
      <c r="Y228" s="43" t="str">
        <f>IFERROR(VLOOKUP(T228,'Лист4'!C:I,6,0)," ")</f>
        <v/>
      </c>
      <c r="Z228" s="43"/>
      <c r="AA228" s="43"/>
      <c r="AB228" s="22">
        <v>2.34208976E8</v>
      </c>
      <c r="AC228" s="22">
        <v>1.590267064E9</v>
      </c>
      <c r="AD228" s="22">
        <v>1.03515416657E11</v>
      </c>
      <c r="AE228" s="22"/>
      <c r="AF228" s="22"/>
      <c r="AG228" s="43"/>
      <c r="AH228" s="43"/>
      <c r="AI228" s="43" t="str">
        <f>IFERROR(VLOOKUP(T228,'1С'!B:C,2,0)," ")</f>
        <v>Крем от гемороя Геморект, CPA, 15 мл</v>
      </c>
      <c r="AJ228" s="22" t="s">
        <v>3615</v>
      </c>
      <c r="AK228" s="22" t="s">
        <v>3616</v>
      </c>
      <c r="AL228" s="22" t="s">
        <v>3617</v>
      </c>
      <c r="AM228" s="43"/>
      <c r="AN228" s="43"/>
      <c r="AO228" s="43"/>
      <c r="AP228" s="43"/>
      <c r="AQ228" s="46" t="s">
        <v>3618</v>
      </c>
      <c r="AR228" s="46" t="s">
        <v>3619</v>
      </c>
      <c r="AS228" s="46" t="s">
        <v>3620</v>
      </c>
      <c r="AT228" s="43"/>
      <c r="AU228" s="43"/>
      <c r="AV228" s="43"/>
      <c r="AW228" s="43"/>
      <c r="AX228" s="22" t="s">
        <v>594</v>
      </c>
      <c r="AY228" s="22" t="s">
        <v>3616</v>
      </c>
      <c r="AZ228" s="22" t="s">
        <v>2672</v>
      </c>
      <c r="BA228" s="43"/>
      <c r="BB228" s="43"/>
      <c r="BC228" s="43"/>
      <c r="BD228" s="43"/>
      <c r="BE228" s="43"/>
      <c r="BF228" s="22">
        <f>IFERROR(VLOOKUP(C228,'спецификация'!B:D,3,0)," ")</f>
        <v>4610030632742</v>
      </c>
      <c r="BG228" s="22">
        <v>3.30499E9</v>
      </c>
      <c r="BH228" s="22" t="str">
        <f>IFERROR(VLOOKUP(C228,'спецификация'!B:AA,5,0)," ")</f>
        <v>ЕАЭС N RU Д-RU.PA03.B.08160/24 от 26.03.2024 по 25.03.2029</v>
      </c>
      <c r="BI228" s="22"/>
      <c r="BJ228" s="22" t="str">
        <f>IFERROR(VLOOKUP(C228,'спецификация'!B:AA,6,0)," ")</f>
        <v/>
      </c>
      <c r="BK228" s="43"/>
      <c r="BL228" s="43"/>
      <c r="BM228" s="22" t="str">
        <f>IFERROR(VLOOKUP(BF228,'спецификация'!D:H,5,0)," ")</f>
        <v>гинкго билоба, алоэ вера, кора белого дуба, экстракты тысячелистника, календулы, мумие, конского каштана, черного ореха, зверобоя, д-пантенол, прополис, оливковое масло, облепиховое масло, пчелиный воск, вода, глицерин, бланоза, шаромикс ег 10, сабовакс, камфора.</v>
      </c>
      <c r="BN228" s="43"/>
      <c r="BO228" s="22" t="str">
        <f>IFERROR(VLOOKUP(C228,'спецификация'!B:AA,10,0)," ")</f>
        <v/>
      </c>
      <c r="BP228" s="43" t="str">
        <f>IFERROR(VLOOKUP(C228,'спецификация'!B:AA,11,0)," ")</f>
        <v> индивидуальная непереносимость одного или нескольких компонентов продукта.
</v>
      </c>
      <c r="BQ228" s="22" t="str">
        <f>IFERROR(VLOOKUP(C228,'спецификация'!B:AA,12,0)," ")</f>
        <v> хранить при температуре от + 5°С до + 25°С, в недоступном для детей месте.
</v>
      </c>
      <c r="BR228" s="22">
        <v>15.0</v>
      </c>
      <c r="BS228" s="22" t="s">
        <v>139</v>
      </c>
      <c r="BT228" s="22"/>
      <c r="BU228" s="22"/>
      <c r="BV228" s="22" t="s">
        <v>307</v>
      </c>
      <c r="BW228" s="44" t="str">
        <f>IFERROR(VLOOKUP(C228,'спецификация'!B:AA,16,0)," ")</f>
        <v>https://docs.google.com/document/d/1cYanVqgDSqpX9PJ11borNQDYHH_m4Gj1/edit</v>
      </c>
      <c r="BX228" s="43"/>
      <c r="BY228" s="43"/>
      <c r="BZ228" s="45" t="str">
        <f>IFERROR(VLOOKUP(BF228,'спецификация'!D:Y,22,0)," ")</f>
        <v/>
      </c>
      <c r="CA228" s="43"/>
      <c r="CB228" s="43"/>
      <c r="CC228" s="43"/>
      <c r="CD228" s="43"/>
      <c r="CE228" s="43"/>
      <c r="CF228" s="43"/>
      <c r="CG228" s="49">
        <f>IFERROR(VLOOKUP(C228,CC!A:D,4,0)," ")</f>
        <v>98.37</v>
      </c>
      <c r="CH228" s="22" t="str">
        <f>IFERROR(VLOOKUP(C228,'спецификация'!B:AA,19,0)," ")</f>
        <v> ООО "НутраФарм"
Адрес: 129626, Россия, г. Москва, ул. 1-я Мытищинская, д 3 стр., 1, эт/каб 3/306, к. 5А</v>
      </c>
      <c r="CI228" s="22"/>
      <c r="CJ228" s="43"/>
      <c r="CK228" s="22">
        <f>IFERROR(VLOOKUP(C228,CC!K:M,3,0)," ")</f>
        <v>45</v>
      </c>
      <c r="CL228" s="43"/>
      <c r="CM228" s="43"/>
      <c r="CN228" s="43"/>
      <c r="CO228" s="43"/>
      <c r="CP228" s="43"/>
      <c r="CQ228" s="43"/>
      <c r="CR228" s="43"/>
      <c r="CS228" s="43" t="b">
        <v>0</v>
      </c>
      <c r="CT228" s="43" t="b">
        <v>0</v>
      </c>
      <c r="CU228" s="43" t="b">
        <v>0</v>
      </c>
      <c r="CV228" s="43" t="b">
        <v>0</v>
      </c>
      <c r="CW228" s="43"/>
      <c r="CX228" s="43"/>
      <c r="CY228" s="43"/>
      <c r="CZ228" s="43"/>
      <c r="DA228" s="43"/>
      <c r="DB228" s="43"/>
      <c r="DC228" s="43"/>
      <c r="DD228" s="22">
        <f>IFERROR(VLOOKUP($C228,'Лист4'!$D:$AI,27,0)," ")</f>
        <v>11</v>
      </c>
      <c r="DE228" s="22">
        <f>IFERROR(VLOOKUP($C228,'Лист4'!$D:$AI,28,0)," ")</f>
        <v>3</v>
      </c>
      <c r="DF228" s="22">
        <f>IFERROR(VLOOKUP($C228,'Лист4'!$D:$AI,29,0)," ")</f>
        <v>11</v>
      </c>
      <c r="DG228" s="22">
        <f t="shared" si="3"/>
        <v>363</v>
      </c>
      <c r="DH228" s="22">
        <f>IFERROR(VLOOKUP($C228,'Лист4'!$D:$AI,32,0)," ")</f>
        <v>0.028</v>
      </c>
      <c r="DI228" s="22"/>
      <c r="DJ228" s="22"/>
      <c r="DK228" s="22"/>
      <c r="DL228" s="22"/>
      <c r="DM228" s="22"/>
      <c r="DN228" s="22"/>
      <c r="DO228" s="22"/>
      <c r="DP228" s="22"/>
      <c r="DQ228" s="22"/>
      <c r="DR228" s="22"/>
      <c r="DS228" s="22"/>
      <c r="DT228" s="22"/>
      <c r="DU228" s="22"/>
      <c r="DV228" s="22"/>
      <c r="DW228" s="22"/>
      <c r="DX228" s="22"/>
      <c r="DY228" s="22"/>
      <c r="DZ228" s="22"/>
      <c r="EA228" s="22"/>
      <c r="EB228" s="22"/>
      <c r="EC228" s="22"/>
      <c r="ED228" s="22"/>
      <c r="EE228" s="22"/>
      <c r="EF228" s="22"/>
      <c r="EG228" s="22"/>
      <c r="EH228" s="22"/>
      <c r="EI228" s="22"/>
      <c r="EJ228" s="22"/>
      <c r="EK228" s="22"/>
      <c r="EL228" s="22"/>
      <c r="EM228" s="43"/>
      <c r="EN228" s="43"/>
      <c r="EO228" s="43"/>
      <c r="EP228" s="43"/>
      <c r="EQ228" s="43"/>
      <c r="ER228" s="43"/>
      <c r="ES228" s="43"/>
      <c r="ET228" s="43"/>
      <c r="EU228" s="43"/>
      <c r="EV228" s="43"/>
      <c r="EW228" s="43"/>
      <c r="EX228" s="43"/>
      <c r="EY228" s="43"/>
      <c r="EZ228" s="43"/>
      <c r="FA228" s="43"/>
      <c r="FB228" s="43"/>
      <c r="FC228" s="43"/>
    </row>
    <row r="229" ht="18.0" customHeight="1">
      <c r="A229" s="2"/>
      <c r="B229" s="22" t="str">
        <f>IFERROR(VLOOKUP(C229,'Реестр'!C:AC,27,0)," ")</f>
        <v>Смарт-Сэйл</v>
      </c>
      <c r="C229" s="43" t="s">
        <v>3628</v>
      </c>
      <c r="D229" s="22" t="str">
        <f>IFERROR(VLOOKUP(C229,'Лист4'!D:P,13,0)," ")</f>
        <v>Алтея</v>
      </c>
      <c r="E229" s="22" t="str">
        <f>IF(OR(ISERROR(VLOOKUP(C229,'Актуальность'!A:B,2,0)), VLOOKUP(C229,'Актуальность'!A:B,2,0)=""), "Актуальный", VLOOKUP(C229,'Актуальность'!A:B,2,0))</f>
        <v>Вывод</v>
      </c>
      <c r="F229" s="43" t="str">
        <f>IFERROR(VLOOKUP(C229,'Актуальность'!A:C,3,0)," ")</f>
        <v>Перезавели v2</v>
      </c>
      <c r="G229" s="43"/>
      <c r="H229" s="22" t="s">
        <v>2743</v>
      </c>
      <c r="I229" s="22" t="s">
        <v>565</v>
      </c>
      <c r="J229" s="43"/>
      <c r="K229" s="43"/>
      <c r="L229" s="22" t="b">
        <f t="shared" ref="L229:R229" si="225">T229&lt;&gt;""</f>
        <v>1</v>
      </c>
      <c r="M229" s="22" t="b">
        <f t="shared" si="225"/>
        <v>1</v>
      </c>
      <c r="N229" s="22" t="b">
        <f t="shared" si="225"/>
        <v>1</v>
      </c>
      <c r="O229" s="22" t="b">
        <f t="shared" si="225"/>
        <v>1</v>
      </c>
      <c r="P229" s="22" t="b">
        <f t="shared" si="225"/>
        <v>1</v>
      </c>
      <c r="Q229" s="22" t="b">
        <f t="shared" si="225"/>
        <v>1</v>
      </c>
      <c r="R229" s="22" t="b">
        <f t="shared" si="225"/>
        <v>0</v>
      </c>
      <c r="S229" s="43"/>
      <c r="T229" s="43" t="str">
        <f>IFERROR(VLOOKUP( C229,'1С'!A:B,2,0)," ")</f>
        <v>AC101100431</v>
      </c>
      <c r="U229" s="22" t="str">
        <f>IFERROR(VLOOKUP(T229,'Лист4'!C:I,3,0)," ")</f>
        <v>enzim_pudra_80gr</v>
      </c>
      <c r="V229" s="22" t="str">
        <f>IFERROR(VLOOKUP(T229,'Лист4'!C:I,4,0)," ")</f>
        <v>enzim_pudra_80gr</v>
      </c>
      <c r="W229" s="22" t="str">
        <f>IFERROR(VLOOKUP(T229,'Лист4'!C:I,5,0)," ")</f>
        <v>enzim_pudra_80gr</v>
      </c>
      <c r="X229" s="43" t="str">
        <f>IFERROR(VLOOKUP(T229,'Лист4'!C:I,7,0)," ")</f>
        <v>enzim_pudra_80gr</v>
      </c>
      <c r="Y229" s="43" t="str">
        <f>IFERROR(VLOOKUP(T229,'Лист4'!C:I,6,0)," ")</f>
        <v>enzim_pudra_80gr</v>
      </c>
      <c r="Z229" s="43"/>
      <c r="AA229" s="43"/>
      <c r="AB229" s="22">
        <v>2.76289241E8</v>
      </c>
      <c r="AC229" s="22">
        <v>1.745153183E9</v>
      </c>
      <c r="AD229" s="22">
        <v>1.03599530489E11</v>
      </c>
      <c r="AE229" s="22">
        <v>9.900007622E10</v>
      </c>
      <c r="AF229" s="22" t="s">
        <v>3631</v>
      </c>
      <c r="AG229" s="43"/>
      <c r="AH229" s="43"/>
      <c r="AI229" s="43" t="str">
        <f>IFERROR(VLOOKUP(T229,'1С'!B:C,2,0)," ")</f>
        <v>Энзимная пудра, Алтея, 80г</v>
      </c>
      <c r="AJ229" s="22" t="s">
        <v>568</v>
      </c>
      <c r="AK229" s="22" t="s">
        <v>3632</v>
      </c>
      <c r="AL229" s="22" t="s">
        <v>3633</v>
      </c>
      <c r="AM229" s="22" t="s">
        <v>3634</v>
      </c>
      <c r="AN229" s="22" t="s">
        <v>568</v>
      </c>
      <c r="AO229" s="43"/>
      <c r="AP229" s="43"/>
      <c r="AQ229" s="46" t="s">
        <v>3635</v>
      </c>
      <c r="AR229" s="46" t="s">
        <v>3636</v>
      </c>
      <c r="AS229" s="46" t="s">
        <v>3637</v>
      </c>
      <c r="AT229" s="46" t="s">
        <v>3638</v>
      </c>
      <c r="AU229" s="46" t="s">
        <v>3639</v>
      </c>
      <c r="AV229" s="43"/>
      <c r="AW229" s="43"/>
      <c r="AX229" s="22" t="s">
        <v>574</v>
      </c>
      <c r="AY229" s="22" t="s">
        <v>3632</v>
      </c>
      <c r="AZ229" s="22" t="s">
        <v>3640</v>
      </c>
      <c r="BA229" s="22" t="s">
        <v>1447</v>
      </c>
      <c r="BB229" s="22" t="s">
        <v>576</v>
      </c>
      <c r="BC229" s="43"/>
      <c r="BD229" s="43"/>
      <c r="BE229" s="43"/>
      <c r="BF229" s="22">
        <f>IFERROR(VLOOKUP(C229,'спецификация'!B:D,3,0)," ")</f>
        <v>4670020498017</v>
      </c>
      <c r="BG229" s="22">
        <v>3.30499E9</v>
      </c>
      <c r="BH229" s="22" t="str">
        <f>IFERROR(VLOOKUP(C229,'спецификация'!B:AA,5,0)," ")</f>
        <v/>
      </c>
      <c r="BI229" s="22"/>
      <c r="BJ229" s="22" t="str">
        <f>IFERROR(VLOOKUP(C229,'спецификация'!B:AA,6,0)," ")</f>
        <v>нет</v>
      </c>
      <c r="BK229" s="43"/>
      <c r="BL229" s="43"/>
      <c r="BM229" s="22" t="str">
        <f>IFERROR(VLOOKUP(BF229,'спецификация'!D:H,5,0)," ")</f>
        <v>Corn Starch, Sodium Cocoyl Isethionate, Kaolin, Parfum, Papain, Allantoin, Camellia Sinensis Leaf Extract, Salicylic acid, Аcrylic Рolymer, Inulin, Geraniol, Limonene.</v>
      </c>
      <c r="BN229" s="43"/>
      <c r="BO229" s="22" t="str">
        <f>IFERROR(VLOOKUP(C229,'спецификация'!B:AA,10,0)," ")</f>
        <v>небольшое количество пудры насыпать в смоченную водой ладонь. Вспенить средство и массажными движениями нанести на влажную кожу лица и шеи, избегая области вокруг глаз. Смыть водой.</v>
      </c>
      <c r="BP229" s="43" t="str">
        <f>IFERROR(VLOOKUP(C229,'спецификация'!B:AA,11,0)," ")</f>
        <v>Меры предосторожности: возможна индивидуальная непереносимость отдельных компонентов состава.
</v>
      </c>
      <c r="BQ229" s="22" t="str">
        <f>IFERROR(VLOOKUP(C229,'спецификация'!B:AA,12,0)," ")</f>
        <v>хранить при температуре не ниже 0ºС и не выше 25ºС</v>
      </c>
      <c r="BR229" s="22">
        <v>80.0</v>
      </c>
      <c r="BS229" s="22" t="s">
        <v>3643</v>
      </c>
      <c r="BT229" s="22"/>
      <c r="BU229" s="22"/>
      <c r="BV229" s="22" t="s">
        <v>307</v>
      </c>
      <c r="BW229" s="44" t="str">
        <f>IFERROR(VLOOKUP(C229,'спецификация'!B:AA,16,0)," ")</f>
        <v>https://docs.google.com/document/d/1tPWJObwi77XC77ljuF4TVHbZp4aCpQ2W/edit?usp=drive_web&amp;ouid=104241417680089502627&amp;rtpof=true</v>
      </c>
      <c r="BX229" s="43"/>
      <c r="BY229" s="43"/>
      <c r="BZ229" s="45" t="str">
        <f>IFERROR(VLOOKUP(BF229,'спецификация'!D:Y,22,0)," ")</f>
        <v/>
      </c>
      <c r="CA229" s="43"/>
      <c r="CB229" s="43"/>
      <c r="CC229" s="43"/>
      <c r="CD229" s="43"/>
      <c r="CE229" s="43"/>
      <c r="CF229" s="43"/>
      <c r="CG229" s="49">
        <f>IFERROR(VLOOKUP(C229,CC!A:D,4,0)," ")</f>
        <v>114.6</v>
      </c>
      <c r="CH229" s="22" t="str">
        <f>IFERROR(VLOOKUP(C229,'спецификация'!B:AA,19,0)," ")</f>
        <v>ООО "Алтэя"</v>
      </c>
      <c r="CI229" s="22"/>
      <c r="CJ229" s="22" t="s">
        <v>2835</v>
      </c>
      <c r="CK229" s="22">
        <f>IFERROR(VLOOKUP(C229,CC!K:M,3,0)," ")</f>
        <v>90</v>
      </c>
      <c r="CL229" s="43"/>
      <c r="CM229" s="43"/>
      <c r="CN229" s="43"/>
      <c r="CO229" s="43"/>
      <c r="CP229" s="43"/>
      <c r="CQ229" s="43"/>
      <c r="CR229" s="43"/>
      <c r="CS229" s="43" t="b">
        <v>0</v>
      </c>
      <c r="CT229" s="43" t="b">
        <v>0</v>
      </c>
      <c r="CU229" s="43" t="b">
        <v>0</v>
      </c>
      <c r="CV229" s="43" t="b">
        <v>0</v>
      </c>
      <c r="CW229" s="43"/>
      <c r="CX229" s="43"/>
      <c r="CY229" s="43"/>
      <c r="CZ229" s="43"/>
      <c r="DA229" s="43"/>
      <c r="DB229" s="43"/>
      <c r="DC229" s="43"/>
      <c r="DD229" s="22">
        <f>IFERROR(VLOOKUP($C229,'Лист4'!$D:$AI,27,0)," ")</f>
        <v>5</v>
      </c>
      <c r="DE229" s="22">
        <f>IFERROR(VLOOKUP($C229,'Лист4'!$D:$AI,28,0)," ")</f>
        <v>13</v>
      </c>
      <c r="DF229" s="22">
        <f>IFERROR(VLOOKUP($C229,'Лист4'!$D:$AI,29,0)," ")</f>
        <v>5</v>
      </c>
      <c r="DG229" s="22">
        <f t="shared" si="3"/>
        <v>325</v>
      </c>
      <c r="DH229" s="22">
        <f>IFERROR(VLOOKUP($C229,'Лист4'!$D:$AI,32,0)," ")</f>
        <v>0.101</v>
      </c>
      <c r="DI229" s="22"/>
      <c r="DJ229" s="22"/>
      <c r="DK229" s="22"/>
      <c r="DL229" s="22"/>
      <c r="DM229" s="22"/>
      <c r="DN229" s="22"/>
      <c r="DO229" s="22"/>
      <c r="DP229" s="22"/>
      <c r="DQ229" s="22"/>
      <c r="DR229" s="22"/>
      <c r="DS229" s="22"/>
      <c r="DT229" s="22"/>
      <c r="DU229" s="22"/>
      <c r="DV229" s="22"/>
      <c r="DW229" s="22"/>
      <c r="DX229" s="22"/>
      <c r="DY229" s="22"/>
      <c r="DZ229" s="22"/>
      <c r="EA229" s="22"/>
      <c r="EB229" s="22"/>
      <c r="EC229" s="22"/>
      <c r="ED229" s="22"/>
      <c r="EE229" s="22"/>
      <c r="EF229" s="22"/>
      <c r="EG229" s="22"/>
      <c r="EH229" s="22"/>
      <c r="EI229" s="22"/>
      <c r="EJ229" s="22"/>
      <c r="EK229" s="22"/>
      <c r="EL229" s="22"/>
      <c r="EM229" s="43"/>
      <c r="EN229" s="43"/>
      <c r="EO229" s="43"/>
      <c r="EP229" s="43"/>
      <c r="EQ229" s="43"/>
      <c r="ER229" s="43"/>
      <c r="ES229" s="43"/>
      <c r="ET229" s="43"/>
      <c r="EU229" s="43"/>
      <c r="EV229" s="43"/>
      <c r="EW229" s="43"/>
      <c r="EX229" s="43"/>
      <c r="EY229" s="43"/>
      <c r="EZ229" s="43"/>
      <c r="FA229" s="43"/>
      <c r="FB229" s="43"/>
      <c r="FC229" s="43"/>
    </row>
    <row r="230" ht="18.0" customHeight="1">
      <c r="A230" s="2"/>
      <c r="B230" s="22" t="str">
        <f>IFERROR(VLOOKUP(C230,'Реестр'!C:AC,27,0)," ")</f>
        <v>Смарт-Сэйл</v>
      </c>
      <c r="C230" s="43" t="s">
        <v>3645</v>
      </c>
      <c r="D230" s="22" t="str">
        <f>IFERROR(VLOOKUP(C230,'Лист4'!D:P,13,0)," ")</f>
        <v>Алтея</v>
      </c>
      <c r="E230" s="22" t="str">
        <f>IF(OR(ISERROR(VLOOKUP(C230,'Актуальность'!A:B,2,0)), VLOOKUP(C230,'Актуальность'!A:B,2,0)=""), "Актуальный", VLOOKUP(C230,'Актуальность'!A:B,2,0))</f>
        <v>Вывод</v>
      </c>
      <c r="F230" s="43" t="str">
        <f>IFERROR(VLOOKUP(C230,'Актуальность'!A:C,3,0)," ")</f>
        <v>Внимание на ВБ</v>
      </c>
      <c r="G230" s="43"/>
      <c r="H230" s="22" t="s">
        <v>361</v>
      </c>
      <c r="I230" s="22" t="s">
        <v>2766</v>
      </c>
      <c r="J230" s="43"/>
      <c r="K230" s="43"/>
      <c r="L230" s="22" t="b">
        <f t="shared" ref="L230:R230" si="226">T230&lt;&gt;""</f>
        <v>1</v>
      </c>
      <c r="M230" s="22" t="b">
        <f t="shared" si="226"/>
        <v>1</v>
      </c>
      <c r="N230" s="22" t="b">
        <f t="shared" si="226"/>
        <v>1</v>
      </c>
      <c r="O230" s="22" t="b">
        <f t="shared" si="226"/>
        <v>1</v>
      </c>
      <c r="P230" s="22" t="b">
        <f t="shared" si="226"/>
        <v>0</v>
      </c>
      <c r="Q230" s="22" t="b">
        <f t="shared" si="226"/>
        <v>0</v>
      </c>
      <c r="R230" s="22" t="b">
        <f t="shared" si="226"/>
        <v>0</v>
      </c>
      <c r="S230" s="43"/>
      <c r="T230" s="43" t="str">
        <f>IFERROR(VLOOKUP( C230,'1С'!A:B,2,0)," ")</f>
        <v>AB101100403</v>
      </c>
      <c r="U230" s="64" t="s">
        <v>3645</v>
      </c>
      <c r="V230" s="22" t="str">
        <f>IFERROR(VLOOKUP(T230,'Лист4'!C:I,4,0)," ")</f>
        <v>berberin_laif_BAD_60caps</v>
      </c>
      <c r="W230" s="22" t="str">
        <f>IFERROR(VLOOKUP(T230,'Лист4'!C:I,5,0)," ")</f>
        <v>berberin_laif_BAD_60caps</v>
      </c>
      <c r="X230" s="43" t="str">
        <f>IFERROR(VLOOKUP(T230,'Лист4'!C:I,7,0)," ")</f>
        <v/>
      </c>
      <c r="Y230" s="43" t="str">
        <f>IFERROR(VLOOKUP(T230,'Лист4'!C:I,6,0)," ")</f>
        <v/>
      </c>
      <c r="Z230" s="43"/>
      <c r="AA230" s="43"/>
      <c r="AB230" s="22">
        <v>2.80577427E8</v>
      </c>
      <c r="AC230" s="22">
        <v>1.753227855E9</v>
      </c>
      <c r="AD230" s="22">
        <v>1.03621547195E11</v>
      </c>
      <c r="AE230" s="22"/>
      <c r="AF230" s="22"/>
      <c r="AG230" s="43"/>
      <c r="AH230" s="43"/>
      <c r="AI230" s="43" t="str">
        <f>IFERROR(VLOOKUP(T230,'1С'!B:C,2,0)," ")</f>
        <v>Пищевая добавка Берберин Лайф, Алтея, 60 капсул</v>
      </c>
      <c r="AJ230" s="22" t="s">
        <v>3649</v>
      </c>
      <c r="AK230" s="22" t="s">
        <v>3650</v>
      </c>
      <c r="AL230" s="22" t="s">
        <v>3650</v>
      </c>
      <c r="AM230" s="43"/>
      <c r="AN230" s="43"/>
      <c r="AO230" s="43"/>
      <c r="AP230" s="43"/>
      <c r="AQ230" s="46" t="s">
        <v>3651</v>
      </c>
      <c r="AR230" s="46" t="s">
        <v>3652</v>
      </c>
      <c r="AS230" s="46" t="s">
        <v>3653</v>
      </c>
      <c r="AT230" s="43"/>
      <c r="AU230" s="43"/>
      <c r="AV230" s="43"/>
      <c r="AW230" s="43"/>
      <c r="AX230" s="22" t="s">
        <v>649</v>
      </c>
      <c r="AY230" s="22" t="s">
        <v>3650</v>
      </c>
      <c r="AZ230" s="22" t="s">
        <v>372</v>
      </c>
      <c r="BA230" s="43"/>
      <c r="BB230" s="43"/>
      <c r="BC230" s="43"/>
      <c r="BD230" s="43"/>
      <c r="BE230" s="43"/>
      <c r="BF230" s="43">
        <v>4.610030633862E12</v>
      </c>
      <c r="BG230" s="22">
        <v>2106.0</v>
      </c>
      <c r="BH230" s="22" t="str">
        <f>IFERROR(VLOOKUP(C230,'спецификация'!B:AA,5,0)," ")</f>
        <v/>
      </c>
      <c r="BI230" s="22"/>
      <c r="BJ230" s="22" t="str">
        <f>IFERROR(VLOOKUP(C230,'спецификация'!B:AA,6,0)," ")</f>
        <v>нет</v>
      </c>
      <c r="BK230" s="43"/>
      <c r="BL230" s="43"/>
      <c r="BM230" s="22" t="str">
        <f>IFERROR(VLOOKUP(BF230,'спецификация'!D:H,5,0)," ")</f>
        <v>экстракт плодов барбариса, носитель: целлюлоза микрокристаллическая (Е460), коэнзим Q10, агент антислёживающий: магниевая соль стеариновой кислоты (Е470), хрома пиколинат, витамин В6, оболочка капсулы белого цвета (желатин, краситель оксид цинка).</v>
      </c>
      <c r="BN230" s="43"/>
      <c r="BO230" s="22" t="str">
        <f>IFERROR(VLOOKUP(C230,'спецификация'!B:AA,10,0)," ")</f>
        <v>взрослым по 1 капсуле 2 раза в день во время еды.</v>
      </c>
      <c r="BP230" s="43" t="str">
        <f>IFERROR(VLOOKUP(C230,'спецификация'!B:AA,11,0)," ")</f>
        <v>индивидуальная непереносимость компонентов продукта, детский возраст до 18 лет, беременность, кормление грудью. 
</v>
      </c>
      <c r="BQ230" s="22" t="str">
        <f>IFERROR(VLOOKUP(C230,'спецификация'!B:AA,12,0)," ")</f>
        <v>хранить в сухом, защищенном от прямых солнечных лучей и недоступном для детей месте при температуре не выше +25°С.  </v>
      </c>
      <c r="BR230" s="22"/>
      <c r="BS230" s="43"/>
      <c r="BT230" s="43"/>
      <c r="BU230" s="22"/>
      <c r="BV230" s="22" t="s">
        <v>401</v>
      </c>
      <c r="BW230" s="44" t="str">
        <f>IFERROR(VLOOKUP(C230,'спецификация'!B:AA,16,0)," ")</f>
        <v>https://docs.google.com/document/d/15npJOwOf4QFRQYsZgY5fl6I-udJYoZMa/edit</v>
      </c>
      <c r="BX230" s="43"/>
      <c r="BY230" s="43"/>
      <c r="BZ230" s="45" t="str">
        <f>IFERROR(VLOOKUP(BF230,'спецификация'!D:Y,22,0)," ")</f>
        <v/>
      </c>
      <c r="CA230" s="43"/>
      <c r="CB230" s="43"/>
      <c r="CC230" s="43"/>
      <c r="CD230" s="43"/>
      <c r="CE230" s="43"/>
      <c r="CF230" s="43"/>
      <c r="CG230" s="49">
        <f>IFERROR(VLOOKUP(C230,CC!A:D,4,0)," ")</f>
        <v>253.03</v>
      </c>
      <c r="CH230" s="22" t="str">
        <f>IFERROR(VLOOKUP(C230,'спецификация'!B:AA,19,0)," ")</f>
        <v>ООО "ЗДРАВФАРМ", 129626, Россия, г. Москва, вн. тер г., Муниципальный округ Алексеевский, ул. 1-я Мытищинская, д3, стр. 1, эт. 6, каб 216, ком. 43</v>
      </c>
      <c r="CI230" s="22"/>
      <c r="CJ230" s="43"/>
      <c r="CK230" s="22">
        <f>IFERROR(VLOOKUP(C230,CC!K:M,3,0)," ")</f>
        <v>90</v>
      </c>
      <c r="CL230" s="43"/>
      <c r="CM230" s="43"/>
      <c r="CN230" s="43"/>
      <c r="CO230" s="43"/>
      <c r="CP230" s="43"/>
      <c r="CQ230" s="43"/>
      <c r="CR230" s="43"/>
      <c r="CS230" s="43" t="b">
        <v>0</v>
      </c>
      <c r="CT230" s="43" t="b">
        <v>0</v>
      </c>
      <c r="CU230" s="43" t="b">
        <v>0</v>
      </c>
      <c r="CV230" s="43" t="b">
        <v>0</v>
      </c>
      <c r="CW230" s="43"/>
      <c r="CX230" s="43"/>
      <c r="CY230" s="43"/>
      <c r="CZ230" s="43"/>
      <c r="DA230" s="43"/>
      <c r="DB230" s="43"/>
      <c r="DC230" s="43"/>
      <c r="DD230" s="22">
        <f>IFERROR(VLOOKUP($C230,'Лист4'!$D:$AI,27,0)," ")</f>
        <v>9</v>
      </c>
      <c r="DE230" s="22">
        <f>IFERROR(VLOOKUP($C230,'Лист4'!$D:$AI,28,0)," ")</f>
        <v>5</v>
      </c>
      <c r="DF230" s="22">
        <f>IFERROR(VLOOKUP($C230,'Лист4'!$D:$AI,29,0)," ")</f>
        <v>9</v>
      </c>
      <c r="DG230" s="22">
        <f t="shared" si="3"/>
        <v>405</v>
      </c>
      <c r="DH230" s="22">
        <f>IFERROR(VLOOKUP($C230,'Лист4'!$D:$AI,32,0)," ")</f>
        <v>0.052</v>
      </c>
      <c r="DI230" s="22"/>
      <c r="DJ230" s="22"/>
      <c r="DK230" s="22"/>
      <c r="DL230" s="22"/>
      <c r="DM230" s="22"/>
      <c r="DN230" s="22"/>
      <c r="DO230" s="22"/>
      <c r="DP230" s="22"/>
      <c r="DQ230" s="22"/>
      <c r="DR230" s="22"/>
      <c r="DS230" s="22"/>
      <c r="DT230" s="22"/>
      <c r="DU230" s="22"/>
      <c r="DV230" s="22"/>
      <c r="DW230" s="22"/>
      <c r="DX230" s="22"/>
      <c r="DY230" s="22"/>
      <c r="DZ230" s="22"/>
      <c r="EA230" s="22"/>
      <c r="EB230" s="22"/>
      <c r="EC230" s="22"/>
      <c r="ED230" s="22"/>
      <c r="EE230" s="22"/>
      <c r="EF230" s="22"/>
      <c r="EG230" s="22"/>
      <c r="EH230" s="22"/>
      <c r="EI230" s="22"/>
      <c r="EJ230" s="22"/>
      <c r="EK230" s="22"/>
      <c r="EL230" s="22"/>
      <c r="EM230" s="43"/>
      <c r="EN230" s="43"/>
      <c r="EO230" s="43"/>
      <c r="EP230" s="43"/>
      <c r="EQ230" s="43"/>
      <c r="ER230" s="43"/>
      <c r="ES230" s="43"/>
      <c r="ET230" s="43"/>
      <c r="EU230" s="43"/>
      <c r="EV230" s="43"/>
      <c r="EW230" s="43"/>
      <c r="EX230" s="43"/>
      <c r="EY230" s="43"/>
      <c r="EZ230" s="43"/>
      <c r="FA230" s="43"/>
      <c r="FB230" s="43"/>
      <c r="FC230" s="43"/>
    </row>
    <row r="231" ht="18.0" customHeight="1">
      <c r="A231" s="2"/>
      <c r="B231" s="22" t="str">
        <f>IFERROR(VLOOKUP(C231,'Реестр'!C:AC,27,0)," ")</f>
        <v>Смарт-Сэйл</v>
      </c>
      <c r="C231" s="43" t="s">
        <v>3658</v>
      </c>
      <c r="D231" s="22" t="str">
        <f>IFERROR(VLOOKUP(C231,'Лист4'!D:P,13,0)," ")</f>
        <v>Алтея</v>
      </c>
      <c r="E231" s="22" t="str">
        <f>IF(OR(ISERROR(VLOOKUP(C231,'Актуальность'!A:B,2,0)), VLOOKUP(C231,'Актуальность'!A:B,2,0)=""), "Актуальный", VLOOKUP(C231,'Актуальность'!A:B,2,0))</f>
        <v>Под вопросом</v>
      </c>
      <c r="F231" s="43" t="str">
        <f>IFERROR(VLOOKUP(C231,'Актуальность'!A:C,3,0)," ")</f>
        <v>Внимание на ВБ</v>
      </c>
      <c r="G231" s="43"/>
      <c r="H231" s="22" t="s">
        <v>361</v>
      </c>
      <c r="I231" s="22" t="s">
        <v>3660</v>
      </c>
      <c r="J231" s="43"/>
      <c r="K231" s="43"/>
      <c r="L231" s="22" t="b">
        <f t="shared" ref="L231:R231" si="227">T231&lt;&gt;""</f>
        <v>1</v>
      </c>
      <c r="M231" s="22" t="b">
        <f t="shared" si="227"/>
        <v>1</v>
      </c>
      <c r="N231" s="22" t="b">
        <f t="shared" si="227"/>
        <v>1</v>
      </c>
      <c r="O231" s="22" t="b">
        <f t="shared" si="227"/>
        <v>1</v>
      </c>
      <c r="P231" s="22" t="b">
        <f t="shared" si="227"/>
        <v>0</v>
      </c>
      <c r="Q231" s="22" t="b">
        <f t="shared" si="227"/>
        <v>0</v>
      </c>
      <c r="R231" s="22" t="b">
        <f t="shared" si="227"/>
        <v>0</v>
      </c>
      <c r="S231" s="43"/>
      <c r="T231" s="43" t="str">
        <f>IFERROR(VLOOKUP( C231,'1С'!A:B,2,0)," ")</f>
        <v>AB101100404</v>
      </c>
      <c r="U231" s="22" t="str">
        <f>IFERROR(VLOOKUP(T231,'Лист4'!C:I,3,0)," ")</f>
        <v>indolakt_BAD_60caps</v>
      </c>
      <c r="V231" s="22" t="str">
        <f>IFERROR(VLOOKUP(T231,'Лист4'!C:I,4,0)," ")</f>
        <v>indolakt_BAD_60caps</v>
      </c>
      <c r="W231" s="22" t="str">
        <f>IFERROR(VLOOKUP(T231,'Лист4'!C:I,5,0)," ")</f>
        <v>indolakt_BAD_60caps</v>
      </c>
      <c r="X231" s="43" t="str">
        <f>IFERROR(VLOOKUP(T231,'Лист4'!C:I,7,0)," ")</f>
        <v/>
      </c>
      <c r="Y231" s="43" t="str">
        <f>IFERROR(VLOOKUP(T231,'Лист4'!C:I,6,0)," ")</f>
        <v/>
      </c>
      <c r="Z231" s="43"/>
      <c r="AA231" s="43"/>
      <c r="AB231" s="22">
        <v>2.80062078E8</v>
      </c>
      <c r="AC231" s="22">
        <v>1.752021365E9</v>
      </c>
      <c r="AD231" s="22">
        <v>1.0372978517E11</v>
      </c>
      <c r="AE231" s="22"/>
      <c r="AF231" s="22"/>
      <c r="AG231" s="43"/>
      <c r="AH231" s="43"/>
      <c r="AI231" s="43" t="str">
        <f>IFERROR(VLOOKUP(T231,'1С'!B:C,2,0)," ")</f>
        <v>БАД Индолакт, Алтея, 60 капсул</v>
      </c>
      <c r="AJ231" s="22" t="s">
        <v>3662</v>
      </c>
      <c r="AK231" s="22" t="s">
        <v>3663</v>
      </c>
      <c r="AL231" s="22" t="s">
        <v>3664</v>
      </c>
      <c r="AM231" s="43"/>
      <c r="AN231" s="43"/>
      <c r="AO231" s="43"/>
      <c r="AP231" s="43"/>
      <c r="AQ231" s="46" t="s">
        <v>3665</v>
      </c>
      <c r="AR231" s="46" t="s">
        <v>3666</v>
      </c>
      <c r="AS231" s="46" t="s">
        <v>3667</v>
      </c>
      <c r="AT231" s="43"/>
      <c r="AU231" s="43"/>
      <c r="AV231" s="43"/>
      <c r="AW231" s="43"/>
      <c r="AX231" s="22" t="s">
        <v>361</v>
      </c>
      <c r="AY231" s="22" t="s">
        <v>3663</v>
      </c>
      <c r="AZ231" s="22" t="s">
        <v>372</v>
      </c>
      <c r="BA231" s="43"/>
      <c r="BB231" s="43"/>
      <c r="BC231" s="43"/>
      <c r="BD231" s="43"/>
      <c r="BE231" s="43"/>
      <c r="BF231" s="22">
        <f>IFERROR(VLOOKUP(C231,'спецификация'!B:D,3,0)," ")</f>
        <v>4610030631950</v>
      </c>
      <c r="BG231" s="22">
        <v>2.106909803E9</v>
      </c>
      <c r="BH231" s="22" t="str">
        <f>IFERROR(VLOOKUP(C231,'спецификация'!B:AA,5,0)," ")</f>
        <v/>
      </c>
      <c r="BI231" s="22"/>
      <c r="BJ231" s="22" t="str">
        <f>IFERROR(VLOOKUP(C231,'спецификация'!B:AA,6,0)," ")</f>
        <v>да</v>
      </c>
      <c r="BK231" s="43"/>
      <c r="BL231" s="43"/>
      <c r="BM231" s="22" t="str">
        <f>IFERROR(VLOOKUP(BF231,'спецификация'!D:H,5,0)," ")</f>
        <v>носитель: целлюлоза микрокристаллическая (Е460), экстракт брокколи, индол-3-карбинол, экстракт зеленого чая, агент антислеживающий: магниевая соль стеариновой кислоты (Е470), агент антислеживающий: диоксид кремния аморфный (Е551), витамин В9 (фолиевая кислота), оболочка капсулы белого цвета (желатин, краситель: оксид цинка).</v>
      </c>
      <c r="BN231" s="43"/>
      <c r="BO231" s="22" t="str">
        <f>IFERROR(VLOOKUP(C231,'спецификация'!B:AA,10,0)," ")</f>
        <v>взрослым по 1 капсуле 2 раза в день во время еды.
Продолжительность приема – 1 месяц. При необходимости прием можно повторить. 
</v>
      </c>
      <c r="BP231" s="43" t="str">
        <f>IFERROR(VLOOKUP(C231,'спецификация'!B:AA,11,0)," ")</f>
        <v>индивидуальная непереносимость компонентов продукта, беременность, кормление грудью.
Перед применением рекомендуется проконсультироваться с врачом.
</v>
      </c>
      <c r="BQ231" s="22" t="str">
        <f>IFERROR(VLOOKUP(C231,'спецификация'!B:AA,12,0)," ")</f>
        <v>хранить в сухом, защищенном от прямых солнечных лучей и недоступном для детей месте при температуре не выше +25 °С.  </v>
      </c>
      <c r="BR231" s="22">
        <v>60.0</v>
      </c>
      <c r="BS231" s="22" t="s">
        <v>492</v>
      </c>
      <c r="BT231" s="22"/>
      <c r="BU231" s="22"/>
      <c r="BV231" s="22" t="s">
        <v>307</v>
      </c>
      <c r="BW231" s="44" t="str">
        <f>IFERROR(VLOOKUP(C231,'спецификация'!B:AA,16,0)," ")</f>
        <v>https://docs.google.com/document/d/1QGYk_X04jcPZgUSNLdY-gwYRSWkKVjZP/edit</v>
      </c>
      <c r="BX231" s="43"/>
      <c r="BY231" s="43"/>
      <c r="BZ231" s="45" t="str">
        <f>IFERROR(VLOOKUP(BF231,'спецификация'!D:Y,22,0)," ")</f>
        <v/>
      </c>
      <c r="CA231" s="43"/>
      <c r="CB231" s="43"/>
      <c r="CC231" s="43"/>
      <c r="CD231" s="43"/>
      <c r="CE231" s="43"/>
      <c r="CF231" s="43"/>
      <c r="CG231" s="49">
        <f>IFERROR(VLOOKUP(C231,CC!A:D,4,0)," ")</f>
        <v>196.35</v>
      </c>
      <c r="CH231" s="22" t="str">
        <f>IFERROR(VLOOKUP(C231,'спецификация'!B:AA,19,0)," ")</f>
        <v>ООО «Химфармконтракт», 129329, Россия, г. Москва, вн. тер г., Муниципальный округ Свиблово, ул. Кольская, д.1, этаж/помещение 6/I, ком.10. 
</v>
      </c>
      <c r="CI231" s="22"/>
      <c r="CJ231" s="22" t="s">
        <v>805</v>
      </c>
      <c r="CK231" s="22">
        <f>IFERROR(VLOOKUP(C231,CC!K:M,3,0)," ")</f>
        <v>90</v>
      </c>
      <c r="CL231" s="43"/>
      <c r="CM231" s="43"/>
      <c r="CN231" s="43"/>
      <c r="CO231" s="43"/>
      <c r="CP231" s="43"/>
      <c r="CQ231" s="43"/>
      <c r="CR231" s="43"/>
      <c r="CS231" s="43" t="b">
        <v>0</v>
      </c>
      <c r="CT231" s="43" t="b">
        <v>0</v>
      </c>
      <c r="CU231" s="43" t="b">
        <v>0</v>
      </c>
      <c r="CV231" s="43" t="b">
        <v>0</v>
      </c>
      <c r="CW231" s="43"/>
      <c r="CX231" s="43"/>
      <c r="CY231" s="43"/>
      <c r="CZ231" s="43"/>
      <c r="DA231" s="43"/>
      <c r="DB231" s="43"/>
      <c r="DC231" s="43"/>
      <c r="DD231" s="22">
        <f>IFERROR(VLOOKUP($C231,'Лист4'!$D:$AI,27,0)," ")</f>
        <v>5</v>
      </c>
      <c r="DE231" s="22">
        <f>IFERROR(VLOOKUP($C231,'Лист4'!$D:$AI,28,0)," ")</f>
        <v>8</v>
      </c>
      <c r="DF231" s="22">
        <f>IFERROR(VLOOKUP($C231,'Лист4'!$D:$AI,29,0)," ")</f>
        <v>5</v>
      </c>
      <c r="DG231" s="22">
        <f t="shared" si="3"/>
        <v>200</v>
      </c>
      <c r="DH231" s="22">
        <f>IFERROR(VLOOKUP($C231,'Лист4'!$D:$AI,32,0)," ")</f>
        <v>0.047</v>
      </c>
      <c r="DI231" s="22"/>
      <c r="DJ231" s="22"/>
      <c r="DK231" s="22"/>
      <c r="DL231" s="22"/>
      <c r="DM231" s="22"/>
      <c r="DN231" s="22"/>
      <c r="DO231" s="22"/>
      <c r="DP231" s="22"/>
      <c r="DQ231" s="22"/>
      <c r="DR231" s="22"/>
      <c r="DS231" s="22"/>
      <c r="DT231" s="22"/>
      <c r="DU231" s="22"/>
      <c r="DV231" s="22"/>
      <c r="DW231" s="22"/>
      <c r="DX231" s="22"/>
      <c r="DY231" s="22"/>
      <c r="DZ231" s="22"/>
      <c r="EA231" s="22"/>
      <c r="EB231" s="22"/>
      <c r="EC231" s="22"/>
      <c r="ED231" s="22"/>
      <c r="EE231" s="22"/>
      <c r="EF231" s="22"/>
      <c r="EG231" s="22"/>
      <c r="EH231" s="22"/>
      <c r="EI231" s="22"/>
      <c r="EJ231" s="22"/>
      <c r="EK231" s="22"/>
      <c r="EL231" s="22"/>
      <c r="EM231" s="43"/>
      <c r="EN231" s="43"/>
      <c r="EO231" s="43"/>
      <c r="EP231" s="43"/>
      <c r="EQ231" s="43"/>
      <c r="ER231" s="43"/>
      <c r="ES231" s="43"/>
      <c r="ET231" s="43"/>
      <c r="EU231" s="43"/>
      <c r="EV231" s="43"/>
      <c r="EW231" s="43"/>
      <c r="EX231" s="43"/>
      <c r="EY231" s="43"/>
      <c r="EZ231" s="43"/>
      <c r="FA231" s="43"/>
      <c r="FB231" s="43"/>
      <c r="FC231" s="43"/>
    </row>
    <row r="232" ht="18.0" customHeight="1">
      <c r="A232" s="2"/>
      <c r="B232" s="22" t="str">
        <f>IFERROR(VLOOKUP(C232,'Реестр'!C:AC,27,0)," ")</f>
        <v>Смарт-Сэйл</v>
      </c>
      <c r="C232" s="43" t="s">
        <v>3675</v>
      </c>
      <c r="D232" s="22" t="str">
        <f>IFERROR(VLOOKUP(C232,'Лист4'!D:P,13,0)," ")</f>
        <v>Алтея</v>
      </c>
      <c r="E232" s="22" t="str">
        <f>IF(OR(ISERROR(VLOOKUP(C232,'Актуальность'!A:B,2,0)), VLOOKUP(C232,'Актуальность'!A:B,2,0)=""), "Актуальный", VLOOKUP(C232,'Актуальность'!A:B,2,0))</f>
        <v>Актуальный</v>
      </c>
      <c r="F232" s="43" t="str">
        <f>IFERROR(VLOOKUP(C232,'Актуальность'!A:C,3,0)," ")</f>
        <v/>
      </c>
      <c r="G232" s="43"/>
      <c r="H232" s="22" t="s">
        <v>2743</v>
      </c>
      <c r="I232" s="22" t="s">
        <v>287</v>
      </c>
      <c r="J232" s="43"/>
      <c r="K232" s="43"/>
      <c r="L232" s="22" t="b">
        <f t="shared" ref="L232:R232" si="228">T232&lt;&gt;""</f>
        <v>1</v>
      </c>
      <c r="M232" s="22" t="b">
        <f t="shared" si="228"/>
        <v>1</v>
      </c>
      <c r="N232" s="22" t="b">
        <f t="shared" si="228"/>
        <v>1</v>
      </c>
      <c r="O232" s="22" t="b">
        <f t="shared" si="228"/>
        <v>1</v>
      </c>
      <c r="P232" s="22" t="b">
        <f t="shared" si="228"/>
        <v>1</v>
      </c>
      <c r="Q232" s="22" t="b">
        <f t="shared" si="228"/>
        <v>1</v>
      </c>
      <c r="R232" s="22" t="b">
        <f t="shared" si="228"/>
        <v>1</v>
      </c>
      <c r="S232" s="43"/>
      <c r="T232" s="43" t="str">
        <f>IFERROR(VLOOKUP( C232,'1С'!A:B,2,0)," ")</f>
        <v>AC101100406</v>
      </c>
      <c r="U232" s="22" t="str">
        <f>IFERROR(VLOOKUP(T232,'Лист4'!C:I,3,0)," ")</f>
        <v>shampun_protiv_perhoti_250ml</v>
      </c>
      <c r="V232" s="22" t="str">
        <f>IFERROR(VLOOKUP(T232,'Лист4'!C:I,4,0)," ")</f>
        <v>shampun_protiv_perhoti_250ml</v>
      </c>
      <c r="W232" s="22" t="str">
        <f>IFERROR(VLOOKUP(T232,'Лист4'!C:I,5,0)," ")</f>
        <v>shampun_protiv_perhoti_250ml</v>
      </c>
      <c r="X232" s="43" t="str">
        <f>IFERROR(VLOOKUP(T232,'Лист4'!C:I,7,0)," ")</f>
        <v>shampun_protiv_perhoti_250ml</v>
      </c>
      <c r="Y232" s="43" t="str">
        <f>IFERROR(VLOOKUP(T232,'Лист4'!C:I,6,0)," ")</f>
        <v>shampun_protiv_perhoti_250ml</v>
      </c>
      <c r="Z232" s="22" t="s">
        <v>3675</v>
      </c>
      <c r="AA232" s="43"/>
      <c r="AB232" s="22">
        <v>2.08745988E8</v>
      </c>
      <c r="AC232" s="22">
        <v>1.440687097E9</v>
      </c>
      <c r="AD232" s="22">
        <v>1.03515586486E11</v>
      </c>
      <c r="AE232" s="22">
        <v>9.9000076206E10</v>
      </c>
      <c r="AF232" s="22" t="s">
        <v>3678</v>
      </c>
      <c r="AG232" s="22" t="s">
        <v>3679</v>
      </c>
      <c r="AH232" s="43"/>
      <c r="AI232" s="43" t="str">
        <f>IFERROR(VLOOKUP(T232,'1С'!B:C,2,0)," ")</f>
        <v>Шампунь от перхоти, Алтея, 250 мл</v>
      </c>
      <c r="AJ232" s="22" t="s">
        <v>3680</v>
      </c>
      <c r="AK232" s="22" t="s">
        <v>3681</v>
      </c>
      <c r="AL232" s="22" t="s">
        <v>3682</v>
      </c>
      <c r="AM232" s="22" t="s">
        <v>3683</v>
      </c>
      <c r="AN232" s="22" t="s">
        <v>3684</v>
      </c>
      <c r="AO232" s="22" t="s">
        <v>3685</v>
      </c>
      <c r="AP232" s="43"/>
      <c r="AQ232" s="46" t="s">
        <v>3686</v>
      </c>
      <c r="AR232" s="46" t="s">
        <v>3687</v>
      </c>
      <c r="AS232" s="46" t="s">
        <v>3688</v>
      </c>
      <c r="AT232" s="46" t="s">
        <v>3689</v>
      </c>
      <c r="AU232" s="46" t="s">
        <v>3690</v>
      </c>
      <c r="AV232" s="46" t="s">
        <v>3691</v>
      </c>
      <c r="AW232" s="43"/>
      <c r="AX232" s="22" t="s">
        <v>2824</v>
      </c>
      <c r="AY232" s="22" t="s">
        <v>3681</v>
      </c>
      <c r="AZ232" s="22" t="s">
        <v>2825</v>
      </c>
      <c r="BA232" s="22" t="s">
        <v>2826</v>
      </c>
      <c r="BB232" s="22" t="s">
        <v>2827</v>
      </c>
      <c r="BC232" s="22" t="s">
        <v>2824</v>
      </c>
      <c r="BD232" s="43"/>
      <c r="BE232" s="43"/>
      <c r="BF232" s="22">
        <f>IFERROR(VLOOKUP(C232,'спецификация'!B:D,3,0)," ")</f>
        <v>4670020496679</v>
      </c>
      <c r="BG232" s="22">
        <v>3.3051E9</v>
      </c>
      <c r="BH232" s="22" t="str">
        <f>IFERROR(VLOOKUP(C232,'спецификация'!B:AA,5,0)," ")</f>
        <v/>
      </c>
      <c r="BI232" s="22"/>
      <c r="BJ232" s="22" t="str">
        <f>IFERROR(VLOOKUP(C232,'спецификация'!B:AA,6,0)," ")</f>
        <v>нет</v>
      </c>
      <c r="BK232" s="43"/>
      <c r="BL232" s="43"/>
      <c r="BM232" s="22" t="str">
        <f>IFERROR(VLOOKUP(BF232,'спецификация'!D:H,5,0)," ")</f>
        <v>Aqua, Sodium Laureth Sulfate, Sodium Chloride, Cocamidopropyl Betaine, Cocamide DEA, Glycerin, Guar Hydroxypropyltrimonium Chloride, Climbazole, Isopropyl Alcohol, Propylene Glycol, Lavandula Angustifolia Herb Extract, Sulfur, Peg 30 Castor Oil, Salvia Officinalis Leaf Extract, Mentha Arvensis Herb Oil, Lactic Acid, Parfum, Disodium EDTA, Methylisothiazolinone, Methylchloroisothiazolinone, Potassium Sorbate, Sodium Benzoate, Limonene.</v>
      </c>
      <c r="BN232" s="43"/>
      <c r="BO232" s="22" t="str">
        <f>IFERROR(VLOOKUP(C232,'спецификация'!B:AA,10,0)," ")</f>
        <v>небольшое количество шампуня нанести на влажные волосы, массирующими движениями добиться образования обильной пены, ополоснуть теплой водой.</v>
      </c>
      <c r="BP232" s="43" t="str">
        <f>IFERROR(VLOOKUP(C232,'спецификация'!B:AA,11,0)," ")</f>
        <v>индивидуальная непереносимость ингредиентов.</v>
      </c>
      <c r="BQ232" s="22" t="str">
        <f>IFERROR(VLOOKUP(C232,'спецификация'!B:AA,12,0)," ")</f>
        <v>хранить при температуре не ниже 0ºС и не выше 25ºС</v>
      </c>
      <c r="BR232" s="22">
        <v>250.0</v>
      </c>
      <c r="BS232" s="22" t="s">
        <v>139</v>
      </c>
      <c r="BT232" s="22"/>
      <c r="BU232" s="22"/>
      <c r="BV232" s="22" t="s">
        <v>307</v>
      </c>
      <c r="BW232" s="44" t="str">
        <f>IFERROR(VLOOKUP(C232,'спецификация'!B:AA,16,0)," ")</f>
        <v>https://docs.google.com/document/d/15s1JtKWjxMh_mB7R0W6jPzURy4cM5xoo/edit</v>
      </c>
      <c r="BX232" s="43"/>
      <c r="BY232" s="43"/>
      <c r="BZ232" s="45" t="str">
        <f>IFERROR(VLOOKUP(BF232,'спецификация'!D:Y,22,0)," ")</f>
        <v/>
      </c>
      <c r="CA232" s="43"/>
      <c r="CB232" s="43"/>
      <c r="CC232" s="43"/>
      <c r="CD232" s="43"/>
      <c r="CE232" s="43"/>
      <c r="CF232" s="43"/>
      <c r="CG232" s="49">
        <f>IFERROR(VLOOKUP(C232,CC!A:D,4,0)," ")</f>
        <v>106.2</v>
      </c>
      <c r="CH232" s="22" t="str">
        <f>IFERROR(VLOOKUP(C232,'спецификация'!B:AA,19,0)," ")</f>
        <v>ООО "Алтэя"</v>
      </c>
      <c r="CI232" s="22"/>
      <c r="CJ232" s="22" t="s">
        <v>2835</v>
      </c>
      <c r="CK232" s="22">
        <f>IFERROR(VLOOKUP(C232,CC!K:M,3,0)," ")</f>
        <v>90</v>
      </c>
      <c r="CL232" s="43"/>
      <c r="CM232" s="43"/>
      <c r="CN232" s="43"/>
      <c r="CO232" s="43"/>
      <c r="CP232" s="43"/>
      <c r="CQ232" s="43"/>
      <c r="CR232" s="43"/>
      <c r="CS232" s="43" t="b">
        <v>0</v>
      </c>
      <c r="CT232" s="43" t="b">
        <v>0</v>
      </c>
      <c r="CU232" s="43" t="b">
        <v>0</v>
      </c>
      <c r="CV232" s="43" t="b">
        <v>0</v>
      </c>
      <c r="CW232" s="43"/>
      <c r="CX232" s="43"/>
      <c r="CY232" s="43"/>
      <c r="CZ232" s="43"/>
      <c r="DA232" s="43"/>
      <c r="DB232" s="43"/>
      <c r="DC232" s="43"/>
      <c r="DD232" s="22">
        <f>IFERROR(VLOOKUP($C232,'Лист4'!$D:$AI,27,0)," ")</f>
        <v>5</v>
      </c>
      <c r="DE232" s="22">
        <f>IFERROR(VLOOKUP($C232,'Лист4'!$D:$AI,28,0)," ")</f>
        <v>5</v>
      </c>
      <c r="DF232" s="22">
        <f>IFERROR(VLOOKUP($C232,'Лист4'!$D:$AI,29,0)," ")</f>
        <v>5</v>
      </c>
      <c r="DG232" s="22">
        <f t="shared" si="3"/>
        <v>125</v>
      </c>
      <c r="DH232" s="22">
        <f>IFERROR(VLOOKUP($C232,'Лист4'!$D:$AI,32,0)," ")</f>
        <v>0.295</v>
      </c>
      <c r="DI232" s="22"/>
      <c r="DJ232" s="22"/>
      <c r="DK232" s="22"/>
      <c r="DL232" s="22"/>
      <c r="DM232" s="22"/>
      <c r="DN232" s="22"/>
      <c r="DO232" s="22"/>
      <c r="DP232" s="22"/>
      <c r="DQ232" s="22"/>
      <c r="DR232" s="22"/>
      <c r="DS232" s="22"/>
      <c r="DT232" s="22"/>
      <c r="DU232" s="22"/>
      <c r="DV232" s="22"/>
      <c r="DW232" s="22"/>
      <c r="DX232" s="22"/>
      <c r="DY232" s="22"/>
      <c r="DZ232" s="22"/>
      <c r="EA232" s="22"/>
      <c r="EB232" s="22"/>
      <c r="EC232" s="22"/>
      <c r="ED232" s="22"/>
      <c r="EE232" s="22"/>
      <c r="EF232" s="22"/>
      <c r="EG232" s="22"/>
      <c r="EH232" s="22"/>
      <c r="EI232" s="22"/>
      <c r="EJ232" s="22"/>
      <c r="EK232" s="22"/>
      <c r="EL232" s="22"/>
      <c r="EM232" s="43"/>
      <c r="EN232" s="43"/>
      <c r="EO232" s="43"/>
      <c r="EP232" s="43"/>
      <c r="EQ232" s="43"/>
      <c r="ER232" s="43"/>
      <c r="ES232" s="43"/>
      <c r="ET232" s="43"/>
      <c r="EU232" s="43"/>
      <c r="EV232" s="43"/>
      <c r="EW232" s="43"/>
      <c r="EX232" s="43"/>
      <c r="EY232" s="43"/>
      <c r="EZ232" s="43"/>
      <c r="FA232" s="43"/>
      <c r="FB232" s="43"/>
      <c r="FC232" s="43"/>
    </row>
    <row r="233" ht="18.0" customHeight="1">
      <c r="A233" s="2"/>
      <c r="B233" s="22" t="str">
        <f>IFERROR(VLOOKUP(C233,'Реестр'!C:AC,27,0)," ")</f>
        <v>Смарт-Сэйл</v>
      </c>
      <c r="C233" s="43" t="s">
        <v>3695</v>
      </c>
      <c r="D233" s="22" t="str">
        <f>IFERROR(VLOOKUP(C233,'Лист4'!D:P,13,0)," ")</f>
        <v>CPA</v>
      </c>
      <c r="E233" s="22" t="str">
        <f>IF(OR(ISERROR(VLOOKUP(C233,'Актуальность'!A:B,2,0)), VLOOKUP(C233,'Актуальность'!A:B,2,0)=""), "Актуальный", VLOOKUP(C233,'Актуальность'!A:B,2,0))</f>
        <v>Актуальный</v>
      </c>
      <c r="F233" s="43" t="str">
        <f>IFERROR(VLOOKUP(C233,'Актуальность'!A:C,3,0)," ")</f>
        <v/>
      </c>
      <c r="G233" s="43"/>
      <c r="H233" s="22" t="s">
        <v>2663</v>
      </c>
      <c r="I233" s="22" t="s">
        <v>3697</v>
      </c>
      <c r="J233" s="43"/>
      <c r="K233" s="43"/>
      <c r="L233" s="22" t="b">
        <f t="shared" ref="L233:R233" si="229">T233&lt;&gt;""</f>
        <v>1</v>
      </c>
      <c r="M233" s="22" t="b">
        <f t="shared" si="229"/>
        <v>1</v>
      </c>
      <c r="N233" s="22" t="b">
        <f t="shared" si="229"/>
        <v>1</v>
      </c>
      <c r="O233" s="22" t="b">
        <f t="shared" si="229"/>
        <v>1</v>
      </c>
      <c r="P233" s="22" t="b">
        <f t="shared" si="229"/>
        <v>0</v>
      </c>
      <c r="Q233" s="22" t="b">
        <f t="shared" si="229"/>
        <v>0</v>
      </c>
      <c r="R233" s="22" t="b">
        <f t="shared" si="229"/>
        <v>0</v>
      </c>
      <c r="S233" s="43"/>
      <c r="T233" s="43" t="str">
        <f>IFERROR(VLOOKUP( C233,'1С'!A:B,2,0)," ")</f>
        <v>CO101100420</v>
      </c>
      <c r="U233" s="22" t="str">
        <f>IFERROR(VLOOKUP(T233,'Лист4'!C:I,3,0)," ")</f>
        <v>okospas</v>
      </c>
      <c r="V233" s="22" t="str">
        <f>IFERROR(VLOOKUP(T233,'Лист4'!C:I,4,0)," ")</f>
        <v>okospas</v>
      </c>
      <c r="W233" s="22" t="str">
        <f>IFERROR(VLOOKUP(T233,'Лист4'!C:I,5,0)," ")</f>
        <v>okospas</v>
      </c>
      <c r="X233" s="43" t="str">
        <f>IFERROR(VLOOKUP(T233,'Лист4'!C:I,7,0)," ")</f>
        <v/>
      </c>
      <c r="Y233" s="43" t="str">
        <f>IFERROR(VLOOKUP(T233,'Лист4'!C:I,6,0)," ")</f>
        <v/>
      </c>
      <c r="Z233" s="43"/>
      <c r="AA233" s="43"/>
      <c r="AB233" s="22">
        <v>1.42843069E8</v>
      </c>
      <c r="AC233" s="22">
        <v>8.36659639E8</v>
      </c>
      <c r="AD233" s="22">
        <v>1.0221537316E11</v>
      </c>
      <c r="AE233" s="22"/>
      <c r="AF233" s="22"/>
      <c r="AG233" s="43"/>
      <c r="AH233" s="43"/>
      <c r="AI233" s="43" t="str">
        <f>IFERROR(VLOOKUP(T233,'1С'!B:C,2,0)," ")</f>
        <v>Пищевая добавка Окоспас, CPA, 10 мл</v>
      </c>
      <c r="AJ233" s="22" t="s">
        <v>3699</v>
      </c>
      <c r="AK233" s="22" t="s">
        <v>3700</v>
      </c>
      <c r="AL233" s="22" t="s">
        <v>3701</v>
      </c>
      <c r="AM233" s="43"/>
      <c r="AN233" s="43"/>
      <c r="AO233" s="43"/>
      <c r="AP233" s="43"/>
      <c r="AQ233" s="46" t="s">
        <v>3702</v>
      </c>
      <c r="AR233" s="46" t="s">
        <v>3703</v>
      </c>
      <c r="AS233" s="46" t="s">
        <v>3704</v>
      </c>
      <c r="AT233" s="43"/>
      <c r="AU233" s="43"/>
      <c r="AV233" s="43"/>
      <c r="AW233" s="43"/>
      <c r="AX233" s="22" t="s">
        <v>649</v>
      </c>
      <c r="AY233" s="22" t="s">
        <v>3700</v>
      </c>
      <c r="AZ233" s="22" t="s">
        <v>372</v>
      </c>
      <c r="BA233" s="43"/>
      <c r="BB233" s="43"/>
      <c r="BC233" s="43"/>
      <c r="BD233" s="43"/>
      <c r="BE233" s="43"/>
      <c r="BF233" s="22">
        <f>IFERROR(VLOOKUP(C233,'спецификация'!B:D,3,0)," ")</f>
        <v>4631143285991</v>
      </c>
      <c r="BG233" s="22"/>
      <c r="BH233" s="22" t="str">
        <f>IFERROR(VLOOKUP(C233,'спецификация'!B:AA,5,0)," ")</f>
        <v>ЕАЭС N RU Д-RU.PA07.B.69731/22
от 27.10.2022 до 25.10.2027</v>
      </c>
      <c r="BI233" s="22"/>
      <c r="BJ233" s="22" t="str">
        <f>IFERROR(VLOOKUP(C233,'спецификация'!B:AA,6,0)," ")</f>
        <v/>
      </c>
      <c r="BK233" s="43"/>
      <c r="BL233" s="43"/>
      <c r="BM233" s="22" t="str">
        <f>IFERROR(VLOOKUP(BF233,'спецификация'!D:H,5,0)," ")</f>
        <v>вода, экстракт черники, экстракт шиповника, экстракт пустырника, экстракт черной смородины, лютеин, аскорбиновая кислота, лимонная кислота, твин-60, сорбат калия (Е202), бензоат натрия (Е211), витамины: b2, b4, b5, b6, b12, токоферола ацетат.</v>
      </c>
      <c r="BN233" s="43"/>
      <c r="BO233" s="22" t="str">
        <f>IFERROR(VLOOKUP(C233,'спецификация'!B:AA,10,0)," ")</f>
        <v/>
      </c>
      <c r="BP233" s="43" t="str">
        <f>IFERROR(VLOOKUP(C233,'спецификация'!B:AA,11,0)," ")</f>
        <v>индивидуальная непереносимость компонентов, беременность, кормление грудью. Не является лекарственным средством.
</v>
      </c>
      <c r="BQ233" s="22" t="str">
        <f>IFERROR(VLOOKUP(C233,'спецификация'!B:AA,12,0)," ")</f>
        <v>хранить в оригинальной закрытой упаковке в защищенном от прямых солнечных лучей и недоступном для детей месте при температуре не выше +25 ºС.</v>
      </c>
      <c r="BR233" s="22">
        <v>10.0</v>
      </c>
      <c r="BS233" s="22" t="s">
        <v>139</v>
      </c>
      <c r="BT233" s="22"/>
      <c r="BU233" s="22"/>
      <c r="BV233" s="22"/>
      <c r="BW233" s="44" t="str">
        <f>IFERROR(VLOOKUP(C233,'спецификация'!B:AA,16,0)," ")</f>
        <v>https://drive.google.com/drive/folders/1p33-8o5MZnuH6gi29-_gZfEF9Gv9XE8Y</v>
      </c>
      <c r="BX233" s="43"/>
      <c r="BY233" s="43"/>
      <c r="BZ233" s="45" t="str">
        <f>IFERROR(VLOOKUP(BF233,'спецификация'!D:Y,22,0)," ")</f>
        <v/>
      </c>
      <c r="CA233" s="43"/>
      <c r="CB233" s="43"/>
      <c r="CC233" s="43"/>
      <c r="CD233" s="43"/>
      <c r="CE233" s="43"/>
      <c r="CF233" s="43"/>
      <c r="CG233" s="49">
        <f>IFERROR(VLOOKUP(C233,CC!A:D,4,0)," ")</f>
        <v>81.98</v>
      </c>
      <c r="CH233" s="22" t="str">
        <f>IFERROR(VLOOKUP(C233,'спецификация'!B:AA,19,0)," ")</f>
        <v>ООО «Нутрафарм», 129626, г. Москва, Муниципальный округ Алексеевский, ул 1-я Мытищинская, д. 3 стр. 1, этаж/каб. 3/306, ком. 5А.</v>
      </c>
      <c r="CI233" s="22"/>
      <c r="CJ233" s="43"/>
      <c r="CK233" s="22">
        <f>IFERROR(VLOOKUP(C233,CC!K:M,3,0)," ")</f>
        <v>45</v>
      </c>
      <c r="CL233" s="43"/>
      <c r="CM233" s="43"/>
      <c r="CN233" s="43"/>
      <c r="CO233" s="43"/>
      <c r="CP233" s="43"/>
      <c r="CQ233" s="43"/>
      <c r="CR233" s="43"/>
      <c r="CS233" s="43" t="b">
        <v>0</v>
      </c>
      <c r="CT233" s="43" t="b">
        <v>0</v>
      </c>
      <c r="CU233" s="43" t="b">
        <v>0</v>
      </c>
      <c r="CV233" s="43" t="b">
        <v>0</v>
      </c>
      <c r="CW233" s="43"/>
      <c r="CX233" s="43"/>
      <c r="CY233" s="43"/>
      <c r="CZ233" s="43"/>
      <c r="DA233" s="43"/>
      <c r="DB233" s="43"/>
      <c r="DC233" s="43"/>
      <c r="DD233" s="22">
        <f>IFERROR(VLOOKUP($C233,'Лист4'!$D:$AI,27,0)," ")</f>
        <v>8</v>
      </c>
      <c r="DE233" s="22">
        <f>IFERROR(VLOOKUP($C233,'Лист4'!$D:$AI,28,0)," ")</f>
        <v>3</v>
      </c>
      <c r="DF233" s="22">
        <f>IFERROR(VLOOKUP($C233,'Лист4'!$D:$AI,29,0)," ")</f>
        <v>8</v>
      </c>
      <c r="DG233" s="22">
        <f t="shared" si="3"/>
        <v>192</v>
      </c>
      <c r="DH233" s="22">
        <f>IFERROR(VLOOKUP($C233,'Лист4'!$D:$AI,32,0)," ")</f>
        <v>0.046</v>
      </c>
      <c r="DI233" s="22"/>
      <c r="DJ233" s="22"/>
      <c r="DK233" s="22"/>
      <c r="DL233" s="22"/>
      <c r="DM233" s="22"/>
      <c r="DN233" s="22"/>
      <c r="DO233" s="22"/>
      <c r="DP233" s="22"/>
      <c r="DQ233" s="22"/>
      <c r="DR233" s="22"/>
      <c r="DS233" s="22"/>
      <c r="DT233" s="22"/>
      <c r="DU233" s="22"/>
      <c r="DV233" s="22"/>
      <c r="DW233" s="22"/>
      <c r="DX233" s="22"/>
      <c r="DY233" s="22"/>
      <c r="DZ233" s="22"/>
      <c r="EA233" s="22"/>
      <c r="EB233" s="22"/>
      <c r="EC233" s="22"/>
      <c r="ED233" s="22"/>
      <c r="EE233" s="22"/>
      <c r="EF233" s="22"/>
      <c r="EG233" s="22"/>
      <c r="EH233" s="22"/>
      <c r="EI233" s="22"/>
      <c r="EJ233" s="22"/>
      <c r="EK233" s="22"/>
      <c r="EL233" s="22"/>
      <c r="EM233" s="43"/>
      <c r="EN233" s="43"/>
      <c r="EO233" s="43"/>
      <c r="EP233" s="43"/>
      <c r="EQ233" s="43"/>
      <c r="ER233" s="43"/>
      <c r="ES233" s="43"/>
      <c r="ET233" s="43"/>
      <c r="EU233" s="43"/>
      <c r="EV233" s="43"/>
      <c r="EW233" s="43"/>
      <c r="EX233" s="43"/>
      <c r="EY233" s="43"/>
      <c r="EZ233" s="43"/>
      <c r="FA233" s="43"/>
      <c r="FB233" s="43"/>
      <c r="FC233" s="43"/>
    </row>
    <row r="234" ht="18.0" customHeight="1">
      <c r="A234" s="2"/>
      <c r="B234" s="22" t="str">
        <f>IFERROR(VLOOKUP(C234,'Реестр'!C:AC,27,0)," ")</f>
        <v>Смарт-Сэйл</v>
      </c>
      <c r="C234" s="43" t="s">
        <v>3712</v>
      </c>
      <c r="D234" s="22" t="str">
        <f>IFERROR(VLOOKUP(C234,'Лист4'!D:P,13,0)," ")</f>
        <v>CPA</v>
      </c>
      <c r="E234" s="22" t="str">
        <f>IF(OR(ISERROR(VLOOKUP(C234,'Актуальность'!A:B,2,0)), VLOOKUP(C234,'Актуальность'!A:B,2,0)=""), "Актуальный", VLOOKUP(C234,'Актуальность'!A:B,2,0))</f>
        <v>Актуальный</v>
      </c>
      <c r="F234" s="43" t="str">
        <f>IFERROR(VLOOKUP(C234,'Актуальность'!A:C,3,0)," ")</f>
        <v/>
      </c>
      <c r="G234" s="43"/>
      <c r="H234" s="22" t="s">
        <v>2663</v>
      </c>
      <c r="I234" s="22" t="s">
        <v>3697</v>
      </c>
      <c r="J234" s="43"/>
      <c r="K234" s="43"/>
      <c r="L234" s="22" t="b">
        <f t="shared" ref="L234:R234" si="230">T234&lt;&gt;""</f>
        <v>1</v>
      </c>
      <c r="M234" s="22" t="b">
        <f t="shared" si="230"/>
        <v>1</v>
      </c>
      <c r="N234" s="22" t="b">
        <f t="shared" si="230"/>
        <v>1</v>
      </c>
      <c r="O234" s="22" t="b">
        <f t="shared" si="230"/>
        <v>1</v>
      </c>
      <c r="P234" s="22" t="b">
        <f t="shared" si="230"/>
        <v>0</v>
      </c>
      <c r="Q234" s="22" t="b">
        <f t="shared" si="230"/>
        <v>0</v>
      </c>
      <c r="R234" s="22" t="b">
        <f t="shared" si="230"/>
        <v>0</v>
      </c>
      <c r="S234" s="43"/>
      <c r="T234" s="43" t="str">
        <f>IFERROR(VLOOKUP( C234,'1С'!A:B,2,0)," ")</f>
        <v>CO101100422</v>
      </c>
      <c r="U234" s="22" t="str">
        <f>IFERROR(VLOOKUP(T234,'Лист4'!C:I,3,0)," ")</f>
        <v>oftalmol</v>
      </c>
      <c r="V234" s="22" t="str">
        <f>IFERROR(VLOOKUP(T234,'Лист4'!C:I,4,0)," ")</f>
        <v>oftalmol</v>
      </c>
      <c r="W234" s="22" t="str">
        <f>IFERROR(VLOOKUP(T234,'Лист4'!C:I,5,0)," ")</f>
        <v>oftalmol</v>
      </c>
      <c r="X234" s="43" t="str">
        <f>IFERROR(VLOOKUP(T234,'Лист4'!C:I,7,0)," ")</f>
        <v/>
      </c>
      <c r="Y234" s="43" t="str">
        <f>IFERROR(VLOOKUP(T234,'Лист4'!C:I,6,0)," ")</f>
        <v/>
      </c>
      <c r="Z234" s="43"/>
      <c r="AA234" s="43"/>
      <c r="AB234" s="22">
        <v>2.24302599E8</v>
      </c>
      <c r="AC234" s="22">
        <v>1.542468939E9</v>
      </c>
      <c r="AD234" s="22">
        <v>1.03515397915E11</v>
      </c>
      <c r="AE234" s="22"/>
      <c r="AF234" s="22"/>
      <c r="AG234" s="43"/>
      <c r="AH234" s="43"/>
      <c r="AI234" s="43" t="str">
        <f>IFERROR(VLOOKUP(T234,'1С'!B:C,2,0)," ")</f>
        <v>Пищевая добавка Офтальмол, CPA, 10 капсул</v>
      </c>
      <c r="AJ234" s="22" t="s">
        <v>3715</v>
      </c>
      <c r="AK234" s="22" t="s">
        <v>3716</v>
      </c>
      <c r="AL234" s="22" t="s">
        <v>3717</v>
      </c>
      <c r="AM234" s="43"/>
      <c r="AN234" s="43"/>
      <c r="AO234" s="43"/>
      <c r="AP234" s="43"/>
      <c r="AQ234" s="46" t="s">
        <v>3718</v>
      </c>
      <c r="AR234" s="46" t="s">
        <v>3719</v>
      </c>
      <c r="AS234" s="46" t="s">
        <v>3720</v>
      </c>
      <c r="AT234" s="43"/>
      <c r="AU234" s="43"/>
      <c r="AV234" s="43"/>
      <c r="AW234" s="43"/>
      <c r="AX234" s="22" t="s">
        <v>649</v>
      </c>
      <c r="AY234" s="22" t="s">
        <v>3716</v>
      </c>
      <c r="AZ234" s="22" t="s">
        <v>372</v>
      </c>
      <c r="BA234" s="43"/>
      <c r="BB234" s="43"/>
      <c r="BC234" s="43"/>
      <c r="BD234" s="43"/>
      <c r="BE234" s="43"/>
      <c r="BF234" s="22">
        <f>IFERROR(VLOOKUP(C234,'спецификация'!B:D,3,0)," ")</f>
        <v>4610030632612</v>
      </c>
      <c r="BG234" s="22"/>
      <c r="BH234" s="22" t="str">
        <f>IFERROR(VLOOKUP(C234,'спецификация'!B:AA,5,0)," ")</f>
        <v>ЕАЭС N RU Д-RU.PA01.B.23632/24 от 19.01.2024 по 18.01.2029</v>
      </c>
      <c r="BI234" s="22"/>
      <c r="BJ234" s="22" t="str">
        <f>IFERROR(VLOOKUP(C234,'спецификация'!B:AA,6,0)," ")</f>
        <v/>
      </c>
      <c r="BK234" s="43"/>
      <c r="BL234" s="43"/>
      <c r="BM234" s="22" t="str">
        <f>IFERROR(VLOOKUP(BF234,'спецификация'!D:H,5,0)," ")</f>
        <v>экстракты черники, шиповника, черной смородины, шафрана, гинкго билоба, зеаксантин, лютеин, цинк, премикс витаминный (витамины: А, Е, С), диоксид кремния, стеарат кальция, мальтодекстрин.
</v>
      </c>
      <c r="BN234" s="43"/>
      <c r="BO234" s="22" t="str">
        <f>IFERROR(VLOOKUP(C234,'спецификация'!B:AA,10,0)," ")</f>
        <v/>
      </c>
      <c r="BP234" s="43" t="str">
        <f>IFERROR(VLOOKUP(C234,'спецификация'!B:AA,11,0)," ")</f>
        <v> индивидуальная непереносимость одного или нескольких компонентов средства.
</v>
      </c>
      <c r="BQ234" s="22" t="str">
        <f>IFERROR(VLOOKUP(C234,'спецификация'!B:AA,12,0)," ")</f>
        <v>хранить при температуре не выше 25 °С в местах, удалённых от прямого солнечного света, отопительных приборов, влаги.
</v>
      </c>
      <c r="BR234" s="22">
        <v>10.0</v>
      </c>
      <c r="BS234" s="22" t="s">
        <v>492</v>
      </c>
      <c r="BT234" s="22"/>
      <c r="BU234" s="22"/>
      <c r="BV234" s="22" t="s">
        <v>307</v>
      </c>
      <c r="BW234" s="44" t="str">
        <f>IFERROR(VLOOKUP(C234,'спецификация'!B:AA,16,0)," ")</f>
        <v>https://docs.google.com/document/d/13t-9rrQ0aHtlItQ1BMaoMzU-Xqz2yjw0/edit?usp=drive_web&amp;ouid=104241417680089502627&amp;rtpof=true</v>
      </c>
      <c r="BX234" s="43"/>
      <c r="BY234" s="43"/>
      <c r="BZ234" s="45" t="str">
        <f>IFERROR(VLOOKUP(BF234,'спецификация'!D:Y,22,0)," ")</f>
        <v/>
      </c>
      <c r="CA234" s="43"/>
      <c r="CB234" s="43"/>
      <c r="CC234" s="43"/>
      <c r="CD234" s="43"/>
      <c r="CE234" s="43"/>
      <c r="CF234" s="43"/>
      <c r="CG234" s="49">
        <f>IFERROR(VLOOKUP(C234,CC!A:D,4,0)," ")</f>
        <v>104.32</v>
      </c>
      <c r="CH234" s="22" t="str">
        <f>IFERROR(VLOOKUP(C234,'спецификация'!B:AA,19,0)," ")</f>
        <v>ООО «Нутрафарм», 129626, г. Москва, Муниципальный округ Алексеевский, ул 1-я Мытищинская, д. 3 стр. 1, этаж/каб. 3/306, ком. 5А.</v>
      </c>
      <c r="CI234" s="22"/>
      <c r="CJ234" s="43"/>
      <c r="CK234" s="22">
        <f>IFERROR(VLOOKUP(C234,CC!K:M,3,0)," ")</f>
        <v>45</v>
      </c>
      <c r="CL234" s="43"/>
      <c r="CM234" s="43"/>
      <c r="CN234" s="43"/>
      <c r="CO234" s="43"/>
      <c r="CP234" s="43"/>
      <c r="CQ234" s="43"/>
      <c r="CR234" s="43"/>
      <c r="CS234" s="43" t="b">
        <v>0</v>
      </c>
      <c r="CT234" s="43" t="b">
        <v>0</v>
      </c>
      <c r="CU234" s="43" t="b">
        <v>0</v>
      </c>
      <c r="CV234" s="43" t="b">
        <v>0</v>
      </c>
      <c r="CW234" s="43"/>
      <c r="CX234" s="43"/>
      <c r="CY234" s="43"/>
      <c r="CZ234" s="43"/>
      <c r="DA234" s="43"/>
      <c r="DB234" s="43"/>
      <c r="DC234" s="43"/>
      <c r="DD234" s="22">
        <f>IFERROR(VLOOKUP($C234,'Лист4'!$D:$AI,27,0)," ")</f>
        <v>10</v>
      </c>
      <c r="DE234" s="22">
        <f>IFERROR(VLOOKUP($C234,'Лист4'!$D:$AI,28,0)," ")</f>
        <v>2</v>
      </c>
      <c r="DF234" s="22">
        <f>IFERROR(VLOOKUP($C234,'Лист4'!$D:$AI,29,0)," ")</f>
        <v>10</v>
      </c>
      <c r="DG234" s="22">
        <f t="shared" si="3"/>
        <v>200</v>
      </c>
      <c r="DH234" s="22">
        <f>IFERROR(VLOOKUP($C234,'Лист4'!$D:$AI,32,0)," ")</f>
        <v>0.016</v>
      </c>
      <c r="DI234" s="22"/>
      <c r="DJ234" s="22"/>
      <c r="DK234" s="22"/>
      <c r="DL234" s="22"/>
      <c r="DM234" s="22"/>
      <c r="DN234" s="22"/>
      <c r="DO234" s="22"/>
      <c r="DP234" s="22"/>
      <c r="DQ234" s="22"/>
      <c r="DR234" s="22"/>
      <c r="DS234" s="22"/>
      <c r="DT234" s="22"/>
      <c r="DU234" s="22"/>
      <c r="DV234" s="22"/>
      <c r="DW234" s="22"/>
      <c r="DX234" s="22"/>
      <c r="DY234" s="22"/>
      <c r="DZ234" s="22"/>
      <c r="EA234" s="22"/>
      <c r="EB234" s="22"/>
      <c r="EC234" s="22"/>
      <c r="ED234" s="22"/>
      <c r="EE234" s="22"/>
      <c r="EF234" s="22"/>
      <c r="EG234" s="22"/>
      <c r="EH234" s="22"/>
      <c r="EI234" s="22"/>
      <c r="EJ234" s="22"/>
      <c r="EK234" s="22"/>
      <c r="EL234" s="22"/>
      <c r="EM234" s="43"/>
      <c r="EN234" s="43"/>
      <c r="EO234" s="43"/>
      <c r="EP234" s="43"/>
      <c r="EQ234" s="43"/>
      <c r="ER234" s="43"/>
      <c r="ES234" s="43"/>
      <c r="ET234" s="43"/>
      <c r="EU234" s="43"/>
      <c r="EV234" s="43"/>
      <c r="EW234" s="43"/>
      <c r="EX234" s="43"/>
      <c r="EY234" s="43"/>
      <c r="EZ234" s="43"/>
      <c r="FA234" s="43"/>
      <c r="FB234" s="43"/>
      <c r="FC234" s="43"/>
    </row>
    <row r="235" ht="18.0" customHeight="1">
      <c r="A235" s="2"/>
      <c r="B235" s="22" t="str">
        <f>IFERROR(VLOOKUP(C235,'Реестр'!C:AC,27,0)," ")</f>
        <v>Смарт-Сэйл</v>
      </c>
      <c r="C235" s="43" t="s">
        <v>3726</v>
      </c>
      <c r="D235" s="22" t="str">
        <f>IFERROR(VLOOKUP(C235,'Лист4'!D:P,13,0)," ")</f>
        <v>Алтея</v>
      </c>
      <c r="E235" s="22" t="str">
        <f>IF(OR(ISERROR(VLOOKUP(C235,'Актуальность'!A:B,2,0)), VLOOKUP(C235,'Актуальность'!A:B,2,0)=""), "Актуальный", VLOOKUP(C235,'Актуальность'!A:B,2,0))</f>
        <v>Под вопросом</v>
      </c>
      <c r="F235" s="43" t="str">
        <f>IFERROR(VLOOKUP(C235,'Актуальность'!A:C,3,0)," ")</f>
        <v>Пробуем маленькой партией</v>
      </c>
      <c r="G235" s="43"/>
      <c r="H235" s="22" t="s">
        <v>361</v>
      </c>
      <c r="I235" s="22" t="s">
        <v>2664</v>
      </c>
      <c r="J235" s="43"/>
      <c r="K235" s="43"/>
      <c r="L235" s="22" t="b">
        <f t="shared" ref="L235:R235" si="231">T235&lt;&gt;""</f>
        <v>1</v>
      </c>
      <c r="M235" s="22" t="b">
        <f t="shared" si="231"/>
        <v>1</v>
      </c>
      <c r="N235" s="22" t="b">
        <f t="shared" si="231"/>
        <v>1</v>
      </c>
      <c r="O235" s="22" t="b">
        <f t="shared" si="231"/>
        <v>1</v>
      </c>
      <c r="P235" s="22" t="b">
        <f t="shared" si="231"/>
        <v>0</v>
      </c>
      <c r="Q235" s="22" t="b">
        <f t="shared" si="231"/>
        <v>0</v>
      </c>
      <c r="R235" s="22" t="b">
        <f t="shared" si="231"/>
        <v>0</v>
      </c>
      <c r="S235" s="43"/>
      <c r="T235" s="43" t="str">
        <f>IFERROR(VLOOKUP( C235,'1С'!A:B,2,0)," ")</f>
        <v>AB101100417</v>
      </c>
      <c r="U235" s="22" t="str">
        <f>IFERROR(VLOOKUP(T235,'Лист4'!C:I,3,0)," ")</f>
        <v>revmastop_BAD_60caps</v>
      </c>
      <c r="V235" s="22" t="str">
        <f>IFERROR(VLOOKUP(T235,'Лист4'!C:I,4,0)," ")</f>
        <v>revmastop_BAD_60caps</v>
      </c>
      <c r="W235" s="22" t="str">
        <f>IFERROR(VLOOKUP(T235,'Лист4'!C:I,5,0)," ")</f>
        <v>revmastop_BAD_60caps</v>
      </c>
      <c r="X235" s="43" t="str">
        <f>IFERROR(VLOOKUP(T235,'Лист4'!C:I,7,0)," ")</f>
        <v/>
      </c>
      <c r="Y235" s="43" t="str">
        <f>IFERROR(VLOOKUP(T235,'Лист4'!C:I,6,0)," ")</f>
        <v/>
      </c>
      <c r="Z235" s="43"/>
      <c r="AA235" s="43"/>
      <c r="AB235" s="22">
        <v>2.86568838E8</v>
      </c>
      <c r="AC235" s="22">
        <v>1.761037555E9</v>
      </c>
      <c r="AD235" s="22">
        <v>1.03637124074E11</v>
      </c>
      <c r="AE235" s="22"/>
      <c r="AF235" s="22"/>
      <c r="AG235" s="43"/>
      <c r="AH235" s="43"/>
      <c r="AI235" s="43" t="str">
        <f>IFERROR(VLOOKUP(T235,'1С'!B:C,2,0)," ")</f>
        <v>БАД Ревмастоп, Алтея, 60 капсул</v>
      </c>
      <c r="AJ235" s="22" t="s">
        <v>3730</v>
      </c>
      <c r="AK235" s="22" t="s">
        <v>3731</v>
      </c>
      <c r="AL235" s="22" t="s">
        <v>3731</v>
      </c>
      <c r="AM235" s="43"/>
      <c r="AN235" s="43"/>
      <c r="AO235" s="43"/>
      <c r="AP235" s="43"/>
      <c r="AQ235" s="46" t="s">
        <v>3732</v>
      </c>
      <c r="AR235" s="46" t="s">
        <v>3733</v>
      </c>
      <c r="AS235" s="46" t="s">
        <v>3734</v>
      </c>
      <c r="AT235" s="43"/>
      <c r="AU235" s="43"/>
      <c r="AV235" s="43"/>
      <c r="AW235" s="43"/>
      <c r="AX235" s="22" t="s">
        <v>361</v>
      </c>
      <c r="AY235" s="22" t="s">
        <v>3731</v>
      </c>
      <c r="AZ235" s="22" t="s">
        <v>3123</v>
      </c>
      <c r="BA235" s="43"/>
      <c r="BB235" s="43"/>
      <c r="BC235" s="43"/>
      <c r="BD235" s="43"/>
      <c r="BE235" s="43"/>
      <c r="BF235" s="22">
        <f>IFERROR(VLOOKUP(C235,'спецификация'!B:D,3,0)," ")</f>
        <v>4610030631967</v>
      </c>
      <c r="BG235" s="22">
        <v>2.106909808E9</v>
      </c>
      <c r="BH235" s="22" t="str">
        <f>IFERROR(VLOOKUP(C235,'спецификация'!B:AA,5,0)," ")</f>
        <v>AM.01.06.01.003.R.000365.09.24 от 25.09.2024</v>
      </c>
      <c r="BI235" s="22"/>
      <c r="BJ235" s="22" t="str">
        <f>IFERROR(VLOOKUP(C235,'спецификация'!B:AA,6,0)," ")</f>
        <v>да</v>
      </c>
      <c r="BK235" s="43"/>
      <c r="BL235" s="43"/>
      <c r="BM235" s="22" t="str">
        <f>IFERROR(VLOOKUP(BF235,'спецификация'!D:H,5,0)," ")</f>
        <v>экстракт мартинии душистой, носитель: целлюлоза микрокристаллическая (Е460), глюкозамина сульфат, хондроитинсульфат, метилсульфонилметан, агент антислеживающий: магниевая соль стеариновой кислоты (Е470), агент антислеживающий: диоксид кремния аморфный (Е551), оболочка капсулы белого цвета (желатин, краситель: оксид цинка).</v>
      </c>
      <c r="BN235" s="43"/>
      <c r="BO235" s="22" t="str">
        <f>IFERROR(VLOOKUP(C235,'спецификация'!B:AA,10,0)," ")</f>
        <v>взрослым по 1 капсуле 2 раза в день во время еды.</v>
      </c>
      <c r="BP235" s="43" t="str">
        <f>IFERROR(VLOOKUP(C235,'спецификация'!B:AA,11,0)," ")</f>
        <v>индивидуальная непереносимость компонентов продукта, беременность, кормление грудью.
Перед применением рекомендуется проконсультироваться с врачом.
</v>
      </c>
      <c r="BQ235" s="22" t="str">
        <f>IFERROR(VLOOKUP(C235,'спецификация'!B:AA,12,0)," ")</f>
        <v>хранить в сухом, защищенном от прямых солнечных лучей и недоступном для детей месте при температуре не выше +25 °С.  </v>
      </c>
      <c r="BR235" s="22">
        <v>60.0</v>
      </c>
      <c r="BS235" s="22" t="s">
        <v>492</v>
      </c>
      <c r="BT235" s="22"/>
      <c r="BU235" s="22"/>
      <c r="BV235" s="22" t="s">
        <v>307</v>
      </c>
      <c r="BW235" s="44" t="str">
        <f>IFERROR(VLOOKUP(C235,'спецификация'!B:AA,16,0)," ")</f>
        <v>https://docs.google.com/document/d/1lW-FOvLFyJVlA7QEa_nyR5P20_TJWCi2/edit?usp=drive_web&amp;ouid=104241417680089502627&amp;rtpof=true</v>
      </c>
      <c r="BX235" s="43"/>
      <c r="BY235" s="43"/>
      <c r="BZ235" s="45" t="str">
        <f>IFERROR(VLOOKUP(BF235,'спецификация'!D:Y,22,0)," ")</f>
        <v/>
      </c>
      <c r="CA235" s="43"/>
      <c r="CB235" s="43"/>
      <c r="CC235" s="43"/>
      <c r="CD235" s="43"/>
      <c r="CE235" s="43"/>
      <c r="CF235" s="43"/>
      <c r="CG235" s="49">
        <f>IFERROR(VLOOKUP(C235,CC!A:D,4,0)," ")</f>
        <v>207.65</v>
      </c>
      <c r="CH235" s="22" t="str">
        <f>IFERROR(VLOOKUP(C235,'спецификация'!B:AA,19,0)," ")</f>
        <v>ООО "ЗДРАВФАРМ", 129626, Россия, г. Москва, вн. тер г., Муниципальный округ Алексеевский, ул. 1-я Мытищинская, д3, стр. 1, эт. 6, каб 216, ком. 43</v>
      </c>
      <c r="CI235" s="22"/>
      <c r="CJ235" s="22" t="s">
        <v>805</v>
      </c>
      <c r="CK235" s="22">
        <f>IFERROR(VLOOKUP(C235,CC!K:M,3,0)," ")</f>
        <v>90</v>
      </c>
      <c r="CL235" s="43"/>
      <c r="CM235" s="43"/>
      <c r="CN235" s="43"/>
      <c r="CO235" s="43"/>
      <c r="CP235" s="43"/>
      <c r="CQ235" s="43"/>
      <c r="CR235" s="43"/>
      <c r="CS235" s="43" t="b">
        <v>0</v>
      </c>
      <c r="CT235" s="43" t="b">
        <v>0</v>
      </c>
      <c r="CU235" s="43" t="b">
        <v>0</v>
      </c>
      <c r="CV235" s="43" t="b">
        <v>0</v>
      </c>
      <c r="CW235" s="43"/>
      <c r="CX235" s="43"/>
      <c r="CY235" s="43"/>
      <c r="CZ235" s="43"/>
      <c r="DA235" s="43"/>
      <c r="DB235" s="43"/>
      <c r="DC235" s="43"/>
      <c r="DD235" s="22">
        <f>IFERROR(VLOOKUP($C235,'Лист4'!$D:$AI,27,0)," ")</f>
        <v>5</v>
      </c>
      <c r="DE235" s="22">
        <f>IFERROR(VLOOKUP($C235,'Лист4'!$D:$AI,28,0)," ")</f>
        <v>8</v>
      </c>
      <c r="DF235" s="22">
        <f>IFERROR(VLOOKUP($C235,'Лист4'!$D:$AI,29,0)," ")</f>
        <v>5</v>
      </c>
      <c r="DG235" s="22">
        <f t="shared" si="3"/>
        <v>200</v>
      </c>
      <c r="DH235" s="22">
        <f>IFERROR(VLOOKUP($C235,'Лист4'!$D:$AI,32,0)," ")</f>
        <v>0.049</v>
      </c>
      <c r="DI235" s="22"/>
      <c r="DJ235" s="22"/>
      <c r="DK235" s="22"/>
      <c r="DL235" s="22"/>
      <c r="DM235" s="22"/>
      <c r="DN235" s="22"/>
      <c r="DO235" s="22"/>
      <c r="DP235" s="22"/>
      <c r="DQ235" s="22"/>
      <c r="DR235" s="22"/>
      <c r="DS235" s="22"/>
      <c r="DT235" s="22"/>
      <c r="DU235" s="22"/>
      <c r="DV235" s="22"/>
      <c r="DW235" s="22"/>
      <c r="DX235" s="22"/>
      <c r="DY235" s="22"/>
      <c r="DZ235" s="22"/>
      <c r="EA235" s="22"/>
      <c r="EB235" s="22"/>
      <c r="EC235" s="22"/>
      <c r="ED235" s="22"/>
      <c r="EE235" s="22"/>
      <c r="EF235" s="22"/>
      <c r="EG235" s="22"/>
      <c r="EH235" s="22"/>
      <c r="EI235" s="22"/>
      <c r="EJ235" s="22"/>
      <c r="EK235" s="22"/>
      <c r="EL235" s="22"/>
      <c r="EM235" s="43"/>
      <c r="EN235" s="43"/>
      <c r="EO235" s="43"/>
      <c r="EP235" s="43"/>
      <c r="EQ235" s="43"/>
      <c r="ER235" s="43"/>
      <c r="ES235" s="43"/>
      <c r="ET235" s="43"/>
      <c r="EU235" s="43"/>
      <c r="EV235" s="43"/>
      <c r="EW235" s="43"/>
      <c r="EX235" s="43"/>
      <c r="EY235" s="43"/>
      <c r="EZ235" s="43"/>
      <c r="FA235" s="43"/>
      <c r="FB235" s="43"/>
      <c r="FC235" s="43"/>
    </row>
    <row r="236" ht="18.0" customHeight="1">
      <c r="A236" s="2"/>
      <c r="B236" s="22" t="str">
        <f>IFERROR(VLOOKUP(C236,'Реестр'!C:AC,27,0)," ")</f>
        <v>Смарт-Сэйл</v>
      </c>
      <c r="C236" s="43" t="s">
        <v>3738</v>
      </c>
      <c r="D236" s="22" t="str">
        <f>IFERROR(VLOOKUP(C236,'Лист4'!D:P,13,0)," ")</f>
        <v>Алтея</v>
      </c>
      <c r="E236" s="22" t="str">
        <f>IF(OR(ISERROR(VLOOKUP(C236,'Актуальность'!A:B,2,0)), VLOOKUP(C236,'Актуальность'!A:B,2,0)=""), "Актуальный", VLOOKUP(C236,'Актуальность'!A:B,2,0))</f>
        <v>Вывод</v>
      </c>
      <c r="F236" s="43" t="str">
        <f>IFERROR(VLOOKUP(C236,'Актуальность'!A:C,3,0)," ")</f>
        <v>Неконкурентный товар</v>
      </c>
      <c r="G236" s="43"/>
      <c r="H236" s="22" t="s">
        <v>2743</v>
      </c>
      <c r="I236" s="22" t="s">
        <v>287</v>
      </c>
      <c r="J236" s="43"/>
      <c r="K236" s="43"/>
      <c r="L236" s="22" t="b">
        <f t="shared" ref="L236:R236" si="232">T236&lt;&gt;""</f>
        <v>1</v>
      </c>
      <c r="M236" s="22" t="b">
        <f t="shared" si="232"/>
        <v>1</v>
      </c>
      <c r="N236" s="22" t="b">
        <f t="shared" si="232"/>
        <v>1</v>
      </c>
      <c r="O236" s="22" t="b">
        <f t="shared" si="232"/>
        <v>1</v>
      </c>
      <c r="P236" s="22" t="b">
        <f t="shared" si="232"/>
        <v>0</v>
      </c>
      <c r="Q236" s="22" t="b">
        <f t="shared" si="232"/>
        <v>1</v>
      </c>
      <c r="R236" s="22" t="b">
        <f t="shared" si="232"/>
        <v>0</v>
      </c>
      <c r="S236" s="43"/>
      <c r="T236" s="43" t="str">
        <f>IFERROR(VLOOKUP( C236,'1С'!A:B,2,0)," ")</f>
        <v>AC201100401</v>
      </c>
      <c r="U236" s="22" t="str">
        <f>IFERROR(VLOOKUP(T236,'Лист4'!C:I,3,0)," ")</f>
        <v>maslo_dlya_volos_parf_110ml_</v>
      </c>
      <c r="V236" s="22" t="str">
        <f>IFERROR(VLOOKUP(T236,'Лист4'!C:I,4,0)," ")</f>
        <v>maslo_dlya_volos_parf_110ml_</v>
      </c>
      <c r="W236" s="22" t="str">
        <f>IFERROR(VLOOKUP(T236,'Лист4'!C:I,5,0)," ")</f>
        <v>maslo_dlya_volos_parf_110ml_</v>
      </c>
      <c r="X236" s="43"/>
      <c r="Y236" s="43" t="str">
        <f>IFERROR(VLOOKUP(T236,'Лист4'!C:I,6,0)," ")</f>
        <v>maslo_dlya_volos_parf_110ml_</v>
      </c>
      <c r="Z236" s="43"/>
      <c r="AA236" s="43"/>
      <c r="AB236" s="22">
        <v>4.23392974E8</v>
      </c>
      <c r="AC236" s="22">
        <v>2.168297398E9</v>
      </c>
      <c r="AD236" s="22">
        <v>4.700257494E9</v>
      </c>
      <c r="AE236" s="22"/>
      <c r="AF236" s="22" t="s">
        <v>3741</v>
      </c>
      <c r="AG236" s="43"/>
      <c r="AH236" s="43"/>
      <c r="AI236" s="43" t="str">
        <f>IFERROR(VLOOKUP(T236,'1С'!B:C,2,0)," ")</f>
        <v>Масло для волос парфюмированное, Алтея, 110 мл</v>
      </c>
      <c r="AJ236" s="22" t="s">
        <v>3742</v>
      </c>
      <c r="AK236" s="22" t="s">
        <v>3743</v>
      </c>
      <c r="AL236" s="22" t="s">
        <v>3744</v>
      </c>
      <c r="AM236" s="43"/>
      <c r="AN236" s="22" t="s">
        <v>3745</v>
      </c>
      <c r="AO236" s="43"/>
      <c r="AP236" s="43"/>
      <c r="AQ236" s="46" t="s">
        <v>3746</v>
      </c>
      <c r="AR236" s="46" t="s">
        <v>3747</v>
      </c>
      <c r="AS236" s="46" t="s">
        <v>3748</v>
      </c>
      <c r="AT236" s="43"/>
      <c r="AU236" s="46" t="s">
        <v>3749</v>
      </c>
      <c r="AV236" s="43"/>
      <c r="AW236" s="43"/>
      <c r="AX236" s="22" t="s">
        <v>2438</v>
      </c>
      <c r="AY236" s="22" t="s">
        <v>3743</v>
      </c>
      <c r="AZ236" s="22" t="s">
        <v>326</v>
      </c>
      <c r="BA236" s="43"/>
      <c r="BB236" s="22" t="s">
        <v>3750</v>
      </c>
      <c r="BC236" s="43"/>
      <c r="BD236" s="43"/>
      <c r="BE236" s="43"/>
      <c r="BF236" s="22">
        <f>IFERROR(VLOOKUP(C236,'спецификация'!B:D,3,0)," ")</f>
        <v>4610172181559</v>
      </c>
      <c r="BG236" s="22">
        <v>3.305900009E9</v>
      </c>
      <c r="BH236" s="22" t="str">
        <f>IFERROR(VLOOKUP(C236,'спецификация'!B:AA,5,0)," ")</f>
        <v/>
      </c>
      <c r="BI236" s="22"/>
      <c r="BJ236" s="22" t="str">
        <f>IFERROR(VLOOKUP(C236,'спецификация'!B:AA,6,0)," ")</f>
        <v/>
      </c>
      <c r="BK236" s="43"/>
      <c r="BL236" s="43"/>
      <c r="BM236" s="22" t="str">
        <f>IFERROR(VLOOKUP(BF236,'спецификация'!D:H,5,0)," ")</f>
        <v>HELIANTHUS ANNUUS (SUNFLOWER) SEED OIL, GLYCINE SOJA (SOYBEAN) OIL, ISOAMYL LAURATE, ARGANIA SPINOSA (ARGAN) KERNEL OIL, SIMMONDSIA CHINENSIS (JOJOBA) SEED OIL, PERSEA GRATISSIMA (AVOCADO) OIL, BHT, PARFUM, COUMARIN.</v>
      </c>
      <c r="BN236" s="43"/>
      <c r="BO236" s="22" t="str">
        <f>IFERROR(VLOOKUP(C236,'спецификация'!B:AA,10,0)," ")</f>
        <v>небольшое количество масла нанести на ладони, затем распределить на волосах. Можно наносить на сухие и влажные волосы.</v>
      </c>
      <c r="BP236" s="43" t="str">
        <f>IFERROR(VLOOKUP(C236,'спецификация'!B:AA,11,0)," ")</f>
        <v>индивидуальная непереносимость компонентов, входящих в состав.</v>
      </c>
      <c r="BQ236" s="22" t="str">
        <f>IFERROR(VLOOKUP(C236,'спецификация'!B:AA,12,0)," ")</f>
        <v>хранить в сухом недоступном для света месте при температуре от +5 до +25.</v>
      </c>
      <c r="BR236" s="22"/>
      <c r="BS236" s="43"/>
      <c r="BT236" s="43"/>
      <c r="BU236" s="22"/>
      <c r="BV236" s="22" t="s">
        <v>401</v>
      </c>
      <c r="BW236" s="44" t="str">
        <f>IFERROR(VLOOKUP(C236,'спецификация'!B:AA,16,0)," ")</f>
        <v>https://docs.google.com/document/d/1Z_bjiZB0u3JR8Poso2IGGwwEcgGj6EJx/edit</v>
      </c>
      <c r="BX236" s="43"/>
      <c r="BY236" s="43"/>
      <c r="BZ236" s="45" t="str">
        <f>IFERROR(VLOOKUP(BF236,'спецификация'!D:Y,22,0)," ")</f>
        <v/>
      </c>
      <c r="CA236" s="43"/>
      <c r="CB236" s="43"/>
      <c r="CC236" s="43"/>
      <c r="CD236" s="43"/>
      <c r="CE236" s="43"/>
      <c r="CF236" s="43"/>
      <c r="CG236" s="49">
        <f>IFERROR(VLOOKUP(C236,CC!A:D,4,0)," ")</f>
        <v>149.62</v>
      </c>
      <c r="CH236" s="22" t="str">
        <f>IFERROR(VLOOKUP(C236,'спецификация'!B:AA,19,0)," ")</f>
        <v>ООО "ДжиЭсЭС Косметикс"</v>
      </c>
      <c r="CI236" s="22"/>
      <c r="CJ236" s="43"/>
      <c r="CK236" s="22">
        <f>IFERROR(VLOOKUP(C236,CC!K:M,3,0)," ")</f>
        <v>90</v>
      </c>
      <c r="CL236" s="43"/>
      <c r="CM236" s="43"/>
      <c r="CN236" s="43"/>
      <c r="CO236" s="43"/>
      <c r="CP236" s="43"/>
      <c r="CQ236" s="43"/>
      <c r="CR236" s="43"/>
      <c r="CS236" s="43" t="b">
        <v>0</v>
      </c>
      <c r="CT236" s="43" t="b">
        <v>0</v>
      </c>
      <c r="CU236" s="43" t="b">
        <v>0</v>
      </c>
      <c r="CV236" s="43" t="b">
        <v>0</v>
      </c>
      <c r="CW236" s="43"/>
      <c r="CX236" s="43"/>
      <c r="CY236" s="43"/>
      <c r="CZ236" s="43"/>
      <c r="DA236" s="43"/>
      <c r="DB236" s="43"/>
      <c r="DC236" s="43"/>
      <c r="DD236" s="22">
        <f>IFERROR(VLOOKUP($C236,'Лист4'!$D:$AI,27,0)," ")</f>
        <v>3</v>
      </c>
      <c r="DE236" s="22">
        <f>IFERROR(VLOOKUP($C236,'Лист4'!$D:$AI,28,0)," ")</f>
        <v>16</v>
      </c>
      <c r="DF236" s="22">
        <f>IFERROR(VLOOKUP($C236,'Лист4'!$D:$AI,29,0)," ")</f>
        <v>3</v>
      </c>
      <c r="DG236" s="22">
        <f t="shared" si="3"/>
        <v>144</v>
      </c>
      <c r="DH236" s="22">
        <f>IFERROR(VLOOKUP($C236,'Лист4'!$D:$AI,32,0)," ")</f>
        <v>0.122</v>
      </c>
      <c r="DI236" s="22"/>
      <c r="DJ236" s="22"/>
      <c r="DK236" s="22"/>
      <c r="DL236" s="22"/>
      <c r="DM236" s="22"/>
      <c r="DN236" s="22"/>
      <c r="DO236" s="22"/>
      <c r="DP236" s="22"/>
      <c r="DQ236" s="22"/>
      <c r="DR236" s="22"/>
      <c r="DS236" s="22"/>
      <c r="DT236" s="22"/>
      <c r="DU236" s="22"/>
      <c r="DV236" s="22"/>
      <c r="DW236" s="22"/>
      <c r="DX236" s="22"/>
      <c r="DY236" s="22"/>
      <c r="DZ236" s="22"/>
      <c r="EA236" s="22"/>
      <c r="EB236" s="22"/>
      <c r="EC236" s="22"/>
      <c r="ED236" s="22"/>
      <c r="EE236" s="22"/>
      <c r="EF236" s="22"/>
      <c r="EG236" s="22"/>
      <c r="EH236" s="22"/>
      <c r="EI236" s="22"/>
      <c r="EJ236" s="22"/>
      <c r="EK236" s="22"/>
      <c r="EL236" s="22"/>
      <c r="EM236" s="43"/>
      <c r="EN236" s="43"/>
      <c r="EO236" s="43"/>
      <c r="EP236" s="43"/>
      <c r="EQ236" s="43"/>
      <c r="ER236" s="43"/>
      <c r="ES236" s="43"/>
      <c r="ET236" s="43"/>
      <c r="EU236" s="43"/>
      <c r="EV236" s="43"/>
      <c r="EW236" s="43"/>
      <c r="EX236" s="43"/>
      <c r="EY236" s="43"/>
      <c r="EZ236" s="43"/>
      <c r="FA236" s="43"/>
      <c r="FB236" s="43"/>
      <c r="FC236" s="43"/>
    </row>
    <row r="237" ht="18.0" customHeight="1">
      <c r="A237" s="2"/>
      <c r="B237" s="22" t="str">
        <f>IFERROR(VLOOKUP(C237,'Реестр'!C:AC,27,0)," ")</f>
        <v>Смарт-Сэйл</v>
      </c>
      <c r="C237" s="43" t="s">
        <v>3762</v>
      </c>
      <c r="D237" s="22" t="str">
        <f>IFERROR(VLOOKUP(C237,'Лист4'!D:P,13,0)," ")</f>
        <v>CPA</v>
      </c>
      <c r="E237" s="22" t="str">
        <f>IF(OR(ISERROR(VLOOKUP(C237,'Актуальность'!A:B,2,0)), VLOOKUP(C237,'Актуальность'!A:B,2,0)=""), "Актуальный", VLOOKUP(C237,'Актуальность'!A:B,2,0))</f>
        <v>Актуальный</v>
      </c>
      <c r="F237" s="43" t="str">
        <f>IFERROR(VLOOKUP(C237,'Актуальность'!A:C,3,0)," ")</f>
        <v/>
      </c>
      <c r="G237" s="43"/>
      <c r="H237" s="22" t="s">
        <v>2663</v>
      </c>
      <c r="I237" s="22" t="s">
        <v>2684</v>
      </c>
      <c r="J237" s="43"/>
      <c r="K237" s="43"/>
      <c r="L237" s="22" t="b">
        <f t="shared" ref="L237:R237" si="233">T237&lt;&gt;""</f>
        <v>1</v>
      </c>
      <c r="M237" s="22" t="b">
        <f t="shared" si="233"/>
        <v>1</v>
      </c>
      <c r="N237" s="22" t="b">
        <f t="shared" si="233"/>
        <v>1</v>
      </c>
      <c r="O237" s="22" t="b">
        <f t="shared" si="233"/>
        <v>1</v>
      </c>
      <c r="P237" s="22" t="b">
        <f t="shared" si="233"/>
        <v>0</v>
      </c>
      <c r="Q237" s="22" t="b">
        <f t="shared" si="233"/>
        <v>0</v>
      </c>
      <c r="R237" s="22" t="b">
        <f t="shared" si="233"/>
        <v>0</v>
      </c>
      <c r="S237" s="43"/>
      <c r="T237" s="43" t="str">
        <f>IFERROR(VLOOKUP( C237,'1С'!A:B,2,0)," ")</f>
        <v>CO101100440</v>
      </c>
      <c r="U237" s="22" t="str">
        <f>IFERROR(VLOOKUP(T237,'Лист4'!C:I,3,0)," ")</f>
        <v>activeprost</v>
      </c>
      <c r="V237" s="22" t="str">
        <f>IFERROR(VLOOKUP(T237,'Лист4'!C:I,4,0)," ")</f>
        <v>activeprost</v>
      </c>
      <c r="W237" s="22" t="str">
        <f>IFERROR(VLOOKUP(T237,'Лист4'!C:I,5,0)," ")</f>
        <v>activeprost</v>
      </c>
      <c r="X237" s="43" t="str">
        <f>IFERROR(VLOOKUP(T237,'Лист4'!C:I,7,0)," ")</f>
        <v/>
      </c>
      <c r="Y237" s="43" t="str">
        <f>IFERROR(VLOOKUP(T237,'Лист4'!C:I,6,0)," ")</f>
        <v/>
      </c>
      <c r="Z237" s="43"/>
      <c r="AA237" s="43"/>
      <c r="AB237" s="22">
        <v>1.03709897E8</v>
      </c>
      <c r="AC237" s="22">
        <v>7.32602771E8</v>
      </c>
      <c r="AD237" s="22">
        <v>1.02204313641E11</v>
      </c>
      <c r="AE237" s="22"/>
      <c r="AF237" s="22"/>
      <c r="AG237" s="43"/>
      <c r="AH237" s="43"/>
      <c r="AI237" s="43" t="str">
        <f>IFERROR(VLOOKUP(T237,'1С'!B:C,2,0)," ")</f>
        <v>Пищевая добавка Активпрост , CPA, 10 капсул</v>
      </c>
      <c r="AJ237" s="22" t="s">
        <v>3765</v>
      </c>
      <c r="AK237" s="22" t="s">
        <v>3766</v>
      </c>
      <c r="AL237" s="22" t="s">
        <v>3767</v>
      </c>
      <c r="AM237" s="43"/>
      <c r="AN237" s="43"/>
      <c r="AO237" s="43"/>
      <c r="AP237" s="43"/>
      <c r="AQ237" s="46" t="s">
        <v>3768</v>
      </c>
      <c r="AR237" s="46" t="s">
        <v>3769</v>
      </c>
      <c r="AS237" s="46" t="s">
        <v>3770</v>
      </c>
      <c r="AT237" s="43"/>
      <c r="AU237" s="43"/>
      <c r="AV237" s="43"/>
      <c r="AW237" s="43"/>
      <c r="AX237" s="22" t="s">
        <v>649</v>
      </c>
      <c r="AY237" s="22" t="s">
        <v>3766</v>
      </c>
      <c r="AZ237" s="22" t="s">
        <v>2692</v>
      </c>
      <c r="BA237" s="43"/>
      <c r="BB237" s="43"/>
      <c r="BC237" s="43"/>
      <c r="BD237" s="43"/>
      <c r="BE237" s="43"/>
      <c r="BF237" s="22">
        <f>IFERROR(VLOOKUP(C237,'спецификация'!B:D,3,0)," ")</f>
        <v>4631144673070</v>
      </c>
      <c r="BG237" s="22"/>
      <c r="BH237" s="22" t="str">
        <f>IFERROR(VLOOKUP(C237,'спецификация'!B:AA,5,0)," ")</f>
        <v>ЕАЭС N RU Д-RU.PA05.B.47936/22 от 12.09.2022 до 09.08.2027</v>
      </c>
      <c r="BI237" s="22"/>
      <c r="BJ237" s="22" t="str">
        <f>IFERROR(VLOOKUP(C237,'спецификация'!B:AA,6,0)," ")</f>
        <v/>
      </c>
      <c r="BK237" s="43"/>
      <c r="BL237" s="43"/>
      <c r="BM237" s="22" t="str">
        <f>IFERROR(VLOOKUP(BF237,'спецификация'!D:H,5,0)," ")</f>
        <v>Корень астрагала (astrāgalus), корень ворсянки (dipsacus), корень и корневища шалфея лекарственного (sālvia officinālis), ягоды годжи (lycium barbarum), семена маки перуанской (lepidium meyenii), брусничная толокнянка, березовые почки.</v>
      </c>
      <c r="BN237" s="43"/>
      <c r="BO237" s="22" t="str">
        <f>IFERROR(VLOOKUP(C237,'спецификация'!B:AA,10,0)," ")</f>
        <v/>
      </c>
      <c r="BP237" s="43" t="str">
        <f>IFERROR(VLOOKUP(C237,'спецификация'!B:AA,11,0)," ")</f>
        <v>индивидуальная непереносимость компонентов средства, возраст младше 18 лет.
</v>
      </c>
      <c r="BQ237" s="22" t="str">
        <f>IFERROR(VLOOKUP(C237,'спецификация'!B:AA,12,0)," ")</f>
        <v> хранить в оригинальной закрытой упаковке в защищенном от прямых солнечных лучей и недоступном для детей месте при температуре не выше +25ºС. 
</v>
      </c>
      <c r="BR237" s="22">
        <v>10.0</v>
      </c>
      <c r="BS237" s="22" t="s">
        <v>492</v>
      </c>
      <c r="BT237" s="22"/>
      <c r="BU237" s="22"/>
      <c r="BV237" s="22"/>
      <c r="BW237" s="44" t="str">
        <f>IFERROR(VLOOKUP(C237,'спецификация'!B:AA,16,0)," ")</f>
        <v>https://drive.google.com/drive/folders/1HHjM_FJAeVTWbW8zRfbTqpj0HRrwUOne</v>
      </c>
      <c r="BX237" s="43"/>
      <c r="BY237" s="43"/>
      <c r="BZ237" s="45" t="str">
        <f>IFERROR(VLOOKUP(BF237,'спецификация'!D:Y,22,0)," ")</f>
        <v/>
      </c>
      <c r="CA237" s="43"/>
      <c r="CB237" s="43"/>
      <c r="CC237" s="43"/>
      <c r="CD237" s="43"/>
      <c r="CE237" s="43"/>
      <c r="CF237" s="43"/>
      <c r="CG237" s="49">
        <f>IFERROR(VLOOKUP(C237,CC!A:D,4,0)," ")</f>
        <v>94.2</v>
      </c>
      <c r="CH237" s="22" t="str">
        <f>IFERROR(VLOOKUP(C237,'спецификация'!B:AA,19,0)," ")</f>
        <v>ООО «Восток Плюс», 107113, г. Москва, Сокольническая пл., дом 4а, этаж 3, пом.IV, комн.11</v>
      </c>
      <c r="CI237" s="22"/>
      <c r="CJ237" s="43"/>
      <c r="CK237" s="22">
        <f>IFERROR(VLOOKUP(C237,CC!K:M,3,0)," ")</f>
        <v>45</v>
      </c>
      <c r="CL237" s="43"/>
      <c r="CM237" s="43"/>
      <c r="CN237" s="43"/>
      <c r="CO237" s="43"/>
      <c r="CP237" s="43"/>
      <c r="CQ237" s="43"/>
      <c r="CR237" s="43"/>
      <c r="CS237" s="43" t="b">
        <v>0</v>
      </c>
      <c r="CT237" s="43" t="b">
        <v>0</v>
      </c>
      <c r="CU237" s="43" t="b">
        <v>0</v>
      </c>
      <c r="CV237" s="43" t="b">
        <v>0</v>
      </c>
      <c r="CW237" s="43"/>
      <c r="CX237" s="43"/>
      <c r="CY237" s="43"/>
      <c r="CZ237" s="43"/>
      <c r="DA237" s="43"/>
      <c r="DB237" s="43"/>
      <c r="DC237" s="43"/>
      <c r="DD237" s="22">
        <f>IFERROR(VLOOKUP($C237,'Лист4'!$D:$AI,27,0)," ")</f>
        <v>6</v>
      </c>
      <c r="DE237" s="22">
        <f>IFERROR(VLOOKUP($C237,'Лист4'!$D:$AI,28,0)," ")</f>
        <v>3</v>
      </c>
      <c r="DF237" s="22">
        <f>IFERROR(VLOOKUP($C237,'Лист4'!$D:$AI,29,0)," ")</f>
        <v>6</v>
      </c>
      <c r="DG237" s="22">
        <f t="shared" si="3"/>
        <v>108</v>
      </c>
      <c r="DH237" s="22">
        <f>IFERROR(VLOOKUP($C237,'Лист4'!$D:$AI,32,0)," ")</f>
        <v>0.015</v>
      </c>
      <c r="DI237" s="22"/>
      <c r="DJ237" s="22"/>
      <c r="DK237" s="22"/>
      <c r="DL237" s="22"/>
      <c r="DM237" s="22"/>
      <c r="DN237" s="22"/>
      <c r="DO237" s="22"/>
      <c r="DP237" s="22"/>
      <c r="DQ237" s="22"/>
      <c r="DR237" s="22"/>
      <c r="DS237" s="22"/>
      <c r="DT237" s="22"/>
      <c r="DU237" s="22"/>
      <c r="DV237" s="22"/>
      <c r="DW237" s="22"/>
      <c r="DX237" s="22"/>
      <c r="DY237" s="22"/>
      <c r="DZ237" s="22"/>
      <c r="EA237" s="22"/>
      <c r="EB237" s="22"/>
      <c r="EC237" s="22"/>
      <c r="ED237" s="22"/>
      <c r="EE237" s="22"/>
      <c r="EF237" s="22"/>
      <c r="EG237" s="22"/>
      <c r="EH237" s="22"/>
      <c r="EI237" s="22"/>
      <c r="EJ237" s="22"/>
      <c r="EK237" s="22"/>
      <c r="EL237" s="22"/>
      <c r="EM237" s="43"/>
      <c r="EN237" s="43"/>
      <c r="EO237" s="43"/>
      <c r="EP237" s="43"/>
      <c r="EQ237" s="43"/>
      <c r="ER237" s="43"/>
      <c r="ES237" s="43"/>
      <c r="ET237" s="43"/>
      <c r="EU237" s="43"/>
      <c r="EV237" s="43"/>
      <c r="EW237" s="43"/>
      <c r="EX237" s="43"/>
      <c r="EY237" s="43"/>
      <c r="EZ237" s="43"/>
      <c r="FA237" s="43"/>
      <c r="FB237" s="43"/>
      <c r="FC237" s="43"/>
    </row>
    <row r="238" ht="18.0" customHeight="1">
      <c r="A238" s="2"/>
      <c r="B238" s="22" t="str">
        <f>IFERROR(VLOOKUP(C238,'Реестр'!C:AC,27,0)," ")</f>
        <v>Смарт-Сэйл</v>
      </c>
      <c r="C238" s="43" t="s">
        <v>3777</v>
      </c>
      <c r="D238" s="22" t="str">
        <f>IFERROR(VLOOKUP(C238,'Лист4'!D:P,13,0)," ")</f>
        <v>CPA</v>
      </c>
      <c r="E238" s="22" t="str">
        <f>IF(OR(ISERROR(VLOOKUP(C238,'Актуальность'!A:B,2,0)), VLOOKUP(C238,'Актуальность'!A:B,2,0)=""), "Актуальный", VLOOKUP(C238,'Актуальность'!A:B,2,0))</f>
        <v>Актуальный</v>
      </c>
      <c r="F238" s="43" t="str">
        <f>IFERROR(VLOOKUP(C238,'Актуальность'!A:C,3,0)," ")</f>
        <v/>
      </c>
      <c r="G238" s="43"/>
      <c r="H238" s="22" t="s">
        <v>2663</v>
      </c>
      <c r="I238" s="22" t="s">
        <v>641</v>
      </c>
      <c r="J238" s="43"/>
      <c r="K238" s="43"/>
      <c r="L238" s="22" t="b">
        <f t="shared" ref="L238:R238" si="234">T238&lt;&gt;""</f>
        <v>1</v>
      </c>
      <c r="M238" s="22" t="b">
        <f t="shared" si="234"/>
        <v>1</v>
      </c>
      <c r="N238" s="22" t="b">
        <f t="shared" si="234"/>
        <v>1</v>
      </c>
      <c r="O238" s="22" t="b">
        <f t="shared" si="234"/>
        <v>1</v>
      </c>
      <c r="P238" s="22" t="b">
        <f t="shared" si="234"/>
        <v>0</v>
      </c>
      <c r="Q238" s="22" t="b">
        <f t="shared" si="234"/>
        <v>0</v>
      </c>
      <c r="R238" s="22" t="b">
        <f t="shared" si="234"/>
        <v>0</v>
      </c>
      <c r="S238" s="43"/>
      <c r="T238" s="43" t="str">
        <f>IFERROR(VLOOKUP( C238,'1С'!A:B,2,0)," ")</f>
        <v>CO101100416</v>
      </c>
      <c r="U238" s="22" t="str">
        <f>IFERROR(VLOOKUP(T238,'Лист4'!C:I,3,0)," ")</f>
        <v>enteroshol</v>
      </c>
      <c r="V238" s="22" t="str">
        <f>IFERROR(VLOOKUP(T238,'Лист4'!C:I,4,0)," ")</f>
        <v>enteroshol</v>
      </c>
      <c r="W238" s="22" t="str">
        <f>IFERROR(VLOOKUP(T238,'Лист4'!C:I,5,0)," ")</f>
        <v>enteroshol</v>
      </c>
      <c r="X238" s="43" t="str">
        <f>IFERROR(VLOOKUP(T238,'Лист4'!C:I,7,0)," ")</f>
        <v/>
      </c>
      <c r="Y238" s="43" t="str">
        <f>IFERROR(VLOOKUP(T238,'Лист4'!C:I,6,0)," ")</f>
        <v/>
      </c>
      <c r="Z238" s="43"/>
      <c r="AA238" s="43"/>
      <c r="AB238" s="22">
        <v>2.23437682E8</v>
      </c>
      <c r="AC238" s="22">
        <v>1.542004482E9</v>
      </c>
      <c r="AD238" s="22">
        <v>1.03515427201E11</v>
      </c>
      <c r="AE238" s="22"/>
      <c r="AF238" s="22"/>
      <c r="AG238" s="43"/>
      <c r="AH238" s="43"/>
      <c r="AI238" s="43" t="str">
        <f>IFERROR(VLOOKUP(T238,'1С'!B:C,2,0)," ")</f>
        <v>Пищевая добавка Энтеросхол, CPA, 20 капсул</v>
      </c>
      <c r="AJ238" s="22" t="s">
        <v>3780</v>
      </c>
      <c r="AK238" s="22" t="s">
        <v>3781</v>
      </c>
      <c r="AL238" s="22" t="s">
        <v>3782</v>
      </c>
      <c r="AM238" s="43"/>
      <c r="AN238" s="43"/>
      <c r="AO238" s="43"/>
      <c r="AP238" s="43"/>
      <c r="AQ238" s="46" t="s">
        <v>3783</v>
      </c>
      <c r="AR238" s="46" t="s">
        <v>3784</v>
      </c>
      <c r="AS238" s="46" t="s">
        <v>3785</v>
      </c>
      <c r="AT238" s="43"/>
      <c r="AU238" s="43"/>
      <c r="AV238" s="43"/>
      <c r="AW238" s="43"/>
      <c r="AX238" s="22" t="s">
        <v>649</v>
      </c>
      <c r="AY238" s="22" t="s">
        <v>3781</v>
      </c>
      <c r="AZ238" s="22" t="s">
        <v>942</v>
      </c>
      <c r="BA238" s="43"/>
      <c r="BB238" s="43"/>
      <c r="BC238" s="43"/>
      <c r="BD238" s="43"/>
      <c r="BE238" s="43"/>
      <c r="BF238" s="22">
        <f>IFERROR(VLOOKUP(C238,'спецификация'!B:D,3,0)," ")</f>
        <v>4610030632605</v>
      </c>
      <c r="BG238" s="22">
        <v>2.106909809E9</v>
      </c>
      <c r="BH238" s="22" t="str">
        <f>IFERROR(VLOOKUP(C238,'спецификация'!B:AA,5,0)," ")</f>
        <v>ЕАЭС N RU Д-RU.PA01.B.12704/24 от 15.01.2024 по 14.01.2029</v>
      </c>
      <c r="BI238" s="22"/>
      <c r="BJ238" s="22" t="str">
        <f>IFERROR(VLOOKUP(C238,'спецификация'!B:AA,6,0)," ")</f>
        <v/>
      </c>
      <c r="BK238" s="43"/>
      <c r="BL238" s="43"/>
      <c r="BM238" s="22" t="str">
        <f>IFERROR(VLOOKUP(BF238,'спецификация'!D:H,5,0)," ")</f>
        <v>корня алтеи, пижмы, грецкого ореха, семян тмина, календулы, цветков ромашки, мелиссы, ежовика гребенчатый, диоксид кремния, стеарат кальция, мальтодекстрин.</v>
      </c>
      <c r="BN238" s="43"/>
      <c r="BO238" s="22" t="str">
        <f>IFERROR(VLOOKUP(C238,'спецификация'!B:AA,10,0)," ")</f>
        <v/>
      </c>
      <c r="BP238" s="43" t="str">
        <f>IFERROR(VLOOKUP(C238,'спецификация'!B:AA,11,0)," ")</f>
        <v>индивидуальная непереносимость компонентов.
</v>
      </c>
      <c r="BQ238" s="22" t="str">
        <f>IFERROR(VLOOKUP(C238,'спецификация'!B:AA,12,0)," ")</f>
        <v>хранить при температуре не выше 25 °С в местах, удалённых от прямого солнечного света, отопительных приборов, влаги.
</v>
      </c>
      <c r="BR238" s="22">
        <v>20.0</v>
      </c>
      <c r="BS238" s="22" t="s">
        <v>492</v>
      </c>
      <c r="BT238" s="22"/>
      <c r="BU238" s="22"/>
      <c r="BV238" s="22"/>
      <c r="BW238" s="44" t="str">
        <f>IFERROR(VLOOKUP(C238,'спецификация'!B:AA,16,0)," ")</f>
        <v>https://docs.google.com/document/d/1Kef9LNd3XbEIWniTDouf1gK4C7Gl5isH/edit?usp=drive_web&amp;ouid=104241417680089502627&amp;rtpof=true</v>
      </c>
      <c r="BX238" s="43"/>
      <c r="BY238" s="43"/>
      <c r="BZ238" s="45" t="str">
        <f>IFERROR(VLOOKUP(BF238,'спецификация'!D:Y,22,0)," ")</f>
        <v/>
      </c>
      <c r="CA238" s="43"/>
      <c r="CB238" s="43"/>
      <c r="CC238" s="43"/>
      <c r="CD238" s="43"/>
      <c r="CE238" s="43"/>
      <c r="CF238" s="43"/>
      <c r="CG238" s="49">
        <f>IFERROR(VLOOKUP(C238,CC!A:D,4,0)," ")</f>
        <v>121.98</v>
      </c>
      <c r="CH238" s="22" t="str">
        <f>IFERROR(VLOOKUP(C238,'спецификация'!B:AA,19,0)," ")</f>
        <v>ООО «НУТРАФАРМ», 129626, г. Москва, Муниципальный округ Алексеевский, ул. 1-ая Мытищинская, дом 3, строение 1, этаж 3, каб. 306, ком. 5А</v>
      </c>
      <c r="CI238" s="22"/>
      <c r="CJ238" s="43"/>
      <c r="CK238" s="22">
        <f>IFERROR(VLOOKUP(C238,CC!K:M,3,0)," ")</f>
        <v>45</v>
      </c>
      <c r="CL238" s="43"/>
      <c r="CM238" s="43"/>
      <c r="CN238" s="43"/>
      <c r="CO238" s="43"/>
      <c r="CP238" s="43"/>
      <c r="CQ238" s="43"/>
      <c r="CR238" s="43"/>
      <c r="CS238" s="43" t="b">
        <v>0</v>
      </c>
      <c r="CT238" s="43" t="b">
        <v>0</v>
      </c>
      <c r="CU238" s="43" t="b">
        <v>0</v>
      </c>
      <c r="CV238" s="43" t="b">
        <v>0</v>
      </c>
      <c r="CW238" s="43"/>
      <c r="CX238" s="43"/>
      <c r="CY238" s="43"/>
      <c r="CZ238" s="43"/>
      <c r="DA238" s="43"/>
      <c r="DB238" s="43"/>
      <c r="DC238" s="43"/>
      <c r="DD238" s="22">
        <f>IFERROR(VLOOKUP($C238,'Лист4'!$D:$AI,27,0)," ")</f>
        <v>7</v>
      </c>
      <c r="DE238" s="22">
        <f>IFERROR(VLOOKUP($C238,'Лист4'!$D:$AI,28,0)," ")</f>
        <v>3</v>
      </c>
      <c r="DF238" s="22">
        <f>IFERROR(VLOOKUP($C238,'Лист4'!$D:$AI,29,0)," ")</f>
        <v>7</v>
      </c>
      <c r="DG238" s="22">
        <f t="shared" si="3"/>
        <v>147</v>
      </c>
      <c r="DH238" s="22">
        <f>IFERROR(VLOOKUP($C238,'Лист4'!$D:$AI,32,0)," ")</f>
        <v>0.022</v>
      </c>
      <c r="DI238" s="22"/>
      <c r="DJ238" s="22"/>
      <c r="DK238" s="22"/>
      <c r="DL238" s="22"/>
      <c r="DM238" s="22"/>
      <c r="DN238" s="22"/>
      <c r="DO238" s="22"/>
      <c r="DP238" s="22"/>
      <c r="DQ238" s="22"/>
      <c r="DR238" s="22"/>
      <c r="DS238" s="22"/>
      <c r="DT238" s="22"/>
      <c r="DU238" s="22"/>
      <c r="DV238" s="22"/>
      <c r="DW238" s="22"/>
      <c r="DX238" s="22"/>
      <c r="DY238" s="22"/>
      <c r="DZ238" s="22"/>
      <c r="EA238" s="22"/>
      <c r="EB238" s="22"/>
      <c r="EC238" s="22"/>
      <c r="ED238" s="22"/>
      <c r="EE238" s="22"/>
      <c r="EF238" s="22"/>
      <c r="EG238" s="22"/>
      <c r="EH238" s="22"/>
      <c r="EI238" s="22"/>
      <c r="EJ238" s="22"/>
      <c r="EK238" s="22"/>
      <c r="EL238" s="22"/>
      <c r="EM238" s="43"/>
      <c r="EN238" s="43"/>
      <c r="EO238" s="43"/>
      <c r="EP238" s="43"/>
      <c r="EQ238" s="43"/>
      <c r="ER238" s="43"/>
      <c r="ES238" s="43"/>
      <c r="ET238" s="43"/>
      <c r="EU238" s="43"/>
      <c r="EV238" s="43"/>
      <c r="EW238" s="43"/>
      <c r="EX238" s="43"/>
      <c r="EY238" s="43"/>
      <c r="EZ238" s="43"/>
      <c r="FA238" s="43"/>
      <c r="FB238" s="43"/>
      <c r="FC238" s="43"/>
    </row>
    <row r="239" ht="18.0" customHeight="1">
      <c r="A239" s="2"/>
      <c r="B239" s="22" t="str">
        <f>IFERROR(VLOOKUP(C239,'Реестр'!C:AC,27,0)," ")</f>
        <v>Смарт-Сэйл</v>
      </c>
      <c r="C239" s="43" t="s">
        <v>3790</v>
      </c>
      <c r="D239" s="22" t="str">
        <f>IFERROR(VLOOKUP(C239,'Лист4'!D:P,13,0)," ")</f>
        <v>CPA</v>
      </c>
      <c r="E239" s="22" t="str">
        <f>IF(OR(ISERROR(VLOOKUP(C239,'Актуальность'!A:B,2,0)), VLOOKUP(C239,'Актуальность'!A:B,2,0)=""), "Актуальный", VLOOKUP(C239,'Актуальность'!A:B,2,0))</f>
        <v>Актуальный</v>
      </c>
      <c r="F239" s="43" t="str">
        <f>IFERROR(VLOOKUP(C239,'Актуальность'!A:C,3,0)," ")</f>
        <v/>
      </c>
      <c r="G239" s="43"/>
      <c r="H239" s="22" t="s">
        <v>2663</v>
      </c>
      <c r="I239" s="22" t="s">
        <v>2664</v>
      </c>
      <c r="J239" s="43"/>
      <c r="K239" s="43"/>
      <c r="L239" s="22" t="b">
        <f t="shared" ref="L239:R239" si="235">T239&lt;&gt;""</f>
        <v>1</v>
      </c>
      <c r="M239" s="22" t="b">
        <f t="shared" si="235"/>
        <v>1</v>
      </c>
      <c r="N239" s="22" t="b">
        <f t="shared" si="235"/>
        <v>1</v>
      </c>
      <c r="O239" s="22" t="b">
        <f t="shared" si="235"/>
        <v>1</v>
      </c>
      <c r="P239" s="22" t="b">
        <f t="shared" si="235"/>
        <v>0</v>
      </c>
      <c r="Q239" s="22" t="b">
        <f t="shared" si="235"/>
        <v>0</v>
      </c>
      <c r="R239" s="22" t="b">
        <f t="shared" si="235"/>
        <v>0</v>
      </c>
      <c r="S239" s="43"/>
      <c r="T239" s="43" t="str">
        <f>IFERROR(VLOOKUP( C239,'1С'!A:B,2,0)," ")</f>
        <v>CC101100425</v>
      </c>
      <c r="U239" s="22" t="str">
        <f>IFERROR(VLOOKUP(T239,'Лист4'!C:I,3,0)," ")</f>
        <v>artoks_1_1</v>
      </c>
      <c r="V239" s="22" t="str">
        <f>IFERROR(VLOOKUP(T239,'Лист4'!C:I,4,0)," ")</f>
        <v>artoks_1_1</v>
      </c>
      <c r="W239" s="22" t="str">
        <f>IFERROR(VLOOKUP(T239,'Лист4'!C:I,5,0)," ")</f>
        <v>artoks_1_1</v>
      </c>
      <c r="X239" s="43" t="str">
        <f>IFERROR(VLOOKUP(T239,'Лист4'!C:I,7,0)," ")</f>
        <v/>
      </c>
      <c r="Y239" s="43" t="str">
        <f>IFERROR(VLOOKUP(T239,'Лист4'!C:I,6,0)," ")</f>
        <v/>
      </c>
      <c r="Z239" s="43"/>
      <c r="AA239" s="43"/>
      <c r="AB239" s="22">
        <v>1.72161336E8</v>
      </c>
      <c r="AC239" s="22">
        <v>1.12926195E9</v>
      </c>
      <c r="AD239" s="22">
        <v>1.03759076274E11</v>
      </c>
      <c r="AE239" s="22"/>
      <c r="AF239" s="22"/>
      <c r="AG239" s="43"/>
      <c r="AH239" s="43"/>
      <c r="AI239" s="43" t="str">
        <f>IFERROR(VLOOKUP(T239,'1С'!B:C,2,0)," ")</f>
        <v>Мазь для суставов Артокс, CPA, 50 мл, набор из 2 шт</v>
      </c>
      <c r="AJ239" s="22" t="s">
        <v>3600</v>
      </c>
      <c r="AK239" s="22" t="s">
        <v>3793</v>
      </c>
      <c r="AL239" s="22" t="s">
        <v>3794</v>
      </c>
      <c r="AM239" s="43"/>
      <c r="AN239" s="43"/>
      <c r="AO239" s="43"/>
      <c r="AP239" s="43"/>
      <c r="AQ239" s="46" t="s">
        <v>3795</v>
      </c>
      <c r="AR239" s="46" t="s">
        <v>3796</v>
      </c>
      <c r="AS239" s="46" t="s">
        <v>3797</v>
      </c>
      <c r="AT239" s="43"/>
      <c r="AU239" s="43"/>
      <c r="AV239" s="43"/>
      <c r="AW239" s="43"/>
      <c r="AX239" s="22" t="s">
        <v>3445</v>
      </c>
      <c r="AY239" s="22" t="s">
        <v>3793</v>
      </c>
      <c r="AZ239" s="22" t="s">
        <v>2672</v>
      </c>
      <c r="BA239" s="43"/>
      <c r="BB239" s="43"/>
      <c r="BC239" s="43"/>
      <c r="BD239" s="43"/>
      <c r="BE239" s="43"/>
      <c r="BF239" s="22">
        <f>IFERROR(VLOOKUP(C239,'спецификация'!B:D,3,0)," ")</f>
        <v>2038301408919</v>
      </c>
      <c r="BG239" s="22"/>
      <c r="BH239" s="22" t="str">
        <f>IFERROR(VLOOKUP(C239,'спецификация'!B:AA,5,0)," ")</f>
        <v/>
      </c>
      <c r="BI239" s="22"/>
      <c r="BJ239" s="22" t="str">
        <f>IFERROR(VLOOKUP(C239,'спецификация'!B:AA,6,0)," ")</f>
        <v/>
      </c>
      <c r="BK239" s="43"/>
      <c r="BL239" s="43"/>
      <c r="BM239" s="22" t="str">
        <f>IFERROR(VLOOKUP(BF239,'спецификация'!D:H,5,0)," ")</f>
        <v/>
      </c>
      <c r="BN239" s="43"/>
      <c r="BO239" s="22" t="str">
        <f>IFERROR(VLOOKUP(C239,'спецификация'!B:AA,10,0)," ")</f>
        <v/>
      </c>
      <c r="BP239" s="43" t="str">
        <f>IFERROR(VLOOKUP(C239,'спецификация'!B:AA,11,0)," ")</f>
        <v/>
      </c>
      <c r="BQ239" s="22" t="str">
        <f>IFERROR(VLOOKUP(C239,'спецификация'!B:AA,12,0)," ")</f>
        <v/>
      </c>
      <c r="BR239" s="22"/>
      <c r="BS239" s="43"/>
      <c r="BT239" s="43"/>
      <c r="BU239" s="22"/>
      <c r="BV239" s="22"/>
      <c r="BW239" s="45" t="str">
        <f>IFERROR(VLOOKUP(C239,'спецификация'!B:AA,16,0)," ")</f>
        <v/>
      </c>
      <c r="BX239" s="43"/>
      <c r="BY239" s="43"/>
      <c r="BZ239" s="45" t="str">
        <f>IFERROR(VLOOKUP(BF239,'спецификация'!D:Y,22,0)," ")</f>
        <v/>
      </c>
      <c r="CA239" s="43"/>
      <c r="CB239" s="43"/>
      <c r="CC239" s="43"/>
      <c r="CD239" s="43"/>
      <c r="CE239" s="43"/>
      <c r="CF239" s="43"/>
      <c r="CG239" s="49">
        <f>IFERROR(VLOOKUP(C239,CC!A:D,4,0)," ")</f>
        <v>246.1</v>
      </c>
      <c r="CH239" s="22" t="str">
        <f>IFERROR(VLOOKUP(C239,'спецификация'!B:AA,19,0)," ")</f>
        <v/>
      </c>
      <c r="CI239" s="22"/>
      <c r="CJ239" s="43"/>
      <c r="CK239" s="22">
        <f>IFERROR(VLOOKUP(C239,CC!K:M,3,0)," ")</f>
        <v>45</v>
      </c>
      <c r="CL239" s="43"/>
      <c r="CM239" s="43"/>
      <c r="CN239" s="43"/>
      <c r="CO239" s="43"/>
      <c r="CP239" s="43"/>
      <c r="CQ239" s="43"/>
      <c r="CR239" s="43"/>
      <c r="CS239" s="43" t="b">
        <v>0</v>
      </c>
      <c r="CT239" s="43" t="b">
        <v>0</v>
      </c>
      <c r="CU239" s="43" t="b">
        <v>0</v>
      </c>
      <c r="CV239" s="43" t="b">
        <v>0</v>
      </c>
      <c r="CW239" s="43"/>
      <c r="CX239" s="43"/>
      <c r="CY239" s="43"/>
      <c r="CZ239" s="43"/>
      <c r="DA239" s="43"/>
      <c r="DB239" s="43"/>
      <c r="DC239" s="43"/>
      <c r="DD239" s="22">
        <f>IFERROR(VLOOKUP($C239,'Лист4'!$D:$AI,27,0)," ")</f>
        <v>17</v>
      </c>
      <c r="DE239" s="22">
        <f>IFERROR(VLOOKUP($C239,'Лист4'!$D:$AI,28,0)," ")</f>
        <v>7</v>
      </c>
      <c r="DF239" s="22">
        <f>IFERROR(VLOOKUP($C239,'Лист4'!$D:$AI,29,0)," ")</f>
        <v>17</v>
      </c>
      <c r="DG239" s="22">
        <f t="shared" si="3"/>
        <v>2023</v>
      </c>
      <c r="DH239" s="22">
        <f>IFERROR(VLOOKUP($C239,'Лист4'!$D:$AI,32,0)," ")</f>
        <v>0.11</v>
      </c>
      <c r="DI239" s="22"/>
      <c r="DJ239" s="22"/>
      <c r="DK239" s="22"/>
      <c r="DL239" s="22"/>
      <c r="DM239" s="22"/>
      <c r="DN239" s="22"/>
      <c r="DO239" s="22"/>
      <c r="DP239" s="22"/>
      <c r="DQ239" s="22"/>
      <c r="DR239" s="22"/>
      <c r="DS239" s="22"/>
      <c r="DT239" s="22"/>
      <c r="DU239" s="22"/>
      <c r="DV239" s="22"/>
      <c r="DW239" s="22"/>
      <c r="DX239" s="22"/>
      <c r="DY239" s="22"/>
      <c r="DZ239" s="22"/>
      <c r="EA239" s="22"/>
      <c r="EB239" s="22"/>
      <c r="EC239" s="22"/>
      <c r="ED239" s="22"/>
      <c r="EE239" s="22"/>
      <c r="EF239" s="22"/>
      <c r="EG239" s="22"/>
      <c r="EH239" s="22"/>
      <c r="EI239" s="22"/>
      <c r="EJ239" s="22"/>
      <c r="EK239" s="22"/>
      <c r="EL239" s="22"/>
      <c r="EM239" s="43"/>
      <c r="EN239" s="43"/>
      <c r="EO239" s="43"/>
      <c r="EP239" s="43"/>
      <c r="EQ239" s="43"/>
      <c r="ER239" s="43"/>
      <c r="ES239" s="43"/>
      <c r="ET239" s="43"/>
      <c r="EU239" s="43"/>
      <c r="EV239" s="43"/>
      <c r="EW239" s="43"/>
      <c r="EX239" s="43"/>
      <c r="EY239" s="43"/>
      <c r="EZ239" s="43"/>
      <c r="FA239" s="43"/>
      <c r="FB239" s="43"/>
      <c r="FC239" s="43"/>
    </row>
    <row r="240" ht="18.0" customHeight="1">
      <c r="A240" s="2"/>
      <c r="B240" s="22" t="str">
        <f>IFERROR(VLOOKUP(C240,'Реестр'!C:AC,27,0)," ")</f>
        <v>Смарт-Сэйл</v>
      </c>
      <c r="C240" s="43" t="s">
        <v>3798</v>
      </c>
      <c r="D240" s="22" t="str">
        <f>IFERROR(VLOOKUP(C240,'Лист4'!D:P,13,0)," ")</f>
        <v>CPA</v>
      </c>
      <c r="E240" s="22" t="str">
        <f>IF(OR(ISERROR(VLOOKUP(C240,'Актуальность'!A:B,2,0)), VLOOKUP(C240,'Актуальность'!A:B,2,0)=""), "Актуальный", VLOOKUP(C240,'Актуальность'!A:B,2,0))</f>
        <v>Актуальный</v>
      </c>
      <c r="F240" s="43" t="str">
        <f>IFERROR(VLOOKUP(C240,'Актуальность'!A:C,3,0)," ")</f>
        <v/>
      </c>
      <c r="G240" s="43"/>
      <c r="H240" s="22" t="s">
        <v>2663</v>
      </c>
      <c r="I240" s="22" t="s">
        <v>1027</v>
      </c>
      <c r="J240" s="43"/>
      <c r="K240" s="43"/>
      <c r="L240" s="22" t="b">
        <f t="shared" ref="L240:R240" si="236">T240&lt;&gt;""</f>
        <v>1</v>
      </c>
      <c r="M240" s="22" t="b">
        <f t="shared" si="236"/>
        <v>1</v>
      </c>
      <c r="N240" s="22" t="b">
        <f t="shared" si="236"/>
        <v>1</v>
      </c>
      <c r="O240" s="22" t="b">
        <f t="shared" si="236"/>
        <v>1</v>
      </c>
      <c r="P240" s="22" t="b">
        <f t="shared" si="236"/>
        <v>0</v>
      </c>
      <c r="Q240" s="22" t="b">
        <f t="shared" si="236"/>
        <v>0</v>
      </c>
      <c r="R240" s="22" t="b">
        <f t="shared" si="236"/>
        <v>0</v>
      </c>
      <c r="S240" s="43"/>
      <c r="T240" s="43" t="str">
        <f>IFERROR(VLOOKUP( C240,'1С'!A:B,2,0)," ")</f>
        <v>CO101100438</v>
      </c>
      <c r="U240" s="22" t="str">
        <f>IFERROR(VLOOKUP(T240,'Лист4'!C:I,3,0)," ")</f>
        <v>khvoinitsa_1_1</v>
      </c>
      <c r="V240" s="22" t="str">
        <f>IFERROR(VLOOKUP(T240,'Лист4'!C:I,4,0)," ")</f>
        <v>khvoinitsa_1_1</v>
      </c>
      <c r="W240" s="22" t="str">
        <f>IFERROR(VLOOKUP(T240,'Лист4'!C:I,5,0)," ")</f>
        <v>khvoinitsa_1_1</v>
      </c>
      <c r="X240" s="43" t="str">
        <f>IFERROR(VLOOKUP(T240,'Лист4'!C:I,7,0)," ")</f>
        <v/>
      </c>
      <c r="Y240" s="43" t="str">
        <f>IFERROR(VLOOKUP(T240,'Лист4'!C:I,6,0)," ")</f>
        <v/>
      </c>
      <c r="Z240" s="43"/>
      <c r="AA240" s="43"/>
      <c r="AB240" s="22">
        <v>1.76858863E8</v>
      </c>
      <c r="AC240" s="22">
        <v>1.191194423E9</v>
      </c>
      <c r="AD240" s="22">
        <v>1.03515429718E11</v>
      </c>
      <c r="AE240" s="22"/>
      <c r="AF240" s="22"/>
      <c r="AG240" s="43"/>
      <c r="AH240" s="43"/>
      <c r="AI240" s="43" t="str">
        <f>IFERROR(VLOOKUP(T240,'1С'!B:C,2,0)," ")</f>
        <v>Пищевая добавка Хвойница , CPA, 7 саше</v>
      </c>
      <c r="AJ240" s="22" t="s">
        <v>3453</v>
      </c>
      <c r="AK240" s="22" t="s">
        <v>3453</v>
      </c>
      <c r="AL240" s="22" t="s">
        <v>3800</v>
      </c>
      <c r="AM240" s="43"/>
      <c r="AN240" s="43"/>
      <c r="AO240" s="43"/>
      <c r="AP240" s="43"/>
      <c r="AQ240" s="46" t="s">
        <v>3801</v>
      </c>
      <c r="AR240" s="46" t="s">
        <v>3802</v>
      </c>
      <c r="AS240" s="46" t="s">
        <v>3803</v>
      </c>
      <c r="AT240" s="43"/>
      <c r="AU240" s="43"/>
      <c r="AV240" s="43"/>
      <c r="AW240" s="43"/>
      <c r="AX240" s="22" t="s">
        <v>3458</v>
      </c>
      <c r="AY240" s="22" t="s">
        <v>3453</v>
      </c>
      <c r="AZ240" s="22" t="s">
        <v>2692</v>
      </c>
      <c r="BA240" s="43"/>
      <c r="BB240" s="43"/>
      <c r="BC240" s="43"/>
      <c r="BD240" s="43"/>
      <c r="BE240" s="43"/>
      <c r="BF240" s="22" t="str">
        <f>IFERROR(VLOOKUP(C240,'спецификация'!B:D,3,0)," ")</f>
        <v/>
      </c>
      <c r="BG240" s="22"/>
      <c r="BH240" s="22" t="str">
        <f>IFERROR(VLOOKUP(C240,'спецификация'!B:AA,5,0)," ")</f>
        <v>ЕАЭС N RU Д-RU.РА03.В.97282/24 от 27.04.2024 по 25.04.2029</v>
      </c>
      <c r="BI240" s="22"/>
      <c r="BJ240" s="22" t="str">
        <f>IFERROR(VLOOKUP(C240,'спецификация'!B:AA,6,0)," ")</f>
        <v/>
      </c>
      <c r="BK240" s="43"/>
      <c r="BL240" s="43"/>
      <c r="BM240" s="22" t="str">
        <f>IFERROR(VLOOKUP(BF240,'спецификация'!D:H,5,0)," ")</f>
        <v> </v>
      </c>
      <c r="BN240" s="43"/>
      <c r="BO240" s="22" t="str">
        <f>IFERROR(VLOOKUP(C240,'спецификация'!B:AA,10,0)," ")</f>
        <v/>
      </c>
      <c r="BP240" s="43" t="str">
        <f>IFERROR(VLOOKUP(C240,'спецификация'!B:AA,11,0)," ")</f>
        <v/>
      </c>
      <c r="BQ240" s="22" t="str">
        <f>IFERROR(VLOOKUP(C240,'спецификация'!B:AA,12,0)," ")</f>
        <v/>
      </c>
      <c r="BR240" s="22"/>
      <c r="BS240" s="43"/>
      <c r="BT240" s="43"/>
      <c r="BU240" s="22"/>
      <c r="BV240" s="22"/>
      <c r="BW240" s="45" t="str">
        <f>IFERROR(VLOOKUP(C240,'спецификация'!B:AA,16,0)," ")</f>
        <v/>
      </c>
      <c r="BX240" s="43"/>
      <c r="BY240" s="43"/>
      <c r="BZ240" s="45" t="str">
        <f>IFERROR(VLOOKUP(BF240,'спецификация'!D:Y,22,0)," ")</f>
        <v> </v>
      </c>
      <c r="CA240" s="43"/>
      <c r="CB240" s="43"/>
      <c r="CC240" s="43"/>
      <c r="CD240" s="43"/>
      <c r="CE240" s="43"/>
      <c r="CF240" s="43"/>
      <c r="CG240" s="49">
        <f>IFERROR(VLOOKUP(C240,CC!A:D,4,0)," ")</f>
        <v>229.62</v>
      </c>
      <c r="CH240" s="22" t="str">
        <f>IFERROR(VLOOKUP(C240,'спецификация'!B:AA,19,0)," ")</f>
        <v/>
      </c>
      <c r="CI240" s="22"/>
      <c r="CJ240" s="43"/>
      <c r="CK240" s="22">
        <f>IFERROR(VLOOKUP(C240,CC!K:M,3,0)," ")</f>
        <v>45</v>
      </c>
      <c r="CL240" s="43"/>
      <c r="CM240" s="43"/>
      <c r="CN240" s="43"/>
      <c r="CO240" s="43"/>
      <c r="CP240" s="43"/>
      <c r="CQ240" s="43"/>
      <c r="CR240" s="43"/>
      <c r="CS240" s="43" t="b">
        <v>0</v>
      </c>
      <c r="CT240" s="43" t="b">
        <v>0</v>
      </c>
      <c r="CU240" s="43" t="b">
        <v>0</v>
      </c>
      <c r="CV240" s="43" t="b">
        <v>0</v>
      </c>
      <c r="CW240" s="43"/>
      <c r="CX240" s="43"/>
      <c r="CY240" s="43"/>
      <c r="CZ240" s="43"/>
      <c r="DA240" s="43"/>
      <c r="DB240" s="43"/>
      <c r="DC240" s="43"/>
      <c r="DD240" s="22">
        <f>IFERROR(VLOOKUP($C240,'Лист4'!$D:$AI,27,0)," ")</f>
        <v>21</v>
      </c>
      <c r="DE240" s="22">
        <f>IFERROR(VLOOKUP($C240,'Лист4'!$D:$AI,28,0)," ")</f>
        <v>8</v>
      </c>
      <c r="DF240" s="22">
        <f>IFERROR(VLOOKUP($C240,'Лист4'!$D:$AI,29,0)," ")</f>
        <v>21</v>
      </c>
      <c r="DG240" s="22">
        <f t="shared" si="3"/>
        <v>3528</v>
      </c>
      <c r="DH240" s="22">
        <f>IFERROR(VLOOKUP($C240,'Лист4'!$D:$AI,32,0)," ")</f>
        <v>0.092</v>
      </c>
      <c r="DI240" s="22"/>
      <c r="DJ240" s="22"/>
      <c r="DK240" s="22"/>
      <c r="DL240" s="22"/>
      <c r="DM240" s="22"/>
      <c r="DN240" s="22"/>
      <c r="DO240" s="22"/>
      <c r="DP240" s="22"/>
      <c r="DQ240" s="22"/>
      <c r="DR240" s="22"/>
      <c r="DS240" s="22"/>
      <c r="DT240" s="22"/>
      <c r="DU240" s="22"/>
      <c r="DV240" s="22"/>
      <c r="DW240" s="22"/>
      <c r="DX240" s="22"/>
      <c r="DY240" s="22"/>
      <c r="DZ240" s="22"/>
      <c r="EA240" s="22"/>
      <c r="EB240" s="22"/>
      <c r="EC240" s="22"/>
      <c r="ED240" s="22"/>
      <c r="EE240" s="22"/>
      <c r="EF240" s="22"/>
      <c r="EG240" s="22"/>
      <c r="EH240" s="22"/>
      <c r="EI240" s="22"/>
      <c r="EJ240" s="22"/>
      <c r="EK240" s="22"/>
      <c r="EL240" s="22"/>
      <c r="EM240" s="43"/>
      <c r="EN240" s="43"/>
      <c r="EO240" s="43"/>
      <c r="EP240" s="43"/>
      <c r="EQ240" s="43"/>
      <c r="ER240" s="43"/>
      <c r="ES240" s="43"/>
      <c r="ET240" s="43"/>
      <c r="EU240" s="43"/>
      <c r="EV240" s="43"/>
      <c r="EW240" s="43"/>
      <c r="EX240" s="43"/>
      <c r="EY240" s="43"/>
      <c r="EZ240" s="43"/>
      <c r="FA240" s="43"/>
      <c r="FB240" s="43"/>
      <c r="FC240" s="43"/>
    </row>
    <row r="241" ht="18.0" customHeight="1">
      <c r="A241" s="2"/>
      <c r="B241" s="22" t="str">
        <f>IFERROR(VLOOKUP(C241,'Реестр'!C:AC,27,0)," ")</f>
        <v>Смарт-Сэйл</v>
      </c>
      <c r="C241" s="43" t="s">
        <v>3804</v>
      </c>
      <c r="D241" s="22" t="str">
        <f>IFERROR(VLOOKUP(C241,'Лист4'!D:P,13,0)," ")</f>
        <v>CPA</v>
      </c>
      <c r="E241" s="22" t="str">
        <f>IF(OR(ISERROR(VLOOKUP(C241,'Актуальность'!A:B,2,0)), VLOOKUP(C241,'Актуальность'!A:B,2,0)=""), "Актуальный", VLOOKUP(C241,'Актуальность'!A:B,2,0))</f>
        <v>Актуальный</v>
      </c>
      <c r="F241" s="43" t="str">
        <f>IFERROR(VLOOKUP(C241,'Актуальность'!A:C,3,0)," ")</f>
        <v/>
      </c>
      <c r="G241" s="43"/>
      <c r="H241" s="22" t="s">
        <v>2663</v>
      </c>
      <c r="I241" s="22" t="s">
        <v>2860</v>
      </c>
      <c r="J241" s="43"/>
      <c r="K241" s="43"/>
      <c r="L241" s="22" t="b">
        <f t="shared" ref="L241:R241" si="237">T241&lt;&gt;""</f>
        <v>1</v>
      </c>
      <c r="M241" s="22" t="b">
        <f t="shared" si="237"/>
        <v>1</v>
      </c>
      <c r="N241" s="22" t="b">
        <f t="shared" si="237"/>
        <v>1</v>
      </c>
      <c r="O241" s="22" t="b">
        <f t="shared" si="237"/>
        <v>1</v>
      </c>
      <c r="P241" s="22" t="b">
        <f t="shared" si="237"/>
        <v>0</v>
      </c>
      <c r="Q241" s="22" t="b">
        <f t="shared" si="237"/>
        <v>0</v>
      </c>
      <c r="R241" s="22" t="b">
        <f t="shared" si="237"/>
        <v>0</v>
      </c>
      <c r="S241" s="43"/>
      <c r="T241" s="43" t="str">
        <f>IFERROR(VLOOKUP( C241,'1С'!A:B,2,0)," ")</f>
        <v>CC101100415</v>
      </c>
      <c r="U241" s="22" t="str">
        <f>IFERROR(VLOOKUP(T241,'Лист4'!C:I,3,0)," ")</f>
        <v>daoshen_75ml</v>
      </c>
      <c r="V241" s="22" t="str">
        <f>IFERROR(VLOOKUP(T241,'Лист4'!C:I,4,0)," ")</f>
        <v>daoshen_75ml</v>
      </c>
      <c r="W241" s="22" t="str">
        <f>IFERROR(VLOOKUP(T241,'Лист4'!C:I,5,0)," ")</f>
        <v>daoshen_75ml</v>
      </c>
      <c r="X241" s="43" t="str">
        <f>IFERROR(VLOOKUP(T241,'Лист4'!C:I,7,0)," ")</f>
        <v/>
      </c>
      <c r="Y241" s="43" t="str">
        <f>IFERROR(VLOOKUP(T241,'Лист4'!C:I,6,0)," ")</f>
        <v/>
      </c>
      <c r="Z241" s="43"/>
      <c r="AA241" s="43"/>
      <c r="AB241" s="22">
        <v>1.97568699E8</v>
      </c>
      <c r="AC241" s="22">
        <v>1.350973604E9</v>
      </c>
      <c r="AD241" s="22">
        <v>1.02622145096E11</v>
      </c>
      <c r="AE241" s="22"/>
      <c r="AF241" s="22"/>
      <c r="AG241" s="43"/>
      <c r="AH241" s="43"/>
      <c r="AI241" s="43" t="str">
        <f>IFERROR(VLOOKUP(T241,'1С'!B:C,2,0)," ")</f>
        <v>Мазь от грибка ногтей Даошэн, CPA, 75 мл</v>
      </c>
      <c r="AJ241" s="22" t="s">
        <v>3807</v>
      </c>
      <c r="AK241" s="22" t="s">
        <v>3808</v>
      </c>
      <c r="AL241" s="22" t="s">
        <v>3809</v>
      </c>
      <c r="AM241" s="43"/>
      <c r="AN241" s="43"/>
      <c r="AO241" s="43"/>
      <c r="AP241" s="43"/>
      <c r="AQ241" s="46" t="s">
        <v>3810</v>
      </c>
      <c r="AR241" s="46" t="s">
        <v>3811</v>
      </c>
      <c r="AS241" s="46" t="s">
        <v>3812</v>
      </c>
      <c r="AT241" s="43"/>
      <c r="AU241" s="43"/>
      <c r="AV241" s="43"/>
      <c r="AW241" s="43"/>
      <c r="AX241" s="22" t="s">
        <v>594</v>
      </c>
      <c r="AY241" s="22" t="s">
        <v>3808</v>
      </c>
      <c r="AZ241" s="22" t="s">
        <v>2672</v>
      </c>
      <c r="BA241" s="43"/>
      <c r="BB241" s="43"/>
      <c r="BC241" s="43"/>
      <c r="BD241" s="43"/>
      <c r="BE241" s="43"/>
      <c r="BF241" s="22">
        <f>IFERROR(VLOOKUP(C241,'спецификация'!B:D,3,0)," ")</f>
        <v>4670142965244</v>
      </c>
      <c r="BG241" s="22">
        <v>3.30499E9</v>
      </c>
      <c r="BH241" s="22" t="str">
        <f>IFERROR(VLOOKUP(C241,'спецификация'!B:AA,5,0)," ")</f>
        <v>ЕАЭС N RU Д-RU.РА02.B.95875/22 от 11.04.2022 до 06.04.2027</v>
      </c>
      <c r="BI241" s="22"/>
      <c r="BJ241" s="22" t="str">
        <f>IFERROR(VLOOKUP(C241,'спецификация'!B:AA,6,0)," ")</f>
        <v/>
      </c>
      <c r="BK241" s="43"/>
      <c r="BL241" s="43"/>
      <c r="BM241" s="22" t="str">
        <f>IFERROR(VLOOKUP(BF241,'спецификация'!D:H,5,0)," ")</f>
        <v>вода, пропиленгликоль, карбомер, масло миндаля (Oleum amygdalarum), софора желтоватая (Sophora flavescens), стемона японская (Stemona japonica), кордицепс (Cordyceps), жгун-корень монье (Cnidium monnieri), борнеол (Borneol), ментол (Menthol), триклозан (Triclosan), коллоидное серебро (Argentum colloidale), вытяжка из плодов черного ореха (Juglans nigra Extract), экстракт календулы (Calendula Extract), экстракт чистотела (Chelidonium Extract), экстракт листа лопуха (Arctium láppa Extract), экстракт индийского лука (Ornithogalum caudatum Extract), экстракт листьев эхинацеи (Echinacea Extract), экстракт маклюры (Maclura pomifera), экстракт ревеня (Rheum Extract), экстракт лимона (Citrus limon Extract), экстракт грецкого ореха (Juglans regia Extract), консервант.</v>
      </c>
      <c r="BN241" s="43"/>
      <c r="BO241" s="22" t="str">
        <f>IFERROR(VLOOKUP(C241,'спецификация'!B:AA,10,0)," ")</f>
        <v/>
      </c>
      <c r="BP241" s="43" t="str">
        <f>IFERROR(VLOOKUP(C241,'спецификация'!B:AA,11,0)," ")</f>
        <v>индивидуальная непереносимость одного или нескольких компонентов продукта.</v>
      </c>
      <c r="BQ241" s="22" t="str">
        <f>IFERROR(VLOOKUP(C241,'спецификация'!B:AA,12,0)," ")</f>
        <v>хранить в сухом месте при температуре не выше 25°С.
</v>
      </c>
      <c r="BR241" s="22">
        <v>75.0</v>
      </c>
      <c r="BS241" s="22" t="s">
        <v>139</v>
      </c>
      <c r="BT241" s="22"/>
      <c r="BU241" s="22"/>
      <c r="BV241" s="22"/>
      <c r="BW241" s="44" t="str">
        <f>IFERROR(VLOOKUP(C241,'спецификация'!B:AA,16,0)," ")</f>
        <v>https://docs.google.com/document/d/1YBsG9RfkV1uBPrlDq_rGpub4IMTdLtyC-zy-1RxP4rM/edit</v>
      </c>
      <c r="BX241" s="43"/>
      <c r="BY241" s="43"/>
      <c r="BZ241" s="45" t="str">
        <f>IFERROR(VLOOKUP(BF241,'спецификация'!D:Y,22,0)," ")</f>
        <v/>
      </c>
      <c r="CA241" s="43"/>
      <c r="CB241" s="43"/>
      <c r="CC241" s="43"/>
      <c r="CD241" s="43"/>
      <c r="CE241" s="43"/>
      <c r="CF241" s="43"/>
      <c r="CG241" s="49">
        <f>IFERROR(VLOOKUP(C241,CC!A:D,4,0)," ")</f>
        <v>180</v>
      </c>
      <c r="CH241" s="22" t="str">
        <f>IFERROR(VLOOKUP(C241,'спецификация'!B:AA,19,0)," ")</f>
        <v>ООО «Восток Плюс», 107113, г. Москва, Сокольническая пл., дом 4а, этаж 3, пом.IV, комн.11</v>
      </c>
      <c r="CI241" s="22"/>
      <c r="CJ241" s="22" t="s">
        <v>3819</v>
      </c>
      <c r="CK241" s="22">
        <f>IFERROR(VLOOKUP(C241,CC!K:M,3,0)," ")</f>
        <v>60</v>
      </c>
      <c r="CL241" s="43"/>
      <c r="CM241" s="43"/>
      <c r="CN241" s="43"/>
      <c r="CO241" s="43"/>
      <c r="CP241" s="43"/>
      <c r="CQ241" s="43"/>
      <c r="CR241" s="43"/>
      <c r="CS241" s="43" t="b">
        <v>0</v>
      </c>
      <c r="CT241" s="43" t="b">
        <v>0</v>
      </c>
      <c r="CU241" s="43" t="b">
        <v>0</v>
      </c>
      <c r="CV241" s="43" t="b">
        <v>0</v>
      </c>
      <c r="CW241" s="43"/>
      <c r="CX241" s="43"/>
      <c r="CY241" s="43"/>
      <c r="CZ241" s="43"/>
      <c r="DA241" s="43"/>
      <c r="DB241" s="43"/>
      <c r="DC241" s="43"/>
      <c r="DD241" s="22">
        <f>IFERROR(VLOOKUP($C241,'Лист4'!$D:$AI,27,0)," ")</f>
        <v>5</v>
      </c>
      <c r="DE241" s="22">
        <f>IFERROR(VLOOKUP($C241,'Лист4'!$D:$AI,28,0)," ")</f>
        <v>10</v>
      </c>
      <c r="DF241" s="22">
        <f>IFERROR(VLOOKUP($C241,'Лист4'!$D:$AI,29,0)," ")</f>
        <v>5</v>
      </c>
      <c r="DG241" s="22">
        <f t="shared" si="3"/>
        <v>250</v>
      </c>
      <c r="DH241" s="22">
        <f>IFERROR(VLOOKUP($C241,'Лист4'!$D:$AI,32,0)," ")</f>
        <v>0.08</v>
      </c>
      <c r="DI241" s="22"/>
      <c r="DJ241" s="22"/>
      <c r="DK241" s="22"/>
      <c r="DL241" s="22"/>
      <c r="DM241" s="22"/>
      <c r="DN241" s="22"/>
      <c r="DO241" s="22"/>
      <c r="DP241" s="22"/>
      <c r="DQ241" s="22"/>
      <c r="DR241" s="22"/>
      <c r="DS241" s="22"/>
      <c r="DT241" s="22"/>
      <c r="DU241" s="22"/>
      <c r="DV241" s="22"/>
      <c r="DW241" s="22"/>
      <c r="DX241" s="22"/>
      <c r="DY241" s="22"/>
      <c r="DZ241" s="22"/>
      <c r="EA241" s="22"/>
      <c r="EB241" s="22"/>
      <c r="EC241" s="22"/>
      <c r="ED241" s="22"/>
      <c r="EE241" s="22"/>
      <c r="EF241" s="22"/>
      <c r="EG241" s="22"/>
      <c r="EH241" s="22"/>
      <c r="EI241" s="22"/>
      <c r="EJ241" s="22"/>
      <c r="EK241" s="22"/>
      <c r="EL241" s="22"/>
      <c r="EM241" s="43"/>
      <c r="EN241" s="43"/>
      <c r="EO241" s="43"/>
      <c r="EP241" s="43"/>
      <c r="EQ241" s="43"/>
      <c r="ER241" s="43"/>
      <c r="ES241" s="43"/>
      <c r="ET241" s="43"/>
      <c r="EU241" s="43"/>
      <c r="EV241" s="43"/>
      <c r="EW241" s="43"/>
      <c r="EX241" s="43"/>
      <c r="EY241" s="43"/>
      <c r="EZ241" s="43"/>
      <c r="FA241" s="43"/>
      <c r="FB241" s="43"/>
      <c r="FC241" s="43"/>
    </row>
    <row r="242" ht="18.0" customHeight="1">
      <c r="A242" s="2"/>
      <c r="B242" s="22" t="str">
        <f>IFERROR(VLOOKUP(C242,'Реестр'!C:AC,27,0)," ")</f>
        <v>Смарт-Сэйл</v>
      </c>
      <c r="C242" s="43" t="s">
        <v>3820</v>
      </c>
      <c r="D242" s="22" t="str">
        <f>IFERROR(VLOOKUP(C242,'Лист4'!D:P,13,0)," ")</f>
        <v>Алтея</v>
      </c>
      <c r="E242" s="22" t="str">
        <f>IF(OR(ISERROR(VLOOKUP(C242,'Актуальность'!A:B,2,0)), VLOOKUP(C242,'Актуальность'!A:B,2,0)=""), "Актуальный", VLOOKUP(C242,'Актуальность'!A:B,2,0))</f>
        <v>Вывод</v>
      </c>
      <c r="F242" s="43" t="str">
        <f>IFERROR(VLOOKUP(C242,'Актуальность'!A:C,3,0)," ")</f>
        <v>Низкомаржинальный товар</v>
      </c>
      <c r="G242" s="43"/>
      <c r="H242" s="22" t="s">
        <v>2743</v>
      </c>
      <c r="I242" s="22" t="s">
        <v>2783</v>
      </c>
      <c r="J242" s="43"/>
      <c r="K242" s="43"/>
      <c r="L242" s="22" t="b">
        <f t="shared" ref="L242:R242" si="238">T242&lt;&gt;""</f>
        <v>1</v>
      </c>
      <c r="M242" s="22" t="b">
        <f t="shared" si="238"/>
        <v>1</v>
      </c>
      <c r="N242" s="22" t="b">
        <f t="shared" si="238"/>
        <v>1</v>
      </c>
      <c r="O242" s="22" t="b">
        <f t="shared" si="238"/>
        <v>1</v>
      </c>
      <c r="P242" s="22" t="b">
        <f t="shared" si="238"/>
        <v>1</v>
      </c>
      <c r="Q242" s="22" t="b">
        <f t="shared" si="238"/>
        <v>1</v>
      </c>
      <c r="R242" s="22" t="b">
        <f t="shared" si="238"/>
        <v>0</v>
      </c>
      <c r="S242" s="43"/>
      <c r="T242" s="43" t="str">
        <f>IFERROR(VLOOKUP( C242,'1С'!A:B,2,0)," ")</f>
        <v>AC101100400</v>
      </c>
      <c r="U242" s="22" t="str">
        <f>IFERROR(VLOOKUP(T242,'Лист4'!C:I,3,0)," ")</f>
        <v>gel_dlya_brovei_6ml</v>
      </c>
      <c r="V242" s="22" t="str">
        <f>IFERROR(VLOOKUP(T242,'Лист4'!C:I,4,0)," ")</f>
        <v>gel_dlya_brovei_6ml</v>
      </c>
      <c r="W242" s="22" t="str">
        <f>IFERROR(VLOOKUP(T242,'Лист4'!C:I,5,0)," ")</f>
        <v>gel_dlya_brovei_6ml</v>
      </c>
      <c r="X242" s="43" t="str">
        <f>IFERROR(VLOOKUP(T242,'Лист4'!C:I,7,0)," ")</f>
        <v>gel_dlya_brovei_6ml</v>
      </c>
      <c r="Y242" s="43" t="str">
        <f>IFERROR(VLOOKUP(T242,'Лист4'!C:I,6,0)," ")</f>
        <v>gel_dlya_brovei_6ml</v>
      </c>
      <c r="Z242" s="43"/>
      <c r="AA242" s="43"/>
      <c r="AB242" s="22">
        <v>2.56005551E8</v>
      </c>
      <c r="AC242" s="22">
        <v>1.671085702E9</v>
      </c>
      <c r="AD242" s="22">
        <v>1.03515384714E11</v>
      </c>
      <c r="AE242" s="22">
        <v>9.9000076224E10</v>
      </c>
      <c r="AF242" s="22" t="s">
        <v>3824</v>
      </c>
      <c r="AG242" s="43"/>
      <c r="AH242" s="43"/>
      <c r="AI242" s="43" t="str">
        <f>IFERROR(VLOOKUP(T242,'1С'!B:C,2,0)," ")</f>
        <v>Гель для бровей, Алтея, 6 мл</v>
      </c>
      <c r="AJ242" s="22" t="s">
        <v>3825</v>
      </c>
      <c r="AK242" s="22" t="s">
        <v>3826</v>
      </c>
      <c r="AL242" s="22" t="s">
        <v>3827</v>
      </c>
      <c r="AM242" s="22" t="s">
        <v>3828</v>
      </c>
      <c r="AN242" s="22" t="s">
        <v>3829</v>
      </c>
      <c r="AO242" s="43"/>
      <c r="AP242" s="43"/>
      <c r="AQ242" s="46" t="s">
        <v>3830</v>
      </c>
      <c r="AR242" s="46" t="s">
        <v>3831</v>
      </c>
      <c r="AS242" s="46" t="s">
        <v>3832</v>
      </c>
      <c r="AT242" s="46" t="s">
        <v>3833</v>
      </c>
      <c r="AU242" s="46" t="s">
        <v>3834</v>
      </c>
      <c r="AV242" s="43"/>
      <c r="AW242" s="43"/>
      <c r="AX242" s="22" t="s">
        <v>3835</v>
      </c>
      <c r="AY242" s="22" t="s">
        <v>3826</v>
      </c>
      <c r="AZ242" s="22" t="s">
        <v>3215</v>
      </c>
      <c r="BA242" s="22" t="s">
        <v>3836</v>
      </c>
      <c r="BB242" s="22" t="s">
        <v>3837</v>
      </c>
      <c r="BC242" s="43"/>
      <c r="BD242" s="43"/>
      <c r="BE242" s="43"/>
      <c r="BF242" s="22">
        <f>IFERROR(VLOOKUP(C242,'спецификация'!B:D,3,0)," ")</f>
        <v>4609893777394</v>
      </c>
      <c r="BG242" s="22">
        <v>3.30499E9</v>
      </c>
      <c r="BH242" s="22" t="str">
        <f>IFERROR(VLOOKUP(C242,'спецификация'!B:AA,5,0)," ")</f>
        <v/>
      </c>
      <c r="BI242" s="22"/>
      <c r="BJ242" s="22" t="str">
        <f>IFERROR(VLOOKUP(C242,'спецификация'!B:AA,6,0)," ")</f>
        <v>нет</v>
      </c>
      <c r="BK242" s="43"/>
      <c r="BL242" s="43"/>
      <c r="BM242" s="22" t="str">
        <f>IFERROR(VLOOKUP(BF242,'спецификация'!D:H,5,0)," ")</f>
        <v>distilled water, pvp, crosspolymer-6, propylene glycol, panthenol, phenoxyethanol, ethylhexylglycerin, parfum. </v>
      </c>
      <c r="BN242" s="43"/>
      <c r="BO242" s="22" t="str">
        <f>IFERROR(VLOOKUP(C242,'спецификация'!B:AA,10,0)," ")</f>
        <v>наносить на брови с помощью щеточки</v>
      </c>
      <c r="BP242" s="43" t="str">
        <f>IFERROR(VLOOKUP(C242,'спецификация'!B:AA,11,0)," ")</f>
        <v>избегать попадания в глаза. При попадании
промыть водой. При необходимости обратиться к врачу. 
</v>
      </c>
      <c r="BQ242" s="22" t="str">
        <f>IFERROR(VLOOKUP(C242,'спецификация'!B:AA,12,0)," ")</f>
        <v>при t от +5°C до + 25°C, вдали от солнечных лучей и нагревательных приборов.</v>
      </c>
      <c r="BR242" s="22">
        <v>6.0</v>
      </c>
      <c r="BS242" s="22" t="s">
        <v>139</v>
      </c>
      <c r="BT242" s="22"/>
      <c r="BU242" s="22"/>
      <c r="BV242" s="22" t="s">
        <v>307</v>
      </c>
      <c r="BW242" s="44" t="str">
        <f>IFERROR(VLOOKUP(C242,'спецификация'!B:AA,16,0)," ")</f>
        <v>https://docs.google.com/document/d/1R7JJ6Oms-rtX81tYwKZrJctPzar_LWqe/edit</v>
      </c>
      <c r="BX242" s="43"/>
      <c r="BY242" s="43"/>
      <c r="BZ242" s="45" t="str">
        <f>IFERROR(VLOOKUP(BF242,'спецификация'!D:Y,22,0)," ")</f>
        <v/>
      </c>
      <c r="CA242" s="43"/>
      <c r="CB242" s="43"/>
      <c r="CC242" s="43"/>
      <c r="CD242" s="43"/>
      <c r="CE242" s="43"/>
      <c r="CF242" s="43"/>
      <c r="CG242" s="49">
        <f>IFERROR(VLOOKUP(C242,CC!A:D,4,0)," ")</f>
        <v>61.55</v>
      </c>
      <c r="CH242" s="22" t="str">
        <f>IFERROR(VLOOKUP(C242,'спецификация'!B:AA,19,0)," ")</f>
        <v>ООО Юниверсо
Ася, 7 928 038-70-35</v>
      </c>
      <c r="CI242" s="22"/>
      <c r="CJ242" s="22" t="s">
        <v>3490</v>
      </c>
      <c r="CK242" s="22">
        <f>IFERROR(VLOOKUP(C242,CC!K:M,3,0)," ")</f>
        <v>60</v>
      </c>
      <c r="CL242" s="43"/>
      <c r="CM242" s="43"/>
      <c r="CN242" s="43"/>
      <c r="CO242" s="43"/>
      <c r="CP242" s="43"/>
      <c r="CQ242" s="43"/>
      <c r="CR242" s="43"/>
      <c r="CS242" s="43" t="b">
        <v>0</v>
      </c>
      <c r="CT242" s="43" t="b">
        <v>0</v>
      </c>
      <c r="CU242" s="43" t="b">
        <v>0</v>
      </c>
      <c r="CV242" s="43" t="b">
        <v>0</v>
      </c>
      <c r="CW242" s="43"/>
      <c r="CX242" s="43"/>
      <c r="CY242" s="43"/>
      <c r="CZ242" s="43"/>
      <c r="DA242" s="43"/>
      <c r="DB242" s="43"/>
      <c r="DC242" s="43"/>
      <c r="DD242" s="22">
        <f>IFERROR(VLOOKUP($C242,'Лист4'!$D:$AI,27,0)," ")</f>
        <v>12</v>
      </c>
      <c r="DE242" s="22">
        <f>IFERROR(VLOOKUP($C242,'Лист4'!$D:$AI,28,0)," ")</f>
        <v>1</v>
      </c>
      <c r="DF242" s="22">
        <f>IFERROR(VLOOKUP($C242,'Лист4'!$D:$AI,29,0)," ")</f>
        <v>12</v>
      </c>
      <c r="DG242" s="22">
        <f t="shared" si="3"/>
        <v>144</v>
      </c>
      <c r="DH242" s="22">
        <f>IFERROR(VLOOKUP($C242,'Лист4'!$D:$AI,32,0)," ")</f>
        <v>0.03</v>
      </c>
      <c r="DI242" s="22"/>
      <c r="DJ242" s="22"/>
      <c r="DK242" s="22"/>
      <c r="DL242" s="22"/>
      <c r="DM242" s="22"/>
      <c r="DN242" s="22"/>
      <c r="DO242" s="22"/>
      <c r="DP242" s="22"/>
      <c r="DQ242" s="22"/>
      <c r="DR242" s="22"/>
      <c r="DS242" s="22"/>
      <c r="DT242" s="22"/>
      <c r="DU242" s="22"/>
      <c r="DV242" s="22"/>
      <c r="DW242" s="22"/>
      <c r="DX242" s="22"/>
      <c r="DY242" s="22"/>
      <c r="DZ242" s="22"/>
      <c r="EA242" s="22"/>
      <c r="EB242" s="22"/>
      <c r="EC242" s="22"/>
      <c r="ED242" s="22"/>
      <c r="EE242" s="22"/>
      <c r="EF242" s="22"/>
      <c r="EG242" s="22"/>
      <c r="EH242" s="22"/>
      <c r="EI242" s="22"/>
      <c r="EJ242" s="22"/>
      <c r="EK242" s="22"/>
      <c r="EL242" s="22"/>
      <c r="EM242" s="43"/>
      <c r="EN242" s="43"/>
      <c r="EO242" s="43"/>
      <c r="EP242" s="43"/>
      <c r="EQ242" s="43"/>
      <c r="ER242" s="43"/>
      <c r="ES242" s="43"/>
      <c r="ET242" s="43"/>
      <c r="EU242" s="43"/>
      <c r="EV242" s="43"/>
      <c r="EW242" s="43"/>
      <c r="EX242" s="43"/>
      <c r="EY242" s="43"/>
      <c r="EZ242" s="43"/>
      <c r="FA242" s="43"/>
      <c r="FB242" s="43"/>
      <c r="FC242" s="43"/>
    </row>
    <row r="243" ht="18.0" customHeight="1">
      <c r="A243" s="2"/>
      <c r="B243" s="22" t="str">
        <f>IFERROR(VLOOKUP(C243,'Реестр'!C:AC,27,0)," ")</f>
        <v>Смарт-Сэйл</v>
      </c>
      <c r="C243" s="43" t="s">
        <v>3845</v>
      </c>
      <c r="D243" s="22" t="str">
        <f>IFERROR(VLOOKUP(C243,'Лист4'!D:P,13,0)," ")</f>
        <v>Алтея</v>
      </c>
      <c r="E243" s="22" t="str">
        <f>IF(OR(ISERROR(VLOOKUP(C243,'Актуальность'!A:B,2,0)), VLOOKUP(C243,'Актуальность'!A:B,2,0)=""), "Актуальный", VLOOKUP(C243,'Актуальность'!A:B,2,0))</f>
        <v>Вывод</v>
      </c>
      <c r="F243" s="43" t="str">
        <f>IFERROR(VLOOKUP(C243,'Актуальность'!A:C,3,0)," ")</f>
        <v>Неконкурентный товар</v>
      </c>
      <c r="G243" s="43"/>
      <c r="H243" s="22" t="s">
        <v>361</v>
      </c>
      <c r="I243" s="22" t="s">
        <v>3660</v>
      </c>
      <c r="J243" s="43"/>
      <c r="K243" s="43"/>
      <c r="L243" s="22" t="b">
        <f t="shared" ref="L243:R243" si="239">T243&lt;&gt;""</f>
        <v>1</v>
      </c>
      <c r="M243" s="22" t="b">
        <f t="shared" si="239"/>
        <v>1</v>
      </c>
      <c r="N243" s="22" t="b">
        <f t="shared" si="239"/>
        <v>1</v>
      </c>
      <c r="O243" s="22" t="b">
        <f t="shared" si="239"/>
        <v>1</v>
      </c>
      <c r="P243" s="22" t="b">
        <f t="shared" si="239"/>
        <v>0</v>
      </c>
      <c r="Q243" s="22" t="b">
        <f t="shared" si="239"/>
        <v>0</v>
      </c>
      <c r="R243" s="22" t="b">
        <f t="shared" si="239"/>
        <v>0</v>
      </c>
      <c r="S243" s="43"/>
      <c r="T243" s="43" t="str">
        <f>IFERROR(VLOOKUP( C243,'1С'!A:B,2,0)," ")</f>
        <v>AB101100406</v>
      </c>
      <c r="U243" s="22" t="str">
        <f>IFERROR(VLOOKUP(T243,'Лист4'!C:I,3,0)," ")</f>
        <v>b_kompleks_BAD_60tabl</v>
      </c>
      <c r="V243" s="22" t="str">
        <f>IFERROR(VLOOKUP(T243,'Лист4'!C:I,4,0)," ")</f>
        <v>b_kompleks_BAD_60tabl</v>
      </c>
      <c r="W243" s="22" t="str">
        <f>IFERROR(VLOOKUP(T243,'Лист4'!C:I,5,0)," ")</f>
        <v>b_kompleks_BAD_60tabl</v>
      </c>
      <c r="X243" s="43" t="str">
        <f>IFERROR(VLOOKUP(T243,'Лист4'!C:I,7,0)," ")</f>
        <v/>
      </c>
      <c r="Y243" s="43" t="str">
        <f>IFERROR(VLOOKUP(T243,'Лист4'!C:I,6,0)," ")</f>
        <v/>
      </c>
      <c r="Z243" s="43"/>
      <c r="AA243" s="43"/>
      <c r="AB243" s="22">
        <v>2.83835152E8</v>
      </c>
      <c r="AC243" s="22">
        <v>1.758604241E9</v>
      </c>
      <c r="AD243" s="22">
        <v>1.03637134366E11</v>
      </c>
      <c r="AE243" s="22"/>
      <c r="AF243" s="22"/>
      <c r="AG243" s="43"/>
      <c r="AH243" s="43"/>
      <c r="AI243" s="43" t="str">
        <f>IFERROR(VLOOKUP(T243,'1С'!B:C,2,0)," ")</f>
        <v>БАД Витамины группы В, Алтея, 60 жевательных таблеток</v>
      </c>
      <c r="AJ243" s="22" t="s">
        <v>3848</v>
      </c>
      <c r="AK243" s="22" t="s">
        <v>3849</v>
      </c>
      <c r="AL243" s="22" t="s">
        <v>3850</v>
      </c>
      <c r="AM243" s="43"/>
      <c r="AN243" s="43"/>
      <c r="AO243" s="43"/>
      <c r="AP243" s="43"/>
      <c r="AQ243" s="46" t="s">
        <v>3851</v>
      </c>
      <c r="AR243" s="46" t="s">
        <v>3852</v>
      </c>
      <c r="AS243" s="46" t="s">
        <v>3853</v>
      </c>
      <c r="AT243" s="43"/>
      <c r="AU243" s="43"/>
      <c r="AV243" s="43"/>
      <c r="AW243" s="43"/>
      <c r="AX243" s="22" t="s">
        <v>361</v>
      </c>
      <c r="AY243" s="22" t="s">
        <v>3849</v>
      </c>
      <c r="AZ243" s="22" t="s">
        <v>372</v>
      </c>
      <c r="BA243" s="43"/>
      <c r="BB243" s="43"/>
      <c r="BC243" s="43"/>
      <c r="BD243" s="43"/>
      <c r="BE243" s="43"/>
      <c r="BF243" s="22">
        <f>IFERROR(VLOOKUP(C243,'спецификация'!B:D,3,0)," ")</f>
        <v>4610030631721</v>
      </c>
      <c r="BG243" s="22">
        <v>2.106909803E9</v>
      </c>
      <c r="BH243" s="22" t="str">
        <f>IFERROR(VLOOKUP(C243,'спецификация'!B:AA,5,0)," ")</f>
        <v/>
      </c>
      <c r="BI243" s="22"/>
      <c r="BJ243" s="22" t="str">
        <f>IFERROR(VLOOKUP(C243,'спецификация'!B:AA,6,0)," ")</f>
        <v>да</v>
      </c>
      <c r="BK243" s="43"/>
      <c r="BL243" s="43"/>
      <c r="BM243" s="22" t="str">
        <f>IFERROR(VLOOKUP(BF243,'спецификация'!D:H,5,0)," ")</f>
        <v>подсластитель: сорбит (Е420), витамин В3/РР (никотинамид), агент антислёживающий: магниевая соль стеариновой кислоты (Е470), витамин В5 (D-кальция пантотенат), агент антислёживающий: диоксид кремния (Е551), ароматизатор натуральный мята, витамин В12 (цианокобаламин), витамин В1 (тиамина гидрохлорид), витамин В2 (рибофлавин), витамин В6 (пиридоксина гидрохлорид), ароматизатор натуральный апельсин, агент антислёживающий: тальк (Е553), сукралоза, витамин В9 (фолиевая кислота), биотин.</v>
      </c>
      <c r="BN243" s="43"/>
      <c r="BO243" s="22" t="str">
        <f>IFERROR(VLOOKUP(C243,'спецификация'!B:AA,10,0)," ")</f>
        <v>взрослым по 1 таблетке 2 раза в день во время еды. Таблетку следует рассосать во рту или разжевать.
Продолжительность приема – 4 недели. При необходимости прием можно повторить через 2 месяца. Перед применением рекомендуется проконсультироваться с врачом.
</v>
      </c>
      <c r="BP243" s="43" t="str">
        <f>IFERROR(VLOOKUP(C243,'спецификация'!B:AA,11,0)," ")</f>
        <v>индивидуальная непереносимость компонентов, беременность, кормление грудью. Перед применением рекомендуется проконсультироваться с врачом.</v>
      </c>
      <c r="BQ243" s="22" t="str">
        <f>IFERROR(VLOOKUP(C243,'спецификация'!B:AA,12,0)," ")</f>
        <v>хранить в сухом, защищенном от прямых солнечных лучей и недоступном для детей месте при температуре не выше +25°С.  </v>
      </c>
      <c r="BR243" s="22">
        <v>60.0</v>
      </c>
      <c r="BS243" s="22" t="s">
        <v>492</v>
      </c>
      <c r="BT243" s="22"/>
      <c r="BU243" s="22"/>
      <c r="BV243" s="22" t="s">
        <v>307</v>
      </c>
      <c r="BW243" s="44" t="str">
        <f>IFERROR(VLOOKUP(C243,'спецификация'!B:AA,16,0)," ")</f>
        <v>https://docs.google.com/document/d/1JCGEbQ0rFuAGo1Sa78gSRb66oku2TGkJ/edit</v>
      </c>
      <c r="BX243" s="43"/>
      <c r="BY243" s="43"/>
      <c r="BZ243" s="45" t="str">
        <f>IFERROR(VLOOKUP(BF243,'спецификация'!D:Y,22,0)," ")</f>
        <v/>
      </c>
      <c r="CA243" s="43"/>
      <c r="CB243" s="43"/>
      <c r="CC243" s="43"/>
      <c r="CD243" s="43"/>
      <c r="CE243" s="43"/>
      <c r="CF243" s="43"/>
      <c r="CG243" s="49">
        <f>IFERROR(VLOOKUP(C243,CC!A:D,4,0)," ")</f>
        <v>132.65</v>
      </c>
      <c r="CH243" s="22" t="str">
        <f>IFERROR(VLOOKUP(C243,'спецификация'!B:AA,19,0)," ")</f>
        <v>ООО «Химфармконтракт», 129329, Россия, г. Москва, вн. тер г., Муниципальный округ Свиблово, ул. Кольская, д.1, этаж/помещение 6/I, ком.10. 
</v>
      </c>
      <c r="CI243" s="22"/>
      <c r="CJ243" s="22" t="s">
        <v>805</v>
      </c>
      <c r="CK243" s="22">
        <f>IFERROR(VLOOKUP(C243,CC!K:M,3,0)," ")</f>
        <v>90</v>
      </c>
      <c r="CL243" s="43"/>
      <c r="CM243" s="43"/>
      <c r="CN243" s="43"/>
      <c r="CO243" s="43"/>
      <c r="CP243" s="43"/>
      <c r="CQ243" s="43"/>
      <c r="CR243" s="43"/>
      <c r="CS243" s="43" t="b">
        <v>0</v>
      </c>
      <c r="CT243" s="43" t="b">
        <v>0</v>
      </c>
      <c r="CU243" s="43" t="b">
        <v>0</v>
      </c>
      <c r="CV243" s="43" t="b">
        <v>0</v>
      </c>
      <c r="CW243" s="43"/>
      <c r="CX243" s="43"/>
      <c r="CY243" s="43"/>
      <c r="CZ243" s="43"/>
      <c r="DA243" s="43"/>
      <c r="DB243" s="43"/>
      <c r="DC243" s="43"/>
      <c r="DD243" s="22">
        <f>IFERROR(VLOOKUP($C243,'Лист4'!$D:$AI,27,0)," ")</f>
        <v>5</v>
      </c>
      <c r="DE243" s="22">
        <f>IFERROR(VLOOKUP($C243,'Лист4'!$D:$AI,28,0)," ")</f>
        <v>8</v>
      </c>
      <c r="DF243" s="22">
        <f>IFERROR(VLOOKUP($C243,'Лист4'!$D:$AI,29,0)," ")</f>
        <v>5</v>
      </c>
      <c r="DG243" s="22">
        <f t="shared" si="3"/>
        <v>200</v>
      </c>
      <c r="DH243" s="22">
        <f>IFERROR(VLOOKUP($C243,'Лист4'!$D:$AI,32,0)," ")</f>
        <v>0.049</v>
      </c>
      <c r="DI243" s="22"/>
      <c r="DJ243" s="22"/>
      <c r="DK243" s="22"/>
      <c r="DL243" s="22"/>
      <c r="DM243" s="22"/>
      <c r="DN243" s="22"/>
      <c r="DO243" s="22"/>
      <c r="DP243" s="22"/>
      <c r="DQ243" s="22"/>
      <c r="DR243" s="22"/>
      <c r="DS243" s="22"/>
      <c r="DT243" s="22"/>
      <c r="DU243" s="22"/>
      <c r="DV243" s="22"/>
      <c r="DW243" s="22"/>
      <c r="DX243" s="22"/>
      <c r="DY243" s="22"/>
      <c r="DZ243" s="22"/>
      <c r="EA243" s="22"/>
      <c r="EB243" s="22"/>
      <c r="EC243" s="22"/>
      <c r="ED243" s="22"/>
      <c r="EE243" s="22"/>
      <c r="EF243" s="22"/>
      <c r="EG243" s="22"/>
      <c r="EH243" s="22"/>
      <c r="EI243" s="22"/>
      <c r="EJ243" s="22"/>
      <c r="EK243" s="22"/>
      <c r="EL243" s="22"/>
      <c r="EM243" s="43"/>
      <c r="EN243" s="43"/>
      <c r="EO243" s="43"/>
      <c r="EP243" s="43"/>
      <c r="EQ243" s="43"/>
      <c r="ER243" s="43"/>
      <c r="ES243" s="43"/>
      <c r="ET243" s="43"/>
      <c r="EU243" s="43"/>
      <c r="EV243" s="43"/>
      <c r="EW243" s="43"/>
      <c r="EX243" s="43"/>
      <c r="EY243" s="43"/>
      <c r="EZ243" s="43"/>
      <c r="FA243" s="43"/>
      <c r="FB243" s="43"/>
      <c r="FC243" s="43"/>
    </row>
    <row r="244" ht="18.0" customHeight="1">
      <c r="A244" s="2"/>
      <c r="B244" s="22" t="str">
        <f>IFERROR(VLOOKUP(C244,'Реестр'!C:AC,27,0)," ")</f>
        <v>Смарт-Сэйл</v>
      </c>
      <c r="C244" s="43" t="s">
        <v>3859</v>
      </c>
      <c r="D244" s="22" t="str">
        <f>IFERROR(VLOOKUP(C244,'Лист4'!D:P,13,0)," ")</f>
        <v>Алтея</v>
      </c>
      <c r="E244" s="22" t="str">
        <f>IF(OR(ISERROR(VLOOKUP(C244,'Актуальность'!A:B,2,0)), VLOOKUP(C244,'Актуальность'!A:B,2,0)=""), "Актуальный", VLOOKUP(C244,'Актуальность'!A:B,2,0))</f>
        <v>Под вопросом</v>
      </c>
      <c r="F244" s="43" t="str">
        <f>IFERROR(VLOOKUP(C244,'Актуальность'!A:C,3,0)," ")</f>
        <v/>
      </c>
      <c r="G244" s="43"/>
      <c r="H244" s="22" t="s">
        <v>361</v>
      </c>
      <c r="I244" s="22" t="s">
        <v>3660</v>
      </c>
      <c r="J244" s="43"/>
      <c r="K244" s="43"/>
      <c r="L244" s="22" t="b">
        <f t="shared" ref="L244:R244" si="240">T244&lt;&gt;""</f>
        <v>1</v>
      </c>
      <c r="M244" s="22" t="b">
        <f t="shared" si="240"/>
        <v>1</v>
      </c>
      <c r="N244" s="22" t="b">
        <f t="shared" si="240"/>
        <v>1</v>
      </c>
      <c r="O244" s="22" t="b">
        <f t="shared" si="240"/>
        <v>1</v>
      </c>
      <c r="P244" s="22" t="b">
        <f t="shared" si="240"/>
        <v>0</v>
      </c>
      <c r="Q244" s="22" t="b">
        <f t="shared" si="240"/>
        <v>0</v>
      </c>
      <c r="R244" s="22" t="b">
        <f t="shared" si="240"/>
        <v>0</v>
      </c>
      <c r="S244" s="43"/>
      <c r="T244" s="43" t="str">
        <f>IFERROR(VLOOKUP( C244,'1С'!A:B,2,0)," ")</f>
        <v>AB101100405</v>
      </c>
      <c r="U244" s="22" t="str">
        <f>IFERROR(VLOOKUP(T244,'Лист4'!C:I,3,0)," ")</f>
        <v>menoflavon_BAD_60caps</v>
      </c>
      <c r="V244" s="22" t="str">
        <f>IFERROR(VLOOKUP(T244,'Лист4'!C:I,4,0)," ")</f>
        <v>menoflavon_BAD_60caps</v>
      </c>
      <c r="W244" s="22" t="str">
        <f>IFERROR(VLOOKUP(T244,'Лист4'!C:I,5,0)," ")</f>
        <v>menoflavon_BAD_60caps</v>
      </c>
      <c r="X244" s="43" t="str">
        <f>IFERROR(VLOOKUP(T244,'Лист4'!C:I,7,0)," ")</f>
        <v/>
      </c>
      <c r="Y244" s="43" t="str">
        <f>IFERROR(VLOOKUP(T244,'Лист4'!C:I,6,0)," ")</f>
        <v/>
      </c>
      <c r="Z244" s="43"/>
      <c r="AA244" s="43"/>
      <c r="AB244" s="22">
        <v>2.39930196E8</v>
      </c>
      <c r="AC244" s="22">
        <v>1.614639084E9</v>
      </c>
      <c r="AD244" s="22">
        <v>1.0353256371E11</v>
      </c>
      <c r="AE244" s="22"/>
      <c r="AF244" s="22"/>
      <c r="AG244" s="43"/>
      <c r="AH244" s="43"/>
      <c r="AI244" s="43" t="str">
        <f>IFERROR(VLOOKUP(T244,'1С'!B:C,2,0)," ")</f>
        <v>БАД Мено Флавон, Алтея, 60 капсул</v>
      </c>
      <c r="AJ244" s="22" t="s">
        <v>3862</v>
      </c>
      <c r="AK244" s="22" t="s">
        <v>3863</v>
      </c>
      <c r="AL244" s="22" t="s">
        <v>3863</v>
      </c>
      <c r="AM244" s="43"/>
      <c r="AN244" s="43"/>
      <c r="AO244" s="43"/>
      <c r="AP244" s="43"/>
      <c r="AQ244" s="46" t="s">
        <v>3864</v>
      </c>
      <c r="AR244" s="46" t="s">
        <v>3865</v>
      </c>
      <c r="AS244" s="46" t="s">
        <v>3866</v>
      </c>
      <c r="AT244" s="43"/>
      <c r="AU244" s="43"/>
      <c r="AV244" s="43"/>
      <c r="AW244" s="43"/>
      <c r="AX244" s="22" t="s">
        <v>361</v>
      </c>
      <c r="AY244" s="22" t="s">
        <v>3863</v>
      </c>
      <c r="AZ244" s="22" t="s">
        <v>372</v>
      </c>
      <c r="BA244" s="43"/>
      <c r="BB244" s="43"/>
      <c r="BC244" s="43"/>
      <c r="BD244" s="43"/>
      <c r="BE244" s="43"/>
      <c r="BF244" s="22">
        <f>IFERROR(VLOOKUP(C244,'спецификация'!B:D,3,0)," ")</f>
        <v>4610030631714</v>
      </c>
      <c r="BG244" s="22">
        <v>2.106909803E9</v>
      </c>
      <c r="BH244" s="22" t="str">
        <f>IFERROR(VLOOKUP(C244,'спецификация'!B:AA,5,0)," ")</f>
        <v/>
      </c>
      <c r="BI244" s="22"/>
      <c r="BJ244" s="22" t="str">
        <f>IFERROR(VLOOKUP(C244,'спецификация'!B:AA,6,0)," ")</f>
        <v>да</v>
      </c>
      <c r="BK244" s="43"/>
      <c r="BL244" s="43"/>
      <c r="BM244" s="22" t="str">
        <f>IFERROR(VLOOKUP(BF244,'спецификация'!D:H,5,0)," ")</f>
        <v>носитель: целлюлоза микрокристаллическая (Е460), экстракт цимицифуги, экстракт сои, экстракт травы пустырника, агент антислеживающий: магниевая соль стеариновой кислоты (Е470), агент антислеживающий: диоксид кремния аморфный (Е551), витамин В9 (фолиевая кислота), оболочка капсулы белого цвета (желатин, краситель: оксид цинка).</v>
      </c>
      <c r="BN244" s="43"/>
      <c r="BO244" s="22" t="str">
        <f>IFERROR(VLOOKUP(C244,'спецификация'!B:AA,10,0)," ")</f>
        <v>взрослым по 1 капсуле 2 раза в день во время еды.</v>
      </c>
      <c r="BP244" s="43" t="str">
        <f>IFERROR(VLOOKUP(C244,'спецификация'!B:AA,11,0)," ")</f>
        <v>индивидуальная непереносимость компонентов продукта, беременность, кормление грудью.</v>
      </c>
      <c r="BQ244" s="22" t="str">
        <f>IFERROR(VLOOKUP(C244,'спецификация'!B:AA,12,0)," ")</f>
        <v>хранить в сухом, защищенном от прямых солнечных лучей и недоступном для детей месте при температуре не выше +25 °С.  </v>
      </c>
      <c r="BR244" s="22">
        <v>60.0</v>
      </c>
      <c r="BS244" s="22" t="s">
        <v>492</v>
      </c>
      <c r="BT244" s="22"/>
      <c r="BU244" s="22"/>
      <c r="BV244" s="22" t="s">
        <v>307</v>
      </c>
      <c r="BW244" s="44" t="str">
        <f>IFERROR(VLOOKUP(C244,'спецификация'!B:AA,16,0)," ")</f>
        <v>https://docs.google.com/document/d/1S5ls-yIE5-j8TWtkTqIpznr692ewcFcW/edit?usp=drive_web&amp;ouid=104241417680089502627&amp;rtpof=true</v>
      </c>
      <c r="BX244" s="43"/>
      <c r="BY244" s="43"/>
      <c r="BZ244" s="45" t="str">
        <f>IFERROR(VLOOKUP(BF244,'спецификация'!D:Y,22,0)," ")</f>
        <v/>
      </c>
      <c r="CA244" s="43"/>
      <c r="CB244" s="43"/>
      <c r="CC244" s="43"/>
      <c r="CD244" s="43"/>
      <c r="CE244" s="43"/>
      <c r="CF244" s="43"/>
      <c r="CG244" s="49">
        <f>IFERROR(VLOOKUP(C244,CC!A:D,4,0)," ")</f>
        <v>170</v>
      </c>
      <c r="CH244" s="22" t="str">
        <f>IFERROR(VLOOKUP(C244,'спецификация'!B:AA,19,0)," ")</f>
        <v>ООО «Химфармконтракт», 129329, Россия, г. Москва, вн. тер г., Муниципальный округ Свиблово, ул. Кольская, д.1, этаж/помещение 6/I, ком.10. 
</v>
      </c>
      <c r="CI244" s="22"/>
      <c r="CJ244" s="22" t="s">
        <v>805</v>
      </c>
      <c r="CK244" s="22">
        <f>IFERROR(VLOOKUP(C244,CC!K:M,3,0)," ")</f>
        <v>90</v>
      </c>
      <c r="CL244" s="43"/>
      <c r="CM244" s="43"/>
      <c r="CN244" s="43"/>
      <c r="CO244" s="43"/>
      <c r="CP244" s="43"/>
      <c r="CQ244" s="43"/>
      <c r="CR244" s="43"/>
      <c r="CS244" s="43" t="b">
        <v>0</v>
      </c>
      <c r="CT244" s="43" t="b">
        <v>0</v>
      </c>
      <c r="CU244" s="43" t="b">
        <v>0</v>
      </c>
      <c r="CV244" s="43" t="b">
        <v>0</v>
      </c>
      <c r="CW244" s="43"/>
      <c r="CX244" s="43"/>
      <c r="CY244" s="43"/>
      <c r="CZ244" s="43"/>
      <c r="DA244" s="43"/>
      <c r="DB244" s="43"/>
      <c r="DC244" s="43"/>
      <c r="DD244" s="22">
        <f>IFERROR(VLOOKUP($C244,'Лист4'!$D:$AI,27,0)," ")</f>
        <v>5</v>
      </c>
      <c r="DE244" s="22">
        <f>IFERROR(VLOOKUP($C244,'Лист4'!$D:$AI,28,0)," ")</f>
        <v>5</v>
      </c>
      <c r="DF244" s="22">
        <f>IFERROR(VLOOKUP($C244,'Лист4'!$D:$AI,29,0)," ")</f>
        <v>5</v>
      </c>
      <c r="DG244" s="22">
        <f t="shared" si="3"/>
        <v>125</v>
      </c>
      <c r="DH244" s="22">
        <f>IFERROR(VLOOKUP($C244,'Лист4'!$D:$AI,32,0)," ")</f>
        <v>0.045</v>
      </c>
      <c r="DI244" s="22"/>
      <c r="DJ244" s="22"/>
      <c r="DK244" s="22"/>
      <c r="DL244" s="22"/>
      <c r="DM244" s="22"/>
      <c r="DN244" s="22"/>
      <c r="DO244" s="22"/>
      <c r="DP244" s="22"/>
      <c r="DQ244" s="22"/>
      <c r="DR244" s="22"/>
      <c r="DS244" s="22"/>
      <c r="DT244" s="22"/>
      <c r="DU244" s="22"/>
      <c r="DV244" s="22"/>
      <c r="DW244" s="22"/>
      <c r="DX244" s="22"/>
      <c r="DY244" s="22"/>
      <c r="DZ244" s="22"/>
      <c r="EA244" s="22"/>
      <c r="EB244" s="22"/>
      <c r="EC244" s="22"/>
      <c r="ED244" s="22"/>
      <c r="EE244" s="22"/>
      <c r="EF244" s="22"/>
      <c r="EG244" s="22"/>
      <c r="EH244" s="22"/>
      <c r="EI244" s="22"/>
      <c r="EJ244" s="22"/>
      <c r="EK244" s="22"/>
      <c r="EL244" s="22"/>
      <c r="EM244" s="43"/>
      <c r="EN244" s="43"/>
      <c r="EO244" s="43"/>
      <c r="EP244" s="43"/>
      <c r="EQ244" s="43"/>
      <c r="ER244" s="43"/>
      <c r="ES244" s="43"/>
      <c r="ET244" s="43"/>
      <c r="EU244" s="43"/>
      <c r="EV244" s="43"/>
      <c r="EW244" s="43"/>
      <c r="EX244" s="43"/>
      <c r="EY244" s="43"/>
      <c r="EZ244" s="43"/>
      <c r="FA244" s="43"/>
      <c r="FB244" s="43"/>
      <c r="FC244" s="43"/>
    </row>
    <row r="245" ht="18.0" customHeight="1">
      <c r="A245" s="2"/>
      <c r="B245" s="22" t="str">
        <f>IFERROR(VLOOKUP(C245,'Реестр'!C:AC,27,0)," ")</f>
        <v>Смарт-Сэйл</v>
      </c>
      <c r="C245" s="43" t="s">
        <v>3871</v>
      </c>
      <c r="D245" s="22" t="str">
        <f>IFERROR(VLOOKUP(C245,'Лист4'!D:P,13,0)," ")</f>
        <v>CPA</v>
      </c>
      <c r="E245" s="22" t="str">
        <f>IF(OR(ISERROR(VLOOKUP(C245,'Актуальность'!A:B,2,0)), VLOOKUP(C245,'Актуальность'!A:B,2,0)=""), "Актуальный", VLOOKUP(C245,'Актуальность'!A:B,2,0))</f>
        <v>Актуальный</v>
      </c>
      <c r="F245" s="43" t="str">
        <f>IFERROR(VLOOKUP(C245,'Актуальность'!A:C,3,0)," ")</f>
        <v/>
      </c>
      <c r="G245" s="43"/>
      <c r="H245" s="22" t="s">
        <v>2663</v>
      </c>
      <c r="I245" s="22" t="s">
        <v>2664</v>
      </c>
      <c r="J245" s="43"/>
      <c r="K245" s="43"/>
      <c r="L245" s="22" t="b">
        <f t="shared" ref="L245:R245" si="241">T245&lt;&gt;""</f>
        <v>1</v>
      </c>
      <c r="M245" s="22" t="b">
        <f t="shared" si="241"/>
        <v>1</v>
      </c>
      <c r="N245" s="22" t="b">
        <f t="shared" si="241"/>
        <v>1</v>
      </c>
      <c r="O245" s="22" t="b">
        <f t="shared" si="241"/>
        <v>1</v>
      </c>
      <c r="P245" s="22" t="b">
        <f t="shared" si="241"/>
        <v>0</v>
      </c>
      <c r="Q245" s="22" t="b">
        <f t="shared" si="241"/>
        <v>0</v>
      </c>
      <c r="R245" s="22" t="b">
        <f t="shared" si="241"/>
        <v>0</v>
      </c>
      <c r="S245" s="43"/>
      <c r="T245" s="43" t="str">
        <f>IFERROR(VLOOKUP( C245,'1С'!A:B,2,0)," ")</f>
        <v>CC101100429</v>
      </c>
      <c r="U245" s="22" t="str">
        <f>IFERROR(VLOOKUP(T245,'Лист4'!C:I,3,0)," ")</f>
        <v>synergel_60ml</v>
      </c>
      <c r="V245" s="22" t="str">
        <f>IFERROR(VLOOKUP(T245,'Лист4'!C:I,4,0)," ")</f>
        <v>synergel_60ml</v>
      </c>
      <c r="W245" s="22" t="str">
        <f>IFERROR(VLOOKUP(T245,'Лист4'!C:I,5,0)," ")</f>
        <v>synergel_60ml</v>
      </c>
      <c r="X245" s="43" t="str">
        <f>IFERROR(VLOOKUP(T245,'Лист4'!C:I,7,0)," ")</f>
        <v/>
      </c>
      <c r="Y245" s="43" t="str">
        <f>IFERROR(VLOOKUP(T245,'Лист4'!C:I,6,0)," ")</f>
        <v/>
      </c>
      <c r="Z245" s="43"/>
      <c r="AA245" s="43"/>
      <c r="AB245" s="22">
        <v>1.92907992E8</v>
      </c>
      <c r="AC245" s="22">
        <v>1.324992259E9</v>
      </c>
      <c r="AD245" s="22">
        <v>1.02662269731E11</v>
      </c>
      <c r="AE245" s="22"/>
      <c r="AF245" s="22"/>
      <c r="AG245" s="43"/>
      <c r="AH245" s="43"/>
      <c r="AI245" s="43" t="str">
        <f>IFERROR(VLOOKUP(T245,'1С'!B:C,2,0)," ")</f>
        <v>Мазь для суставов Синергель, CPA, 60 мл</v>
      </c>
      <c r="AJ245" s="22" t="s">
        <v>3874</v>
      </c>
      <c r="AK245" s="22" t="s">
        <v>3875</v>
      </c>
      <c r="AL245" s="22" t="s">
        <v>3876</v>
      </c>
      <c r="AM245" s="43"/>
      <c r="AN245" s="43"/>
      <c r="AO245" s="43"/>
      <c r="AP245" s="43"/>
      <c r="AQ245" s="46" t="s">
        <v>3877</v>
      </c>
      <c r="AR245" s="46" t="s">
        <v>3878</v>
      </c>
      <c r="AS245" s="43"/>
      <c r="AT245" s="43"/>
      <c r="AU245" s="43"/>
      <c r="AV245" s="43"/>
      <c r="AW245" s="43"/>
      <c r="AX245" s="22" t="s">
        <v>594</v>
      </c>
      <c r="AY245" s="22" t="s">
        <v>3875</v>
      </c>
      <c r="AZ245" s="22" t="s">
        <v>3123</v>
      </c>
      <c r="BA245" s="43"/>
      <c r="BB245" s="43"/>
      <c r="BC245" s="43"/>
      <c r="BD245" s="43"/>
      <c r="BE245" s="43"/>
      <c r="BF245" s="22" t="str">
        <f>IFERROR(VLOOKUP(C245,'спецификация'!B:D,3,0)," ")</f>
        <v>4687790055401
4660417421216</v>
      </c>
      <c r="BG245" s="22">
        <v>3.30499E9</v>
      </c>
      <c r="BH245" s="22" t="str">
        <f>IFERROR(VLOOKUP(C245,'спецификация'!B:AA,5,0)," ")</f>
        <v>ЕАЭС N RU Д-RU.PА01.B.28855/21 от 15.06.2021 по 08.06.2026</v>
      </c>
      <c r="BI245" s="22"/>
      <c r="BJ245" s="22" t="str">
        <f>IFERROR(VLOOKUP(C245,'спецификация'!B:AA,6,0)," ")</f>
        <v>нет</v>
      </c>
      <c r="BK245" s="43"/>
      <c r="BL245" s="43"/>
      <c r="BM245" s="22" t="str">
        <f>IFERROR(VLOOKUP(BF245,'спецификация'!D:H,5,0)," ")</f>
        <v>Вода,яд пчелы, яд скорпиона, яд кобры, яд муравья, экстракт коры дуба, коллаген, экстракт конского каштана, прополис, экстракт улитки, экстракт коры ивы, экстракт багульника, экстракт хмеля, экстракт корня стальника, экстракт дьявольского когтя, хондроитин, глюкозамин, экстракт лютика жёлтого, экстракт адамова корня, метилникотинат, карбомер, экстракт маклюры, эфирное масло эвкалипта, феноксиэтанол, этилгексилглицерин.</v>
      </c>
      <c r="BN245" s="43"/>
      <c r="BO245" s="22" t="str">
        <f>IFERROR(VLOOKUP(C245,'спецификация'!B:AA,10,0)," ")</f>
        <v>наносить тонким слоем на проблемную область 2-3 раза в день. После нанесения тщательно вымыть руки с моющим средством. При попадании в глаза и на слизистые оболочки обильно промыть их водой.</v>
      </c>
      <c r="BP245" s="43" t="str">
        <f>IFERROR(VLOOKUP(C245,'спецификация'!B:AA,11,0)," ")</f>
        <v>не рекомендуется использовать во время беременности и детям. Гипоаллергенно. Возможна индивидуальная непереносимость компонентов. Продукт натурального происхождения, допускается опалесценция и выпадение незначительного осадка, не содержит консервантов и синтетических веществ.</v>
      </c>
      <c r="BQ245" s="22" t="str">
        <f>IFERROR(VLOOKUP(C245,'спецификация'!B:AA,12,0)," ")</f>
        <v>хранить при температуре от +5 до 25°C, избегая попадания прямых солнечных лучей.</v>
      </c>
      <c r="BR245" s="22">
        <v>60.0</v>
      </c>
      <c r="BS245" s="22" t="s">
        <v>139</v>
      </c>
      <c r="BT245" s="22"/>
      <c r="BU245" s="22"/>
      <c r="BV245" s="22" t="s">
        <v>307</v>
      </c>
      <c r="BW245" s="44" t="str">
        <f>IFERROR(VLOOKUP(C245,'спецификация'!B:AA,16,0)," ")</f>
        <v>https://docs.google.com/document/d/11bHVqHccg0ZWTGeEMwKtbvFkEjoKJKgi/edit</v>
      </c>
      <c r="BX245" s="43"/>
      <c r="BY245" s="43"/>
      <c r="BZ245" s="45" t="str">
        <f>IFERROR(VLOOKUP(BF245,'спецификация'!D:Y,22,0)," ")</f>
        <v/>
      </c>
      <c r="CA245" s="43"/>
      <c r="CB245" s="43"/>
      <c r="CC245" s="43"/>
      <c r="CD245" s="43"/>
      <c r="CE245" s="43"/>
      <c r="CF245" s="43"/>
      <c r="CG245" s="49">
        <f>IFERROR(VLOOKUP(C245,CC!A:D,4,0)," ")</f>
        <v>157.08</v>
      </c>
      <c r="CH245" s="22" t="str">
        <f>IFERROR(VLOOKUP(C245,'спецификация'!B:AA,19,0)," ")</f>
        <v>ООО "САН ДЭЙ"</v>
      </c>
      <c r="CI245" s="22"/>
      <c r="CJ245" s="43"/>
      <c r="CK245" s="22">
        <f>IFERROR(VLOOKUP(C245,CC!K:M,3,0)," ")</f>
        <v>45</v>
      </c>
      <c r="CL245" s="43"/>
      <c r="CM245" s="43"/>
      <c r="CN245" s="43"/>
      <c r="CO245" s="43"/>
      <c r="CP245" s="43"/>
      <c r="CQ245" s="43"/>
      <c r="CR245" s="43"/>
      <c r="CS245" s="43" t="b">
        <v>0</v>
      </c>
      <c r="CT245" s="43" t="b">
        <v>0</v>
      </c>
      <c r="CU245" s="43" t="b">
        <v>0</v>
      </c>
      <c r="CV245" s="43" t="b">
        <v>0</v>
      </c>
      <c r="CW245" s="43"/>
      <c r="CX245" s="43"/>
      <c r="CY245" s="43"/>
      <c r="CZ245" s="43"/>
      <c r="DA245" s="43"/>
      <c r="DB245" s="43"/>
      <c r="DC245" s="43"/>
      <c r="DD245" s="22">
        <f>IFERROR(VLOOKUP($C245,'Лист4'!$D:$AI,27,0)," ")</f>
        <v>12</v>
      </c>
      <c r="DE245" s="22">
        <f>IFERROR(VLOOKUP($C245,'Лист4'!$D:$AI,28,0)," ")</f>
        <v>4</v>
      </c>
      <c r="DF245" s="22">
        <f>IFERROR(VLOOKUP($C245,'Лист4'!$D:$AI,29,0)," ")</f>
        <v>12</v>
      </c>
      <c r="DG245" s="22">
        <f t="shared" si="3"/>
        <v>576</v>
      </c>
      <c r="DH245" s="22">
        <f>IFERROR(VLOOKUP($C245,'Лист4'!$D:$AI,32,0)," ")</f>
        <v>0.08</v>
      </c>
      <c r="DI245" s="22"/>
      <c r="DJ245" s="22"/>
      <c r="DK245" s="22"/>
      <c r="DL245" s="22"/>
      <c r="DM245" s="22"/>
      <c r="DN245" s="22"/>
      <c r="DO245" s="22"/>
      <c r="DP245" s="22"/>
      <c r="DQ245" s="22"/>
      <c r="DR245" s="22"/>
      <c r="DS245" s="22"/>
      <c r="DT245" s="22"/>
      <c r="DU245" s="22"/>
      <c r="DV245" s="22"/>
      <c r="DW245" s="22"/>
      <c r="DX245" s="22"/>
      <c r="DY245" s="22"/>
      <c r="DZ245" s="22"/>
      <c r="EA245" s="22"/>
      <c r="EB245" s="22"/>
      <c r="EC245" s="22"/>
      <c r="ED245" s="22"/>
      <c r="EE245" s="22"/>
      <c r="EF245" s="22"/>
      <c r="EG245" s="22"/>
      <c r="EH245" s="22"/>
      <c r="EI245" s="22"/>
      <c r="EJ245" s="22"/>
      <c r="EK245" s="22"/>
      <c r="EL245" s="22"/>
      <c r="EM245" s="43"/>
      <c r="EN245" s="43"/>
      <c r="EO245" s="43"/>
      <c r="EP245" s="43"/>
      <c r="EQ245" s="43"/>
      <c r="ER245" s="43"/>
      <c r="ES245" s="43"/>
      <c r="ET245" s="43"/>
      <c r="EU245" s="43"/>
      <c r="EV245" s="43"/>
      <c r="EW245" s="43"/>
      <c r="EX245" s="43"/>
      <c r="EY245" s="43"/>
      <c r="EZ245" s="43"/>
      <c r="FA245" s="43"/>
      <c r="FB245" s="43"/>
      <c r="FC245" s="43"/>
    </row>
    <row r="246" ht="18.0" customHeight="1">
      <c r="A246" s="2"/>
      <c r="B246" s="22" t="str">
        <f>IFERROR(VLOOKUP(C246,'Реестр'!C:AC,27,0)," ")</f>
        <v>Смарт-Сэйл</v>
      </c>
      <c r="C246" s="43" t="s">
        <v>3886</v>
      </c>
      <c r="D246" s="22" t="str">
        <f>IFERROR(VLOOKUP(C246,'Лист4'!D:P,13,0)," ")</f>
        <v>CPA</v>
      </c>
      <c r="E246" s="22" t="str">
        <f>IF(OR(ISERROR(VLOOKUP(C246,'Актуальность'!A:B,2,0)), VLOOKUP(C246,'Актуальность'!A:B,2,0)=""), "Актуальный", VLOOKUP(C246,'Актуальность'!A:B,2,0))</f>
        <v>Актуальный</v>
      </c>
      <c r="F246" s="43" t="str">
        <f>IFERROR(VLOOKUP(C246,'Актуальность'!A:C,3,0)," ")</f>
        <v/>
      </c>
      <c r="G246" s="43"/>
      <c r="H246" s="22" t="s">
        <v>2663</v>
      </c>
      <c r="I246" s="22" t="s">
        <v>3888</v>
      </c>
      <c r="J246" s="43"/>
      <c r="K246" s="43"/>
      <c r="L246" s="22" t="b">
        <f t="shared" ref="L246:R246" si="242">T246&lt;&gt;""</f>
        <v>1</v>
      </c>
      <c r="M246" s="22" t="b">
        <f t="shared" si="242"/>
        <v>1</v>
      </c>
      <c r="N246" s="22" t="b">
        <f t="shared" si="242"/>
        <v>1</v>
      </c>
      <c r="O246" s="22" t="b">
        <f t="shared" si="242"/>
        <v>1</v>
      </c>
      <c r="P246" s="22" t="b">
        <f t="shared" si="242"/>
        <v>0</v>
      </c>
      <c r="Q246" s="22" t="b">
        <f t="shared" si="242"/>
        <v>0</v>
      </c>
      <c r="R246" s="22" t="b">
        <f t="shared" si="242"/>
        <v>0</v>
      </c>
      <c r="S246" s="43"/>
      <c r="T246" s="43" t="str">
        <f>IFERROR(VLOOKUP( C246,'1С'!A:B,2,0)," ")</f>
        <v>CO101100403</v>
      </c>
      <c r="U246" s="22" t="str">
        <f>IFERROR(VLOOKUP(T246,'Лист4'!C:I,3,0)," ")</f>
        <v>trezax</v>
      </c>
      <c r="V246" s="22" t="str">
        <f>IFERROR(VLOOKUP(T246,'Лист4'!C:I,4,0)," ")</f>
        <v>trezax</v>
      </c>
      <c r="W246" s="22" t="str">
        <f>IFERROR(VLOOKUP(T246,'Лист4'!C:I,5,0)," ")</f>
        <v>trezax</v>
      </c>
      <c r="X246" s="43" t="str">
        <f>IFERROR(VLOOKUP(T246,'Лист4'!C:I,7,0)," ")</f>
        <v/>
      </c>
      <c r="Y246" s="43" t="str">
        <f>IFERROR(VLOOKUP(T246,'Лист4'!C:I,6,0)," ")</f>
        <v/>
      </c>
      <c r="Z246" s="43"/>
      <c r="AA246" s="43"/>
      <c r="AB246" s="22">
        <v>1.00410811E8</v>
      </c>
      <c r="AC246" s="22">
        <v>7.33369927E8</v>
      </c>
      <c r="AD246" s="22">
        <v>4.663046385E9</v>
      </c>
      <c r="AE246" s="22"/>
      <c r="AF246" s="22"/>
      <c r="AG246" s="43"/>
      <c r="AH246" s="43"/>
      <c r="AI246" s="43" t="str">
        <f>IFERROR(VLOOKUP(T246,'1С'!B:C,2,0)," ")</f>
        <v>Пищевая добавка Трезакс, CPA, 10 мл</v>
      </c>
      <c r="AJ246" s="22" t="s">
        <v>3890</v>
      </c>
      <c r="AK246" s="22" t="s">
        <v>3891</v>
      </c>
      <c r="AL246" s="22" t="s">
        <v>3892</v>
      </c>
      <c r="AM246" s="43"/>
      <c r="AN246" s="43"/>
      <c r="AO246" s="43"/>
      <c r="AP246" s="43"/>
      <c r="AQ246" s="46" t="s">
        <v>3893</v>
      </c>
      <c r="AR246" s="46" t="s">
        <v>3894</v>
      </c>
      <c r="AS246" s="46" t="s">
        <v>3895</v>
      </c>
      <c r="AT246" s="43"/>
      <c r="AU246" s="43"/>
      <c r="AV246" s="43"/>
      <c r="AW246" s="43"/>
      <c r="AX246" s="22" t="s">
        <v>649</v>
      </c>
      <c r="AY246" s="22" t="s">
        <v>3891</v>
      </c>
      <c r="AZ246" s="22" t="s">
        <v>372</v>
      </c>
      <c r="BA246" s="43"/>
      <c r="BB246" s="43"/>
      <c r="BC246" s="43"/>
      <c r="BD246" s="43"/>
      <c r="BE246" s="43"/>
      <c r="BF246" s="22">
        <f>IFERROR(VLOOKUP(C246,'спецификация'!B:D,3,0)," ")</f>
        <v>4631144673087</v>
      </c>
      <c r="BG246" s="22">
        <v>2.103909009E9</v>
      </c>
      <c r="BH246" s="22" t="str">
        <f>IFERROR(VLOOKUP(C246,'спецификация'!B:AA,5,0)," ")</f>
        <v>ЕАЭС N RU Д-RU.PA05.B.22317/22 от 29.07.2022 до 28.07.2027</v>
      </c>
      <c r="BI246" s="22"/>
      <c r="BJ246" s="22" t="str">
        <f>IFERROR(VLOOKUP(C246,'спецификация'!B:AA,6,0)," ")</f>
        <v/>
      </c>
      <c r="BK246" s="43"/>
      <c r="BL246" s="43"/>
      <c r="BM246" s="22" t="str">
        <f>IFERROR(VLOOKUP(BF246,'спецификация'!D:H,5,0)," ")</f>
        <v>вода, камедь акации, глицин, янтарная кислота, экстракт сухой артишока, экстракт сухой пустырника сердечного, экстракт сухой кудзу, экстракт сухой элеутерококка, экстракт сухой родиолы розовой, экстракт сухой ивы белой, экстракт сухой зеленого чая, сорбат калия (Е202), бензоат натрия (Е211), витамин В6 (пиридоксина гидрохлорид).</v>
      </c>
      <c r="BN246" s="43"/>
      <c r="BO246" s="22" t="str">
        <f>IFERROR(VLOOKUP(C246,'спецификация'!B:AA,10,0)," ")</f>
        <v/>
      </c>
      <c r="BP246" s="43" t="str">
        <f>IFERROR(VLOOKUP(C246,'спецификация'!B:AA,11,0)," ")</f>
        <v>индивидуальная непереносимость компонентов, беременность, кормление грудью. Не является лекарственным средством.
</v>
      </c>
      <c r="BQ246" s="22" t="str">
        <f>IFERROR(VLOOKUP(C246,'спецификация'!B:AA,12,0)," ")</f>
        <v>хранить в оригинальной закрытой упаковке в защищенном от прямых солнечных лучей и недоступном для детей месте при температуре не выше +25ºС. 
</v>
      </c>
      <c r="BR246" s="22">
        <v>10.0</v>
      </c>
      <c r="BS246" s="22" t="s">
        <v>139</v>
      </c>
      <c r="BT246" s="22"/>
      <c r="BU246" s="22"/>
      <c r="BV246" s="22"/>
      <c r="BW246" s="44" t="str">
        <f>IFERROR(VLOOKUP(C246,'спецификация'!B:AA,16,0)," ")</f>
        <v>https://drive.google.com/drive/folders/11XsVr5iizE6et7HRFQmjNgOgy08l5W9O</v>
      </c>
      <c r="BX246" s="43"/>
      <c r="BY246" s="43"/>
      <c r="BZ246" s="45" t="str">
        <f>IFERROR(VLOOKUP(BF246,'спецификация'!D:Y,22,0)," ")</f>
        <v/>
      </c>
      <c r="CA246" s="43"/>
      <c r="CB246" s="43"/>
      <c r="CC246" s="43"/>
      <c r="CD246" s="43"/>
      <c r="CE246" s="43"/>
      <c r="CF246" s="43"/>
      <c r="CG246" s="49">
        <f>IFERROR(VLOOKUP(C246,CC!A:D,4,0)," ")</f>
        <v>73</v>
      </c>
      <c r="CH246" s="22" t="str">
        <f>IFERROR(VLOOKUP(C246,'спецификация'!B:AA,19,0)," ")</f>
        <v>activeprost</v>
      </c>
      <c r="CI246" s="22"/>
      <c r="CJ246" s="43"/>
      <c r="CK246" s="22">
        <f>IFERROR(VLOOKUP(C246,CC!K:M,3,0)," ")</f>
        <v>45</v>
      </c>
      <c r="CL246" s="43"/>
      <c r="CM246" s="43"/>
      <c r="CN246" s="43"/>
      <c r="CO246" s="43"/>
      <c r="CP246" s="43"/>
      <c r="CQ246" s="43"/>
      <c r="CR246" s="43"/>
      <c r="CS246" s="43" t="b">
        <v>0</v>
      </c>
      <c r="CT246" s="43" t="b">
        <v>0</v>
      </c>
      <c r="CU246" s="43" t="b">
        <v>0</v>
      </c>
      <c r="CV246" s="43" t="b">
        <v>0</v>
      </c>
      <c r="CW246" s="43"/>
      <c r="CX246" s="43"/>
      <c r="CY246" s="43"/>
      <c r="CZ246" s="43"/>
      <c r="DA246" s="43"/>
      <c r="DB246" s="43"/>
      <c r="DC246" s="43"/>
      <c r="DD246" s="22">
        <f>IFERROR(VLOOKUP($C246,'Лист4'!$D:$AI,27,0)," ")</f>
        <v>8</v>
      </c>
      <c r="DE246" s="22">
        <f>IFERROR(VLOOKUP($C246,'Лист4'!$D:$AI,28,0)," ")</f>
        <v>4</v>
      </c>
      <c r="DF246" s="22">
        <f>IFERROR(VLOOKUP($C246,'Лист4'!$D:$AI,29,0)," ")</f>
        <v>8</v>
      </c>
      <c r="DG246" s="22">
        <f t="shared" si="3"/>
        <v>256</v>
      </c>
      <c r="DH246" s="22">
        <f>IFERROR(VLOOKUP($C246,'Лист4'!$D:$AI,32,0)," ")</f>
        <v>0.05</v>
      </c>
      <c r="DI246" s="22"/>
      <c r="DJ246" s="22"/>
      <c r="DK246" s="22"/>
      <c r="DL246" s="22"/>
      <c r="DM246" s="22"/>
      <c r="DN246" s="22"/>
      <c r="DO246" s="22"/>
      <c r="DP246" s="22"/>
      <c r="DQ246" s="22"/>
      <c r="DR246" s="22"/>
      <c r="DS246" s="22"/>
      <c r="DT246" s="22"/>
      <c r="DU246" s="22"/>
      <c r="DV246" s="22"/>
      <c r="DW246" s="22"/>
      <c r="DX246" s="22"/>
      <c r="DY246" s="22"/>
      <c r="DZ246" s="22"/>
      <c r="EA246" s="22"/>
      <c r="EB246" s="22"/>
      <c r="EC246" s="22"/>
      <c r="ED246" s="22"/>
      <c r="EE246" s="22"/>
      <c r="EF246" s="22"/>
      <c r="EG246" s="22"/>
      <c r="EH246" s="22"/>
      <c r="EI246" s="22"/>
      <c r="EJ246" s="22"/>
      <c r="EK246" s="22"/>
      <c r="EL246" s="22"/>
      <c r="EM246" s="43"/>
      <c r="EN246" s="43"/>
      <c r="EO246" s="43"/>
      <c r="EP246" s="43"/>
      <c r="EQ246" s="43"/>
      <c r="ER246" s="43"/>
      <c r="ES246" s="43"/>
      <c r="ET246" s="43"/>
      <c r="EU246" s="43"/>
      <c r="EV246" s="43"/>
      <c r="EW246" s="43"/>
      <c r="EX246" s="43"/>
      <c r="EY246" s="43"/>
      <c r="EZ246" s="43"/>
      <c r="FA246" s="43"/>
      <c r="FB246" s="43"/>
      <c r="FC246" s="43"/>
    </row>
    <row r="247" ht="18.0" customHeight="1">
      <c r="A247" s="2"/>
      <c r="B247" s="22" t="str">
        <f>IFERROR(VLOOKUP(C247,'Реестр'!C:AC,27,0)," ")</f>
        <v>Смарт-Сэйл</v>
      </c>
      <c r="C247" s="43" t="s">
        <v>3901</v>
      </c>
      <c r="D247" s="22" t="str">
        <f>IFERROR(VLOOKUP(C247,'Лист4'!D:P,13,0)," ")</f>
        <v>CPA</v>
      </c>
      <c r="E247" s="22" t="str">
        <f>IF(OR(ISERROR(VLOOKUP(C247,'Актуальность'!A:B,2,0)), VLOOKUP(C247,'Актуальность'!A:B,2,0)=""), "Актуальный", VLOOKUP(C247,'Актуальность'!A:B,2,0))</f>
        <v>Актуальный</v>
      </c>
      <c r="F247" s="43" t="str">
        <f>IFERROR(VLOOKUP(C247,'Актуальность'!A:C,3,0)," ")</f>
        <v/>
      </c>
      <c r="G247" s="43"/>
      <c r="H247" s="22" t="s">
        <v>2663</v>
      </c>
      <c r="I247" s="22" t="s">
        <v>2703</v>
      </c>
      <c r="J247" s="43"/>
      <c r="K247" s="43"/>
      <c r="L247" s="22" t="b">
        <f t="shared" ref="L247:R247" si="243">T247&lt;&gt;""</f>
        <v>1</v>
      </c>
      <c r="M247" s="22" t="b">
        <f t="shared" si="243"/>
        <v>1</v>
      </c>
      <c r="N247" s="22" t="b">
        <f t="shared" si="243"/>
        <v>1</v>
      </c>
      <c r="O247" s="22" t="b">
        <f t="shared" si="243"/>
        <v>1</v>
      </c>
      <c r="P247" s="22" t="b">
        <f t="shared" si="243"/>
        <v>1</v>
      </c>
      <c r="Q247" s="22" t="b">
        <f t="shared" si="243"/>
        <v>1</v>
      </c>
      <c r="R247" s="22" t="b">
        <f t="shared" si="243"/>
        <v>0</v>
      </c>
      <c r="S247" s="43"/>
      <c r="T247" s="43" t="str">
        <f>IFERROR(VLOOKUP( C247,'1С'!A:B,2,0)," ")</f>
        <v>CO101100459</v>
      </c>
      <c r="U247" s="22" t="s">
        <v>3901</v>
      </c>
      <c r="V247" s="22" t="s">
        <v>3901</v>
      </c>
      <c r="W247" s="22" t="s">
        <v>3901</v>
      </c>
      <c r="X247" s="43" t="str">
        <f>IFERROR(VLOOKUP(T247,'Лист4'!C:I,7,0)," ")</f>
        <v> </v>
      </c>
      <c r="Y247" s="43" t="str">
        <f>IFERROR(VLOOKUP(T247,'Лист4'!C:I,6,0)," ")</f>
        <v> </v>
      </c>
      <c r="Z247" s="43"/>
      <c r="AA247" s="43"/>
      <c r="AB247" s="22">
        <v>1.76157841E8</v>
      </c>
      <c r="AC247" s="22">
        <v>1.129300642E9</v>
      </c>
      <c r="AD247" s="22">
        <v>1.03515447164E11</v>
      </c>
      <c r="AE247" s="22"/>
      <c r="AF247" s="22"/>
      <c r="AG247" s="43"/>
      <c r="AH247" s="43"/>
      <c r="AI247" s="43" t="str">
        <f>IFERROR(VLOOKUP(T247,'1С'!B:C,2,0)," ")</f>
        <v>Пищевая добавка Кардицин, CPA, 10 капсул, набор из 2 шт</v>
      </c>
      <c r="AJ247" s="22" t="s">
        <v>3134</v>
      </c>
      <c r="AK247" s="22" t="s">
        <v>3391</v>
      </c>
      <c r="AL247" s="22" t="s">
        <v>3391</v>
      </c>
      <c r="AM247" s="43"/>
      <c r="AN247" s="43"/>
      <c r="AO247" s="43"/>
      <c r="AP247" s="43"/>
      <c r="AQ247" s="46" t="s">
        <v>3904</v>
      </c>
      <c r="AR247" s="46" t="s">
        <v>3393</v>
      </c>
      <c r="AS247" s="46" t="s">
        <v>3394</v>
      </c>
      <c r="AT247" s="43"/>
      <c r="AU247" s="43"/>
      <c r="AV247" s="43"/>
      <c r="AW247" s="43"/>
      <c r="AX247" s="22" t="s">
        <v>649</v>
      </c>
      <c r="AY247" s="22" t="s">
        <v>3391</v>
      </c>
      <c r="AZ247" s="22" t="s">
        <v>3139</v>
      </c>
      <c r="BA247" s="43"/>
      <c r="BB247" s="43"/>
      <c r="BC247" s="43"/>
      <c r="BD247" s="43"/>
      <c r="BE247" s="43"/>
      <c r="BF247" s="22">
        <f>IFERROR(VLOOKUP(C247,'спецификация'!B:D,3,0)," ")</f>
        <v>2038301521588</v>
      </c>
      <c r="BG247" s="22">
        <v>2.103909009E9</v>
      </c>
      <c r="BH247" s="22" t="str">
        <f>IFERROR(VLOOKUP(C247,'спецификация'!B:AA,5,0)," ")</f>
        <v/>
      </c>
      <c r="BI247" s="22"/>
      <c r="BJ247" s="22" t="str">
        <f>IFERROR(VLOOKUP(C247,'спецификация'!B:AA,6,0)," ")</f>
        <v/>
      </c>
      <c r="BK247" s="43"/>
      <c r="BL247" s="43"/>
      <c r="BM247" s="22" t="str">
        <f>IFERROR(VLOOKUP(BF247,'спецификация'!D:H,5,0)," ")</f>
        <v/>
      </c>
      <c r="BN247" s="43"/>
      <c r="BO247" s="22" t="str">
        <f>IFERROR(VLOOKUP(C247,'спецификация'!B:AA,10,0)," ")</f>
        <v/>
      </c>
      <c r="BP247" s="43" t="str">
        <f>IFERROR(VLOOKUP(C247,'спецификация'!B:AA,11,0)," ")</f>
        <v/>
      </c>
      <c r="BQ247" s="22" t="str">
        <f>IFERROR(VLOOKUP(C247,'спецификация'!B:AA,12,0)," ")</f>
        <v/>
      </c>
      <c r="BR247" s="22"/>
      <c r="BS247" s="43"/>
      <c r="BT247" s="43"/>
      <c r="BU247" s="22"/>
      <c r="BV247" s="22"/>
      <c r="BW247" s="45" t="str">
        <f>IFERROR(VLOOKUP(C247,'спецификация'!B:AA,16,0)," ")</f>
        <v/>
      </c>
      <c r="BX247" s="43"/>
      <c r="BY247" s="43"/>
      <c r="BZ247" s="45" t="str">
        <f>IFERROR(VLOOKUP(BF247,'спецификация'!D:Y,22,0)," ")</f>
        <v/>
      </c>
      <c r="CA247" s="43"/>
      <c r="CB247" s="43"/>
      <c r="CC247" s="43"/>
      <c r="CD247" s="43"/>
      <c r="CE247" s="43"/>
      <c r="CF247" s="43"/>
      <c r="CG247" s="49">
        <f>IFERROR(VLOOKUP(C247,CC!A:D,4,0)," ")</f>
        <v>206.94</v>
      </c>
      <c r="CH247" s="22" t="str">
        <f>IFERROR(VLOOKUP(C247,'спецификация'!B:AA,19,0)," ")</f>
        <v/>
      </c>
      <c r="CI247" s="22"/>
      <c r="CJ247" s="43"/>
      <c r="CK247" s="22">
        <f>IFERROR(VLOOKUP(C247,CC!K:M,3,0)," ")</f>
        <v>45</v>
      </c>
      <c r="CL247" s="43"/>
      <c r="CM247" s="43"/>
      <c r="CN247" s="43"/>
      <c r="CO247" s="43"/>
      <c r="CP247" s="43"/>
      <c r="CQ247" s="43"/>
      <c r="CR247" s="43"/>
      <c r="CS247" s="43" t="b">
        <v>0</v>
      </c>
      <c r="CT247" s="43" t="b">
        <v>0</v>
      </c>
      <c r="CU247" s="43" t="b">
        <v>0</v>
      </c>
      <c r="CV247" s="43" t="b">
        <v>0</v>
      </c>
      <c r="CW247" s="43"/>
      <c r="CX247" s="43"/>
      <c r="CY247" s="43"/>
      <c r="CZ247" s="43"/>
      <c r="DA247" s="43"/>
      <c r="DB247" s="43"/>
      <c r="DC247" s="43"/>
      <c r="DD247" s="22">
        <f>IFERROR(VLOOKUP($C247,'Лист4'!$D:$AI,27,0)," ")</f>
        <v>15</v>
      </c>
      <c r="DE247" s="22">
        <f>IFERROR(VLOOKUP($C247,'Лист4'!$D:$AI,28,0)," ")</f>
        <v>6</v>
      </c>
      <c r="DF247" s="22">
        <f>IFERROR(VLOOKUP($C247,'Лист4'!$D:$AI,29,0)," ")</f>
        <v>15</v>
      </c>
      <c r="DG247" s="22">
        <f t="shared" si="3"/>
        <v>1350</v>
      </c>
      <c r="DH247" s="22">
        <f>IFERROR(VLOOKUP($C247,'Лист4'!$D:$AI,32,0)," ")</f>
        <v>0.032</v>
      </c>
      <c r="DI247" s="22"/>
      <c r="DJ247" s="22"/>
      <c r="DK247" s="22"/>
      <c r="DL247" s="22"/>
      <c r="DM247" s="22"/>
      <c r="DN247" s="22"/>
      <c r="DO247" s="22"/>
      <c r="DP247" s="22"/>
      <c r="DQ247" s="22"/>
      <c r="DR247" s="22"/>
      <c r="DS247" s="22"/>
      <c r="DT247" s="22"/>
      <c r="DU247" s="22"/>
      <c r="DV247" s="22"/>
      <c r="DW247" s="22"/>
      <c r="DX247" s="22"/>
      <c r="DY247" s="22"/>
      <c r="DZ247" s="22"/>
      <c r="EA247" s="22"/>
      <c r="EB247" s="22"/>
      <c r="EC247" s="22"/>
      <c r="ED247" s="22"/>
      <c r="EE247" s="22"/>
      <c r="EF247" s="22"/>
      <c r="EG247" s="22"/>
      <c r="EH247" s="22"/>
      <c r="EI247" s="22"/>
      <c r="EJ247" s="22"/>
      <c r="EK247" s="22"/>
      <c r="EL247" s="22"/>
      <c r="EM247" s="43"/>
      <c r="EN247" s="43"/>
      <c r="EO247" s="43"/>
      <c r="EP247" s="43"/>
      <c r="EQ247" s="43"/>
      <c r="ER247" s="43"/>
      <c r="ES247" s="43"/>
      <c r="ET247" s="43"/>
      <c r="EU247" s="43"/>
      <c r="EV247" s="43"/>
      <c r="EW247" s="43"/>
      <c r="EX247" s="43"/>
      <c r="EY247" s="43"/>
      <c r="EZ247" s="43"/>
      <c r="FA247" s="43"/>
      <c r="FB247" s="43"/>
      <c r="FC247" s="43"/>
    </row>
    <row r="248" ht="18.0" customHeight="1">
      <c r="A248" s="2"/>
      <c r="B248" s="22" t="str">
        <f>IFERROR(VLOOKUP(C248,'Реестр'!C:AC,27,0)," ")</f>
        <v>Смарт-Сэйл</v>
      </c>
      <c r="C248" s="43" t="s">
        <v>3905</v>
      </c>
      <c r="D248" s="22" t="str">
        <f>IFERROR(VLOOKUP(C248,'Лист4'!D:P,13,0)," ")</f>
        <v>CPA</v>
      </c>
      <c r="E248" s="22" t="str">
        <f>IF(OR(ISERROR(VLOOKUP(C248,'Актуальность'!A:B,2,0)), VLOOKUP(C248,'Актуальность'!A:B,2,0)=""), "Актуальный", VLOOKUP(C248,'Актуальность'!A:B,2,0))</f>
        <v>Актуальный</v>
      </c>
      <c r="F248" s="43" t="str">
        <f>IFERROR(VLOOKUP(C248,'Актуальность'!A:C,3,0)," ")</f>
        <v/>
      </c>
      <c r="G248" s="43"/>
      <c r="H248" s="22" t="s">
        <v>2663</v>
      </c>
      <c r="I248" s="22" t="s">
        <v>2684</v>
      </c>
      <c r="J248" s="43"/>
      <c r="K248" s="43"/>
      <c r="L248" s="22" t="b">
        <f t="shared" ref="L248:R248" si="244">T248&lt;&gt;""</f>
        <v>1</v>
      </c>
      <c r="M248" s="22" t="b">
        <f t="shared" si="244"/>
        <v>1</v>
      </c>
      <c r="N248" s="22" t="b">
        <f t="shared" si="244"/>
        <v>1</v>
      </c>
      <c r="O248" s="22" t="b">
        <f t="shared" si="244"/>
        <v>1</v>
      </c>
      <c r="P248" s="22" t="b">
        <f t="shared" si="244"/>
        <v>0</v>
      </c>
      <c r="Q248" s="22" t="b">
        <f t="shared" si="244"/>
        <v>0</v>
      </c>
      <c r="R248" s="22" t="b">
        <f t="shared" si="244"/>
        <v>0</v>
      </c>
      <c r="S248" s="43"/>
      <c r="T248" s="43" t="str">
        <f>IFERROR(VLOOKUP( C248,'1С'!A:B,2,0)," ")</f>
        <v>CO101100443</v>
      </c>
      <c r="U248" s="22" t="str">
        <f>IFERROR(VLOOKUP(T248,'Лист4'!C:I,3,0)," ")</f>
        <v>uromax_1_1</v>
      </c>
      <c r="V248" s="22" t="str">
        <f>IFERROR(VLOOKUP(T248,'Лист4'!C:I,4,0)," ")</f>
        <v>uromax_1_1</v>
      </c>
      <c r="W248" s="22" t="str">
        <f>IFERROR(VLOOKUP(T248,'Лист4'!C:I,5,0)," ")</f>
        <v>uromax_1_1</v>
      </c>
      <c r="X248" s="43" t="str">
        <f>IFERROR(VLOOKUP(T248,'Лист4'!C:I,7,0)," ")</f>
        <v/>
      </c>
      <c r="Y248" s="43" t="str">
        <f>IFERROR(VLOOKUP(T248,'Лист4'!C:I,6,0)," ")</f>
        <v/>
      </c>
      <c r="Z248" s="43"/>
      <c r="AA248" s="43"/>
      <c r="AB248" s="22">
        <v>5.25496523E8</v>
      </c>
      <c r="AC248" s="22">
        <v>2.825142977E9</v>
      </c>
      <c r="AD248" s="22">
        <v>4.640691481E9</v>
      </c>
      <c r="AE248" s="22"/>
      <c r="AF248" s="22"/>
      <c r="AG248" s="43"/>
      <c r="AH248" s="43"/>
      <c r="AI248" s="43" t="str">
        <f>IFERROR(VLOOKUP(T248,'1С'!B:C,2,0)," ")</f>
        <v>Пищевая добавка Уромакс , CPA, 20 капсул, набор из 2 шт</v>
      </c>
      <c r="AJ248" s="22" t="s">
        <v>2686</v>
      </c>
      <c r="AK248" s="22" t="s">
        <v>3908</v>
      </c>
      <c r="AL248" s="22" t="s">
        <v>3909</v>
      </c>
      <c r="AM248" s="43"/>
      <c r="AN248" s="43"/>
      <c r="AO248" s="43"/>
      <c r="AP248" s="43"/>
      <c r="AQ248" s="46" t="s">
        <v>3910</v>
      </c>
      <c r="AR248" s="46" t="s">
        <v>3911</v>
      </c>
      <c r="AS248" s="46" t="s">
        <v>3912</v>
      </c>
      <c r="AT248" s="43"/>
      <c r="AU248" s="43"/>
      <c r="AV248" s="43"/>
      <c r="AW248" s="43"/>
      <c r="AX248" s="22" t="s">
        <v>649</v>
      </c>
      <c r="AY248" s="22" t="s">
        <v>3908</v>
      </c>
      <c r="AZ248" s="22" t="s">
        <v>372</v>
      </c>
      <c r="BA248" s="43"/>
      <c r="BB248" s="43"/>
      <c r="BC248" s="43"/>
      <c r="BD248" s="43"/>
      <c r="BE248" s="43"/>
      <c r="BF248" s="22">
        <f>IFERROR(VLOOKUP(C248,'спецификация'!B:D,3,0)," ")</f>
        <v>4634454567374</v>
      </c>
      <c r="BG248" s="22">
        <v>2.106909809E9</v>
      </c>
      <c r="BH248" s="22" t="str">
        <f>IFERROR(VLOOKUP(C248,'спецификация'!B:AA,5,0)," ")</f>
        <v>ЕАЭС N RU Д-RU.PA01.B.81447/24 от 08.02.2024 по 07.02.2029</v>
      </c>
      <c r="BI248" s="22"/>
      <c r="BJ248" s="22" t="str">
        <f>IFERROR(VLOOKUP(C248,'спецификация'!B:AA,6,0)," ")</f>
        <v/>
      </c>
      <c r="BK248" s="43"/>
      <c r="BL248" s="43"/>
      <c r="BM248" s="22" t="str">
        <f>IFERROR(VLOOKUP(BF248,'спецификация'!D:H,5,0)," ")</f>
        <v>мальтодекстрин, экстракты маки перуанской, ярутки, корня женьшеня, корня эврикомы, йохимбе, ягод годжи, брусничной толокнянки, красного корня, пантов марала, калгана, аира, аниса, диоксид кремния, стеарат кальция.
</v>
      </c>
      <c r="BN248" s="43"/>
      <c r="BO248" s="22" t="str">
        <f>IFERROR(VLOOKUP(C248,'спецификация'!B:AA,10,0)," ")</f>
        <v/>
      </c>
      <c r="BP248" s="43" t="str">
        <f>IFERROR(VLOOKUP(C248,'спецификация'!B:AA,11,0)," ")</f>
        <v>индивидуальная непереносимость компонентов.</v>
      </c>
      <c r="BQ248" s="22" t="str">
        <f>IFERROR(VLOOKUP(C248,'спецификация'!B:AA,12,0)," ")</f>
        <v>хранить при температуре не выше 25 °С в местах, удалённых от прямого солнечного света, отопительных приборов, влаги.
</v>
      </c>
      <c r="BR248" s="22">
        <v>20.0</v>
      </c>
      <c r="BS248" s="22" t="s">
        <v>492</v>
      </c>
      <c r="BT248" s="22"/>
      <c r="BU248" s="22"/>
      <c r="BV248" s="22" t="s">
        <v>307</v>
      </c>
      <c r="BW248" s="44" t="str">
        <f>IFERROR(VLOOKUP(C248,'спецификация'!B:AA,16,0)," ")</f>
        <v>https://docs.google.com/document/d/1mqBrElyjIdOxkOAprMYVaXdQBtNd_VF18tsqniKgZCM/edit</v>
      </c>
      <c r="BX248" s="43"/>
      <c r="BY248" s="43"/>
      <c r="BZ248" s="45" t="str">
        <f>IFERROR(VLOOKUP(BF248,'спецификация'!D:Y,22,0)," ")</f>
        <v/>
      </c>
      <c r="CA248" s="43"/>
      <c r="CB248" s="43"/>
      <c r="CC248" s="43"/>
      <c r="CD248" s="43"/>
      <c r="CE248" s="43"/>
      <c r="CF248" s="43"/>
      <c r="CG248" s="49">
        <f>IFERROR(VLOOKUP(C248,CC!A:D,4,0)," ")</f>
        <v>210</v>
      </c>
      <c r="CH248" s="22" t="str">
        <f>IFERROR(VLOOKUP(C248,'спецификация'!B:AA,19,0)," ")</f>
        <v>ООО «БЬЮТИРИН», 129329, г. Москва, ул. Кольская, д.1, этаж 6, комн.10</v>
      </c>
      <c r="CI248" s="22"/>
      <c r="CJ248" s="22"/>
      <c r="CK248" s="22">
        <f>IFERROR(VLOOKUP(C248,CC!K:M,3,0)," ")</f>
        <v>45</v>
      </c>
      <c r="CL248" s="43"/>
      <c r="CM248" s="43"/>
      <c r="CN248" s="43"/>
      <c r="CO248" s="43"/>
      <c r="CP248" s="43"/>
      <c r="CQ248" s="43"/>
      <c r="CR248" s="43"/>
      <c r="CS248" s="43" t="b">
        <v>0</v>
      </c>
      <c r="CT248" s="43" t="b">
        <v>0</v>
      </c>
      <c r="CU248" s="43" t="b">
        <v>0</v>
      </c>
      <c r="CV248" s="43" t="b">
        <v>0</v>
      </c>
      <c r="CW248" s="43"/>
      <c r="CX248" s="43"/>
      <c r="CY248" s="43"/>
      <c r="CZ248" s="43"/>
      <c r="DA248" s="43"/>
      <c r="DB248" s="43"/>
      <c r="DC248" s="43"/>
      <c r="DD248" s="22">
        <f>IFERROR(VLOOKUP($C248,'Лист4'!$D:$AI,27,0)," ")</f>
        <v>4</v>
      </c>
      <c r="DE248" s="22">
        <f>IFERROR(VLOOKUP($C248,'Лист4'!$D:$AI,28,0)," ")</f>
        <v>9</v>
      </c>
      <c r="DF248" s="22">
        <f>IFERROR(VLOOKUP($C248,'Лист4'!$D:$AI,29,0)," ")</f>
        <v>4</v>
      </c>
      <c r="DG248" s="22">
        <f t="shared" si="3"/>
        <v>144</v>
      </c>
      <c r="DH248" s="22">
        <f>IFERROR(VLOOKUP($C248,'Лист4'!$D:$AI,32,0)," ")</f>
        <v>0.07</v>
      </c>
      <c r="DI248" s="22"/>
      <c r="DJ248" s="22"/>
      <c r="DK248" s="22"/>
      <c r="DL248" s="22"/>
      <c r="DM248" s="22"/>
      <c r="DN248" s="22"/>
      <c r="DO248" s="22"/>
      <c r="DP248" s="22"/>
      <c r="DQ248" s="22"/>
      <c r="DR248" s="22"/>
      <c r="DS248" s="22"/>
      <c r="DT248" s="22"/>
      <c r="DU248" s="22"/>
      <c r="DV248" s="22"/>
      <c r="DW248" s="22"/>
      <c r="DX248" s="22"/>
      <c r="DY248" s="22"/>
      <c r="DZ248" s="22"/>
      <c r="EA248" s="22"/>
      <c r="EB248" s="22"/>
      <c r="EC248" s="22"/>
      <c r="ED248" s="22"/>
      <c r="EE248" s="22"/>
      <c r="EF248" s="22"/>
      <c r="EG248" s="22"/>
      <c r="EH248" s="22"/>
      <c r="EI248" s="22"/>
      <c r="EJ248" s="22"/>
      <c r="EK248" s="22"/>
      <c r="EL248" s="22"/>
      <c r="EM248" s="43"/>
      <c r="EN248" s="43"/>
      <c r="EO248" s="43"/>
      <c r="EP248" s="43"/>
      <c r="EQ248" s="43"/>
      <c r="ER248" s="43"/>
      <c r="ES248" s="43"/>
      <c r="ET248" s="43"/>
      <c r="EU248" s="43"/>
      <c r="EV248" s="43"/>
      <c r="EW248" s="43"/>
      <c r="EX248" s="43"/>
      <c r="EY248" s="43"/>
      <c r="EZ248" s="43"/>
      <c r="FA248" s="43"/>
      <c r="FB248" s="43"/>
      <c r="FC248" s="43"/>
    </row>
    <row r="249" ht="18.0" customHeight="1">
      <c r="A249" s="2"/>
      <c r="B249" s="22" t="str">
        <f>IFERROR(VLOOKUP(C249,'Реестр'!C:AC,27,0)," ")</f>
        <v>Смарт-Сэйл</v>
      </c>
      <c r="C249" s="43" t="s">
        <v>3913</v>
      </c>
      <c r="D249" s="22" t="str">
        <f>IFERROR(VLOOKUP(C249,'Лист4'!D:P,13,0)," ")</f>
        <v>Алтея</v>
      </c>
      <c r="E249" s="22" t="str">
        <f>IF(OR(ISERROR(VLOOKUP(C249,'Актуальность'!A:B,2,0)), VLOOKUP(C249,'Актуальность'!A:B,2,0)=""), "Актуальный", VLOOKUP(C249,'Актуальность'!A:B,2,0))</f>
        <v>Вывод</v>
      </c>
      <c r="F249" s="43" t="str">
        <f>IFERROR(VLOOKUP(C249,'Актуальность'!A:C,3,0)," ")</f>
        <v>Слишком перегретая ниша на МП</v>
      </c>
      <c r="G249" s="43"/>
      <c r="H249" s="22" t="s">
        <v>361</v>
      </c>
      <c r="I249" s="22" t="s">
        <v>3158</v>
      </c>
      <c r="J249" s="43"/>
      <c r="K249" s="43"/>
      <c r="L249" s="22" t="b">
        <f t="shared" ref="L249:R249" si="245">T249&lt;&gt;""</f>
        <v>1</v>
      </c>
      <c r="M249" s="22" t="b">
        <f t="shared" si="245"/>
        <v>1</v>
      </c>
      <c r="N249" s="22" t="b">
        <f t="shared" si="245"/>
        <v>1</v>
      </c>
      <c r="O249" s="22" t="b">
        <f t="shared" si="245"/>
        <v>1</v>
      </c>
      <c r="P249" s="22" t="b">
        <f t="shared" si="245"/>
        <v>0</v>
      </c>
      <c r="Q249" s="22" t="b">
        <f t="shared" si="245"/>
        <v>0</v>
      </c>
      <c r="R249" s="22" t="b">
        <f t="shared" si="245"/>
        <v>0</v>
      </c>
      <c r="S249" s="43"/>
      <c r="T249" s="43" t="str">
        <f>IFERROR(VLOOKUP( C249,'1С'!A:B,2,0)," ")</f>
        <v>AB101100408</v>
      </c>
      <c r="U249" s="22" t="str">
        <f>IFERROR(VLOOKUP(T249,'Лист4'!C:I,3,0)," ")</f>
        <v>i_am_alpha_BAD_60caps</v>
      </c>
      <c r="V249" s="22" t="str">
        <f>IFERROR(VLOOKUP(T249,'Лист4'!C:I,4,0)," ")</f>
        <v>i_am_alpha_BAD_60caps</v>
      </c>
      <c r="W249" s="22" t="str">
        <f>IFERROR(VLOOKUP(T249,'Лист4'!C:I,5,0)," ")</f>
        <v>i_am_alpha_BAD_60caps</v>
      </c>
      <c r="X249" s="43" t="str">
        <f>IFERROR(VLOOKUP(T249,'Лист4'!C:I,7,0)," ")</f>
        <v/>
      </c>
      <c r="Y249" s="43" t="str">
        <f>IFERROR(VLOOKUP(T249,'Лист4'!C:I,6,0)," ")</f>
        <v/>
      </c>
      <c r="Z249" s="43"/>
      <c r="AA249" s="43"/>
      <c r="AB249" s="22">
        <v>2.80107477E8</v>
      </c>
      <c r="AC249" s="22">
        <v>1.752060204E9</v>
      </c>
      <c r="AD249" s="22">
        <v>1.03618443303E11</v>
      </c>
      <c r="AE249" s="22"/>
      <c r="AF249" s="22"/>
      <c r="AG249" s="43"/>
      <c r="AH249" s="43"/>
      <c r="AI249" s="43" t="str">
        <f>IFERROR(VLOOKUP(T249,'1С'!B:C,2,0)," ")</f>
        <v>Пищевая добавка  I am alpha, Алтея, 60 капсул</v>
      </c>
      <c r="AJ249" s="22" t="s">
        <v>3917</v>
      </c>
      <c r="AK249" s="22" t="s">
        <v>3918</v>
      </c>
      <c r="AL249" s="22" t="s">
        <v>3919</v>
      </c>
      <c r="AM249" s="43"/>
      <c r="AN249" s="43"/>
      <c r="AO249" s="43"/>
      <c r="AP249" s="43"/>
      <c r="AQ249" s="46" t="s">
        <v>3920</v>
      </c>
      <c r="AR249" s="46" t="s">
        <v>3921</v>
      </c>
      <c r="AS249" s="46" t="s">
        <v>3922</v>
      </c>
      <c r="AT249" s="43"/>
      <c r="AU249" s="43"/>
      <c r="AV249" s="43"/>
      <c r="AW249" s="43"/>
      <c r="AX249" s="22" t="s">
        <v>669</v>
      </c>
      <c r="AY249" s="22" t="s">
        <v>3918</v>
      </c>
      <c r="AZ249" s="22" t="s">
        <v>670</v>
      </c>
      <c r="BA249" s="43"/>
      <c r="BB249" s="43"/>
      <c r="BC249" s="43"/>
      <c r="BD249" s="43"/>
      <c r="BE249" s="43"/>
      <c r="BF249" s="22">
        <f>IFERROR(VLOOKUP(C249,'спецификация'!B:D,3,0)," ")</f>
        <v>4640257810869</v>
      </c>
      <c r="BG249" s="22">
        <v>2.106909808E9</v>
      </c>
      <c r="BH249" s="22" t="str">
        <f>IFERROR(VLOOKUP(C249,'спецификация'!B:AA,5,0)," ")</f>
        <v>RU.77.99.11.003.R.003575.10.22 от 12.10.2022</v>
      </c>
      <c r="BI249" s="22"/>
      <c r="BJ249" s="22" t="str">
        <f>IFERROR(VLOOKUP(C249,'спецификация'!B:AA,6,0)," ")</f>
        <v>да</v>
      </c>
      <c r="BK249" s="43"/>
      <c r="BL249" s="43"/>
      <c r="BM249" s="22" t="str">
        <f>IFERROR(VLOOKUP(BF249,'спецификация'!D:H,5,0)," ")</f>
        <v>экстракт корня маки перуанской, капсула (желатин), экстракт коры йохимбе, магниевая соль стеариновой кислоты (антислеживающий агент), пиридоксина гидрохлорид</v>
      </c>
      <c r="BN249" s="43"/>
      <c r="BO249" s="22" t="str">
        <f>IFERROR(VLOOKUP(C249,'спецификация'!B:AA,10,0)," ")</f>
        <v>взрослым по 1 капсуле в день во время еды. Продолжительность приема – 1 месяц. При необходимости прием можно повторить</v>
      </c>
      <c r="BP249" s="43" t="str">
        <f>IFERROR(VLOOKUP(C249,'спецификация'!B:AA,11,0)," ")</f>
        <v>индивидуальная непереносимость компонентов, беременность, кормление грудью, повышенная нервная возбудимость, сердечно-сосудистые заболевания, выраженные нарушения функции печени и почек, при лечении адреномиметиками, артериальная гипо-/гипертензия. Перед применением рекомендуется проконсультироваться с врачом</v>
      </c>
      <c r="BQ249" s="22" t="str">
        <f>IFERROR(VLOOKUP(C249,'спецификация'!B:AA,12,0)," ")</f>
        <v>: хранить в сухом, защищенном от попадания прямых солнечных лучей, недоступном для детей месте при температуре не выше 25◦С.                                  </v>
      </c>
      <c r="BR249" s="22">
        <v>60.0</v>
      </c>
      <c r="BS249" s="22" t="s">
        <v>492</v>
      </c>
      <c r="BT249" s="22"/>
      <c r="BU249" s="22"/>
      <c r="BV249" s="22" t="s">
        <v>727</v>
      </c>
      <c r="BW249" s="44" t="str">
        <f>IFERROR(VLOOKUP(C249,'спецификация'!B:AA,16,0)," ")</f>
        <v>https://docs.google.com/document/d/1UHEP5EEgldcZzCkhiO3RuWriT3BCMRbL/edit?rtpof=true&amp;tab=t.0</v>
      </c>
      <c r="BX249" s="43"/>
      <c r="BY249" s="43"/>
      <c r="BZ249" s="45" t="str">
        <f>IFERROR(VLOOKUP(BF249,'спецификация'!D:Y,22,0)," ")</f>
        <v/>
      </c>
      <c r="CA249" s="43"/>
      <c r="CB249" s="43"/>
      <c r="CC249" s="43"/>
      <c r="CD249" s="43"/>
      <c r="CE249" s="43"/>
      <c r="CF249" s="43"/>
      <c r="CG249" s="49">
        <f>IFERROR(VLOOKUP(C249,CC!A:D,4,0)," ")</f>
        <v>280</v>
      </c>
      <c r="CH249" s="22" t="str">
        <f>IFERROR(VLOOKUP(C249,'спецификация'!B:AA,19,0)," ")</f>
        <v>ООО ТПК "Саморазвитие"</v>
      </c>
      <c r="CI249" s="22"/>
      <c r="CJ249" s="22" t="s">
        <v>1702</v>
      </c>
      <c r="CK249" s="22">
        <f>IFERROR(VLOOKUP(C249,CC!K:M,3,0)," ")</f>
        <v>60</v>
      </c>
      <c r="CL249" s="43"/>
      <c r="CM249" s="43"/>
      <c r="CN249" s="43"/>
      <c r="CO249" s="43"/>
      <c r="CP249" s="43"/>
      <c r="CQ249" s="43"/>
      <c r="CR249" s="43"/>
      <c r="CS249" s="43" t="b">
        <v>0</v>
      </c>
      <c r="CT249" s="43" t="b">
        <v>0</v>
      </c>
      <c r="CU249" s="43" t="b">
        <v>0</v>
      </c>
      <c r="CV249" s="43" t="b">
        <v>0</v>
      </c>
      <c r="CW249" s="43"/>
      <c r="CX249" s="43"/>
      <c r="CY249" s="43"/>
      <c r="CZ249" s="43"/>
      <c r="DA249" s="43"/>
      <c r="DB249" s="43"/>
      <c r="DC249" s="43"/>
      <c r="DD249" s="22">
        <f>IFERROR(VLOOKUP($C249,'Лист4'!$D:$AI,27,0)," ")</f>
        <v>8</v>
      </c>
      <c r="DE249" s="22">
        <f>IFERROR(VLOOKUP($C249,'Лист4'!$D:$AI,28,0)," ")</f>
        <v>5</v>
      </c>
      <c r="DF249" s="22">
        <f>IFERROR(VLOOKUP($C249,'Лист4'!$D:$AI,29,0)," ")</f>
        <v>8</v>
      </c>
      <c r="DG249" s="22">
        <f t="shared" si="3"/>
        <v>320</v>
      </c>
      <c r="DH249" s="22">
        <f>IFERROR(VLOOKUP($C249,'Лист4'!$D:$AI,32,0)," ")</f>
        <v>0.05</v>
      </c>
      <c r="DI249" s="22"/>
      <c r="DJ249" s="22"/>
      <c r="DK249" s="22"/>
      <c r="DL249" s="22"/>
      <c r="DM249" s="22"/>
      <c r="DN249" s="22"/>
      <c r="DO249" s="22"/>
      <c r="DP249" s="22"/>
      <c r="DQ249" s="22"/>
      <c r="DR249" s="22"/>
      <c r="DS249" s="22"/>
      <c r="DT249" s="22"/>
      <c r="DU249" s="22"/>
      <c r="DV249" s="22"/>
      <c r="DW249" s="22"/>
      <c r="DX249" s="22"/>
      <c r="DY249" s="22"/>
      <c r="DZ249" s="22"/>
      <c r="EA249" s="22"/>
      <c r="EB249" s="22"/>
      <c r="EC249" s="22"/>
      <c r="ED249" s="22"/>
      <c r="EE249" s="22"/>
      <c r="EF249" s="22"/>
      <c r="EG249" s="22"/>
      <c r="EH249" s="22"/>
      <c r="EI249" s="22"/>
      <c r="EJ249" s="22"/>
      <c r="EK249" s="22"/>
      <c r="EL249" s="22"/>
      <c r="EM249" s="43"/>
      <c r="EN249" s="43"/>
      <c r="EO249" s="43"/>
      <c r="EP249" s="43"/>
      <c r="EQ249" s="43"/>
      <c r="ER249" s="43"/>
      <c r="ES249" s="43"/>
      <c r="ET249" s="43"/>
      <c r="EU249" s="43"/>
      <c r="EV249" s="43"/>
      <c r="EW249" s="43"/>
      <c r="EX249" s="43"/>
      <c r="EY249" s="43"/>
      <c r="EZ249" s="43"/>
      <c r="FA249" s="43"/>
      <c r="FB249" s="43"/>
      <c r="FC249" s="43"/>
    </row>
    <row r="250" ht="18.0" customHeight="1">
      <c r="A250" s="2"/>
      <c r="B250" s="22" t="str">
        <f>IFERROR(VLOOKUP(C250,'Реестр'!C:AC,27,0)," ")</f>
        <v>Смарт-Сэйл</v>
      </c>
      <c r="C250" s="43" t="s">
        <v>3930</v>
      </c>
      <c r="D250" s="22" t="str">
        <f>IFERROR(VLOOKUP(C250,'Лист4'!D:P,13,0)," ")</f>
        <v>CPA</v>
      </c>
      <c r="E250" s="22" t="str">
        <f>IF(OR(ISERROR(VLOOKUP(C250,'Актуальность'!A:B,2,0)), VLOOKUP(C250,'Актуальность'!A:B,2,0)=""), "Актуальный", VLOOKUP(C250,'Актуальность'!A:B,2,0))</f>
        <v>Актуальный</v>
      </c>
      <c r="F250" s="43" t="str">
        <f>IFERROR(VLOOKUP(C250,'Актуальность'!A:C,3,0)," ")</f>
        <v/>
      </c>
      <c r="G250" s="43"/>
      <c r="H250" s="22" t="s">
        <v>2663</v>
      </c>
      <c r="I250" s="22" t="s">
        <v>2703</v>
      </c>
      <c r="J250" s="43"/>
      <c r="K250" s="43"/>
      <c r="L250" s="22" t="b">
        <f t="shared" ref="L250:R250" si="246">T250&lt;&gt;""</f>
        <v>1</v>
      </c>
      <c r="M250" s="22" t="b">
        <f t="shared" si="246"/>
        <v>1</v>
      </c>
      <c r="N250" s="22" t="b">
        <f t="shared" si="246"/>
        <v>1</v>
      </c>
      <c r="O250" s="22" t="b">
        <f t="shared" si="246"/>
        <v>1</v>
      </c>
      <c r="P250" s="22" t="b">
        <f t="shared" si="246"/>
        <v>0</v>
      </c>
      <c r="Q250" s="22" t="b">
        <f t="shared" si="246"/>
        <v>0</v>
      </c>
      <c r="R250" s="22" t="b">
        <f t="shared" si="246"/>
        <v>0</v>
      </c>
      <c r="S250" s="43"/>
      <c r="T250" s="43" t="str">
        <f>IFERROR(VLOOKUP( C250,'1С'!A:B,2,0)," ")</f>
        <v>CO101100424</v>
      </c>
      <c r="U250" s="22" t="str">
        <f>IFERROR(VLOOKUP(T250,'Лист4'!C:I,3,0)," ")</f>
        <v>wbmicardinforte</v>
      </c>
      <c r="V250" s="22" t="str">
        <f>IFERROR(VLOOKUP(T250,'Лист4'!C:I,4,0)," ")</f>
        <v>micardinforte</v>
      </c>
      <c r="W250" s="22" t="str">
        <f>IFERROR(VLOOKUP(T250,'Лист4'!C:I,5,0)," ")</f>
        <v>micardinforte</v>
      </c>
      <c r="X250" s="43" t="str">
        <f>IFERROR(VLOOKUP(T250,'Лист4'!C:I,7,0)," ")</f>
        <v/>
      </c>
      <c r="Y250" s="43" t="str">
        <f>IFERROR(VLOOKUP(T250,'Лист4'!C:I,6,0)," ")</f>
        <v/>
      </c>
      <c r="Z250" s="43"/>
      <c r="AA250" s="43"/>
      <c r="AB250" s="22">
        <v>3.9234691E7</v>
      </c>
      <c r="AC250" s="22">
        <v>3.13362644E8</v>
      </c>
      <c r="AD250" s="22">
        <v>1.01645808515E11</v>
      </c>
      <c r="AE250" s="22"/>
      <c r="AF250" s="22"/>
      <c r="AG250" s="43"/>
      <c r="AH250" s="43"/>
      <c r="AI250" s="43" t="str">
        <f>IFERROR(VLOOKUP(T250,'1С'!B:C,2,0)," ")</f>
        <v>Пищевая добавка Микардин Форте, CPA, 10 капсул</v>
      </c>
      <c r="AJ250" s="22" t="s">
        <v>3190</v>
      </c>
      <c r="AK250" s="22" t="s">
        <v>3934</v>
      </c>
      <c r="AL250" s="22" t="s">
        <v>3935</v>
      </c>
      <c r="AM250" s="43"/>
      <c r="AN250" s="43"/>
      <c r="AO250" s="43"/>
      <c r="AP250" s="43"/>
      <c r="AQ250" s="46" t="s">
        <v>3936</v>
      </c>
      <c r="AR250" s="46" t="s">
        <v>3937</v>
      </c>
      <c r="AS250" s="43"/>
      <c r="AT250" s="43"/>
      <c r="AU250" s="43"/>
      <c r="AV250" s="43"/>
      <c r="AW250" s="43"/>
      <c r="AX250" s="22" t="s">
        <v>361</v>
      </c>
      <c r="AY250" s="22" t="s">
        <v>3934</v>
      </c>
      <c r="AZ250" s="22" t="s">
        <v>372</v>
      </c>
      <c r="BA250" s="43"/>
      <c r="BB250" s="43"/>
      <c r="BC250" s="43"/>
      <c r="BD250" s="43"/>
      <c r="BE250" s="43"/>
      <c r="BF250" s="22">
        <f>IFERROR(VLOOKUP(C250,'спецификация'!B:D,3,0)," ")</f>
        <v>4631158730707</v>
      </c>
      <c r="BG250" s="22">
        <v>2.106909809E9</v>
      </c>
      <c r="BH250" s="22" t="str">
        <f>IFERROR(VLOOKUP(C250,'спецификация'!B:AA,5,0)," ")</f>
        <v>AM.01.01.01.003.R.000034.03.21
</v>
      </c>
      <c r="BI250" s="22"/>
      <c r="BJ250" s="22" t="str">
        <f>IFERROR(VLOOKUP(C250,'спецификация'!B:AA,6,0)," ")</f>
        <v/>
      </c>
      <c r="BK250" s="43"/>
      <c r="BL250" s="43"/>
      <c r="BM250" s="22" t="str">
        <f>IFERROR(VLOOKUP(BF250,'спецификация'!D:H,5,0)," ")</f>
        <v>экстракты корня шлемника байкальского (Scutellaria baicalensis Georgi extract), травы пустырника (Leonurus heterophyllus Sweet extract), плодов боярышника (Crataegus pinnatifida extract), плодов рябины черноплодной (Arónia melanocárpa extract), травы золототысячника (Centaurium erythraea extract), травы готу кола (Centella asiatica (L) Urb. extract), плодов асаи (Euterpe oleracea extract), плодов голубики (Vaccinium uliginosum extract), плодов манго (Mangifera L. extract), плодов тамаринда (Tamarindus L. extract), худии гордонии (Hoodia Gordonii extract).</v>
      </c>
      <c r="BN250" s="43"/>
      <c r="BO250" s="22" t="str">
        <f>IFERROR(VLOOKUP(C250,'спецификация'!B:AA,10,0)," ")</f>
        <v/>
      </c>
      <c r="BP250" s="43" t="str">
        <f>IFERROR(VLOOKUP(C250,'спецификация'!B:AA,11,0),"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250" s="22" t="str">
        <f>IFERROR(VLOOKUP(C250,'спецификация'!B:AA,12,0)," ")</f>
        <v>хранить в оригинальной упаковке, в защищенном от прямых солнечных лучей и недоступном для детей месте при температуре не выше 25°С.
</v>
      </c>
      <c r="BR250" s="22"/>
      <c r="BS250" s="43"/>
      <c r="BT250" s="43"/>
      <c r="BU250" s="22"/>
      <c r="BV250" s="22" t="s">
        <v>401</v>
      </c>
      <c r="BW250" s="44" t="str">
        <f>IFERROR(VLOOKUP(C250,'спецификация'!B:AA,16,0)," ")</f>
        <v>https://docs.google.com/document/d/1a2Bk_TVIkI76mbmsIc63GGTI3ybAhEI6WxV0OC3x3T4/edit</v>
      </c>
      <c r="BX250" s="43"/>
      <c r="BY250" s="43"/>
      <c r="BZ250" s="45" t="str">
        <f>IFERROR(VLOOKUP(BF250,'спецификация'!D:Y,22,0)," ")</f>
        <v/>
      </c>
      <c r="CA250" s="43"/>
      <c r="CB250" s="43"/>
      <c r="CC250" s="43"/>
      <c r="CD250" s="43"/>
      <c r="CE250" s="43"/>
      <c r="CF250" s="43"/>
      <c r="CG250" s="49">
        <f>IFERROR(VLOOKUP(C250,CC!A:D,4,0)," ")</f>
        <v>119.22</v>
      </c>
      <c r="CH250" s="22" t="str">
        <f>IFERROR(VLOOKUP(C250,'спецификация'!B:AA,19,0)," ")</f>
        <v/>
      </c>
      <c r="CI250" s="22"/>
      <c r="CJ250" s="43"/>
      <c r="CK250" s="22" t="str">
        <f>IFERROR(VLOOKUP(C250,CC!K:M,3,0)," ")</f>
        <v> </v>
      </c>
      <c r="CL250" s="43"/>
      <c r="CM250" s="43"/>
      <c r="CN250" s="43"/>
      <c r="CO250" s="43"/>
      <c r="CP250" s="43"/>
      <c r="CQ250" s="43"/>
      <c r="CR250" s="43"/>
      <c r="CS250" s="43" t="b">
        <v>0</v>
      </c>
      <c r="CT250" s="43" t="b">
        <v>0</v>
      </c>
      <c r="CU250" s="43" t="b">
        <v>0</v>
      </c>
      <c r="CV250" s="43" t="b">
        <v>0</v>
      </c>
      <c r="CW250" s="43"/>
      <c r="CX250" s="43"/>
      <c r="CY250" s="43"/>
      <c r="CZ250" s="43"/>
      <c r="DA250" s="43"/>
      <c r="DB250" s="43"/>
      <c r="DC250" s="43"/>
      <c r="DD250" s="22">
        <f>IFERROR(VLOOKUP($C250,'Лист4'!$D:$AI,27,0)," ")</f>
        <v>10</v>
      </c>
      <c r="DE250" s="22">
        <f>IFERROR(VLOOKUP($C250,'Лист4'!$D:$AI,28,0)," ")</f>
        <v>4</v>
      </c>
      <c r="DF250" s="22">
        <f>IFERROR(VLOOKUP($C250,'Лист4'!$D:$AI,29,0)," ")</f>
        <v>10</v>
      </c>
      <c r="DG250" s="22">
        <f t="shared" si="3"/>
        <v>400</v>
      </c>
      <c r="DH250" s="22">
        <f>IFERROR(VLOOKUP($C250,'Лист4'!$D:$AI,32,0)," ")</f>
        <v>0.032</v>
      </c>
      <c r="DI250" s="22"/>
      <c r="DJ250" s="22"/>
      <c r="DK250" s="22"/>
      <c r="DL250" s="22"/>
      <c r="DM250" s="22"/>
      <c r="DN250" s="22"/>
      <c r="DO250" s="22"/>
      <c r="DP250" s="22"/>
      <c r="DQ250" s="22"/>
      <c r="DR250" s="22"/>
      <c r="DS250" s="22"/>
      <c r="DT250" s="22"/>
      <c r="DU250" s="22"/>
      <c r="DV250" s="22"/>
      <c r="DW250" s="22"/>
      <c r="DX250" s="22"/>
      <c r="DY250" s="22"/>
      <c r="DZ250" s="22"/>
      <c r="EA250" s="22"/>
      <c r="EB250" s="22"/>
      <c r="EC250" s="22"/>
      <c r="ED250" s="22"/>
      <c r="EE250" s="22"/>
      <c r="EF250" s="22"/>
      <c r="EG250" s="22"/>
      <c r="EH250" s="22"/>
      <c r="EI250" s="22"/>
      <c r="EJ250" s="22"/>
      <c r="EK250" s="22"/>
      <c r="EL250" s="22"/>
      <c r="EM250" s="43"/>
      <c r="EN250" s="43"/>
      <c r="EO250" s="43"/>
      <c r="EP250" s="43"/>
      <c r="EQ250" s="43"/>
      <c r="ER250" s="43"/>
      <c r="ES250" s="43"/>
      <c r="ET250" s="43"/>
      <c r="EU250" s="43"/>
      <c r="EV250" s="43"/>
      <c r="EW250" s="43"/>
      <c r="EX250" s="43"/>
      <c r="EY250" s="43"/>
      <c r="EZ250" s="43"/>
      <c r="FA250" s="43"/>
      <c r="FB250" s="43"/>
      <c r="FC250" s="43"/>
    </row>
    <row r="251" ht="18.0" customHeight="1">
      <c r="A251" s="2"/>
      <c r="B251" s="22" t="str">
        <f>IFERROR(VLOOKUP(C251,'Реестр'!C:AC,27,0)," ")</f>
        <v>Смарт-Сэйл</v>
      </c>
      <c r="C251" s="43" t="s">
        <v>3942</v>
      </c>
      <c r="D251" s="22" t="str">
        <f>IFERROR(VLOOKUP(C251,'Лист4'!D:P,13,0)," ")</f>
        <v>CPA</v>
      </c>
      <c r="E251" s="22" t="str">
        <f>IF(OR(ISERROR(VLOOKUP(C251,'Актуальность'!A:B,2,0)), VLOOKUP(C251,'Актуальность'!A:B,2,0)=""), "Актуальный", VLOOKUP(C251,'Актуальность'!A:B,2,0))</f>
        <v>Актуальный</v>
      </c>
      <c r="F251" s="43" t="str">
        <f>IFERROR(VLOOKUP(C251,'Актуальность'!A:C,3,0)," ")</f>
        <v/>
      </c>
      <c r="G251" s="43"/>
      <c r="H251" s="22" t="s">
        <v>2663</v>
      </c>
      <c r="I251" s="22" t="s">
        <v>2664</v>
      </c>
      <c r="J251" s="43"/>
      <c r="K251" s="43"/>
      <c r="L251" s="22" t="b">
        <f t="shared" ref="L251:R251" si="247">T251&lt;&gt;""</f>
        <v>1</v>
      </c>
      <c r="M251" s="22" t="b">
        <f t="shared" si="247"/>
        <v>1</v>
      </c>
      <c r="N251" s="22" t="b">
        <f t="shared" si="247"/>
        <v>1</v>
      </c>
      <c r="O251" s="22" t="b">
        <f t="shared" si="247"/>
        <v>1</v>
      </c>
      <c r="P251" s="22" t="b">
        <f t="shared" si="247"/>
        <v>0</v>
      </c>
      <c r="Q251" s="22" t="b">
        <f t="shared" si="247"/>
        <v>0</v>
      </c>
      <c r="R251" s="22" t="b">
        <f t="shared" si="247"/>
        <v>0</v>
      </c>
      <c r="S251" s="43"/>
      <c r="T251" s="43" t="str">
        <f>IFERROR(VLOOKUP( C251,'1С'!A:B,2,0)," ")</f>
        <v>CC101100435</v>
      </c>
      <c r="U251" s="22" t="str">
        <f>IFERROR(VLOOKUP(T251,'Лист4'!C:I,3,0)," ")</f>
        <v>wbbiotrin_1_1_1</v>
      </c>
      <c r="V251" s="22" t="str">
        <f>IFERROR(VLOOKUP(T251,'Лист4'!C:I,4,0)," ")</f>
        <v>wbbiotrin_1_1_1</v>
      </c>
      <c r="W251" s="22" t="str">
        <f>IFERROR(VLOOKUP(T251,'Лист4'!C:I,5,0)," ")</f>
        <v>wbbiotrin_1_1_1</v>
      </c>
      <c r="X251" s="43" t="str">
        <f>IFERROR(VLOOKUP(T251,'Лист4'!C:I,7,0)," ")</f>
        <v/>
      </c>
      <c r="Y251" s="43" t="str">
        <f>IFERROR(VLOOKUP(T251,'Лист4'!C:I,6,0)," ")</f>
        <v/>
      </c>
      <c r="Z251" s="43"/>
      <c r="AA251" s="43"/>
      <c r="AB251" s="22">
        <v>1.72161991E8</v>
      </c>
      <c r="AC251" s="22">
        <v>1.646797818E9</v>
      </c>
      <c r="AD251" s="22">
        <v>1.0354422505E11</v>
      </c>
      <c r="AE251" s="22"/>
      <c r="AF251" s="22"/>
      <c r="AG251" s="43"/>
      <c r="AH251" s="43"/>
      <c r="AI251" s="43" t="str">
        <f>IFERROR(VLOOKUP(T251,'1С'!B:C,2,0)," ")</f>
        <v>Мазь для суставов Биотрин, CPA, 30 мл, набор из 3 шт</v>
      </c>
      <c r="AJ251" s="22" t="s">
        <v>3945</v>
      </c>
      <c r="AK251" s="22" t="s">
        <v>3946</v>
      </c>
      <c r="AL251" s="22" t="s">
        <v>3946</v>
      </c>
      <c r="AM251" s="43"/>
      <c r="AN251" s="43"/>
      <c r="AO251" s="43"/>
      <c r="AP251" s="43"/>
      <c r="AQ251" s="46" t="s">
        <v>3947</v>
      </c>
      <c r="AR251" s="46" t="s">
        <v>3948</v>
      </c>
      <c r="AS251" s="46" t="s">
        <v>3949</v>
      </c>
      <c r="AT251" s="43"/>
      <c r="AU251" s="43"/>
      <c r="AV251" s="43"/>
      <c r="AW251" s="43"/>
      <c r="AX251" s="22" t="s">
        <v>594</v>
      </c>
      <c r="AY251" s="22" t="s">
        <v>3946</v>
      </c>
      <c r="AZ251" s="22" t="s">
        <v>2672</v>
      </c>
      <c r="BA251" s="43"/>
      <c r="BB251" s="43"/>
      <c r="BC251" s="43"/>
      <c r="BD251" s="43"/>
      <c r="BE251" s="43"/>
      <c r="BF251" s="22">
        <f>IFERROR(VLOOKUP(C251,'спецификация'!B:D,3,0)," ")</f>
        <v>2038301433485</v>
      </c>
      <c r="BG251" s="22"/>
      <c r="BH251" s="22" t="str">
        <f>IFERROR(VLOOKUP(C251,'спецификация'!B:AA,5,0)," ")</f>
        <v/>
      </c>
      <c r="BI251" s="22"/>
      <c r="BJ251" s="22" t="str">
        <f>IFERROR(VLOOKUP(C251,'спецификация'!B:AA,6,0)," ")</f>
        <v/>
      </c>
      <c r="BK251" s="43"/>
      <c r="BL251" s="43"/>
      <c r="BM251" s="22" t="str">
        <f>IFERROR(VLOOKUP(BF251,'спецификация'!D:H,5,0)," ")</f>
        <v/>
      </c>
      <c r="BN251" s="43"/>
      <c r="BO251" s="22" t="str">
        <f>IFERROR(VLOOKUP(C251,'спецификация'!B:AA,10,0)," ")</f>
        <v/>
      </c>
      <c r="BP251" s="43" t="str">
        <f>IFERROR(VLOOKUP(C251,'спецификация'!B:AA,11,0)," ")</f>
        <v/>
      </c>
      <c r="BQ251" s="22" t="str">
        <f>IFERROR(VLOOKUP(C251,'спецификация'!B:AA,12,0)," ")</f>
        <v/>
      </c>
      <c r="BR251" s="22"/>
      <c r="BS251" s="43"/>
      <c r="BT251" s="43"/>
      <c r="BU251" s="22"/>
      <c r="BV251" s="22"/>
      <c r="BW251" s="45" t="str">
        <f>IFERROR(VLOOKUP(C251,'спецификация'!B:AA,16,0)," ")</f>
        <v/>
      </c>
      <c r="BX251" s="43"/>
      <c r="BY251" s="43"/>
      <c r="BZ251" s="45" t="str">
        <f>IFERROR(VLOOKUP(BF251,'спецификация'!D:Y,22,0)," ")</f>
        <v/>
      </c>
      <c r="CA251" s="43"/>
      <c r="CB251" s="43"/>
      <c r="CC251" s="43"/>
      <c r="CD251" s="43"/>
      <c r="CE251" s="43"/>
      <c r="CF251" s="43"/>
      <c r="CG251" s="49">
        <f>IFERROR(VLOOKUP(C251,CC!A:D,4,0)," ")</f>
        <v>349.08</v>
      </c>
      <c r="CH251" s="22" t="str">
        <f>IFERROR(VLOOKUP(C251,'спецификация'!B:AA,19,0)," ")</f>
        <v/>
      </c>
      <c r="CI251" s="22"/>
      <c r="CJ251" s="43"/>
      <c r="CK251" s="22">
        <f>IFERROR(VLOOKUP(C251,CC!K:M,3,0)," ")</f>
        <v>45</v>
      </c>
      <c r="CL251" s="43"/>
      <c r="CM251" s="43"/>
      <c r="CN251" s="43"/>
      <c r="CO251" s="43"/>
      <c r="CP251" s="43"/>
      <c r="CQ251" s="43"/>
      <c r="CR251" s="43"/>
      <c r="CS251" s="43" t="b">
        <v>0</v>
      </c>
      <c r="CT251" s="43" t="b">
        <v>0</v>
      </c>
      <c r="CU251" s="43" t="b">
        <v>0</v>
      </c>
      <c r="CV251" s="43" t="b">
        <v>0</v>
      </c>
      <c r="CW251" s="43"/>
      <c r="CX251" s="43"/>
      <c r="CY251" s="43"/>
      <c r="CZ251" s="43"/>
      <c r="DA251" s="43"/>
      <c r="DB251" s="43"/>
      <c r="DC251" s="43"/>
      <c r="DD251" s="22">
        <f>IFERROR(VLOOKUP($C251,'Лист4'!$D:$AI,27,0)," ")</f>
        <v>21</v>
      </c>
      <c r="DE251" s="22">
        <f>IFERROR(VLOOKUP($C251,'Лист4'!$D:$AI,28,0)," ")</f>
        <v>6</v>
      </c>
      <c r="DF251" s="22">
        <f>IFERROR(VLOOKUP($C251,'Лист4'!$D:$AI,29,0)," ")</f>
        <v>21</v>
      </c>
      <c r="DG251" s="22">
        <f t="shared" si="3"/>
        <v>2646</v>
      </c>
      <c r="DH251" s="22">
        <f>IFERROR(VLOOKUP($C251,'Лист4'!$D:$AI,32,0)," ")</f>
        <v>0.2</v>
      </c>
      <c r="DI251" s="22"/>
      <c r="DJ251" s="22"/>
      <c r="DK251" s="22"/>
      <c r="DL251" s="22"/>
      <c r="DM251" s="22"/>
      <c r="DN251" s="22"/>
      <c r="DO251" s="22"/>
      <c r="DP251" s="22"/>
      <c r="DQ251" s="22"/>
      <c r="DR251" s="22"/>
      <c r="DS251" s="22"/>
      <c r="DT251" s="22"/>
      <c r="DU251" s="22"/>
      <c r="DV251" s="22"/>
      <c r="DW251" s="22"/>
      <c r="DX251" s="22"/>
      <c r="DY251" s="22"/>
      <c r="DZ251" s="22"/>
      <c r="EA251" s="22"/>
      <c r="EB251" s="22"/>
      <c r="EC251" s="22"/>
      <c r="ED251" s="22"/>
      <c r="EE251" s="22"/>
      <c r="EF251" s="22"/>
      <c r="EG251" s="22"/>
      <c r="EH251" s="22"/>
      <c r="EI251" s="22"/>
      <c r="EJ251" s="22"/>
      <c r="EK251" s="22"/>
      <c r="EL251" s="22"/>
      <c r="EM251" s="43"/>
      <c r="EN251" s="43"/>
      <c r="EO251" s="43"/>
      <c r="EP251" s="43"/>
      <c r="EQ251" s="43"/>
      <c r="ER251" s="43"/>
      <c r="ES251" s="43"/>
      <c r="ET251" s="43"/>
      <c r="EU251" s="43"/>
      <c r="EV251" s="43"/>
      <c r="EW251" s="43"/>
      <c r="EX251" s="43"/>
      <c r="EY251" s="43"/>
      <c r="EZ251" s="43"/>
      <c r="FA251" s="43"/>
      <c r="FB251" s="43"/>
      <c r="FC251" s="43"/>
    </row>
    <row r="252" ht="18.0" customHeight="1">
      <c r="A252" s="2"/>
      <c r="B252" s="22" t="str">
        <f>IFERROR(VLOOKUP(C252,'Реестр'!C:AC,27,0)," ")</f>
        <v>Смарт-Сэйл</v>
      </c>
      <c r="C252" s="43" t="s">
        <v>3952</v>
      </c>
      <c r="D252" s="22" t="str">
        <f>IFERROR(VLOOKUP(C252,'Лист4'!D:P,13,0)," ")</f>
        <v>CPA</v>
      </c>
      <c r="E252" s="22" t="str">
        <f>IF(OR(ISERROR(VLOOKUP(C252,'Актуальность'!A:B,2,0)), VLOOKUP(C252,'Актуальность'!A:B,2,0)=""), "Актуальный", VLOOKUP(C252,'Актуальность'!A:B,2,0))</f>
        <v>Актуальный</v>
      </c>
      <c r="F252" s="43" t="str">
        <f>IFERROR(VLOOKUP(C252,'Актуальность'!A:C,3,0)," ")</f>
        <v/>
      </c>
      <c r="G252" s="43"/>
      <c r="H252" s="22" t="s">
        <v>2663</v>
      </c>
      <c r="I252" s="22" t="s">
        <v>2703</v>
      </c>
      <c r="J252" s="43"/>
      <c r="K252" s="43"/>
      <c r="L252" s="22" t="b">
        <f t="shared" ref="L252:R252" si="248">T252&lt;&gt;""</f>
        <v>1</v>
      </c>
      <c r="M252" s="22" t="b">
        <f t="shared" si="248"/>
        <v>1</v>
      </c>
      <c r="N252" s="22" t="b">
        <f t="shared" si="248"/>
        <v>1</v>
      </c>
      <c r="O252" s="22" t="b">
        <f t="shared" si="248"/>
        <v>1</v>
      </c>
      <c r="P252" s="22" t="b">
        <f t="shared" si="248"/>
        <v>0</v>
      </c>
      <c r="Q252" s="22" t="b">
        <f t="shared" si="248"/>
        <v>0</v>
      </c>
      <c r="R252" s="22" t="b">
        <f t="shared" si="248"/>
        <v>0</v>
      </c>
      <c r="S252" s="43"/>
      <c r="T252" s="43" t="str">
        <f>IFERROR(VLOOKUP( C252,'1С'!A:B,2,0)," ")</f>
        <v>CO101100423</v>
      </c>
      <c r="U252" s="22" t="str">
        <f>IFERROR(VLOOKUP(T252,'Лист4'!C:I,3,0)," ")</f>
        <v>micardin</v>
      </c>
      <c r="V252" s="22" t="str">
        <f>IFERROR(VLOOKUP(T252,'Лист4'!C:I,4,0)," ")</f>
        <v>micardin</v>
      </c>
      <c r="W252" s="22" t="str">
        <f>IFERROR(VLOOKUP(T252,'Лист4'!C:I,5,0)," ")</f>
        <v>micardin</v>
      </c>
      <c r="X252" s="43" t="str">
        <f>IFERROR(VLOOKUP(T252,'Лист4'!C:I,7,0)," ")</f>
        <v/>
      </c>
      <c r="Y252" s="43" t="str">
        <f>IFERROR(VLOOKUP(T252,'Лист4'!C:I,6,0)," ")</f>
        <v/>
      </c>
      <c r="Z252" s="43"/>
      <c r="AA252" s="43"/>
      <c r="AB252" s="22">
        <v>3.4282538E7</v>
      </c>
      <c r="AC252" s="22">
        <v>2.96818697E8</v>
      </c>
      <c r="AD252" s="22">
        <v>1.03340896063E11</v>
      </c>
      <c r="AE252" s="22"/>
      <c r="AF252" s="22"/>
      <c r="AG252" s="43"/>
      <c r="AH252" s="43"/>
      <c r="AI252" s="43" t="str">
        <f>IFERROR(VLOOKUP(T252,'1С'!B:C,2,0)," ")</f>
        <v>Пищевая добавка Микардин, CPA, 10 капсул</v>
      </c>
      <c r="AJ252" s="22" t="s">
        <v>3190</v>
      </c>
      <c r="AK252" s="22" t="s">
        <v>3955</v>
      </c>
      <c r="AL252" s="22" t="s">
        <v>3955</v>
      </c>
      <c r="AM252" s="43"/>
      <c r="AN252" s="43"/>
      <c r="AO252" s="43"/>
      <c r="AP252" s="43"/>
      <c r="AQ252" s="46" t="s">
        <v>3956</v>
      </c>
      <c r="AR252" s="46" t="s">
        <v>3957</v>
      </c>
      <c r="AS252" s="46" t="s">
        <v>3958</v>
      </c>
      <c r="AT252" s="43"/>
      <c r="AU252" s="43"/>
      <c r="AV252" s="43"/>
      <c r="AW252" s="43"/>
      <c r="AX252" s="22" t="s">
        <v>361</v>
      </c>
      <c r="AY252" s="22" t="s">
        <v>3955</v>
      </c>
      <c r="AZ252" s="22" t="s">
        <v>372</v>
      </c>
      <c r="BA252" s="43"/>
      <c r="BB252" s="43"/>
      <c r="BC252" s="43"/>
      <c r="BD252" s="43"/>
      <c r="BE252" s="43"/>
      <c r="BF252" s="22">
        <f>IFERROR(VLOOKUP(C252,'спецификация'!B:D,3,0)," ")</f>
        <v>4631159171028</v>
      </c>
      <c r="BG252" s="22">
        <v>2.106909809E9</v>
      </c>
      <c r="BH252" s="22" t="str">
        <f>IFERROR(VLOOKUP(C252,'спецификация'!B:AA,5,0)," ")</f>
        <v>AM.01.01.01 .003.R.000383.08.22
</v>
      </c>
      <c r="BI252" s="22"/>
      <c r="BJ252" s="22" t="str">
        <f>IFERROR(VLOOKUP(C252,'спецификация'!B:AA,6,0)," ")</f>
        <v/>
      </c>
      <c r="BK252" s="43"/>
      <c r="BL252" s="43"/>
      <c r="BM252" s="22" t="str">
        <f>IFERROR(VLOOKUP(BF252,'спецификация'!D:H,5,0)," ")</f>
        <v>African mango extract (экстракт африканского манго), Gotu Kola extract (экстракт готу колы), Tamarind extract (экстракт тамаринда), Acai extract (экстракт асаи), Blueberry extract (экстракт голубики), Hoodia Gordonii extract (экстракт худии гордони), Quandong extract (экстракт квандонга), витамин С, лимонная кислота.
Вспомогательные вещества: МКЦ, картофельный крахмал.</v>
      </c>
      <c r="BN252" s="43"/>
      <c r="BO252" s="22" t="str">
        <f>IFERROR(VLOOKUP(C252,'спецификация'!B:AA,10,0)," ")</f>
        <v/>
      </c>
      <c r="BP252" s="43" t="str">
        <f>IFERROR(VLOOKUP(C252,'спецификация'!B:AA,11,0)," ")</f>
        <v>индивидуальная непереносимость одного или более активных веществ и других компонентов средства. Не рекомендуется применять в период беременности и лактации, а также в детском возрасте.</v>
      </c>
      <c r="BQ252" s="22" t="str">
        <f>IFERROR(VLOOKUP(C252,'спецификация'!B:AA,12,0)," ")</f>
        <v>хранить при температуре до 25 °C, избегая попадания прямых солнечных лучей.
</v>
      </c>
      <c r="BR252" s="22">
        <v>10.0</v>
      </c>
      <c r="BS252" s="22" t="s">
        <v>492</v>
      </c>
      <c r="BT252" s="22"/>
      <c r="BU252" s="22"/>
      <c r="BV252" s="22" t="s">
        <v>307</v>
      </c>
      <c r="BW252" s="44" t="str">
        <f>IFERROR(VLOOKUP(C252,'спецификация'!B:AA,16,0)," ")</f>
        <v>https://docs.google.com/document/d/1Wioo15JffkacSxj0fGy6Ac8drciV8uYIwhAjzxW_bvs/edit</v>
      </c>
      <c r="BX252" s="43"/>
      <c r="BY252" s="43"/>
      <c r="BZ252" s="45" t="str">
        <f>IFERROR(VLOOKUP(BF252,'спецификация'!D:Y,22,0)," ")</f>
        <v/>
      </c>
      <c r="CA252" s="43"/>
      <c r="CB252" s="43"/>
      <c r="CC252" s="43"/>
      <c r="CD252" s="43"/>
      <c r="CE252" s="43"/>
      <c r="CF252" s="43"/>
      <c r="CG252" s="49">
        <f>IFERROR(VLOOKUP(C252,CC!A:D,4,0)," ")</f>
        <v>103.48</v>
      </c>
      <c r="CH252" s="22" t="str">
        <f>IFERROR(VLOOKUP(C252,'спецификация'!B:AA,19,0)," ")</f>
        <v/>
      </c>
      <c r="CI252" s="22"/>
      <c r="CJ252" s="43"/>
      <c r="CK252" s="22" t="str">
        <f>IFERROR(VLOOKUP(C252,CC!K:M,3,0)," ")</f>
        <v> </v>
      </c>
      <c r="CL252" s="43"/>
      <c r="CM252" s="43"/>
      <c r="CN252" s="43"/>
      <c r="CO252" s="43"/>
      <c r="CP252" s="43"/>
      <c r="CQ252" s="43"/>
      <c r="CR252" s="43"/>
      <c r="CS252" s="43" t="b">
        <v>0</v>
      </c>
      <c r="CT252" s="43" t="b">
        <v>0</v>
      </c>
      <c r="CU252" s="43" t="b">
        <v>0</v>
      </c>
      <c r="CV252" s="43" t="b">
        <v>0</v>
      </c>
      <c r="CW252" s="43"/>
      <c r="CX252" s="43"/>
      <c r="CY252" s="43"/>
      <c r="CZ252" s="43"/>
      <c r="DA252" s="43"/>
      <c r="DB252" s="43"/>
      <c r="DC252" s="43"/>
      <c r="DD252" s="22">
        <f>IFERROR(VLOOKUP($C252,'Лист4'!$D:$AI,27,0)," ")</f>
        <v>11</v>
      </c>
      <c r="DE252" s="22">
        <f>IFERROR(VLOOKUP($C252,'Лист4'!$D:$AI,28,0)," ")</f>
        <v>1</v>
      </c>
      <c r="DF252" s="22">
        <f>IFERROR(VLOOKUP($C252,'Лист4'!$D:$AI,29,0)," ")</f>
        <v>11</v>
      </c>
      <c r="DG252" s="22">
        <f t="shared" si="3"/>
        <v>121</v>
      </c>
      <c r="DH252" s="22">
        <f>IFERROR(VLOOKUP($C252,'Лист4'!$D:$AI,32,0)," ")</f>
        <v>0.012</v>
      </c>
      <c r="DI252" s="22"/>
      <c r="DJ252" s="22"/>
      <c r="DK252" s="22"/>
      <c r="DL252" s="22"/>
      <c r="DM252" s="22"/>
      <c r="DN252" s="22"/>
      <c r="DO252" s="22"/>
      <c r="DP252" s="22"/>
      <c r="DQ252" s="22"/>
      <c r="DR252" s="22"/>
      <c r="DS252" s="22"/>
      <c r="DT252" s="22"/>
      <c r="DU252" s="22"/>
      <c r="DV252" s="22"/>
      <c r="DW252" s="22"/>
      <c r="DX252" s="22"/>
      <c r="DY252" s="22"/>
      <c r="DZ252" s="22"/>
      <c r="EA252" s="22"/>
      <c r="EB252" s="22"/>
      <c r="EC252" s="22"/>
      <c r="ED252" s="22"/>
      <c r="EE252" s="22"/>
      <c r="EF252" s="22"/>
      <c r="EG252" s="22"/>
      <c r="EH252" s="22"/>
      <c r="EI252" s="22"/>
      <c r="EJ252" s="22"/>
      <c r="EK252" s="22"/>
      <c r="EL252" s="22"/>
      <c r="EM252" s="43"/>
      <c r="EN252" s="43"/>
      <c r="EO252" s="43"/>
      <c r="EP252" s="43"/>
      <c r="EQ252" s="43"/>
      <c r="ER252" s="43"/>
      <c r="ES252" s="43"/>
      <c r="ET252" s="43"/>
      <c r="EU252" s="43"/>
      <c r="EV252" s="43"/>
      <c r="EW252" s="43"/>
      <c r="EX252" s="43"/>
      <c r="EY252" s="43"/>
      <c r="EZ252" s="43"/>
      <c r="FA252" s="43"/>
      <c r="FB252" s="43"/>
      <c r="FC252" s="43"/>
    </row>
    <row r="253" ht="18.0" customHeight="1">
      <c r="A253" s="2"/>
      <c r="B253" s="22" t="str">
        <f>IFERROR(VLOOKUP(C253,'Реестр'!C:AC,27,0)," ")</f>
        <v>Смарт-Сэйл</v>
      </c>
      <c r="C253" s="43" t="s">
        <v>3962</v>
      </c>
      <c r="D253" s="22" t="str">
        <f>IFERROR(VLOOKUP(C253,'Лист4'!D:P,13,0)," ")</f>
        <v>CPA</v>
      </c>
      <c r="E253" s="22" t="str">
        <f>IF(OR(ISERROR(VLOOKUP(C253,'Актуальность'!A:B,2,0)), VLOOKUP(C253,'Актуальность'!A:B,2,0)=""), "Актуальный", VLOOKUP(C253,'Актуальность'!A:B,2,0))</f>
        <v>Актуальный</v>
      </c>
      <c r="F253" s="43" t="str">
        <f>IFERROR(VLOOKUP(C253,'Актуальность'!A:C,3,0)," ")</f>
        <v/>
      </c>
      <c r="G253" s="43"/>
      <c r="H253" s="22" t="s">
        <v>2663</v>
      </c>
      <c r="I253" s="22" t="s">
        <v>2664</v>
      </c>
      <c r="J253" s="43"/>
      <c r="K253" s="43"/>
      <c r="L253" s="22" t="b">
        <f t="shared" ref="L253:R253" si="249">T253&lt;&gt;""</f>
        <v>1</v>
      </c>
      <c r="M253" s="22" t="b">
        <f t="shared" si="249"/>
        <v>1</v>
      </c>
      <c r="N253" s="22" t="b">
        <f t="shared" si="249"/>
        <v>1</v>
      </c>
      <c r="O253" s="22" t="b">
        <f t="shared" si="249"/>
        <v>1</v>
      </c>
      <c r="P253" s="22" t="b">
        <f t="shared" si="249"/>
        <v>0</v>
      </c>
      <c r="Q253" s="22" t="b">
        <f t="shared" si="249"/>
        <v>0</v>
      </c>
      <c r="R253" s="22" t="b">
        <f t="shared" si="249"/>
        <v>0</v>
      </c>
      <c r="S253" s="43"/>
      <c r="T253" s="43" t="str">
        <f>IFERROR(VLOOKUP( C253,'1С'!A:B,2,0)," ")</f>
        <v>CC101100428</v>
      </c>
      <c r="U253" s="22" t="str">
        <f>IFERROR(VLOOKUP(T253,'Лист4'!C:I,3,0)," ")</f>
        <v>artoks_75ml</v>
      </c>
      <c r="V253" s="22" t="str">
        <f>IFERROR(VLOOKUP(T253,'Лист4'!C:I,4,0)," ")</f>
        <v>artoks_75ml</v>
      </c>
      <c r="W253" s="22" t="str">
        <f>IFERROR(VLOOKUP(T253,'Лист4'!C:I,5,0)," ")</f>
        <v>artoks_75ml</v>
      </c>
      <c r="X253" s="43" t="str">
        <f>IFERROR(VLOOKUP(T253,'Лист4'!C:I,7,0)," ")</f>
        <v/>
      </c>
      <c r="Y253" s="43" t="str">
        <f>IFERROR(VLOOKUP(T253,'Лист4'!C:I,6,0)," ")</f>
        <v/>
      </c>
      <c r="Z253" s="43"/>
      <c r="AA253" s="43"/>
      <c r="AB253" s="22">
        <v>1.92906679E8</v>
      </c>
      <c r="AC253" s="22">
        <v>1.323284376E9</v>
      </c>
      <c r="AD253" s="22">
        <v>1.0267637875E11</v>
      </c>
      <c r="AE253" s="22"/>
      <c r="AF253" s="22"/>
      <c r="AG253" s="43"/>
      <c r="AH253" s="43"/>
      <c r="AI253" s="43" t="str">
        <f>IFERROR(VLOOKUP(T253,'1С'!B:C,2,0)," ")</f>
        <v>Мазь для суставов Артокс, CPA, 75 мл</v>
      </c>
      <c r="AJ253" s="22" t="s">
        <v>3600</v>
      </c>
      <c r="AK253" s="22" t="s">
        <v>3965</v>
      </c>
      <c r="AL253" s="22" t="s">
        <v>3966</v>
      </c>
      <c r="AM253" s="43"/>
      <c r="AN253" s="43"/>
      <c r="AO253" s="43"/>
      <c r="AP253" s="43"/>
      <c r="AQ253" s="46" t="s">
        <v>3967</v>
      </c>
      <c r="AR253" s="46" t="s">
        <v>3968</v>
      </c>
      <c r="AS253" s="43"/>
      <c r="AT253" s="43"/>
      <c r="AU253" s="43"/>
      <c r="AV253" s="43"/>
      <c r="AW253" s="43"/>
      <c r="AX253" s="22" t="s">
        <v>3445</v>
      </c>
      <c r="AY253" s="22" t="s">
        <v>3965</v>
      </c>
      <c r="AZ253" s="22" t="s">
        <v>2672</v>
      </c>
      <c r="BA253" s="43"/>
      <c r="BB253" s="43"/>
      <c r="BC253" s="43"/>
      <c r="BD253" s="43"/>
      <c r="BE253" s="43"/>
      <c r="BF253" s="43" t="s">
        <v>3969</v>
      </c>
      <c r="BG253" s="22">
        <v>3.30499E9</v>
      </c>
      <c r="BH253" s="22" t="str">
        <f>IFERROR(VLOOKUP(C253,'спецификация'!B:AA,5,0)," ")</f>
        <v>ЕАЭС N RU Д-RU.PA07.B.70929/23 от 21.09.2023 по 19.09.2028</v>
      </c>
      <c r="BI253" s="22"/>
      <c r="BJ253" s="22" t="str">
        <f>IFERROR(VLOOKUP(C253,'спецификация'!B:AA,6,0)," ")</f>
        <v/>
      </c>
      <c r="BK253" s="43"/>
      <c r="BL253" s="43"/>
      <c r="BM253" s="22" t="str">
        <f>IFERROR(VLOOKUP(BF253,'спецификация'!D:H,5,0)," ")</f>
        <v> </v>
      </c>
      <c r="BN253" s="43"/>
      <c r="BO253" s="43" t="s">
        <v>2678</v>
      </c>
      <c r="BP253" s="43" t="str">
        <f>IFERROR(VLOOKUP(C253,'спецификация'!B:AA,11,0)," ")</f>
        <v>не рекомендуется использовать во время беременности и детям. Гипоаллергенно. Возможна индивидуальная непереносимость компонентов.</v>
      </c>
      <c r="BQ253" s="22"/>
      <c r="BR253" s="22">
        <v>75.0</v>
      </c>
      <c r="BS253" s="22" t="s">
        <v>139</v>
      </c>
      <c r="BT253" s="22"/>
      <c r="BU253" s="22"/>
      <c r="BV253" s="22" t="s">
        <v>307</v>
      </c>
      <c r="BW253" s="44" t="str">
        <f>IFERROR(VLOOKUP(C253,'спецификация'!B:AA,16,0)," ")</f>
        <v>https://drive.google.com/drive/folders/1XzgWgBNcUDPgEqHpkYpIB4d5fNwpLoqD</v>
      </c>
      <c r="BX253" s="43"/>
      <c r="BY253" s="43"/>
      <c r="BZ253" s="45" t="str">
        <f>IFERROR(VLOOKUP(BF253,'спецификация'!D:Y,22,0)," ")</f>
        <v> </v>
      </c>
      <c r="CA253" s="43"/>
      <c r="CB253" s="43"/>
      <c r="CC253" s="43"/>
      <c r="CD253" s="43"/>
      <c r="CE253" s="43"/>
      <c r="CF253" s="43"/>
      <c r="CG253" s="49">
        <f>IFERROR(VLOOKUP(C253,CC!A:D,4,0)," ")</f>
        <v>147.6</v>
      </c>
      <c r="CH253" s="22" t="str">
        <f>IFERROR(VLOOKUP(C253,'спецификация'!B:AA,19,0)," ")</f>
        <v>ООО «Восток Плюс», 107113, г. Москва, Сокольническая пл., дом 4а, этаж 3, пом.IV, комн.11</v>
      </c>
      <c r="CI253" s="22"/>
      <c r="CJ253" s="43"/>
      <c r="CK253" s="22">
        <f>IFERROR(VLOOKUP(C253,CC!K:M,3,0)," ")</f>
        <v>45</v>
      </c>
      <c r="CL253" s="43"/>
      <c r="CM253" s="43"/>
      <c r="CN253" s="43"/>
      <c r="CO253" s="43"/>
      <c r="CP253" s="43"/>
      <c r="CQ253" s="43"/>
      <c r="CR253" s="43"/>
      <c r="CS253" s="43" t="b">
        <v>0</v>
      </c>
      <c r="CT253" s="43" t="b">
        <v>0</v>
      </c>
      <c r="CU253" s="43" t="b">
        <v>0</v>
      </c>
      <c r="CV253" s="43" t="b">
        <v>0</v>
      </c>
      <c r="CW253" s="43"/>
      <c r="CX253" s="43"/>
      <c r="CY253" s="43"/>
      <c r="CZ253" s="43"/>
      <c r="DA253" s="43"/>
      <c r="DB253" s="43"/>
      <c r="DC253" s="43"/>
      <c r="DD253" s="22">
        <f>IFERROR(VLOOKUP($C253,'Лист4'!$D:$AI,27,0)," ")</f>
        <v>14</v>
      </c>
      <c r="DE253" s="22">
        <f>IFERROR(VLOOKUP($C253,'Лист4'!$D:$AI,28,0)," ")</f>
        <v>4</v>
      </c>
      <c r="DF253" s="22">
        <f>IFERROR(VLOOKUP($C253,'Лист4'!$D:$AI,29,0)," ")</f>
        <v>14</v>
      </c>
      <c r="DG253" s="22">
        <f t="shared" si="3"/>
        <v>784</v>
      </c>
      <c r="DH253" s="22">
        <f>IFERROR(VLOOKUP($C253,'Лист4'!$D:$AI,32,0)," ")</f>
        <v>0.09</v>
      </c>
      <c r="DI253" s="22"/>
      <c r="DJ253" s="22"/>
      <c r="DK253" s="22"/>
      <c r="DL253" s="22"/>
      <c r="DM253" s="22"/>
      <c r="DN253" s="22"/>
      <c r="DO253" s="22"/>
      <c r="DP253" s="22"/>
      <c r="DQ253" s="22"/>
      <c r="DR253" s="22"/>
      <c r="DS253" s="22"/>
      <c r="DT253" s="22"/>
      <c r="DU253" s="22"/>
      <c r="DV253" s="22"/>
      <c r="DW253" s="22"/>
      <c r="DX253" s="22"/>
      <c r="DY253" s="22"/>
      <c r="DZ253" s="22"/>
      <c r="EA253" s="22"/>
      <c r="EB253" s="22"/>
      <c r="EC253" s="22"/>
      <c r="ED253" s="22"/>
      <c r="EE253" s="22"/>
      <c r="EF253" s="22"/>
      <c r="EG253" s="22"/>
      <c r="EH253" s="22"/>
      <c r="EI253" s="22"/>
      <c r="EJ253" s="22"/>
      <c r="EK253" s="22"/>
      <c r="EL253" s="22"/>
      <c r="EM253" s="43"/>
      <c r="EN253" s="43"/>
      <c r="EO253" s="43"/>
      <c r="EP253" s="43"/>
      <c r="EQ253" s="43"/>
      <c r="ER253" s="43"/>
      <c r="ES253" s="43"/>
      <c r="ET253" s="43"/>
      <c r="EU253" s="43"/>
      <c r="EV253" s="43"/>
      <c r="EW253" s="43"/>
      <c r="EX253" s="43"/>
      <c r="EY253" s="43"/>
      <c r="EZ253" s="43"/>
      <c r="FA253" s="43"/>
      <c r="FB253" s="43"/>
      <c r="FC253" s="43"/>
    </row>
    <row r="254" ht="18.0" customHeight="1">
      <c r="A254" s="2"/>
      <c r="B254" s="22" t="str">
        <f>IFERROR(VLOOKUP(C254,'Реестр'!C:AC,27,0)," ")</f>
        <v>Смарт-Сэйл</v>
      </c>
      <c r="C254" s="43" t="s">
        <v>3972</v>
      </c>
      <c r="D254" s="22" t="str">
        <f>IFERROR(VLOOKUP(C254,'Лист4'!D:P,13,0)," ")</f>
        <v>Алтея</v>
      </c>
      <c r="E254" s="22" t="str">
        <f>IF(OR(ISERROR(VLOOKUP(C254,'Актуальность'!A:B,2,0)), VLOOKUP(C254,'Актуальность'!A:B,2,0)=""), "Актуальный", VLOOKUP(C254,'Актуальность'!A:B,2,0))</f>
        <v>Актуальный</v>
      </c>
      <c r="F254" s="43" t="str">
        <f>IFERROR(VLOOKUP(C254,'Актуальность'!A:C,3,0)," ")</f>
        <v>Проверить цену  ВБ</v>
      </c>
      <c r="G254" s="43"/>
      <c r="H254" s="22" t="s">
        <v>2743</v>
      </c>
      <c r="I254" s="22" t="s">
        <v>1630</v>
      </c>
      <c r="J254" s="43"/>
      <c r="K254" s="43"/>
      <c r="L254" s="22" t="b">
        <f t="shared" ref="L254:R254" si="250">T254&lt;&gt;""</f>
        <v>1</v>
      </c>
      <c r="M254" s="22" t="b">
        <f t="shared" si="250"/>
        <v>1</v>
      </c>
      <c r="N254" s="22" t="b">
        <f t="shared" si="250"/>
        <v>1</v>
      </c>
      <c r="O254" s="22" t="b">
        <f t="shared" si="250"/>
        <v>1</v>
      </c>
      <c r="P254" s="22" t="b">
        <f t="shared" si="250"/>
        <v>1</v>
      </c>
      <c r="Q254" s="22" t="b">
        <f t="shared" si="250"/>
        <v>1</v>
      </c>
      <c r="R254" s="22" t="b">
        <f t="shared" si="250"/>
        <v>1</v>
      </c>
      <c r="S254" s="43"/>
      <c r="T254" s="43" t="str">
        <f>IFERROR(VLOOKUP( C254,'1С'!A:B,2,0)," ")</f>
        <v>AC101100445</v>
      </c>
      <c r="U254" s="22" t="str">
        <f>IFERROR(VLOOKUP(T254,'Лист4'!C:I,3,0)," ")</f>
        <v>krem_dlya_ruk_75ml</v>
      </c>
      <c r="V254" s="22" t="str">
        <f>IFERROR(VLOOKUP(T254,'Лист4'!C:I,4,0)," ")</f>
        <v>krem_dlya_ruk_75ml</v>
      </c>
      <c r="W254" s="22" t="str">
        <f>IFERROR(VLOOKUP(T254,'Лист4'!C:I,5,0)," ")</f>
        <v>krem_dlya_ruk_75ml</v>
      </c>
      <c r="X254" s="43" t="str">
        <f>IFERROR(VLOOKUP(T254,'Лист4'!C:I,7,0)," ")</f>
        <v>krem_dlya_ruk_75ml</v>
      </c>
      <c r="Y254" s="43" t="str">
        <f>IFERROR(VLOOKUP(T254,'Лист4'!C:I,6,0)," ")</f>
        <v>krem_dlya_ruk_75ml</v>
      </c>
      <c r="Z254" s="22" t="s">
        <v>3972</v>
      </c>
      <c r="AA254" s="43"/>
      <c r="AB254" s="22">
        <v>2.05072071E8</v>
      </c>
      <c r="AC254" s="22">
        <v>1.413555098E9</v>
      </c>
      <c r="AD254" s="22">
        <v>1.03515429828E11</v>
      </c>
      <c r="AE254" s="22">
        <v>9.9000114729E10</v>
      </c>
      <c r="AF254" s="22" t="s">
        <v>3976</v>
      </c>
      <c r="AG254" s="22" t="s">
        <v>3977</v>
      </c>
      <c r="AH254" s="43"/>
      <c r="AI254" s="43" t="str">
        <f>IFERROR(VLOOKUP(T254,'1С'!B:C,2,0)," ")</f>
        <v>Крем для рук, Алтея, 75 мл</v>
      </c>
      <c r="AJ254" s="22" t="s">
        <v>3978</v>
      </c>
      <c r="AK254" s="22" t="s">
        <v>3979</v>
      </c>
      <c r="AL254" s="22" t="s">
        <v>3979</v>
      </c>
      <c r="AM254" s="22" t="s">
        <v>3980</v>
      </c>
      <c r="AN254" s="22" t="s">
        <v>3981</v>
      </c>
      <c r="AO254" s="22" t="s">
        <v>3982</v>
      </c>
      <c r="AP254" s="43"/>
      <c r="AQ254" s="46" t="s">
        <v>3983</v>
      </c>
      <c r="AR254" s="46" t="s">
        <v>3984</v>
      </c>
      <c r="AS254" s="46" t="s">
        <v>3985</v>
      </c>
      <c r="AT254" s="46" t="s">
        <v>3986</v>
      </c>
      <c r="AU254" s="46" t="s">
        <v>3987</v>
      </c>
      <c r="AV254" s="46" t="s">
        <v>3988</v>
      </c>
      <c r="AW254" s="43"/>
      <c r="AX254" s="22" t="s">
        <v>594</v>
      </c>
      <c r="AY254" s="22" t="s">
        <v>3979</v>
      </c>
      <c r="AZ254" s="22" t="s">
        <v>3989</v>
      </c>
      <c r="BA254" s="22" t="s">
        <v>1834</v>
      </c>
      <c r="BB254" s="22" t="s">
        <v>3990</v>
      </c>
      <c r="BC254" s="22" t="s">
        <v>3991</v>
      </c>
      <c r="BD254" s="43"/>
      <c r="BE254" s="43"/>
      <c r="BF254" s="22" t="str">
        <f>IFERROR(VLOOKUP(C254,'спецификация'!B:D,3,0)," ")</f>
        <v>4660417421452
4601022298473</v>
      </c>
      <c r="BG254" s="22">
        <v>3.30499E9</v>
      </c>
      <c r="BH254" s="22" t="str">
        <f>IFERROR(VLOOKUP(C254,'спецификация'!B:AA,5,0)," ")</f>
        <v>ЕАЭС N RU Д-RU.PA01.B.66387/24 от 02.02.2024 по 31.01.2029</v>
      </c>
      <c r="BI254" s="22"/>
      <c r="BJ254" s="22" t="str">
        <f>IFERROR(VLOOKUP(C254,'спецификация'!B:AA,6,0)," ")</f>
        <v>нет</v>
      </c>
      <c r="BK254" s="43"/>
      <c r="BL254" s="43"/>
      <c r="BM254" s="22" t="str">
        <f>IFERROR(VLOOKUP(BF254,'спецификация'!D:H,5,0)," ")</f>
        <v>вода, глицерилстеарат, цетеарет-20, цетеарет-12, масло кокосовое, цетеариловый спирт, мочевина, цетилпальмитат, масло кукурузное, глицерин, масло ши, масло жожоба, масло авокадо, этилгексилглицерин, экстракт зелёного чая, масло миндаля, аллантоин, полиакрилат натрия, отдушка, витамин Е, феноксиэтанол.</v>
      </c>
      <c r="BN254" s="43"/>
      <c r="BO254" s="22" t="str">
        <f>IFERROR(VLOOKUP(C254,'спецификация'!B:AA,10,0)," ")</f>
        <v>нанести на чистую и сухую кожу рук массажными движениями.</v>
      </c>
      <c r="BP254" s="43" t="str">
        <f>IFERROR(VLOOKUP(C254,'спецификация'!B:AA,11,0)," ")</f>
        <v>индивидуальная непереносимость компонентов крема</v>
      </c>
      <c r="BQ254" s="22" t="str">
        <f>IFERROR(VLOOKUP(C254,'спецификация'!B:AA,12,0)," ")</f>
        <v>хранить при температуре от +5°C до 25°C и относительной влажности воздуха не более 70%</v>
      </c>
      <c r="BR254" s="22">
        <v>75.0</v>
      </c>
      <c r="BS254" s="22" t="s">
        <v>139</v>
      </c>
      <c r="BT254" s="22"/>
      <c r="BU254" s="22"/>
      <c r="BV254" s="22" t="s">
        <v>307</v>
      </c>
      <c r="BW254" s="44" t="str">
        <f>IFERROR(VLOOKUP(C254,'спецификация'!B:AA,16,0)," ")</f>
        <v>https://docs.google.com/document/d/12PnKsvXrilyQZmaAKjCBSeqEXJZcjR6Q/edit</v>
      </c>
      <c r="BX254" s="43"/>
      <c r="BY254" s="43"/>
      <c r="BZ254" s="45" t="str">
        <f>IFERROR(VLOOKUP(BF254,'спецификация'!D:Y,22,0)," ")</f>
        <v/>
      </c>
      <c r="CA254" s="43"/>
      <c r="CB254" s="43"/>
      <c r="CC254" s="43"/>
      <c r="CD254" s="43"/>
      <c r="CE254" s="43"/>
      <c r="CF254" s="43"/>
      <c r="CG254" s="49">
        <f>IFERROR(VLOOKUP(C254,CC!A:D,4,0)," ")</f>
        <v>71.1</v>
      </c>
      <c r="CH254" s="22" t="str">
        <f>IFERROR(VLOOKUP(C254,'спецификация'!B:AA,19,0)," ")</f>
        <v>ООО "САН ДЭЙ"</v>
      </c>
      <c r="CI254" s="22"/>
      <c r="CJ254" s="43"/>
      <c r="CK254" s="22">
        <f>IFERROR(VLOOKUP(C254,CC!K:M,3,0)," ")</f>
        <v>45</v>
      </c>
      <c r="CL254" s="43"/>
      <c r="CM254" s="43"/>
      <c r="CN254" s="43"/>
      <c r="CO254" s="43"/>
      <c r="CP254" s="43"/>
      <c r="CQ254" s="43"/>
      <c r="CR254" s="43"/>
      <c r="CS254" s="43" t="b">
        <v>0</v>
      </c>
      <c r="CT254" s="43" t="b">
        <v>0</v>
      </c>
      <c r="CU254" s="43" t="b">
        <v>0</v>
      </c>
      <c r="CV254" s="43" t="b">
        <v>0</v>
      </c>
      <c r="CW254" s="43"/>
      <c r="CX254" s="43"/>
      <c r="CY254" s="43"/>
      <c r="CZ254" s="43"/>
      <c r="DA254" s="43"/>
      <c r="DB254" s="43"/>
      <c r="DC254" s="43"/>
      <c r="DD254" s="22">
        <f>IFERROR(VLOOKUP($C254,'Лист4'!$D:$AI,27,0)," ")</f>
        <v>4</v>
      </c>
      <c r="DE254" s="22">
        <f>IFERROR(VLOOKUP($C254,'Лист4'!$D:$AI,28,0)," ")</f>
        <v>4</v>
      </c>
      <c r="DF254" s="22">
        <f>IFERROR(VLOOKUP($C254,'Лист4'!$D:$AI,29,0)," ")</f>
        <v>4</v>
      </c>
      <c r="DG254" s="22">
        <f t="shared" si="3"/>
        <v>64</v>
      </c>
      <c r="DH254" s="22">
        <f>IFERROR(VLOOKUP($C254,'Лист4'!$D:$AI,32,0)," ")</f>
        <v>0.09</v>
      </c>
      <c r="DI254" s="22"/>
      <c r="DJ254" s="22"/>
      <c r="DK254" s="22"/>
      <c r="DL254" s="22"/>
      <c r="DM254" s="22"/>
      <c r="DN254" s="22"/>
      <c r="DO254" s="22"/>
      <c r="DP254" s="22"/>
      <c r="DQ254" s="22"/>
      <c r="DR254" s="22"/>
      <c r="DS254" s="22"/>
      <c r="DT254" s="22"/>
      <c r="DU254" s="22"/>
      <c r="DV254" s="22"/>
      <c r="DW254" s="22"/>
      <c r="DX254" s="22"/>
      <c r="DY254" s="22"/>
      <c r="DZ254" s="22"/>
      <c r="EA254" s="22"/>
      <c r="EB254" s="22"/>
      <c r="EC254" s="22"/>
      <c r="ED254" s="22"/>
      <c r="EE254" s="22"/>
      <c r="EF254" s="22"/>
      <c r="EG254" s="22"/>
      <c r="EH254" s="22"/>
      <c r="EI254" s="22"/>
      <c r="EJ254" s="22"/>
      <c r="EK254" s="22"/>
      <c r="EL254" s="22"/>
      <c r="EM254" s="43"/>
      <c r="EN254" s="43"/>
      <c r="EO254" s="43"/>
      <c r="EP254" s="43"/>
      <c r="EQ254" s="43"/>
      <c r="ER254" s="43"/>
      <c r="ES254" s="43"/>
      <c r="ET254" s="43"/>
      <c r="EU254" s="43"/>
      <c r="EV254" s="43"/>
      <c r="EW254" s="43"/>
      <c r="EX254" s="43"/>
      <c r="EY254" s="43"/>
      <c r="EZ254" s="43"/>
      <c r="FA254" s="43"/>
      <c r="FB254" s="43"/>
      <c r="FC254" s="43"/>
    </row>
    <row r="255" ht="18.0" customHeight="1">
      <c r="A255" s="2"/>
      <c r="B255" s="22" t="str">
        <f>IFERROR(VLOOKUP(C255,'Реестр'!C:AC,27,0)," ")</f>
        <v>Смарт-Сэйл</v>
      </c>
      <c r="C255" s="43" t="s">
        <v>3998</v>
      </c>
      <c r="D255" s="22" t="str">
        <f>IFERROR(VLOOKUP(C255,'Лист4'!D:P,13,0)," ")</f>
        <v>CPA</v>
      </c>
      <c r="E255" s="22" t="str">
        <f>IF(OR(ISERROR(VLOOKUP(C255,'Актуальность'!A:B,2,0)), VLOOKUP(C255,'Актуальность'!A:B,2,0)=""), "Актуальный", VLOOKUP(C255,'Актуальность'!A:B,2,0))</f>
        <v>Актуальный</v>
      </c>
      <c r="F255" s="43" t="str">
        <f>IFERROR(VLOOKUP(C255,'Актуальность'!A:C,3,0)," ")</f>
        <v/>
      </c>
      <c r="G255" s="43"/>
      <c r="H255" s="22" t="s">
        <v>2663</v>
      </c>
      <c r="I255" s="22" t="s">
        <v>2664</v>
      </c>
      <c r="J255" s="43"/>
      <c r="K255" s="43"/>
      <c r="L255" s="22" t="b">
        <f t="shared" ref="L255:R255" si="251">T255&lt;&gt;""</f>
        <v>1</v>
      </c>
      <c r="M255" s="22" t="b">
        <f t="shared" si="251"/>
        <v>1</v>
      </c>
      <c r="N255" s="22" t="b">
        <f t="shared" si="251"/>
        <v>1</v>
      </c>
      <c r="O255" s="22" t="b">
        <f t="shared" si="251"/>
        <v>1</v>
      </c>
      <c r="P255" s="22" t="b">
        <f t="shared" si="251"/>
        <v>0</v>
      </c>
      <c r="Q255" s="22" t="b">
        <f t="shared" si="251"/>
        <v>0</v>
      </c>
      <c r="R255" s="22" t="b">
        <f t="shared" si="251"/>
        <v>0</v>
      </c>
      <c r="S255" s="43"/>
      <c r="T255" s="43" t="str">
        <f>IFERROR(VLOOKUP( C255,'1С'!A:B,2,0)," ")</f>
        <v>CC101100422</v>
      </c>
      <c r="U255" s="22" t="str">
        <f>IFERROR(VLOOKUP(T255,'Лист4'!C:I,3,0)," ")</f>
        <v>wbsinergel</v>
      </c>
      <c r="V255" s="22" t="str">
        <f>IFERROR(VLOOKUP(T255,'Лист4'!C:I,4,0)," ")</f>
        <v>wbsinergel</v>
      </c>
      <c r="W255" s="22" t="str">
        <f>IFERROR(VLOOKUP(T255,'Лист4'!C:I,5,0)," ")</f>
        <v>wbsinergel</v>
      </c>
      <c r="X255" s="43" t="str">
        <f>IFERROR(VLOOKUP(T255,'Лист4'!C:I,7,0)," ")</f>
        <v/>
      </c>
      <c r="Y255" s="43" t="str">
        <f>IFERROR(VLOOKUP(T255,'Лист4'!C:I,6,0)," ")</f>
        <v/>
      </c>
      <c r="Z255" s="43"/>
      <c r="AA255" s="43"/>
      <c r="AB255" s="22">
        <v>1.7905393E7</v>
      </c>
      <c r="AC255" s="22">
        <v>2.89049035E8</v>
      </c>
      <c r="AD255" s="22">
        <v>4.324015317E9</v>
      </c>
      <c r="AE255" s="22"/>
      <c r="AF255" s="22"/>
      <c r="AG255" s="43"/>
      <c r="AH255" s="43"/>
      <c r="AI255" s="43" t="str">
        <f>IFERROR(VLOOKUP(T255,'1С'!B:C,2,0)," ")</f>
        <v>Мазь для суставов Синергель, CPA, 30 мл</v>
      </c>
      <c r="AJ255" s="22" t="s">
        <v>3874</v>
      </c>
      <c r="AK255" s="22" t="s">
        <v>4001</v>
      </c>
      <c r="AL255" s="22" t="s">
        <v>4002</v>
      </c>
      <c r="AM255" s="43"/>
      <c r="AN255" s="43"/>
      <c r="AO255" s="43"/>
      <c r="AP255" s="43"/>
      <c r="AQ255" s="46" t="s">
        <v>4003</v>
      </c>
      <c r="AR255" s="46" t="s">
        <v>4004</v>
      </c>
      <c r="AS255" s="43"/>
      <c r="AT255" s="43"/>
      <c r="AU255" s="43"/>
      <c r="AV255" s="43"/>
      <c r="AW255" s="43"/>
      <c r="AX255" s="22" t="s">
        <v>594</v>
      </c>
      <c r="AY255" s="22" t="s">
        <v>4001</v>
      </c>
      <c r="AZ255" s="22" t="s">
        <v>2672</v>
      </c>
      <c r="BA255" s="43"/>
      <c r="BB255" s="43"/>
      <c r="BC255" s="43"/>
      <c r="BD255" s="43"/>
      <c r="BE255" s="43"/>
      <c r="BF255" s="22" t="str">
        <f>IFERROR(VLOOKUP(C255,'спецификация'!B:D,3,0)," ")</f>
        <v> </v>
      </c>
      <c r="BG255" s="22">
        <v>3.30499E9</v>
      </c>
      <c r="BH255" s="22" t="str">
        <f>IFERROR(VLOOKUP(C255,'спецификация'!B:AA,5,0)," ")</f>
        <v> </v>
      </c>
      <c r="BI255" s="22"/>
      <c r="BJ255" s="22" t="str">
        <f>IFERROR(VLOOKUP(C255,'спецификация'!B:AA,6,0)," ")</f>
        <v> </v>
      </c>
      <c r="BK255" s="43"/>
      <c r="BL255" s="43"/>
      <c r="BM255" s="22" t="str">
        <f>IFERROR(VLOOKUP(BF255,'спецификация'!D:H,5,0)," ")</f>
        <v> </v>
      </c>
      <c r="BN255" s="43"/>
      <c r="BO255" s="22" t="str">
        <f>IFERROR(VLOOKUP(C255,'спецификация'!B:AA,10,0)," ")</f>
        <v> </v>
      </c>
      <c r="BP255" s="43" t="str">
        <f>IFERROR(VLOOKUP(C255,'спецификация'!B:AA,11,0)," ")</f>
        <v> </v>
      </c>
      <c r="BQ255" s="22" t="str">
        <f>IFERROR(VLOOKUP(C255,'спецификация'!B:AA,12,0)," ")</f>
        <v> </v>
      </c>
      <c r="BR255" s="22">
        <v>30.0</v>
      </c>
      <c r="BS255" s="22" t="s">
        <v>139</v>
      </c>
      <c r="BT255" s="22"/>
      <c r="BU255" s="22"/>
      <c r="BV255" s="22" t="s">
        <v>307</v>
      </c>
      <c r="BW255" s="45" t="str">
        <f>IFERROR(VLOOKUP(C255,'спецификация'!B:AA,16,0)," ")</f>
        <v> </v>
      </c>
      <c r="BX255" s="43"/>
      <c r="BY255" s="43"/>
      <c r="BZ255" s="45" t="str">
        <f>IFERROR(VLOOKUP(BF255,'спецификация'!D:Y,22,0)," ")</f>
        <v> </v>
      </c>
      <c r="CA255" s="43"/>
      <c r="CB255" s="43"/>
      <c r="CC255" s="43"/>
      <c r="CD255" s="43"/>
      <c r="CE255" s="43"/>
      <c r="CF255" s="43"/>
      <c r="CG255" s="49">
        <f>IFERROR(VLOOKUP(C255,CC!A:D,4,0)," ")</f>
        <v>123.78</v>
      </c>
      <c r="CH255" s="22" t="str">
        <f>IFERROR(VLOOKUP(C255,'спецификация'!B:AA,19,0)," ")</f>
        <v> </v>
      </c>
      <c r="CI255" s="22"/>
      <c r="CJ255" s="43"/>
      <c r="CK255" s="22" t="str">
        <f>IFERROR(VLOOKUP(C255,CC!K:M,3,0)," ")</f>
        <v> </v>
      </c>
      <c r="CL255" s="43"/>
      <c r="CM255" s="43"/>
      <c r="CN255" s="43"/>
      <c r="CO255" s="43"/>
      <c r="CP255" s="43"/>
      <c r="CQ255" s="43"/>
      <c r="CR255" s="43"/>
      <c r="CS255" s="43" t="b">
        <v>0</v>
      </c>
      <c r="CT255" s="43" t="b">
        <v>0</v>
      </c>
      <c r="CU255" s="43" t="b">
        <v>0</v>
      </c>
      <c r="CV255" s="43" t="b">
        <v>0</v>
      </c>
      <c r="CW255" s="43"/>
      <c r="CX255" s="43"/>
      <c r="CY255" s="43"/>
      <c r="CZ255" s="43"/>
      <c r="DA255" s="43"/>
      <c r="DB255" s="43"/>
      <c r="DC255" s="43"/>
      <c r="DD255" s="22">
        <f>IFERROR(VLOOKUP($C255,'Лист4'!$D:$AI,27,0)," ")</f>
        <v>3</v>
      </c>
      <c r="DE255" s="22">
        <f>IFERROR(VLOOKUP($C255,'Лист4'!$D:$AI,28,0)," ")</f>
        <v>11</v>
      </c>
      <c r="DF255" s="22">
        <f>IFERROR(VLOOKUP($C255,'Лист4'!$D:$AI,29,0)," ")</f>
        <v>3</v>
      </c>
      <c r="DG255" s="22">
        <f t="shared" si="3"/>
        <v>99</v>
      </c>
      <c r="DH255" s="22">
        <f>IFERROR(VLOOKUP($C255,'Лист4'!$D:$AI,32,0)," ")</f>
        <v>0.05</v>
      </c>
      <c r="DI255" s="22"/>
      <c r="DJ255" s="22"/>
      <c r="DK255" s="22"/>
      <c r="DL255" s="22"/>
      <c r="DM255" s="22"/>
      <c r="DN255" s="22"/>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43"/>
      <c r="EN255" s="43"/>
      <c r="EO255" s="43"/>
      <c r="EP255" s="43"/>
      <c r="EQ255" s="43"/>
      <c r="ER255" s="43"/>
      <c r="ES255" s="43"/>
      <c r="ET255" s="43"/>
      <c r="EU255" s="43"/>
      <c r="EV255" s="43"/>
      <c r="EW255" s="43"/>
      <c r="EX255" s="43"/>
      <c r="EY255" s="43"/>
      <c r="EZ255" s="43"/>
      <c r="FA255" s="43"/>
      <c r="FB255" s="43"/>
      <c r="FC255" s="43"/>
    </row>
    <row r="256" ht="18.0" customHeight="1">
      <c r="A256" s="2"/>
      <c r="B256" s="22" t="str">
        <f>IFERROR(VLOOKUP(C256,'Реестр'!C:AC,27,0)," ")</f>
        <v>Смарт-Сэйл</v>
      </c>
      <c r="C256" s="43" t="s">
        <v>4006</v>
      </c>
      <c r="D256" s="22" t="str">
        <f>IFERROR(VLOOKUP(C256,'Лист4'!D:P,13,0)," ")</f>
        <v>CPA</v>
      </c>
      <c r="E256" s="22" t="str">
        <f>IF(OR(ISERROR(VLOOKUP(C256,'Актуальность'!A:B,2,0)), VLOOKUP(C256,'Актуальность'!A:B,2,0)=""), "Актуальный", VLOOKUP(C256,'Актуальность'!A:B,2,0))</f>
        <v>Актуальный</v>
      </c>
      <c r="F256" s="43" t="str">
        <f>IFERROR(VLOOKUP(C256,'Актуальность'!A:C,3,0)," ")</f>
        <v/>
      </c>
      <c r="G256" s="43"/>
      <c r="H256" s="22" t="s">
        <v>2663</v>
      </c>
      <c r="I256" s="22" t="s">
        <v>2892</v>
      </c>
      <c r="J256" s="43"/>
      <c r="K256" s="43"/>
      <c r="L256" s="22" t="b">
        <f t="shared" ref="L256:R256" si="252">T256&lt;&gt;""</f>
        <v>1</v>
      </c>
      <c r="M256" s="22" t="b">
        <f t="shared" si="252"/>
        <v>1</v>
      </c>
      <c r="N256" s="22" t="b">
        <f t="shared" si="252"/>
        <v>1</v>
      </c>
      <c r="O256" s="22" t="b">
        <f t="shared" si="252"/>
        <v>1</v>
      </c>
      <c r="P256" s="22" t="b">
        <f t="shared" si="252"/>
        <v>0</v>
      </c>
      <c r="Q256" s="22" t="b">
        <f t="shared" si="252"/>
        <v>0</v>
      </c>
      <c r="R256" s="22" t="b">
        <f t="shared" si="252"/>
        <v>0</v>
      </c>
      <c r="S256" s="43"/>
      <c r="T256" s="43" t="str">
        <f>IFERROR(VLOOKUP( C256,'1С'!A:B,2,0)," ")</f>
        <v>CO101100444</v>
      </c>
      <c r="U256" s="22" t="str">
        <f>IFERROR(VLOOKUP(T256,'Лист4'!C:I,3,0)," ")</f>
        <v>otivin</v>
      </c>
      <c r="V256" s="22" t="str">
        <f>IFERROR(VLOOKUP(T256,'Лист4'!C:I,4,0)," ")</f>
        <v>otivin</v>
      </c>
      <c r="W256" s="22" t="str">
        <f>IFERROR(VLOOKUP(T256,'Лист4'!C:I,5,0)," ")</f>
        <v>otivin</v>
      </c>
      <c r="X256" s="43" t="str">
        <f>IFERROR(VLOOKUP(T256,'Лист4'!C:I,7,0)," ")</f>
        <v/>
      </c>
      <c r="Y256" s="43" t="str">
        <f>IFERROR(VLOOKUP(T256,'Лист4'!C:I,6,0)," ")</f>
        <v/>
      </c>
      <c r="Z256" s="43"/>
      <c r="AA256" s="43"/>
      <c r="AB256" s="22">
        <v>1.36138948E8</v>
      </c>
      <c r="AC256" s="22">
        <v>7.92260062E8</v>
      </c>
      <c r="AD256" s="22">
        <v>1.03340901784E11</v>
      </c>
      <c r="AE256" s="22"/>
      <c r="AF256" s="22"/>
      <c r="AG256" s="43"/>
      <c r="AH256" s="43"/>
      <c r="AI256" s="43" t="str">
        <f>IFERROR(VLOOKUP(T256,'1С'!B:C,2,0)," ")</f>
        <v>Пищевая добавка Отивин , CPA, 10 мл</v>
      </c>
      <c r="AJ256" s="22" t="s">
        <v>4009</v>
      </c>
      <c r="AK256" s="22" t="s">
        <v>4010</v>
      </c>
      <c r="AL256" s="22" t="s">
        <v>4011</v>
      </c>
      <c r="AM256" s="43"/>
      <c r="AN256" s="43"/>
      <c r="AO256" s="43"/>
      <c r="AP256" s="43"/>
      <c r="AQ256" s="46" t="s">
        <v>4012</v>
      </c>
      <c r="AR256" s="46" t="s">
        <v>4013</v>
      </c>
      <c r="AS256" s="46" t="s">
        <v>4014</v>
      </c>
      <c r="AT256" s="43"/>
      <c r="AU256" s="43"/>
      <c r="AV256" s="43"/>
      <c r="AW256" s="43"/>
      <c r="AX256" s="22" t="s">
        <v>4015</v>
      </c>
      <c r="AY256" s="22" t="s">
        <v>4010</v>
      </c>
      <c r="AZ256" s="22" t="s">
        <v>2692</v>
      </c>
      <c r="BA256" s="43"/>
      <c r="BB256" s="43"/>
      <c r="BC256" s="43"/>
      <c r="BD256" s="43"/>
      <c r="BE256" s="43"/>
      <c r="BF256" s="22">
        <f>IFERROR(VLOOKUP(C256,'спецификация'!B:D,3,0)," ")</f>
        <v>4631143262213</v>
      </c>
      <c r="BG256" s="22">
        <v>2.103909009E9</v>
      </c>
      <c r="BH256" s="22" t="str">
        <f>IFERROR(VLOOKUP(C256,'спецификация'!B:AA,5,0)," ")</f>
        <v>ЕАЭС N RU Д-RU.PA07.B.77119/22 от 28.10.2022 до 21.10.2027</v>
      </c>
      <c r="BI256" s="22"/>
      <c r="BJ256" s="22" t="str">
        <f>IFERROR(VLOOKUP(C256,'спецификация'!B:AA,6,0)," ")</f>
        <v/>
      </c>
      <c r="BK256" s="43"/>
      <c r="BL256" s="43"/>
      <c r="BM256" s="22" t="str">
        <f>IFERROR(VLOOKUP(BF256,'спецификация'!D:H,5,0)," ")</f>
        <v>вода, экстракт гинкго билоба, экстракт элеутерококка, экстракт малины, экстракт березы, L-аргинин, бетаин, магний цитрат, арабиногалактан, цинка цитрат, аскорбиновая кислота, сорбат калия (Е202), бензоат натрия (Е211), селен, витамины b2, b4, b5, b6, b12.</v>
      </c>
      <c r="BN256" s="43"/>
      <c r="BO256" s="22" t="str">
        <f>IFERROR(VLOOKUP(C256,'спецификация'!B:AA,10,0)," ")</f>
        <v/>
      </c>
      <c r="BP256" s="43" t="str">
        <f>IFERROR(VLOOKUP(C256,'спецификация'!B:AA,11,0)," ")</f>
        <v>Не применять внутрь уха!
Противопоказания: индивидуальная непереносимость компонентов, беременность, кормление грудью. Не является лекарственным средством.</v>
      </c>
      <c r="BQ256" s="22" t="str">
        <f>IFERROR(VLOOKUP(C256,'спецификация'!B:AA,12,0)," ")</f>
        <v>хранить в оригинальной закрытой упаковке в защищенном от прямых солнечных лучей и недоступном для детей месте при температуре не выше +25ºС. </v>
      </c>
      <c r="BR256" s="22">
        <v>10.0</v>
      </c>
      <c r="BS256" s="22" t="s">
        <v>139</v>
      </c>
      <c r="BT256" s="22"/>
      <c r="BU256" s="22"/>
      <c r="BV256" s="22"/>
      <c r="BW256" s="44" t="str">
        <f>IFERROR(VLOOKUP(C256,'спецификация'!B:AA,16,0)," ")</f>
        <v>https://drive.google.com/drive/folders/1EENVnOaBjPEPSi7DayrpD44yN7yf0S9M</v>
      </c>
      <c r="BX256" s="43"/>
      <c r="BY256" s="43"/>
      <c r="BZ256" s="45" t="str">
        <f>IFERROR(VLOOKUP(BF256,'спецификация'!D:Y,22,0)," ")</f>
        <v/>
      </c>
      <c r="CA256" s="43"/>
      <c r="CB256" s="43"/>
      <c r="CC256" s="43"/>
      <c r="CD256" s="43"/>
      <c r="CE256" s="43"/>
      <c r="CF256" s="43"/>
      <c r="CG256" s="49">
        <f>IFERROR(VLOOKUP(C256,CC!A:D,4,0)," ")</f>
        <v>137.86</v>
      </c>
      <c r="CH256" s="22" t="str">
        <f>IFERROR(VLOOKUP(C256,'спецификация'!B:AA,19,0)," ")</f>
        <v/>
      </c>
      <c r="CI256" s="22"/>
      <c r="CJ256" s="43"/>
      <c r="CK256" s="22">
        <f>IFERROR(VLOOKUP(C256,CC!K:M,3,0)," ")</f>
        <v>45</v>
      </c>
      <c r="CL256" s="43"/>
      <c r="CM256" s="43"/>
      <c r="CN256" s="43"/>
      <c r="CO256" s="43"/>
      <c r="CP256" s="43"/>
      <c r="CQ256" s="43"/>
      <c r="CR256" s="43"/>
      <c r="CS256" s="43" t="b">
        <v>0</v>
      </c>
      <c r="CT256" s="43" t="b">
        <v>0</v>
      </c>
      <c r="CU256" s="43" t="b">
        <v>0</v>
      </c>
      <c r="CV256" s="43" t="b">
        <v>0</v>
      </c>
      <c r="CW256" s="43"/>
      <c r="CX256" s="43"/>
      <c r="CY256" s="43"/>
      <c r="CZ256" s="43"/>
      <c r="DA256" s="43"/>
      <c r="DB256" s="43"/>
      <c r="DC256" s="43"/>
      <c r="DD256" s="22">
        <f>IFERROR(VLOOKUP($C256,'Лист4'!$D:$AI,27,0)," ")</f>
        <v>9</v>
      </c>
      <c r="DE256" s="22">
        <f>IFERROR(VLOOKUP($C256,'Лист4'!$D:$AI,28,0)," ")</f>
        <v>3</v>
      </c>
      <c r="DF256" s="22">
        <f>IFERROR(VLOOKUP($C256,'Лист4'!$D:$AI,29,0)," ")</f>
        <v>9</v>
      </c>
      <c r="DG256" s="22">
        <f t="shared" si="3"/>
        <v>243</v>
      </c>
      <c r="DH256" s="22">
        <f>IFERROR(VLOOKUP($C256,'Лист4'!$D:$AI,32,0)," ")</f>
        <v>0.048</v>
      </c>
      <c r="DI256" s="22"/>
      <c r="DJ256" s="22"/>
      <c r="DK256" s="22"/>
      <c r="DL256" s="22"/>
      <c r="DM256" s="22"/>
      <c r="DN256" s="22"/>
      <c r="DO256" s="22"/>
      <c r="DP256" s="22"/>
      <c r="DQ256" s="22"/>
      <c r="DR256" s="22"/>
      <c r="DS256" s="22"/>
      <c r="DT256" s="22"/>
      <c r="DU256" s="22"/>
      <c r="DV256" s="22"/>
      <c r="DW256" s="22"/>
      <c r="DX256" s="22"/>
      <c r="DY256" s="22"/>
      <c r="DZ256" s="22"/>
      <c r="EA256" s="22"/>
      <c r="EB256" s="22"/>
      <c r="EC256" s="22"/>
      <c r="ED256" s="22"/>
      <c r="EE256" s="22"/>
      <c r="EF256" s="22"/>
      <c r="EG256" s="22"/>
      <c r="EH256" s="22"/>
      <c r="EI256" s="22"/>
      <c r="EJ256" s="22"/>
      <c r="EK256" s="22"/>
      <c r="EL256" s="22"/>
      <c r="EM256" s="43"/>
      <c r="EN256" s="43"/>
      <c r="EO256" s="43"/>
      <c r="EP256" s="43"/>
      <c r="EQ256" s="43"/>
      <c r="ER256" s="43"/>
      <c r="ES256" s="43"/>
      <c r="ET256" s="43"/>
      <c r="EU256" s="43"/>
      <c r="EV256" s="43"/>
      <c r="EW256" s="43"/>
      <c r="EX256" s="43"/>
      <c r="EY256" s="43"/>
      <c r="EZ256" s="43"/>
      <c r="FA256" s="43"/>
      <c r="FB256" s="43"/>
      <c r="FC256" s="43"/>
    </row>
    <row r="257" ht="18.0" customHeight="1">
      <c r="A257" s="2"/>
      <c r="B257" s="22" t="str">
        <f>IFERROR(VLOOKUP(C257,'Реестр'!C:AC,27,0)," ")</f>
        <v>Смарт-Сэйл</v>
      </c>
      <c r="C257" s="43" t="s">
        <v>4022</v>
      </c>
      <c r="D257" s="22" t="str">
        <f>IFERROR(VLOOKUP(C257,'Лист4'!D:P,13,0)," ")</f>
        <v>CPA</v>
      </c>
      <c r="E257" s="22" t="str">
        <f>IF(OR(ISERROR(VLOOKUP(C257,'Актуальность'!A:B,2,0)), VLOOKUP(C257,'Актуальность'!A:B,2,0)=""), "Актуальный", VLOOKUP(C257,'Актуальность'!A:B,2,0))</f>
        <v>Актуальный</v>
      </c>
      <c r="F257" s="43" t="str">
        <f>IFERROR(VLOOKUP(C257,'Актуальность'!A:C,3,0)," ")</f>
        <v/>
      </c>
      <c r="G257" s="43"/>
      <c r="H257" s="22" t="s">
        <v>2663</v>
      </c>
      <c r="I257" s="22" t="s">
        <v>3888</v>
      </c>
      <c r="J257" s="43"/>
      <c r="K257" s="43"/>
      <c r="L257" s="22" t="b">
        <f t="shared" ref="L257:R257" si="253">T257&lt;&gt;""</f>
        <v>1</v>
      </c>
      <c r="M257" s="22" t="b">
        <f t="shared" si="253"/>
        <v>1</v>
      </c>
      <c r="N257" s="22" t="b">
        <f t="shared" si="253"/>
        <v>1</v>
      </c>
      <c r="O257" s="22" t="b">
        <f t="shared" si="253"/>
        <v>1</v>
      </c>
      <c r="P257" s="22" t="b">
        <f t="shared" si="253"/>
        <v>0</v>
      </c>
      <c r="Q257" s="22" t="b">
        <f t="shared" si="253"/>
        <v>0</v>
      </c>
      <c r="R257" s="22" t="b">
        <f t="shared" si="253"/>
        <v>0</v>
      </c>
      <c r="S257" s="43"/>
      <c r="T257" s="43" t="str">
        <f>IFERROR(VLOOKUP( C257,'1С'!A:B,2,0)," ")</f>
        <v>CO101100404</v>
      </c>
      <c r="U257" s="22" t="str">
        <f>IFERROR(VLOOKUP(T257,'Лист4'!C:I,3,0)," ")</f>
        <v>trezvin</v>
      </c>
      <c r="V257" s="22" t="str">
        <f>IFERROR(VLOOKUP(T257,'Лист4'!C:I,4,0)," ")</f>
        <v>trezvin</v>
      </c>
      <c r="W257" s="22" t="str">
        <f>IFERROR(VLOOKUP(T257,'Лист4'!C:I,5,0)," ")</f>
        <v>trezvin</v>
      </c>
      <c r="X257" s="43" t="str">
        <f>IFERROR(VLOOKUP(T257,'Лист4'!C:I,7,0)," ")</f>
        <v/>
      </c>
      <c r="Y257" s="43" t="str">
        <f>IFERROR(VLOOKUP(T257,'Лист4'!C:I,6,0)," ")</f>
        <v/>
      </c>
      <c r="Z257" s="43"/>
      <c r="AA257" s="43"/>
      <c r="AB257" s="22">
        <v>2.23410114E8</v>
      </c>
      <c r="AC257" s="22">
        <v>1.541858934E9</v>
      </c>
      <c r="AD257" s="22">
        <v>4.308330507E9</v>
      </c>
      <c r="AE257" s="22"/>
      <c r="AF257" s="22"/>
      <c r="AG257" s="43"/>
      <c r="AH257" s="43"/>
      <c r="AI257" s="43" t="str">
        <f>IFERROR(VLOOKUP(T257,'1С'!B:C,2,0)," ")</f>
        <v>Пищевая добавка Трезвин, CPA, 20 капсул</v>
      </c>
      <c r="AJ257" s="22" t="s">
        <v>4025</v>
      </c>
      <c r="AK257" s="22" t="s">
        <v>4026</v>
      </c>
      <c r="AL257" s="22" t="s">
        <v>4027</v>
      </c>
      <c r="AM257" s="43"/>
      <c r="AN257" s="43"/>
      <c r="AO257" s="43"/>
      <c r="AP257" s="43"/>
      <c r="AQ257" s="46" t="s">
        <v>4028</v>
      </c>
      <c r="AR257" s="46" t="s">
        <v>4029</v>
      </c>
      <c r="AS257" s="46" t="s">
        <v>4030</v>
      </c>
      <c r="AT257" s="43"/>
      <c r="AU257" s="43"/>
      <c r="AV257" s="43"/>
      <c r="AW257" s="43"/>
      <c r="AX257" s="22" t="s">
        <v>649</v>
      </c>
      <c r="AY257" s="22" t="s">
        <v>4026</v>
      </c>
      <c r="AZ257" s="22" t="s">
        <v>2692</v>
      </c>
      <c r="BA257" s="43"/>
      <c r="BB257" s="43"/>
      <c r="BC257" s="43"/>
      <c r="BD257" s="43"/>
      <c r="BE257" s="43"/>
      <c r="BF257" s="22">
        <f>IFERROR(VLOOKUP(C257,'спецификация'!B:D,3,0)," ")</f>
        <v>4610030632650</v>
      </c>
      <c r="BG257" s="22">
        <v>2.103909009E9</v>
      </c>
      <c r="BH257" s="22" t="str">
        <f>IFERROR(VLOOKUP(C257,'спецификация'!B:AA,5,0)," ")</f>
        <v>ЕАЭС N RU Д-RU.PA01.B.43724/24 от 26.01.2024 по 22.01.2029</v>
      </c>
      <c r="BI257" s="22"/>
      <c r="BJ257" s="22" t="str">
        <f>IFERROR(VLOOKUP(C257,'спецификация'!B:AA,6,0)," ")</f>
        <v/>
      </c>
      <c r="BK257" s="43"/>
      <c r="BL257" s="43"/>
      <c r="BM257" s="22" t="str">
        <f>IFERROR(VLOOKUP(BF257,'спецификация'!D:H,5,0)," ")</f>
        <v>экстракты сухой кудзы, сухой родиолы розовой, сухой ивы белой, левзеи сафлоровидной, любистока, гриба копринус, плауна булавовидного, зверобоя, витамин В6, диоксид кремния, стеарат кальция, мальтодекстрин.
</v>
      </c>
      <c r="BN257" s="43"/>
      <c r="BO257" s="22" t="str">
        <f>IFERROR(VLOOKUP(C257,'спецификация'!B:AA,10,0)," ")</f>
        <v/>
      </c>
      <c r="BP257" s="43" t="str">
        <f>IFERROR(VLOOKUP(C257,'спецификация'!B:AA,11,0)," ")</f>
        <v>индивидуальная непереносимость компонентов.</v>
      </c>
      <c r="BQ257" s="22" t="str">
        <f>IFERROR(VLOOKUP(C257,'спецификация'!B:AA,12,0)," ")</f>
        <v>хранить при температуре не выше 25 °С в местах, удалённых от прямого солнечного света, отопительных приборов, влаги.
</v>
      </c>
      <c r="BR257" s="22">
        <v>20.0</v>
      </c>
      <c r="BS257" s="22" t="s">
        <v>492</v>
      </c>
      <c r="BT257" s="22"/>
      <c r="BU257" s="22"/>
      <c r="BV257" s="22" t="s">
        <v>307</v>
      </c>
      <c r="BW257" s="44" t="str">
        <f>IFERROR(VLOOKUP(C257,'спецификация'!B:AA,16,0)," ")</f>
        <v>https://docs.google.com/document/d/1qYbzp6-8K0VmKPMPkrOaveviZSP5Z8uJ/edit?usp=drive_web&amp;ouid=104241417680089502627&amp;rtpof=true</v>
      </c>
      <c r="BX257" s="43"/>
      <c r="BY257" s="43"/>
      <c r="BZ257" s="45" t="str">
        <f>IFERROR(VLOOKUP(BF257,'спецификация'!D:Y,22,0)," ")</f>
        <v/>
      </c>
      <c r="CA257" s="43"/>
      <c r="CB257" s="43"/>
      <c r="CC257" s="43"/>
      <c r="CD257" s="43"/>
      <c r="CE257" s="43"/>
      <c r="CF257" s="43"/>
      <c r="CG257" s="49">
        <f>IFERROR(VLOOKUP(C257,CC!A:D,4,0)," ")</f>
        <v>117.32</v>
      </c>
      <c r="CH257" s="22" t="str">
        <f>IFERROR(VLOOKUP(C257,'спецификация'!B:AA,19,0)," ")</f>
        <v>ООО Нутрафарм</v>
      </c>
      <c r="CI257" s="22"/>
      <c r="CJ257" s="43"/>
      <c r="CK257" s="22">
        <f>IFERROR(VLOOKUP(C257,CC!K:M,3,0)," ")</f>
        <v>45</v>
      </c>
      <c r="CL257" s="43"/>
      <c r="CM257" s="43"/>
      <c r="CN257" s="43"/>
      <c r="CO257" s="43"/>
      <c r="CP257" s="43"/>
      <c r="CQ257" s="43"/>
      <c r="CR257" s="43"/>
      <c r="CS257" s="43" t="b">
        <v>0</v>
      </c>
      <c r="CT257" s="43" t="b">
        <v>0</v>
      </c>
      <c r="CU257" s="43" t="b">
        <v>0</v>
      </c>
      <c r="CV257" s="43" t="b">
        <v>0</v>
      </c>
      <c r="CW257" s="43"/>
      <c r="CX257" s="43"/>
      <c r="CY257" s="43"/>
      <c r="CZ257" s="43"/>
      <c r="DA257" s="43"/>
      <c r="DB257" s="43"/>
      <c r="DC257" s="43"/>
      <c r="DD257" s="22">
        <f>IFERROR(VLOOKUP($C257,'Лист4'!$D:$AI,27,0)," ")</f>
        <v>7</v>
      </c>
      <c r="DE257" s="22">
        <f>IFERROR(VLOOKUP($C257,'Лист4'!$D:$AI,28,0)," ")</f>
        <v>1</v>
      </c>
      <c r="DF257" s="22">
        <f>IFERROR(VLOOKUP($C257,'Лист4'!$D:$AI,29,0)," ")</f>
        <v>7</v>
      </c>
      <c r="DG257" s="22">
        <f t="shared" si="3"/>
        <v>49</v>
      </c>
      <c r="DH257" s="22">
        <f>IFERROR(VLOOKUP($C257,'Лист4'!$D:$AI,32,0)," ")</f>
        <v>0.022</v>
      </c>
      <c r="DI257" s="22"/>
      <c r="DJ257" s="22"/>
      <c r="DK257" s="22"/>
      <c r="DL257" s="22"/>
      <c r="DM257" s="22"/>
      <c r="DN257" s="22"/>
      <c r="DO257" s="22"/>
      <c r="DP257" s="22"/>
      <c r="DQ257" s="22"/>
      <c r="DR257" s="22"/>
      <c r="DS257" s="22"/>
      <c r="DT257" s="22"/>
      <c r="DU257" s="22"/>
      <c r="DV257" s="22"/>
      <c r="DW257" s="22"/>
      <c r="DX257" s="22"/>
      <c r="DY257" s="22"/>
      <c r="DZ257" s="22"/>
      <c r="EA257" s="22"/>
      <c r="EB257" s="22"/>
      <c r="EC257" s="22"/>
      <c r="ED257" s="22"/>
      <c r="EE257" s="22"/>
      <c r="EF257" s="22"/>
      <c r="EG257" s="22"/>
      <c r="EH257" s="22"/>
      <c r="EI257" s="22"/>
      <c r="EJ257" s="22"/>
      <c r="EK257" s="22"/>
      <c r="EL257" s="22"/>
      <c r="EM257" s="43"/>
      <c r="EN257" s="43"/>
      <c r="EO257" s="43"/>
      <c r="EP257" s="43"/>
      <c r="EQ257" s="43"/>
      <c r="ER257" s="43"/>
      <c r="ES257" s="43"/>
      <c r="ET257" s="43"/>
      <c r="EU257" s="43"/>
      <c r="EV257" s="43"/>
      <c r="EW257" s="43"/>
      <c r="EX257" s="43"/>
      <c r="EY257" s="43"/>
      <c r="EZ257" s="43"/>
      <c r="FA257" s="43"/>
      <c r="FB257" s="43"/>
      <c r="FC257" s="43"/>
    </row>
    <row r="258" ht="18.0" customHeight="1">
      <c r="A258" s="2"/>
      <c r="B258" s="22" t="str">
        <f>IFERROR(VLOOKUP(C258,'Реестр'!C:AC,27,0)," ")</f>
        <v>Смарт-Сэйл</v>
      </c>
      <c r="C258" s="43" t="s">
        <v>4036</v>
      </c>
      <c r="D258" s="22" t="str">
        <f>IFERROR(VLOOKUP(C258,'Лист4'!D:P,13,0)," ")</f>
        <v>CPA</v>
      </c>
      <c r="E258" s="22" t="str">
        <f>IF(OR(ISERROR(VLOOKUP(C258,'Актуальность'!A:B,2,0)), VLOOKUP(C258,'Актуальность'!A:B,2,0)=""), "Актуальный", VLOOKUP(C258,'Актуальность'!A:B,2,0))</f>
        <v>Актуальный</v>
      </c>
      <c r="F258" s="43" t="str">
        <f>IFERROR(VLOOKUP(C258,'Актуальность'!A:C,3,0)," ")</f>
        <v/>
      </c>
      <c r="G258" s="43"/>
      <c r="H258" s="22" t="s">
        <v>2663</v>
      </c>
      <c r="I258" s="22" t="s">
        <v>2703</v>
      </c>
      <c r="J258" s="43"/>
      <c r="K258" s="43"/>
      <c r="L258" s="22" t="b">
        <f t="shared" ref="L258:R258" si="254">T258&lt;&gt;""</f>
        <v>1</v>
      </c>
      <c r="M258" s="22" t="b">
        <f t="shared" si="254"/>
        <v>1</v>
      </c>
      <c r="N258" s="22" t="b">
        <f t="shared" si="254"/>
        <v>1</v>
      </c>
      <c r="O258" s="22" t="b">
        <f t="shared" si="254"/>
        <v>1</v>
      </c>
      <c r="P258" s="22" t="b">
        <f t="shared" si="254"/>
        <v>0</v>
      </c>
      <c r="Q258" s="22" t="b">
        <f t="shared" si="254"/>
        <v>0</v>
      </c>
      <c r="R258" s="22" t="b">
        <f t="shared" si="254"/>
        <v>0</v>
      </c>
      <c r="S258" s="43"/>
      <c r="T258" s="43" t="str">
        <f>IFERROR(VLOOKUP( C258,'1С'!A:B,2,0)," ")</f>
        <v>CO101100427</v>
      </c>
      <c r="U258" s="22" t="str">
        <f>IFERROR(VLOOKUP(T258,'Лист4'!C:I,3,0)," ")</f>
        <v>micardin_1_1</v>
      </c>
      <c r="V258" s="22" t="str">
        <f>IFERROR(VLOOKUP(T258,'Лист4'!C:I,4,0)," ")</f>
        <v>micardin_1_1</v>
      </c>
      <c r="W258" s="22" t="str">
        <f>IFERROR(VLOOKUP(T258,'Лист4'!C:I,5,0)," ")</f>
        <v>micardin_1_1</v>
      </c>
      <c r="X258" s="43" t="str">
        <f>IFERROR(VLOOKUP(T258,'Лист4'!C:I,7,0)," ")</f>
        <v/>
      </c>
      <c r="Y258" s="43" t="str">
        <f>IFERROR(VLOOKUP(T258,'Лист4'!C:I,6,0)," ")</f>
        <v/>
      </c>
      <c r="Z258" s="43"/>
      <c r="AA258" s="43"/>
      <c r="AB258" s="22">
        <v>1.72162756E8</v>
      </c>
      <c r="AC258" s="22">
        <v>1.129297463E9</v>
      </c>
      <c r="AD258" s="22">
        <v>1.03515392261E11</v>
      </c>
      <c r="AE258" s="22"/>
      <c r="AF258" s="22"/>
      <c r="AG258" s="43"/>
      <c r="AH258" s="43"/>
      <c r="AI258" s="43" t="str">
        <f>IFERROR(VLOOKUP(T258,'1С'!B:C,2,0)," ")</f>
        <v>Пищевая добавка Микардин, CPA, 10 капсул, набор из 2 шт</v>
      </c>
      <c r="AJ258" s="22" t="s">
        <v>3190</v>
      </c>
      <c r="AK258" s="22" t="s">
        <v>4039</v>
      </c>
      <c r="AL258" s="22" t="s">
        <v>4039</v>
      </c>
      <c r="AM258" s="43"/>
      <c r="AN258" s="43"/>
      <c r="AO258" s="43"/>
      <c r="AP258" s="43"/>
      <c r="AQ258" s="46" t="s">
        <v>4040</v>
      </c>
      <c r="AR258" s="46" t="s">
        <v>4041</v>
      </c>
      <c r="AS258" s="46" t="s">
        <v>4042</v>
      </c>
      <c r="AT258" s="43"/>
      <c r="AU258" s="43"/>
      <c r="AV258" s="43"/>
      <c r="AW258" s="43"/>
      <c r="AX258" s="22" t="s">
        <v>361</v>
      </c>
      <c r="AY258" s="22" t="s">
        <v>4039</v>
      </c>
      <c r="AZ258" s="22" t="s">
        <v>372</v>
      </c>
      <c r="BA258" s="43"/>
      <c r="BB258" s="43"/>
      <c r="BC258" s="43"/>
      <c r="BD258" s="43"/>
      <c r="BE258" s="43"/>
      <c r="BF258" s="22">
        <f>IFERROR(VLOOKUP(C258,'спецификация'!B:D,3,0)," ")</f>
        <v>2038301460351</v>
      </c>
      <c r="BG258" s="22">
        <v>2.106909809E9</v>
      </c>
      <c r="BH258" s="22" t="str">
        <f>IFERROR(VLOOKUP(C258,'спецификация'!B:AA,5,0)," ")</f>
        <v/>
      </c>
      <c r="BI258" s="22"/>
      <c r="BJ258" s="22" t="str">
        <f>IFERROR(VLOOKUP(C258,'спецификация'!B:AA,6,0)," ")</f>
        <v/>
      </c>
      <c r="BK258" s="43"/>
      <c r="BL258" s="43"/>
      <c r="BM258" s="22" t="str">
        <f>IFERROR(VLOOKUP(BF258,'спецификация'!D:H,5,0)," ")</f>
        <v/>
      </c>
      <c r="BN258" s="43"/>
      <c r="BO258" s="22" t="str">
        <f>IFERROR(VLOOKUP(C258,'спецификация'!B:AA,10,0)," ")</f>
        <v/>
      </c>
      <c r="BP258" s="43" t="str">
        <f>IFERROR(VLOOKUP(C258,'спецификация'!B:AA,11,0)," ")</f>
        <v/>
      </c>
      <c r="BQ258" s="22" t="str">
        <f>IFERROR(VLOOKUP(C258,'спецификация'!B:AA,12,0)," ")</f>
        <v/>
      </c>
      <c r="BR258" s="22"/>
      <c r="BS258" s="43"/>
      <c r="BT258" s="43"/>
      <c r="BU258" s="22"/>
      <c r="BV258" s="22"/>
      <c r="BW258" s="45" t="str">
        <f>IFERROR(VLOOKUP(C258,'спецификация'!B:AA,16,0)," ")</f>
        <v/>
      </c>
      <c r="BX258" s="43"/>
      <c r="BY258" s="43"/>
      <c r="BZ258" s="45" t="str">
        <f>IFERROR(VLOOKUP(BF258,'спецификация'!D:Y,22,0)," ")</f>
        <v/>
      </c>
      <c r="CA258" s="43"/>
      <c r="CB258" s="43"/>
      <c r="CC258" s="43"/>
      <c r="CD258" s="43"/>
      <c r="CE258" s="43"/>
      <c r="CF258" s="43"/>
      <c r="CG258" s="49">
        <f>IFERROR(VLOOKUP(C258,CC!A:D,4,0)," ")</f>
        <v>206.96</v>
      </c>
      <c r="CH258" s="22" t="str">
        <f>IFERROR(VLOOKUP(C258,'спецификация'!B:AA,19,0)," ")</f>
        <v/>
      </c>
      <c r="CI258" s="22"/>
      <c r="CJ258" s="43"/>
      <c r="CK258" s="22">
        <f>IFERROR(VLOOKUP(C258,CC!K:M,3,0)," ")</f>
        <v>45</v>
      </c>
      <c r="CL258" s="43"/>
      <c r="CM258" s="43"/>
      <c r="CN258" s="43"/>
      <c r="CO258" s="43"/>
      <c r="CP258" s="43"/>
      <c r="CQ258" s="43"/>
      <c r="CR258" s="43"/>
      <c r="CS258" s="43" t="b">
        <v>0</v>
      </c>
      <c r="CT258" s="43" t="b">
        <v>0</v>
      </c>
      <c r="CU258" s="43" t="b">
        <v>0</v>
      </c>
      <c r="CV258" s="43" t="b">
        <v>0</v>
      </c>
      <c r="CW258" s="43"/>
      <c r="CX258" s="43"/>
      <c r="CY258" s="43"/>
      <c r="CZ258" s="43"/>
      <c r="DA258" s="43"/>
      <c r="DB258" s="43"/>
      <c r="DC258" s="43"/>
      <c r="DD258" s="22">
        <f>IFERROR(VLOOKUP($C258,'Лист4'!$D:$AI,27,0)," ")</f>
        <v>15</v>
      </c>
      <c r="DE258" s="22">
        <f>IFERROR(VLOOKUP($C258,'Лист4'!$D:$AI,28,0)," ")</f>
        <v>6</v>
      </c>
      <c r="DF258" s="22">
        <f>IFERROR(VLOOKUP($C258,'Лист4'!$D:$AI,29,0)," ")</f>
        <v>15</v>
      </c>
      <c r="DG258" s="22">
        <f t="shared" si="3"/>
        <v>1350</v>
      </c>
      <c r="DH258" s="22">
        <f>IFERROR(VLOOKUP($C258,'Лист4'!$D:$AI,32,0)," ")</f>
        <v>0.032</v>
      </c>
      <c r="DI258" s="22"/>
      <c r="DJ258" s="22"/>
      <c r="DK258" s="22"/>
      <c r="DL258" s="22"/>
      <c r="DM258" s="22"/>
      <c r="DN258" s="22"/>
      <c r="DO258" s="22"/>
      <c r="DP258" s="22"/>
      <c r="DQ258" s="22"/>
      <c r="DR258" s="22"/>
      <c r="DS258" s="22"/>
      <c r="DT258" s="22"/>
      <c r="DU258" s="22"/>
      <c r="DV258" s="22"/>
      <c r="DW258" s="22"/>
      <c r="DX258" s="22"/>
      <c r="DY258" s="22"/>
      <c r="DZ258" s="22"/>
      <c r="EA258" s="22"/>
      <c r="EB258" s="22"/>
      <c r="EC258" s="22"/>
      <c r="ED258" s="22"/>
      <c r="EE258" s="22"/>
      <c r="EF258" s="22"/>
      <c r="EG258" s="22"/>
      <c r="EH258" s="22"/>
      <c r="EI258" s="22"/>
      <c r="EJ258" s="22"/>
      <c r="EK258" s="22"/>
      <c r="EL258" s="22"/>
      <c r="EM258" s="43"/>
      <c r="EN258" s="43"/>
      <c r="EO258" s="43"/>
      <c r="EP258" s="43"/>
      <c r="EQ258" s="43"/>
      <c r="ER258" s="43"/>
      <c r="ES258" s="43"/>
      <c r="ET258" s="43"/>
      <c r="EU258" s="43"/>
      <c r="EV258" s="43"/>
      <c r="EW258" s="43"/>
      <c r="EX258" s="43"/>
      <c r="EY258" s="43"/>
      <c r="EZ258" s="43"/>
      <c r="FA258" s="43"/>
      <c r="FB258" s="43"/>
      <c r="FC258" s="43"/>
    </row>
    <row r="259" ht="18.0" customHeight="1">
      <c r="A259" s="2"/>
      <c r="B259" s="22" t="str">
        <f>IFERROR(VLOOKUP(C259,'Реестр'!C:AC,27,0)," ")</f>
        <v>Смарт-Сэйл</v>
      </c>
      <c r="C259" s="43" t="s">
        <v>4043</v>
      </c>
      <c r="D259" s="22" t="str">
        <f>IFERROR(VLOOKUP(C259,'Лист4'!D:P,13,0)," ")</f>
        <v>CPA</v>
      </c>
      <c r="E259" s="22" t="str">
        <f>IF(OR(ISERROR(VLOOKUP(C259,'Актуальность'!A:B,2,0)), VLOOKUP(C259,'Актуальность'!A:B,2,0)=""), "Актуальный", VLOOKUP(C259,'Актуальность'!A:B,2,0))</f>
        <v>Актуальный</v>
      </c>
      <c r="F259" s="43" t="str">
        <f>IFERROR(VLOOKUP(C259,'Актуальность'!A:C,3,0)," ")</f>
        <v/>
      </c>
      <c r="G259" s="43"/>
      <c r="H259" s="22" t="s">
        <v>2663</v>
      </c>
      <c r="I259" s="22" t="s">
        <v>4045</v>
      </c>
      <c r="J259" s="43"/>
      <c r="K259" s="43"/>
      <c r="L259" s="22" t="b">
        <f t="shared" ref="L259:R259" si="255">T259&lt;&gt;""</f>
        <v>1</v>
      </c>
      <c r="M259" s="22" t="b">
        <f t="shared" si="255"/>
        <v>1</v>
      </c>
      <c r="N259" s="22" t="b">
        <f t="shared" si="255"/>
        <v>1</v>
      </c>
      <c r="O259" s="22" t="b">
        <f t="shared" si="255"/>
        <v>1</v>
      </c>
      <c r="P259" s="22" t="b">
        <f t="shared" si="255"/>
        <v>0</v>
      </c>
      <c r="Q259" s="22" t="b">
        <f t="shared" si="255"/>
        <v>0</v>
      </c>
      <c r="R259" s="22" t="b">
        <f t="shared" si="255"/>
        <v>0</v>
      </c>
      <c r="S259" s="43"/>
      <c r="T259" s="43" t="str">
        <f>IFERROR(VLOOKUP( C259,'1С'!A:B,2,0)," ")</f>
        <v>CO101100411</v>
      </c>
      <c r="U259" s="22" t="str">
        <f>IFERROR(VLOOKUP(T259,'Лист4'!C:I,3,0)," ")</f>
        <v>chudogrib</v>
      </c>
      <c r="V259" s="22" t="str">
        <f>IFERROR(VLOOKUP(T259,'Лист4'!C:I,4,0)," ")</f>
        <v>chudogrib</v>
      </c>
      <c r="W259" s="22" t="str">
        <f>IFERROR(VLOOKUP(T259,'Лист4'!C:I,5,0)," ")</f>
        <v>chudogrib</v>
      </c>
      <c r="X259" s="43" t="str">
        <f>IFERROR(VLOOKUP(T259,'Лист4'!C:I,7,0)," ")</f>
        <v/>
      </c>
      <c r="Y259" s="43" t="str">
        <f>IFERROR(VLOOKUP(T259,'Лист4'!C:I,6,0)," ")</f>
        <v/>
      </c>
      <c r="Z259" s="43"/>
      <c r="AA259" s="43"/>
      <c r="AB259" s="22">
        <v>2.22218347E8</v>
      </c>
      <c r="AC259" s="22">
        <v>1.528840163E9</v>
      </c>
      <c r="AD259" s="22">
        <v>1.035154256E11</v>
      </c>
      <c r="AE259" s="22"/>
      <c r="AF259" s="22"/>
      <c r="AG259" s="43"/>
      <c r="AH259" s="43"/>
      <c r="AI259" s="43" t="str">
        <f>IFERROR(VLOOKUP(T259,'1С'!B:C,2,0)," ")</f>
        <v>Пищевая добавка Чудо гриб, CPA, 20 капсул</v>
      </c>
      <c r="AJ259" s="22" t="s">
        <v>4047</v>
      </c>
      <c r="AK259" s="22" t="s">
        <v>4048</v>
      </c>
      <c r="AL259" s="22" t="s">
        <v>4048</v>
      </c>
      <c r="AM259" s="43"/>
      <c r="AN259" s="43"/>
      <c r="AO259" s="43"/>
      <c r="AP259" s="43"/>
      <c r="AQ259" s="46" t="s">
        <v>4049</v>
      </c>
      <c r="AR259" s="46" t="s">
        <v>4050</v>
      </c>
      <c r="AS259" s="46" t="s">
        <v>4051</v>
      </c>
      <c r="AT259" s="43"/>
      <c r="AU259" s="43"/>
      <c r="AV259" s="43"/>
      <c r="AW259" s="43"/>
      <c r="AX259" s="22" t="s">
        <v>649</v>
      </c>
      <c r="AY259" s="22" t="s">
        <v>4048</v>
      </c>
      <c r="AZ259" s="22" t="s">
        <v>2692</v>
      </c>
      <c r="BA259" s="43"/>
      <c r="BB259" s="43"/>
      <c r="BC259" s="43"/>
      <c r="BD259" s="43"/>
      <c r="BE259" s="43"/>
      <c r="BF259" s="22">
        <f>IFERROR(VLOOKUP(C259,'спецификация'!B:D,3,0)," ")</f>
        <v>4610030631462</v>
      </c>
      <c r="BG259" s="22">
        <v>2.106909808E9</v>
      </c>
      <c r="BH259" s="22" t="str">
        <f>IFERROR(VLOOKUP(C259,'спецификация'!B:AA,5,0)," ")</f>
        <v>ЕАЭС N RU Д-RU.РА03.В.97282/24 от 27.04.2024 по 25.04.2029</v>
      </c>
      <c r="BI259" s="22"/>
      <c r="BJ259" s="22" t="str">
        <f>IFERROR(VLOOKUP(C259,'спецификация'!B:AA,6,0)," ")</f>
        <v/>
      </c>
      <c r="BK259" s="43"/>
      <c r="BL259" s="43"/>
      <c r="BM259" s="22" t="str">
        <f>IFERROR(VLOOKUP(BF259,'спецификация'!D:H,5,0)," ")</f>
        <v>мальтодекстрин, экстракты пижмы, сенны, гвоздики, куркумы, семян кориандра, имбиря, экстракт черного перца, фенхеля, кордицепс, экстракт коры дуба, экстракт семян тмина, ежовик гребенчатый, диоксид кремния, стеарат кальция.</v>
      </c>
      <c r="BN259" s="43"/>
      <c r="BO259" s="22" t="str">
        <f>IFERROR(VLOOKUP(C259,'спецификация'!B:AA,10,0)," ")</f>
        <v/>
      </c>
      <c r="BP259" s="43" t="str">
        <f>IFERROR(VLOOKUP(C259,'спецификация'!B:AA,11,0)," ")</f>
        <v>индивидуальная непереносимость компонентов.
</v>
      </c>
      <c r="BQ259" s="22" t="str">
        <f>IFERROR(VLOOKUP(C259,'спецификация'!B:AA,12,0)," ")</f>
        <v>хранить при температуре не выше 25 °С в местах, удалённых от прямого солнечного света, отопительных приборов, влаги.
</v>
      </c>
      <c r="BR259" s="22">
        <v>20.0</v>
      </c>
      <c r="BS259" s="22" t="s">
        <v>492</v>
      </c>
      <c r="BT259" s="22"/>
      <c r="BU259" s="22"/>
      <c r="BV259" s="22" t="s">
        <v>4054</v>
      </c>
      <c r="BW259" s="44" t="str">
        <f>IFERROR(VLOOKUP(C259,'спецификация'!B:AA,16,0)," ")</f>
        <v>https://drive.google.com/drive/folders/19Vi38BgXKQ46JvCJVefT2P-qH4f0QVux</v>
      </c>
      <c r="BX259" s="43"/>
      <c r="BY259" s="43"/>
      <c r="BZ259" s="45" t="str">
        <f>IFERROR(VLOOKUP(BF259,'спецификация'!D:Y,22,0)," ")</f>
        <v/>
      </c>
      <c r="CA259" s="43"/>
      <c r="CB259" s="43"/>
      <c r="CC259" s="43"/>
      <c r="CD259" s="43"/>
      <c r="CE259" s="43"/>
      <c r="CF259" s="43"/>
      <c r="CG259" s="49">
        <f>IFERROR(VLOOKUP(C259,CC!A:D,4,0)," ")</f>
        <v>116.89</v>
      </c>
      <c r="CH259" s="22" t="str">
        <f>IFERROR(VLOOKUP(C259,'спецификация'!B:AA,19,0)," ")</f>
        <v>ООО Нутрафарм</v>
      </c>
      <c r="CI259" s="22"/>
      <c r="CJ259" s="43"/>
      <c r="CK259" s="22">
        <f>IFERROR(VLOOKUP(C259,CC!K:M,3,0)," ")</f>
        <v>45</v>
      </c>
      <c r="CL259" s="43"/>
      <c r="CM259" s="43"/>
      <c r="CN259" s="43"/>
      <c r="CO259" s="43"/>
      <c r="CP259" s="43"/>
      <c r="CQ259" s="43"/>
      <c r="CR259" s="43"/>
      <c r="CS259" s="43" t="b">
        <v>0</v>
      </c>
      <c r="CT259" s="43" t="b">
        <v>0</v>
      </c>
      <c r="CU259" s="43" t="b">
        <v>0</v>
      </c>
      <c r="CV259" s="43" t="b">
        <v>0</v>
      </c>
      <c r="CW259" s="43"/>
      <c r="CX259" s="43"/>
      <c r="CY259" s="43"/>
      <c r="CZ259" s="43"/>
      <c r="DA259" s="43"/>
      <c r="DB259" s="43"/>
      <c r="DC259" s="43"/>
      <c r="DD259" s="22">
        <f>IFERROR(VLOOKUP($C259,'Лист4'!$D:$AI,27,0)," ")</f>
        <v>8</v>
      </c>
      <c r="DE259" s="22">
        <f>IFERROR(VLOOKUP($C259,'Лист4'!$D:$AI,28,0)," ")</f>
        <v>2</v>
      </c>
      <c r="DF259" s="22">
        <f>IFERROR(VLOOKUP($C259,'Лист4'!$D:$AI,29,0)," ")</f>
        <v>8</v>
      </c>
      <c r="DG259" s="22">
        <f t="shared" si="3"/>
        <v>128</v>
      </c>
      <c r="DH259" s="22">
        <f>IFERROR(VLOOKUP($C259,'Лист4'!$D:$AI,32,0)," ")</f>
        <v>0.023</v>
      </c>
      <c r="DI259" s="22"/>
      <c r="DJ259" s="22"/>
      <c r="DK259" s="22"/>
      <c r="DL259" s="22"/>
      <c r="DM259" s="22"/>
      <c r="DN259" s="22"/>
      <c r="DO259" s="22"/>
      <c r="DP259" s="22"/>
      <c r="DQ259" s="22"/>
      <c r="DR259" s="22"/>
      <c r="DS259" s="22"/>
      <c r="DT259" s="22"/>
      <c r="DU259" s="22"/>
      <c r="DV259" s="22"/>
      <c r="DW259" s="22"/>
      <c r="DX259" s="22"/>
      <c r="DY259" s="22"/>
      <c r="DZ259" s="22"/>
      <c r="EA259" s="22"/>
      <c r="EB259" s="22"/>
      <c r="EC259" s="22"/>
      <c r="ED259" s="22"/>
      <c r="EE259" s="22"/>
      <c r="EF259" s="22"/>
      <c r="EG259" s="22"/>
      <c r="EH259" s="22"/>
      <c r="EI259" s="22"/>
      <c r="EJ259" s="22"/>
      <c r="EK259" s="22"/>
      <c r="EL259" s="22"/>
      <c r="EM259" s="43"/>
      <c r="EN259" s="43"/>
      <c r="EO259" s="43"/>
      <c r="EP259" s="43"/>
      <c r="EQ259" s="43"/>
      <c r="ER259" s="43"/>
      <c r="ES259" s="43"/>
      <c r="ET259" s="43"/>
      <c r="EU259" s="43"/>
      <c r="EV259" s="43"/>
      <c r="EW259" s="43"/>
      <c r="EX259" s="43"/>
      <c r="EY259" s="43"/>
      <c r="EZ259" s="43"/>
      <c r="FA259" s="43"/>
      <c r="FB259" s="43"/>
      <c r="FC259" s="43"/>
    </row>
    <row r="260" ht="18.0" customHeight="1">
      <c r="A260" s="2"/>
      <c r="B260" s="22" t="str">
        <f>IFERROR(VLOOKUP(C260,'Реестр'!C:AC,27,0)," ")</f>
        <v>Смарт-Сэйл</v>
      </c>
      <c r="C260" s="43" t="s">
        <v>4056</v>
      </c>
      <c r="D260" s="22" t="str">
        <f>IFERROR(VLOOKUP(C260,'Лист4'!D:P,13,0)," ")</f>
        <v>CPA</v>
      </c>
      <c r="E260" s="22" t="str">
        <f>IF(OR(ISERROR(VLOOKUP(C260,'Актуальность'!A:B,2,0)), VLOOKUP(C260,'Актуальность'!A:B,2,0)=""), "Актуальный", VLOOKUP(C260,'Актуальность'!A:B,2,0))</f>
        <v>Актуальный</v>
      </c>
      <c r="F260" s="43" t="str">
        <f>IFERROR(VLOOKUP(C260,'Актуальность'!A:C,3,0)," ")</f>
        <v/>
      </c>
      <c r="G260" s="43"/>
      <c r="H260" s="22" t="s">
        <v>2663</v>
      </c>
      <c r="I260" s="22" t="s">
        <v>4058</v>
      </c>
      <c r="J260" s="43"/>
      <c r="K260" s="43"/>
      <c r="L260" s="22" t="b">
        <f t="shared" ref="L260:R260" si="256">T260&lt;&gt;""</f>
        <v>1</v>
      </c>
      <c r="M260" s="22" t="b">
        <f t="shared" si="256"/>
        <v>1</v>
      </c>
      <c r="N260" s="22" t="b">
        <f t="shared" si="256"/>
        <v>1</v>
      </c>
      <c r="O260" s="22" t="b">
        <f t="shared" si="256"/>
        <v>1</v>
      </c>
      <c r="P260" s="22" t="b">
        <f t="shared" si="256"/>
        <v>0</v>
      </c>
      <c r="Q260" s="22" t="b">
        <f t="shared" si="256"/>
        <v>0</v>
      </c>
      <c r="R260" s="22" t="b">
        <f t="shared" si="256"/>
        <v>0</v>
      </c>
      <c r="S260" s="43"/>
      <c r="T260" s="43" t="str">
        <f>IFERROR(VLOOKUP( C260,'1С'!A:B,2,0)," ")</f>
        <v>CC101100419</v>
      </c>
      <c r="U260" s="43" t="s">
        <v>4056</v>
      </c>
      <c r="V260" s="43" t="s">
        <v>4056</v>
      </c>
      <c r="W260" s="43" t="s">
        <v>4056</v>
      </c>
      <c r="X260" s="43" t="str">
        <f>IFERROR(VLOOKUP(T260,'Лист4'!C:I,7,0)," ")</f>
        <v/>
      </c>
      <c r="Y260" s="43" t="str">
        <f>IFERROR(VLOOKUP(T260,'Лист4'!C:I,6,0)," ")</f>
        <v/>
      </c>
      <c r="Z260" s="43"/>
      <c r="AA260" s="43"/>
      <c r="AB260" s="22">
        <v>1.36537336E8</v>
      </c>
      <c r="AC260" s="22">
        <v>2.825114763E9</v>
      </c>
      <c r="AD260" s="22">
        <v>1.0351542379E11</v>
      </c>
      <c r="AE260" s="22"/>
      <c r="AF260" s="22"/>
      <c r="AG260" s="43"/>
      <c r="AH260" s="43"/>
      <c r="AI260" s="43" t="str">
        <f>IFERROR(VLOOKUP(T260,'1С'!B:C,2,0)," ")</f>
        <v>Мазь от псориаза Псорал, CPA, 30 мл</v>
      </c>
      <c r="AJ260" s="22" t="s">
        <v>4060</v>
      </c>
      <c r="AK260" s="22" t="s">
        <v>4061</v>
      </c>
      <c r="AL260" s="22" t="s">
        <v>4062</v>
      </c>
      <c r="AM260" s="43"/>
      <c r="AN260" s="43"/>
      <c r="AO260" s="43"/>
      <c r="AP260" s="43"/>
      <c r="AQ260" s="46" t="s">
        <v>4063</v>
      </c>
      <c r="AR260" s="46" t="s">
        <v>4064</v>
      </c>
      <c r="AS260" s="46" t="s">
        <v>4065</v>
      </c>
      <c r="AT260" s="43"/>
      <c r="AU260" s="43"/>
      <c r="AV260" s="43"/>
      <c r="AW260" s="43"/>
      <c r="AX260" s="22" t="s">
        <v>594</v>
      </c>
      <c r="AY260" s="22" t="s">
        <v>4061</v>
      </c>
      <c r="AZ260" s="22" t="s">
        <v>2672</v>
      </c>
      <c r="BA260" s="43"/>
      <c r="BB260" s="43"/>
      <c r="BC260" s="43"/>
      <c r="BD260" s="43"/>
      <c r="BE260" s="43"/>
      <c r="BF260" s="22">
        <f>IFERROR(VLOOKUP(C260,'спецификация'!B:D,3,0)," ")</f>
        <v>4631158757957</v>
      </c>
      <c r="BG260" s="22">
        <v>3.30499E9</v>
      </c>
      <c r="BH260" s="22" t="str">
        <f>IFERROR(VLOOKUP(C260,'спецификация'!B:AA,5,0)," ")</f>
        <v>ЕАЭС N RU Д-RU.PA08.B.30783/22 от 17.11.2022 до 16.11.2027</v>
      </c>
      <c r="BI260" s="22"/>
      <c r="BJ260" s="22" t="str">
        <f>IFERROR(VLOOKUP(C260,'спецификация'!B:AA,6,0)," ")</f>
        <v/>
      </c>
      <c r="BK260" s="43"/>
      <c r="BL260" s="43"/>
      <c r="BM260" s="22" t="str">
        <f>IFERROR(VLOOKUP(BF260,'спецификация'!D:H,5,0)," ")</f>
        <v>вода, морская соль, экстракт череды, экстракт ромашки, морской коллаген, экстракт чистотела, экстракт шалфея, деготь, нафталан, карбопол, консервант.</v>
      </c>
      <c r="BN260" s="43"/>
      <c r="BO260" s="22" t="str">
        <f>IFERROR(VLOOKUP(C260,'спецификация'!B:AA,10,0)," ")</f>
        <v/>
      </c>
      <c r="BP260" s="43" t="str">
        <f>IFERROR(VLOOKUP(C260,'спецификация'!B:AA,11,0)," ")</f>
        <v>индивидуальная непереносимость компонентов продукта, беременность, кормление грудью. </v>
      </c>
      <c r="BQ260" s="22" t="str">
        <f>IFERROR(VLOOKUP(C260,'спецификация'!B:AA,12,0)," ")</f>
        <v>хранить в оригинальной упаковке, в защищенном от прямых солнечных лучей и недоступном для детей месте при температуре не выше 25°С.</v>
      </c>
      <c r="BR260" s="22">
        <v>30.0</v>
      </c>
      <c r="BS260" s="22" t="s">
        <v>139</v>
      </c>
      <c r="BT260" s="22"/>
      <c r="BU260" s="22"/>
      <c r="BV260" s="22"/>
      <c r="BW260" s="44" t="str">
        <f>IFERROR(VLOOKUP(C260,'спецификация'!B:AA,16,0)," ")</f>
        <v>https://drive.google.com/drive/folders/10l7xEpm1sPcdx8MRENcbgIKJyEw4KNY2</v>
      </c>
      <c r="BX260" s="43"/>
      <c r="BY260" s="43"/>
      <c r="BZ260" s="45" t="str">
        <f>IFERROR(VLOOKUP(BF260,'спецификация'!D:Y,22,0)," ")</f>
        <v/>
      </c>
      <c r="CA260" s="43"/>
      <c r="CB260" s="43"/>
      <c r="CC260" s="43"/>
      <c r="CD260" s="43"/>
      <c r="CE260" s="43"/>
      <c r="CF260" s="43"/>
      <c r="CG260" s="49">
        <f>IFERROR(VLOOKUP(C260,CC!A:D,4,0)," ")</f>
        <v>106.37</v>
      </c>
      <c r="CH260" s="22" t="str">
        <f>IFERROR(VLOOKUP(C260,'спецификация'!B:AA,19,0)," ")</f>
        <v/>
      </c>
      <c r="CI260" s="22"/>
      <c r="CJ260" s="43"/>
      <c r="CK260" s="22">
        <f>IFERROR(VLOOKUP(C260,CC!K:M,3,0)," ")</f>
        <v>45</v>
      </c>
      <c r="CL260" s="43"/>
      <c r="CM260" s="43"/>
      <c r="CN260" s="43"/>
      <c r="CO260" s="43"/>
      <c r="CP260" s="43"/>
      <c r="CQ260" s="43"/>
      <c r="CR260" s="43"/>
      <c r="CS260" s="43" t="b">
        <v>0</v>
      </c>
      <c r="CT260" s="43" t="b">
        <v>0</v>
      </c>
      <c r="CU260" s="43" t="b">
        <v>0</v>
      </c>
      <c r="CV260" s="43" t="b">
        <v>0</v>
      </c>
      <c r="CW260" s="43"/>
      <c r="CX260" s="43"/>
      <c r="CY260" s="43"/>
      <c r="CZ260" s="43"/>
      <c r="DA260" s="43"/>
      <c r="DB260" s="43"/>
      <c r="DC260" s="43"/>
      <c r="DD260" s="22">
        <f>IFERROR(VLOOKUP($C260,'Лист4'!$D:$AI,27,0)," ")</f>
        <v>13</v>
      </c>
      <c r="DE260" s="22">
        <f>IFERROR(VLOOKUP($C260,'Лист4'!$D:$AI,28,0)," ")</f>
        <v>4</v>
      </c>
      <c r="DF260" s="22">
        <f>IFERROR(VLOOKUP($C260,'Лист4'!$D:$AI,29,0)," ")</f>
        <v>13</v>
      </c>
      <c r="DG260" s="22">
        <f t="shared" si="3"/>
        <v>676</v>
      </c>
      <c r="DH260" s="22">
        <f>IFERROR(VLOOKUP($C260,'Лист4'!$D:$AI,32,0)," ")</f>
        <v>0.056</v>
      </c>
      <c r="DI260" s="22"/>
      <c r="DJ260" s="22"/>
      <c r="DK260" s="22"/>
      <c r="DL260" s="22"/>
      <c r="DM260" s="22"/>
      <c r="DN260" s="22"/>
      <c r="DO260" s="22"/>
      <c r="DP260" s="22"/>
      <c r="DQ260" s="22"/>
      <c r="DR260" s="22"/>
      <c r="DS260" s="22"/>
      <c r="DT260" s="22"/>
      <c r="DU260" s="22"/>
      <c r="DV260" s="22"/>
      <c r="DW260" s="22"/>
      <c r="DX260" s="22"/>
      <c r="DY260" s="22"/>
      <c r="DZ260" s="22"/>
      <c r="EA260" s="22"/>
      <c r="EB260" s="22"/>
      <c r="EC260" s="22"/>
      <c r="ED260" s="22"/>
      <c r="EE260" s="22"/>
      <c r="EF260" s="22"/>
      <c r="EG260" s="22"/>
      <c r="EH260" s="22"/>
      <c r="EI260" s="22"/>
      <c r="EJ260" s="22"/>
      <c r="EK260" s="22"/>
      <c r="EL260" s="22"/>
      <c r="EM260" s="43"/>
      <c r="EN260" s="43"/>
      <c r="EO260" s="43"/>
      <c r="EP260" s="43"/>
      <c r="EQ260" s="43"/>
      <c r="ER260" s="43"/>
      <c r="ES260" s="43"/>
      <c r="ET260" s="43"/>
      <c r="EU260" s="43"/>
      <c r="EV260" s="43"/>
      <c r="EW260" s="43"/>
      <c r="EX260" s="43"/>
      <c r="EY260" s="43"/>
      <c r="EZ260" s="43"/>
      <c r="FA260" s="43"/>
      <c r="FB260" s="43"/>
      <c r="FC260" s="43"/>
    </row>
    <row r="261" ht="18.0" customHeight="1">
      <c r="A261" s="2"/>
      <c r="B261" s="22" t="str">
        <f>IFERROR(VLOOKUP(C261,'Реестр'!C:AC,27,0)," ")</f>
        <v>Смарт-Сэйл</v>
      </c>
      <c r="C261" s="43" t="s">
        <v>4070</v>
      </c>
      <c r="D261" s="22" t="str">
        <f>IFERROR(VLOOKUP(C261,'Лист4'!D:P,13,0)," ")</f>
        <v>Алтея</v>
      </c>
      <c r="E261" s="22" t="str">
        <f>IF(OR(ISERROR(VLOOKUP(C261,'Актуальность'!A:B,2,0)), VLOOKUP(C261,'Актуальность'!A:B,2,0)=""), "Актуальный", VLOOKUP(C261,'Актуальность'!A:B,2,0))</f>
        <v>Актуальный</v>
      </c>
      <c r="F261" s="43" t="str">
        <f>IFERROR(VLOOKUP(C261,'Актуальность'!A:C,3,0)," ")</f>
        <v/>
      </c>
      <c r="G261" s="43"/>
      <c r="H261" s="22" t="s">
        <v>2743</v>
      </c>
      <c r="I261" s="22" t="s">
        <v>287</v>
      </c>
      <c r="J261" s="43"/>
      <c r="K261" s="43"/>
      <c r="L261" s="22" t="b">
        <f t="shared" ref="L261:R261" si="257">T261&lt;&gt;""</f>
        <v>1</v>
      </c>
      <c r="M261" s="22" t="b">
        <f t="shared" si="257"/>
        <v>1</v>
      </c>
      <c r="N261" s="22" t="b">
        <f t="shared" si="257"/>
        <v>1</v>
      </c>
      <c r="O261" s="22" t="b">
        <f t="shared" si="257"/>
        <v>1</v>
      </c>
      <c r="P261" s="22" t="b">
        <f t="shared" si="257"/>
        <v>1</v>
      </c>
      <c r="Q261" s="22" t="b">
        <f t="shared" si="257"/>
        <v>1</v>
      </c>
      <c r="R261" s="22" t="b">
        <f t="shared" si="257"/>
        <v>1</v>
      </c>
      <c r="S261" s="43"/>
      <c r="T261" s="43" t="str">
        <f>IFERROR(VLOOKUP( C261,'1С'!A:B,2,0)," ")</f>
        <v>AC101100412</v>
      </c>
      <c r="U261" s="22" t="str">
        <f>IFERROR(VLOOKUP(T261,'Лист4'!C:I,3,0)," ")</f>
        <v>solevoy_sprei_200ml</v>
      </c>
      <c r="V261" s="22" t="str">
        <f>IFERROR(VLOOKUP(T261,'Лист4'!C:I,4,0)," ")</f>
        <v>solevoy_sprei_200ml</v>
      </c>
      <c r="W261" s="22" t="str">
        <f>IFERROR(VLOOKUP(T261,'Лист4'!C:I,5,0)," ")</f>
        <v>solevoy_sprei_200ml</v>
      </c>
      <c r="X261" s="43" t="str">
        <f>IFERROR(VLOOKUP(T261,'Лист4'!C:I,7,0)," ")</f>
        <v>solevoy_sprei_200ml</v>
      </c>
      <c r="Y261" s="43" t="str">
        <f>IFERROR(VLOOKUP(T261,'Лист4'!C:I,6,0)," ")</f>
        <v>solevoy_sprei_200ml</v>
      </c>
      <c r="Z261" s="22" t="s">
        <v>4070</v>
      </c>
      <c r="AA261" s="43"/>
      <c r="AB261" s="22">
        <v>3.26913593E8</v>
      </c>
      <c r="AC261" s="22">
        <v>1.860164273E9</v>
      </c>
      <c r="AD261" s="22">
        <v>1.03816818779E11</v>
      </c>
      <c r="AE261" s="22">
        <v>9.9000076221E10</v>
      </c>
      <c r="AF261" s="22" t="s">
        <v>4073</v>
      </c>
      <c r="AG261" s="22" t="s">
        <v>4074</v>
      </c>
      <c r="AH261" s="43"/>
      <c r="AI261" s="43" t="str">
        <f>IFERROR(VLOOKUP(T261,'1С'!B:C,2,0)," ")</f>
        <v>Солевой спрей, Алтея, 200 мл</v>
      </c>
      <c r="AJ261" s="22" t="s">
        <v>4075</v>
      </c>
      <c r="AK261" s="22" t="s">
        <v>4076</v>
      </c>
      <c r="AL261" s="22" t="s">
        <v>4077</v>
      </c>
      <c r="AM261" s="22" t="s">
        <v>4078</v>
      </c>
      <c r="AN261" s="22" t="s">
        <v>4075</v>
      </c>
      <c r="AO261" s="22" t="s">
        <v>4079</v>
      </c>
      <c r="AP261" s="43"/>
      <c r="AQ261" s="46" t="s">
        <v>4080</v>
      </c>
      <c r="AR261" s="46" t="s">
        <v>4081</v>
      </c>
      <c r="AS261" s="46" t="s">
        <v>4082</v>
      </c>
      <c r="AT261" s="46" t="s">
        <v>4083</v>
      </c>
      <c r="AU261" s="46" t="s">
        <v>4084</v>
      </c>
      <c r="AV261" s="46" t="s">
        <v>4085</v>
      </c>
      <c r="AW261" s="43"/>
      <c r="AX261" s="22" t="s">
        <v>298</v>
      </c>
      <c r="AY261" s="22" t="s">
        <v>4076</v>
      </c>
      <c r="AZ261" s="22" t="s">
        <v>299</v>
      </c>
      <c r="BA261" s="22" t="s">
        <v>300</v>
      </c>
      <c r="BB261" s="22" t="s">
        <v>4086</v>
      </c>
      <c r="BC261" s="22" t="s">
        <v>298</v>
      </c>
      <c r="BD261" s="43"/>
      <c r="BE261" s="43"/>
      <c r="BF261" s="22" t="str">
        <f>IFERROR(VLOOKUP(C261,'спецификация'!B:D,3,0)," ")</f>
        <v>4670020498413; 4670020499816</v>
      </c>
      <c r="BG261" s="22">
        <v>3.305900009E9</v>
      </c>
      <c r="BH261" s="22" t="str">
        <f>IFERROR(VLOOKUP(C261,'спецификация'!B:AA,5,0)," ")</f>
        <v/>
      </c>
      <c r="BI261" s="22"/>
      <c r="BJ261" s="22" t="str">
        <f>IFERROR(VLOOKUP(C261,'спецификация'!B:AA,6,0)," ")</f>
        <v/>
      </c>
      <c r="BK261" s="43"/>
      <c r="BL261" s="43"/>
      <c r="BM261" s="22" t="str">
        <f>IFERROR(VLOOKUP(BF261,'спецификация'!D:H,5,0)," ")</f>
        <v>вода очищенная, поливинилпирролидон, соль
морская, мочевина, гидролизат кератина, эсктракт розмарина,
Д-пантенол, экстракт орхидеи, пропиленгликоль, карбомер ПЭГ-40
гидрогенизированное касторовое масло, натрия гидроокись,
парфюмерная композиция, твин 20, твин-80, сорбат калия, бензоат
натрия, лимонная кислота, феноксиэтанол, этилгексилглицерин,
бензил салицилат, кумарин, линалоол</v>
      </c>
      <c r="BN261" s="43"/>
      <c r="BO261" s="22" t="str">
        <f>IFERROR(VLOOKUP(C261,'спецификация'!B:AA,10,0)," ")</f>
        <v>Хорошо встряхнуть флакон перед применением. Распылить на волосы, распределить руками по длине. Придайте волосам нужную форму с воими руками. Дать волосам высохнуть естественным путём или с помощью фена. Не смывать. При необходимости повторить.</v>
      </c>
      <c r="BP261" s="43" t="str">
        <f>IFERROR(VLOOKUP(C261,'спецификация'!B:AA,11,0)," ")</f>
        <v>Меры предосторожности:
Индивидуальная непереносимость
компонентов состава.</v>
      </c>
      <c r="BQ261" s="22" t="str">
        <f>IFERROR(VLOOKUP(C261,'спецификация'!B:AA,12,0)," ")</f>
        <v>Условия хранения: хранят
при температуре не ниже плюс
5 ˚С и не выше плюс 25 ˚С.
Не допускается хранить продукцию
под непосредственным
воздействием солнечного света
и вблизи отопительных приборов. </v>
      </c>
      <c r="BR261" s="22">
        <v>200.0</v>
      </c>
      <c r="BS261" s="22" t="s">
        <v>139</v>
      </c>
      <c r="BT261" s="22"/>
      <c r="BU261" s="22"/>
      <c r="BV261" s="22" t="s">
        <v>307</v>
      </c>
      <c r="BW261" s="44" t="str">
        <f>IFERROR(VLOOKUP(C261,'спецификация'!B:AA,16,0)," ")</f>
        <v>https://docs.google.com/document/d/1etHDQRFYpsWU9SYNYY2IprW3gzXxC_sj/edit?usp=drive_web&amp;ouid=104241417680089502627&amp;rtpof=true</v>
      </c>
      <c r="BX261" s="43"/>
      <c r="BY261" s="43"/>
      <c r="BZ261" s="45" t="str">
        <f>IFERROR(VLOOKUP(BF261,'спецификация'!D:Y,22,0)," ")</f>
        <v/>
      </c>
      <c r="CA261" s="43"/>
      <c r="CB261" s="43"/>
      <c r="CC261" s="43"/>
      <c r="CD261" s="43"/>
      <c r="CE261" s="43"/>
      <c r="CF261" s="43"/>
      <c r="CG261" s="49">
        <f>IFERROR(VLOOKUP(C261,CC!A:D,4,0)," ")</f>
        <v>98.7</v>
      </c>
      <c r="CH261" s="22" t="str">
        <f>IFERROR(VLOOKUP(C261,'спецификация'!B:AA,19,0)," ")</f>
        <v>ООО "Алтэя"</v>
      </c>
      <c r="CI261" s="22"/>
      <c r="CJ261" s="43"/>
      <c r="CK261" s="22">
        <f>IFERROR(VLOOKUP(C261,CC!K:M,3,0)," ")</f>
        <v>90</v>
      </c>
      <c r="CL261" s="43"/>
      <c r="CM261" s="43"/>
      <c r="CN261" s="43"/>
      <c r="CO261" s="43"/>
      <c r="CP261" s="43"/>
      <c r="CQ261" s="43"/>
      <c r="CR261" s="43"/>
      <c r="CS261" s="43" t="b">
        <v>0</v>
      </c>
      <c r="CT261" s="43" t="b">
        <v>0</v>
      </c>
      <c r="CU261" s="43" t="b">
        <v>0</v>
      </c>
      <c r="CV261" s="43" t="b">
        <v>0</v>
      </c>
      <c r="CW261" s="43"/>
      <c r="CX261" s="43"/>
      <c r="CY261" s="43"/>
      <c r="CZ261" s="43"/>
      <c r="DA261" s="43"/>
      <c r="DB261" s="43"/>
      <c r="DC261" s="43"/>
      <c r="DD261" s="22">
        <f>IFERROR(VLOOKUP($C261,'Лист4'!$D:$AI,27,0)," ")</f>
        <v>16</v>
      </c>
      <c r="DE261" s="22">
        <f>IFERROR(VLOOKUP($C261,'Лист4'!$D:$AI,28,0)," ")</f>
        <v>5</v>
      </c>
      <c r="DF261" s="22">
        <f>IFERROR(VLOOKUP($C261,'Лист4'!$D:$AI,29,0)," ")</f>
        <v>16</v>
      </c>
      <c r="DG261" s="22">
        <f t="shared" si="3"/>
        <v>1280</v>
      </c>
      <c r="DH261" s="22">
        <f>IFERROR(VLOOKUP($C261,'Лист4'!$D:$AI,32,0)," ")</f>
        <v>0.288</v>
      </c>
      <c r="DI261" s="22"/>
      <c r="DJ261" s="22"/>
      <c r="DK261" s="22"/>
      <c r="DL261" s="22"/>
      <c r="DM261" s="22"/>
      <c r="DN261" s="22"/>
      <c r="DO261" s="22"/>
      <c r="DP261" s="22"/>
      <c r="DQ261" s="22"/>
      <c r="DR261" s="22"/>
      <c r="DS261" s="22"/>
      <c r="DT261" s="22"/>
      <c r="DU261" s="22"/>
      <c r="DV261" s="22"/>
      <c r="DW261" s="22"/>
      <c r="DX261" s="22"/>
      <c r="DY261" s="22"/>
      <c r="DZ261" s="22"/>
      <c r="EA261" s="22"/>
      <c r="EB261" s="22"/>
      <c r="EC261" s="22"/>
      <c r="ED261" s="22"/>
      <c r="EE261" s="22"/>
      <c r="EF261" s="22"/>
      <c r="EG261" s="22"/>
      <c r="EH261" s="22"/>
      <c r="EI261" s="22"/>
      <c r="EJ261" s="22"/>
      <c r="EK261" s="22"/>
      <c r="EL261" s="22"/>
      <c r="EM261" s="43"/>
      <c r="EN261" s="43"/>
      <c r="EO261" s="43"/>
      <c r="EP261" s="43"/>
      <c r="EQ261" s="43"/>
      <c r="ER261" s="43"/>
      <c r="ES261" s="43"/>
      <c r="ET261" s="43"/>
      <c r="EU261" s="43"/>
      <c r="EV261" s="43"/>
      <c r="EW261" s="43"/>
      <c r="EX261" s="43"/>
      <c r="EY261" s="43"/>
      <c r="EZ261" s="43"/>
      <c r="FA261" s="43"/>
      <c r="FB261" s="43"/>
      <c r="FC261" s="43"/>
    </row>
    <row r="262" ht="18.0" customHeight="1">
      <c r="A262" s="2"/>
      <c r="B262" s="22" t="str">
        <f>IFERROR(VLOOKUP(C262,'Реестр'!C:AC,27,0)," ")</f>
        <v>Смарт-Сэйл</v>
      </c>
      <c r="C262" s="43" t="s">
        <v>4094</v>
      </c>
      <c r="D262" s="22" t="str">
        <f>IFERROR(VLOOKUP(C262,'Лист4'!D:P,13,0)," ")</f>
        <v>Алтея</v>
      </c>
      <c r="E262" s="22" t="str">
        <f>IF(OR(ISERROR(VLOOKUP(C262,'Актуальность'!A:B,2,0)), VLOOKUP(C262,'Актуальность'!A:B,2,0)=""), "Актуальный", VLOOKUP(C262,'Актуальность'!A:B,2,0))</f>
        <v>Актуальный</v>
      </c>
      <c r="F262" s="43" t="str">
        <f>IFERROR(VLOOKUP(C262,'Актуальность'!A:C,3,0)," ")</f>
        <v/>
      </c>
      <c r="G262" s="43"/>
      <c r="H262" s="22" t="s">
        <v>2743</v>
      </c>
      <c r="I262" s="22" t="s">
        <v>565</v>
      </c>
      <c r="J262" s="43"/>
      <c r="K262" s="43"/>
      <c r="L262" s="22" t="b">
        <f t="shared" ref="L262:R262" si="258">T262&lt;&gt;""</f>
        <v>1</v>
      </c>
      <c r="M262" s="22" t="b">
        <f t="shared" si="258"/>
        <v>1</v>
      </c>
      <c r="N262" s="22" t="b">
        <f t="shared" si="258"/>
        <v>1</v>
      </c>
      <c r="O262" s="22" t="b">
        <f t="shared" si="258"/>
        <v>1</v>
      </c>
      <c r="P262" s="22" t="b">
        <f t="shared" si="258"/>
        <v>1</v>
      </c>
      <c r="Q262" s="22" t="b">
        <f t="shared" si="258"/>
        <v>1</v>
      </c>
      <c r="R262" s="22" t="b">
        <f t="shared" si="258"/>
        <v>1</v>
      </c>
      <c r="S262" s="43"/>
      <c r="T262" s="43" t="str">
        <f>IFERROR(VLOOKUP( C262,'1С'!A:B,2,0)," ")</f>
        <v>AC101100430</v>
      </c>
      <c r="U262" s="22" t="str">
        <f>IFERROR(VLOOKUP(T262,'Лист4'!C:I,3,0)," ")</f>
        <v>pink_pepper_50ml</v>
      </c>
      <c r="V262" s="22" t="str">
        <f>IFERROR(VLOOKUP(T262,'Лист4'!C:I,4,0)," ")</f>
        <v>pink_pepper_50ml</v>
      </c>
      <c r="W262" s="22" t="str">
        <f>IFERROR(VLOOKUP(T262,'Лист4'!C:I,5,0)," ")</f>
        <v>pink_pepper_50ml</v>
      </c>
      <c r="X262" s="43" t="str">
        <f>IFERROR(VLOOKUP(T262,'Лист4'!C:I,7,0)," ")</f>
        <v>pink_pepper_50ml</v>
      </c>
      <c r="Y262" s="43" t="str">
        <f>IFERROR(VLOOKUP(T262,'Лист4'!C:I,6,0)," ")</f>
        <v>pink_pepper_50ml</v>
      </c>
      <c r="Z262" s="22" t="s">
        <v>4094</v>
      </c>
      <c r="AA262" s="43"/>
      <c r="AB262" s="22">
        <v>4.84586518E8</v>
      </c>
      <c r="AC262" s="22">
        <v>2.58313961E9</v>
      </c>
      <c r="AD262" s="22">
        <v>4.569591407E9</v>
      </c>
      <c r="AE262" s="22">
        <v>9.9000125263E10</v>
      </c>
      <c r="AF262" s="22" t="s">
        <v>4097</v>
      </c>
      <c r="AG262" s="22" t="s">
        <v>4098</v>
      </c>
      <c r="AH262" s="43"/>
      <c r="AI262" s="43" t="str">
        <f>IFERROR(VLOOKUP(T262,'1С'!B:C,2,0)," ")</f>
        <v>Крем для лица pink pepper, Алтея, 50 мл</v>
      </c>
      <c r="AJ262" s="22" t="s">
        <v>4099</v>
      </c>
      <c r="AK262" s="22" t="s">
        <v>4100</v>
      </c>
      <c r="AL262" s="22" t="s">
        <v>4101</v>
      </c>
      <c r="AM262" s="22" t="s">
        <v>4102</v>
      </c>
      <c r="AN262" s="22" t="s">
        <v>4099</v>
      </c>
      <c r="AO262" s="22" t="s">
        <v>4103</v>
      </c>
      <c r="AP262" s="43"/>
      <c r="AQ262" s="46" t="s">
        <v>4104</v>
      </c>
      <c r="AR262" s="46" t="s">
        <v>4105</v>
      </c>
      <c r="AS262" s="46" t="s">
        <v>4106</v>
      </c>
      <c r="AT262" s="43"/>
      <c r="AU262" s="46" t="s">
        <v>4107</v>
      </c>
      <c r="AV262" s="46" t="s">
        <v>4108</v>
      </c>
      <c r="AW262" s="43"/>
      <c r="AX262" s="22" t="s">
        <v>594</v>
      </c>
      <c r="AY262" s="22" t="s">
        <v>4100</v>
      </c>
      <c r="AZ262" s="22" t="s">
        <v>595</v>
      </c>
      <c r="BA262" s="22" t="s">
        <v>1447</v>
      </c>
      <c r="BB262" s="22" t="s">
        <v>596</v>
      </c>
      <c r="BC262" s="22" t="s">
        <v>597</v>
      </c>
      <c r="BD262" s="43"/>
      <c r="BE262" s="43"/>
      <c r="BF262" s="22">
        <f>IFERROR(VLOOKUP(C262,'спецификация'!B:D,3,0)," ")</f>
        <v>4603320465342</v>
      </c>
      <c r="BG262" s="22">
        <v>3.30499E9</v>
      </c>
      <c r="BH262" s="22" t="str">
        <f>IFERROR(VLOOKUP(C262,'спецификация'!B:AA,5,0)," ")</f>
        <v/>
      </c>
      <c r="BI262" s="22"/>
      <c r="BJ262" s="22" t="str">
        <f>IFERROR(VLOOKUP(C262,'спецификация'!B:AA,6,0)," ")</f>
        <v>нет</v>
      </c>
      <c r="BK262" s="43"/>
      <c r="BL262" s="43"/>
      <c r="BM262" s="22" t="str">
        <f>IFERROR(VLOOKUP(BF262,'спецификация'!D:H,5,0)," ")</f>
        <v>Aqua, Caprylic/Capric Triglycerides, Isononyl Isononanoate, Cetyl Alcohol, Glyceryl Stearate, Glycerin, Glyceryl Stearate Citrate, Simmondsia Chinensis (Jojoba) Seed Oil, Aloe Barbadensis Leaf Juice, Niacinamide, Sodium PCA, Propylene Glycol, Phospholipids, Sphingolipids, Polyacrylamide, Fragrance, Phenoxyethanol, Hyaluronic Acid, Hemp Oil Pressed, C13-C14 Isoparaffin, Ethylhexylglycerin, Lactic Acid, Sodium Benzoate, Potassium Sorbate, Laureth-7, CI 14720, CI 19140.</v>
      </c>
      <c r="BN262" s="43"/>
      <c r="BO262" s="22" t="str">
        <f>IFERROR(VLOOKUP(C262,'спецификация'!B:AA,10,0)," ")</f>
        <v>наносите крем круговыми движениями на тщательно очищенную кожу лица и шеи. </v>
      </c>
      <c r="BP262" s="43" t="str">
        <f>IFERROR(VLOOKUP(C262,'спецификация'!B:AA,11,0)," ")</f>
        <v>не наносите на поврежденную кожу и избегайте попадания в глаза. При попадании в глаза тщательно промойте водой. Перед применением протестируйте на небольшом участке кожи.</v>
      </c>
      <c r="BQ262" s="22" t="str">
        <f>IFERROR(VLOOKUP(C262,'спецификация'!B:AA,12,0)," ")</f>
        <v>хранить вдали от прямых солнечных лучей и отопительных приборов при температуре от +5 °С до +25 °С в местах, недоступных детям.</v>
      </c>
      <c r="BR262" s="22">
        <v>50.0</v>
      </c>
      <c r="BS262" s="22" t="s">
        <v>139</v>
      </c>
      <c r="BT262" s="22"/>
      <c r="BU262" s="22"/>
      <c r="BV262" s="22" t="s">
        <v>727</v>
      </c>
      <c r="BW262" s="44" t="str">
        <f>IFERROR(VLOOKUP(C262,'спецификация'!B:AA,16,0)," ")</f>
        <v>https://docs.google.com/document/d/15q1QNzxqv3EYuw1GzMNjptJSfmVMhezO/edit?rtpof=true&amp;tab=t.0</v>
      </c>
      <c r="BX262" s="43"/>
      <c r="BY262" s="43"/>
      <c r="BZ262" s="45" t="str">
        <f>IFERROR(VLOOKUP(BF262,'спецификация'!D:Y,22,0)," ")</f>
        <v/>
      </c>
      <c r="CA262" s="43"/>
      <c r="CB262" s="43"/>
      <c r="CC262" s="43"/>
      <c r="CD262" s="43"/>
      <c r="CE262" s="43"/>
      <c r="CF262" s="43"/>
      <c r="CG262" s="49">
        <f>IFERROR(VLOOKUP(C262,CC!A:D,4,0)," ")</f>
        <v>147.85</v>
      </c>
      <c r="CH262" s="22" t="str">
        <f>IFERROR(VLOOKUP(C262,'спецификация'!B:AA,19,0)," ")</f>
        <v>ООО "Марвел"</v>
      </c>
      <c r="CI262" s="22"/>
      <c r="CJ262" s="22" t="s">
        <v>2944</v>
      </c>
      <c r="CK262" s="22">
        <f>IFERROR(VLOOKUP(C262,CC!K:M,3,0)," ")</f>
        <v>60</v>
      </c>
      <c r="CL262" s="43"/>
      <c r="CM262" s="43"/>
      <c r="CN262" s="43"/>
      <c r="CO262" s="43"/>
      <c r="CP262" s="43"/>
      <c r="CQ262" s="43"/>
      <c r="CR262" s="43"/>
      <c r="CS262" s="43" t="b">
        <v>0</v>
      </c>
      <c r="CT262" s="43" t="b">
        <v>0</v>
      </c>
      <c r="CU262" s="43" t="b">
        <v>0</v>
      </c>
      <c r="CV262" s="43" t="b">
        <v>0</v>
      </c>
      <c r="CW262" s="43"/>
      <c r="CX262" s="43"/>
      <c r="CY262" s="43"/>
      <c r="CZ262" s="43"/>
      <c r="DA262" s="43"/>
      <c r="DB262" s="43"/>
      <c r="DC262" s="43"/>
      <c r="DD262" s="22">
        <f>IFERROR(VLOOKUP($C262,'Лист4'!$D:$AI,27,0)," ")</f>
        <v>6</v>
      </c>
      <c r="DE262" s="22">
        <f>IFERROR(VLOOKUP($C262,'Лист4'!$D:$AI,28,0)," ")</f>
        <v>6</v>
      </c>
      <c r="DF262" s="22">
        <f>IFERROR(VLOOKUP($C262,'Лист4'!$D:$AI,29,0)," ")</f>
        <v>6</v>
      </c>
      <c r="DG262" s="22">
        <f t="shared" si="3"/>
        <v>216</v>
      </c>
      <c r="DH262" s="22">
        <f>IFERROR(VLOOKUP($C262,'Лист4'!$D:$AI,32,0)," ")</f>
        <v>0.17</v>
      </c>
      <c r="DI262" s="22"/>
      <c r="DJ262" s="22"/>
      <c r="DK262" s="22"/>
      <c r="DL262" s="22"/>
      <c r="DM262" s="22"/>
      <c r="DN262" s="22"/>
      <c r="DO262" s="22"/>
      <c r="DP262" s="22"/>
      <c r="DQ262" s="22"/>
      <c r="DR262" s="22"/>
      <c r="DS262" s="22"/>
      <c r="DT262" s="22"/>
      <c r="DU262" s="22"/>
      <c r="DV262" s="22"/>
      <c r="DW262" s="22"/>
      <c r="DX262" s="22"/>
      <c r="DY262" s="22"/>
      <c r="DZ262" s="22"/>
      <c r="EA262" s="22"/>
      <c r="EB262" s="22"/>
      <c r="EC262" s="22"/>
      <c r="ED262" s="22"/>
      <c r="EE262" s="22"/>
      <c r="EF262" s="22"/>
      <c r="EG262" s="22"/>
      <c r="EH262" s="22"/>
      <c r="EI262" s="22"/>
      <c r="EJ262" s="22"/>
      <c r="EK262" s="22"/>
      <c r="EL262" s="22"/>
      <c r="EM262" s="43"/>
      <c r="EN262" s="43"/>
      <c r="EO262" s="43"/>
      <c r="EP262" s="43"/>
      <c r="EQ262" s="43"/>
      <c r="ER262" s="43"/>
      <c r="ES262" s="43"/>
      <c r="ET262" s="43"/>
      <c r="EU262" s="43"/>
      <c r="EV262" s="43"/>
      <c r="EW262" s="43"/>
      <c r="EX262" s="43"/>
      <c r="EY262" s="43"/>
      <c r="EZ262" s="43"/>
      <c r="FA262" s="43"/>
      <c r="FB262" s="43"/>
      <c r="FC262" s="43"/>
    </row>
    <row r="263" ht="18.0" customHeight="1">
      <c r="A263" s="2"/>
      <c r="B263" s="22" t="str">
        <f>IFERROR(VLOOKUP(C263,'Реестр'!C:AC,27,0)," ")</f>
        <v>Смарт-Сэйл</v>
      </c>
      <c r="C263" s="43" t="s">
        <v>4115</v>
      </c>
      <c r="D263" s="22" t="str">
        <f>IFERROR(VLOOKUP(C263,'Лист4'!D:P,13,0)," ")</f>
        <v>Алтея</v>
      </c>
      <c r="E263" s="22" t="str">
        <f>IF(OR(ISERROR(VLOOKUP(C263,'Актуальность'!A:B,2,0)), VLOOKUP(C263,'Актуальность'!A:B,2,0)=""), "Актуальный", VLOOKUP(C263,'Актуальность'!A:B,2,0))</f>
        <v>Вывод</v>
      </c>
      <c r="F263" s="43" t="str">
        <f>IFERROR(VLOOKUP(C263,'Актуальность'!A:C,3,0)," ")</f>
        <v>Неконкурентный товар</v>
      </c>
      <c r="G263" s="43"/>
      <c r="H263" s="22" t="s">
        <v>2743</v>
      </c>
      <c r="I263" s="22" t="s">
        <v>287</v>
      </c>
      <c r="J263" s="43"/>
      <c r="K263" s="43"/>
      <c r="L263" s="22" t="b">
        <f t="shared" ref="L263:R263" si="259">T263&lt;&gt;""</f>
        <v>1</v>
      </c>
      <c r="M263" s="22" t="b">
        <f t="shared" si="259"/>
        <v>1</v>
      </c>
      <c r="N263" s="22" t="b">
        <f t="shared" si="259"/>
        <v>1</v>
      </c>
      <c r="O263" s="22" t="b">
        <f t="shared" si="259"/>
        <v>1</v>
      </c>
      <c r="P263" s="22" t="b">
        <f t="shared" si="259"/>
        <v>1</v>
      </c>
      <c r="Q263" s="22" t="b">
        <f t="shared" si="259"/>
        <v>1</v>
      </c>
      <c r="R263" s="22" t="b">
        <f t="shared" si="259"/>
        <v>1</v>
      </c>
      <c r="S263" s="43"/>
      <c r="T263" s="43" t="str">
        <f>IFERROR(VLOOKUP( C263,'1С'!A:B,2,0)," ")</f>
        <v>AC101100408</v>
      </c>
      <c r="U263" s="22" t="str">
        <f>IFERROR(VLOOKUP(T263,'Лист4'!C:I,3,0)," ")</f>
        <v>piling_100ml</v>
      </c>
      <c r="V263" s="22" t="str">
        <f>IFERROR(VLOOKUP(T263,'Лист4'!C:I,4,0)," ")</f>
        <v>piling_100ml</v>
      </c>
      <c r="W263" s="22" t="str">
        <f>IFERROR(VLOOKUP(T263,'Лист4'!C:I,5,0)," ")</f>
        <v>piling_100ml</v>
      </c>
      <c r="X263" s="43" t="str">
        <f>IFERROR(VLOOKUP(T263,'Лист4'!C:I,7,0)," ")</f>
        <v>piling_100ml</v>
      </c>
      <c r="Y263" s="43" t="str">
        <f>IFERROR(VLOOKUP(T263,'Лист4'!C:I,6,0)," ")</f>
        <v>piling_100ml</v>
      </c>
      <c r="Z263" s="22" t="s">
        <v>4115</v>
      </c>
      <c r="AA263" s="43"/>
      <c r="AB263" s="22">
        <v>2.16502265E8</v>
      </c>
      <c r="AC263" s="22">
        <v>1.500346998E9</v>
      </c>
      <c r="AD263" s="22">
        <v>1.03515740712E11</v>
      </c>
      <c r="AE263" s="22">
        <v>9.9000076204E10</v>
      </c>
      <c r="AF263" s="22" t="s">
        <v>4118</v>
      </c>
      <c r="AG263" s="22" t="s">
        <v>4119</v>
      </c>
      <c r="AH263" s="43"/>
      <c r="AI263" s="43" t="str">
        <f>IFERROR(VLOOKUP(T263,'1С'!B:C,2,0)," ")</f>
        <v>Пилинг для кожи головы, Алтея, 100 мл</v>
      </c>
      <c r="AJ263" s="22" t="s">
        <v>4120</v>
      </c>
      <c r="AK263" s="22" t="s">
        <v>4121</v>
      </c>
      <c r="AL263" s="22" t="s">
        <v>4121</v>
      </c>
      <c r="AM263" s="22" t="s">
        <v>4122</v>
      </c>
      <c r="AN263" s="22" t="s">
        <v>4123</v>
      </c>
      <c r="AO263" s="22" t="s">
        <v>4124</v>
      </c>
      <c r="AP263" s="43"/>
      <c r="AQ263" s="46" t="s">
        <v>4125</v>
      </c>
      <c r="AR263" s="46" t="s">
        <v>4126</v>
      </c>
      <c r="AS263" s="46" t="s">
        <v>4127</v>
      </c>
      <c r="AT263" s="46" t="s">
        <v>4128</v>
      </c>
      <c r="AU263" s="46" t="s">
        <v>4129</v>
      </c>
      <c r="AV263" s="46" t="s">
        <v>4130</v>
      </c>
      <c r="AW263" s="43"/>
      <c r="AX263" s="22" t="s">
        <v>1426</v>
      </c>
      <c r="AY263" s="22" t="s">
        <v>4121</v>
      </c>
      <c r="AZ263" s="22" t="s">
        <v>326</v>
      </c>
      <c r="BA263" s="22" t="s">
        <v>300</v>
      </c>
      <c r="BB263" s="22" t="s">
        <v>4131</v>
      </c>
      <c r="BC263" s="22" t="s">
        <v>4132</v>
      </c>
      <c r="BD263" s="43"/>
      <c r="BE263" s="43"/>
      <c r="BF263" s="22">
        <f>IFERROR(VLOOKUP(C263,'спецификация'!B:D,3,0)," ")</f>
        <v>4670020496761</v>
      </c>
      <c r="BG263" s="22">
        <v>3.305900009E9</v>
      </c>
      <c r="BH263" s="22" t="str">
        <f>IFERROR(VLOOKUP(C263,'спецификация'!B:AA,5,0)," ")</f>
        <v/>
      </c>
      <c r="BI263" s="22"/>
      <c r="BJ263" s="22" t="str">
        <f>IFERROR(VLOOKUP(C263,'спецификация'!B:AA,6,0)," ")</f>
        <v>нет</v>
      </c>
      <c r="BK263" s="43"/>
      <c r="BL263" s="43"/>
      <c r="BM263" s="22" t="str">
        <f>IFERROR(VLOOKUP(BF263,'спецификация'!D:H,5,0)," ")</f>
        <v>Aqua, Polyethylene glycol 400, Niacinamide, Triethanolamine, Carbomer, Salycilyc acid, Lactic Acid, Propylene Glycol, Urtica dioica Leaf Extract, Tilia cordata Flower Extract, Arctium lappa Root Extract, Viola Tricolor Extract, Equisetum arvense Herb Extract, Papain, Panthenol, Arginine, Wheat Germ Protein, Glycerin, PEG-40 Hydrogenated Castor Oil, Oenothera Biennis Oil, Retinyl Palmitate, Tocopheryl Acetate, 2-phenoxyethanol, Benzoic Acid, Dehydroacetic Acid, Parfum, Disodium EDTA, Potassium Sorbate, Sodium Benzoate, Benzyl Alcohol, Methylchloroisothiazolinone, Methylisothiazolinone.</v>
      </c>
      <c r="BN263" s="43"/>
      <c r="BO263" s="22" t="str">
        <f>IFERROR(VLOOKUP(C263,'спецификация'!B:AA,10,0)," ")</f>
        <v>нанесите пилинг на сухую кожу головы по проборам. Распределите легкими массажными движениями. Оставьте на 30–40 минут, собрав волосы для удобства. Затем смойте шампунем. При нанесении на влажную кожу головы после мытья с шампунем оставить состав на 15 минут и затем смыть водой. Рекомендуется использовать 1 раз в неделю при сухой и нормальной коже головы. При жирной коже головы – 2–3 раза в неделю.</v>
      </c>
      <c r="BP263" s="43" t="str">
        <f>IFERROR(VLOOKUP(C263,'спецификация'!B:AA,11,0)," ")</f>
        <v>возможна индивидуальная непереносимость компонентов</v>
      </c>
      <c r="BQ263" s="22" t="str">
        <f>IFERROR(VLOOKUP(C263,'спецификация'!B:AA,12,0)," ")</f>
        <v>хранить при температуре не ниже 0º С и не выше 25º С</v>
      </c>
      <c r="BR263" s="22">
        <v>100.0</v>
      </c>
      <c r="BS263" s="22" t="s">
        <v>139</v>
      </c>
      <c r="BT263" s="22"/>
      <c r="BU263" s="22"/>
      <c r="BV263" s="22" t="s">
        <v>307</v>
      </c>
      <c r="BW263" s="44" t="str">
        <f>IFERROR(VLOOKUP(C263,'спецификация'!B:AA,16,0)," ")</f>
        <v>https://docs.google.com/document/d/1iGMWcDdWQMpZeDXkJqE5T-tgeyg8417Z/edit</v>
      </c>
      <c r="BX263" s="43"/>
      <c r="BY263" s="43"/>
      <c r="BZ263" s="45" t="str">
        <f>IFERROR(VLOOKUP(BF263,'спецификация'!D:Y,22,0)," ")</f>
        <v/>
      </c>
      <c r="CA263" s="43"/>
      <c r="CB263" s="43"/>
      <c r="CC263" s="43"/>
      <c r="CD263" s="43"/>
      <c r="CE263" s="43"/>
      <c r="CF263" s="43"/>
      <c r="CG263" s="49">
        <f>IFERROR(VLOOKUP(C263,CC!A:D,4,0)," ")</f>
        <v>103.2</v>
      </c>
      <c r="CH263" s="22" t="str">
        <f>IFERROR(VLOOKUP(C263,'спецификация'!B:AA,19,0)," ")</f>
        <v>ООО "Алтэя"</v>
      </c>
      <c r="CI263" s="22"/>
      <c r="CJ263" s="22" t="s">
        <v>2835</v>
      </c>
      <c r="CK263" s="22">
        <f>IFERROR(VLOOKUP(C263,CC!K:M,3,0)," ")</f>
        <v>90</v>
      </c>
      <c r="CL263" s="43"/>
      <c r="CM263" s="43"/>
      <c r="CN263" s="43"/>
      <c r="CO263" s="43"/>
      <c r="CP263" s="43"/>
      <c r="CQ263" s="43"/>
      <c r="CR263" s="43"/>
      <c r="CS263" s="43" t="b">
        <v>0</v>
      </c>
      <c r="CT263" s="43" t="b">
        <v>0</v>
      </c>
      <c r="CU263" s="43" t="b">
        <v>0</v>
      </c>
      <c r="CV263" s="43" t="b">
        <v>0</v>
      </c>
      <c r="CW263" s="43"/>
      <c r="CX263" s="43"/>
      <c r="CY263" s="43"/>
      <c r="CZ263" s="43"/>
      <c r="DA263" s="43"/>
      <c r="DB263" s="43"/>
      <c r="DC263" s="43"/>
      <c r="DD263" s="22">
        <f>IFERROR(VLOOKUP($C263,'Лист4'!$D:$AI,27,0)," ")</f>
        <v>4</v>
      </c>
      <c r="DE263" s="22">
        <f>IFERROR(VLOOKUP($C263,'Лист4'!$D:$AI,28,0)," ")</f>
        <v>14</v>
      </c>
      <c r="DF263" s="22">
        <f>IFERROR(VLOOKUP($C263,'Лист4'!$D:$AI,29,0)," ")</f>
        <v>4</v>
      </c>
      <c r="DG263" s="22">
        <f t="shared" si="3"/>
        <v>224</v>
      </c>
      <c r="DH263" s="22">
        <f>IFERROR(VLOOKUP($C263,'Лист4'!$D:$AI,32,0)," ")</f>
        <v>0.124</v>
      </c>
      <c r="DI263" s="22"/>
      <c r="DJ263" s="22"/>
      <c r="DK263" s="22"/>
      <c r="DL263" s="22"/>
      <c r="DM263" s="22"/>
      <c r="DN263" s="22"/>
      <c r="DO263" s="22"/>
      <c r="DP263" s="22"/>
      <c r="DQ263" s="22"/>
      <c r="DR263" s="22"/>
      <c r="DS263" s="22"/>
      <c r="DT263" s="22"/>
      <c r="DU263" s="22"/>
      <c r="DV263" s="22"/>
      <c r="DW263" s="22"/>
      <c r="DX263" s="22"/>
      <c r="DY263" s="22"/>
      <c r="DZ263" s="22"/>
      <c r="EA263" s="22"/>
      <c r="EB263" s="22"/>
      <c r="EC263" s="22"/>
      <c r="ED263" s="22"/>
      <c r="EE263" s="22"/>
      <c r="EF263" s="22"/>
      <c r="EG263" s="22"/>
      <c r="EH263" s="22"/>
      <c r="EI263" s="22"/>
      <c r="EJ263" s="22"/>
      <c r="EK263" s="22"/>
      <c r="EL263" s="22"/>
      <c r="EM263" s="43"/>
      <c r="EN263" s="43"/>
      <c r="EO263" s="43"/>
      <c r="EP263" s="43"/>
      <c r="EQ263" s="43"/>
      <c r="ER263" s="43"/>
      <c r="ES263" s="43"/>
      <c r="ET263" s="43"/>
      <c r="EU263" s="43"/>
      <c r="EV263" s="43"/>
      <c r="EW263" s="43"/>
      <c r="EX263" s="43"/>
      <c r="EY263" s="43"/>
      <c r="EZ263" s="43"/>
      <c r="FA263" s="43"/>
      <c r="FB263" s="43"/>
      <c r="FC263" s="43"/>
    </row>
    <row r="264" ht="18.0" customHeight="1">
      <c r="A264" s="2"/>
      <c r="B264" s="22" t="str">
        <f>IFERROR(VLOOKUP(C264,'Реестр'!C:AC,27,0)," ")</f>
        <v>Смарт-Сэйл</v>
      </c>
      <c r="C264" s="43" t="s">
        <v>4139</v>
      </c>
      <c r="D264" s="22" t="str">
        <f>IFERROR(VLOOKUP(C264,'Лист4'!D:P,13,0)," ")</f>
        <v>Алтея</v>
      </c>
      <c r="E264" s="22" t="str">
        <f>IF(OR(ISERROR(VLOOKUP(C264,'Актуальность'!A:B,2,0)), VLOOKUP(C264,'Актуальность'!A:B,2,0)=""), "Актуальный", VLOOKUP(C264,'Актуальность'!A:B,2,0))</f>
        <v>Вывод</v>
      </c>
      <c r="F264" s="43" t="str">
        <f>IFERROR(VLOOKUP(C264,'Актуальность'!A:C,3,0)," ")</f>
        <v>Низкомаржинальный товар</v>
      </c>
      <c r="G264" s="43"/>
      <c r="H264" s="22" t="s">
        <v>2743</v>
      </c>
      <c r="I264" s="22" t="s">
        <v>2783</v>
      </c>
      <c r="J264" s="43"/>
      <c r="K264" s="43"/>
      <c r="L264" s="22" t="b">
        <f t="shared" ref="L264:R264" si="260">T264&lt;&gt;""</f>
        <v>1</v>
      </c>
      <c r="M264" s="22" t="b">
        <f t="shared" si="260"/>
        <v>1</v>
      </c>
      <c r="N264" s="22" t="b">
        <f t="shared" si="260"/>
        <v>1</v>
      </c>
      <c r="O264" s="22" t="b">
        <f t="shared" si="260"/>
        <v>1</v>
      </c>
      <c r="P264" s="22" t="b">
        <f t="shared" si="260"/>
        <v>1</v>
      </c>
      <c r="Q264" s="22" t="b">
        <f t="shared" si="260"/>
        <v>0</v>
      </c>
      <c r="R264" s="22" t="b">
        <f t="shared" si="260"/>
        <v>0</v>
      </c>
      <c r="S264" s="43"/>
      <c r="T264" s="43" t="str">
        <f>IFERROR(VLOOKUP( C264,'1С'!A:B,2,0)," ")</f>
        <v>AC101100403</v>
      </c>
      <c r="U264" s="22" t="str">
        <f>IFERROR(VLOOKUP(T264,'Лист4'!C:I,3,0)," ")</f>
        <v>gel_brows_5ml</v>
      </c>
      <c r="V264" s="22" t="str">
        <f>IFERROR(VLOOKUP(T264,'Лист4'!C:I,4,0)," ")</f>
        <v>gel_brows_5ml</v>
      </c>
      <c r="W264" s="22" t="str">
        <f>IFERROR(VLOOKUP(T264,'Лист4'!C:I,5,0)," ")</f>
        <v>gel_brows_5ml</v>
      </c>
      <c r="X264" s="43" t="str">
        <f>IFERROR(VLOOKUP(T264,'Лист4'!C:I,7,0)," ")</f>
        <v>gel_brows_5ml</v>
      </c>
      <c r="Y264" s="43"/>
      <c r="Z264" s="43"/>
      <c r="AA264" s="43"/>
      <c r="AB264" s="22">
        <v>3.48575805E8</v>
      </c>
      <c r="AC264" s="22">
        <v>1.917265136E9</v>
      </c>
      <c r="AD264" s="22">
        <v>1.0381679864E11</v>
      </c>
      <c r="AE264" s="22">
        <v>9.9000114725E10</v>
      </c>
      <c r="AF264" s="22"/>
      <c r="AG264" s="43"/>
      <c r="AH264" s="43"/>
      <c r="AI264" s="43" t="str">
        <f>IFERROR(VLOOKUP(T264,'1С'!B:C,2,0)," ")</f>
        <v>Гель для бровей, Алтея, 5 мл</v>
      </c>
      <c r="AJ264" s="22" t="s">
        <v>3825</v>
      </c>
      <c r="AK264" s="22" t="s">
        <v>4142</v>
      </c>
      <c r="AL264" s="22" t="s">
        <v>4142</v>
      </c>
      <c r="AM264" s="22" t="s">
        <v>4143</v>
      </c>
      <c r="AN264" s="43"/>
      <c r="AO264" s="43"/>
      <c r="AP264" s="43"/>
      <c r="AQ264" s="46" t="s">
        <v>4144</v>
      </c>
      <c r="AR264" s="46" t="s">
        <v>4145</v>
      </c>
      <c r="AS264" s="46" t="s">
        <v>4146</v>
      </c>
      <c r="AT264" s="46" t="s">
        <v>4147</v>
      </c>
      <c r="AU264" s="43"/>
      <c r="AV264" s="43"/>
      <c r="AW264" s="43"/>
      <c r="AX264" s="22" t="s">
        <v>3835</v>
      </c>
      <c r="AY264" s="22" t="s">
        <v>4142</v>
      </c>
      <c r="AZ264" s="22" t="s">
        <v>3215</v>
      </c>
      <c r="BA264" s="22" t="s">
        <v>3836</v>
      </c>
      <c r="BB264" s="43"/>
      <c r="BC264" s="43"/>
      <c r="BD264" s="43"/>
      <c r="BE264" s="43"/>
      <c r="BF264" s="22">
        <f>IFERROR(VLOOKUP(C264,'спецификация'!B:D,3,0)," ")</f>
        <v>4676574657436</v>
      </c>
      <c r="BG264" s="22">
        <v>3.30499E9</v>
      </c>
      <c r="BH264" s="22" t="str">
        <f>IFERROR(VLOOKUP(C264,'спецификация'!B:AA,5,0)," ")</f>
        <v/>
      </c>
      <c r="BI264" s="22"/>
      <c r="BJ264" s="22" t="str">
        <f>IFERROR(VLOOKUP(C264,'спецификация'!B:AA,6,0)," ")</f>
        <v>нет</v>
      </c>
      <c r="BK264" s="43"/>
      <c r="BL264" s="43"/>
      <c r="BM264" s="22" t="str">
        <f>IFERROR(VLOOKUP(BF264,'спецификация'!D:H,5,0)," ")</f>
        <v> Distilled water, pvp, crosspolymer-6, propylene glycol, panthenol, hydrolyzed collagen (and) hydrolyzed elastin, phenoxyethanol, ethylhexylglycerin, parfum.</v>
      </c>
      <c r="BN264" s="43"/>
      <c r="BO264" s="22" t="str">
        <f>IFERROR(VLOOKUP(C264,'спецификация'!B:AA,10,0)," ")</f>
        <v>наносить на брови с помощью щеточки</v>
      </c>
      <c r="BP264" s="43" t="str">
        <f>IFERROR(VLOOKUP(C264,'спецификация'!B:AA,11,0)," ")</f>
        <v>Меры предосторожности: избегать попадания в глаза. При попадании
промыть водой. При необходимости обратиться к врачу. 
</v>
      </c>
      <c r="BQ264" s="22" t="str">
        <f>IFERROR(VLOOKUP(C264,'спецификация'!B:AA,12,0)," ")</f>
        <v>при t от +5°C до + 25°C, вдали от солнечных лучей и нагревательных приборов.</v>
      </c>
      <c r="BR264" s="22">
        <v>5.0</v>
      </c>
      <c r="BS264" s="22" t="s">
        <v>139</v>
      </c>
      <c r="BT264" s="22"/>
      <c r="BU264" s="22"/>
      <c r="BV264" s="22" t="s">
        <v>307</v>
      </c>
      <c r="BW264" s="44" t="str">
        <f>IFERROR(VLOOKUP(C264,'спецификация'!B:AA,16,0)," ")</f>
        <v>https://docs.google.com/document/d/1HtMH8mlh_6dlzBBV-_skuSs_DNkjW62K/edit?usp=drive_web&amp;ouid=104241417680089502627&amp;rtpof=true</v>
      </c>
      <c r="BX264" s="43"/>
      <c r="BY264" s="43"/>
      <c r="BZ264" s="45" t="str">
        <f>IFERROR(VLOOKUP(BF264,'спецификация'!D:Y,22,0)," ")</f>
        <v/>
      </c>
      <c r="CA264" s="43"/>
      <c r="CB264" s="43"/>
      <c r="CC264" s="43"/>
      <c r="CD264" s="43"/>
      <c r="CE264" s="43"/>
      <c r="CF264" s="43"/>
      <c r="CG264" s="49">
        <f>IFERROR(VLOOKUP(C264,CC!A:D,4,0)," ")</f>
        <v>73.25</v>
      </c>
      <c r="CH264" s="22" t="str">
        <f>IFERROR(VLOOKUP(C264,'спецификация'!B:AA,19,0)," ")</f>
        <v>ООО Юниверсо
Ася, 7 928 038-70-35</v>
      </c>
      <c r="CI264" s="22"/>
      <c r="CJ264" s="22" t="s">
        <v>3490</v>
      </c>
      <c r="CK264" s="22">
        <f>IFERROR(VLOOKUP(C264,CC!K:M,3,0)," ")</f>
        <v>60</v>
      </c>
      <c r="CL264" s="43"/>
      <c r="CM264" s="43"/>
      <c r="CN264" s="43"/>
      <c r="CO264" s="43"/>
      <c r="CP264" s="43"/>
      <c r="CQ264" s="43"/>
      <c r="CR264" s="43"/>
      <c r="CS264" s="43" t="b">
        <v>0</v>
      </c>
      <c r="CT264" s="43" t="b">
        <v>0</v>
      </c>
      <c r="CU264" s="43" t="b">
        <v>0</v>
      </c>
      <c r="CV264" s="43" t="b">
        <v>0</v>
      </c>
      <c r="CW264" s="43"/>
      <c r="CX264" s="43"/>
      <c r="CY264" s="43"/>
      <c r="CZ264" s="43"/>
      <c r="DA264" s="43"/>
      <c r="DB264" s="43"/>
      <c r="DC264" s="43"/>
      <c r="DD264" s="22">
        <f>IFERROR(VLOOKUP($C264,'Лист4'!$D:$AI,27,0)," ")</f>
        <v>2</v>
      </c>
      <c r="DE264" s="22">
        <f>IFERROR(VLOOKUP($C264,'Лист4'!$D:$AI,28,0)," ")</f>
        <v>13</v>
      </c>
      <c r="DF264" s="22">
        <f>IFERROR(VLOOKUP($C264,'Лист4'!$D:$AI,29,0)," ")</f>
        <v>2</v>
      </c>
      <c r="DG264" s="22">
        <f t="shared" si="3"/>
        <v>52</v>
      </c>
      <c r="DH264" s="22">
        <f>IFERROR(VLOOKUP($C264,'Лист4'!$D:$AI,32,0)," ")</f>
        <v>0.016</v>
      </c>
      <c r="DI264" s="22"/>
      <c r="DJ264" s="22"/>
      <c r="DK264" s="22"/>
      <c r="DL264" s="22"/>
      <c r="DM264" s="22"/>
      <c r="DN264" s="22"/>
      <c r="DO264" s="22"/>
      <c r="DP264" s="22"/>
      <c r="DQ264" s="22"/>
      <c r="DR264" s="22"/>
      <c r="DS264" s="22"/>
      <c r="DT264" s="22"/>
      <c r="DU264" s="22"/>
      <c r="DV264" s="22"/>
      <c r="DW264" s="22"/>
      <c r="DX264" s="22"/>
      <c r="DY264" s="22"/>
      <c r="DZ264" s="22"/>
      <c r="EA264" s="22"/>
      <c r="EB264" s="22"/>
      <c r="EC264" s="22"/>
      <c r="ED264" s="22"/>
      <c r="EE264" s="22"/>
      <c r="EF264" s="22"/>
      <c r="EG264" s="22"/>
      <c r="EH264" s="22"/>
      <c r="EI264" s="22"/>
      <c r="EJ264" s="22"/>
      <c r="EK264" s="22"/>
      <c r="EL264" s="22"/>
      <c r="EM264" s="43"/>
      <c r="EN264" s="43"/>
      <c r="EO264" s="43"/>
      <c r="EP264" s="43"/>
      <c r="EQ264" s="43"/>
      <c r="ER264" s="43"/>
      <c r="ES264" s="43"/>
      <c r="ET264" s="43"/>
      <c r="EU264" s="43"/>
      <c r="EV264" s="43"/>
      <c r="EW264" s="43"/>
      <c r="EX264" s="43"/>
      <c r="EY264" s="43"/>
      <c r="EZ264" s="43"/>
      <c r="FA264" s="43"/>
      <c r="FB264" s="43"/>
      <c r="FC264" s="43"/>
    </row>
    <row r="265" ht="18.0" customHeight="1">
      <c r="A265" s="2"/>
      <c r="B265" s="22" t="str">
        <f>IFERROR(VLOOKUP(C265,'Реестр'!C:AC,27,0)," ")</f>
        <v>Смарт-Сэйл</v>
      </c>
      <c r="C265" s="43" t="s">
        <v>4151</v>
      </c>
      <c r="D265" s="22" t="str">
        <f>IFERROR(VLOOKUP(C265,'Лист4'!D:P,13,0)," ")</f>
        <v>CPA</v>
      </c>
      <c r="E265" s="22" t="str">
        <f>IF(OR(ISERROR(VLOOKUP(C265,'Актуальность'!A:B,2,0)), VLOOKUP(C265,'Актуальность'!A:B,2,0)=""), "Актуальный", VLOOKUP(C265,'Актуальность'!A:B,2,0))</f>
        <v>Актуальный</v>
      </c>
      <c r="F265" s="43" t="str">
        <f>IFERROR(VLOOKUP(C265,'Актуальность'!A:C,3,0)," ")</f>
        <v/>
      </c>
      <c r="G265" s="43"/>
      <c r="H265" s="22" t="s">
        <v>2663</v>
      </c>
      <c r="I265" s="22" t="s">
        <v>2860</v>
      </c>
      <c r="J265" s="43"/>
      <c r="K265" s="43"/>
      <c r="L265" s="22" t="b">
        <f t="shared" ref="L265:R265" si="261">T265&lt;&gt;""</f>
        <v>1</v>
      </c>
      <c r="M265" s="22" t="b">
        <f t="shared" si="261"/>
        <v>1</v>
      </c>
      <c r="N265" s="22" t="b">
        <f t="shared" si="261"/>
        <v>1</v>
      </c>
      <c r="O265" s="22" t="b">
        <f t="shared" si="261"/>
        <v>1</v>
      </c>
      <c r="P265" s="22" t="b">
        <f t="shared" si="261"/>
        <v>0</v>
      </c>
      <c r="Q265" s="22" t="b">
        <f t="shared" si="261"/>
        <v>0</v>
      </c>
      <c r="R265" s="22" t="b">
        <f t="shared" si="261"/>
        <v>0</v>
      </c>
      <c r="S265" s="43"/>
      <c r="T265" s="43" t="str">
        <f>IFERROR(VLOOKUP( C265,'1С'!A:B,2,0)," ")</f>
        <v>CC101100412</v>
      </c>
      <c r="U265" s="22" t="str">
        <f>IFERROR(VLOOKUP(T265,'Лист4'!C:I,3,0)," ")</f>
        <v>daoshen</v>
      </c>
      <c r="V265" s="22" t="str">
        <f>IFERROR(VLOOKUP(T265,'Лист4'!C:I,4,0)," ")</f>
        <v>daoshen</v>
      </c>
      <c r="W265" s="22" t="str">
        <f>IFERROR(VLOOKUP(T265,'Лист4'!C:I,5,0)," ")</f>
        <v>daoshen</v>
      </c>
      <c r="X265" s="43" t="str">
        <f>IFERROR(VLOOKUP(T265,'Лист4'!C:I,7,0)," ")</f>
        <v/>
      </c>
      <c r="Y265" s="43" t="str">
        <f>IFERROR(VLOOKUP(T265,'Лист4'!C:I,6,0)," ")</f>
        <v/>
      </c>
      <c r="Z265" s="43"/>
      <c r="AA265" s="43"/>
      <c r="AB265" s="22">
        <v>7.5182069E7</v>
      </c>
      <c r="AC265" s="22">
        <v>5.63811764E8</v>
      </c>
      <c r="AD265" s="22">
        <v>1.03340884471E11</v>
      </c>
      <c r="AE265" s="22"/>
      <c r="AF265" s="22"/>
      <c r="AG265" s="43"/>
      <c r="AH265" s="43"/>
      <c r="AI265" s="43" t="str">
        <f>IFERROR(VLOOKUP(T265,'1С'!B:C,2,0)," ")</f>
        <v>Мазь от грибка ногтей Даошэн, CPA, 15 мл</v>
      </c>
      <c r="AJ265" s="22" t="s">
        <v>4154</v>
      </c>
      <c r="AK265" s="22" t="s">
        <v>4155</v>
      </c>
      <c r="AL265" s="22" t="s">
        <v>4156</v>
      </c>
      <c r="AM265" s="43"/>
      <c r="AN265" s="43"/>
      <c r="AO265" s="43"/>
      <c r="AP265" s="43"/>
      <c r="AQ265" s="46" t="s">
        <v>4157</v>
      </c>
      <c r="AR265" s="46" t="s">
        <v>4158</v>
      </c>
      <c r="AS265" s="46" t="s">
        <v>4159</v>
      </c>
      <c r="AT265" s="43"/>
      <c r="AU265" s="43"/>
      <c r="AV265" s="43"/>
      <c r="AW265" s="43"/>
      <c r="AX265" s="22" t="s">
        <v>594</v>
      </c>
      <c r="AY265" s="22" t="s">
        <v>4155</v>
      </c>
      <c r="AZ265" s="22" t="s">
        <v>2672</v>
      </c>
      <c r="BA265" s="43"/>
      <c r="BB265" s="43"/>
      <c r="BC265" s="43"/>
      <c r="BD265" s="43"/>
      <c r="BE265" s="43"/>
      <c r="BF265" s="22" t="str">
        <f>IFERROR(VLOOKUP(C265,'спецификация'!B:D,3,0)," ")</f>
        <v>4631144732708
4609555389125</v>
      </c>
      <c r="BG265" s="22">
        <v>3.30499E9</v>
      </c>
      <c r="BH265" s="22" t="str">
        <f>IFERROR(VLOOKUP(C265,'спецификация'!B:AA,5,0)," ")</f>
        <v>ЕАЭС N RU Д-RU.РА02.B.95875/22 от 11.04.2022 до 06.04.2027</v>
      </c>
      <c r="BI265" s="22"/>
      <c r="BJ265" s="22" t="str">
        <f>IFERROR(VLOOKUP(C265,'спецификация'!B:AA,6,0)," ")</f>
        <v/>
      </c>
      <c r="BK265" s="43"/>
      <c r="BL265" s="43"/>
      <c r="BM265" s="22" t="str">
        <f>IFERROR(VLOOKUP(BF265,'спецификация'!D:H,5,0)," ")</f>
        <v>вода, пропиленгликоль, карбомер, масло миндаля (Oleum amygdalarum), софора желтоватая (Sophora flavescens), стемона японская (Stemona japonica), кордицепс (Cordyceps), жгун-корень монье (Cnidium monnieri), борнеол (Borneol), ментол (Menthol), триклозан (Triclosan), коллоидное серебро (Argentum colloidale), вытяжка из плодов черного ореха (Juglans nigra Extract), экстракт календулы (Calendula Extract), экстракт чистотела (Chelidonium Extract), экстракт листа лопуха (Arctium láppa Extract), экстракт индийского лука (Ornithogalum caudatum Extract), экстракт листьев эхинацеи (Echinacea Extract), экстракт маклюры (Maclura pomifera), экстракт ревеня (Rheum Extract), экстракт лимона (Citrus limon Extract), экстракт грецкого ореха (Juglans regia Extract), консервант.</v>
      </c>
      <c r="BN265" s="43"/>
      <c r="BO265" s="22" t="str">
        <f>IFERROR(VLOOKUP(C265,'спецификация'!B:AA,10,0)," ")</f>
        <v/>
      </c>
      <c r="BP265" s="43" t="str">
        <f>IFERROR(VLOOKUP(C265,'спецификация'!B:AA,11,0)," ")</f>
        <v>индивидуальная непереносимость одного или нескольких компонентов продукта.</v>
      </c>
      <c r="BQ265" s="22" t="str">
        <f>IFERROR(VLOOKUP(C265,'спецификация'!B:AA,12,0)," ")</f>
        <v>хранить в сухом месте при температуре не выше 25°С.
</v>
      </c>
      <c r="BR265" s="22">
        <v>15.0</v>
      </c>
      <c r="BS265" s="22" t="s">
        <v>139</v>
      </c>
      <c r="BT265" s="22"/>
      <c r="BU265" s="22"/>
      <c r="BV265" s="22"/>
      <c r="BW265" s="44" t="str">
        <f>IFERROR(VLOOKUP(C265,'спецификация'!B:AA,16,0)," ")</f>
        <v>https://docs.google.com/document/d/1YBsG9RfkV1uBPrlDq_rGpub4IMTdLtyC-zy-1RxP4rM/edit</v>
      </c>
      <c r="BX265" s="43"/>
      <c r="BY265" s="43"/>
      <c r="BZ265" s="45" t="str">
        <f>IFERROR(VLOOKUP(BF265,'спецификация'!D:Y,22,0)," ")</f>
        <v/>
      </c>
      <c r="CA265" s="43"/>
      <c r="CB265" s="43"/>
      <c r="CC265" s="43"/>
      <c r="CD265" s="43"/>
      <c r="CE265" s="43"/>
      <c r="CF265" s="43"/>
      <c r="CG265" s="49">
        <f>IFERROR(VLOOKUP(C265,CC!A:D,4,0)," ")</f>
        <v>95.71</v>
      </c>
      <c r="CH265" s="22" t="str">
        <f>IFERROR(VLOOKUP(C265,'спецификация'!B:AA,19,0)," ")</f>
        <v>ООО «Восток Плюс», 107113, г. Москва, Сокольническая пл., дом 4а, этаж 3, пом.IV, комн.11</v>
      </c>
      <c r="CI265" s="22"/>
      <c r="CJ265" s="43"/>
      <c r="CK265" s="22">
        <f>IFERROR(VLOOKUP(C265,CC!K:M,3,0)," ")</f>
        <v>45</v>
      </c>
      <c r="CL265" s="43"/>
      <c r="CM265" s="43"/>
      <c r="CN265" s="43"/>
      <c r="CO265" s="43"/>
      <c r="CP265" s="43"/>
      <c r="CQ265" s="43"/>
      <c r="CR265" s="43"/>
      <c r="CS265" s="43" t="b">
        <v>0</v>
      </c>
      <c r="CT265" s="43" t="b">
        <v>0</v>
      </c>
      <c r="CU265" s="43" t="b">
        <v>0</v>
      </c>
      <c r="CV265" s="43" t="b">
        <v>0</v>
      </c>
      <c r="CW265" s="43"/>
      <c r="CX265" s="43"/>
      <c r="CY265" s="43"/>
      <c r="CZ265" s="43"/>
      <c r="DA265" s="43"/>
      <c r="DB265" s="43"/>
      <c r="DC265" s="43"/>
      <c r="DD265" s="22">
        <f>IFERROR(VLOOKUP($C265,'Лист4'!$D:$AI,27,0)," ")</f>
        <v>10</v>
      </c>
      <c r="DE265" s="22">
        <f>IFERROR(VLOOKUP($C265,'Лист4'!$D:$AI,28,0)," ")</f>
        <v>3</v>
      </c>
      <c r="DF265" s="22">
        <f>IFERROR(VLOOKUP($C265,'Лист4'!$D:$AI,29,0)," ")</f>
        <v>10</v>
      </c>
      <c r="DG265" s="22">
        <f t="shared" si="3"/>
        <v>300</v>
      </c>
      <c r="DH265" s="22">
        <f>IFERROR(VLOOKUP($C265,'Лист4'!$D:$AI,32,0)," ")</f>
        <v>0.023</v>
      </c>
      <c r="DI265" s="22"/>
      <c r="DJ265" s="22"/>
      <c r="DK265" s="22"/>
      <c r="DL265" s="22"/>
      <c r="DM265" s="22"/>
      <c r="DN265" s="22"/>
      <c r="DO265" s="22"/>
      <c r="DP265" s="22"/>
      <c r="DQ265" s="22"/>
      <c r="DR265" s="22"/>
      <c r="DS265" s="22"/>
      <c r="DT265" s="22"/>
      <c r="DU265" s="22"/>
      <c r="DV265" s="22"/>
      <c r="DW265" s="22"/>
      <c r="DX265" s="22"/>
      <c r="DY265" s="22"/>
      <c r="DZ265" s="22"/>
      <c r="EA265" s="22"/>
      <c r="EB265" s="22"/>
      <c r="EC265" s="22"/>
      <c r="ED265" s="22"/>
      <c r="EE265" s="22"/>
      <c r="EF265" s="22"/>
      <c r="EG265" s="22"/>
      <c r="EH265" s="22"/>
      <c r="EI265" s="22"/>
      <c r="EJ265" s="22"/>
      <c r="EK265" s="22"/>
      <c r="EL265" s="22"/>
      <c r="EM265" s="43"/>
      <c r="EN265" s="43"/>
      <c r="EO265" s="43"/>
      <c r="EP265" s="43"/>
      <c r="EQ265" s="43"/>
      <c r="ER265" s="43"/>
      <c r="ES265" s="43"/>
      <c r="ET265" s="43"/>
      <c r="EU265" s="43"/>
      <c r="EV265" s="43"/>
      <c r="EW265" s="43"/>
      <c r="EX265" s="43"/>
      <c r="EY265" s="43"/>
      <c r="EZ265" s="43"/>
      <c r="FA265" s="43"/>
      <c r="FB265" s="43"/>
      <c r="FC265" s="43"/>
    </row>
    <row r="266" ht="18.0" customHeight="1">
      <c r="A266" s="2"/>
      <c r="B266" s="22" t="str">
        <f>IFERROR(VLOOKUP(C266,'Реестр'!C:AC,27,0)," ")</f>
        <v>Смарт-Сэйл</v>
      </c>
      <c r="C266" s="43" t="s">
        <v>4161</v>
      </c>
      <c r="D266" s="22" t="str">
        <f>IFERROR(VLOOKUP(C266,'Лист4'!D:P,13,0)," ")</f>
        <v>CPA</v>
      </c>
      <c r="E266" s="22" t="str">
        <f>IF(OR(ISERROR(VLOOKUP(C266,'Актуальность'!A:B,2,0)), VLOOKUP(C266,'Актуальность'!A:B,2,0)=""), "Актуальный", VLOOKUP(C266,'Актуальность'!A:B,2,0))</f>
        <v>Актуальный</v>
      </c>
      <c r="F266" s="43" t="str">
        <f>IFERROR(VLOOKUP(C266,'Актуальность'!A:C,3,0)," ")</f>
        <v/>
      </c>
      <c r="G266" s="43"/>
      <c r="H266" s="22" t="s">
        <v>2663</v>
      </c>
      <c r="I266" s="22" t="s">
        <v>2876</v>
      </c>
      <c r="J266" s="43"/>
      <c r="K266" s="43"/>
      <c r="L266" s="22" t="b">
        <f t="shared" ref="L266:R266" si="262">T266&lt;&gt;""</f>
        <v>1</v>
      </c>
      <c r="M266" s="22" t="b">
        <f t="shared" si="262"/>
        <v>1</v>
      </c>
      <c r="N266" s="22" t="b">
        <f t="shared" si="262"/>
        <v>1</v>
      </c>
      <c r="O266" s="22" t="b">
        <f t="shared" si="262"/>
        <v>1</v>
      </c>
      <c r="P266" s="22" t="b">
        <f t="shared" si="262"/>
        <v>0</v>
      </c>
      <c r="Q266" s="22" t="b">
        <f t="shared" si="262"/>
        <v>0</v>
      </c>
      <c r="R266" s="22" t="b">
        <f t="shared" si="262"/>
        <v>0</v>
      </c>
      <c r="S266" s="43"/>
      <c r="T266" s="43" t="str">
        <f>IFERROR(VLOOKUP( C266,'1С'!A:B,2,0)," ")</f>
        <v>CO101100406</v>
      </c>
      <c r="U266" s="22" t="str">
        <f>IFERROR(VLOOKUP(T266,'Лист4'!C:I,3,0)," ")</f>
        <v>sanatsin_1_1</v>
      </c>
      <c r="V266" s="22" t="str">
        <f>IFERROR(VLOOKUP(T266,'Лист4'!C:I,4,0)," ")</f>
        <v>sanatsin_1_1</v>
      </c>
      <c r="W266" s="22" t="str">
        <f>IFERROR(VLOOKUP(T266,'Лист4'!C:I,5,0)," ")</f>
        <v>sanatsin_1_1</v>
      </c>
      <c r="X266" s="43" t="str">
        <f>IFERROR(VLOOKUP(T266,'Лист4'!C:I,7,0)," ")</f>
        <v/>
      </c>
      <c r="Y266" s="43" t="str">
        <f>IFERROR(VLOOKUP(T266,'Лист4'!C:I,6,0)," ")</f>
        <v/>
      </c>
      <c r="Z266" s="43"/>
      <c r="AA266" s="43"/>
      <c r="AB266" s="22">
        <v>1.76855721E8</v>
      </c>
      <c r="AC266" s="22">
        <v>1.188041492E9</v>
      </c>
      <c r="AD266" s="22">
        <v>1.0351542447E11</v>
      </c>
      <c r="AE266" s="22"/>
      <c r="AF266" s="22"/>
      <c r="AG266" s="43"/>
      <c r="AH266" s="43"/>
      <c r="AI266" s="43" t="str">
        <f>IFERROR(VLOOKUP(T266,'1С'!B:C,2,0)," ")</f>
        <v>Пищевая добавка Санацин, CPA, 20 штук</v>
      </c>
      <c r="AJ266" s="22" t="s">
        <v>4164</v>
      </c>
      <c r="AK266" s="22" t="s">
        <v>4165</v>
      </c>
      <c r="AL266" s="22" t="s">
        <v>4166</v>
      </c>
      <c r="AM266" s="43"/>
      <c r="AN266" s="43"/>
      <c r="AO266" s="43"/>
      <c r="AP266" s="43"/>
      <c r="AQ266" s="46" t="s">
        <v>4167</v>
      </c>
      <c r="AR266" s="46" t="s">
        <v>4168</v>
      </c>
      <c r="AS266" s="46" t="s">
        <v>4169</v>
      </c>
      <c r="AT266" s="43"/>
      <c r="AU266" s="43"/>
      <c r="AV266" s="43"/>
      <c r="AW266" s="43"/>
      <c r="AX266" s="22" t="s">
        <v>649</v>
      </c>
      <c r="AY266" s="22" t="s">
        <v>4165</v>
      </c>
      <c r="AZ266" s="22" t="s">
        <v>372</v>
      </c>
      <c r="BA266" s="43"/>
      <c r="BB266" s="43"/>
      <c r="BC266" s="43"/>
      <c r="BD266" s="43"/>
      <c r="BE266" s="43"/>
      <c r="BF266" s="22" t="str">
        <f>IFERROR(VLOOKUP(C266,'спецификация'!B:D,3,0)," ")</f>
        <v/>
      </c>
      <c r="BG266" s="22"/>
      <c r="BH266" s="22" t="str">
        <f>IFERROR(VLOOKUP(C266,'спецификация'!B:AA,5,0)," ")</f>
        <v/>
      </c>
      <c r="BI266" s="22"/>
      <c r="BJ266" s="22" t="str">
        <f>IFERROR(VLOOKUP(C266,'спецификация'!B:AA,6,0)," ")</f>
        <v/>
      </c>
      <c r="BK266" s="43"/>
      <c r="BL266" s="43"/>
      <c r="BM266" s="22" t="str">
        <f>IFERROR(VLOOKUP(BF266,'спецификация'!D:H,5,0)," ")</f>
        <v> </v>
      </c>
      <c r="BN266" s="43"/>
      <c r="BO266" s="22" t="str">
        <f>IFERROR(VLOOKUP(C266,'спецификация'!B:AA,10,0)," ")</f>
        <v/>
      </c>
      <c r="BP266" s="43" t="str">
        <f>IFERROR(VLOOKUP(C266,'спецификация'!B:AA,11,0)," ")</f>
        <v/>
      </c>
      <c r="BQ266" s="22" t="str">
        <f>IFERROR(VLOOKUP(C266,'спецификация'!B:AA,12,0)," ")</f>
        <v/>
      </c>
      <c r="BR266" s="22"/>
      <c r="BS266" s="43"/>
      <c r="BT266" s="43"/>
      <c r="BU266" s="22"/>
      <c r="BV266" s="22"/>
      <c r="BW266" s="45" t="str">
        <f>IFERROR(VLOOKUP(C266,'спецификация'!B:AA,16,0)," ")</f>
        <v/>
      </c>
      <c r="BX266" s="43"/>
      <c r="BY266" s="43"/>
      <c r="BZ266" s="45" t="str">
        <f>IFERROR(VLOOKUP(BF266,'спецификация'!D:Y,22,0)," ")</f>
        <v> </v>
      </c>
      <c r="CA266" s="43"/>
      <c r="CB266" s="43"/>
      <c r="CC266" s="43"/>
      <c r="CD266" s="43"/>
      <c r="CE266" s="43"/>
      <c r="CF266" s="43"/>
      <c r="CG266" s="49">
        <f>IFERROR(VLOOKUP(C266,CC!A:D,4,0)," ")</f>
        <v>232.3</v>
      </c>
      <c r="CH266" s="22" t="str">
        <f>IFERROR(VLOOKUP(C266,'спецификация'!B:AA,19,0)," ")</f>
        <v/>
      </c>
      <c r="CI266" s="22"/>
      <c r="CJ266" s="43"/>
      <c r="CK266" s="22">
        <f>IFERROR(VLOOKUP(C266,CC!K:M,3,0)," ")</f>
        <v>45</v>
      </c>
      <c r="CL266" s="43"/>
      <c r="CM266" s="43"/>
      <c r="CN266" s="43"/>
      <c r="CO266" s="43"/>
      <c r="CP266" s="43"/>
      <c r="CQ266" s="43"/>
      <c r="CR266" s="43"/>
      <c r="CS266" s="43" t="b">
        <v>0</v>
      </c>
      <c r="CT266" s="43" t="b">
        <v>0</v>
      </c>
      <c r="CU266" s="43" t="b">
        <v>0</v>
      </c>
      <c r="CV266" s="43" t="b">
        <v>0</v>
      </c>
      <c r="CW266" s="43"/>
      <c r="CX266" s="43"/>
      <c r="CY266" s="43"/>
      <c r="CZ266" s="43"/>
      <c r="DA266" s="43"/>
      <c r="DB266" s="43"/>
      <c r="DC266" s="43"/>
      <c r="DD266" s="22">
        <f>IFERROR(VLOOKUP($C266,'Лист4'!$D:$AI,27,0)," ")</f>
        <v>6</v>
      </c>
      <c r="DE266" s="22">
        <f>IFERROR(VLOOKUP($C266,'Лист4'!$D:$AI,28,0)," ")</f>
        <v>9</v>
      </c>
      <c r="DF266" s="22">
        <f>IFERROR(VLOOKUP($C266,'Лист4'!$D:$AI,29,0)," ")</f>
        <v>6</v>
      </c>
      <c r="DG266" s="22">
        <f t="shared" si="3"/>
        <v>324</v>
      </c>
      <c r="DH266" s="22">
        <f>IFERROR(VLOOKUP($C266,'Лист4'!$D:$AI,32,0)," ")</f>
        <v>0.036</v>
      </c>
      <c r="DI266" s="22"/>
      <c r="DJ266" s="22"/>
      <c r="DK266" s="22"/>
      <c r="DL266" s="22"/>
      <c r="DM266" s="22"/>
      <c r="DN266" s="22"/>
      <c r="DO266" s="22"/>
      <c r="DP266" s="22"/>
      <c r="DQ266" s="22"/>
      <c r="DR266" s="22"/>
      <c r="DS266" s="22"/>
      <c r="DT266" s="22"/>
      <c r="DU266" s="22"/>
      <c r="DV266" s="22"/>
      <c r="DW266" s="22"/>
      <c r="DX266" s="22"/>
      <c r="DY266" s="22"/>
      <c r="DZ266" s="22"/>
      <c r="EA266" s="22"/>
      <c r="EB266" s="22"/>
      <c r="EC266" s="22"/>
      <c r="ED266" s="22"/>
      <c r="EE266" s="22"/>
      <c r="EF266" s="22"/>
      <c r="EG266" s="22"/>
      <c r="EH266" s="22"/>
      <c r="EI266" s="22"/>
      <c r="EJ266" s="22"/>
      <c r="EK266" s="22"/>
      <c r="EL266" s="22"/>
      <c r="EM266" s="43"/>
      <c r="EN266" s="43"/>
      <c r="EO266" s="43"/>
      <c r="EP266" s="43"/>
      <c r="EQ266" s="43"/>
      <c r="ER266" s="43"/>
      <c r="ES266" s="43"/>
      <c r="ET266" s="43"/>
      <c r="EU266" s="43"/>
      <c r="EV266" s="43"/>
      <c r="EW266" s="43"/>
      <c r="EX266" s="43"/>
      <c r="EY266" s="43"/>
      <c r="EZ266" s="43"/>
      <c r="FA266" s="43"/>
      <c r="FB266" s="43"/>
      <c r="FC266" s="43"/>
    </row>
    <row r="267" ht="18.0" customHeight="1">
      <c r="A267" s="2"/>
      <c r="B267" s="22" t="str">
        <f>IFERROR(VLOOKUP(C267,'Реестр'!C:AC,27,0)," ")</f>
        <v>Смарт-Сэйл</v>
      </c>
      <c r="C267" s="43" t="s">
        <v>4174</v>
      </c>
      <c r="D267" s="22" t="str">
        <f>IFERROR(VLOOKUP(C267,'Лист4'!D:P,13,0)," ")</f>
        <v>Алтея</v>
      </c>
      <c r="E267" s="22" t="str">
        <f>IF(OR(ISERROR(VLOOKUP(C267,'Актуальность'!A:B,2,0)), VLOOKUP(C267,'Актуальность'!A:B,2,0)=""), "Актуальный", VLOOKUP(C267,'Актуальность'!A:B,2,0))</f>
        <v>Вывод</v>
      </c>
      <c r="F267" s="43" t="str">
        <f>IFERROR(VLOOKUP(C267,'Актуальность'!A:C,3,0)," ")</f>
        <v>Неконкурентный товар</v>
      </c>
      <c r="G267" s="43"/>
      <c r="H267" s="22" t="s">
        <v>2743</v>
      </c>
      <c r="I267" s="22" t="s">
        <v>287</v>
      </c>
      <c r="J267" s="43"/>
      <c r="K267" s="43"/>
      <c r="L267" s="22" t="b">
        <f t="shared" ref="L267:R267" si="263">T267&lt;&gt;""</f>
        <v>1</v>
      </c>
      <c r="M267" s="22" t="b">
        <f t="shared" si="263"/>
        <v>1</v>
      </c>
      <c r="N267" s="22" t="b">
        <f t="shared" si="263"/>
        <v>1</v>
      </c>
      <c r="O267" s="22" t="b">
        <f t="shared" si="263"/>
        <v>1</v>
      </c>
      <c r="P267" s="22" t="b">
        <f t="shared" si="263"/>
        <v>1</v>
      </c>
      <c r="Q267" s="22" t="b">
        <f t="shared" si="263"/>
        <v>1</v>
      </c>
      <c r="R267" s="22" t="b">
        <f t="shared" si="263"/>
        <v>0</v>
      </c>
      <c r="S267" s="43"/>
      <c r="T267" s="43" t="str">
        <f>IFERROR(VLOOKUP( C267,'1С'!A:B,2,0)," ")</f>
        <v>AC101100409</v>
      </c>
      <c r="U267" s="22" t="str">
        <f>IFERROR(VLOOKUP(T267,'Лист4'!C:I,3,0)," ")</f>
        <v>maslo_dlya_volos_parf_110ml</v>
      </c>
      <c r="V267" s="22" t="str">
        <f>IFERROR(VLOOKUP(T267,'Лист4'!C:I,4,0)," ")</f>
        <v>maslo_dlya_volos_parf_110ml</v>
      </c>
      <c r="W267" s="22" t="str">
        <f>IFERROR(VLOOKUP(T267,'Лист4'!C:I,5,0)," ")</f>
        <v>maslo_dlya_volos_parf_110ml</v>
      </c>
      <c r="X267" s="43" t="str">
        <f>IFERROR(VLOOKUP(T267,'Лист4'!C:I,7,0)," ")</f>
        <v>maslo_dlya_volos_parf_110ml</v>
      </c>
      <c r="Y267" s="43" t="str">
        <f>IFERROR(VLOOKUP(T267,'Лист4'!C:I,6,0)," ")</f>
        <v>maslo_dlya_volos_parf_110ml</v>
      </c>
      <c r="Z267" s="43"/>
      <c r="AA267" s="43"/>
      <c r="AB267" s="22">
        <v>2.33125715E8</v>
      </c>
      <c r="AC267" s="22">
        <v>1.583009752E9</v>
      </c>
      <c r="AD267" s="22">
        <v>1.03515586622E11</v>
      </c>
      <c r="AE267" s="22">
        <v>9.9000076212E10</v>
      </c>
      <c r="AF267" s="22" t="s">
        <v>4176</v>
      </c>
      <c r="AG267" s="43"/>
      <c r="AH267" s="43"/>
      <c r="AI267" s="43" t="str">
        <f>IFERROR(VLOOKUP(T267,'1С'!B:C,2,0)," ")</f>
        <v>Масло для волос парфюмированное, Алтея, 110 мл</v>
      </c>
      <c r="AJ267" s="22" t="s">
        <v>3742</v>
      </c>
      <c r="AK267" s="22" t="s">
        <v>4177</v>
      </c>
      <c r="AL267" s="22" t="s">
        <v>4177</v>
      </c>
      <c r="AM267" s="22" t="s">
        <v>4178</v>
      </c>
      <c r="AN267" s="22" t="s">
        <v>4179</v>
      </c>
      <c r="AO267" s="43"/>
      <c r="AP267" s="43"/>
      <c r="AQ267" s="46" t="s">
        <v>4180</v>
      </c>
      <c r="AR267" s="46" t="s">
        <v>4181</v>
      </c>
      <c r="AS267" s="46" t="s">
        <v>4182</v>
      </c>
      <c r="AT267" s="46" t="s">
        <v>4183</v>
      </c>
      <c r="AU267" s="46" t="s">
        <v>4184</v>
      </c>
      <c r="AV267" s="43"/>
      <c r="AW267" s="43"/>
      <c r="AX267" s="22" t="s">
        <v>2438</v>
      </c>
      <c r="AY267" s="22" t="s">
        <v>4177</v>
      </c>
      <c r="AZ267" s="22" t="s">
        <v>326</v>
      </c>
      <c r="BA267" s="22"/>
      <c r="BB267" s="22" t="s">
        <v>3750</v>
      </c>
      <c r="BC267" s="43"/>
      <c r="BD267" s="43"/>
      <c r="BE267" s="43"/>
      <c r="BF267" s="22">
        <f>IFERROR(VLOOKUP(C267,'спецификация'!B:D,3,0)," ")</f>
        <v>4610172186875</v>
      </c>
      <c r="BG267" s="22">
        <v>3.305900009E9</v>
      </c>
      <c r="BH267" s="22" t="str">
        <f>IFERROR(VLOOKUP(C267,'спецификация'!B:AA,5,0)," ")</f>
        <v/>
      </c>
      <c r="BI267" s="22"/>
      <c r="BJ267" s="22" t="str">
        <f>IFERROR(VLOOKUP(C267,'спецификация'!B:AA,6,0)," ")</f>
        <v>нет</v>
      </c>
      <c r="BK267" s="43"/>
      <c r="BL267" s="43"/>
      <c r="BM267" s="22" t="str">
        <f>IFERROR(VLOOKUP(BF267,'спецификация'!D:H,5,0)," ")</f>
        <v>HELIANTHUS ANNUUS (SUNFLOWER) SEED OIL, GLYCINE SOJA (SOYBEAN) OIL, ISOAMYL LAURATE, ARGANIA SPINOSA (ARGAN) KERNEL OIL, SIMMONDSIA CHINENSIS (JOJOBA) SEED OIL, PERSEA GRATISSIMA (AVOCADO) OIL, BHT, PARFUM, COUMARIN.</v>
      </c>
      <c r="BN267" s="43"/>
      <c r="BO267" s="22" t="str">
        <f>IFERROR(VLOOKUP(C267,'спецификация'!B:AA,10,0)," ")</f>
        <v>небольшое количество масла нанести на ладони, затем распределить на волосах. Можно наносить на сухие и влажные волосы.</v>
      </c>
      <c r="BP267" s="43" t="str">
        <f>IFERROR(VLOOKUP(C267,'спецификация'!B:AA,11,0)," ")</f>
        <v>индивидуальная непереносимость компонентов, входящих в состав.</v>
      </c>
      <c r="BQ267" s="22" t="str">
        <f>IFERROR(VLOOKUP(C267,'спецификация'!B:AA,12,0)," ")</f>
        <v>хранить в сухом недоступном для света месте при температуре от +5 до +25.</v>
      </c>
      <c r="BR267" s="22">
        <v>110.0</v>
      </c>
      <c r="BS267" s="22" t="s">
        <v>139</v>
      </c>
      <c r="BT267" s="22"/>
      <c r="BU267" s="22"/>
      <c r="BV267" s="22" t="s">
        <v>307</v>
      </c>
      <c r="BW267" s="45" t="str">
        <f>IFERROR(VLOOKUP(C267,'спецификация'!B:AA,16,0)," ")</f>
        <v>Бриф Масло для волос.docx</v>
      </c>
      <c r="BX267" s="43"/>
      <c r="BY267" s="43"/>
      <c r="BZ267" s="45" t="str">
        <f>IFERROR(VLOOKUP(BF267,'спецификация'!D:Y,22,0)," ")</f>
        <v/>
      </c>
      <c r="CA267" s="43"/>
      <c r="CB267" s="43"/>
      <c r="CC267" s="43"/>
      <c r="CD267" s="43"/>
      <c r="CE267" s="43"/>
      <c r="CF267" s="43"/>
      <c r="CG267" s="49">
        <f>IFERROR(VLOOKUP(C267,CC!A:D,4,0)," ")</f>
        <v>149.62</v>
      </c>
      <c r="CH267" s="22" t="str">
        <f>IFERROR(VLOOKUP(C267,'спецификация'!B:AA,19,0)," ")</f>
        <v>ООО "ДжиЭсЭС Косметикс"</v>
      </c>
      <c r="CI267" s="22"/>
      <c r="CJ267" s="22" t="s">
        <v>3178</v>
      </c>
      <c r="CK267" s="22">
        <f>IFERROR(VLOOKUP(C267,CC!K:M,3,0)," ")</f>
        <v>90</v>
      </c>
      <c r="CL267" s="43"/>
      <c r="CM267" s="43"/>
      <c r="CN267" s="43"/>
      <c r="CO267" s="43"/>
      <c r="CP267" s="43"/>
      <c r="CQ267" s="43"/>
      <c r="CR267" s="43"/>
      <c r="CS267" s="43" t="b">
        <v>0</v>
      </c>
      <c r="CT267" s="43" t="b">
        <v>0</v>
      </c>
      <c r="CU267" s="43" t="b">
        <v>0</v>
      </c>
      <c r="CV267" s="43" t="b">
        <v>0</v>
      </c>
      <c r="CW267" s="43"/>
      <c r="CX267" s="43"/>
      <c r="CY267" s="43"/>
      <c r="CZ267" s="43"/>
      <c r="DA267" s="43"/>
      <c r="DB267" s="43"/>
      <c r="DC267" s="43"/>
      <c r="DD267" s="22">
        <f>IFERROR(VLOOKUP($C267,'Лист4'!$D:$AI,27,0)," ")</f>
        <v>3</v>
      </c>
      <c r="DE267" s="22">
        <f>IFERROR(VLOOKUP($C267,'Лист4'!$D:$AI,28,0)," ")</f>
        <v>16</v>
      </c>
      <c r="DF267" s="22">
        <f>IFERROR(VLOOKUP($C267,'Лист4'!$D:$AI,29,0)," ")</f>
        <v>3</v>
      </c>
      <c r="DG267" s="22">
        <f t="shared" si="3"/>
        <v>144</v>
      </c>
      <c r="DH267" s="22">
        <f>IFERROR(VLOOKUP($C267,'Лист4'!$D:$AI,32,0)," ")</f>
        <v>0.122</v>
      </c>
      <c r="DI267" s="22"/>
      <c r="DJ267" s="22"/>
      <c r="DK267" s="22"/>
      <c r="DL267" s="22"/>
      <c r="DM267" s="22"/>
      <c r="DN267" s="22"/>
      <c r="DO267" s="22"/>
      <c r="DP267" s="22"/>
      <c r="DQ267" s="22"/>
      <c r="DR267" s="22"/>
      <c r="DS267" s="22"/>
      <c r="DT267" s="22"/>
      <c r="DU267" s="22"/>
      <c r="DV267" s="22"/>
      <c r="DW267" s="22"/>
      <c r="DX267" s="22"/>
      <c r="DY267" s="22"/>
      <c r="DZ267" s="22"/>
      <c r="EA267" s="22"/>
      <c r="EB267" s="22"/>
      <c r="EC267" s="22"/>
      <c r="ED267" s="22"/>
      <c r="EE267" s="22"/>
      <c r="EF267" s="22"/>
      <c r="EG267" s="22"/>
      <c r="EH267" s="22"/>
      <c r="EI267" s="22"/>
      <c r="EJ267" s="22"/>
      <c r="EK267" s="22"/>
      <c r="EL267" s="22"/>
      <c r="EM267" s="43"/>
      <c r="EN267" s="43"/>
      <c r="EO267" s="43"/>
      <c r="EP267" s="43"/>
      <c r="EQ267" s="43"/>
      <c r="ER267" s="43"/>
      <c r="ES267" s="43"/>
      <c r="ET267" s="43"/>
      <c r="EU267" s="43"/>
      <c r="EV267" s="43"/>
      <c r="EW267" s="43"/>
      <c r="EX267" s="43"/>
      <c r="EY267" s="43"/>
      <c r="EZ267" s="43"/>
      <c r="FA267" s="43"/>
      <c r="FB267" s="43"/>
      <c r="FC267" s="43"/>
    </row>
    <row r="268" ht="18.0" customHeight="1">
      <c r="A268" s="2"/>
      <c r="B268" s="22" t="str">
        <f>IFERROR(VLOOKUP(C268,'Реестр'!C:AC,27,0)," ")</f>
        <v>Смарт-Сэйл</v>
      </c>
      <c r="C268" s="43" t="s">
        <v>4187</v>
      </c>
      <c r="D268" s="22" t="str">
        <f>IFERROR(VLOOKUP(C268,'Лист4'!D:P,13,0)," ")</f>
        <v>Алтея</v>
      </c>
      <c r="E268" s="22" t="str">
        <f>IF(OR(ISERROR(VLOOKUP(C268,'Актуальность'!A:B,2,0)), VLOOKUP(C268,'Актуальность'!A:B,2,0)=""), "Актуальный", VLOOKUP(C268,'Актуальность'!A:B,2,0))</f>
        <v>Актуальный</v>
      </c>
      <c r="F268" s="43" t="str">
        <f>IFERROR(VLOOKUP(C268,'Актуальность'!A:C,3,0)," ")</f>
        <v/>
      </c>
      <c r="G268" s="43"/>
      <c r="H268" s="22" t="s">
        <v>2743</v>
      </c>
      <c r="I268" s="22" t="s">
        <v>3158</v>
      </c>
      <c r="J268" s="43"/>
      <c r="K268" s="43"/>
      <c r="L268" s="22" t="b">
        <f t="shared" ref="L268:R268" si="264">T268&lt;&gt;""</f>
        <v>1</v>
      </c>
      <c r="M268" s="22" t="b">
        <f t="shared" si="264"/>
        <v>1</v>
      </c>
      <c r="N268" s="22" t="b">
        <f t="shared" si="264"/>
        <v>1</v>
      </c>
      <c r="O268" s="22" t="b">
        <f t="shared" si="264"/>
        <v>1</v>
      </c>
      <c r="P268" s="22" t="b">
        <f t="shared" si="264"/>
        <v>1</v>
      </c>
      <c r="Q268" s="22" t="b">
        <f t="shared" si="264"/>
        <v>1</v>
      </c>
      <c r="R268" s="22" t="b">
        <f t="shared" si="264"/>
        <v>0</v>
      </c>
      <c r="S268" s="43"/>
      <c r="T268" s="43" t="str">
        <f>IFERROR(VLOOKUP( C268,'1С'!A:B,2,0)," ")</f>
        <v>AC101100435</v>
      </c>
      <c r="U268" s="22" t="str">
        <f>IFERROR(VLOOKUP(T268,'Лист4'!C:I,3,0)," ")</f>
        <v>gel_for_men_3_in_1_1000ml</v>
      </c>
      <c r="V268" s="22" t="str">
        <f>IFERROR(VLOOKUP(T268,'Лист4'!C:I,4,0)," ")</f>
        <v>gel_for_men_3_in_1_1000ml</v>
      </c>
      <c r="W268" s="22" t="str">
        <f>IFERROR(VLOOKUP(T268,'Лист4'!C:I,5,0)," ")</f>
        <v>gel_for_men_3_in_1_1000ml</v>
      </c>
      <c r="X268" s="43" t="str">
        <f>IFERROR(VLOOKUP(T268,'Лист4'!C:I,7,0)," ")</f>
        <v>gel_for_men_3_in_1_1000ml</v>
      </c>
      <c r="Y268" s="43" t="str">
        <f>IFERROR(VLOOKUP(T268,'Лист4'!C:I,6,0)," ")</f>
        <v>gel_for_men_3_in_1_1000ml</v>
      </c>
      <c r="Z268" s="43"/>
      <c r="AA268" s="43"/>
      <c r="AB268" s="22">
        <v>3.19397405E8</v>
      </c>
      <c r="AC268" s="22">
        <v>1.847971373E9</v>
      </c>
      <c r="AD268" s="22">
        <v>1.03744710984E11</v>
      </c>
      <c r="AE268" s="22">
        <v>9.9000081275E10</v>
      </c>
      <c r="AF268" s="22" t="s">
        <v>4190</v>
      </c>
      <c r="AG268" s="43"/>
      <c r="AH268" s="43"/>
      <c r="AI268" s="43" t="str">
        <f>IFERROR(VLOOKUP(T268,'1С'!B:C,2,0)," ")</f>
        <v>Гель для душа мужской, Алтея, 1000 мл</v>
      </c>
      <c r="AJ268" s="22" t="s">
        <v>4191</v>
      </c>
      <c r="AK268" s="22" t="s">
        <v>4192</v>
      </c>
      <c r="AL268" s="22" t="s">
        <v>4193</v>
      </c>
      <c r="AM268" s="22" t="s">
        <v>4194</v>
      </c>
      <c r="AN268" s="22" t="s">
        <v>4195</v>
      </c>
      <c r="AO268" s="43"/>
      <c r="AP268" s="43"/>
      <c r="AQ268" s="46" t="s">
        <v>4196</v>
      </c>
      <c r="AR268" s="46" t="s">
        <v>4197</v>
      </c>
      <c r="AS268" s="46" t="s">
        <v>4198</v>
      </c>
      <c r="AT268" s="46" t="s">
        <v>4199</v>
      </c>
      <c r="AU268" s="46" t="s">
        <v>4200</v>
      </c>
      <c r="AV268" s="43"/>
      <c r="AW268" s="43"/>
      <c r="AX268" s="22" t="s">
        <v>1832</v>
      </c>
      <c r="AY268" s="22" t="s">
        <v>4192</v>
      </c>
      <c r="AZ268" s="22" t="s">
        <v>1833</v>
      </c>
      <c r="BA268" s="22" t="s">
        <v>1834</v>
      </c>
      <c r="BB268" s="22" t="s">
        <v>1835</v>
      </c>
      <c r="BC268" s="43"/>
      <c r="BD268" s="43"/>
      <c r="BE268" s="43"/>
      <c r="BF268" s="22">
        <f>IFERROR(VLOOKUP(C268,'спецификация'!B:D,3,0)," ")</f>
        <v>4603320465274</v>
      </c>
      <c r="BG268" s="22">
        <v>3305.0</v>
      </c>
      <c r="BH268" s="22" t="str">
        <f>IFERROR(VLOOKUP(C268,'спецификация'!B:AA,5,0)," ")</f>
        <v/>
      </c>
      <c r="BI268" s="22"/>
      <c r="BJ268" s="22" t="str">
        <f>IFERROR(VLOOKUP(C268,'спецификация'!B:AA,6,0)," ")</f>
        <v>нет</v>
      </c>
      <c r="BK268" s="43"/>
      <c r="BL268" s="43"/>
      <c r="BM268" s="22" t="str">
        <f>IFERROR(VLOOKUP(BF268,'спецификация'!D:H,5,0)," ")</f>
        <v>aqua, sodium laureth sulfate, cocamidopropylbetaine, glycerin, cocodiethanolamide, sodium c14-16 olefin sulfonate, Propylene Glycol, Аcus Extract, Yerba Mate Tea Еxtract, Panax Ginseng Root Extract, Citrus Paradisi Fruit Extract, Camellia Sinensis Leaf Extract, Chamomilla Recutita Flower Extract, Potassium sorbate, Citric Acid</v>
      </c>
      <c r="BN268" s="43"/>
      <c r="BO268" s="22" t="str">
        <f>IFERROR(VLOOKUP(C268,'спецификация'!B:AA,10,0)," ")</f>
        <v>нанесите на влажное тело/волосы небольшое количество геля с помощью губки или без неё, равномерно распределите гель, лёгкими круговые движениями помассируйте до образования пены, затем тщательно смойте водой. При необходимости повторите процедуру.</v>
      </c>
      <c r="BP268" s="43" t="str">
        <f>IFERROR(VLOOKUP(C268,'спецификация'!B:AA,11,0)," ")</f>
        <v>только для наружного применения. При попадании в глаза промойте их обильным количеством воды. Возможна индивидуальная непереносимость ингредиентов, входящих в состав.</v>
      </c>
      <c r="BQ268" s="22" t="str">
        <f>IFERROR(VLOOKUP(C268,'спецификация'!B:AA,12,0)," ")</f>
        <v>: от +5 до +25°С, в отсутствие прямых солнечных лучей.</v>
      </c>
      <c r="BR268" s="22">
        <v>1000.0</v>
      </c>
      <c r="BS268" s="22" t="s">
        <v>139</v>
      </c>
      <c r="BT268" s="22"/>
      <c r="BU268" s="22"/>
      <c r="BV268" s="22" t="s">
        <v>727</v>
      </c>
      <c r="BW268" s="44" t="str">
        <f>IFERROR(VLOOKUP(C268,'спецификация'!B:AA,16,0)," ")</f>
        <v>https://docs.google.com/document/d/17Czy-Kg6o-AG-wGhmP4Nd_ez6itfQGfB/edit</v>
      </c>
      <c r="BX268" s="43"/>
      <c r="BY268" s="43"/>
      <c r="BZ268" s="45" t="str">
        <f>IFERROR(VLOOKUP(BF268,'спецификация'!D:Y,22,0)," ")</f>
        <v/>
      </c>
      <c r="CA268" s="43"/>
      <c r="CB268" s="43"/>
      <c r="CC268" s="43"/>
      <c r="CD268" s="43"/>
      <c r="CE268" s="43"/>
      <c r="CF268" s="43"/>
      <c r="CG268" s="49">
        <f>IFERROR(VLOOKUP(C268,CC!A:D,4,0)," ")</f>
        <v>116.94</v>
      </c>
      <c r="CH268" s="22" t="str">
        <f>IFERROR(VLOOKUP(C268,'спецификация'!B:AA,19,0)," ")</f>
        <v>ООО "Марвел"</v>
      </c>
      <c r="CI268" s="22"/>
      <c r="CJ268" s="22" t="s">
        <v>2944</v>
      </c>
      <c r="CK268" s="22">
        <f>IFERROR(VLOOKUP(C268,CC!K:M,3,0)," ")</f>
        <v>60</v>
      </c>
      <c r="CL268" s="43"/>
      <c r="CM268" s="43"/>
      <c r="CN268" s="43"/>
      <c r="CO268" s="43"/>
      <c r="CP268" s="43"/>
      <c r="CQ268" s="43"/>
      <c r="CR268" s="43"/>
      <c r="CS268" s="43" t="b">
        <v>0</v>
      </c>
      <c r="CT268" s="43" t="b">
        <v>0</v>
      </c>
      <c r="CU268" s="43" t="b">
        <v>0</v>
      </c>
      <c r="CV268" s="43" t="b">
        <v>0</v>
      </c>
      <c r="CW268" s="43"/>
      <c r="CX268" s="43"/>
      <c r="CY268" s="43"/>
      <c r="CZ268" s="43"/>
      <c r="DA268" s="43"/>
      <c r="DB268" s="43"/>
      <c r="DC268" s="43"/>
      <c r="DD268" s="22">
        <f>IFERROR(VLOOKUP($C268,'Лист4'!$D:$AI,27,0)," ")</f>
        <v>11</v>
      </c>
      <c r="DE268" s="22">
        <f>IFERROR(VLOOKUP($C268,'Лист4'!$D:$AI,28,0)," ")</f>
        <v>11</v>
      </c>
      <c r="DF268" s="22">
        <f>IFERROR(VLOOKUP($C268,'Лист4'!$D:$AI,29,0)," ")</f>
        <v>11</v>
      </c>
      <c r="DG268" s="22">
        <f t="shared" si="3"/>
        <v>1331</v>
      </c>
      <c r="DH268" s="22">
        <f>IFERROR(VLOOKUP($C268,'Лист4'!$D:$AI,32,0)," ")</f>
        <v>1.07</v>
      </c>
      <c r="DI268" s="22"/>
      <c r="DJ268" s="22"/>
      <c r="DK268" s="22"/>
      <c r="DL268" s="22"/>
      <c r="DM268" s="22"/>
      <c r="DN268" s="22"/>
      <c r="DO268" s="22"/>
      <c r="DP268" s="22"/>
      <c r="DQ268" s="22"/>
      <c r="DR268" s="22"/>
      <c r="DS268" s="22"/>
      <c r="DT268" s="22"/>
      <c r="DU268" s="22"/>
      <c r="DV268" s="22"/>
      <c r="DW268" s="22"/>
      <c r="DX268" s="22"/>
      <c r="DY268" s="22"/>
      <c r="DZ268" s="22"/>
      <c r="EA268" s="22"/>
      <c r="EB268" s="22"/>
      <c r="EC268" s="22"/>
      <c r="ED268" s="22"/>
      <c r="EE268" s="22"/>
      <c r="EF268" s="22"/>
      <c r="EG268" s="22"/>
      <c r="EH268" s="22"/>
      <c r="EI268" s="22"/>
      <c r="EJ268" s="22"/>
      <c r="EK268" s="22"/>
      <c r="EL268" s="22"/>
      <c r="EM268" s="43"/>
      <c r="EN268" s="43"/>
      <c r="EO268" s="43"/>
      <c r="EP268" s="43"/>
      <c r="EQ268" s="43"/>
      <c r="ER268" s="43"/>
      <c r="ES268" s="43"/>
      <c r="ET268" s="43"/>
      <c r="EU268" s="43"/>
      <c r="EV268" s="43"/>
      <c r="EW268" s="43"/>
      <c r="EX268" s="43"/>
      <c r="EY268" s="43"/>
      <c r="EZ268" s="43"/>
      <c r="FA268" s="43"/>
      <c r="FB268" s="43"/>
      <c r="FC268" s="43"/>
    </row>
    <row r="269" ht="18.0" customHeight="1">
      <c r="A269" s="2"/>
      <c r="B269" s="22" t="str">
        <f>IFERROR(VLOOKUP(C269,'Реестр'!C:AC,27,0)," ")</f>
        <v>Смарт-Сэйл</v>
      </c>
      <c r="C269" s="43" t="s">
        <v>4206</v>
      </c>
      <c r="D269" s="22" t="str">
        <f>IFERROR(VLOOKUP(C269,'Лист4'!D:P,13,0)," ")</f>
        <v>Алтея</v>
      </c>
      <c r="E269" s="22" t="str">
        <f>IF(OR(ISERROR(VLOOKUP(C269,'Актуальность'!A:B,2,0)), VLOOKUP(C269,'Актуальность'!A:B,2,0)=""), "Актуальный", VLOOKUP(C269,'Актуальность'!A:B,2,0))</f>
        <v>Актуальный</v>
      </c>
      <c r="F269" s="43" t="str">
        <f>IFERROR(VLOOKUP(C269,'Актуальность'!A:C,3,0)," ")</f>
        <v/>
      </c>
      <c r="G269" s="43"/>
      <c r="H269" s="22" t="s">
        <v>2743</v>
      </c>
      <c r="I269" s="22" t="s">
        <v>565</v>
      </c>
      <c r="J269" s="43"/>
      <c r="K269" s="43"/>
      <c r="L269" s="22" t="b">
        <f t="shared" ref="L269:R269" si="265">T269&lt;&gt;""</f>
        <v>1</v>
      </c>
      <c r="M269" s="22" t="b">
        <f t="shared" si="265"/>
        <v>1</v>
      </c>
      <c r="N269" s="22" t="b">
        <f t="shared" si="265"/>
        <v>1</v>
      </c>
      <c r="O269" s="22" t="b">
        <f t="shared" si="265"/>
        <v>1</v>
      </c>
      <c r="P269" s="22" t="b">
        <f t="shared" si="265"/>
        <v>1</v>
      </c>
      <c r="Q269" s="22" t="b">
        <f t="shared" si="265"/>
        <v>1</v>
      </c>
      <c r="R269" s="22" t="b">
        <f t="shared" si="265"/>
        <v>0</v>
      </c>
      <c r="S269" s="43"/>
      <c r="T269" s="43" t="str">
        <f>IFERROR(VLOOKUP( C269,'1С'!A:B,2,0)," ")</f>
        <v>AC101100433</v>
      </c>
      <c r="U269" s="22" t="str">
        <f>IFERROR(VLOOKUP(T269,'Лист4'!C:I,3,0)," ")</f>
        <v>syvorotka_guk_30ml</v>
      </c>
      <c r="V269" s="22" t="str">
        <f>IFERROR(VLOOKUP(T269,'Лист4'!C:I,4,0)," ")</f>
        <v>syvorotka_guk_30ml</v>
      </c>
      <c r="W269" s="22" t="str">
        <f>IFERROR(VLOOKUP(T269,'Лист4'!C:I,5,0)," ")</f>
        <v>syvorotka_guk_30ml</v>
      </c>
      <c r="X269" s="43" t="str">
        <f>IFERROR(VLOOKUP(T269,'Лист4'!C:I,7,0)," ")</f>
        <v>syvorotka_guk_30ml</v>
      </c>
      <c r="Y269" s="43" t="str">
        <f>IFERROR(VLOOKUP(T269,'Лист4'!C:I,6,0)," ")</f>
        <v>syvorotka_guk_30ml</v>
      </c>
      <c r="Z269" s="43"/>
      <c r="AA269" s="43"/>
      <c r="AB269" s="22">
        <v>2.76474398E8</v>
      </c>
      <c r="AC269" s="22">
        <v>1.745303363E9</v>
      </c>
      <c r="AD269" s="22">
        <v>1.03599535128E11</v>
      </c>
      <c r="AE269" s="22">
        <v>9.9000076209E10</v>
      </c>
      <c r="AF269" s="22" t="s">
        <v>4209</v>
      </c>
      <c r="AG269" s="43"/>
      <c r="AH269" s="43"/>
      <c r="AI269" s="43" t="str">
        <f>IFERROR(VLOOKUP(T269,'1С'!B:C,2,0)," ")</f>
        <v>Сыворотка ГУК для лица, Алтея, 30 мл</v>
      </c>
      <c r="AJ269" s="22" t="s">
        <v>4210</v>
      </c>
      <c r="AK269" s="22" t="s">
        <v>4211</v>
      </c>
      <c r="AL269" s="22" t="s">
        <v>4212</v>
      </c>
      <c r="AM269" s="22" t="s">
        <v>4213</v>
      </c>
      <c r="AN269" s="22" t="s">
        <v>4214</v>
      </c>
      <c r="AO269" s="43"/>
      <c r="AP269" s="43"/>
      <c r="AQ269" s="46" t="s">
        <v>4215</v>
      </c>
      <c r="AR269" s="46" t="s">
        <v>4216</v>
      </c>
      <c r="AS269" s="46" t="s">
        <v>4217</v>
      </c>
      <c r="AT269" s="46" t="s">
        <v>4218</v>
      </c>
      <c r="AU269" s="46" t="s">
        <v>4219</v>
      </c>
      <c r="AV269" s="43"/>
      <c r="AW269" s="43"/>
      <c r="AX269" s="22" t="s">
        <v>325</v>
      </c>
      <c r="AY269" s="22" t="s">
        <v>4211</v>
      </c>
      <c r="AZ269" s="22" t="s">
        <v>2849</v>
      </c>
      <c r="BA269" s="22" t="s">
        <v>1447</v>
      </c>
      <c r="BB269" s="22" t="s">
        <v>2850</v>
      </c>
      <c r="BC269" s="43"/>
      <c r="BD269" s="43"/>
      <c r="BE269" s="43"/>
      <c r="BF269" s="22">
        <f>IFERROR(VLOOKUP(C269,'спецификация'!B:D,3,0)," ")</f>
        <v>4670020498093</v>
      </c>
      <c r="BG269" s="22">
        <v>3.30499E9</v>
      </c>
      <c r="BH269" s="22" t="str">
        <f>IFERROR(VLOOKUP(C269,'спецификация'!B:AA,5,0)," ")</f>
        <v/>
      </c>
      <c r="BI269" s="22"/>
      <c r="BJ269" s="22" t="str">
        <f>IFERROR(VLOOKUP(C269,'спецификация'!B:AA,6,0)," ")</f>
        <v>нет</v>
      </c>
      <c r="BK269" s="43"/>
      <c r="BL269" s="43"/>
      <c r="BM269" s="22" t="str">
        <f>IFERROR(VLOOKUP(BF269,'спецификация'!D:H,5,0)," ")</f>
        <v>Aqua, Butylene Glycol, Niacinamide, Glycerin, Sodium Hyaluronate, Trehalose, Sodium PCA, Glucose, Urea, Glutamic Acid, Lysine, Allantoin, 3-o-Ethyl Ascorbic Acid, Panthenol, Oenothera Biennis Oil, Retinyl Palmitate, Tocopheryl Acetate, PEG-40 Hydrogenated Castor Oil, Carbomer, Triethanolamine, Parfum, Citric Acid, Disodium EDTA, Lactic Acid, Potassium Sorbate, Sodium Benzoate, Gluconolactone, Calcium gluconate, Benzoic Acid, Dehydroacetic Acid, Phenoxyethanol, Ethylhexylglycerin, Citral, Limonene, Eugenol.</v>
      </c>
      <c r="BN269" s="43"/>
      <c r="BO269" s="22" t="str">
        <f>IFERROR(VLOOKUP(C269,'спецификация'!B:AA,10,0)," ")</f>
        <v>наносить на чистую кожу лица, шеи и декольте лёгкими массирующими движениями до полного впитывания. 
Может использоваться как самостоятельно, так и под дневной или ночной кремы.</v>
      </c>
      <c r="BP269" s="43" t="str">
        <f>IFERROR(VLOOKUP(C269,'спецификация'!B:AA,11,0)," ")</f>
        <v>нет</v>
      </c>
      <c r="BQ269" s="22" t="str">
        <f>IFERROR(VLOOKUP(C269,'спецификация'!B:AA,12,0)," ")</f>
        <v>хранить при температуре не ниже 5°С и не выше 25°С                     </v>
      </c>
      <c r="BR269" s="22">
        <v>30.0</v>
      </c>
      <c r="BS269" s="22" t="s">
        <v>139</v>
      </c>
      <c r="BT269" s="22"/>
      <c r="BU269" s="22"/>
      <c r="BV269" s="22" t="s">
        <v>307</v>
      </c>
      <c r="BW269" s="44" t="str">
        <f>IFERROR(VLOOKUP(C269,'спецификация'!B:AA,16,0)," ")</f>
        <v>https://docs.google.com/document/d/1SNWRwKOtgUoicXt4MaaybHrvhCKOYmQ4/edit</v>
      </c>
      <c r="BX269" s="43"/>
      <c r="BY269" s="43"/>
      <c r="BZ269" s="45" t="str">
        <f>IFERROR(VLOOKUP(BF269,'спецификация'!D:Y,22,0)," ")</f>
        <v/>
      </c>
      <c r="CA269" s="43"/>
      <c r="CB269" s="43"/>
      <c r="CC269" s="43"/>
      <c r="CD269" s="43"/>
      <c r="CE269" s="43"/>
      <c r="CF269" s="43"/>
      <c r="CG269" s="49">
        <f>IFERROR(VLOOKUP(C269,CC!A:D,4,0)," ")</f>
        <v>89.3</v>
      </c>
      <c r="CH269" s="22" t="str">
        <f>IFERROR(VLOOKUP(C269,'спецификация'!B:AA,19,0)," ")</f>
        <v>ООО "Алтэя"</v>
      </c>
      <c r="CI269" s="22"/>
      <c r="CJ269" s="22" t="s">
        <v>2835</v>
      </c>
      <c r="CK269" s="22">
        <f>IFERROR(VLOOKUP(C269,CC!K:M,3,0)," ")</f>
        <v>90</v>
      </c>
      <c r="CL269" s="43"/>
      <c r="CM269" s="43"/>
      <c r="CN269" s="43"/>
      <c r="CO269" s="43"/>
      <c r="CP269" s="43"/>
      <c r="CQ269" s="43"/>
      <c r="CR269" s="43"/>
      <c r="CS269" s="43" t="b">
        <v>0</v>
      </c>
      <c r="CT269" s="43" t="b">
        <v>0</v>
      </c>
      <c r="CU269" s="43" t="b">
        <v>0</v>
      </c>
      <c r="CV269" s="43" t="b">
        <v>0</v>
      </c>
      <c r="CW269" s="43"/>
      <c r="CX269" s="43"/>
      <c r="CY269" s="43"/>
      <c r="CZ269" s="43"/>
      <c r="DA269" s="43"/>
      <c r="DB269" s="43"/>
      <c r="DC269" s="43"/>
      <c r="DD269" s="22">
        <f>IFERROR(VLOOKUP($C269,'Лист4'!$D:$AI,27,0)," ")</f>
        <v>3</v>
      </c>
      <c r="DE269" s="22">
        <f>IFERROR(VLOOKUP($C269,'Лист4'!$D:$AI,28,0)," ")</f>
        <v>9</v>
      </c>
      <c r="DF269" s="22">
        <f>IFERROR(VLOOKUP($C269,'Лист4'!$D:$AI,29,0)," ")</f>
        <v>3</v>
      </c>
      <c r="DG269" s="22">
        <f t="shared" si="3"/>
        <v>81</v>
      </c>
      <c r="DH269" s="22">
        <f>IFERROR(VLOOKUP($C269,'Лист4'!$D:$AI,32,0)," ")</f>
        <v>0.041</v>
      </c>
      <c r="DI269" s="22"/>
      <c r="DJ269" s="22"/>
      <c r="DK269" s="22"/>
      <c r="DL269" s="22"/>
      <c r="DM269" s="22"/>
      <c r="DN269" s="22"/>
      <c r="DO269" s="22"/>
      <c r="DP269" s="22"/>
      <c r="DQ269" s="22"/>
      <c r="DR269" s="22"/>
      <c r="DS269" s="22"/>
      <c r="DT269" s="22"/>
      <c r="DU269" s="22"/>
      <c r="DV269" s="22"/>
      <c r="DW269" s="22"/>
      <c r="DX269" s="22"/>
      <c r="DY269" s="22"/>
      <c r="DZ269" s="22"/>
      <c r="EA269" s="22"/>
      <c r="EB269" s="22"/>
      <c r="EC269" s="22"/>
      <c r="ED269" s="22"/>
      <c r="EE269" s="22"/>
      <c r="EF269" s="22"/>
      <c r="EG269" s="22"/>
      <c r="EH269" s="22"/>
      <c r="EI269" s="22"/>
      <c r="EJ269" s="22"/>
      <c r="EK269" s="22"/>
      <c r="EL269" s="22"/>
      <c r="EM269" s="43"/>
      <c r="EN269" s="43"/>
      <c r="EO269" s="43"/>
      <c r="EP269" s="43"/>
      <c r="EQ269" s="43"/>
      <c r="ER269" s="43"/>
      <c r="ES269" s="43"/>
      <c r="ET269" s="43"/>
      <c r="EU269" s="43"/>
      <c r="EV269" s="43"/>
      <c r="EW269" s="43"/>
      <c r="EX269" s="43"/>
      <c r="EY269" s="43"/>
      <c r="EZ269" s="43"/>
      <c r="FA269" s="43"/>
      <c r="FB269" s="43"/>
      <c r="FC269" s="43"/>
    </row>
    <row r="270" ht="18.0" customHeight="1">
      <c r="A270" s="2"/>
      <c r="B270" s="22" t="str">
        <f>IFERROR(VLOOKUP(C270,'Реестр'!C:AC,27,0)," ")</f>
        <v>Смарт-Сэйл</v>
      </c>
      <c r="C270" s="43" t="s">
        <v>4224</v>
      </c>
      <c r="D270" s="22" t="str">
        <f>IFERROR(VLOOKUP(C270,'Лист4'!D:P,13,0)," ")</f>
        <v>Алтея</v>
      </c>
      <c r="E270" s="22" t="str">
        <f>IF(OR(ISERROR(VLOOKUP(C270,'Актуальность'!A:B,2,0)), VLOOKUP(C270,'Актуальность'!A:B,2,0)=""), "Актуальный", VLOOKUP(C270,'Актуальность'!A:B,2,0))</f>
        <v>Вывод</v>
      </c>
      <c r="F270" s="43" t="str">
        <f>IFERROR(VLOOKUP(C270,'Актуальность'!A:C,3,0)," ")</f>
        <v>Перезавели v2</v>
      </c>
      <c r="G270" s="43"/>
      <c r="H270" s="22" t="s">
        <v>2743</v>
      </c>
      <c r="I270" s="22" t="s">
        <v>565</v>
      </c>
      <c r="J270" s="43"/>
      <c r="K270" s="43"/>
      <c r="L270" s="22" t="b">
        <f t="shared" ref="L270:R270" si="266">T270&lt;&gt;""</f>
        <v>1</v>
      </c>
      <c r="M270" s="22" t="b">
        <f t="shared" si="266"/>
        <v>1</v>
      </c>
      <c r="N270" s="22" t="b">
        <f t="shared" si="266"/>
        <v>1</v>
      </c>
      <c r="O270" s="22" t="b">
        <f t="shared" si="266"/>
        <v>1</v>
      </c>
      <c r="P270" s="22" t="b">
        <f t="shared" si="266"/>
        <v>0</v>
      </c>
      <c r="Q270" s="22" t="b">
        <f t="shared" si="266"/>
        <v>1</v>
      </c>
      <c r="R270" s="22" t="b">
        <f t="shared" si="266"/>
        <v>0</v>
      </c>
      <c r="S270" s="43"/>
      <c r="T270" s="43" t="str">
        <f>IFERROR(VLOOKUP( C270,'1С'!A:B,2,0)," ")</f>
        <v>AC101100428</v>
      </c>
      <c r="U270" s="22" t="str">
        <f>IFERROR(VLOOKUP(T270,'Лист4'!C:I,3,0)," ")</f>
        <v>gel_antiakne_20ml</v>
      </c>
      <c r="V270" s="22" t="str">
        <f>IFERROR(VLOOKUP(T270,'Лист4'!C:I,4,0)," ")</f>
        <v>gel_antiakne_20ml</v>
      </c>
      <c r="W270" s="22" t="str">
        <f>IFERROR(VLOOKUP(T270,'Лист4'!C:I,5,0)," ")</f>
        <v>gel_antiakne_20ml</v>
      </c>
      <c r="X270" s="43" t="str">
        <f>IFERROR(VLOOKUP(T270,'Лист4'!C:I,7,0)," ")</f>
        <v/>
      </c>
      <c r="Y270" s="43" t="str">
        <f>IFERROR(VLOOKUP(T270,'Лист4'!C:I,6,0)," ")</f>
        <v>gel_antiakne_20ml</v>
      </c>
      <c r="Z270" s="43"/>
      <c r="AA270" s="43"/>
      <c r="AB270" s="22">
        <v>3.81392982E8</v>
      </c>
      <c r="AC270" s="22">
        <v>2.015557258E9</v>
      </c>
      <c r="AD270" s="22">
        <v>4.334380449E9</v>
      </c>
      <c r="AE270" s="22"/>
      <c r="AF270" s="22" t="s">
        <v>4226</v>
      </c>
      <c r="AG270" s="43"/>
      <c r="AH270" s="43"/>
      <c r="AI270" s="43" t="str">
        <f>IFERROR(VLOOKUP(T270,'1С'!B:C,2,0)," ")</f>
        <v>Корректор точечный Антиакне, Алтея, 20 мл</v>
      </c>
      <c r="AJ270" s="22" t="s">
        <v>3097</v>
      </c>
      <c r="AK270" s="22" t="s">
        <v>4227</v>
      </c>
      <c r="AL270" s="22" t="s">
        <v>4228</v>
      </c>
      <c r="AM270" s="43"/>
      <c r="AN270" s="22" t="s">
        <v>1462</v>
      </c>
      <c r="AO270" s="43"/>
      <c r="AP270" s="43"/>
      <c r="AQ270" s="46" t="s">
        <v>4229</v>
      </c>
      <c r="AR270" s="46" t="s">
        <v>4230</v>
      </c>
      <c r="AS270" s="46" t="s">
        <v>4231</v>
      </c>
      <c r="AT270" s="43"/>
      <c r="AU270" s="46" t="s">
        <v>4232</v>
      </c>
      <c r="AV270" s="43"/>
      <c r="AW270" s="43"/>
      <c r="AX270" s="22" t="s">
        <v>1832</v>
      </c>
      <c r="AY270" s="22" t="s">
        <v>4227</v>
      </c>
      <c r="AZ270" s="22" t="s">
        <v>595</v>
      </c>
      <c r="BA270" s="43"/>
      <c r="BB270" s="22" t="s">
        <v>596</v>
      </c>
      <c r="BC270" s="43"/>
      <c r="BD270" s="43"/>
      <c r="BE270" s="43"/>
      <c r="BF270" s="22" t="str">
        <f>IFERROR(VLOOKUP(C270,'спецификация'!B:D,3,0)," ")</f>
        <v>4670020498482; 4660417421643</v>
      </c>
      <c r="BG270" s="22">
        <v>3.30499E9</v>
      </c>
      <c r="BH270" s="22" t="str">
        <f>IFERROR(VLOOKUP(C270,'спецификация'!B:AA,5,0)," ")</f>
        <v/>
      </c>
      <c r="BI270" s="22"/>
      <c r="BJ270" s="22" t="str">
        <f>IFERROR(VLOOKUP(C270,'спецификация'!B:AA,6,0)," ")</f>
        <v>нет</v>
      </c>
      <c r="BK270" s="43"/>
      <c r="BL270" s="43"/>
      <c r="BM270" s="22" t="str">
        <f>IFERROR(VLOOKUP(BF270,'спецификация'!D:H,5,0)," ")</f>
        <v>Aqua, Butylene Glycol, Glycerin, Salicylic Acid, Acrylic Polymer, Xanthan Gum, Azelaic Acid, Allantoin, Bisabolol, Zinc PCA, Hydrolyzed Collagen, Hydrolyzed Elastin, Magnolia Officinalis Bark Extract, Salvia Officinalis Leaf Extract, Menthol, Melaleuca Alternifolia (Tea Tree) Leaf Oil, Sophora Japonica Extract, Sodium Hyaluronate, Propylene Glycol, Sodium Hydroxide, Parfum, Phenoxyethanol, Ethylhexylglycerin, Potassium Sorbate, Sodium Benzoate, CI 42090.          </v>
      </c>
      <c r="BN270" s="43"/>
      <c r="BO270" s="22" t="str">
        <f>IFERROR(VLOOKUP(C270,'спецификация'!B:AA,10,0)," ")</f>
        <v>нанесите гель точечно на предварительно очищенные проблемные участки кожи, перед использованием других средств подождите 10 минут.</v>
      </c>
      <c r="BP270" s="43" t="str">
        <f>IFERROR(VLOOKUP(C270,'спецификация'!B:AA,11,0)," ")</f>
        <v>Избегать попадания геля на слизистые оболочки и область вокруг глаз. При попадании в глаза тщательно промыть водой.</v>
      </c>
      <c r="BQ270" s="22" t="str">
        <f>IFERROR(VLOOKUP(C270,'спецификация'!B:AA,12,0)," ")</f>
        <v>Хранят при температуре не ниже 0˚С и не выше 25˚ Не допускается хранить продукцию под непосредственным воздействием солнечного света и вблизи отопительных приборов.  </v>
      </c>
      <c r="BR270" s="22">
        <v>20.0</v>
      </c>
      <c r="BS270" s="22" t="s">
        <v>139</v>
      </c>
      <c r="BT270" s="22"/>
      <c r="BU270" s="22"/>
      <c r="BV270" s="22" t="s">
        <v>307</v>
      </c>
      <c r="BW270" s="44" t="str">
        <f>IFERROR(VLOOKUP(C270,'спецификация'!B:AA,16,0)," ")</f>
        <v>https://docs.google.com/document/d/1jK67nM4qhH4qI66P6ENCOliGj-DpKMDn/edit?usp=drive_web&amp;ouid=104241417680089502627&amp;rtpof=true</v>
      </c>
      <c r="BX270" s="43"/>
      <c r="BY270" s="43"/>
      <c r="BZ270" s="45" t="str">
        <f>IFERROR(VLOOKUP(BF270,'спецификация'!D:Y,22,0)," ")</f>
        <v/>
      </c>
      <c r="CA270" s="43"/>
      <c r="CB270" s="43"/>
      <c r="CC270" s="43"/>
      <c r="CD270" s="43"/>
      <c r="CE270" s="43"/>
      <c r="CF270" s="43"/>
      <c r="CG270" s="49">
        <f>IFERROR(VLOOKUP(C270,CC!A:D,4,0)," ")</f>
        <v>78.09</v>
      </c>
      <c r="CH270" s="22" t="str">
        <f>IFERROR(VLOOKUP(C270,'спецификация'!B:AA,19,0)," ")</f>
        <v>ООО "Алтэя"</v>
      </c>
      <c r="CI270" s="22"/>
      <c r="CJ270" s="43"/>
      <c r="CK270" s="22">
        <f>IFERROR(VLOOKUP(C270,CC!K:M,3,0)," ")</f>
        <v>90</v>
      </c>
      <c r="CL270" s="43"/>
      <c r="CM270" s="43"/>
      <c r="CN270" s="43"/>
      <c r="CO270" s="43"/>
      <c r="CP270" s="43"/>
      <c r="CQ270" s="43"/>
      <c r="CR270" s="43"/>
      <c r="CS270" s="43" t="b">
        <v>0</v>
      </c>
      <c r="CT270" s="43" t="b">
        <v>0</v>
      </c>
      <c r="CU270" s="43" t="b">
        <v>0</v>
      </c>
      <c r="CV270" s="43" t="b">
        <v>0</v>
      </c>
      <c r="CW270" s="43"/>
      <c r="CX270" s="43"/>
      <c r="CY270" s="43"/>
      <c r="CZ270" s="43"/>
      <c r="DA270" s="43"/>
      <c r="DB270" s="43"/>
      <c r="DC270" s="43"/>
      <c r="DD270" s="22">
        <f>IFERROR(VLOOKUP($C270,'Лист4'!$D:$AI,27,0)," ")</f>
        <v>5</v>
      </c>
      <c r="DE270" s="22">
        <f>IFERROR(VLOOKUP($C270,'Лист4'!$D:$AI,28,0)," ")</f>
        <v>5</v>
      </c>
      <c r="DF270" s="22">
        <f>IFERROR(VLOOKUP($C270,'Лист4'!$D:$AI,29,0)," ")</f>
        <v>5</v>
      </c>
      <c r="DG270" s="22">
        <f t="shared" si="3"/>
        <v>125</v>
      </c>
      <c r="DH270" s="22">
        <f>IFERROR(VLOOKUP($C270,'Лист4'!$D:$AI,32,0)," ")</f>
        <v>0.031</v>
      </c>
      <c r="DI270" s="22"/>
      <c r="DJ270" s="22"/>
      <c r="DK270" s="22"/>
      <c r="DL270" s="22"/>
      <c r="DM270" s="22"/>
      <c r="DN270" s="22"/>
      <c r="DO270" s="22"/>
      <c r="DP270" s="22"/>
      <c r="DQ270" s="22"/>
      <c r="DR270" s="22"/>
      <c r="DS270" s="22"/>
      <c r="DT270" s="22"/>
      <c r="DU270" s="22"/>
      <c r="DV270" s="22"/>
      <c r="DW270" s="22"/>
      <c r="DX270" s="22"/>
      <c r="DY270" s="22"/>
      <c r="DZ270" s="22"/>
      <c r="EA270" s="22"/>
      <c r="EB270" s="22"/>
      <c r="EC270" s="22"/>
      <c r="ED270" s="22"/>
      <c r="EE270" s="22"/>
      <c r="EF270" s="22"/>
      <c r="EG270" s="22"/>
      <c r="EH270" s="22"/>
      <c r="EI270" s="22"/>
      <c r="EJ270" s="22"/>
      <c r="EK270" s="22"/>
      <c r="EL270" s="22"/>
      <c r="EM270" s="43"/>
      <c r="EN270" s="43"/>
      <c r="EO270" s="43"/>
      <c r="EP270" s="43"/>
      <c r="EQ270" s="43"/>
      <c r="ER270" s="43"/>
      <c r="ES270" s="43"/>
      <c r="ET270" s="43"/>
      <c r="EU270" s="43"/>
      <c r="EV270" s="43"/>
      <c r="EW270" s="43"/>
      <c r="EX270" s="43"/>
      <c r="EY270" s="43"/>
      <c r="EZ270" s="43"/>
      <c r="FA270" s="43"/>
      <c r="FB270" s="43"/>
      <c r="FC270" s="43"/>
    </row>
    <row r="271" ht="18.0" customHeight="1">
      <c r="A271" s="2"/>
      <c r="B271" s="22" t="str">
        <f>IFERROR(VLOOKUP(C271,'Реестр'!C:AC,27,0)," ")</f>
        <v>Смарт-Сэйл</v>
      </c>
      <c r="C271" s="43" t="s">
        <v>4235</v>
      </c>
      <c r="D271" s="22" t="str">
        <f>IFERROR(VLOOKUP(C271,'Лист4'!D:P,13,0)," ")</f>
        <v>CPA</v>
      </c>
      <c r="E271" s="22" t="str">
        <f>IF(OR(ISERROR(VLOOKUP(C271,'Актуальность'!A:B,2,0)), VLOOKUP(C271,'Актуальность'!A:B,2,0)=""), "Актуальный", VLOOKUP(C271,'Актуальность'!A:B,2,0))</f>
        <v>Актуальный</v>
      </c>
      <c r="F271" s="43" t="str">
        <f>IFERROR(VLOOKUP(C271,'Актуальность'!A:C,3,0)," ")</f>
        <v/>
      </c>
      <c r="G271" s="43"/>
      <c r="H271" s="22" t="s">
        <v>2663</v>
      </c>
      <c r="I271" s="22" t="s">
        <v>2860</v>
      </c>
      <c r="J271" s="43"/>
      <c r="K271" s="43"/>
      <c r="L271" s="22" t="b">
        <f t="shared" ref="L271:R271" si="267">T271&lt;&gt;""</f>
        <v>1</v>
      </c>
      <c r="M271" s="22" t="b">
        <f t="shared" si="267"/>
        <v>1</v>
      </c>
      <c r="N271" s="22" t="b">
        <f t="shared" si="267"/>
        <v>1</v>
      </c>
      <c r="O271" s="22" t="b">
        <f t="shared" si="267"/>
        <v>1</v>
      </c>
      <c r="P271" s="22" t="b">
        <f t="shared" si="267"/>
        <v>1</v>
      </c>
      <c r="Q271" s="22" t="b">
        <f t="shared" si="267"/>
        <v>1</v>
      </c>
      <c r="R271" s="22" t="b">
        <f t="shared" si="267"/>
        <v>0</v>
      </c>
      <c r="S271" s="43"/>
      <c r="T271" s="43" t="str">
        <f>IFERROR(VLOOKUP( C271,'1С'!A:B,2,0)," ")</f>
        <v>CC101100451</v>
      </c>
      <c r="U271" s="22" t="s">
        <v>4235</v>
      </c>
      <c r="V271" s="22" t="s">
        <v>4235</v>
      </c>
      <c r="W271" s="22" t="s">
        <v>4235</v>
      </c>
      <c r="X271" s="43" t="str">
        <f>IFERROR(VLOOKUP(T271,'Лист4'!C:I,7,0)," ")</f>
        <v> </v>
      </c>
      <c r="Y271" s="43" t="str">
        <f>IFERROR(VLOOKUP(T271,'Лист4'!C:I,6,0)," ")</f>
        <v> </v>
      </c>
      <c r="Z271" s="43"/>
      <c r="AA271" s="43"/>
      <c r="AB271" s="22">
        <v>5.25495859E8</v>
      </c>
      <c r="AC271" s="22">
        <v>2.825114763E9</v>
      </c>
      <c r="AD271" s="22">
        <v>4.640678615E9</v>
      </c>
      <c r="AE271" s="22"/>
      <c r="AF271" s="22"/>
      <c r="AG271" s="43"/>
      <c r="AH271" s="43"/>
      <c r="AI271" s="43" t="str">
        <f>IFERROR(VLOOKUP(T271,'1С'!B:C,2,0)," ")</f>
        <v>Мазь от грибка ногтей Mycoplax, CPA, 15 мл, набор из 2 шт</v>
      </c>
      <c r="AJ271" s="22" t="s">
        <v>2862</v>
      </c>
      <c r="AK271" s="22" t="s">
        <v>4061</v>
      </c>
      <c r="AL271" s="22" t="s">
        <v>4062</v>
      </c>
      <c r="AM271" s="43"/>
      <c r="AN271" s="43"/>
      <c r="AO271" s="43"/>
      <c r="AP271" s="43"/>
      <c r="AQ271" s="46" t="s">
        <v>4238</v>
      </c>
      <c r="AR271" s="46" t="s">
        <v>4064</v>
      </c>
      <c r="AS271" s="46" t="s">
        <v>4065</v>
      </c>
      <c r="AT271" s="43"/>
      <c r="AU271" s="43"/>
      <c r="AV271" s="43"/>
      <c r="AW271" s="43"/>
      <c r="AX271" s="22" t="s">
        <v>594</v>
      </c>
      <c r="AY271" s="22" t="s">
        <v>4061</v>
      </c>
      <c r="AZ271" s="22" t="s">
        <v>2672</v>
      </c>
      <c r="BA271" s="43"/>
      <c r="BB271" s="43"/>
      <c r="BC271" s="43"/>
      <c r="BD271" s="43"/>
      <c r="BE271" s="43"/>
      <c r="BF271" s="22">
        <f>IFERROR(VLOOKUP(C271,'спецификация'!B:D,3,0)," ")</f>
        <v>4687489995674</v>
      </c>
      <c r="BG271" s="22">
        <v>3.30499E9</v>
      </c>
      <c r="BH271" s="22" t="str">
        <f>IFERROR(VLOOKUP(C271,'спецификация'!B:AA,5,0)," ")</f>
        <v>ЕАЭС N RU Д-RU.PA06.B.47111/24 от 26.07.2024 по 25.07.2029</v>
      </c>
      <c r="BI271" s="22"/>
      <c r="BJ271" s="22" t="str">
        <f>IFERROR(VLOOKUP(C271,'спецификация'!B:AA,6,0)," ")</f>
        <v/>
      </c>
      <c r="BK271" s="43"/>
      <c r="BL271" s="43"/>
      <c r="BM271" s="22" t="str">
        <f>IFERROR(VLOOKUP(BF271,'спецификация'!D:H,5,0)," ")</f>
        <v> вода, глицерин, бланоза, шаромикс ег 10, сабовакс, экстрактыы стемона японская, кордицепс, жгун-корень монье, плодов черного ореха, календулы, чистотела, индийского лука, листьев эхинацеи, маклюры, экстракт портулака , череды, софоры японской, семян кориандра, шиитаке, алоэ, золотого уса, каланхоэ, орегано, аира, масло амаранта, камформа.
</v>
      </c>
      <c r="BN271" s="43"/>
      <c r="BO271" s="22" t="str">
        <f>IFERROR(VLOOKUP(C271,'спецификация'!B:AA,10,0)," ")</f>
        <v/>
      </c>
      <c r="BP271" s="43" t="str">
        <f>IFERROR(VLOOKUP(C271,'спецификация'!B:AA,11,0)," ")</f>
        <v>индивидуальная непереносимость компонентов.</v>
      </c>
      <c r="BQ271" s="22" t="str">
        <f>IFERROR(VLOOKUP(C271,'спецификация'!B:AA,12,0)," ")</f>
        <v>хранить при температуре от + 5°С до + 25°С, в недоступном для детей месте.
</v>
      </c>
      <c r="BR271" s="22">
        <v>15.0</v>
      </c>
      <c r="BS271" s="22" t="s">
        <v>139</v>
      </c>
      <c r="BT271" s="22"/>
      <c r="BU271" s="22"/>
      <c r="BV271" s="22"/>
      <c r="BW271" s="44" t="str">
        <f>IFERROR(VLOOKUP(C271,'спецификация'!B:AA,16,0)," ")</f>
        <v>https://docs.google.com/document/d/14bE0xb0TuGIpnc5vHYSA-pyDq15-A5U1/edit?usp=drive_web&amp;ouid=104241417680089502627&amp;rtpof=true</v>
      </c>
      <c r="BX271" s="43"/>
      <c r="BY271" s="43"/>
      <c r="BZ271" s="45" t="str">
        <f>IFERROR(VLOOKUP(BF271,'спецификация'!D:Y,22,0)," ")</f>
        <v/>
      </c>
      <c r="CA271" s="43"/>
      <c r="CB271" s="43"/>
      <c r="CC271" s="43"/>
      <c r="CD271" s="43"/>
      <c r="CE271" s="43"/>
      <c r="CF271" s="43"/>
      <c r="CG271" s="49">
        <f>IFERROR(VLOOKUP(C271,CC!A:D,4,0)," ")</f>
        <v>227.78</v>
      </c>
      <c r="CH271" s="22" t="str">
        <f>IFERROR(VLOOKUP(C271,'спецификация'!B:AA,19,0)," ")</f>
        <v/>
      </c>
      <c r="CI271" s="22"/>
      <c r="CJ271" s="22"/>
      <c r="CK271" s="22">
        <f>IFERROR(VLOOKUP(C271,CC!K:M,3,0)," ")</f>
        <v>45</v>
      </c>
      <c r="CL271" s="43"/>
      <c r="CM271" s="43"/>
      <c r="CN271" s="43"/>
      <c r="CO271" s="43"/>
      <c r="CP271" s="43"/>
      <c r="CQ271" s="43"/>
      <c r="CR271" s="43"/>
      <c r="CS271" s="43" t="b">
        <v>0</v>
      </c>
      <c r="CT271" s="43" t="b">
        <v>0</v>
      </c>
      <c r="CU271" s="43" t="b">
        <v>0</v>
      </c>
      <c r="CV271" s="43" t="b">
        <v>0</v>
      </c>
      <c r="CW271" s="43"/>
      <c r="CX271" s="43"/>
      <c r="CY271" s="43"/>
      <c r="CZ271" s="43"/>
      <c r="DA271" s="43"/>
      <c r="DB271" s="43"/>
      <c r="DC271" s="43"/>
      <c r="DD271" s="22">
        <f>IFERROR(VLOOKUP($C271,'Лист4'!$D:$AI,27,0)," ")</f>
        <v>9</v>
      </c>
      <c r="DE271" s="22">
        <f>IFERROR(VLOOKUP($C271,'Лист4'!$D:$AI,28,0)," ")</f>
        <v>13</v>
      </c>
      <c r="DF271" s="22">
        <f>IFERROR(VLOOKUP($C271,'Лист4'!$D:$AI,29,0)," ")</f>
        <v>9</v>
      </c>
      <c r="DG271" s="22">
        <f t="shared" si="3"/>
        <v>1053</v>
      </c>
      <c r="DH271" s="22">
        <f>IFERROR(VLOOKUP($C271,'Лист4'!$D:$AI,32,0)," ")</f>
        <v>0.076</v>
      </c>
      <c r="DI271" s="22"/>
      <c r="DJ271" s="22"/>
      <c r="DK271" s="22"/>
      <c r="DL271" s="22"/>
      <c r="DM271" s="22"/>
      <c r="DN271" s="22"/>
      <c r="DO271" s="22"/>
      <c r="DP271" s="22"/>
      <c r="DQ271" s="22"/>
      <c r="DR271" s="22"/>
      <c r="DS271" s="22"/>
      <c r="DT271" s="22"/>
      <c r="DU271" s="22"/>
      <c r="DV271" s="22"/>
      <c r="DW271" s="22"/>
      <c r="DX271" s="22"/>
      <c r="DY271" s="22"/>
      <c r="DZ271" s="22"/>
      <c r="EA271" s="22"/>
      <c r="EB271" s="22"/>
      <c r="EC271" s="22"/>
      <c r="ED271" s="22"/>
      <c r="EE271" s="22"/>
      <c r="EF271" s="22"/>
      <c r="EG271" s="22"/>
      <c r="EH271" s="22"/>
      <c r="EI271" s="22"/>
      <c r="EJ271" s="22"/>
      <c r="EK271" s="22"/>
      <c r="EL271" s="22"/>
      <c r="EM271" s="43"/>
      <c r="EN271" s="43"/>
      <c r="EO271" s="43"/>
      <c r="EP271" s="43"/>
      <c r="EQ271" s="43"/>
      <c r="ER271" s="43"/>
      <c r="ES271" s="43"/>
      <c r="ET271" s="43"/>
      <c r="EU271" s="43"/>
      <c r="EV271" s="43"/>
      <c r="EW271" s="43"/>
      <c r="EX271" s="43"/>
      <c r="EY271" s="43"/>
      <c r="EZ271" s="43"/>
      <c r="FA271" s="43"/>
      <c r="FB271" s="43"/>
      <c r="FC271" s="43"/>
    </row>
    <row r="272" ht="18.0" customHeight="1">
      <c r="A272" s="2"/>
      <c r="B272" s="22" t="str">
        <f>IFERROR(VLOOKUP(C272,'Реестр'!C:AC,27,0)," ")</f>
        <v>Смарт-Сэйл</v>
      </c>
      <c r="C272" s="43" t="s">
        <v>4239</v>
      </c>
      <c r="D272" s="22" t="str">
        <f>IFERROR(VLOOKUP(C272,'Лист4'!D:P,13,0)," ")</f>
        <v>Алтея</v>
      </c>
      <c r="E272" s="22" t="str">
        <f>IF(OR(ISERROR(VLOOKUP(C272,'Актуальность'!A:B,2,0)), VLOOKUP(C272,'Актуальность'!A:B,2,0)=""), "Актуальный", VLOOKUP(C272,'Актуальность'!A:B,2,0))</f>
        <v>Актуальный</v>
      </c>
      <c r="F272" s="43" t="str">
        <f>IFERROR(VLOOKUP(C272,'Актуальность'!A:C,3,0)," ")</f>
        <v/>
      </c>
      <c r="G272" s="43"/>
      <c r="H272" s="22" t="s">
        <v>2743</v>
      </c>
      <c r="I272" s="22" t="s">
        <v>2783</v>
      </c>
      <c r="J272" s="43"/>
      <c r="K272" s="43"/>
      <c r="L272" s="22" t="b">
        <f t="shared" ref="L272:R272" si="268">T272&lt;&gt;""</f>
        <v>1</v>
      </c>
      <c r="M272" s="22" t="b">
        <f t="shared" si="268"/>
        <v>1</v>
      </c>
      <c r="N272" s="22" t="b">
        <f t="shared" si="268"/>
        <v>1</v>
      </c>
      <c r="O272" s="22" t="b">
        <f t="shared" si="268"/>
        <v>1</v>
      </c>
      <c r="P272" s="22" t="b">
        <f t="shared" si="268"/>
        <v>1</v>
      </c>
      <c r="Q272" s="22" t="b">
        <f t="shared" si="268"/>
        <v>0</v>
      </c>
      <c r="R272" s="22" t="b">
        <f t="shared" si="268"/>
        <v>1</v>
      </c>
      <c r="S272" s="43"/>
      <c r="T272" s="43" t="str">
        <f>IFERROR(VLOOKUP( C272,'1С'!A:B,2,0)," ")</f>
        <v>AC101100404</v>
      </c>
      <c r="U272" s="22" t="str">
        <f>IFERROR(VLOOKUP(T272,'Лист4'!C:I,3,0)," ")</f>
        <v>nabor_penka_dlya_resnic</v>
      </c>
      <c r="V272" s="22" t="str">
        <f>IFERROR(VLOOKUP(T272,'Лист4'!C:I,4,0)," ")</f>
        <v>nabor_penka_dlya_resnic</v>
      </c>
      <c r="W272" s="22" t="str">
        <f>IFERROR(VLOOKUP(T272,'Лист4'!C:I,5,0)," ")</f>
        <v>nabor_penka_dlya_resnic</v>
      </c>
      <c r="X272" s="43" t="str">
        <f>IFERROR(VLOOKUP(T272,'Лист4'!C:I,7,0)," ")</f>
        <v>nabor_penka_dlya_resnic</v>
      </c>
      <c r="Y272" s="43"/>
      <c r="Z272" s="22" t="s">
        <v>4239</v>
      </c>
      <c r="AA272" s="43"/>
      <c r="AB272" s="22">
        <v>3.19430962E8</v>
      </c>
      <c r="AC272" s="22">
        <v>1.847974827E9</v>
      </c>
      <c r="AD272" s="22">
        <v>1.03744706385E11</v>
      </c>
      <c r="AE272" s="22">
        <v>9.9000076218E10</v>
      </c>
      <c r="AF272" s="22"/>
      <c r="AG272" s="22" t="s">
        <v>4242</v>
      </c>
      <c r="AH272" s="43"/>
      <c r="AI272" s="43" t="str">
        <f>IFERROR(VLOOKUP(T272,'1С'!B:C,2,0)," ")</f>
        <v>Пенка для нарощенных ресниц и бровей, Алтея, 150 мл</v>
      </c>
      <c r="AJ272" s="22" t="s">
        <v>4243</v>
      </c>
      <c r="AK272" s="22" t="s">
        <v>4244</v>
      </c>
      <c r="AL272" s="22" t="s">
        <v>4245</v>
      </c>
      <c r="AM272" s="22" t="s">
        <v>4246</v>
      </c>
      <c r="AN272" s="43"/>
      <c r="AO272" s="22" t="s">
        <v>4247</v>
      </c>
      <c r="AP272" s="43"/>
      <c r="AQ272" s="46" t="s">
        <v>4248</v>
      </c>
      <c r="AR272" s="46" t="s">
        <v>4249</v>
      </c>
      <c r="AS272" s="46" t="s">
        <v>4250</v>
      </c>
      <c r="AT272" s="46" t="s">
        <v>4251</v>
      </c>
      <c r="AU272" s="43"/>
      <c r="AV272" s="46" t="s">
        <v>4252</v>
      </c>
      <c r="AW272" s="43"/>
      <c r="AX272" s="22" t="s">
        <v>1491</v>
      </c>
      <c r="AY272" s="22" t="s">
        <v>4244</v>
      </c>
      <c r="AZ272" s="22" t="s">
        <v>575</v>
      </c>
      <c r="BA272" s="22" t="s">
        <v>3216</v>
      </c>
      <c r="BB272" s="43"/>
      <c r="BC272" s="22" t="s">
        <v>1495</v>
      </c>
      <c r="BD272" s="43"/>
      <c r="BE272" s="43"/>
      <c r="BF272" s="22">
        <f>IFERROR(VLOOKUP(C272,'спецификация'!B:D,3,0)," ")</f>
        <v>4698878338125</v>
      </c>
      <c r="BG272" s="22">
        <v>3.30499E9</v>
      </c>
      <c r="BH272" s="22" t="str">
        <f>IFERROR(VLOOKUP(C272,'спецификация'!B:AA,5,0)," ")</f>
        <v/>
      </c>
      <c r="BI272" s="22"/>
      <c r="BJ272" s="22" t="str">
        <f>IFERROR(VLOOKUP(C272,'спецификация'!B:AA,6,0)," ")</f>
        <v>нет</v>
      </c>
      <c r="BK272" s="43"/>
      <c r="BL272" s="43"/>
      <c r="BM272" s="22" t="str">
        <f>IFERROR(VLOOKUP(BF272,'спецификация'!D:H,5,0)," ")</f>
        <v>Состав: Distilled water, coco glucoside, cocamidopropyl betaine, decyl glucoside, glycerin, panthenol, phenoxyethanol, ethylhexylglycerin, sodium hyaluronate, sodium lactate, lactic acid, parfum.</v>
      </c>
      <c r="BN272" s="43"/>
      <c r="BO272" s="22" t="str">
        <f>IFERROR(VLOOKUP(C272,'спецификация'!B:AA,10,0)," ")</f>
        <v>Нанесите на ресницы небольшое количество воздушной пены, аккуратно удалите загрязнения. Перед процедурой наращивания возможно нанесение пенки с помощью специальной щеточки для очищения ресниц.</v>
      </c>
      <c r="BP272" s="43" t="str">
        <f>IFERROR(VLOOKUP(C272,'спецификация'!B:AA,11,0)," ")</f>
        <v>Меры предосторожности: Индивидуальная непереносимость компонентов продукции. Использовать по назначению.</v>
      </c>
      <c r="BQ272" s="22" t="str">
        <f>IFERROR(VLOOKUP(C272,'спецификация'!B:AA,12,0)," ")</f>
        <v>при t от +5°C до + 25°C, вдали от солнечных лучей и нагревательных приборов.</v>
      </c>
      <c r="BR272" s="22">
        <v>150.0</v>
      </c>
      <c r="BS272" s="22" t="s">
        <v>139</v>
      </c>
      <c r="BT272" s="22"/>
      <c r="BU272" s="22"/>
      <c r="BV272" s="22" t="s">
        <v>307</v>
      </c>
      <c r="BW272" s="44" t="str">
        <f>IFERROR(VLOOKUP(C272,'спецификация'!B:AA,16,0)," ")</f>
        <v>https://docs.google.com/document/d/1LXzNZY-PoQKQMSHgsEP6kCQ9-vI2oOTb/edit</v>
      </c>
      <c r="BX272" s="43"/>
      <c r="BY272" s="43"/>
      <c r="BZ272" s="45" t="str">
        <f>IFERROR(VLOOKUP(BF272,'спецификация'!D:Y,22,0)," ")</f>
        <v/>
      </c>
      <c r="CA272" s="43"/>
      <c r="CB272" s="43"/>
      <c r="CC272" s="43"/>
      <c r="CD272" s="43"/>
      <c r="CE272" s="43"/>
      <c r="CF272" s="43"/>
      <c r="CG272" s="49">
        <f>IFERROR(VLOOKUP(C272,CC!A:D,4,0)," ")</f>
        <v>90.65</v>
      </c>
      <c r="CH272" s="22" t="str">
        <f>IFERROR(VLOOKUP(C272,'спецификация'!B:AA,19,0)," ")</f>
        <v>ООО Юниверсо
Ася, 7 928 038-70-35</v>
      </c>
      <c r="CI272" s="22"/>
      <c r="CJ272" s="22" t="s">
        <v>3490</v>
      </c>
      <c r="CK272" s="22">
        <f>IFERROR(VLOOKUP(C272,CC!K:M,3,0)," ")</f>
        <v>60</v>
      </c>
      <c r="CL272" s="43"/>
      <c r="CM272" s="43"/>
      <c r="CN272" s="43"/>
      <c r="CO272" s="43"/>
      <c r="CP272" s="43"/>
      <c r="CQ272" s="43"/>
      <c r="CR272" s="43"/>
      <c r="CS272" s="43" t="b">
        <v>0</v>
      </c>
      <c r="CT272" s="43" t="b">
        <v>0</v>
      </c>
      <c r="CU272" s="43" t="b">
        <v>0</v>
      </c>
      <c r="CV272" s="43" t="b">
        <v>0</v>
      </c>
      <c r="CW272" s="43"/>
      <c r="CX272" s="43"/>
      <c r="CY272" s="43"/>
      <c r="CZ272" s="43"/>
      <c r="DA272" s="43"/>
      <c r="DB272" s="43"/>
      <c r="DC272" s="43"/>
      <c r="DD272" s="22">
        <f>IFERROR(VLOOKUP($C272,'Лист4'!$D:$AI,27,0)," ")</f>
        <v>25</v>
      </c>
      <c r="DE272" s="22">
        <f>IFERROR(VLOOKUP($C272,'Лист4'!$D:$AI,28,0)," ")</f>
        <v>7</v>
      </c>
      <c r="DF272" s="22">
        <f>IFERROR(VLOOKUP($C272,'Лист4'!$D:$AI,29,0)," ")</f>
        <v>25</v>
      </c>
      <c r="DG272" s="22">
        <f t="shared" si="3"/>
        <v>4375</v>
      </c>
      <c r="DH272" s="22">
        <f>IFERROR(VLOOKUP($C272,'Лист4'!$D:$AI,32,0)," ")</f>
        <v>0.251</v>
      </c>
      <c r="DI272" s="22"/>
      <c r="DJ272" s="22"/>
      <c r="DK272" s="22"/>
      <c r="DL272" s="22"/>
      <c r="DM272" s="22"/>
      <c r="DN272" s="22"/>
      <c r="DO272" s="22"/>
      <c r="DP272" s="22"/>
      <c r="DQ272" s="22"/>
      <c r="DR272" s="22"/>
      <c r="DS272" s="22"/>
      <c r="DT272" s="22"/>
      <c r="DU272" s="22"/>
      <c r="DV272" s="22"/>
      <c r="DW272" s="22"/>
      <c r="DX272" s="22"/>
      <c r="DY272" s="22"/>
      <c r="DZ272" s="22"/>
      <c r="EA272" s="22"/>
      <c r="EB272" s="22"/>
      <c r="EC272" s="22"/>
      <c r="ED272" s="22"/>
      <c r="EE272" s="22"/>
      <c r="EF272" s="22"/>
      <c r="EG272" s="22"/>
      <c r="EH272" s="22"/>
      <c r="EI272" s="22"/>
      <c r="EJ272" s="22"/>
      <c r="EK272" s="22"/>
      <c r="EL272" s="22"/>
      <c r="EM272" s="43"/>
      <c r="EN272" s="43"/>
      <c r="EO272" s="43"/>
      <c r="EP272" s="43"/>
      <c r="EQ272" s="43"/>
      <c r="ER272" s="43"/>
      <c r="ES272" s="43"/>
      <c r="ET272" s="43"/>
      <c r="EU272" s="43"/>
      <c r="EV272" s="43"/>
      <c r="EW272" s="43"/>
      <c r="EX272" s="43"/>
      <c r="EY272" s="43"/>
      <c r="EZ272" s="43"/>
      <c r="FA272" s="43"/>
      <c r="FB272" s="43"/>
      <c r="FC272" s="43"/>
    </row>
    <row r="273" ht="18.0" customHeight="1">
      <c r="A273" s="2"/>
      <c r="B273" s="22" t="str">
        <f>IFERROR(VLOOKUP(C273,'Реестр'!C:AC,27,0)," ")</f>
        <v>Смарт-Сэйл</v>
      </c>
      <c r="C273" s="43" t="s">
        <v>4258</v>
      </c>
      <c r="D273" s="22" t="str">
        <f>IFERROR(VLOOKUP(C273,'Лист4'!D:P,13,0)," ")</f>
        <v> </v>
      </c>
      <c r="E273" s="22" t="str">
        <f>IF(OR(ISERROR(VLOOKUP(C273,'Актуальность'!A:B,2,0)), VLOOKUP(C273,'Актуальность'!A:B,2,0)=""), "Актуальный", VLOOKUP(C273,'Актуальность'!A:B,2,0))</f>
        <v>Актуальный</v>
      </c>
      <c r="F273" s="43" t="str">
        <f>IFERROR(VLOOKUP(C273,'Актуальность'!A:C,3,0)," ")</f>
        <v/>
      </c>
      <c r="G273" s="43"/>
      <c r="H273" s="22" t="s">
        <v>2743</v>
      </c>
      <c r="I273" s="22" t="s">
        <v>2744</v>
      </c>
      <c r="J273" s="43"/>
      <c r="K273" s="43"/>
      <c r="L273" s="22" t="b">
        <f t="shared" ref="L273:R273" si="269">T273&lt;&gt;""</f>
        <v>1</v>
      </c>
      <c r="M273" s="22" t="b">
        <f t="shared" si="269"/>
        <v>1</v>
      </c>
      <c r="N273" s="22" t="b">
        <f t="shared" si="269"/>
        <v>1</v>
      </c>
      <c r="O273" s="22" t="b">
        <f t="shared" si="269"/>
        <v>1</v>
      </c>
      <c r="P273" s="22" t="b">
        <f t="shared" si="269"/>
        <v>1</v>
      </c>
      <c r="Q273" s="22" t="b">
        <f t="shared" si="269"/>
        <v>1</v>
      </c>
      <c r="R273" s="22" t="b">
        <f t="shared" si="269"/>
        <v>0</v>
      </c>
      <c r="S273" s="43"/>
      <c r="T273" s="43" t="str">
        <f>IFERROR(VLOOKUP( C273,'1С'!A:B,2,0)," ")</f>
        <v> </v>
      </c>
      <c r="U273" s="64" t="s">
        <v>4258</v>
      </c>
      <c r="V273" s="22" t="s">
        <v>4258</v>
      </c>
      <c r="W273" s="55" t="s">
        <v>4258</v>
      </c>
      <c r="X273" s="43" t="str">
        <f>IFERROR(VLOOKUP(T273,'Лист4'!C:I,7,0)," ")</f>
        <v> </v>
      </c>
      <c r="Y273" s="43" t="str">
        <f>IFERROR(VLOOKUP(T273,'Лист4'!C:I,6,0)," ")</f>
        <v> </v>
      </c>
      <c r="Z273" s="43"/>
      <c r="AA273" s="43"/>
      <c r="AB273" s="22">
        <v>7.34357718E8</v>
      </c>
      <c r="AC273" s="22">
        <v>3.307454109E9</v>
      </c>
      <c r="AD273" s="22">
        <v>4.949707408E9</v>
      </c>
      <c r="AE273" s="22"/>
      <c r="AF273" s="22"/>
      <c r="AG273" s="43"/>
      <c r="AH273" s="43"/>
      <c r="AI273" s="43" t="str">
        <f>IFERROR(VLOOKUP(T273,'1С'!B:C,2,0)," ")</f>
        <v> </v>
      </c>
      <c r="AJ273" s="22" t="s">
        <v>4259</v>
      </c>
      <c r="AK273" s="22" t="s">
        <v>4259</v>
      </c>
      <c r="AL273" s="22" t="s">
        <v>4260</v>
      </c>
      <c r="AM273" s="43"/>
      <c r="AN273" s="43"/>
      <c r="AO273" s="43"/>
      <c r="AP273" s="43"/>
      <c r="AQ273" s="46" t="s">
        <v>4261</v>
      </c>
      <c r="AR273" s="43"/>
      <c r="AS273" s="46" t="s">
        <v>4262</v>
      </c>
      <c r="AT273" s="43"/>
      <c r="AU273" s="43"/>
      <c r="AV273" s="43"/>
      <c r="AW273" s="43"/>
      <c r="AX273" s="22" t="s">
        <v>594</v>
      </c>
      <c r="AY273" s="22" t="s">
        <v>4259</v>
      </c>
      <c r="AZ273" s="22" t="s">
        <v>4263</v>
      </c>
      <c r="BA273" s="43"/>
      <c r="BB273" s="43"/>
      <c r="BC273" s="43"/>
      <c r="BD273" s="43"/>
      <c r="BE273" s="43"/>
      <c r="BF273" s="22">
        <f>IFERROR(VLOOKUP(C273,'спецификация'!B:D,3,0)," ")</f>
        <v>4660401460092</v>
      </c>
      <c r="BG273" s="22"/>
      <c r="BH273" s="22" t="str">
        <f>IFERROR(VLOOKUP(C273,'спецификация'!B:AA,5,0)," ")</f>
        <v/>
      </c>
      <c r="BI273" s="22"/>
      <c r="BJ273" s="22" t="str">
        <f>IFERROR(VLOOKUP(C273,'спецификация'!B:AA,6,0)," ")</f>
        <v/>
      </c>
      <c r="BK273" s="43"/>
      <c r="BL273" s="43"/>
      <c r="BM273" s="22" t="str">
        <f>IFERROR(VLOOKUP(BF273,'спецификация'!D:H,5,0)," ")</f>
        <v/>
      </c>
      <c r="BN273" s="43"/>
      <c r="BO273" s="22" t="str">
        <f>IFERROR(VLOOKUP(C273,'спецификация'!B:AA,10,0)," ")</f>
        <v/>
      </c>
      <c r="BP273" s="43" t="str">
        <f>IFERROR(VLOOKUP(C273,'спецификация'!B:AA,11,0)," ")</f>
        <v/>
      </c>
      <c r="BQ273" s="22" t="str">
        <f>IFERROR(VLOOKUP(C273,'спецификация'!B:AA,12,0)," ")</f>
        <v/>
      </c>
      <c r="BR273" s="22"/>
      <c r="BS273" s="43"/>
      <c r="BT273" s="43"/>
      <c r="BU273" s="22"/>
      <c r="BV273" s="22" t="s">
        <v>401</v>
      </c>
      <c r="BW273" s="44" t="str">
        <f>IFERROR(VLOOKUP(C273,'спецификация'!B:AA,16,0)," ")</f>
        <v>https://docs.google.com/document/d/1vlcQ7RIEQmQER9qSmO9WrusM7qUk0sRuKlqG8Fj5Z5g/edit?tab=t.0</v>
      </c>
      <c r="BX273" s="43"/>
      <c r="BY273" s="43"/>
      <c r="BZ273" s="45" t="str">
        <f>IFERROR(VLOOKUP(BF273,'спецификация'!D:Y,22,0)," ")</f>
        <v/>
      </c>
      <c r="CA273" s="43"/>
      <c r="CB273" s="43"/>
      <c r="CC273" s="43"/>
      <c r="CD273" s="43"/>
      <c r="CE273" s="43"/>
      <c r="CF273" s="43"/>
      <c r="CG273" s="49" t="str">
        <f>IFERROR(VLOOKUP(C273,CC!A:D,4,0)," ")</f>
        <v> </v>
      </c>
      <c r="CH273" s="22" t="str">
        <f>IFERROR(VLOOKUP(C273,'спецификация'!B:AA,19,0)," ")</f>
        <v/>
      </c>
      <c r="CI273" s="22"/>
      <c r="CJ273" s="43"/>
      <c r="CK273" s="22" t="str">
        <f>IFERROR(VLOOKUP(C273,CC!K:M,3,0)," ")</f>
        <v> </v>
      </c>
      <c r="CL273" s="43"/>
      <c r="CM273" s="43"/>
      <c r="CN273" s="43"/>
      <c r="CO273" s="43"/>
      <c r="CP273" s="43"/>
      <c r="CQ273" s="43"/>
      <c r="CR273" s="43"/>
      <c r="CS273" s="43" t="b">
        <v>0</v>
      </c>
      <c r="CT273" s="43" t="b">
        <v>0</v>
      </c>
      <c r="CU273" s="43" t="b">
        <v>0</v>
      </c>
      <c r="CV273" s="43" t="b">
        <v>0</v>
      </c>
      <c r="CW273" s="43"/>
      <c r="CX273" s="43"/>
      <c r="CY273" s="43"/>
      <c r="CZ273" s="43"/>
      <c r="DA273" s="43"/>
      <c r="DB273" s="43"/>
      <c r="DC273" s="43"/>
      <c r="DD273" s="22" t="str">
        <f>IFERROR(VLOOKUP($C273,'Лист4'!$D:$AI,27,0)," ")</f>
        <v> </v>
      </c>
      <c r="DE273" s="22" t="str">
        <f>IFERROR(VLOOKUP($C273,'Лист4'!$D:$AI,28,0)," ")</f>
        <v> </v>
      </c>
      <c r="DF273" s="22" t="str">
        <f>IFERROR(VLOOKUP($C273,'Лист4'!$D:$AI,29,0)," ")</f>
        <v> </v>
      </c>
      <c r="DG273" s="22" t="str">
        <f t="shared" si="3"/>
        <v> </v>
      </c>
      <c r="DH273" s="22" t="str">
        <f>IFERROR(VLOOKUP($C273,'Лист4'!$D:$AI,32,0)," ")</f>
        <v> </v>
      </c>
      <c r="DI273" s="22"/>
      <c r="DJ273" s="22"/>
      <c r="DK273" s="22"/>
      <c r="DL273" s="22"/>
      <c r="DM273" s="22"/>
      <c r="DN273" s="22"/>
      <c r="DO273" s="22"/>
      <c r="DP273" s="22"/>
      <c r="DQ273" s="22"/>
      <c r="DR273" s="22"/>
      <c r="DS273" s="22"/>
      <c r="DT273" s="22"/>
      <c r="DU273" s="22"/>
      <c r="DV273" s="22"/>
      <c r="DW273" s="22"/>
      <c r="DX273" s="22"/>
      <c r="DY273" s="22"/>
      <c r="DZ273" s="22"/>
      <c r="EA273" s="22"/>
      <c r="EB273" s="22"/>
      <c r="EC273" s="22"/>
      <c r="ED273" s="22"/>
      <c r="EE273" s="22"/>
      <c r="EF273" s="22"/>
      <c r="EG273" s="22"/>
      <c r="EH273" s="22"/>
      <c r="EI273" s="22"/>
      <c r="EJ273" s="22"/>
      <c r="EK273" s="22"/>
      <c r="EL273" s="22"/>
      <c r="EM273" s="43"/>
      <c r="EN273" s="43"/>
      <c r="EO273" s="43"/>
      <c r="EP273" s="43"/>
      <c r="EQ273" s="43"/>
      <c r="ER273" s="43"/>
      <c r="ES273" s="43"/>
      <c r="ET273" s="43"/>
      <c r="EU273" s="43"/>
      <c r="EV273" s="43"/>
      <c r="EW273" s="43"/>
      <c r="EX273" s="43"/>
      <c r="EY273" s="43"/>
      <c r="EZ273" s="43"/>
      <c r="FA273" s="43"/>
      <c r="FB273" s="43"/>
      <c r="FC273" s="43"/>
    </row>
    <row r="274" ht="18.0" customHeight="1">
      <c r="A274" s="2"/>
      <c r="B274" s="22" t="str">
        <f>IFERROR(VLOOKUP(C274,'Реестр'!C:AC,27,0)," ")</f>
        <v>Смарт-Сэйл</v>
      </c>
      <c r="C274" s="43" t="s">
        <v>4265</v>
      </c>
      <c r="D274" s="22" t="str">
        <f>IFERROR(VLOOKUP(C274,'Лист4'!D:P,13,0)," ")</f>
        <v>Алтея</v>
      </c>
      <c r="E274" s="22" t="str">
        <f>IF(OR(ISERROR(VLOOKUP(C274,'Актуальность'!A:B,2,0)), VLOOKUP(C274,'Актуальность'!A:B,2,0)=""), "Актуальный", VLOOKUP(C274,'Актуальность'!A:B,2,0))</f>
        <v>Актуальный</v>
      </c>
      <c r="F274" s="43" t="str">
        <f>IFERROR(VLOOKUP(C274,'Актуальность'!A:C,3,0)," ")</f>
        <v/>
      </c>
      <c r="G274" s="43"/>
      <c r="H274" s="22" t="s">
        <v>2743</v>
      </c>
      <c r="I274" s="22" t="s">
        <v>287</v>
      </c>
      <c r="J274" s="43"/>
      <c r="K274" s="43"/>
      <c r="L274" s="22" t="b">
        <f t="shared" ref="L274:R274" si="270">T274&lt;&gt;""</f>
        <v>1</v>
      </c>
      <c r="M274" s="22" t="b">
        <f t="shared" si="270"/>
        <v>1</v>
      </c>
      <c r="N274" s="22" t="b">
        <f t="shared" si="270"/>
        <v>1</v>
      </c>
      <c r="O274" s="22" t="b">
        <f t="shared" si="270"/>
        <v>1</v>
      </c>
      <c r="P274" s="22" t="b">
        <f t="shared" si="270"/>
        <v>0</v>
      </c>
      <c r="Q274" s="22" t="b">
        <f t="shared" si="270"/>
        <v>0</v>
      </c>
      <c r="R274" s="22" t="b">
        <f t="shared" si="270"/>
        <v>0</v>
      </c>
      <c r="S274" s="43"/>
      <c r="T274" s="43" t="str">
        <f>IFERROR(VLOOKUP( C274,'1С'!A:B,2,0)," ")</f>
        <v>AC101100458</v>
      </c>
      <c r="U274" s="22" t="s">
        <v>4265</v>
      </c>
      <c r="V274" s="22" t="s">
        <v>4265</v>
      </c>
      <c r="W274" s="55" t="s">
        <v>4265</v>
      </c>
      <c r="X274" s="43" t="str">
        <f>IFERROR(VLOOKUP(T274,'Лист4'!C:I,7,0)," ")</f>
        <v/>
      </c>
      <c r="Y274" s="43" t="str">
        <f>IFERROR(VLOOKUP(T274,'Лист4'!C:I,6,0)," ")</f>
        <v/>
      </c>
      <c r="Z274" s="43"/>
      <c r="AA274" s="43"/>
      <c r="AB274" s="22">
        <v>7.34865504E8</v>
      </c>
      <c r="AC274" s="22">
        <v>3.31380513E9</v>
      </c>
      <c r="AD274" s="22">
        <v>4.949699875E9</v>
      </c>
      <c r="AE274" s="22"/>
      <c r="AF274" s="22"/>
      <c r="AG274" s="43"/>
      <c r="AH274" s="43"/>
      <c r="AI274" s="43" t="str">
        <f>IFERROR(VLOOKUP(T274,'1С'!B:C,2,0)," ")</f>
        <v>Маска-Баттер для волос с кератином, Алтея, 500 мл</v>
      </c>
      <c r="AJ274" s="22" t="s">
        <v>4268</v>
      </c>
      <c r="AK274" s="22" t="s">
        <v>4269</v>
      </c>
      <c r="AL274" s="22" t="s">
        <v>4270</v>
      </c>
      <c r="AM274" s="43"/>
      <c r="AN274" s="43"/>
      <c r="AO274" s="43"/>
      <c r="AP274" s="43"/>
      <c r="AQ274" s="46" t="s">
        <v>4271</v>
      </c>
      <c r="AR274" s="43"/>
      <c r="AS274" s="46" t="s">
        <v>4272</v>
      </c>
      <c r="AT274" s="43"/>
      <c r="AU274" s="43"/>
      <c r="AV274" s="43"/>
      <c r="AW274" s="43"/>
      <c r="AX274" s="22" t="s">
        <v>3035</v>
      </c>
      <c r="AY274" s="22" t="s">
        <v>4269</v>
      </c>
      <c r="AZ274" s="22" t="s">
        <v>326</v>
      </c>
      <c r="BA274" s="43"/>
      <c r="BB274" s="43"/>
      <c r="BC274" s="43"/>
      <c r="BD274" s="43"/>
      <c r="BE274" s="43"/>
      <c r="BF274" s="22">
        <f>IFERROR(VLOOKUP(C274,'спецификация'!B:D,3,0)," ")</f>
        <v>4630446234156</v>
      </c>
      <c r="BG274" s="22">
        <v>3.305900009E9</v>
      </c>
      <c r="BH274" s="22" t="str">
        <f>IFERROR(VLOOKUP(C274,'спецификация'!B:AA,5,0)," ")</f>
        <v/>
      </c>
      <c r="BI274" s="22"/>
      <c r="BJ274" s="22" t="str">
        <f>IFERROR(VLOOKUP(C274,'спецификация'!B:AA,6,0)," ")</f>
        <v>да</v>
      </c>
      <c r="BK274" s="43"/>
      <c r="BL274" s="43"/>
      <c r="BM274" s="22" t="str">
        <f>IFERROR(VLOOKUP(BF274,'спецификация'!D:H,5,0)," ")</f>
        <v>Aqua, Cetearyl Alcohol, Glyceryl Stearate, Glycerin, Сetrimonium Сhloride, Behentrimonium Chloride, Hydrolyzed Keratin, Bis (C13-15 Alkoxy) PG Amodimethicone, Hydrolyzed Protein Silk, Argania Spinosa Kernel Oil, Cocos Nucifera Oil, Butyrospermum Parkii (Shea Butter) Oil, Rosa Damascena (Bulgarian Rose) Essential Oil, Ceramide NP, Caprylic/Capric Triglyceride, Hydroxyethylcellulose, Citric acid, Disodium EDTA, Methylchloroisothiazolinone, Methylisothiazolinone, Parfum, CI 14720.</v>
      </c>
      <c r="BN274" s="43"/>
      <c r="BO274" s="22" t="str">
        <f>IFERROR(VLOOKUP(C274,'спецификация'!B:AA,10,0)," ")</f>
        <v>равномерно распределите маску по всей длине волос, уделяя особое внимание кончикам. Оставьте на несколько минут для лучшего проникновения активных компонентов, затем тщательно смойте теплой водой. </v>
      </c>
      <c r="BP274" s="43" t="str">
        <f>IFERROR(VLOOKUP(C274,'спецификация'!B:AA,11,0)," ")</f>
        <v>только для наружного применения. В случае появления раздражения немедленно прекратите использование. Возможна индивидуальная непереносимость отдельных компонентов, входящих в состав. При попадании в глаза промойте их большим количеством воды.</v>
      </c>
      <c r="BQ274" s="22" t="str">
        <f>IFERROR(VLOOKUP(C274,'спецификация'!B:AA,12,0)," ")</f>
        <v>хранить от +5 до +25°С, в недоступном для детей месте.</v>
      </c>
      <c r="BR274" s="22"/>
      <c r="BS274" s="43"/>
      <c r="BT274" s="43"/>
      <c r="BU274" s="22"/>
      <c r="BV274" s="22" t="s">
        <v>401</v>
      </c>
      <c r="BW274" s="44" t="str">
        <f>IFERROR(VLOOKUP(C274,'спецификация'!B:AA,16,0)," ")</f>
        <v>https://docs.google.com/document/d/1dH4zZv3zdqa7U31QYU3-o5xgMsOkMVi7/edit?usp=drive_web&amp;ouid=104241417680089502627&amp;rtpof=true</v>
      </c>
      <c r="BX274" s="43"/>
      <c r="BY274" s="43"/>
      <c r="BZ274" s="45" t="str">
        <f>IFERROR(VLOOKUP(BF274,'спецификация'!D:Y,22,0)," ")</f>
        <v/>
      </c>
      <c r="CA274" s="43"/>
      <c r="CB274" s="43"/>
      <c r="CC274" s="43"/>
      <c r="CD274" s="43"/>
      <c r="CE274" s="43"/>
      <c r="CF274" s="43"/>
      <c r="CG274" s="49" t="str">
        <f>IFERROR(VLOOKUP(C274,CC!A:D,4,0)," ")</f>
        <v> </v>
      </c>
      <c r="CH274" s="22" t="str">
        <f>IFERROR(VLOOKUP(C274,'спецификация'!B:AA,19,0)," ")</f>
        <v>ООО Правильное решение</v>
      </c>
      <c r="CI274" s="22"/>
      <c r="CJ274" s="43"/>
      <c r="CK274" s="22" t="str">
        <f>IFERROR(VLOOKUP(C274,CC!K:M,3,0)," ")</f>
        <v> </v>
      </c>
      <c r="CL274" s="43"/>
      <c r="CM274" s="43"/>
      <c r="CN274" s="43"/>
      <c r="CO274" s="43"/>
      <c r="CP274" s="43"/>
      <c r="CQ274" s="43"/>
      <c r="CR274" s="43"/>
      <c r="CS274" s="43" t="b">
        <v>0</v>
      </c>
      <c r="CT274" s="43" t="b">
        <v>0</v>
      </c>
      <c r="CU274" s="43" t="b">
        <v>0</v>
      </c>
      <c r="CV274" s="43" t="b">
        <v>0</v>
      </c>
      <c r="CW274" s="43"/>
      <c r="CX274" s="43"/>
      <c r="CY274" s="43"/>
      <c r="CZ274" s="43"/>
      <c r="DA274" s="43"/>
      <c r="DB274" s="43"/>
      <c r="DC274" s="43"/>
      <c r="DD274" s="22" t="str">
        <f>IFERROR(VLOOKUP($C274,'Лист4'!$D:$AI,27,0)," ")</f>
        <v/>
      </c>
      <c r="DE274" s="22" t="str">
        <f>IFERROR(VLOOKUP($C274,'Лист4'!$D:$AI,28,0)," ")</f>
        <v/>
      </c>
      <c r="DF274" s="22" t="str">
        <f>IFERROR(VLOOKUP($C274,'Лист4'!$D:$AI,29,0)," ")</f>
        <v/>
      </c>
      <c r="DG274" s="22">
        <f t="shared" si="3"/>
        <v>0</v>
      </c>
      <c r="DH274" s="22" t="str">
        <f>IFERROR(VLOOKUP($C274,'Лист4'!$D:$AI,32,0)," ")</f>
        <v/>
      </c>
      <c r="DI274" s="22"/>
      <c r="DJ274" s="22"/>
      <c r="DK274" s="22"/>
      <c r="DL274" s="22"/>
      <c r="DM274" s="22"/>
      <c r="DN274" s="22"/>
      <c r="DO274" s="22"/>
      <c r="DP274" s="22"/>
      <c r="DQ274" s="22"/>
      <c r="DR274" s="22"/>
      <c r="DS274" s="22"/>
      <c r="DT274" s="22"/>
      <c r="DU274" s="22"/>
      <c r="DV274" s="22"/>
      <c r="DW274" s="22"/>
      <c r="DX274" s="22"/>
      <c r="DY274" s="22"/>
      <c r="DZ274" s="22"/>
      <c r="EA274" s="22"/>
      <c r="EB274" s="22"/>
      <c r="EC274" s="22"/>
      <c r="ED274" s="22"/>
      <c r="EE274" s="22"/>
      <c r="EF274" s="22"/>
      <c r="EG274" s="22"/>
      <c r="EH274" s="22"/>
      <c r="EI274" s="22"/>
      <c r="EJ274" s="22"/>
      <c r="EK274" s="22"/>
      <c r="EL274" s="22"/>
      <c r="EM274" s="43"/>
      <c r="EN274" s="43"/>
      <c r="EO274" s="43"/>
      <c r="EP274" s="43"/>
      <c r="EQ274" s="43"/>
      <c r="ER274" s="43"/>
      <c r="ES274" s="43"/>
      <c r="ET274" s="43"/>
      <c r="EU274" s="43"/>
      <c r="EV274" s="43"/>
      <c r="EW274" s="43"/>
      <c r="EX274" s="43"/>
      <c r="EY274" s="43"/>
      <c r="EZ274" s="43"/>
      <c r="FA274" s="43"/>
      <c r="FB274" s="43"/>
      <c r="FC274" s="43"/>
    </row>
    <row r="275" ht="18.0" customHeight="1">
      <c r="A275" s="2"/>
      <c r="B275" s="22" t="str">
        <f>IFERROR(VLOOKUP(C275,'Реестр'!C:AC,27,0)," ")</f>
        <v>Смарт-Сэйл</v>
      </c>
      <c r="C275" s="43" t="s">
        <v>4279</v>
      </c>
      <c r="D275" s="22" t="str">
        <f>IFERROR(VLOOKUP(C275,'Лист4'!D:P,13,0)," ")</f>
        <v>Алтея</v>
      </c>
      <c r="E275" s="22" t="str">
        <f>IF(OR(ISERROR(VLOOKUP(C275,'Актуальность'!A:B,2,0)), VLOOKUP(C275,'Актуальность'!A:B,2,0)=""), "Актуальный", VLOOKUP(C275,'Актуальность'!A:B,2,0))</f>
        <v>Вывод</v>
      </c>
      <c r="F275" s="43" t="str">
        <f>IFERROR(VLOOKUP(C275,'Актуальность'!A:C,3,0)," ")</f>
        <v>Дизайн</v>
      </c>
      <c r="G275" s="43"/>
      <c r="H275" s="22" t="s">
        <v>2743</v>
      </c>
      <c r="I275" s="22" t="s">
        <v>565</v>
      </c>
      <c r="J275" s="43"/>
      <c r="K275" s="43"/>
      <c r="L275" s="22" t="b">
        <f t="shared" ref="L275:R275" si="271">T275&lt;&gt;""</f>
        <v>1</v>
      </c>
      <c r="M275" s="22" t="b">
        <f t="shared" si="271"/>
        <v>1</v>
      </c>
      <c r="N275" s="22" t="b">
        <f t="shared" si="271"/>
        <v>1</v>
      </c>
      <c r="O275" s="22" t="b">
        <f t="shared" si="271"/>
        <v>1</v>
      </c>
      <c r="P275" s="22" t="b">
        <f t="shared" si="271"/>
        <v>0</v>
      </c>
      <c r="Q275" s="22" t="b">
        <f t="shared" si="271"/>
        <v>1</v>
      </c>
      <c r="R275" s="22" t="b">
        <f t="shared" si="271"/>
        <v>0</v>
      </c>
      <c r="S275" s="43"/>
      <c r="T275" s="43" t="str">
        <f>IFERROR(VLOOKUP( C275,'1С'!A:B,2,0)," ")</f>
        <v>AC101100424</v>
      </c>
      <c r="U275" s="22" t="str">
        <f>IFERROR(VLOOKUP(T275,'Лист4'!C:I,3,0)," ")</f>
        <v>penka_160ml</v>
      </c>
      <c r="V275" s="22" t="str">
        <f>IFERROR(VLOOKUP(T275,'Лист4'!C:I,4,0)," ")</f>
        <v>penka_160ml</v>
      </c>
      <c r="W275" s="22" t="str">
        <f>IFERROR(VLOOKUP(T275,'Лист4'!C:I,5,0)," ")</f>
        <v>penka_160ml</v>
      </c>
      <c r="X275" s="43" t="str">
        <f>IFERROR(VLOOKUP(T275,'Лист4'!C:I,7,0)," ")</f>
        <v/>
      </c>
      <c r="Y275" s="43" t="str">
        <f>IFERROR(VLOOKUP(T275,'Лист4'!C:I,6,0)," ")</f>
        <v>penka_160ml</v>
      </c>
      <c r="Z275" s="43"/>
      <c r="AA275" s="43"/>
      <c r="AB275" s="22">
        <v>2.44341711E8</v>
      </c>
      <c r="AC275" s="22">
        <v>1.629533131E9</v>
      </c>
      <c r="AD275" s="22">
        <v>1.03515404729E11</v>
      </c>
      <c r="AE275" s="22"/>
      <c r="AF275" s="22" t="s">
        <v>4283</v>
      </c>
      <c r="AG275" s="43"/>
      <c r="AH275" s="43"/>
      <c r="AI275" s="43" t="str">
        <f>IFERROR(VLOOKUP(T275,'1С'!B:C,2,0)," ")</f>
        <v>Пенка для умывания, Алтея, 160 мл</v>
      </c>
      <c r="AJ275" s="22" t="s">
        <v>4284</v>
      </c>
      <c r="AK275" s="22" t="s">
        <v>4285</v>
      </c>
      <c r="AL275" s="22" t="s">
        <v>4286</v>
      </c>
      <c r="AM275" s="43"/>
      <c r="AN275" s="22" t="s">
        <v>4287</v>
      </c>
      <c r="AO275" s="43"/>
      <c r="AP275" s="43"/>
      <c r="AQ275" s="46" t="s">
        <v>4288</v>
      </c>
      <c r="AR275" s="46" t="s">
        <v>4289</v>
      </c>
      <c r="AS275" s="46" t="s">
        <v>4290</v>
      </c>
      <c r="AT275" s="43"/>
      <c r="AU275" s="46" t="s">
        <v>4291</v>
      </c>
      <c r="AV275" s="43"/>
      <c r="AW275" s="43"/>
      <c r="AX275" s="22" t="s">
        <v>1491</v>
      </c>
      <c r="AY275" s="22" t="s">
        <v>4285</v>
      </c>
      <c r="AZ275" s="22" t="s">
        <v>3640</v>
      </c>
      <c r="BA275" s="43"/>
      <c r="BB275" s="22" t="s">
        <v>4292</v>
      </c>
      <c r="BC275" s="43"/>
      <c r="BD275" s="43"/>
      <c r="BE275" s="43"/>
      <c r="BF275" s="22">
        <f>IFERROR(VLOOKUP(C275,'спецификация'!B:D,3,0)," ")</f>
        <v>4630084864777</v>
      </c>
      <c r="BG275" s="22">
        <v>3.4013E9</v>
      </c>
      <c r="BH275" s="22" t="str">
        <f>IFERROR(VLOOKUP(C275,'спецификация'!B:AA,5,0)," ")</f>
        <v/>
      </c>
      <c r="BI275" s="22"/>
      <c r="BJ275" s="22" t="str">
        <f>IFERROR(VLOOKUP(C275,'спецификация'!B:AA,6,0)," ")</f>
        <v>нет</v>
      </c>
      <c r="BK275" s="43"/>
      <c r="BL275" s="43"/>
      <c r="BM275" s="22" t="str">
        <f>IFERROR(VLOOKUP(BF275,'спецификация'!D:H,5,0)," ")</f>
        <v>Aqua, Disodium Cocoamphodiacetate, Cocamidopropyl Betaine, PEG-40 Hydrogenated Castor Oil, Glycerin, Poloxamer 184, Jasminum Officinale Flower Water, Menyanthes Trifoliata Leaf Extract, Hamamelis Virginiana Leaf Extract, Panthenol, Sodium Hyaluronate, Citrus Aurantifolia (Lime) Juice, Lactic Acid, Disodium EDTA, Propylene Glycol, Polysorbate-80, Sodium Benzoate, Potassium Sorbate, Citric Acid, Parfum, Sodium Chloride, Phenoxyethanol, Ethylhexylglycerin, D-Limonene.</v>
      </c>
      <c r="BN275" s="43"/>
      <c r="BO275" s="22" t="str">
        <f>IFERROR(VLOOKUP(C275,'спецификация'!B:AA,10,0)," ")</f>
        <v>выдавить при помощи нажатия пенку на ладонь, нанести на влажную кожу лица, помассировать легкими круговыми движениями. Смыть пенку теплой водой. </v>
      </c>
      <c r="BP275" s="43" t="str">
        <f>IFERROR(VLOOKUP(C275,'спецификация'!B:AA,11,0)," ")</f>
        <v>нет</v>
      </c>
      <c r="BQ275" s="22" t="str">
        <f>IFERROR(VLOOKUP(C275,'спецификация'!B:AA,12,0)," ")</f>
        <v>хранить при температуре не ниже +5°С и не выше +25°С</v>
      </c>
      <c r="BR275" s="22">
        <v>160.0</v>
      </c>
      <c r="BS275" s="22" t="s">
        <v>139</v>
      </c>
      <c r="BT275" s="22"/>
      <c r="BU275" s="22"/>
      <c r="BV275" s="22" t="s">
        <v>307</v>
      </c>
      <c r="BW275" s="44" t="str">
        <f>IFERROR(VLOOKUP(C275,'спецификация'!B:AA,16,0)," ")</f>
        <v>https://docs.google.com/document/d/1IHiPt0wx9HEr1y1fnhxljEVaoVmVeite/edit?usp=drive_web&amp;ouid=104241417680089502627&amp;rtpof=true</v>
      </c>
      <c r="BX275" s="43"/>
      <c r="BY275" s="43"/>
      <c r="BZ275" s="45" t="str">
        <f>IFERROR(VLOOKUP(BF275,'спецификация'!D:Y,22,0)," ")</f>
        <v/>
      </c>
      <c r="CA275" s="43"/>
      <c r="CB275" s="43"/>
      <c r="CC275" s="43"/>
      <c r="CD275" s="43"/>
      <c r="CE275" s="43"/>
      <c r="CF275" s="43"/>
      <c r="CG275" s="49">
        <f>IFERROR(VLOOKUP(C275,CC!A:D,4,0)," ")</f>
        <v>116.8</v>
      </c>
      <c r="CH275" s="22" t="str">
        <f>IFERROR(VLOOKUP(C275,'спецификация'!B:AA,19,0)," ")</f>
        <v>ООО "Алтэя"</v>
      </c>
      <c r="CI275" s="22"/>
      <c r="CJ275" s="22" t="s">
        <v>2835</v>
      </c>
      <c r="CK275" s="22">
        <f>IFERROR(VLOOKUP(C275,CC!K:M,3,0)," ")</f>
        <v>90</v>
      </c>
      <c r="CL275" s="43"/>
      <c r="CM275" s="43"/>
      <c r="CN275" s="43"/>
      <c r="CO275" s="43"/>
      <c r="CP275" s="43"/>
      <c r="CQ275" s="43"/>
      <c r="CR275" s="43"/>
      <c r="CS275" s="43" t="b">
        <v>0</v>
      </c>
      <c r="CT275" s="43" t="b">
        <v>0</v>
      </c>
      <c r="CU275" s="43" t="b">
        <v>0</v>
      </c>
      <c r="CV275" s="43" t="b">
        <v>0</v>
      </c>
      <c r="CW275" s="43"/>
      <c r="CX275" s="43"/>
      <c r="CY275" s="43"/>
      <c r="CZ275" s="43"/>
      <c r="DA275" s="43"/>
      <c r="DB275" s="43"/>
      <c r="DC275" s="43"/>
      <c r="DD275" s="22">
        <f>IFERROR(VLOOKUP($C275,'Лист4'!$D:$AI,27,0)," ")</f>
        <v>5</v>
      </c>
      <c r="DE275" s="22">
        <f>IFERROR(VLOOKUP($C275,'Лист4'!$D:$AI,28,0)," ")</f>
        <v>17</v>
      </c>
      <c r="DF275" s="22">
        <f>IFERROR(VLOOKUP($C275,'Лист4'!$D:$AI,29,0)," ")</f>
        <v>5</v>
      </c>
      <c r="DG275" s="22">
        <f t="shared" si="3"/>
        <v>425</v>
      </c>
      <c r="DH275" s="22">
        <f>IFERROR(VLOOKUP($C275,'Лист4'!$D:$AI,32,0)," ")</f>
        <v>0.212</v>
      </c>
      <c r="DI275" s="22"/>
      <c r="DJ275" s="22"/>
      <c r="DK275" s="22"/>
      <c r="DL275" s="22"/>
      <c r="DM275" s="22"/>
      <c r="DN275" s="22"/>
      <c r="DO275" s="22"/>
      <c r="DP275" s="22"/>
      <c r="DQ275" s="22"/>
      <c r="DR275" s="22"/>
      <c r="DS275" s="22"/>
      <c r="DT275" s="22"/>
      <c r="DU275" s="22"/>
      <c r="DV275" s="22"/>
      <c r="DW275" s="22"/>
      <c r="DX275" s="22"/>
      <c r="DY275" s="22"/>
      <c r="DZ275" s="22"/>
      <c r="EA275" s="22"/>
      <c r="EB275" s="22"/>
      <c r="EC275" s="22"/>
      <c r="ED275" s="22"/>
      <c r="EE275" s="22"/>
      <c r="EF275" s="22"/>
      <c r="EG275" s="22"/>
      <c r="EH275" s="22"/>
      <c r="EI275" s="22"/>
      <c r="EJ275" s="22"/>
      <c r="EK275" s="22"/>
      <c r="EL275" s="22"/>
      <c r="EM275" s="43"/>
      <c r="EN275" s="43"/>
      <c r="EO275" s="43"/>
      <c r="EP275" s="43"/>
      <c r="EQ275" s="43"/>
      <c r="ER275" s="43"/>
      <c r="ES275" s="43"/>
      <c r="ET275" s="43"/>
      <c r="EU275" s="43"/>
      <c r="EV275" s="43"/>
      <c r="EW275" s="43"/>
      <c r="EX275" s="43"/>
      <c r="EY275" s="43"/>
      <c r="EZ275" s="43"/>
      <c r="FA275" s="43"/>
      <c r="FB275" s="43"/>
      <c r="FC275" s="43"/>
    </row>
    <row r="276" ht="18.0" customHeight="1">
      <c r="A276" s="2"/>
      <c r="B276" s="22" t="str">
        <f>IFERROR(VLOOKUP(C276,'Реестр'!C:AC,27,0)," ")</f>
        <v>Смарт-Сэйл</v>
      </c>
      <c r="C276" s="43" t="s">
        <v>4299</v>
      </c>
      <c r="D276" s="22" t="str">
        <f>IFERROR(VLOOKUP(C276,'Лист4'!D:P,13,0)," ")</f>
        <v>CPA</v>
      </c>
      <c r="E276" s="22" t="str">
        <f>IF(OR(ISERROR(VLOOKUP(C276,'Актуальность'!A:B,2,0)), VLOOKUP(C276,'Актуальность'!A:B,2,0)=""), "Актуальный", VLOOKUP(C276,'Актуальность'!A:B,2,0))</f>
        <v>Актуальный</v>
      </c>
      <c r="F276" s="43" t="str">
        <f>IFERROR(VLOOKUP(C276,'Актуальность'!A:C,3,0)," ")</f>
        <v/>
      </c>
      <c r="G276" s="43"/>
      <c r="H276" s="22" t="s">
        <v>2663</v>
      </c>
      <c r="I276" s="22" t="s">
        <v>2664</v>
      </c>
      <c r="J276" s="43"/>
      <c r="K276" s="43"/>
      <c r="L276" s="22" t="b">
        <f t="shared" ref="L276:R276" si="272">T276&lt;&gt;""</f>
        <v>1</v>
      </c>
      <c r="M276" s="22" t="b">
        <f t="shared" si="272"/>
        <v>1</v>
      </c>
      <c r="N276" s="22" t="b">
        <f t="shared" si="272"/>
        <v>1</v>
      </c>
      <c r="O276" s="22" t="b">
        <f t="shared" si="272"/>
        <v>1</v>
      </c>
      <c r="P276" s="22" t="b">
        <f t="shared" si="272"/>
        <v>0</v>
      </c>
      <c r="Q276" s="22" t="b">
        <f t="shared" si="272"/>
        <v>0</v>
      </c>
      <c r="R276" s="22" t="b">
        <f t="shared" si="272"/>
        <v>0</v>
      </c>
      <c r="S276" s="43"/>
      <c r="T276" s="43" t="str">
        <f>IFERROR(VLOOKUP( C276,'1С'!A:B,2,0)," ")</f>
        <v>CC101100421</v>
      </c>
      <c r="U276" s="22" t="str">
        <f>IFERROR(VLOOKUP(T276,'Лист4'!C:I,3,0)," ")</f>
        <v>wbpantogor</v>
      </c>
      <c r="V276" s="22" t="str">
        <f>IFERROR(VLOOKUP(T276,'Лист4'!C:I,4,0)," ")</f>
        <v>pantogor</v>
      </c>
      <c r="W276" s="22" t="str">
        <f>IFERROR(VLOOKUP(T276,'Лист4'!C:I,5,0)," ")</f>
        <v>pantogor</v>
      </c>
      <c r="X276" s="43" t="str">
        <f>IFERROR(VLOOKUP(T276,'Лист4'!C:I,7,0)," ")</f>
        <v/>
      </c>
      <c r="Y276" s="43" t="str">
        <f>IFERROR(VLOOKUP(T276,'Лист4'!C:I,6,0)," ")</f>
        <v/>
      </c>
      <c r="Z276" s="43"/>
      <c r="AA276" s="43"/>
      <c r="AB276" s="22">
        <v>1.7903236E7</v>
      </c>
      <c r="AC276" s="22">
        <v>2.88894202E8</v>
      </c>
      <c r="AD276" s="22">
        <v>1.03340894497E11</v>
      </c>
      <c r="AE276" s="22"/>
      <c r="AF276" s="22"/>
      <c r="AG276" s="43"/>
      <c r="AH276" s="43"/>
      <c r="AI276" s="43" t="str">
        <f>IFERROR(VLOOKUP(T276,'1С'!B:C,2,0)," ")</f>
        <v>Мазь для суставов Пантогор , CPA, 30 мл</v>
      </c>
      <c r="AJ276" s="22" t="s">
        <v>4303</v>
      </c>
      <c r="AK276" s="22" t="s">
        <v>4304</v>
      </c>
      <c r="AL276" s="22" t="s">
        <v>4305</v>
      </c>
      <c r="AM276" s="43"/>
      <c r="AN276" s="43"/>
      <c r="AO276" s="43"/>
      <c r="AP276" s="43"/>
      <c r="AQ276" s="46" t="s">
        <v>4306</v>
      </c>
      <c r="AR276" s="46" t="s">
        <v>4307</v>
      </c>
      <c r="AS276" s="46" t="s">
        <v>4308</v>
      </c>
      <c r="AT276" s="43"/>
      <c r="AU276" s="43"/>
      <c r="AV276" s="43"/>
      <c r="AW276" s="43"/>
      <c r="AX276" s="22" t="s">
        <v>3445</v>
      </c>
      <c r="AY276" s="22" t="s">
        <v>4304</v>
      </c>
      <c r="AZ276" s="22" t="s">
        <v>2672</v>
      </c>
      <c r="BA276" s="43"/>
      <c r="BB276" s="43"/>
      <c r="BC276" s="43"/>
      <c r="BD276" s="43"/>
      <c r="BE276" s="43"/>
      <c r="BF276" s="22">
        <f>IFERROR(VLOOKUP(C276,'спецификация'!B:D,3,0)," ")</f>
        <v>4631136905059</v>
      </c>
      <c r="BG276" s="22">
        <v>3.30499E9</v>
      </c>
      <c r="BH276" s="22" t="str">
        <f>IFERROR(VLOOKUP(C276,'спецификация'!B:AA,5,0)," ")</f>
        <v>ЕАЭС N RU Д-RU.РА09.В.60972/24 от 18.10.2024 действует до 17.10.2029</v>
      </c>
      <c r="BI276" s="22"/>
      <c r="BJ276" s="22" t="str">
        <f>IFERROR(VLOOKUP(C276,'спецификация'!B:AA,6,0)," ")</f>
        <v/>
      </c>
      <c r="BK276" s="43"/>
      <c r="BL276" s="43"/>
      <c r="BM276" s="22" t="str">
        <f>IFERROR(VLOOKUP(BF276,'спецификация'!D:H,5,0)," ")</f>
        <v>экстракт лютика желтого, 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 панты марала.</v>
      </c>
      <c r="BN276" s="43"/>
      <c r="BO276" s="22" t="str">
        <f>IFERROR(VLOOKUP(C276,'спецификация'!B:AA,10,0)," ")</f>
        <v/>
      </c>
      <c r="BP276" s="43" t="str">
        <f>IFERROR(VLOOKUP(C276,'спецификация'!B:AA,11,0),"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276" s="22" t="str">
        <f>IFERROR(VLOOKUP(C276,'спецификация'!B:AA,12,0)," ")</f>
        <v>хранить при температуре до 25 °C, избегая попадания прямых солнечных лучей.
</v>
      </c>
      <c r="BR276" s="22"/>
      <c r="BS276" s="43"/>
      <c r="BT276" s="43"/>
      <c r="BU276" s="22"/>
      <c r="BV276" s="22" t="s">
        <v>401</v>
      </c>
      <c r="BW276" s="44" t="str">
        <f>IFERROR(VLOOKUP(C276,'спецификация'!B:AA,16,0)," ")</f>
        <v>https://docs.google.com/document/d/1042zbIcQlLRwfB6exQrpoO6RfAGHCGHiQxPJJfG2CvE/edit</v>
      </c>
      <c r="BX276" s="43"/>
      <c r="BY276" s="43"/>
      <c r="BZ276" s="45" t="str">
        <f>IFERROR(VLOOKUP(BF276,'спецификация'!D:Y,22,0)," ")</f>
        <v/>
      </c>
      <c r="CA276" s="43"/>
      <c r="CB276" s="43"/>
      <c r="CC276" s="43"/>
      <c r="CD276" s="43"/>
      <c r="CE276" s="43"/>
      <c r="CF276" s="43"/>
      <c r="CG276" s="49">
        <f>IFERROR(VLOOKUP(C276,CC!A:D,4,0)," ")</f>
        <v>122.05</v>
      </c>
      <c r="CH276" s="22" t="str">
        <f>IFERROR(VLOOKUP(C276,'спецификация'!B:AA,19,0)," ")</f>
        <v/>
      </c>
      <c r="CI276" s="22"/>
      <c r="CJ276" s="43"/>
      <c r="CK276" s="22">
        <f>IFERROR(VLOOKUP(C276,CC!K:M,3,0)," ")</f>
        <v>45</v>
      </c>
      <c r="CL276" s="43"/>
      <c r="CM276" s="43"/>
      <c r="CN276" s="43"/>
      <c r="CO276" s="43"/>
      <c r="CP276" s="43"/>
      <c r="CQ276" s="43"/>
      <c r="CR276" s="43"/>
      <c r="CS276" s="43" t="b">
        <v>0</v>
      </c>
      <c r="CT276" s="43" t="b">
        <v>0</v>
      </c>
      <c r="CU276" s="43" t="b">
        <v>0</v>
      </c>
      <c r="CV276" s="43" t="b">
        <v>0</v>
      </c>
      <c r="CW276" s="43"/>
      <c r="CX276" s="43"/>
      <c r="CY276" s="43"/>
      <c r="CZ276" s="43"/>
      <c r="DA276" s="43"/>
      <c r="DB276" s="43"/>
      <c r="DC276" s="43"/>
      <c r="DD276" s="22">
        <f>IFERROR(VLOOKUP($C276,'Лист4'!$D:$AI,27,0)," ")</f>
        <v>10</v>
      </c>
      <c r="DE276" s="22">
        <f>IFERROR(VLOOKUP($C276,'Лист4'!$D:$AI,28,0)," ")</f>
        <v>3</v>
      </c>
      <c r="DF276" s="22">
        <f>IFERROR(VLOOKUP($C276,'Лист4'!$D:$AI,29,0)," ")</f>
        <v>10</v>
      </c>
      <c r="DG276" s="22">
        <f t="shared" si="3"/>
        <v>300</v>
      </c>
      <c r="DH276" s="22">
        <f>IFERROR(VLOOKUP($C276,'Лист4'!$D:$AI,32,0)," ")</f>
        <v>0.045</v>
      </c>
      <c r="DI276" s="22"/>
      <c r="DJ276" s="22"/>
      <c r="DK276" s="22"/>
      <c r="DL276" s="22"/>
      <c r="DM276" s="22"/>
      <c r="DN276" s="22"/>
      <c r="DO276" s="22"/>
      <c r="DP276" s="22"/>
      <c r="DQ276" s="22"/>
      <c r="DR276" s="22"/>
      <c r="DS276" s="22"/>
      <c r="DT276" s="22"/>
      <c r="DU276" s="22"/>
      <c r="DV276" s="22"/>
      <c r="DW276" s="22"/>
      <c r="DX276" s="22"/>
      <c r="DY276" s="22"/>
      <c r="DZ276" s="22"/>
      <c r="EA276" s="22"/>
      <c r="EB276" s="22"/>
      <c r="EC276" s="22"/>
      <c r="ED276" s="22"/>
      <c r="EE276" s="22"/>
      <c r="EF276" s="22"/>
      <c r="EG276" s="22"/>
      <c r="EH276" s="22"/>
      <c r="EI276" s="22"/>
      <c r="EJ276" s="22"/>
      <c r="EK276" s="22"/>
      <c r="EL276" s="22"/>
      <c r="EM276" s="43"/>
      <c r="EN276" s="43"/>
      <c r="EO276" s="43"/>
      <c r="EP276" s="43"/>
      <c r="EQ276" s="43"/>
      <c r="ER276" s="43"/>
      <c r="ES276" s="43"/>
      <c r="ET276" s="43"/>
      <c r="EU276" s="43"/>
      <c r="EV276" s="43"/>
      <c r="EW276" s="43"/>
      <c r="EX276" s="43"/>
      <c r="EY276" s="43"/>
      <c r="EZ276" s="43"/>
      <c r="FA276" s="43"/>
      <c r="FB276" s="43"/>
      <c r="FC276" s="43"/>
    </row>
    <row r="277" ht="18.0" customHeight="1">
      <c r="A277" s="2"/>
      <c r="B277" s="22" t="str">
        <f>IFERROR(VLOOKUP(C277,'Реестр'!C:AC,27,0)," ")</f>
        <v>Смарт-Сэйл</v>
      </c>
      <c r="C277" s="43" t="s">
        <v>4313</v>
      </c>
      <c r="D277" s="22" t="str">
        <f>IFERROR(VLOOKUP(C277,'Лист4'!D:P,13,0)," ")</f>
        <v>CPA</v>
      </c>
      <c r="E277" s="22" t="str">
        <f>IF(OR(ISERROR(VLOOKUP(C277,'Актуальность'!A:B,2,0)), VLOOKUP(C277,'Актуальность'!A:B,2,0)=""), "Актуальный", VLOOKUP(C277,'Актуальность'!A:B,2,0))</f>
        <v>Актуальный</v>
      </c>
      <c r="F277" s="43" t="str">
        <f>IFERROR(VLOOKUP(C277,'Актуальность'!A:C,3,0)," ")</f>
        <v/>
      </c>
      <c r="G277" s="43"/>
      <c r="H277" s="22" t="s">
        <v>2663</v>
      </c>
      <c r="I277" s="22" t="s">
        <v>3437</v>
      </c>
      <c r="J277" s="43"/>
      <c r="K277" s="43"/>
      <c r="L277" s="22" t="b">
        <f t="shared" ref="L277:R277" si="273">T277&lt;&gt;""</f>
        <v>1</v>
      </c>
      <c r="M277" s="22" t="b">
        <f t="shared" si="273"/>
        <v>1</v>
      </c>
      <c r="N277" s="22" t="b">
        <f t="shared" si="273"/>
        <v>1</v>
      </c>
      <c r="O277" s="22" t="b">
        <f t="shared" si="273"/>
        <v>1</v>
      </c>
      <c r="P277" s="22" t="b">
        <f t="shared" si="273"/>
        <v>0</v>
      </c>
      <c r="Q277" s="22" t="b">
        <f t="shared" si="273"/>
        <v>0</v>
      </c>
      <c r="R277" s="22" t="b">
        <f t="shared" si="273"/>
        <v>0</v>
      </c>
      <c r="S277" s="43"/>
      <c r="T277" s="43" t="str">
        <f>IFERROR(VLOOKUP( C277,'1С'!A:B,2,0)," ")</f>
        <v>CC101100404</v>
      </c>
      <c r="U277" s="22" t="s">
        <v>4313</v>
      </c>
      <c r="V277" s="22" t="s">
        <v>4313</v>
      </c>
      <c r="W277" s="22" t="s">
        <v>4313</v>
      </c>
      <c r="X277" s="43" t="str">
        <f>IFERROR(VLOOKUP(T277,'Лист4'!C:I,7,0)," ")</f>
        <v/>
      </c>
      <c r="Y277" s="43" t="str">
        <f>IFERROR(VLOOKUP(T277,'Лист4'!C:I,6,0)," ")</f>
        <v/>
      </c>
      <c r="Z277" s="43"/>
      <c r="AA277" s="43"/>
      <c r="AB277" s="22">
        <v>1.76862987E8</v>
      </c>
      <c r="AC277" s="22">
        <v>1.188111089E9</v>
      </c>
      <c r="AD277" s="22">
        <v>1.03515425318E11</v>
      </c>
      <c r="AE277" s="22"/>
      <c r="AF277" s="22"/>
      <c r="AG277" s="43"/>
      <c r="AH277" s="43"/>
      <c r="AI277" s="43" t="str">
        <f>IFERROR(VLOOKUP(T277,'1С'!B:C,2,0)," ")</f>
        <v>Крем от варикоза Дар дракона, CPA, 30 мл</v>
      </c>
      <c r="AJ277" s="22" t="s">
        <v>4316</v>
      </c>
      <c r="AK277" s="22" t="s">
        <v>4317</v>
      </c>
      <c r="AL277" s="22" t="s">
        <v>4318</v>
      </c>
      <c r="AM277" s="43"/>
      <c r="AN277" s="43"/>
      <c r="AO277" s="43"/>
      <c r="AP277" s="43"/>
      <c r="AQ277" s="46" t="s">
        <v>4319</v>
      </c>
      <c r="AR277" s="46" t="s">
        <v>4320</v>
      </c>
      <c r="AS277" s="46" t="s">
        <v>4321</v>
      </c>
      <c r="AT277" s="43"/>
      <c r="AU277" s="43"/>
      <c r="AV277" s="43"/>
      <c r="AW277" s="43"/>
      <c r="AX277" s="22" t="s">
        <v>3445</v>
      </c>
      <c r="AY277" s="22" t="s">
        <v>4317</v>
      </c>
      <c r="AZ277" s="22" t="s">
        <v>2672</v>
      </c>
      <c r="BA277" s="43"/>
      <c r="BB277" s="43"/>
      <c r="BC277" s="43"/>
      <c r="BD277" s="43"/>
      <c r="BE277" s="43"/>
      <c r="BF277" s="22" t="str">
        <f>IFERROR(VLOOKUP(C277,'спецификация'!B:D,3,0)," ")</f>
        <v/>
      </c>
      <c r="BG277" s="22"/>
      <c r="BH277" s="22" t="str">
        <f>IFERROR(VLOOKUP(C277,'спецификация'!B:AA,5,0)," ")</f>
        <v/>
      </c>
      <c r="BI277" s="22"/>
      <c r="BJ277" s="22" t="str">
        <f>IFERROR(VLOOKUP(C277,'спецификация'!B:AA,6,0)," ")</f>
        <v/>
      </c>
      <c r="BK277" s="43"/>
      <c r="BL277" s="43"/>
      <c r="BM277" s="22" t="str">
        <f>IFERROR(VLOOKUP(BF277,'спецификация'!D:H,5,0)," ")</f>
        <v> </v>
      </c>
      <c r="BN277" s="43"/>
      <c r="BO277" s="22" t="str">
        <f>IFERROR(VLOOKUP(C277,'спецификация'!B:AA,10,0)," ")</f>
        <v/>
      </c>
      <c r="BP277" s="43" t="str">
        <f>IFERROR(VLOOKUP(C277,'спецификация'!B:AA,11,0)," ")</f>
        <v/>
      </c>
      <c r="BQ277" s="22" t="str">
        <f>IFERROR(VLOOKUP(C277,'спецификация'!B:AA,12,0)," ")</f>
        <v/>
      </c>
      <c r="BR277" s="22"/>
      <c r="BS277" s="43"/>
      <c r="BT277" s="43"/>
      <c r="BU277" s="22"/>
      <c r="BV277" s="22"/>
      <c r="BW277" s="45" t="str">
        <f>IFERROR(VLOOKUP(C277,'спецификация'!B:AA,16,0)," ")</f>
        <v/>
      </c>
      <c r="BX277" s="43"/>
      <c r="BY277" s="43"/>
      <c r="BZ277" s="45" t="str">
        <f>IFERROR(VLOOKUP(BF277,'спецификация'!D:Y,22,0)," ")</f>
        <v> </v>
      </c>
      <c r="CA277" s="43"/>
      <c r="CB277" s="43"/>
      <c r="CC277" s="43"/>
      <c r="CD277" s="43"/>
      <c r="CE277" s="43"/>
      <c r="CF277" s="43"/>
      <c r="CG277" s="49">
        <f>IFERROR(VLOOKUP(C277,CC!A:D,4,0)," ")</f>
        <v>233.5</v>
      </c>
      <c r="CH277" s="22" t="str">
        <f>IFERROR(VLOOKUP(C277,'спецификация'!B:AA,19,0)," ")</f>
        <v/>
      </c>
      <c r="CI277" s="22"/>
      <c r="CJ277" s="43"/>
      <c r="CK277" s="22">
        <f>IFERROR(VLOOKUP(C277,CC!K:M,3,0)," ")</f>
        <v>45</v>
      </c>
      <c r="CL277" s="43"/>
      <c r="CM277" s="43"/>
      <c r="CN277" s="43"/>
      <c r="CO277" s="43"/>
      <c r="CP277" s="43"/>
      <c r="CQ277" s="43"/>
      <c r="CR277" s="43"/>
      <c r="CS277" s="43" t="b">
        <v>0</v>
      </c>
      <c r="CT277" s="43" t="b">
        <v>0</v>
      </c>
      <c r="CU277" s="43" t="b">
        <v>0</v>
      </c>
      <c r="CV277" s="43" t="b">
        <v>0</v>
      </c>
      <c r="CW277" s="43"/>
      <c r="CX277" s="43"/>
      <c r="CY277" s="43"/>
      <c r="CZ277" s="43"/>
      <c r="DA277" s="43"/>
      <c r="DB277" s="43"/>
      <c r="DC277" s="43"/>
      <c r="DD277" s="22">
        <f>IFERROR(VLOOKUP($C277,'Лист4'!$D:$AI,27,0)," ")</f>
        <v>17</v>
      </c>
      <c r="DE277" s="22">
        <f>IFERROR(VLOOKUP($C277,'Лист4'!$D:$AI,28,0)," ")</f>
        <v>6</v>
      </c>
      <c r="DF277" s="22">
        <f>IFERROR(VLOOKUP($C277,'Лист4'!$D:$AI,29,0)," ")</f>
        <v>17</v>
      </c>
      <c r="DG277" s="22">
        <f t="shared" si="3"/>
        <v>1734</v>
      </c>
      <c r="DH277" s="22">
        <f>IFERROR(VLOOKUP($C277,'Лист4'!$D:$AI,32,0)," ")</f>
        <v>0.192</v>
      </c>
      <c r="DI277" s="22"/>
      <c r="DJ277" s="22"/>
      <c r="DK277" s="22"/>
      <c r="DL277" s="22"/>
      <c r="DM277" s="22"/>
      <c r="DN277" s="22"/>
      <c r="DO277" s="22"/>
      <c r="DP277" s="22"/>
      <c r="DQ277" s="22"/>
      <c r="DR277" s="22"/>
      <c r="DS277" s="22"/>
      <c r="DT277" s="22"/>
      <c r="DU277" s="22"/>
      <c r="DV277" s="22"/>
      <c r="DW277" s="22"/>
      <c r="DX277" s="22"/>
      <c r="DY277" s="22"/>
      <c r="DZ277" s="22"/>
      <c r="EA277" s="22"/>
      <c r="EB277" s="22"/>
      <c r="EC277" s="22"/>
      <c r="ED277" s="22"/>
      <c r="EE277" s="22"/>
      <c r="EF277" s="22"/>
      <c r="EG277" s="22"/>
      <c r="EH277" s="22"/>
      <c r="EI277" s="22"/>
      <c r="EJ277" s="22"/>
      <c r="EK277" s="22"/>
      <c r="EL277" s="22"/>
      <c r="EM277" s="43"/>
      <c r="EN277" s="43"/>
      <c r="EO277" s="43"/>
      <c r="EP277" s="43"/>
      <c r="EQ277" s="43"/>
      <c r="ER277" s="43"/>
      <c r="ES277" s="43"/>
      <c r="ET277" s="43"/>
      <c r="EU277" s="43"/>
      <c r="EV277" s="43"/>
      <c r="EW277" s="43"/>
      <c r="EX277" s="43"/>
      <c r="EY277" s="43"/>
      <c r="EZ277" s="43"/>
      <c r="FA277" s="43"/>
      <c r="FB277" s="43"/>
      <c r="FC277" s="43"/>
    </row>
    <row r="278" ht="18.0" customHeight="1">
      <c r="A278" s="2"/>
      <c r="B278" s="22" t="str">
        <f>IFERROR(VLOOKUP(C278,'Реестр'!C:AC,27,0)," ")</f>
        <v>Смарт-Сэйл</v>
      </c>
      <c r="C278" s="43" t="s">
        <v>4325</v>
      </c>
      <c r="D278" s="22" t="str">
        <f>IFERROR(VLOOKUP(C278,'Лист4'!D:P,13,0)," ")</f>
        <v>CPA</v>
      </c>
      <c r="E278" s="22" t="str">
        <f>IF(OR(ISERROR(VLOOKUP(C278,'Актуальность'!A:B,2,0)), VLOOKUP(C278,'Актуальность'!A:B,2,0)=""), "Актуальный", VLOOKUP(C278,'Актуальность'!A:B,2,0))</f>
        <v>Актуальный</v>
      </c>
      <c r="F278" s="43" t="str">
        <f>IFERROR(VLOOKUP(C278,'Актуальность'!A:C,3,0)," ")</f>
        <v/>
      </c>
      <c r="G278" s="43"/>
      <c r="H278" s="22" t="s">
        <v>2743</v>
      </c>
      <c r="I278" s="22" t="s">
        <v>287</v>
      </c>
      <c r="J278" s="43"/>
      <c r="K278" s="43"/>
      <c r="L278" s="22" t="b">
        <f t="shared" ref="L278:R278" si="274">T278&lt;&gt;""</f>
        <v>1</v>
      </c>
      <c r="M278" s="22" t="b">
        <f t="shared" si="274"/>
        <v>1</v>
      </c>
      <c r="N278" s="22" t="b">
        <f t="shared" si="274"/>
        <v>1</v>
      </c>
      <c r="O278" s="22" t="b">
        <f t="shared" si="274"/>
        <v>1</v>
      </c>
      <c r="P278" s="22" t="b">
        <f t="shared" si="274"/>
        <v>1</v>
      </c>
      <c r="Q278" s="22" t="b">
        <f t="shared" si="274"/>
        <v>0</v>
      </c>
      <c r="R278" s="22" t="b">
        <f t="shared" si="274"/>
        <v>0</v>
      </c>
      <c r="S278" s="43"/>
      <c r="T278" s="43" t="str">
        <f>IFERROR(VLOOKUP( C278,'1С'!A:B,2,0)," ")</f>
        <v>CC101100439</v>
      </c>
      <c r="U278" s="22" t="s">
        <v>4325</v>
      </c>
      <c r="V278" s="22" t="s">
        <v>4325</v>
      </c>
      <c r="W278" s="22" t="s">
        <v>4325</v>
      </c>
      <c r="X278" s="22" t="s">
        <v>4325</v>
      </c>
      <c r="Y278" s="43" t="str">
        <f>IFERROR(VLOOKUP(T278,'Лист4'!C:I,6,0)," ")</f>
        <v/>
      </c>
      <c r="Z278" s="43"/>
      <c r="AA278" s="43"/>
      <c r="AB278" s="22">
        <v>2.35967746E8</v>
      </c>
      <c r="AC278" s="22">
        <v>1.597150074E9</v>
      </c>
      <c r="AD278" s="22">
        <v>1.03515586621E11</v>
      </c>
      <c r="AE278" s="22">
        <v>9.900012514E10</v>
      </c>
      <c r="AF278" s="22"/>
      <c r="AG278" s="43"/>
      <c r="AH278" s="43"/>
      <c r="AI278" s="43" t="str">
        <f>IFERROR(VLOOKUP(T278,'1С'!B:C,2,0)," ")</f>
        <v>Сыворотка для роста волос WOW GLAM, CPA, 10 шт</v>
      </c>
      <c r="AJ278" s="22" t="s">
        <v>4328</v>
      </c>
      <c r="AK278" s="22" t="s">
        <v>4329</v>
      </c>
      <c r="AL278" s="22" t="s">
        <v>4329</v>
      </c>
      <c r="AM278" s="22" t="s">
        <v>4330</v>
      </c>
      <c r="AN278" s="43"/>
      <c r="AO278" s="43"/>
      <c r="AP278" s="43"/>
      <c r="AQ278" s="46" t="s">
        <v>4331</v>
      </c>
      <c r="AR278" s="46" t="s">
        <v>4332</v>
      </c>
      <c r="AS278" s="46" t="s">
        <v>4333</v>
      </c>
      <c r="AT278" s="43"/>
      <c r="AU278" s="43"/>
      <c r="AV278" s="43"/>
      <c r="AW278" s="43"/>
      <c r="AX278" s="22" t="s">
        <v>325</v>
      </c>
      <c r="AY278" s="22" t="s">
        <v>4329</v>
      </c>
      <c r="AZ278" s="22" t="s">
        <v>326</v>
      </c>
      <c r="BA278" s="22" t="s">
        <v>300</v>
      </c>
      <c r="BB278" s="43"/>
      <c r="BC278" s="43"/>
      <c r="BD278" s="43"/>
      <c r="BE278" s="43"/>
      <c r="BF278" s="22">
        <f>IFERROR(VLOOKUP(C278,'спецификация'!B:D,3,0)," ")</f>
        <v>4610030632728</v>
      </c>
      <c r="BG278" s="22">
        <v>3.30499E9</v>
      </c>
      <c r="BH278" s="22" t="str">
        <f>IFERROR(VLOOKUP(C278,'спецификация'!B:AA,5,0)," ")</f>
        <v>ЕАЭС N RU Д-RU.PA03.B.08139/24 от 26.03.2024 по 25.03.2029</v>
      </c>
      <c r="BI278" s="22"/>
      <c r="BJ278" s="22" t="str">
        <f>IFERROR(VLOOKUP(C278,'спецификация'!B:AA,6,0)," ")</f>
        <v/>
      </c>
      <c r="BK278" s="43"/>
      <c r="BL278" s="43"/>
      <c r="BM278" s="22" t="str">
        <f>IFERROR(VLOOKUP(BF278,'спецификация'!D:H,5,0)," ")</f>
        <v>вода, гидролизат коллагена, аргинин, бетаин, биотин, кератин, экстракт гинкго билоба, комплекс витаминов (В1, В3, В5, В6, В7, В9 и В12), календула, касторовое масло, гиалуроновая кислота, масло жожоба, шаромикс eg 10.</v>
      </c>
      <c r="BN278" s="43"/>
      <c r="BO278" s="22" t="str">
        <f>IFERROR(VLOOKUP(C278,'спецификация'!B:AA,10,0)," ")</f>
        <v/>
      </c>
      <c r="BP278" s="43" t="str">
        <f>IFERROR(VLOOKUP(C278,'спецификация'!B:AA,11,0)," ")</f>
        <v>индивидуальная непереносимость компонентов.
</v>
      </c>
      <c r="BQ278" s="22" t="str">
        <f>IFERROR(VLOOKUP(C278,'спецификация'!B:AA,12,0)," ")</f>
        <v> хранить при температуре от + 5°С до + 25°С, в недоступном для детей месте.
</v>
      </c>
      <c r="BR278" s="22">
        <v>10.0</v>
      </c>
      <c r="BS278" s="22" t="s">
        <v>4337</v>
      </c>
      <c r="BT278" s="22"/>
      <c r="BU278" s="22"/>
      <c r="BV278" s="22"/>
      <c r="BW278" s="44" t="str">
        <f>IFERROR(VLOOKUP(C278,'спецификация'!B:AA,16,0)," ")</f>
        <v>https://docs.google.com/document/d/1UBocNxu0aq1ODGT2vQWtW9BVLPdzsQ8E/edit</v>
      </c>
      <c r="BX278" s="43"/>
      <c r="BY278" s="43"/>
      <c r="BZ278" s="45" t="str">
        <f>IFERROR(VLOOKUP(BF278,'спецификация'!D:Y,22,0)," ")</f>
        <v/>
      </c>
      <c r="CA278" s="43"/>
      <c r="CB278" s="43"/>
      <c r="CC278" s="43"/>
      <c r="CD278" s="43"/>
      <c r="CE278" s="43"/>
      <c r="CF278" s="43"/>
      <c r="CG278" s="49">
        <f>IFERROR(VLOOKUP(C278,CC!A:D,4,0)," ")</f>
        <v>114.47</v>
      </c>
      <c r="CH278" s="22" t="str">
        <f>IFERROR(VLOOKUP(C278,'спецификация'!B:AA,19,0)," ")</f>
        <v>ООО «НУТРАФАРМ», 129626, г. Москва, Муниципальный округ Алексеевский, ул. 1-ая Мытищинская, дом 3, строение 1, этаж 3, каб. 306, ком. 5А</v>
      </c>
      <c r="CI278" s="22"/>
      <c r="CJ278" s="43"/>
      <c r="CK278" s="22">
        <f>IFERROR(VLOOKUP(C278,CC!K:M,3,0)," ")</f>
        <v>45</v>
      </c>
      <c r="CL278" s="43"/>
      <c r="CM278" s="43"/>
      <c r="CN278" s="43"/>
      <c r="CO278" s="43"/>
      <c r="CP278" s="43"/>
      <c r="CQ278" s="43"/>
      <c r="CR278" s="43"/>
      <c r="CS278" s="43" t="b">
        <v>0</v>
      </c>
      <c r="CT278" s="43" t="b">
        <v>0</v>
      </c>
      <c r="CU278" s="43" t="b">
        <v>0</v>
      </c>
      <c r="CV278" s="43" t="b">
        <v>0</v>
      </c>
      <c r="CW278" s="43"/>
      <c r="CX278" s="43"/>
      <c r="CY278" s="43"/>
      <c r="CZ278" s="43"/>
      <c r="DA278" s="43"/>
      <c r="DB278" s="43"/>
      <c r="DC278" s="43"/>
      <c r="DD278" s="22">
        <f>IFERROR(VLOOKUP($C278,'Лист4'!$D:$AI,27,0)," ")</f>
        <v>8</v>
      </c>
      <c r="DE278" s="22">
        <f>IFERROR(VLOOKUP($C278,'Лист4'!$D:$AI,28,0)," ")</f>
        <v>2</v>
      </c>
      <c r="DF278" s="22">
        <f>IFERROR(VLOOKUP($C278,'Лист4'!$D:$AI,29,0)," ")</f>
        <v>8</v>
      </c>
      <c r="DG278" s="22">
        <f t="shared" si="3"/>
        <v>128</v>
      </c>
      <c r="DH278" s="22">
        <f>IFERROR(VLOOKUP($C278,'Лист4'!$D:$AI,32,0)," ")</f>
        <v>0.046</v>
      </c>
      <c r="DI278" s="22"/>
      <c r="DJ278" s="22"/>
      <c r="DK278" s="22"/>
      <c r="DL278" s="22"/>
      <c r="DM278" s="22"/>
      <c r="DN278" s="22"/>
      <c r="DO278" s="22"/>
      <c r="DP278" s="22"/>
      <c r="DQ278" s="22"/>
      <c r="DR278" s="22"/>
      <c r="DS278" s="22"/>
      <c r="DT278" s="22"/>
      <c r="DU278" s="22"/>
      <c r="DV278" s="22"/>
      <c r="DW278" s="22"/>
      <c r="DX278" s="22"/>
      <c r="DY278" s="22"/>
      <c r="DZ278" s="22"/>
      <c r="EA278" s="22"/>
      <c r="EB278" s="22"/>
      <c r="EC278" s="22"/>
      <c r="ED278" s="22"/>
      <c r="EE278" s="22"/>
      <c r="EF278" s="22"/>
      <c r="EG278" s="22"/>
      <c r="EH278" s="22"/>
      <c r="EI278" s="22"/>
      <c r="EJ278" s="22"/>
      <c r="EK278" s="22"/>
      <c r="EL278" s="22"/>
      <c r="EM278" s="43"/>
      <c r="EN278" s="43"/>
      <c r="EO278" s="43"/>
      <c r="EP278" s="43"/>
      <c r="EQ278" s="43"/>
      <c r="ER278" s="43"/>
      <c r="ES278" s="43"/>
      <c r="ET278" s="43"/>
      <c r="EU278" s="43"/>
      <c r="EV278" s="43"/>
      <c r="EW278" s="43"/>
      <c r="EX278" s="43"/>
      <c r="EY278" s="43"/>
      <c r="EZ278" s="43"/>
      <c r="FA278" s="43"/>
      <c r="FB278" s="43"/>
      <c r="FC278" s="43"/>
    </row>
    <row r="279" ht="18.0" customHeight="1">
      <c r="A279" s="2"/>
      <c r="B279" s="22" t="str">
        <f>IFERROR(VLOOKUP(C279,'Реестр'!C:AC,27,0)," ")</f>
        <v>Смарт-Сэйл</v>
      </c>
      <c r="C279" s="43" t="s">
        <v>4339</v>
      </c>
      <c r="D279" s="22" t="str">
        <f>IFERROR(VLOOKUP(C279,'Лист4'!D:P,13,0)," ")</f>
        <v>Алтея</v>
      </c>
      <c r="E279" s="22" t="str">
        <f>IF(OR(ISERROR(VLOOKUP(C279,'Актуальность'!A:B,2,0)), VLOOKUP(C279,'Актуальность'!A:B,2,0)=""), "Актуальный", VLOOKUP(C279,'Актуальность'!A:B,2,0))</f>
        <v>Актуальный</v>
      </c>
      <c r="F279" s="43" t="str">
        <f>IFERROR(VLOOKUP(C279,'Актуальность'!A:C,3,0)," ")</f>
        <v/>
      </c>
      <c r="G279" s="43"/>
      <c r="H279" s="22" t="s">
        <v>2743</v>
      </c>
      <c r="I279" s="22" t="s">
        <v>565</v>
      </c>
      <c r="J279" s="43"/>
      <c r="K279" s="43"/>
      <c r="L279" s="22" t="b">
        <f t="shared" ref="L279:R279" si="275">T279&lt;&gt;""</f>
        <v>1</v>
      </c>
      <c r="M279" s="22" t="b">
        <f t="shared" si="275"/>
        <v>1</v>
      </c>
      <c r="N279" s="22" t="b">
        <f t="shared" si="275"/>
        <v>1</v>
      </c>
      <c r="O279" s="22" t="b">
        <f t="shared" si="275"/>
        <v>1</v>
      </c>
      <c r="P279" s="22" t="b">
        <f t="shared" si="275"/>
        <v>1</v>
      </c>
      <c r="Q279" s="22" t="b">
        <f t="shared" si="275"/>
        <v>1</v>
      </c>
      <c r="R279" s="22" t="b">
        <f t="shared" si="275"/>
        <v>0</v>
      </c>
      <c r="S279" s="43"/>
      <c r="T279" s="43" t="str">
        <f>IFERROR(VLOOKUP( C279,'1С'!A:B,2,0)," ")</f>
        <v>AC201100403</v>
      </c>
      <c r="U279" s="22" t="str">
        <f>IFERROR(VLOOKUP(T279,'Лист4'!C:I,3,0)," ")</f>
        <v>enzim_pudra_80gr_v2</v>
      </c>
      <c r="V279" s="22" t="str">
        <f>IFERROR(VLOOKUP(T279,'Лист4'!C:I,4,0)," ")</f>
        <v>enzim_pudra_80gr_v2</v>
      </c>
      <c r="W279" s="22" t="str">
        <f>IFERROR(VLOOKUP(T279,'Лист4'!C:I,5,0)," ")</f>
        <v>enzim_pudra_80gr_v2</v>
      </c>
      <c r="X279" s="43" t="str">
        <f>IFERROR(VLOOKUP(T279,'Лист4'!C:I,7,0)," ")</f>
        <v>enzim_pudra_80gr_v2</v>
      </c>
      <c r="Y279" s="43" t="str">
        <f>IFERROR(VLOOKUP(T279,'Лист4'!C:I,6,0)," ")</f>
        <v>enzim_pudra_80gr_v2</v>
      </c>
      <c r="Z279" s="43"/>
      <c r="AA279" s="43"/>
      <c r="AB279" s="22">
        <v>5.47745952E8</v>
      </c>
      <c r="AC279" s="22">
        <v>2.915421784E9</v>
      </c>
      <c r="AD279" s="22">
        <v>4.686492261E9</v>
      </c>
      <c r="AE279" s="22">
        <v>9.9000125143E10</v>
      </c>
      <c r="AF279" s="22" t="s">
        <v>4341</v>
      </c>
      <c r="AG279" s="43"/>
      <c r="AH279" s="43"/>
      <c r="AI279" s="43" t="str">
        <f>IFERROR(VLOOKUP(T279,'1С'!B:C,2,0)," ")</f>
        <v>Энзимная пудра, Алтея, 80г</v>
      </c>
      <c r="AJ279" s="22" t="s">
        <v>4342</v>
      </c>
      <c r="AK279" s="22" t="s">
        <v>3632</v>
      </c>
      <c r="AL279" s="22" t="s">
        <v>4343</v>
      </c>
      <c r="AM279" s="22" t="s">
        <v>4344</v>
      </c>
      <c r="AN279" s="22" t="s">
        <v>4345</v>
      </c>
      <c r="AO279" s="43"/>
      <c r="AP279" s="43"/>
      <c r="AQ279" s="46" t="s">
        <v>4346</v>
      </c>
      <c r="AR279" s="46" t="s">
        <v>4347</v>
      </c>
      <c r="AS279" s="46" t="s">
        <v>4348</v>
      </c>
      <c r="AT279" s="46" t="s">
        <v>4349</v>
      </c>
      <c r="AU279" s="46" t="s">
        <v>4350</v>
      </c>
      <c r="AV279" s="43"/>
      <c r="AW279" s="43"/>
      <c r="AX279" s="22" t="s">
        <v>574</v>
      </c>
      <c r="AY279" s="22" t="s">
        <v>3632</v>
      </c>
      <c r="AZ279" s="22" t="s">
        <v>575</v>
      </c>
      <c r="BA279" s="22" t="s">
        <v>1447</v>
      </c>
      <c r="BB279" s="22" t="s">
        <v>576</v>
      </c>
      <c r="BC279" s="43"/>
      <c r="BD279" s="43"/>
      <c r="BE279" s="43"/>
      <c r="BF279" s="22">
        <f>IFERROR(VLOOKUP(C279,'спецификация'!B:D,3,0)," ")</f>
        <v>4645565747487</v>
      </c>
      <c r="BG279" s="22">
        <v>3.30499E9</v>
      </c>
      <c r="BH279" s="22" t="str">
        <f>IFERROR(VLOOKUP(C279,'спецификация'!B:AA,5,0)," ")</f>
        <v/>
      </c>
      <c r="BI279" s="22"/>
      <c r="BJ279" s="22" t="str">
        <f>IFERROR(VLOOKUP(C279,'спецификация'!B:AA,6,0)," ")</f>
        <v>да</v>
      </c>
      <c r="BK279" s="43"/>
      <c r="BL279" s="43"/>
      <c r="BM279" s="22" t="str">
        <f>IFERROR(VLOOKUP(BF279,'спецификация'!D:H,5,0)," ")</f>
        <v>Corn Starch, Sodium Cocoyl Isethionate, Kaolin, Parfum, Papain, Allantoin, Camellia Sinensis Leaf Extract, Salicylic acid, Аcrylic Рolymer, Inulin, Geraniol, Limonene.</v>
      </c>
      <c r="BN279" s="43"/>
      <c r="BO279" s="22" t="str">
        <f>IFERROR(VLOOKUP(C279,'спецификация'!B:AA,10,0)," ")</f>
        <v>небольшое количество пудры насыпать в смоченную водой ладонь. Вспенить средство и массажными движениями нанести на влажную кожу лица и шеи, избегая области вокруг глаз. Смыть водой.</v>
      </c>
      <c r="BP279" s="43" t="str">
        <f>IFERROR(VLOOKUP(C279,'спецификация'!B:AA,11,0)," ")</f>
        <v>Меры предосторожности: возможна индивидуальная непереносимость отдельных компонентов состава.
</v>
      </c>
      <c r="BQ279" s="22" t="str">
        <f>IFERROR(VLOOKUP(C279,'спецификация'!B:AA,12,0)," ")</f>
        <v>хранить при температуре не ниже 0ºС и не выше 25ºС</v>
      </c>
      <c r="BR279" s="22">
        <v>80.0</v>
      </c>
      <c r="BS279" s="22" t="s">
        <v>3643</v>
      </c>
      <c r="BT279" s="22"/>
      <c r="BU279" s="22"/>
      <c r="BV279" s="22" t="s">
        <v>307</v>
      </c>
      <c r="BW279" s="44" t="str">
        <f>IFERROR(VLOOKUP(C279,'спецификация'!B:AA,16,0)," ")</f>
        <v>https://docs.google.com/document/d/1tPWJObwi77XC77ljuF4TVHbZp4aCpQ2W/edit?usp=drive_web&amp;ouid=104241417680089502627&amp;rtpof=true</v>
      </c>
      <c r="BX279" s="43"/>
      <c r="BY279" s="43"/>
      <c r="BZ279" s="45" t="str">
        <f>IFERROR(VLOOKUP(BF279,'спецификация'!D:Y,22,0)," ")</f>
        <v/>
      </c>
      <c r="CA279" s="43"/>
      <c r="CB279" s="43"/>
      <c r="CC279" s="43"/>
      <c r="CD279" s="43"/>
      <c r="CE279" s="43"/>
      <c r="CF279" s="43"/>
      <c r="CG279" s="49">
        <f>IFERROR(VLOOKUP(C279,CC!A:D,4,0)," ")</f>
        <v>119.4</v>
      </c>
      <c r="CH279" s="22" t="str">
        <f>IFERROR(VLOOKUP(C279,'спецификация'!B:AA,19,0)," ")</f>
        <v>ООО "Алтэя"</v>
      </c>
      <c r="CI279" s="22"/>
      <c r="CJ279" s="22"/>
      <c r="CK279" s="22">
        <f>IFERROR(VLOOKUP(C279,CC!K:M,3,0)," ")</f>
        <v>90</v>
      </c>
      <c r="CL279" s="43"/>
      <c r="CM279" s="43"/>
      <c r="CN279" s="43"/>
      <c r="CO279" s="43"/>
      <c r="CP279" s="43"/>
      <c r="CQ279" s="43"/>
      <c r="CR279" s="43"/>
      <c r="CS279" s="43" t="b">
        <v>0</v>
      </c>
      <c r="CT279" s="43" t="b">
        <v>0</v>
      </c>
      <c r="CU279" s="43" t="b">
        <v>0</v>
      </c>
      <c r="CV279" s="43" t="b">
        <v>0</v>
      </c>
      <c r="CW279" s="43"/>
      <c r="CX279" s="43"/>
      <c r="CY279" s="43"/>
      <c r="CZ279" s="43"/>
      <c r="DA279" s="43"/>
      <c r="DB279" s="43"/>
      <c r="DC279" s="43"/>
      <c r="DD279" s="22">
        <f>IFERROR(VLOOKUP($C279,'Лист4'!$D:$AI,27,0)," ")</f>
        <v>5</v>
      </c>
      <c r="DE279" s="22">
        <f>IFERROR(VLOOKUP($C279,'Лист4'!$D:$AI,28,0)," ")</f>
        <v>13</v>
      </c>
      <c r="DF279" s="22">
        <f>IFERROR(VLOOKUP($C279,'Лист4'!$D:$AI,29,0)," ")</f>
        <v>5</v>
      </c>
      <c r="DG279" s="22">
        <f t="shared" si="3"/>
        <v>325</v>
      </c>
      <c r="DH279" s="22">
        <f>IFERROR(VLOOKUP($C279,'Лист4'!$D:$AI,32,0)," ")</f>
        <v>0.101</v>
      </c>
      <c r="DI279" s="22"/>
      <c r="DJ279" s="22"/>
      <c r="DK279" s="22"/>
      <c r="DL279" s="22"/>
      <c r="DM279" s="22"/>
      <c r="DN279" s="22"/>
      <c r="DO279" s="22"/>
      <c r="DP279" s="22"/>
      <c r="DQ279" s="22"/>
      <c r="DR279" s="22"/>
      <c r="DS279" s="22"/>
      <c r="DT279" s="22"/>
      <c r="DU279" s="22"/>
      <c r="DV279" s="22"/>
      <c r="DW279" s="22"/>
      <c r="DX279" s="22"/>
      <c r="DY279" s="22"/>
      <c r="DZ279" s="22"/>
      <c r="EA279" s="22"/>
      <c r="EB279" s="22"/>
      <c r="EC279" s="22"/>
      <c r="ED279" s="22"/>
      <c r="EE279" s="22"/>
      <c r="EF279" s="22"/>
      <c r="EG279" s="22"/>
      <c r="EH279" s="22"/>
      <c r="EI279" s="22"/>
      <c r="EJ279" s="22"/>
      <c r="EK279" s="22"/>
      <c r="EL279" s="22"/>
      <c r="EM279" s="43"/>
      <c r="EN279" s="43"/>
      <c r="EO279" s="43"/>
      <c r="EP279" s="43"/>
      <c r="EQ279" s="43"/>
      <c r="ER279" s="43"/>
      <c r="ES279" s="43"/>
      <c r="ET279" s="43"/>
      <c r="EU279" s="43"/>
      <c r="EV279" s="43"/>
      <c r="EW279" s="43"/>
      <c r="EX279" s="43"/>
      <c r="EY279" s="43"/>
      <c r="EZ279" s="43"/>
      <c r="FA279" s="43"/>
      <c r="FB279" s="43"/>
      <c r="FC279" s="43"/>
    </row>
    <row r="280" ht="18.0" customHeight="1">
      <c r="A280" s="2"/>
      <c r="B280" s="22" t="str">
        <f>IFERROR(VLOOKUP(C280,'Реестр'!C:AC,27,0)," ")</f>
        <v>Смарт-Сэйл</v>
      </c>
      <c r="C280" s="43" t="s">
        <v>4351</v>
      </c>
      <c r="D280" s="22" t="str">
        <f>IFERROR(VLOOKUP(C280,'Лист4'!D:P,13,0)," ")</f>
        <v>CPA</v>
      </c>
      <c r="E280" s="22" t="str">
        <f>IF(OR(ISERROR(VLOOKUP(C280,'Актуальность'!A:B,2,0)), VLOOKUP(C280,'Актуальность'!A:B,2,0)=""), "Актуальный", VLOOKUP(C280,'Актуальность'!A:B,2,0))</f>
        <v>Актуальный</v>
      </c>
      <c r="F280" s="43" t="str">
        <f>IFERROR(VLOOKUP(C280,'Актуальность'!A:C,3,0)," ")</f>
        <v/>
      </c>
      <c r="G280" s="43"/>
      <c r="H280" s="22" t="s">
        <v>2663</v>
      </c>
      <c r="I280" s="22" t="s">
        <v>3437</v>
      </c>
      <c r="J280" s="43"/>
      <c r="K280" s="43"/>
      <c r="L280" s="22" t="b">
        <f t="shared" ref="L280:R280" si="276">T280&lt;&gt;""</f>
        <v>1</v>
      </c>
      <c r="M280" s="22" t="b">
        <f t="shared" si="276"/>
        <v>1</v>
      </c>
      <c r="N280" s="22" t="b">
        <f t="shared" si="276"/>
        <v>1</v>
      </c>
      <c r="O280" s="22" t="b">
        <f t="shared" si="276"/>
        <v>1</v>
      </c>
      <c r="P280" s="22" t="b">
        <f t="shared" si="276"/>
        <v>0</v>
      </c>
      <c r="Q280" s="22" t="b">
        <f t="shared" si="276"/>
        <v>0</v>
      </c>
      <c r="R280" s="22" t="b">
        <f t="shared" si="276"/>
        <v>0</v>
      </c>
      <c r="S280" s="43"/>
      <c r="T280" s="43" t="str">
        <f>IFERROR(VLOOKUP( C280,'1С'!A:B,2,0)," ")</f>
        <v>CC101100441</v>
      </c>
      <c r="U280" s="22" t="str">
        <f>IFERROR(VLOOKUP(T280,'Лист4'!C:I,3,0)," ")</f>
        <v>vetonus_100ml</v>
      </c>
      <c r="V280" s="22" t="str">
        <f>IFERROR(VLOOKUP(T280,'Лист4'!C:I,4,0)," ")</f>
        <v>vetonus_100ml</v>
      </c>
      <c r="W280" s="22" t="str">
        <f>IFERROR(VLOOKUP(T280,'Лист4'!C:I,5,0)," ")</f>
        <v>vetonus_100ml</v>
      </c>
      <c r="X280" s="43" t="str">
        <f>IFERROR(VLOOKUP(T280,'Лист4'!C:I,7,0)," ")</f>
        <v/>
      </c>
      <c r="Y280" s="43" t="str">
        <f>IFERROR(VLOOKUP(T280,'Лист4'!C:I,6,0)," ")</f>
        <v/>
      </c>
      <c r="Z280" s="43"/>
      <c r="AA280" s="43"/>
      <c r="AB280" s="22">
        <v>2.02337451E8</v>
      </c>
      <c r="AC280" s="22">
        <v>1.403753693E9</v>
      </c>
      <c r="AD280" s="22">
        <v>1.03515789506E11</v>
      </c>
      <c r="AE280" s="22"/>
      <c r="AF280" s="22"/>
      <c r="AG280" s="43"/>
      <c r="AH280" s="43"/>
      <c r="AI280" s="43" t="str">
        <f>IFERROR(VLOOKUP(T280,'1С'!B:C,2,0)," ")</f>
        <v>Крем от варикоза Ветонус, CPA, 100 мл</v>
      </c>
      <c r="AJ280" s="22" t="s">
        <v>4354</v>
      </c>
      <c r="AK280" s="22" t="s">
        <v>4355</v>
      </c>
      <c r="AL280" s="22" t="s">
        <v>4356</v>
      </c>
      <c r="AM280" s="43"/>
      <c r="AN280" s="43"/>
      <c r="AO280" s="43"/>
      <c r="AP280" s="43"/>
      <c r="AQ280" s="46" t="s">
        <v>4357</v>
      </c>
      <c r="AR280" s="46" t="s">
        <v>4358</v>
      </c>
      <c r="AS280" s="46" t="s">
        <v>4359</v>
      </c>
      <c r="AT280" s="43"/>
      <c r="AU280" s="43"/>
      <c r="AV280" s="43"/>
      <c r="AW280" s="43"/>
      <c r="AX280" s="22" t="s">
        <v>3445</v>
      </c>
      <c r="AY280" s="22" t="s">
        <v>4355</v>
      </c>
      <c r="AZ280" s="22" t="s">
        <v>4360</v>
      </c>
      <c r="BA280" s="43"/>
      <c r="BB280" s="43"/>
      <c r="BC280" s="43"/>
      <c r="BD280" s="43"/>
      <c r="BE280" s="43"/>
      <c r="BF280" s="22" t="str">
        <f>IFERROR(VLOOKUP(C280,'спецификация'!B:D,3,0)," ")</f>
        <v>4699373565016
4660417421407</v>
      </c>
      <c r="BG280" s="22">
        <v>3.30499E9</v>
      </c>
      <c r="BH280" s="22" t="str">
        <f>IFERROR(VLOOKUP(C280,'спецификация'!B:AA,5,0)," ")</f>
        <v>ЕАЭС N RU Д-RU.PA08.B.30783/22 от 17.11.2022 до 16.11.2027</v>
      </c>
      <c r="BI280" s="22"/>
      <c r="BJ280" s="22" t="str">
        <f>IFERROR(VLOOKUP(C280,'спецификация'!B:AA,6,0)," ")</f>
        <v/>
      </c>
      <c r="BK280" s="43"/>
      <c r="BL280" s="43"/>
      <c r="BM280" s="22" t="str">
        <f>IFERROR(VLOOKUP(BF280,'спецификация'!D:H,5,0)," ")</f>
        <v>вода, гирудин, экстракт трехцветной фиалки, донник лекарственный, экстракт липы, экстракт календулы, экстракт каштана, троксерутин, карбомер, тэа, феноксиэтанол, этилгексилглицерин.</v>
      </c>
      <c r="BN280" s="43"/>
      <c r="BO280" s="22" t="str">
        <f>IFERROR(VLOOKUP(C280,'спецификация'!B:AA,10,0)," ")</f>
        <v/>
      </c>
      <c r="BP280" s="43" t="str">
        <f>IFERROR(VLOOKUP(C280,'спецификация'!B:AA,11,0)," ")</f>
        <v>индивидуальная непереносимость компонентов продукта, беременность, кормление грудью. </v>
      </c>
      <c r="BQ280" s="22" t="str">
        <f>IFERROR(VLOOKUP(C280,'спецификация'!B:AA,12,0)," ")</f>
        <v>хранить в оригинальной упаковке, в защищенном от прямых солнечных лучей и недоступном для детей месте при температуре не выше 25°С.</v>
      </c>
      <c r="BR280" s="22">
        <v>100.0</v>
      </c>
      <c r="BS280" s="22" t="s">
        <v>139</v>
      </c>
      <c r="BT280" s="22"/>
      <c r="BU280" s="22"/>
      <c r="BV280" s="22"/>
      <c r="BW280" s="45" t="str">
        <f>IFERROR(VLOOKUP(C280,'спецификация'!B:AA,16,0)," ")</f>
        <v/>
      </c>
      <c r="BX280" s="43"/>
      <c r="BY280" s="43"/>
      <c r="BZ280" s="45" t="str">
        <f>IFERROR(VLOOKUP(BF280,'спецификация'!D:Y,22,0)," ")</f>
        <v/>
      </c>
      <c r="CA280" s="43"/>
      <c r="CB280" s="43"/>
      <c r="CC280" s="43"/>
      <c r="CD280" s="43"/>
      <c r="CE280" s="43"/>
      <c r="CF280" s="43"/>
      <c r="CG280" s="49">
        <f>IFERROR(VLOOKUP(C280,CC!A:D,4,0)," ")</f>
        <v>168.6</v>
      </c>
      <c r="CH280" s="22" t="str">
        <f>IFERROR(VLOOKUP(C280,'спецификация'!B:AA,19,0)," ")</f>
        <v/>
      </c>
      <c r="CI280" s="22"/>
      <c r="CJ280" s="43"/>
      <c r="CK280" s="22">
        <f>IFERROR(VLOOKUP(C280,CC!K:M,3,0)," ")</f>
        <v>45</v>
      </c>
      <c r="CL280" s="43"/>
      <c r="CM280" s="43"/>
      <c r="CN280" s="43"/>
      <c r="CO280" s="43"/>
      <c r="CP280" s="43"/>
      <c r="CQ280" s="43"/>
      <c r="CR280" s="43"/>
      <c r="CS280" s="43" t="b">
        <v>0</v>
      </c>
      <c r="CT280" s="43" t="b">
        <v>0</v>
      </c>
      <c r="CU280" s="43" t="b">
        <v>0</v>
      </c>
      <c r="CV280" s="43" t="b">
        <v>0</v>
      </c>
      <c r="CW280" s="43"/>
      <c r="CX280" s="43"/>
      <c r="CY280" s="43"/>
      <c r="CZ280" s="43"/>
      <c r="DA280" s="43"/>
      <c r="DB280" s="43"/>
      <c r="DC280" s="43"/>
      <c r="DD280" s="22">
        <f>IFERROR(VLOOKUP($C280,'Лист4'!$D:$AI,27,0)," ")</f>
        <v>4</v>
      </c>
      <c r="DE280" s="22">
        <f>IFERROR(VLOOKUP($C280,'Лист4'!$D:$AI,28,0)," ")</f>
        <v>14</v>
      </c>
      <c r="DF280" s="22">
        <f>IFERROR(VLOOKUP($C280,'Лист4'!$D:$AI,29,0)," ")</f>
        <v>4</v>
      </c>
      <c r="DG280" s="22">
        <f t="shared" si="3"/>
        <v>224</v>
      </c>
      <c r="DH280" s="22">
        <f>IFERROR(VLOOKUP($C280,'Лист4'!$D:$AI,32,0)," ")</f>
        <v>0.13</v>
      </c>
      <c r="DI280" s="22"/>
      <c r="DJ280" s="22"/>
      <c r="DK280" s="22"/>
      <c r="DL280" s="22"/>
      <c r="DM280" s="22"/>
      <c r="DN280" s="22"/>
      <c r="DO280" s="22"/>
      <c r="DP280" s="22"/>
      <c r="DQ280" s="22"/>
      <c r="DR280" s="22"/>
      <c r="DS280" s="22"/>
      <c r="DT280" s="22"/>
      <c r="DU280" s="22"/>
      <c r="DV280" s="22"/>
      <c r="DW280" s="22"/>
      <c r="DX280" s="22"/>
      <c r="DY280" s="22"/>
      <c r="DZ280" s="22"/>
      <c r="EA280" s="22"/>
      <c r="EB280" s="22"/>
      <c r="EC280" s="22"/>
      <c r="ED280" s="22"/>
      <c r="EE280" s="22"/>
      <c r="EF280" s="22"/>
      <c r="EG280" s="22"/>
      <c r="EH280" s="22"/>
      <c r="EI280" s="22"/>
      <c r="EJ280" s="22"/>
      <c r="EK280" s="22"/>
      <c r="EL280" s="22"/>
      <c r="EM280" s="43"/>
      <c r="EN280" s="43"/>
      <c r="EO280" s="43"/>
      <c r="EP280" s="43"/>
      <c r="EQ280" s="43"/>
      <c r="ER280" s="43"/>
      <c r="ES280" s="43"/>
      <c r="ET280" s="43"/>
      <c r="EU280" s="43"/>
      <c r="EV280" s="43"/>
      <c r="EW280" s="43"/>
      <c r="EX280" s="43"/>
      <c r="EY280" s="43"/>
      <c r="EZ280" s="43"/>
      <c r="FA280" s="43"/>
      <c r="FB280" s="43"/>
      <c r="FC280" s="43"/>
    </row>
    <row r="281" ht="18.0" customHeight="1">
      <c r="A281" s="2"/>
      <c r="B281" s="22" t="str">
        <f>IFERROR(VLOOKUP(C281,'Реестр'!C:AC,27,0)," ")</f>
        <v>Смарт-Сэйл</v>
      </c>
      <c r="C281" s="43" t="s">
        <v>4364</v>
      </c>
      <c r="D281" s="22" t="str">
        <f>IFERROR(VLOOKUP(C281,'Лист4'!D:P,13,0)," ")</f>
        <v>Алтея</v>
      </c>
      <c r="E281" s="22" t="str">
        <f>IF(OR(ISERROR(VLOOKUP(C281,'Актуальность'!A:B,2,0)), VLOOKUP(C281,'Актуальность'!A:B,2,0)=""), "Актуальный", VLOOKUP(C281,'Актуальность'!A:B,2,0))</f>
        <v>Актуальный</v>
      </c>
      <c r="F281" s="43" t="str">
        <f>IFERROR(VLOOKUP(C281,'Актуальность'!A:C,3,0)," ")</f>
        <v/>
      </c>
      <c r="G281" s="43"/>
      <c r="H281" s="22" t="s">
        <v>2743</v>
      </c>
      <c r="I281" s="22" t="s">
        <v>4366</v>
      </c>
      <c r="J281" s="43"/>
      <c r="K281" s="43"/>
      <c r="L281" s="22" t="b">
        <f t="shared" ref="L281:R281" si="277">T281&lt;&gt;""</f>
        <v>1</v>
      </c>
      <c r="M281" s="22" t="b">
        <f t="shared" si="277"/>
        <v>1</v>
      </c>
      <c r="N281" s="22" t="b">
        <f t="shared" si="277"/>
        <v>1</v>
      </c>
      <c r="O281" s="22" t="b">
        <f t="shared" si="277"/>
        <v>1</v>
      </c>
      <c r="P281" s="22" t="b">
        <f t="shared" si="277"/>
        <v>1</v>
      </c>
      <c r="Q281" s="22" t="b">
        <f t="shared" si="277"/>
        <v>1</v>
      </c>
      <c r="R281" s="22" t="b">
        <f t="shared" si="277"/>
        <v>0</v>
      </c>
      <c r="S281" s="43"/>
      <c r="T281" s="43" t="str">
        <f>IFERROR(VLOOKUP( C281,'1С'!A:B,2,0)," ")</f>
        <v>AC101100439</v>
      </c>
      <c r="U281" s="22" t="str">
        <f>IFERROR(VLOOKUP(T281,'Лист4'!C:I,3,0)," ")</f>
        <v>kremshelk_100ml</v>
      </c>
      <c r="V281" s="22" t="str">
        <f>IFERROR(VLOOKUP(T281,'Лист4'!C:I,4,0)," ")</f>
        <v>kremshelk_100ml</v>
      </c>
      <c r="W281" s="22" t="str">
        <f>IFERROR(VLOOKUP(T281,'Лист4'!C:I,5,0)," ")</f>
        <v>kremshelk_100ml</v>
      </c>
      <c r="X281" s="43" t="str">
        <f>IFERROR(VLOOKUP(T281,'Лист4'!C:I,7,0)," ")</f>
        <v>kremshelk_100ml</v>
      </c>
      <c r="Y281" s="43" t="str">
        <f>IFERROR(VLOOKUP(T281,'Лист4'!C:I,6,0)," ")</f>
        <v>kremshelk_100ml</v>
      </c>
      <c r="Z281" s="43"/>
      <c r="AA281" s="43"/>
      <c r="AB281" s="22">
        <v>2.05074596E8</v>
      </c>
      <c r="AC281" s="22">
        <v>1.413566896E9</v>
      </c>
      <c r="AD281" s="22">
        <v>1.03515399743E11</v>
      </c>
      <c r="AE281" s="22">
        <v>9.9000076225E10</v>
      </c>
      <c r="AF281" s="22" t="s">
        <v>4368</v>
      </c>
      <c r="AG281" s="43"/>
      <c r="AH281" s="43"/>
      <c r="AI281" s="43" t="str">
        <f>IFERROR(VLOOKUP(T281,'1С'!B:C,2,0)," ")</f>
        <v>Крем для пяток с мочевиной, Алтея, 100 мл</v>
      </c>
      <c r="AJ281" s="22" t="s">
        <v>4369</v>
      </c>
      <c r="AK281" s="22" t="s">
        <v>4370</v>
      </c>
      <c r="AL281" s="22" t="s">
        <v>4371</v>
      </c>
      <c r="AM281" s="22" t="s">
        <v>4372</v>
      </c>
      <c r="AN281" s="22" t="s">
        <v>4373</v>
      </c>
      <c r="AO281" s="43"/>
      <c r="AP281" s="43"/>
      <c r="AQ281" s="46" t="s">
        <v>4374</v>
      </c>
      <c r="AR281" s="46" t="s">
        <v>4375</v>
      </c>
      <c r="AS281" s="46" t="s">
        <v>4376</v>
      </c>
      <c r="AT281" s="46" t="s">
        <v>4377</v>
      </c>
      <c r="AU281" s="46" t="s">
        <v>4378</v>
      </c>
      <c r="AV281" s="43"/>
      <c r="AW281" s="43"/>
      <c r="AX281" s="22" t="s">
        <v>594</v>
      </c>
      <c r="AY281" s="22" t="s">
        <v>4370</v>
      </c>
      <c r="AZ281" s="22" t="s">
        <v>4360</v>
      </c>
      <c r="BA281" s="22" t="s">
        <v>1834</v>
      </c>
      <c r="BB281" s="22" t="s">
        <v>3083</v>
      </c>
      <c r="BC281" s="43"/>
      <c r="BD281" s="43"/>
      <c r="BE281" s="43"/>
      <c r="BF281" s="22" t="str">
        <f>IFERROR(VLOOKUP(C281,'спецификация'!B:D,3,0)," ")</f>
        <v>4670020498437
4611113000977 (старый)</v>
      </c>
      <c r="BG281" s="22">
        <v>3.30499E9</v>
      </c>
      <c r="BH281" s="22" t="str">
        <f>IFERROR(VLOOKUP(C281,'спецификация'!B:AA,5,0)," ")</f>
        <v>ЕАЭС N RU Д-RU.PA01.B.17104/25 от 17.01.2025 по 17.01.2032</v>
      </c>
      <c r="BI281" s="22"/>
      <c r="BJ281" s="22" t="str">
        <f>IFERROR(VLOOKUP(C281,'спецификация'!B:AA,6,0)," ")</f>
        <v>нет</v>
      </c>
      <c r="BK281" s="43"/>
      <c r="BL281" s="43"/>
      <c r="BM281" s="22" t="str">
        <f>IFERROR(VLOOKUP(BF281,'спецификация'!D:H,5,0)," ")</f>
        <v>Aqua, Urea, Cetyl Alcohol, Stearyl Alcohol, Mineral Oil, , Isopropyl palmitate, Glyceryl Monostearate, Glycerin, Ceteareth-20, Ceteareth-12, Cetearyl Alcohol, Cetyl Palmitate, Allantoin, Cocos nucifera (coconut) oil, Vitis Vinifera (Grape) Seed Oil, Phenoxyethanol, Methylparaben, Ethylparaben, Propylparaben, Propylene Glycol, Camellia Sinensis Leaf Extract, Parfum, Calendula Officinalis Flower Extract.</v>
      </c>
      <c r="BN281" s="43"/>
      <c r="BO281" s="22" t="str">
        <f>IFERROR(VLOOKUP(C281,'спецификация'!B:AA,10,0)," ")</f>
        <v>Небольшое количество продукта нанести на предварительно очищенную кожу ног и распределить массажными движениями до полного впитывания.</v>
      </c>
      <c r="BP281" s="43" t="str">
        <f>IFERROR(VLOOKUP(C281,'спецификация'!B:AA,11,0)," ")</f>
        <v>Только для наружного применения. при попадании в глаза тщательно промыть водой.</v>
      </c>
      <c r="BQ281" s="22" t="str">
        <f>IFERROR(VLOOKUP(C281,'спецификация'!B:AA,12,0)," ")</f>
        <v>Хранить при температуре не ниже 0˚С и не выше 25˚ Не допускается хранить продукцию под непосредственным воздействием солнечного света и вблизи отопительных приборов. </v>
      </c>
      <c r="BR281" s="22">
        <v>100.0</v>
      </c>
      <c r="BS281" s="22" t="s">
        <v>139</v>
      </c>
      <c r="BT281" s="22"/>
      <c r="BU281" s="22"/>
      <c r="BV281" s="22" t="s">
        <v>307</v>
      </c>
      <c r="BW281" s="44" t="str">
        <f>IFERROR(VLOOKUP(C281,'спецификация'!B:AA,16,0)," ")</f>
        <v>https://docs.google.com/document/d/1Ke2Youh4VX0Zim_68v3DBBPvL3ht7hnm/edit?usp=drive_web&amp;ouid=104241417680089502627&amp;rtpof=true</v>
      </c>
      <c r="BX281" s="43"/>
      <c r="BY281" s="43"/>
      <c r="BZ281" s="45" t="str">
        <f>IFERROR(VLOOKUP(BF281,'спецификация'!D:Y,22,0)," ")</f>
        <v/>
      </c>
      <c r="CA281" s="43"/>
      <c r="CB281" s="43"/>
      <c r="CC281" s="43"/>
      <c r="CD281" s="43"/>
      <c r="CE281" s="43"/>
      <c r="CF281" s="43"/>
      <c r="CG281" s="49">
        <f>IFERROR(VLOOKUP(C281,CC!A:D,4,0)," ")</f>
        <v>88</v>
      </c>
      <c r="CH281" s="22" t="str">
        <f>IFERROR(VLOOKUP(C281,'спецификация'!B:AA,19,0)," ")</f>
        <v>ООО Алтэя</v>
      </c>
      <c r="CI281" s="22"/>
      <c r="CJ281" s="43"/>
      <c r="CK281" s="22">
        <f>IFERROR(VLOOKUP(C281,CC!K:M,3,0)," ")</f>
        <v>90</v>
      </c>
      <c r="CL281" s="43"/>
      <c r="CM281" s="43"/>
      <c r="CN281" s="43"/>
      <c r="CO281" s="43"/>
      <c r="CP281" s="43"/>
      <c r="CQ281" s="43"/>
      <c r="CR281" s="43"/>
      <c r="CS281" s="43" t="b">
        <v>0</v>
      </c>
      <c r="CT281" s="43" t="b">
        <v>0</v>
      </c>
      <c r="CU281" s="43" t="b">
        <v>0</v>
      </c>
      <c r="CV281" s="43" t="b">
        <v>0</v>
      </c>
      <c r="CW281" s="43"/>
      <c r="CX281" s="43"/>
      <c r="CY281" s="43"/>
      <c r="CZ281" s="43"/>
      <c r="DA281" s="43"/>
      <c r="DB281" s="43"/>
      <c r="DC281" s="43"/>
      <c r="DD281" s="22">
        <f>IFERROR(VLOOKUP($C281,'Лист4'!$D:$AI,27,0)," ")</f>
        <v>6</v>
      </c>
      <c r="DE281" s="22">
        <f>IFERROR(VLOOKUP($C281,'Лист4'!$D:$AI,28,0)," ")</f>
        <v>4</v>
      </c>
      <c r="DF281" s="22">
        <f>IFERROR(VLOOKUP($C281,'Лист4'!$D:$AI,29,0)," ")</f>
        <v>6</v>
      </c>
      <c r="DG281" s="22">
        <f t="shared" si="3"/>
        <v>144</v>
      </c>
      <c r="DH281" s="22">
        <f>IFERROR(VLOOKUP($C281,'Лист4'!$D:$AI,32,0)," ")</f>
        <v>0.116</v>
      </c>
      <c r="DI281" s="22"/>
      <c r="DJ281" s="22"/>
      <c r="DK281" s="22"/>
      <c r="DL281" s="22"/>
      <c r="DM281" s="22"/>
      <c r="DN281" s="22"/>
      <c r="DO281" s="22"/>
      <c r="DP281" s="22"/>
      <c r="DQ281" s="22"/>
      <c r="DR281" s="22"/>
      <c r="DS281" s="22"/>
      <c r="DT281" s="22"/>
      <c r="DU281" s="22"/>
      <c r="DV281" s="22"/>
      <c r="DW281" s="22"/>
      <c r="DX281" s="22"/>
      <c r="DY281" s="22"/>
      <c r="DZ281" s="22"/>
      <c r="EA281" s="22"/>
      <c r="EB281" s="22"/>
      <c r="EC281" s="22"/>
      <c r="ED281" s="22"/>
      <c r="EE281" s="22"/>
      <c r="EF281" s="22"/>
      <c r="EG281" s="22"/>
      <c r="EH281" s="22"/>
      <c r="EI281" s="22"/>
      <c r="EJ281" s="22"/>
      <c r="EK281" s="22"/>
      <c r="EL281" s="22"/>
      <c r="EM281" s="43"/>
      <c r="EN281" s="43"/>
      <c r="EO281" s="43"/>
      <c r="EP281" s="43"/>
      <c r="EQ281" s="43"/>
      <c r="ER281" s="43"/>
      <c r="ES281" s="43"/>
      <c r="ET281" s="43"/>
      <c r="EU281" s="43"/>
      <c r="EV281" s="43"/>
      <c r="EW281" s="43"/>
      <c r="EX281" s="43"/>
      <c r="EY281" s="43"/>
      <c r="EZ281" s="43"/>
      <c r="FA281" s="43"/>
      <c r="FB281" s="43"/>
      <c r="FC281" s="43"/>
    </row>
    <row r="282" ht="18.0" customHeight="1">
      <c r="A282" s="2"/>
      <c r="B282" s="22" t="str">
        <f>IFERROR(VLOOKUP(C282,'Реестр'!C:AC,27,0)," ")</f>
        <v>Смарт-Сэйл</v>
      </c>
      <c r="C282" s="43" t="s">
        <v>4388</v>
      </c>
      <c r="D282" s="22" t="str">
        <f>IFERROR(VLOOKUP(C282,'Лист4'!D:P,13,0)," ")</f>
        <v>Алтея</v>
      </c>
      <c r="E282" s="22" t="str">
        <f>IF(OR(ISERROR(VLOOKUP(C282,'Актуальность'!A:B,2,0)), VLOOKUP(C282,'Актуальность'!A:B,2,0)=""), "Актуальный", VLOOKUP(C282,'Актуальность'!A:B,2,0))</f>
        <v>Вывод</v>
      </c>
      <c r="F282" s="43" t="str">
        <f>IFERROR(VLOOKUP(C282,'Актуальность'!A:C,3,0)," ")</f>
        <v>Пробный набор / не пошел</v>
      </c>
      <c r="G282" s="43"/>
      <c r="H282" s="22" t="s">
        <v>2743</v>
      </c>
      <c r="I282" s="22" t="s">
        <v>2783</v>
      </c>
      <c r="J282" s="43"/>
      <c r="K282" s="43"/>
      <c r="L282" s="22" t="b">
        <f t="shared" ref="L282:R282" si="278">T282&lt;&gt;""</f>
        <v>1</v>
      </c>
      <c r="M282" s="22" t="b">
        <f t="shared" si="278"/>
        <v>1</v>
      </c>
      <c r="N282" s="22" t="b">
        <f t="shared" si="278"/>
        <v>1</v>
      </c>
      <c r="O282" s="22" t="b">
        <f t="shared" si="278"/>
        <v>1</v>
      </c>
      <c r="P282" s="22" t="b">
        <f t="shared" si="278"/>
        <v>0</v>
      </c>
      <c r="Q282" s="22" t="b">
        <f t="shared" si="278"/>
        <v>0</v>
      </c>
      <c r="R282" s="22" t="b">
        <f t="shared" si="278"/>
        <v>0</v>
      </c>
      <c r="S282" s="43"/>
      <c r="T282" s="43" t="str">
        <f>IFERROR(VLOOKUP( C282,'1С'!A:B,2,0)," ")</f>
        <v>AC101100402</v>
      </c>
      <c r="U282" s="22" t="str">
        <f>IFERROR(VLOOKUP(T282,'Лист4'!C:I,3,0)," ")</f>
        <v>alteya_beauty_brows_box</v>
      </c>
      <c r="V282" s="22" t="str">
        <f>IFERROR(VLOOKUP(T282,'Лист4'!C:I,4,0)," ")</f>
        <v>alteya_beauty_brows_box</v>
      </c>
      <c r="W282" s="22" t="str">
        <f>IFERROR(VLOOKUP(T282,'Лист4'!C:I,5,0)," ")</f>
        <v>alteya_beauty_brows_box</v>
      </c>
      <c r="X282" s="43" t="str">
        <f>IFERROR(VLOOKUP(T282,'Лист4'!C:I,7,0)," ")</f>
        <v/>
      </c>
      <c r="Y282" s="43" t="str">
        <f>IFERROR(VLOOKUP(T282,'Лист4'!C:I,6,0)," ")</f>
        <v/>
      </c>
      <c r="Z282" s="43"/>
      <c r="AA282" s="43"/>
      <c r="AB282" s="22">
        <v>3.05018458E8</v>
      </c>
      <c r="AC282" s="22">
        <v>1.805983376E9</v>
      </c>
      <c r="AD282" s="22">
        <v>1.03710294907E11</v>
      </c>
      <c r="AE282" s="22"/>
      <c r="AF282" s="22"/>
      <c r="AG282" s="43"/>
      <c r="AH282" s="43"/>
      <c r="AI282" s="43" t="str">
        <f>IFERROR(VLOOKUP(T282,'1С'!B:C,2,0)," ")</f>
        <v>Набор Гель для бровей, Алтея, 6 мл, Сыворотка для роста ресниц и бровей, Алтея, 6 мл</v>
      </c>
      <c r="AJ282" s="22" t="s">
        <v>4392</v>
      </c>
      <c r="AK282" s="22" t="s">
        <v>4393</v>
      </c>
      <c r="AL282" s="22" t="s">
        <v>4394</v>
      </c>
      <c r="AM282" s="43"/>
      <c r="AN282" s="43"/>
      <c r="AO282" s="43"/>
      <c r="AP282" s="43"/>
      <c r="AQ282" s="46" t="s">
        <v>4395</v>
      </c>
      <c r="AR282" s="46" t="s">
        <v>4396</v>
      </c>
      <c r="AS282" s="46" t="s">
        <v>4397</v>
      </c>
      <c r="AT282" s="43"/>
      <c r="AU282" s="43"/>
      <c r="AV282" s="43"/>
      <c r="AW282" s="43"/>
      <c r="AX282" s="22" t="s">
        <v>3835</v>
      </c>
      <c r="AY282" s="22" t="s">
        <v>4393</v>
      </c>
      <c r="AZ282" s="22" t="s">
        <v>3215</v>
      </c>
      <c r="BA282" s="43"/>
      <c r="BB282" s="43"/>
      <c r="BC282" s="43"/>
      <c r="BD282" s="43"/>
      <c r="BE282" s="43"/>
      <c r="BF282" s="22">
        <f>IFERROR(VLOOKUP(C282,'спецификация'!B:D,3,0)," ")</f>
        <v>4646784974555</v>
      </c>
      <c r="BG282" s="22">
        <v>3.30499E9</v>
      </c>
      <c r="BH282" s="22" t="str">
        <f>IFERROR(VLOOKUP(C282,'спецификация'!B:AA,5,0)," ")</f>
        <v/>
      </c>
      <c r="BI282" s="22"/>
      <c r="BJ282" s="22" t="str">
        <f>IFERROR(VLOOKUP(C282,'спецификация'!B:AA,6,0)," ")</f>
        <v>нет</v>
      </c>
      <c r="BK282" s="43"/>
      <c r="BL282" s="43"/>
      <c r="BM282" s="22" t="str">
        <f>IFERROR(VLOOKUP(BF282,'спецификация'!D:H,5,0)," ")</f>
        <v>gel_dlya_brovei_6ml+syvorotka_dlya_rosta_6ml</v>
      </c>
      <c r="BN282" s="43"/>
      <c r="BO282" s="22" t="str">
        <f>IFERROR(VLOOKUP(C282,'спецификация'!B:AA,10,0)," ")</f>
        <v>1. Нанесите сыворотку на чистую кожу вокруг бровей и на ресницы каждый вечер перед сном.
2. Утром используйте гель для фиксации бровей, чтобы придать им желаемую форму и стойкость.</v>
      </c>
      <c r="BP282" s="43" t="str">
        <f>IFERROR(VLOOKUP(C282,'спецификация'!B:AA,11,0)," ")</f>
        <v>избегать попадания в глаза. При попадании
промыть водой. При необходимости обратиться к врачу.</v>
      </c>
      <c r="BQ282" s="22" t="str">
        <f>IFERROR(VLOOKUP(C282,'спецификация'!B:AA,12,0)," ")</f>
        <v>при t от +5°C до + 25°C, вдали от солнечных лучей и нагревательных приборов.</v>
      </c>
      <c r="BR282" s="22"/>
      <c r="BS282" s="43"/>
      <c r="BT282" s="43"/>
      <c r="BU282" s="22"/>
      <c r="BV282" s="22" t="s">
        <v>307</v>
      </c>
      <c r="BW282" s="45" t="str">
        <f>IFERROR(VLOOKUP(C282,'спецификация'!B:AA,16,0)," ")</f>
        <v/>
      </c>
      <c r="BX282" s="43"/>
      <c r="BY282" s="43"/>
      <c r="BZ282" s="45" t="str">
        <f>IFERROR(VLOOKUP(BF282,'спецификация'!D:Y,22,0)," ")</f>
        <v/>
      </c>
      <c r="CA282" s="43"/>
      <c r="CB282" s="43"/>
      <c r="CC282" s="43"/>
      <c r="CD282" s="43"/>
      <c r="CE282" s="43"/>
      <c r="CF282" s="43"/>
      <c r="CG282" s="49">
        <f>IFERROR(VLOOKUP(C282,CC!A:D,4,0)," ")</f>
        <v>149</v>
      </c>
      <c r="CH282" s="22" t="str">
        <f>IFERROR(VLOOKUP(C282,'спецификация'!B:AA,19,0)," ")</f>
        <v/>
      </c>
      <c r="CI282" s="22"/>
      <c r="CJ282" s="22"/>
      <c r="CK282" s="22">
        <f>IFERROR(VLOOKUP(C282,CC!K:M,3,0)," ")</f>
        <v>60</v>
      </c>
      <c r="CL282" s="43"/>
      <c r="CM282" s="43"/>
      <c r="CN282" s="43"/>
      <c r="CO282" s="43"/>
      <c r="CP282" s="43"/>
      <c r="CQ282" s="43"/>
      <c r="CR282" s="43"/>
      <c r="CS282" s="43" t="b">
        <v>0</v>
      </c>
      <c r="CT282" s="43" t="b">
        <v>0</v>
      </c>
      <c r="CU282" s="43" t="b">
        <v>0</v>
      </c>
      <c r="CV282" s="43" t="b">
        <v>0</v>
      </c>
      <c r="CW282" s="43"/>
      <c r="CX282" s="43"/>
      <c r="CY282" s="43"/>
      <c r="CZ282" s="43"/>
      <c r="DA282" s="43"/>
      <c r="DB282" s="43"/>
      <c r="DC282" s="43"/>
      <c r="DD282" s="22">
        <f>IFERROR(VLOOKUP($C282,'Лист4'!$D:$AI,27,0)," ")</f>
        <v>9</v>
      </c>
      <c r="DE282" s="22">
        <f>IFERROR(VLOOKUP($C282,'Лист4'!$D:$AI,28,0)," ")</f>
        <v>15</v>
      </c>
      <c r="DF282" s="22">
        <f>IFERROR(VLOOKUP($C282,'Лист4'!$D:$AI,29,0)," ")</f>
        <v>9</v>
      </c>
      <c r="DG282" s="22">
        <f t="shared" si="3"/>
        <v>1215</v>
      </c>
      <c r="DH282" s="22">
        <f>IFERROR(VLOOKUP($C282,'Лист4'!$D:$AI,32,0)," ")</f>
        <v>0.06</v>
      </c>
      <c r="DI282" s="22"/>
      <c r="DJ282" s="22"/>
      <c r="DK282" s="22"/>
      <c r="DL282" s="22"/>
      <c r="DM282" s="22"/>
      <c r="DN282" s="22"/>
      <c r="DO282" s="22"/>
      <c r="DP282" s="22"/>
      <c r="DQ282" s="22"/>
      <c r="DR282" s="22"/>
      <c r="DS282" s="22"/>
      <c r="DT282" s="22"/>
      <c r="DU282" s="22"/>
      <c r="DV282" s="22"/>
      <c r="DW282" s="22"/>
      <c r="DX282" s="22"/>
      <c r="DY282" s="22"/>
      <c r="DZ282" s="22"/>
      <c r="EA282" s="22"/>
      <c r="EB282" s="22"/>
      <c r="EC282" s="22"/>
      <c r="ED282" s="22"/>
      <c r="EE282" s="22"/>
      <c r="EF282" s="22"/>
      <c r="EG282" s="22"/>
      <c r="EH282" s="22"/>
      <c r="EI282" s="22"/>
      <c r="EJ282" s="22"/>
      <c r="EK282" s="22"/>
      <c r="EL282" s="22"/>
      <c r="EM282" s="43"/>
      <c r="EN282" s="43"/>
      <c r="EO282" s="43"/>
      <c r="EP282" s="43"/>
      <c r="EQ282" s="43"/>
      <c r="ER282" s="43"/>
      <c r="ES282" s="43"/>
      <c r="ET282" s="43"/>
      <c r="EU282" s="43"/>
      <c r="EV282" s="43"/>
      <c r="EW282" s="43"/>
      <c r="EX282" s="43"/>
      <c r="EY282" s="43"/>
      <c r="EZ282" s="43"/>
      <c r="FA282" s="43"/>
      <c r="FB282" s="43"/>
      <c r="FC282" s="43"/>
    </row>
    <row r="283" ht="18.0" customHeight="1">
      <c r="A283" s="2"/>
      <c r="B283" s="22" t="str">
        <f>IFERROR(VLOOKUP(C283,'Реестр'!C:AC,27,0)," ")</f>
        <v>Смарт-Сэйл</v>
      </c>
      <c r="C283" s="43" t="s">
        <v>4401</v>
      </c>
      <c r="D283" s="22" t="str">
        <f>IFERROR(VLOOKUP(C283,'Лист4'!D:P,13,0)," ")</f>
        <v>CPA</v>
      </c>
      <c r="E283" s="22" t="str">
        <f>IF(OR(ISERROR(VLOOKUP(C283,'Актуальность'!A:B,2,0)), VLOOKUP(C283,'Актуальность'!A:B,2,0)=""), "Актуальный", VLOOKUP(C283,'Актуальность'!A:B,2,0))</f>
        <v>Актуальный</v>
      </c>
      <c r="F283" s="43" t="str">
        <f>IFERROR(VLOOKUP(C283,'Актуальность'!A:C,3,0)," ")</f>
        <v/>
      </c>
      <c r="G283" s="43"/>
      <c r="H283" s="22" t="s">
        <v>2663</v>
      </c>
      <c r="I283" s="22" t="s">
        <v>2664</v>
      </c>
      <c r="J283" s="43"/>
      <c r="K283" s="43"/>
      <c r="L283" s="22" t="b">
        <f t="shared" ref="L283:R283" si="279">T283&lt;&gt;""</f>
        <v>1</v>
      </c>
      <c r="M283" s="22" t="b">
        <f t="shared" si="279"/>
        <v>1</v>
      </c>
      <c r="N283" s="22" t="b">
        <f t="shared" si="279"/>
        <v>1</v>
      </c>
      <c r="O283" s="22" t="b">
        <f t="shared" si="279"/>
        <v>1</v>
      </c>
      <c r="P283" s="22" t="b">
        <f t="shared" si="279"/>
        <v>0</v>
      </c>
      <c r="Q283" s="22" t="b">
        <f t="shared" si="279"/>
        <v>0</v>
      </c>
      <c r="R283" s="22" t="b">
        <f t="shared" si="279"/>
        <v>0</v>
      </c>
      <c r="S283" s="43"/>
      <c r="T283" s="43" t="str">
        <f>IFERROR(VLOOKUP( C283,'1С'!A:B,2,0)," ")</f>
        <v>CC101100427</v>
      </c>
      <c r="U283" s="22" t="str">
        <f>IFERROR(VLOOKUP(T283,'Лист4'!C:I,3,0)," ")</f>
        <v>wbpantogor_1_1</v>
      </c>
      <c r="V283" s="22" t="str">
        <f>IFERROR(VLOOKUP(T283,'Лист4'!C:I,4,0)," ")</f>
        <v>wbpantogor_1_1</v>
      </c>
      <c r="W283" s="22" t="str">
        <f>IFERROR(VLOOKUP(T283,'Лист4'!C:I,5,0)," ")</f>
        <v>wbpantogor_1_1</v>
      </c>
      <c r="X283" s="43" t="str">
        <f>IFERROR(VLOOKUP(T283,'Лист4'!C:I,7,0)," ")</f>
        <v/>
      </c>
      <c r="Y283" s="43" t="str">
        <f>IFERROR(VLOOKUP(T283,'Лист4'!C:I,6,0)," ")</f>
        <v/>
      </c>
      <c r="Z283" s="43"/>
      <c r="AA283" s="43"/>
      <c r="AB283" s="22">
        <v>1.72163562E8</v>
      </c>
      <c r="AC283" s="22">
        <v>1.15457288E9</v>
      </c>
      <c r="AD283" s="22">
        <v>1.03515438901E11</v>
      </c>
      <c r="AE283" s="22"/>
      <c r="AF283" s="22"/>
      <c r="AG283" s="43"/>
      <c r="AH283" s="43"/>
      <c r="AI283" s="43" t="str">
        <f>IFERROR(VLOOKUP(T283,'1С'!B:C,2,0)," ")</f>
        <v>Мазь для суставов Пантогор , CPA, 30 мл, набор из 2 шт</v>
      </c>
      <c r="AJ283" s="22" t="s">
        <v>4303</v>
      </c>
      <c r="AK283" s="22" t="s">
        <v>4404</v>
      </c>
      <c r="AL283" s="22" t="s">
        <v>4404</v>
      </c>
      <c r="AM283" s="43"/>
      <c r="AN283" s="43"/>
      <c r="AO283" s="43"/>
      <c r="AP283" s="43"/>
      <c r="AQ283" s="46" t="s">
        <v>4405</v>
      </c>
      <c r="AR283" s="46" t="s">
        <v>4406</v>
      </c>
      <c r="AS283" s="46" t="s">
        <v>4407</v>
      </c>
      <c r="AT283" s="43"/>
      <c r="AU283" s="43"/>
      <c r="AV283" s="43"/>
      <c r="AW283" s="43"/>
      <c r="AX283" s="22" t="s">
        <v>3445</v>
      </c>
      <c r="AY283" s="22" t="s">
        <v>4404</v>
      </c>
      <c r="AZ283" s="22" t="s">
        <v>2672</v>
      </c>
      <c r="BA283" s="43"/>
      <c r="BB283" s="43"/>
      <c r="BC283" s="43"/>
      <c r="BD283" s="43"/>
      <c r="BE283" s="43"/>
      <c r="BF283" s="22">
        <f>IFERROR(VLOOKUP(C283,'спецификация'!B:D,3,0)," ")</f>
        <v>2038301488324</v>
      </c>
      <c r="BG283" s="22"/>
      <c r="BH283" s="22" t="str">
        <f>IFERROR(VLOOKUP(C283,'спецификация'!B:AA,5,0)," ")</f>
        <v>ЕАЭС N RU Д-RU.РА09.В.60972/24 от 18.10.2024 действует до 17.10.2029</v>
      </c>
      <c r="BI283" s="22"/>
      <c r="BJ283" s="22" t="str">
        <f>IFERROR(VLOOKUP(C283,'спецификация'!B:AA,6,0)," ")</f>
        <v/>
      </c>
      <c r="BK283" s="43"/>
      <c r="BL283" s="43"/>
      <c r="BM283" s="22" t="str">
        <f>IFERROR(VLOOKUP(BF283,'спецификация'!D:H,5,0)," ")</f>
        <v/>
      </c>
      <c r="BN283" s="43"/>
      <c r="BO283" s="22" t="str">
        <f>IFERROR(VLOOKUP(C283,'спецификация'!B:AA,10,0)," ")</f>
        <v/>
      </c>
      <c r="BP283" s="43" t="str">
        <f>IFERROR(VLOOKUP(C283,'спецификация'!B:AA,11,0)," ")</f>
        <v/>
      </c>
      <c r="BQ283" s="22" t="str">
        <f>IFERROR(VLOOKUP(C283,'спецификация'!B:AA,12,0)," ")</f>
        <v/>
      </c>
      <c r="BR283" s="22"/>
      <c r="BS283" s="43"/>
      <c r="BT283" s="43"/>
      <c r="BU283" s="22"/>
      <c r="BV283" s="22"/>
      <c r="BW283" s="45" t="str">
        <f>IFERROR(VLOOKUP(C283,'спецификация'!B:AA,16,0)," ")</f>
        <v/>
      </c>
      <c r="BX283" s="43"/>
      <c r="BY283" s="43"/>
      <c r="BZ283" s="45" t="str">
        <f>IFERROR(VLOOKUP(BF283,'спецификация'!D:Y,22,0)," ")</f>
        <v/>
      </c>
      <c r="CA283" s="43"/>
      <c r="CB283" s="43"/>
      <c r="CC283" s="43"/>
      <c r="CD283" s="43"/>
      <c r="CE283" s="43"/>
      <c r="CF283" s="43"/>
      <c r="CG283" s="49">
        <f>IFERROR(VLOOKUP(C283,CC!A:D,4,0)," ")</f>
        <v>257.82</v>
      </c>
      <c r="CH283" s="22" t="str">
        <f>IFERROR(VLOOKUP(C283,'спецификация'!B:AA,19,0)," ")</f>
        <v/>
      </c>
      <c r="CI283" s="22"/>
      <c r="CJ283" s="43"/>
      <c r="CK283" s="22">
        <f>IFERROR(VLOOKUP(C283,CC!K:M,3,0)," ")</f>
        <v>45</v>
      </c>
      <c r="CL283" s="43"/>
      <c r="CM283" s="43"/>
      <c r="CN283" s="43"/>
      <c r="CO283" s="43"/>
      <c r="CP283" s="43"/>
      <c r="CQ283" s="43"/>
      <c r="CR283" s="43"/>
      <c r="CS283" s="43" t="b">
        <v>0</v>
      </c>
      <c r="CT283" s="43" t="b">
        <v>0</v>
      </c>
      <c r="CU283" s="43" t="b">
        <v>0</v>
      </c>
      <c r="CV283" s="43" t="b">
        <v>0</v>
      </c>
      <c r="CW283" s="43"/>
      <c r="CX283" s="43"/>
      <c r="CY283" s="43"/>
      <c r="CZ283" s="43"/>
      <c r="DA283" s="43"/>
      <c r="DB283" s="43"/>
      <c r="DC283" s="43"/>
      <c r="DD283" s="22">
        <f>IFERROR(VLOOKUP($C283,'Лист4'!$D:$AI,27,0)," ")</f>
        <v>14</v>
      </c>
      <c r="DE283" s="22">
        <f>IFERROR(VLOOKUP($C283,'Лист4'!$D:$AI,28,0)," ")</f>
        <v>6</v>
      </c>
      <c r="DF283" s="22">
        <f>IFERROR(VLOOKUP($C283,'Лист4'!$D:$AI,29,0)," ")</f>
        <v>14</v>
      </c>
      <c r="DG283" s="22">
        <f t="shared" si="3"/>
        <v>1176</v>
      </c>
      <c r="DH283" s="22">
        <f>IFERROR(VLOOKUP($C283,'Лист4'!$D:$AI,32,0)," ")</f>
        <v>0.092</v>
      </c>
      <c r="DI283" s="22"/>
      <c r="DJ283" s="22"/>
      <c r="DK283" s="22"/>
      <c r="DL283" s="22"/>
      <c r="DM283" s="22"/>
      <c r="DN283" s="22"/>
      <c r="DO283" s="22"/>
      <c r="DP283" s="22"/>
      <c r="DQ283" s="22"/>
      <c r="DR283" s="22"/>
      <c r="DS283" s="22"/>
      <c r="DT283" s="22"/>
      <c r="DU283" s="22"/>
      <c r="DV283" s="22"/>
      <c r="DW283" s="22"/>
      <c r="DX283" s="22"/>
      <c r="DY283" s="22"/>
      <c r="DZ283" s="22"/>
      <c r="EA283" s="22"/>
      <c r="EB283" s="22"/>
      <c r="EC283" s="22"/>
      <c r="ED283" s="22"/>
      <c r="EE283" s="22"/>
      <c r="EF283" s="22"/>
      <c r="EG283" s="22"/>
      <c r="EH283" s="22"/>
      <c r="EI283" s="22"/>
      <c r="EJ283" s="22"/>
      <c r="EK283" s="22"/>
      <c r="EL283" s="22"/>
      <c r="EM283" s="43"/>
      <c r="EN283" s="43"/>
      <c r="EO283" s="43"/>
      <c r="EP283" s="43"/>
      <c r="EQ283" s="43"/>
      <c r="ER283" s="43"/>
      <c r="ES283" s="43"/>
      <c r="ET283" s="43"/>
      <c r="EU283" s="43"/>
      <c r="EV283" s="43"/>
      <c r="EW283" s="43"/>
      <c r="EX283" s="43"/>
      <c r="EY283" s="43"/>
      <c r="EZ283" s="43"/>
      <c r="FA283" s="43"/>
      <c r="FB283" s="43"/>
      <c r="FC283" s="43"/>
    </row>
    <row r="284" ht="18.0" customHeight="1">
      <c r="A284" s="2"/>
      <c r="B284" s="22" t="str">
        <f>IFERROR(VLOOKUP(C284,'Реестр'!C:AC,27,0)," ")</f>
        <v>Смарт-Сэйл</v>
      </c>
      <c r="C284" s="43" t="s">
        <v>4408</v>
      </c>
      <c r="D284" s="22" t="str">
        <f>IFERROR(VLOOKUP(C284,'Лист4'!D:P,13,0)," ")</f>
        <v>CPA</v>
      </c>
      <c r="E284" s="22" t="str">
        <f>IF(OR(ISERROR(VLOOKUP(C284,'Актуальность'!A:B,2,0)), VLOOKUP(C284,'Актуальность'!A:B,2,0)=""), "Актуальный", VLOOKUP(C284,'Актуальность'!A:B,2,0))</f>
        <v>Актуальный</v>
      </c>
      <c r="F284" s="43" t="str">
        <f>IFERROR(VLOOKUP(C284,'Актуальность'!A:C,3,0)," ")</f>
        <v/>
      </c>
      <c r="G284" s="43"/>
      <c r="H284" s="22" t="s">
        <v>2663</v>
      </c>
      <c r="I284" s="22" t="s">
        <v>2664</v>
      </c>
      <c r="J284" s="43"/>
      <c r="K284" s="43"/>
      <c r="L284" s="22" t="b">
        <f t="shared" ref="L284:R284" si="280">T284&lt;&gt;""</f>
        <v>1</v>
      </c>
      <c r="M284" s="22" t="b">
        <f t="shared" si="280"/>
        <v>1</v>
      </c>
      <c r="N284" s="22" t="b">
        <f t="shared" si="280"/>
        <v>1</v>
      </c>
      <c r="O284" s="22" t="b">
        <f t="shared" si="280"/>
        <v>1</v>
      </c>
      <c r="P284" s="22" t="b">
        <f t="shared" si="280"/>
        <v>0</v>
      </c>
      <c r="Q284" s="22" t="b">
        <f t="shared" si="280"/>
        <v>0</v>
      </c>
      <c r="R284" s="22" t="b">
        <f t="shared" si="280"/>
        <v>0</v>
      </c>
      <c r="S284" s="43"/>
      <c r="T284" s="43" t="str">
        <f>IFERROR(VLOOKUP( C284,'1С'!A:B,2,0)," ")</f>
        <v>CC101100436</v>
      </c>
      <c r="U284" s="22" t="str">
        <f>IFERROR(VLOOKUP(T284,'Лист4'!C:I,3,0)," ")</f>
        <v>osteofast</v>
      </c>
      <c r="V284" s="22" t="str">
        <f>IFERROR(VLOOKUP(T284,'Лист4'!C:I,4,0)," ")</f>
        <v>osteofast</v>
      </c>
      <c r="W284" s="22" t="str">
        <f>IFERROR(VLOOKUP(T284,'Лист4'!C:I,5,0)," ")</f>
        <v>osteofast</v>
      </c>
      <c r="X284" s="43" t="str">
        <f>IFERROR(VLOOKUP(T284,'Лист4'!C:I,7,0)," ")</f>
        <v/>
      </c>
      <c r="Y284" s="43" t="str">
        <f>IFERROR(VLOOKUP(T284,'Лист4'!C:I,6,0)," ")</f>
        <v/>
      </c>
      <c r="Z284" s="43"/>
      <c r="AA284" s="43"/>
      <c r="AB284" s="22">
        <v>2.60523262E8</v>
      </c>
      <c r="AC284" s="22">
        <v>1.691265016E9</v>
      </c>
      <c r="AD284" s="22">
        <v>1.03515406839E11</v>
      </c>
      <c r="AE284" s="22"/>
      <c r="AF284" s="22"/>
      <c r="AG284" s="43"/>
      <c r="AH284" s="43"/>
      <c r="AI284" s="43" t="str">
        <f>IFERROR(VLOOKUP(T284,'1С'!B:C,2,0)," ")</f>
        <v>Мазь для суставов Остеофаст, CPA, 30 мл, набор из 3 шт</v>
      </c>
      <c r="AJ284" s="22" t="s">
        <v>4411</v>
      </c>
      <c r="AK284" s="22" t="s">
        <v>4412</v>
      </c>
      <c r="AL284" s="22" t="s">
        <v>4412</v>
      </c>
      <c r="AM284" s="43"/>
      <c r="AN284" s="43"/>
      <c r="AO284" s="43"/>
      <c r="AP284" s="43"/>
      <c r="AQ284" s="46" t="s">
        <v>4413</v>
      </c>
      <c r="AR284" s="46" t="s">
        <v>4414</v>
      </c>
      <c r="AS284" s="46" t="s">
        <v>4415</v>
      </c>
      <c r="AT284" s="43"/>
      <c r="AU284" s="43"/>
      <c r="AV284" s="43"/>
      <c r="AW284" s="43"/>
      <c r="AX284" s="22" t="s">
        <v>594</v>
      </c>
      <c r="AY284" s="22" t="s">
        <v>4412</v>
      </c>
      <c r="AZ284" s="22" t="s">
        <v>2672</v>
      </c>
      <c r="BA284" s="43"/>
      <c r="BB284" s="43"/>
      <c r="BC284" s="43"/>
      <c r="BD284" s="43"/>
      <c r="BE284" s="43"/>
      <c r="BF284" s="22">
        <f>IFERROR(VLOOKUP(C284,'спецификация'!B:D,3,0)," ")</f>
        <v>4610030633633</v>
      </c>
      <c r="BG284" s="22">
        <v>3.30499E9</v>
      </c>
      <c r="BH284" s="22" t="str">
        <f>IFERROR(VLOOKUP(C284,'спецификация'!B:AA,5,0)," ")</f>
        <v>ЕАЭС N RU Д-RU.PA06.B.47114/24 от 26.07.2024 по 25.07.2029</v>
      </c>
      <c r="BI284" s="22"/>
      <c r="BJ284" s="22" t="str">
        <f>IFERROR(VLOOKUP(C284,'спецификация'!B:AA,6,0)," ")</f>
        <v/>
      </c>
      <c r="BK284" s="43"/>
      <c r="BL284" s="43"/>
      <c r="BM284" s="22" t="str">
        <f>IFERROR(VLOOKUP(BF284,'спецификация'!D:H,5,0)," ")</f>
        <v>вода, глицерин, пропиленгликоль, эмульгейд, эуксил PE 9010,  цетеариловый спирт, подсолнечное масло, хондроитин, глюкозамин, коллаген, панты марала, мумиё, экстракт чёрного тмина, адамова корня, сабельника, золотого уса, смолы босвеллии пильчатой, первоцвета, дьявольского когтя, каменное масло, пчелиное маточное молочко, прополис. </v>
      </c>
      <c r="BN284" s="43"/>
      <c r="BO284" s="22" t="str">
        <f>IFERROR(VLOOKUP(C284,'спецификация'!B:AA,10,0)," ")</f>
        <v/>
      </c>
      <c r="BP284" s="43" t="str">
        <f>IFERROR(VLOOKUP(C284,'спецификация'!B:AA,11,0)," ")</f>
        <v>индивидуальная непереносимость компонентов.</v>
      </c>
      <c r="BQ284" s="22" t="str">
        <f>IFERROR(VLOOKUP(C284,'спецификация'!B:AA,12,0)," ")</f>
        <v>хранить при температуре от + 5°С до + 25°С, в недоступном для детей месте.</v>
      </c>
      <c r="BR284" s="22">
        <v>30.0</v>
      </c>
      <c r="BS284" s="22" t="s">
        <v>139</v>
      </c>
      <c r="BT284" s="22"/>
      <c r="BU284" s="22"/>
      <c r="BV284" s="22"/>
      <c r="BW284" s="44" t="str">
        <f>IFERROR(VLOOKUP(C284,'спецификация'!B:AA,16,0)," ")</f>
        <v>https://docs.google.com/document/d/1I3eDzax7yHuoDI6h4JtEVPmvWw159TxL/edit</v>
      </c>
      <c r="BX284" s="43"/>
      <c r="BY284" s="43"/>
      <c r="BZ284" s="45" t="str">
        <f>IFERROR(VLOOKUP(BF284,'спецификация'!D:Y,22,0)," ")</f>
        <v/>
      </c>
      <c r="CA284" s="43"/>
      <c r="CB284" s="43"/>
      <c r="CC284" s="43"/>
      <c r="CD284" s="43"/>
      <c r="CE284" s="43"/>
      <c r="CF284" s="43"/>
      <c r="CG284" s="49">
        <f>IFERROR(VLOOKUP(C284,CC!A:D,4,0)," ")</f>
        <v>138</v>
      </c>
      <c r="CH284" s="22" t="str">
        <f>IFERROR(VLOOKUP(C284,'спецификация'!B:AA,19,0)," ")</f>
        <v>ООО "НутраФарм" 129626, Россия, г. Москва, ул. 1-я Мытищинская, д 3 стр., 1, эт/каб 3/306, к. 5А.</v>
      </c>
      <c r="CI284" s="22"/>
      <c r="CJ284" s="43"/>
      <c r="CK284" s="22">
        <f>IFERROR(VLOOKUP(C284,CC!K:M,3,0)," ")</f>
        <v>45</v>
      </c>
      <c r="CL284" s="43"/>
      <c r="CM284" s="43"/>
      <c r="CN284" s="43"/>
      <c r="CO284" s="43"/>
      <c r="CP284" s="43"/>
      <c r="CQ284" s="43"/>
      <c r="CR284" s="43"/>
      <c r="CS284" s="43" t="b">
        <v>0</v>
      </c>
      <c r="CT284" s="43" t="b">
        <v>0</v>
      </c>
      <c r="CU284" s="43" t="b">
        <v>0</v>
      </c>
      <c r="CV284" s="43" t="b">
        <v>0</v>
      </c>
      <c r="CW284" s="43"/>
      <c r="CX284" s="43"/>
      <c r="CY284" s="43"/>
      <c r="CZ284" s="43"/>
      <c r="DA284" s="43"/>
      <c r="DB284" s="43"/>
      <c r="DC284" s="43"/>
      <c r="DD284" s="22">
        <f>IFERROR(VLOOKUP($C284,'Лист4'!$D:$AI,27,0)," ")</f>
        <v>6</v>
      </c>
      <c r="DE284" s="22">
        <f>IFERROR(VLOOKUP($C284,'Лист4'!$D:$AI,28,0)," ")</f>
        <v>5</v>
      </c>
      <c r="DF284" s="22">
        <f>IFERROR(VLOOKUP($C284,'Лист4'!$D:$AI,29,0)," ")</f>
        <v>6</v>
      </c>
      <c r="DG284" s="22">
        <f t="shared" si="3"/>
        <v>180</v>
      </c>
      <c r="DH284" s="22">
        <f>IFERROR(VLOOKUP($C284,'Лист4'!$D:$AI,32,0)," ")</f>
        <v>0.048</v>
      </c>
      <c r="DI284" s="22"/>
      <c r="DJ284" s="22"/>
      <c r="DK284" s="22"/>
      <c r="DL284" s="22"/>
      <c r="DM284" s="22"/>
      <c r="DN284" s="22"/>
      <c r="DO284" s="22"/>
      <c r="DP284" s="22"/>
      <c r="DQ284" s="22"/>
      <c r="DR284" s="22"/>
      <c r="DS284" s="22"/>
      <c r="DT284" s="22"/>
      <c r="DU284" s="22"/>
      <c r="DV284" s="22"/>
      <c r="DW284" s="22"/>
      <c r="DX284" s="22"/>
      <c r="DY284" s="22"/>
      <c r="DZ284" s="22"/>
      <c r="EA284" s="22"/>
      <c r="EB284" s="22"/>
      <c r="EC284" s="22"/>
      <c r="ED284" s="22"/>
      <c r="EE284" s="22"/>
      <c r="EF284" s="22"/>
      <c r="EG284" s="22"/>
      <c r="EH284" s="22"/>
      <c r="EI284" s="22"/>
      <c r="EJ284" s="22"/>
      <c r="EK284" s="22"/>
      <c r="EL284" s="22"/>
      <c r="EM284" s="43"/>
      <c r="EN284" s="43"/>
      <c r="EO284" s="43"/>
      <c r="EP284" s="43"/>
      <c r="EQ284" s="43"/>
      <c r="ER284" s="43"/>
      <c r="ES284" s="43"/>
      <c r="ET284" s="43"/>
      <c r="EU284" s="43"/>
      <c r="EV284" s="43"/>
      <c r="EW284" s="43"/>
      <c r="EX284" s="43"/>
      <c r="EY284" s="43"/>
      <c r="EZ284" s="43"/>
      <c r="FA284" s="43"/>
      <c r="FB284" s="43"/>
      <c r="FC284" s="43"/>
    </row>
    <row r="285" ht="18.0" customHeight="1">
      <c r="A285" s="2"/>
      <c r="B285" s="22" t="str">
        <f>IFERROR(VLOOKUP(C285,'Реестр'!C:AC,27,0)," ")</f>
        <v>Смарт-Сэйл</v>
      </c>
      <c r="C285" s="43" t="s">
        <v>4422</v>
      </c>
      <c r="D285" s="22" t="str">
        <f>IFERROR(VLOOKUP(C285,'Лист4'!D:P,13,0)," ")</f>
        <v>Алтея</v>
      </c>
      <c r="E285" s="22" t="str">
        <f>IF(OR(ISERROR(VLOOKUP(C285,'Актуальность'!A:B,2,0)), VLOOKUP(C285,'Актуальность'!A:B,2,0)=""), "Актуальный", VLOOKUP(C285,'Актуальность'!A:B,2,0))</f>
        <v>Вывод</v>
      </c>
      <c r="F285" s="43" t="str">
        <f>IFERROR(VLOOKUP(C285,'Актуальность'!A:C,3,0)," ")</f>
        <v>Узкий рынок</v>
      </c>
      <c r="G285" s="43"/>
      <c r="H285" s="22" t="s">
        <v>361</v>
      </c>
      <c r="I285" s="22" t="s">
        <v>4424</v>
      </c>
      <c r="J285" s="43"/>
      <c r="K285" s="43"/>
      <c r="L285" s="22" t="b">
        <f t="shared" ref="L285:R285" si="281">T285&lt;&gt;""</f>
        <v>1</v>
      </c>
      <c r="M285" s="22" t="b">
        <f t="shared" si="281"/>
        <v>1</v>
      </c>
      <c r="N285" s="22" t="b">
        <f t="shared" si="281"/>
        <v>1</v>
      </c>
      <c r="O285" s="22" t="b">
        <f t="shared" si="281"/>
        <v>1</v>
      </c>
      <c r="P285" s="22" t="b">
        <f t="shared" si="281"/>
        <v>0</v>
      </c>
      <c r="Q285" s="22" t="b">
        <f t="shared" si="281"/>
        <v>0</v>
      </c>
      <c r="R285" s="22" t="b">
        <f t="shared" si="281"/>
        <v>0</v>
      </c>
      <c r="S285" s="43"/>
      <c r="T285" s="43" t="str">
        <f>IFERROR(VLOOKUP( C285,'1С'!A:B,2,0)," ")</f>
        <v>AB101100412</v>
      </c>
      <c r="U285" s="22" t="str">
        <f>IFERROR(VLOOKUP(T285,'Лист4'!C:I,3,0)," ")</f>
        <v>pirantoks_BAD_60caps</v>
      </c>
      <c r="V285" s="22" t="str">
        <f>IFERROR(VLOOKUP(T285,'Лист4'!C:I,4,0)," ")</f>
        <v>pirantoks_BAD_60caps</v>
      </c>
      <c r="W285" s="22" t="str">
        <f>IFERROR(VLOOKUP(T285,'Лист4'!C:I,5,0)," ")</f>
        <v>pirantoks_BAD_60caps</v>
      </c>
      <c r="X285" s="43" t="str">
        <f>IFERROR(VLOOKUP(T285,'Лист4'!C:I,7,0)," ")</f>
        <v/>
      </c>
      <c r="Y285" s="43" t="str">
        <f>IFERROR(VLOOKUP(T285,'Лист4'!C:I,6,0)," ")</f>
        <v/>
      </c>
      <c r="Z285" s="43"/>
      <c r="AA285" s="43"/>
      <c r="AB285" s="22">
        <v>1.74458749E8</v>
      </c>
      <c r="AC285" s="22">
        <v>1.171820923E9</v>
      </c>
      <c r="AD285" s="22">
        <v>1.03340891677E11</v>
      </c>
      <c r="AE285" s="22"/>
      <c r="AF285" s="22"/>
      <c r="AG285" s="43"/>
      <c r="AH285" s="43"/>
      <c r="AI285" s="43" t="str">
        <f>IFERROR(VLOOKUP(T285,'1С'!B:C,2,0)," ")</f>
        <v>БАД Пирантокс, Алтея, 60 капсул</v>
      </c>
      <c r="AJ285" s="22" t="s">
        <v>4426</v>
      </c>
      <c r="AK285" s="22" t="s">
        <v>4427</v>
      </c>
      <c r="AL285" s="22" t="s">
        <v>4428</v>
      </c>
      <c r="AM285" s="43"/>
      <c r="AN285" s="43"/>
      <c r="AO285" s="43"/>
      <c r="AP285" s="43"/>
      <c r="AQ285" s="46" t="s">
        <v>4429</v>
      </c>
      <c r="AR285" s="46" t="s">
        <v>4430</v>
      </c>
      <c r="AS285" s="46" t="s">
        <v>4431</v>
      </c>
      <c r="AT285" s="43"/>
      <c r="AU285" s="43"/>
      <c r="AV285" s="43"/>
      <c r="AW285" s="43"/>
      <c r="AX285" s="22" t="s">
        <v>960</v>
      </c>
      <c r="AY285" s="22" t="s">
        <v>4427</v>
      </c>
      <c r="AZ285" s="22" t="s">
        <v>372</v>
      </c>
      <c r="BA285" s="43"/>
      <c r="BB285" s="43"/>
      <c r="BC285" s="43"/>
      <c r="BD285" s="43"/>
      <c r="BE285" s="43"/>
      <c r="BF285" s="22">
        <f>IFERROR(VLOOKUP(C285,'спецификация'!B:D,3,0)," ")</f>
        <v>4673748455218</v>
      </c>
      <c r="BG285" s="22">
        <v>2.106909808E9</v>
      </c>
      <c r="BH285" s="22" t="str">
        <f>IFERROR(VLOOKUP(C285,'спецификация'!B:AA,5,0)," ")</f>
        <v>RU.77.99.11.003.R.003300.09.22 от 20.09.2022</v>
      </c>
      <c r="BI285" s="22"/>
      <c r="BJ285" s="22" t="str">
        <f>IFERROR(VLOOKUP(C285,'спецификация'!B:AA,6,0)," ")</f>
        <v>да</v>
      </c>
      <c r="BK285" s="43"/>
      <c r="BL285" s="43"/>
      <c r="BM285" s="22" t="str">
        <f>IFERROR(VLOOKUP(BF285,'спецификация'!D:H,5,0)," ")</f>
        <v>экстракт луковиц чеснока, экстракт цветочных почек гвоздики, капсула (желатин), экстракт цветков пижмы, экстракт листьев черного ореха, пиридоксина гидрохлорид, магниевая соль стеариновой кислоты (агент антислеживающий).</v>
      </c>
      <c r="BN285" s="43"/>
      <c r="BO285" s="22" t="str">
        <f>IFERROR(VLOOKUP(C285,'спецификация'!B:AA,10,0)," ")</f>
        <v>взрослым по 1 капсуле 2 раза в день во время еды. Продолжительность приема - 1 месяц. При необходимости прием можно повторить</v>
      </c>
      <c r="BP285" s="43" t="str">
        <f>IFERROR(VLOOKUP(C285,'спецификация'!B:AA,11,0)," ")</f>
        <v>индивидуальная непереносимость компонентов БАД, беременность, кормление грудью, язвенная болезнь желудка и двенадцатиперстной кишки</v>
      </c>
      <c r="BQ285" s="22" t="str">
        <f>IFERROR(VLOOKUP(C285,'спецификация'!B:AA,12,0)," ")</f>
        <v>хранить в сухом,защищенном от прямых солнечных лучей и недоступном для детей месте при температуре не выше +25°C</v>
      </c>
      <c r="BR285" s="22">
        <v>60.0</v>
      </c>
      <c r="BS285" s="22" t="s">
        <v>492</v>
      </c>
      <c r="BT285" s="22"/>
      <c r="BU285" s="22"/>
      <c r="BV285" s="22" t="s">
        <v>727</v>
      </c>
      <c r="BW285" s="44" t="str">
        <f>IFERROR(VLOOKUP(C285,'спецификация'!B:AA,16,0)," ")</f>
        <v>https://docs.google.com/document/d/1KtNY5L2T41X1nRsaaw1CISjy_ST7sffZ/edit?usp=drive_web&amp;ouid=104241417680089502627&amp;rtpof=true</v>
      </c>
      <c r="BX285" s="43"/>
      <c r="BY285" s="43"/>
      <c r="BZ285" s="45" t="str">
        <f>IFERROR(VLOOKUP(BF285,'спецификация'!D:Y,22,0)," ")</f>
        <v/>
      </c>
      <c r="CA285" s="43"/>
      <c r="CB285" s="43"/>
      <c r="CC285" s="43"/>
      <c r="CD285" s="43"/>
      <c r="CE285" s="43"/>
      <c r="CF285" s="43"/>
      <c r="CG285" s="49">
        <f>IFERROR(VLOOKUP(C285,CC!A:D,4,0)," ")</f>
        <v>210</v>
      </c>
      <c r="CH285" s="22" t="str">
        <f>IFERROR(VLOOKUP(C285,'спецификация'!B:AA,19,0)," ")</f>
        <v>ООО ТПК "Саморазвитие"</v>
      </c>
      <c r="CI285" s="22"/>
      <c r="CJ285" s="22" t="s">
        <v>1702</v>
      </c>
      <c r="CK285" s="22">
        <f>IFERROR(VLOOKUP(C285,CC!K:M,3,0)," ")</f>
        <v>60</v>
      </c>
      <c r="CL285" s="43"/>
      <c r="CM285" s="43"/>
      <c r="CN285" s="43"/>
      <c r="CO285" s="43"/>
      <c r="CP285" s="43"/>
      <c r="CQ285" s="43"/>
      <c r="CR285" s="43"/>
      <c r="CS285" s="43" t="b">
        <v>0</v>
      </c>
      <c r="CT285" s="43" t="b">
        <v>0</v>
      </c>
      <c r="CU285" s="43" t="b">
        <v>0</v>
      </c>
      <c r="CV285" s="43" t="b">
        <v>0</v>
      </c>
      <c r="CW285" s="43"/>
      <c r="CX285" s="43"/>
      <c r="CY285" s="43"/>
      <c r="CZ285" s="43"/>
      <c r="DA285" s="43"/>
      <c r="DB285" s="43"/>
      <c r="DC285" s="43"/>
      <c r="DD285" s="22">
        <f>IFERROR(VLOOKUP($C285,'Лист4'!$D:$AI,27,0)," ")</f>
        <v>5</v>
      </c>
      <c r="DE285" s="22">
        <f>IFERROR(VLOOKUP($C285,'Лист4'!$D:$AI,28,0)," ")</f>
        <v>5</v>
      </c>
      <c r="DF285" s="22">
        <f>IFERROR(VLOOKUP($C285,'Лист4'!$D:$AI,29,0)," ")</f>
        <v>5</v>
      </c>
      <c r="DG285" s="22">
        <f t="shared" si="3"/>
        <v>125</v>
      </c>
      <c r="DH285" s="22">
        <f>IFERROR(VLOOKUP($C285,'Лист4'!$D:$AI,32,0)," ")</f>
        <v>0.05</v>
      </c>
      <c r="DI285" s="22"/>
      <c r="DJ285" s="22"/>
      <c r="DK285" s="22"/>
      <c r="DL285" s="22"/>
      <c r="DM285" s="22"/>
      <c r="DN285" s="22"/>
      <c r="DO285" s="22"/>
      <c r="DP285" s="22"/>
      <c r="DQ285" s="22"/>
      <c r="DR285" s="22"/>
      <c r="DS285" s="22"/>
      <c r="DT285" s="22"/>
      <c r="DU285" s="22"/>
      <c r="DV285" s="22"/>
      <c r="DW285" s="22"/>
      <c r="DX285" s="22"/>
      <c r="DY285" s="22"/>
      <c r="DZ285" s="22"/>
      <c r="EA285" s="22"/>
      <c r="EB285" s="22"/>
      <c r="EC285" s="22"/>
      <c r="ED285" s="22"/>
      <c r="EE285" s="22"/>
      <c r="EF285" s="22"/>
      <c r="EG285" s="22"/>
      <c r="EH285" s="22"/>
      <c r="EI285" s="22"/>
      <c r="EJ285" s="22"/>
      <c r="EK285" s="22"/>
      <c r="EL285" s="22"/>
      <c r="EM285" s="43"/>
      <c r="EN285" s="43"/>
      <c r="EO285" s="43"/>
      <c r="EP285" s="43"/>
      <c r="EQ285" s="43"/>
      <c r="ER285" s="43"/>
      <c r="ES285" s="43"/>
      <c r="ET285" s="43"/>
      <c r="EU285" s="43"/>
      <c r="EV285" s="43"/>
      <c r="EW285" s="43"/>
      <c r="EX285" s="43"/>
      <c r="EY285" s="43"/>
      <c r="EZ285" s="43"/>
      <c r="FA285" s="43"/>
      <c r="FB285" s="43"/>
      <c r="FC285" s="43"/>
    </row>
    <row r="286" ht="18.0" customHeight="1">
      <c r="A286" s="2"/>
      <c r="B286" s="22" t="str">
        <f>IFERROR(VLOOKUP(C286,'Реестр'!C:AC,27,0)," ")</f>
        <v>Смарт-Сэйл</v>
      </c>
      <c r="C286" s="43" t="s">
        <v>4438</v>
      </c>
      <c r="D286" s="22" t="str">
        <f>IFERROR(VLOOKUP(C286,'Лист4'!D:P,13,0)," ")</f>
        <v>CPA</v>
      </c>
      <c r="E286" s="22" t="str">
        <f>IF(OR(ISERROR(VLOOKUP(C286,'Актуальность'!A:B,2,0)), VLOOKUP(C286,'Актуальность'!A:B,2,0)=""), "Актуальный", VLOOKUP(C286,'Актуальность'!A:B,2,0))</f>
        <v>Актуальный</v>
      </c>
      <c r="F286" s="43" t="str">
        <f>IFERROR(VLOOKUP(C286,'Актуальность'!A:C,3,0)," ")</f>
        <v/>
      </c>
      <c r="G286" s="43"/>
      <c r="H286" s="22" t="s">
        <v>2663</v>
      </c>
      <c r="I286" s="22" t="s">
        <v>2684</v>
      </c>
      <c r="J286" s="43"/>
      <c r="K286" s="43"/>
      <c r="L286" s="22" t="b">
        <f t="shared" ref="L286:R286" si="282">T286&lt;&gt;""</f>
        <v>1</v>
      </c>
      <c r="M286" s="22" t="b">
        <f t="shared" si="282"/>
        <v>1</v>
      </c>
      <c r="N286" s="22" t="b">
        <f t="shared" si="282"/>
        <v>1</v>
      </c>
      <c r="O286" s="22" t="b">
        <f t="shared" si="282"/>
        <v>1</v>
      </c>
      <c r="P286" s="22" t="b">
        <f t="shared" si="282"/>
        <v>0</v>
      </c>
      <c r="Q286" s="22" t="b">
        <f t="shared" si="282"/>
        <v>0</v>
      </c>
      <c r="R286" s="22" t="b">
        <f t="shared" si="282"/>
        <v>0</v>
      </c>
      <c r="S286" s="43"/>
      <c r="T286" s="43" t="str">
        <f>IFERROR(VLOOKUP( C286,'1С'!A:B,2,0)," ")</f>
        <v>CB101100403</v>
      </c>
      <c r="U286" s="22" t="str">
        <f>IFERROR(VLOOKUP(T286,'Лист4'!C:I,3,0)," ")</f>
        <v>adenofringreen</v>
      </c>
      <c r="V286" s="22" t="str">
        <f>IFERROR(VLOOKUP(T286,'Лист4'!C:I,4,0)," ")</f>
        <v>adenofringreen</v>
      </c>
      <c r="W286" s="22" t="str">
        <f>IFERROR(VLOOKUP(T286,'Лист4'!C:I,5,0)," ")</f>
        <v>adenofringreen</v>
      </c>
      <c r="X286" s="43" t="str">
        <f>IFERROR(VLOOKUP(T286,'Лист4'!C:I,7,0)," ")</f>
        <v/>
      </c>
      <c r="Y286" s="43" t="str">
        <f>IFERROR(VLOOKUP(T286,'Лист4'!C:I,6,0)," ")</f>
        <v/>
      </c>
      <c r="Z286" s="43"/>
      <c r="AA286" s="43"/>
      <c r="AB286" s="22">
        <v>4.8591133E7</v>
      </c>
      <c r="AC286" s="22">
        <v>3.96723649E8</v>
      </c>
      <c r="AD286" s="22">
        <v>1.03267667292E11</v>
      </c>
      <c r="AE286" s="22"/>
      <c r="AF286" s="22"/>
      <c r="AG286" s="43"/>
      <c r="AH286" s="43"/>
      <c r="AI286" s="43" t="str">
        <f>IFERROR(VLOOKUP(T286,'1С'!B:C,2,0)," ")</f>
        <v>Пищевая добавка Аденофрин, CPA, 20 капсул</v>
      </c>
      <c r="AJ286" s="22" t="s">
        <v>4441</v>
      </c>
      <c r="AK286" s="22" t="s">
        <v>4442</v>
      </c>
      <c r="AL286" s="22" t="s">
        <v>4443</v>
      </c>
      <c r="AM286" s="43"/>
      <c r="AN286" s="43"/>
      <c r="AO286" s="43"/>
      <c r="AP286" s="43"/>
      <c r="AQ286" s="46" t="s">
        <v>4444</v>
      </c>
      <c r="AR286" s="46" t="s">
        <v>4445</v>
      </c>
      <c r="AS286" s="46" t="s">
        <v>4446</v>
      </c>
      <c r="AT286" s="43"/>
      <c r="AU286" s="43"/>
      <c r="AV286" s="43"/>
      <c r="AW286" s="43"/>
      <c r="AX286" s="22" t="s">
        <v>649</v>
      </c>
      <c r="AY286" s="22" t="s">
        <v>4442</v>
      </c>
      <c r="AZ286" s="22" t="s">
        <v>2692</v>
      </c>
      <c r="BA286" s="43"/>
      <c r="BB286" s="43"/>
      <c r="BC286" s="43"/>
      <c r="BD286" s="43"/>
      <c r="BE286" s="43"/>
      <c r="BF286" s="22">
        <f>IFERROR(VLOOKUP(C286,'спецификация'!B:D,3,0)," ")</f>
        <v>4631159649336</v>
      </c>
      <c r="BG286" s="22"/>
      <c r="BH286" s="22" t="str">
        <f>IFERROR(VLOOKUP(C286,'спецификация'!B:AA,5,0)," ")</f>
        <v>ЕАЭС N RU Д-RU.PA01.B.01495/21 от 15.07.2021 до 13.07.2026</v>
      </c>
      <c r="BI286" s="22"/>
      <c r="BJ286" s="22" t="str">
        <f>IFERROR(VLOOKUP(C286,'спецификация'!B:AA,6,0)," ")</f>
        <v/>
      </c>
      <c r="BK286" s="43"/>
      <c r="BL286" s="43"/>
      <c r="BM286" s="22" t="str">
        <f>IFERROR(VLOOKUP(BF286,'спецификация'!D:H,5,0)," ")</f>
        <v>экстракт готу колы (Centella asiatica), экстракт эпимедиума (Epimedium), экстракт маки перуанской (Lepidium meyenii), экстракт ярутки (Thlaspi arvense), витамин Е, лактоза, стеарат кальция, диоксид кремния.</v>
      </c>
      <c r="BN286" s="43"/>
      <c r="BO286" s="22" t="str">
        <f>IFERROR(VLOOKUP(C286,'спецификация'!B:AA,10,0)," ")</f>
        <v/>
      </c>
      <c r="BP286" s="43" t="str">
        <f>IFERROR(VLOOKUP(C286,'спецификация'!B:AA,11,0),"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286" s="22" t="str">
        <f>IFERROR(VLOOKUP(C286,'спецификация'!B:AA,12,0)," ")</f>
        <v> хранить при температуре не ниже  0°C и не выше 25°C, избегая попадания прямых солнеч ных лучей. 
</v>
      </c>
      <c r="BR286" s="22">
        <v>20.0</v>
      </c>
      <c r="BS286" s="22" t="s">
        <v>492</v>
      </c>
      <c r="BT286" s="22"/>
      <c r="BU286" s="22"/>
      <c r="BV286" s="22"/>
      <c r="BW286" s="44" t="str">
        <f>IFERROR(VLOOKUP(C286,'спецификация'!B:AA,16,0)," ")</f>
        <v>https://drive.google.com/drive/folders/1GTK-eGpxTnyxNE-WRq0i12ZC3hskXccd</v>
      </c>
      <c r="BX286" s="43"/>
      <c r="BY286" s="43"/>
      <c r="BZ286" s="45" t="str">
        <f>IFERROR(VLOOKUP(BF286,'спецификация'!D:Y,22,0)," ")</f>
        <v/>
      </c>
      <c r="CA286" s="43"/>
      <c r="CB286" s="43"/>
      <c r="CC286" s="43"/>
      <c r="CD286" s="43"/>
      <c r="CE286" s="43"/>
      <c r="CF286" s="43"/>
      <c r="CG286" s="49">
        <f>IFERROR(VLOOKUP(C286,CC!A:D,4,0)," ")</f>
        <v>100</v>
      </c>
      <c r="CH286" s="22" t="str">
        <f>IFERROR(VLOOKUP(C286,'спецификация'!B:AA,19,0)," ")</f>
        <v>ООО «НОРДФАРМ», 214009, г.Смоленск, микрорайон Южный, дом 4</v>
      </c>
      <c r="CI286" s="22"/>
      <c r="CJ286" s="43"/>
      <c r="CK286" s="22">
        <f>IFERROR(VLOOKUP(C286,CC!K:M,3,0)," ")</f>
        <v>90</v>
      </c>
      <c r="CL286" s="43"/>
      <c r="CM286" s="43"/>
      <c r="CN286" s="43"/>
      <c r="CO286" s="43"/>
      <c r="CP286" s="43"/>
      <c r="CQ286" s="43"/>
      <c r="CR286" s="43"/>
      <c r="CS286" s="43" t="b">
        <v>0</v>
      </c>
      <c r="CT286" s="43" t="b">
        <v>0</v>
      </c>
      <c r="CU286" s="43" t="b">
        <v>0</v>
      </c>
      <c r="CV286" s="43" t="b">
        <v>0</v>
      </c>
      <c r="CW286" s="43"/>
      <c r="CX286" s="43"/>
      <c r="CY286" s="43"/>
      <c r="CZ286" s="43"/>
      <c r="DA286" s="43"/>
      <c r="DB286" s="43"/>
      <c r="DC286" s="43"/>
      <c r="DD286" s="22">
        <f>IFERROR(VLOOKUP($C286,'Лист4'!$D:$AI,27,0)," ")</f>
        <v>11</v>
      </c>
      <c r="DE286" s="22">
        <f>IFERROR(VLOOKUP($C286,'Лист4'!$D:$AI,28,0)," ")</f>
        <v>2</v>
      </c>
      <c r="DF286" s="22">
        <f>IFERROR(VLOOKUP($C286,'Лист4'!$D:$AI,29,0)," ")</f>
        <v>11</v>
      </c>
      <c r="DG286" s="22">
        <f t="shared" si="3"/>
        <v>242</v>
      </c>
      <c r="DH286" s="22">
        <f>IFERROR(VLOOKUP($C286,'Лист4'!$D:$AI,32,0)," ")</f>
        <v>0.025</v>
      </c>
      <c r="DI286" s="22"/>
      <c r="DJ286" s="22"/>
      <c r="DK286" s="22"/>
      <c r="DL286" s="22"/>
      <c r="DM286" s="22"/>
      <c r="DN286" s="22"/>
      <c r="DO286" s="22"/>
      <c r="DP286" s="22"/>
      <c r="DQ286" s="22"/>
      <c r="DR286" s="22"/>
      <c r="DS286" s="22"/>
      <c r="DT286" s="22"/>
      <c r="DU286" s="22"/>
      <c r="DV286" s="22"/>
      <c r="DW286" s="22"/>
      <c r="DX286" s="22"/>
      <c r="DY286" s="22"/>
      <c r="DZ286" s="22"/>
      <c r="EA286" s="22"/>
      <c r="EB286" s="22"/>
      <c r="EC286" s="22"/>
      <c r="ED286" s="22"/>
      <c r="EE286" s="22"/>
      <c r="EF286" s="22"/>
      <c r="EG286" s="22"/>
      <c r="EH286" s="22"/>
      <c r="EI286" s="22"/>
      <c r="EJ286" s="22"/>
      <c r="EK286" s="22"/>
      <c r="EL286" s="22"/>
      <c r="EM286" s="43"/>
      <c r="EN286" s="43"/>
      <c r="EO286" s="43"/>
      <c r="EP286" s="43"/>
      <c r="EQ286" s="43"/>
      <c r="ER286" s="43"/>
      <c r="ES286" s="43"/>
      <c r="ET286" s="43"/>
      <c r="EU286" s="43"/>
      <c r="EV286" s="43"/>
      <c r="EW286" s="43"/>
      <c r="EX286" s="43"/>
      <c r="EY286" s="43"/>
      <c r="EZ286" s="43"/>
      <c r="FA286" s="43"/>
      <c r="FB286" s="43"/>
      <c r="FC286" s="43"/>
    </row>
    <row r="287" ht="18.0" customHeight="1">
      <c r="A287" s="2"/>
      <c r="B287" s="22" t="str">
        <f>IFERROR(VLOOKUP(C287,'Реестр'!C:AC,27,0)," ")</f>
        <v>Смарт-Сэйл</v>
      </c>
      <c r="C287" s="43" t="s">
        <v>4453</v>
      </c>
      <c r="D287" s="22" t="str">
        <f>IFERROR(VLOOKUP(C287,'Лист4'!D:P,13,0)," ")</f>
        <v>CPA</v>
      </c>
      <c r="E287" s="22" t="str">
        <f>IF(OR(ISERROR(VLOOKUP(C287,'Актуальность'!A:B,2,0)), VLOOKUP(C287,'Актуальность'!A:B,2,0)=""), "Актуальный", VLOOKUP(C287,'Актуальность'!A:B,2,0))</f>
        <v>Актуальный</v>
      </c>
      <c r="F287" s="43" t="str">
        <f>IFERROR(VLOOKUP(C287,'Актуальность'!A:C,3,0)," ")</f>
        <v/>
      </c>
      <c r="G287" s="43"/>
      <c r="H287" s="22" t="s">
        <v>2663</v>
      </c>
      <c r="I287" s="22" t="s">
        <v>2718</v>
      </c>
      <c r="J287" s="43"/>
      <c r="K287" s="43"/>
      <c r="L287" s="22" t="b">
        <f t="shared" ref="L287:R287" si="283">T287&lt;&gt;""</f>
        <v>1</v>
      </c>
      <c r="M287" s="22" t="b">
        <f t="shared" si="283"/>
        <v>1</v>
      </c>
      <c r="N287" s="22" t="b">
        <f t="shared" si="283"/>
        <v>1</v>
      </c>
      <c r="O287" s="22" t="b">
        <f t="shared" si="283"/>
        <v>1</v>
      </c>
      <c r="P287" s="22" t="b">
        <f t="shared" si="283"/>
        <v>0</v>
      </c>
      <c r="Q287" s="22" t="b">
        <f t="shared" si="283"/>
        <v>0</v>
      </c>
      <c r="R287" s="22" t="b">
        <f t="shared" si="283"/>
        <v>0</v>
      </c>
      <c r="S287" s="43"/>
      <c r="T287" s="43" t="str">
        <f>IFERROR(VLOOKUP( C287,'1С'!A:B,2,0)," ")</f>
        <v>CO101100454</v>
      </c>
      <c r="U287" s="22" t="str">
        <f>IFERROR(VLOOKUP(T287,'Лист4'!C:I,3,0)," ")</f>
        <v>erobrut</v>
      </c>
      <c r="V287" s="22" t="str">
        <f>IFERROR(VLOOKUP(T287,'Лист4'!C:I,4,0)," ")</f>
        <v>erobrut</v>
      </c>
      <c r="W287" s="22" t="str">
        <f>IFERROR(VLOOKUP(T287,'Лист4'!C:I,5,0)," ")</f>
        <v>erobrut</v>
      </c>
      <c r="X287" s="43" t="str">
        <f>IFERROR(VLOOKUP(T287,'Лист4'!C:I,7,0)," ")</f>
        <v/>
      </c>
      <c r="Y287" s="43" t="str">
        <f>IFERROR(VLOOKUP(T287,'Лист4'!C:I,6,0)," ")</f>
        <v/>
      </c>
      <c r="Z287" s="43"/>
      <c r="AA287" s="43"/>
      <c r="AB287" s="22">
        <v>3.12907312E8</v>
      </c>
      <c r="AC287" s="22">
        <v>1.829804935E9</v>
      </c>
      <c r="AD287" s="22">
        <v>1.0373120023E11</v>
      </c>
      <c r="AE287" s="22"/>
      <c r="AF287" s="22"/>
      <c r="AG287" s="43"/>
      <c r="AH287" s="43"/>
      <c r="AI287" s="43" t="str">
        <f>IFERROR(VLOOKUP(T287,'1С'!B:C,2,0)," ")</f>
        <v>Пищевая добавка Эробрут, CPA, 20 капсул</v>
      </c>
      <c r="AJ287" s="22" t="s">
        <v>4456</v>
      </c>
      <c r="AK287" s="22" t="s">
        <v>4457</v>
      </c>
      <c r="AL287" s="22" t="s">
        <v>4458</v>
      </c>
      <c r="AM287" s="43"/>
      <c r="AN287" s="43"/>
      <c r="AO287" s="43"/>
      <c r="AP287" s="43"/>
      <c r="AQ287" s="46" t="s">
        <v>4459</v>
      </c>
      <c r="AR287" s="46" t="s">
        <v>4460</v>
      </c>
      <c r="AS287" s="46" t="s">
        <v>4461</v>
      </c>
      <c r="AT287" s="43"/>
      <c r="AU287" s="43"/>
      <c r="AV287" s="43"/>
      <c r="AW287" s="43"/>
      <c r="AX287" s="22" t="s">
        <v>649</v>
      </c>
      <c r="AY287" s="22" t="s">
        <v>4457</v>
      </c>
      <c r="AZ287" s="22" t="s">
        <v>2692</v>
      </c>
      <c r="BA287" s="43"/>
      <c r="BB287" s="43"/>
      <c r="BC287" s="43"/>
      <c r="BD287" s="43"/>
      <c r="BE287" s="43"/>
      <c r="BF287" s="22">
        <f>IFERROR(VLOOKUP(C287,'спецификация'!B:D,3,0)," ")</f>
        <v>4610030633909</v>
      </c>
      <c r="BG287" s="22">
        <v>2.106909809E9</v>
      </c>
      <c r="BH287" s="22" t="str">
        <f>IFERROR(VLOOKUP(C287,'спецификация'!B:AA,5,0)," ")</f>
        <v>ЕАЭС N RU Д-RU.РА09.В.50945/24 от 16.10.2024 по 15.10.2029</v>
      </c>
      <c r="BI287" s="22"/>
      <c r="BJ287" s="22" t="str">
        <f>IFERROR(VLOOKUP(C287,'спецификация'!B:AA,6,0)," ")</f>
        <v/>
      </c>
      <c r="BK287" s="43"/>
      <c r="BL287" s="43"/>
      <c r="BM287" s="22" t="str">
        <f>IFERROR(VLOOKUP(BF287,'спецификация'!D:H,5,0)," ")</f>
        <v>мальтодекстрин, сафед мусли, панты морала, цинк, экстракты маки перуанской, йохимбе, сабаль пальметто, женьшеня, африканской сливы, кордицепс, гуарана, диоксид кремния, стеарат кальция.
</v>
      </c>
      <c r="BN287" s="43"/>
      <c r="BO287" s="22" t="str">
        <f>IFERROR(VLOOKUP(C287,'спецификация'!B:AA,10,0)," ")</f>
        <v/>
      </c>
      <c r="BP287" s="43" t="str">
        <f>IFERROR(VLOOKUP(C287,'спецификация'!B:AA,11,0)," ")</f>
        <v>индивидуальная непереносимость компонентов.</v>
      </c>
      <c r="BQ287" s="22" t="str">
        <f>IFERROR(VLOOKUP(C287,'спецификация'!B:AA,12,0)," ")</f>
        <v>хранить при температуре не выше 25 °С в местах, удалённых от прямого солнечного света, отопительных приборов, влаги.</v>
      </c>
      <c r="BR287" s="22">
        <v>20.0</v>
      </c>
      <c r="BS287" s="22" t="s">
        <v>492</v>
      </c>
      <c r="BT287" s="22"/>
      <c r="BU287" s="22"/>
      <c r="BV287" s="22" t="s">
        <v>307</v>
      </c>
      <c r="BW287" s="44" t="str">
        <f>IFERROR(VLOOKUP(C287,'спецификация'!B:AA,16,0)," ")</f>
        <v>https://docs.google.com/document/d/1_LW4amD3r2DRF67sNb09M6SXXUJcpmBf/edit</v>
      </c>
      <c r="BX287" s="43"/>
      <c r="BY287" s="43"/>
      <c r="BZ287" s="45" t="str">
        <f>IFERROR(VLOOKUP(BF287,'спецификация'!D:Y,22,0)," ")</f>
        <v/>
      </c>
      <c r="CA287" s="43"/>
      <c r="CB287" s="43"/>
      <c r="CC287" s="43"/>
      <c r="CD287" s="43"/>
      <c r="CE287" s="43"/>
      <c r="CF287" s="43"/>
      <c r="CG287" s="49">
        <f>IFERROR(VLOOKUP(C287,CC!A:D,4,0)," ")</f>
        <v>123.54</v>
      </c>
      <c r="CH287" s="22" t="str">
        <f>IFERROR(VLOOKUP(C287,'спецификация'!B:AA,19,0)," ")</f>
        <v>ООО Нутрафарм</v>
      </c>
      <c r="CI287" s="22"/>
      <c r="CJ287" s="43"/>
      <c r="CK287" s="22">
        <f>IFERROR(VLOOKUP(C287,CC!K:M,3,0)," ")</f>
        <v>45</v>
      </c>
      <c r="CL287" s="43"/>
      <c r="CM287" s="43"/>
      <c r="CN287" s="43"/>
      <c r="CO287" s="43"/>
      <c r="CP287" s="43"/>
      <c r="CQ287" s="43"/>
      <c r="CR287" s="43"/>
      <c r="CS287" s="43" t="b">
        <v>0</v>
      </c>
      <c r="CT287" s="43" t="b">
        <v>0</v>
      </c>
      <c r="CU287" s="43" t="b">
        <v>0</v>
      </c>
      <c r="CV287" s="43" t="b">
        <v>0</v>
      </c>
      <c r="CW287" s="43"/>
      <c r="CX287" s="43"/>
      <c r="CY287" s="43"/>
      <c r="CZ287" s="43"/>
      <c r="DA287" s="43"/>
      <c r="DB287" s="43"/>
      <c r="DC287" s="43"/>
      <c r="DD287" s="22">
        <f>IFERROR(VLOOKUP($C287,'Лист4'!$D:$AI,27,0)," ")</f>
        <v>8</v>
      </c>
      <c r="DE287" s="22">
        <f>IFERROR(VLOOKUP($C287,'Лист4'!$D:$AI,28,0)," ")</f>
        <v>3</v>
      </c>
      <c r="DF287" s="22">
        <f>IFERROR(VLOOKUP($C287,'Лист4'!$D:$AI,29,0)," ")</f>
        <v>8</v>
      </c>
      <c r="DG287" s="22">
        <f t="shared" si="3"/>
        <v>192</v>
      </c>
      <c r="DH287" s="22">
        <f>IFERROR(VLOOKUP($C287,'Лист4'!$D:$AI,32,0)," ")</f>
        <v>0.046</v>
      </c>
      <c r="DI287" s="22"/>
      <c r="DJ287" s="22"/>
      <c r="DK287" s="22"/>
      <c r="DL287" s="22"/>
      <c r="DM287" s="22"/>
      <c r="DN287" s="22"/>
      <c r="DO287" s="22"/>
      <c r="DP287" s="22"/>
      <c r="DQ287" s="22"/>
      <c r="DR287" s="22"/>
      <c r="DS287" s="22"/>
      <c r="DT287" s="22"/>
      <c r="DU287" s="22"/>
      <c r="DV287" s="22"/>
      <c r="DW287" s="22"/>
      <c r="DX287" s="22"/>
      <c r="DY287" s="22"/>
      <c r="DZ287" s="22"/>
      <c r="EA287" s="22"/>
      <c r="EB287" s="22"/>
      <c r="EC287" s="22"/>
      <c r="ED287" s="22"/>
      <c r="EE287" s="22"/>
      <c r="EF287" s="22"/>
      <c r="EG287" s="22"/>
      <c r="EH287" s="22"/>
      <c r="EI287" s="22"/>
      <c r="EJ287" s="22"/>
      <c r="EK287" s="22"/>
      <c r="EL287" s="22"/>
      <c r="EM287" s="43"/>
      <c r="EN287" s="43"/>
      <c r="EO287" s="43"/>
      <c r="EP287" s="43"/>
      <c r="EQ287" s="43"/>
      <c r="ER287" s="43"/>
      <c r="ES287" s="43"/>
      <c r="ET287" s="43"/>
      <c r="EU287" s="43"/>
      <c r="EV287" s="43"/>
      <c r="EW287" s="43"/>
      <c r="EX287" s="43"/>
      <c r="EY287" s="43"/>
      <c r="EZ287" s="43"/>
      <c r="FA287" s="43"/>
      <c r="FB287" s="43"/>
      <c r="FC287" s="43"/>
    </row>
    <row r="288" ht="18.0" customHeight="1">
      <c r="A288" s="2"/>
      <c r="B288" s="22" t="str">
        <f>IFERROR(VLOOKUP(C288,'Реестр'!C:AC,27,0)," ")</f>
        <v>Смарт-Сэйл</v>
      </c>
      <c r="C288" s="43" t="s">
        <v>4466</v>
      </c>
      <c r="D288" s="22" t="str">
        <f>IFERROR(VLOOKUP(C288,'Лист4'!D:P,13,0)," ")</f>
        <v>CPA</v>
      </c>
      <c r="E288" s="22" t="str">
        <f>IF(OR(ISERROR(VLOOKUP(C288,'Актуальность'!A:B,2,0)), VLOOKUP(C288,'Актуальность'!A:B,2,0)=""), "Актуальный", VLOOKUP(C288,'Актуальность'!A:B,2,0))</f>
        <v>Актуальный</v>
      </c>
      <c r="F288" s="43" t="str">
        <f>IFERROR(VLOOKUP(C288,'Актуальность'!A:C,3,0)," ")</f>
        <v/>
      </c>
      <c r="G288" s="43"/>
      <c r="H288" s="22" t="s">
        <v>2663</v>
      </c>
      <c r="I288" s="22" t="s">
        <v>3562</v>
      </c>
      <c r="J288" s="43"/>
      <c r="K288" s="43"/>
      <c r="L288" s="22" t="b">
        <f t="shared" ref="L288:R288" si="284">T288&lt;&gt;""</f>
        <v>1</v>
      </c>
      <c r="M288" s="22" t="b">
        <f t="shared" si="284"/>
        <v>1</v>
      </c>
      <c r="N288" s="22" t="b">
        <f t="shared" si="284"/>
        <v>1</v>
      </c>
      <c r="O288" s="22" t="b">
        <f t="shared" si="284"/>
        <v>1</v>
      </c>
      <c r="P288" s="22" t="b">
        <f t="shared" si="284"/>
        <v>0</v>
      </c>
      <c r="Q288" s="22" t="b">
        <f t="shared" si="284"/>
        <v>0</v>
      </c>
      <c r="R288" s="22" t="b">
        <f t="shared" si="284"/>
        <v>0</v>
      </c>
      <c r="S288" s="43"/>
      <c r="T288" s="43" t="str">
        <f>IFERROR(VLOOKUP( C288,'1С'!A:B,2,0)," ")</f>
        <v>CO101100448</v>
      </c>
      <c r="U288" s="22" t="str">
        <f>IFERROR(VLOOKUP(T288,'Лист4'!C:I,3,0)," ")</f>
        <v>urinofix</v>
      </c>
      <c r="V288" s="22" t="str">
        <f>IFERROR(VLOOKUP(T288,'Лист4'!C:I,4,0)," ")</f>
        <v>urinofix</v>
      </c>
      <c r="W288" s="22" t="str">
        <f>IFERROR(VLOOKUP(T288,'Лист4'!C:I,5,0)," ")</f>
        <v>urinofix</v>
      </c>
      <c r="X288" s="43" t="str">
        <f>IFERROR(VLOOKUP(T288,'Лист4'!C:I,7,0)," ")</f>
        <v/>
      </c>
      <c r="Y288" s="43" t="str">
        <f>IFERROR(VLOOKUP(T288,'Лист4'!C:I,6,0)," ")</f>
        <v/>
      </c>
      <c r="Z288" s="43"/>
      <c r="AA288" s="43"/>
      <c r="AB288" s="22">
        <v>3.12910723E8</v>
      </c>
      <c r="AC288" s="22">
        <v>1.829803107E9</v>
      </c>
      <c r="AD288" s="22">
        <v>1.03748752841E11</v>
      </c>
      <c r="AE288" s="22"/>
      <c r="AF288" s="22"/>
      <c r="AG288" s="43"/>
      <c r="AH288" s="43"/>
      <c r="AI288" s="43" t="str">
        <f>IFERROR(VLOOKUP(T288,'1С'!B:C,2,0)," ")</f>
        <v>Пищевая добавка Уринофикс, CPA, 20 капсул</v>
      </c>
      <c r="AJ288" s="22" t="s">
        <v>4469</v>
      </c>
      <c r="AK288" s="22" t="s">
        <v>4470</v>
      </c>
      <c r="AL288" s="22" t="s">
        <v>4471</v>
      </c>
      <c r="AM288" s="43"/>
      <c r="AN288" s="43"/>
      <c r="AO288" s="43"/>
      <c r="AP288" s="43"/>
      <c r="AQ288" s="46" t="s">
        <v>4472</v>
      </c>
      <c r="AR288" s="46" t="s">
        <v>4473</v>
      </c>
      <c r="AS288" s="46" t="s">
        <v>4474</v>
      </c>
      <c r="AT288" s="43"/>
      <c r="AU288" s="43"/>
      <c r="AV288" s="43"/>
      <c r="AW288" s="43"/>
      <c r="AX288" s="22" t="s">
        <v>649</v>
      </c>
      <c r="AY288" s="22" t="s">
        <v>4470</v>
      </c>
      <c r="AZ288" s="22" t="s">
        <v>2692</v>
      </c>
      <c r="BA288" s="43"/>
      <c r="BB288" s="43"/>
      <c r="BC288" s="43"/>
      <c r="BD288" s="43"/>
      <c r="BE288" s="43"/>
      <c r="BF288" s="22">
        <f>IFERROR(VLOOKUP(C288,'спецификация'!B:D,3,0)," ")</f>
        <v>4610030633930</v>
      </c>
      <c r="BG288" s="22">
        <v>2106.0</v>
      </c>
      <c r="BH288" s="22" t="str">
        <f>IFERROR(VLOOKUP(C288,'спецификация'!B:AA,5,0)," ")</f>
        <v>ЕАЭС N RU Д-RU.РА09.В.50933/24 от 16.10.2024 по 15.10.2029</v>
      </c>
      <c r="BI288" s="22"/>
      <c r="BJ288" s="22" t="str">
        <f>IFERROR(VLOOKUP(C288,'спецификация'!B:AA,6,0)," ")</f>
        <v/>
      </c>
      <c r="BK288" s="43"/>
      <c r="BL288" s="43"/>
      <c r="BM288" s="22" t="str">
        <f>IFERROR(VLOOKUP(BF288,'спецификация'!D:H,5,0)," ")</f>
        <v>мальтодекстрин, d-манноза, экстракт толокнянки, экстракт клюквы, экстракт женьшеня, экстракт брусники, экстракт мяты, экстракт пустырника, экстракт девясила, экстракт эврикомы, экстракт плодов пальмы сереноа., стеарат кальция, диоксид кремния.</v>
      </c>
      <c r="BN288" s="43"/>
      <c r="BO288" s="22" t="str">
        <f>IFERROR(VLOOKUP(C288,'спецификация'!B:AA,10,0)," ")</f>
        <v/>
      </c>
      <c r="BP288" s="43" t="str">
        <f>IFERROR(VLOOKUP(C288,'спецификация'!B:AA,11,0)," ")</f>
        <v>индивидуальная непереносимость компонентов.</v>
      </c>
      <c r="BQ288" s="22" t="str">
        <f>IFERROR(VLOOKUP(C288,'спецификация'!B:AA,12,0)," ")</f>
        <v>хранить при температуре не выше 25 °С в местах, удалённых от прямого солнечного света, отопительных приборов, влаги.</v>
      </c>
      <c r="BR288" s="22">
        <v>20.0</v>
      </c>
      <c r="BS288" s="22" t="s">
        <v>492</v>
      </c>
      <c r="BT288" s="22"/>
      <c r="BU288" s="22"/>
      <c r="BV288" s="22" t="s">
        <v>307</v>
      </c>
      <c r="BW288" s="44" t="str">
        <f>IFERROR(VLOOKUP(C288,'спецификация'!B:AA,16,0)," ")</f>
        <v>https://docs.google.com/document/d/1Z6VBinNdZuijXdAx7YTOnsXPBFiwcW__/edit</v>
      </c>
      <c r="BX288" s="43"/>
      <c r="BY288" s="43"/>
      <c r="BZ288" s="45" t="str">
        <f>IFERROR(VLOOKUP(BF288,'спецификация'!D:Y,22,0)," ")</f>
        <v/>
      </c>
      <c r="CA288" s="43"/>
      <c r="CB288" s="43"/>
      <c r="CC288" s="43"/>
      <c r="CD288" s="43"/>
      <c r="CE288" s="43"/>
      <c r="CF288" s="43"/>
      <c r="CG288" s="49">
        <f>IFERROR(VLOOKUP(C288,CC!A:D,4,0)," ")</f>
        <v>105</v>
      </c>
      <c r="CH288" s="22" t="str">
        <f>IFERROR(VLOOKUP(C288,'спецификация'!B:AA,19,0)," ")</f>
        <v>
Производитель: ООО "НутраФарм"
Адрес: 129626, Россия, г. Москва, ул. 1-я Мытищинская, д 3 стр., 1, эт/каб 3/306, к. 5А. 
Производитель: ООО "НутраФарм"
Адрес: 129626, Россия, г. Москва, ул. 1-я Мытищинская, д 3 стр., 1, эт/каб 3/306, к. 5А. 
</v>
      </c>
      <c r="CI288" s="22"/>
      <c r="CJ288" s="43"/>
      <c r="CK288" s="22">
        <f>IFERROR(VLOOKUP(C288,CC!K:M,3,0)," ")</f>
        <v>45</v>
      </c>
      <c r="CL288" s="43"/>
      <c r="CM288" s="43"/>
      <c r="CN288" s="43"/>
      <c r="CO288" s="43"/>
      <c r="CP288" s="43"/>
      <c r="CQ288" s="43"/>
      <c r="CR288" s="43"/>
      <c r="CS288" s="43" t="b">
        <v>0</v>
      </c>
      <c r="CT288" s="43" t="b">
        <v>0</v>
      </c>
      <c r="CU288" s="43" t="b">
        <v>0</v>
      </c>
      <c r="CV288" s="43" t="b">
        <v>0</v>
      </c>
      <c r="CW288" s="43"/>
      <c r="CX288" s="43"/>
      <c r="CY288" s="43"/>
      <c r="CZ288" s="43"/>
      <c r="DA288" s="43"/>
      <c r="DB288" s="43"/>
      <c r="DC288" s="43"/>
      <c r="DD288" s="22">
        <f>IFERROR(VLOOKUP($C288,'Лист4'!$D:$AI,27,0)," ")</f>
        <v>7</v>
      </c>
      <c r="DE288" s="22">
        <f>IFERROR(VLOOKUP($C288,'Лист4'!$D:$AI,28,0)," ")</f>
        <v>3</v>
      </c>
      <c r="DF288" s="22">
        <f>IFERROR(VLOOKUP($C288,'Лист4'!$D:$AI,29,0)," ")</f>
        <v>7</v>
      </c>
      <c r="DG288" s="22">
        <f t="shared" si="3"/>
        <v>147</v>
      </c>
      <c r="DH288" s="22">
        <f>IFERROR(VLOOKUP($C288,'Лист4'!$D:$AI,32,0)," ")</f>
        <v>0.046</v>
      </c>
      <c r="DI288" s="22"/>
      <c r="DJ288" s="22"/>
      <c r="DK288" s="22"/>
      <c r="DL288" s="22"/>
      <c r="DM288" s="22"/>
      <c r="DN288" s="22"/>
      <c r="DO288" s="22"/>
      <c r="DP288" s="22"/>
      <c r="DQ288" s="22"/>
      <c r="DR288" s="22"/>
      <c r="DS288" s="22"/>
      <c r="DT288" s="22"/>
      <c r="DU288" s="22"/>
      <c r="DV288" s="22"/>
      <c r="DW288" s="22"/>
      <c r="DX288" s="22"/>
      <c r="DY288" s="22"/>
      <c r="DZ288" s="22"/>
      <c r="EA288" s="22"/>
      <c r="EB288" s="22"/>
      <c r="EC288" s="22"/>
      <c r="ED288" s="22"/>
      <c r="EE288" s="22"/>
      <c r="EF288" s="22"/>
      <c r="EG288" s="22"/>
      <c r="EH288" s="22"/>
      <c r="EI288" s="22"/>
      <c r="EJ288" s="22"/>
      <c r="EK288" s="22"/>
      <c r="EL288" s="22"/>
      <c r="EM288" s="43"/>
      <c r="EN288" s="43"/>
      <c r="EO288" s="43"/>
      <c r="EP288" s="43"/>
      <c r="EQ288" s="43"/>
      <c r="ER288" s="43"/>
      <c r="ES288" s="43"/>
      <c r="ET288" s="43"/>
      <c r="EU288" s="43"/>
      <c r="EV288" s="43"/>
      <c r="EW288" s="43"/>
      <c r="EX288" s="43"/>
      <c r="EY288" s="43"/>
      <c r="EZ288" s="43"/>
      <c r="FA288" s="43"/>
      <c r="FB288" s="43"/>
      <c r="FC288" s="43"/>
    </row>
    <row r="289" ht="18.0" customHeight="1">
      <c r="A289" s="2"/>
      <c r="B289" s="22" t="str">
        <f>IFERROR(VLOOKUP(C289,'Реестр'!C:AC,27,0)," ")</f>
        <v>Смарт-Сэйл</v>
      </c>
      <c r="C289" s="43" t="s">
        <v>4480</v>
      </c>
      <c r="D289" s="22" t="str">
        <f>IFERROR(VLOOKUP(C289,'Лист4'!D:P,13,0)," ")</f>
        <v>Алтея</v>
      </c>
      <c r="E289" s="22" t="str">
        <f>IF(OR(ISERROR(VLOOKUP(C289,'Актуальность'!A:B,2,0)), VLOOKUP(C289,'Актуальность'!A:B,2,0)=""), "Актуальный", VLOOKUP(C289,'Актуальность'!A:B,2,0))</f>
        <v>Вывод</v>
      </c>
      <c r="F289" s="43" t="str">
        <f>IFERROR(VLOOKUP(C289,'Актуальность'!A:C,3,0)," ")</f>
        <v>Низкомаржинальный товар</v>
      </c>
      <c r="G289" s="43"/>
      <c r="H289" s="22" t="s">
        <v>2743</v>
      </c>
      <c r="I289" s="22" t="s">
        <v>2783</v>
      </c>
      <c r="J289" s="43"/>
      <c r="K289" s="43"/>
      <c r="L289" s="22" t="b">
        <f t="shared" ref="L289:R289" si="285">T289&lt;&gt;""</f>
        <v>1</v>
      </c>
      <c r="M289" s="22" t="b">
        <f t="shared" si="285"/>
        <v>1</v>
      </c>
      <c r="N289" s="22" t="b">
        <f t="shared" si="285"/>
        <v>1</v>
      </c>
      <c r="O289" s="22" t="b">
        <f t="shared" si="285"/>
        <v>1</v>
      </c>
      <c r="P289" s="22" t="b">
        <f t="shared" si="285"/>
        <v>1</v>
      </c>
      <c r="Q289" s="22" t="b">
        <f t="shared" si="285"/>
        <v>1</v>
      </c>
      <c r="R289" s="22" t="b">
        <f t="shared" si="285"/>
        <v>1</v>
      </c>
      <c r="S289" s="43"/>
      <c r="T289" s="43" t="str">
        <f>IFERROR(VLOOKUP( C289,'1С'!A:B,2,0)," ")</f>
        <v>AC101100401</v>
      </c>
      <c r="U289" s="22" t="str">
        <f>IFERROR(VLOOKUP(T289,'Лист4'!C:I,3,0)," ")</f>
        <v>syvorotka_dlya_rosta_6ml</v>
      </c>
      <c r="V289" s="22" t="str">
        <f>IFERROR(VLOOKUP(T289,'Лист4'!C:I,4,0)," ")</f>
        <v>syvorotka_dlya_rosta_6ml</v>
      </c>
      <c r="W289" s="22" t="str">
        <f>IFERROR(VLOOKUP(T289,'Лист4'!C:I,5,0)," ")</f>
        <v>syvorotka_dlya_rosta_6ml</v>
      </c>
      <c r="X289" s="43" t="str">
        <f>IFERROR(VLOOKUP(T289,'Лист4'!C:I,7,0)," ")</f>
        <v>syvorotka_dlya_rosta_6ml</v>
      </c>
      <c r="Y289" s="43" t="str">
        <f>IFERROR(VLOOKUP(T289,'Лист4'!C:I,6,0)," ")</f>
        <v>syvorotka_dlya_rosta_6ml</v>
      </c>
      <c r="Z289" s="22" t="s">
        <v>4480</v>
      </c>
      <c r="AA289" s="43"/>
      <c r="AB289" s="22">
        <v>2.6637615E8</v>
      </c>
      <c r="AC289" s="22">
        <v>1.713211121E9</v>
      </c>
      <c r="AD289" s="22">
        <v>1.0355503557E11</v>
      </c>
      <c r="AE289" s="22">
        <v>9.9000076214E10</v>
      </c>
      <c r="AF289" s="22" t="s">
        <v>4482</v>
      </c>
      <c r="AG289" s="22" t="s">
        <v>4483</v>
      </c>
      <c r="AH289" s="43"/>
      <c r="AI289" s="43" t="str">
        <f>IFERROR(VLOOKUP(T289,'1С'!B:C,2,0)," ")</f>
        <v>Сыворотка для роста ресниц и бровей, Алтея, 6 мл</v>
      </c>
      <c r="AJ289" s="22" t="s">
        <v>4484</v>
      </c>
      <c r="AK289" s="22" t="s">
        <v>3207</v>
      </c>
      <c r="AL289" s="22" t="s">
        <v>3207</v>
      </c>
      <c r="AM289" s="22" t="s">
        <v>4485</v>
      </c>
      <c r="AN289" s="22" t="s">
        <v>3209</v>
      </c>
      <c r="AO289" s="22" t="s">
        <v>4486</v>
      </c>
      <c r="AP289" s="43"/>
      <c r="AQ289" s="46" t="s">
        <v>4487</v>
      </c>
      <c r="AR289" s="46" t="s">
        <v>4488</v>
      </c>
      <c r="AS289" s="46" t="s">
        <v>4489</v>
      </c>
      <c r="AT289" s="43"/>
      <c r="AU289" s="46" t="s">
        <v>4490</v>
      </c>
      <c r="AV289" s="46" t="s">
        <v>4491</v>
      </c>
      <c r="AW289" s="43"/>
      <c r="AX289" s="22" t="s">
        <v>3214</v>
      </c>
      <c r="AY289" s="22" t="s">
        <v>3207</v>
      </c>
      <c r="AZ289" s="22" t="s">
        <v>3215</v>
      </c>
      <c r="BA289" s="22" t="s">
        <v>3216</v>
      </c>
      <c r="BB289" s="22" t="s">
        <v>4492</v>
      </c>
      <c r="BC289" s="22" t="s">
        <v>2800</v>
      </c>
      <c r="BD289" s="43"/>
      <c r="BE289" s="43"/>
      <c r="BF289" s="22">
        <f>IFERROR(VLOOKUP(C289,'спецификация'!B:D,3,0)," ")</f>
        <v>4685518825374</v>
      </c>
      <c r="BG289" s="22">
        <v>3.30499E9</v>
      </c>
      <c r="BH289" s="22" t="str">
        <f>IFERROR(VLOOKUP(C289,'спецификация'!B:AA,5,0)," ")</f>
        <v/>
      </c>
      <c r="BI289" s="22"/>
      <c r="BJ289" s="22" t="str">
        <f>IFERROR(VLOOKUP(C289,'спецификация'!B:AA,6,0)," ")</f>
        <v>нет</v>
      </c>
      <c r="BK289" s="43"/>
      <c r="BL289" s="43"/>
      <c r="BM289" s="22" t="str">
        <f>IFERROR(VLOOKUP(BF289,'спецификация'!D:H,5,0)," ")</f>
        <v>Distilled water, Panthenol, Aloe Barbadensis leaf juice, Hydrolized Keratin, Glycerin, Biotinoyl Tripeptide-1, Hydrolyzed Wheat Protein, Peg-40, Polyvinylpyrrolidone, Polyacrylate Crosspolymer-6, Iris Leaf Extract, Chamomilla Recutita Extract, Sodium acrylates copolymer (and) Lecithin, Phenoxyethanol, Ethylhexylglycerin, Lactic acid, Parfum.</v>
      </c>
      <c r="BN289" s="43"/>
      <c r="BO289" s="22" t="str">
        <f>IFERROR(VLOOKUP(C289,'спецификация'!B:AA,10,0)," ")</f>
        <v>наносить на брови и ресницы с помощью щеточки. </v>
      </c>
      <c r="BP289" s="43" t="str">
        <f>IFERROR(VLOOKUP(C289,'спецификация'!B:AA,11,0)," ")</f>
        <v>избегать попадания в глаза. При попадании
промыть водой. При необходимости обратиться к врачу.</v>
      </c>
      <c r="BQ289" s="22" t="str">
        <f>IFERROR(VLOOKUP(C289,'спецификация'!B:AA,12,0)," ")</f>
        <v>при t от +5°C до + 25°C, вдали от солнечных лучей и нагревательных приборов.</v>
      </c>
      <c r="BR289" s="22">
        <v>6.0</v>
      </c>
      <c r="BS289" s="22" t="s">
        <v>139</v>
      </c>
      <c r="BT289" s="22"/>
      <c r="BU289" s="22"/>
      <c r="BV289" s="22" t="s">
        <v>307</v>
      </c>
      <c r="BW289" s="44" t="str">
        <f>IFERROR(VLOOKUP(C289,'спецификация'!B:AA,16,0)," ")</f>
        <v>https://docs.google.com/document/d/1AYf1Lcjos7kL4uJETWcXQ4_3LhMcf7jl/edit?usp=drive_web&amp;ouid=104241417680089502627&amp;rtpof=true</v>
      </c>
      <c r="BX289" s="43"/>
      <c r="BY289" s="43"/>
      <c r="BZ289" s="45" t="str">
        <f>IFERROR(VLOOKUP(BF289,'спецификация'!D:Y,22,0)," ")</f>
        <v/>
      </c>
      <c r="CA289" s="43"/>
      <c r="CB289" s="43"/>
      <c r="CC289" s="43"/>
      <c r="CD289" s="43"/>
      <c r="CE289" s="43"/>
      <c r="CF289" s="43"/>
      <c r="CG289" s="49">
        <f>IFERROR(VLOOKUP(C289,CC!A:D,4,0)," ")</f>
        <v>52.55</v>
      </c>
      <c r="CH289" s="22" t="str">
        <f>IFERROR(VLOOKUP(C289,'спецификация'!B:AA,19,0)," ")</f>
        <v>ООО Юниверсо
Ася, 7 928 038-70-35</v>
      </c>
      <c r="CI289" s="22"/>
      <c r="CJ289" s="43"/>
      <c r="CK289" s="22">
        <f>IFERROR(VLOOKUP(C289,CC!K:M,3,0)," ")</f>
        <v>60</v>
      </c>
      <c r="CL289" s="43"/>
      <c r="CM289" s="43"/>
      <c r="CN289" s="43"/>
      <c r="CO289" s="43"/>
      <c r="CP289" s="43"/>
      <c r="CQ289" s="43"/>
      <c r="CR289" s="43"/>
      <c r="CS289" s="43" t="b">
        <v>0</v>
      </c>
      <c r="CT289" s="43" t="b">
        <v>0</v>
      </c>
      <c r="CU289" s="43" t="b">
        <v>0</v>
      </c>
      <c r="CV289" s="43" t="b">
        <v>0</v>
      </c>
      <c r="CW289" s="43"/>
      <c r="CX289" s="43"/>
      <c r="CY289" s="43"/>
      <c r="CZ289" s="43"/>
      <c r="DA289" s="43"/>
      <c r="DB289" s="43"/>
      <c r="DC289" s="43"/>
      <c r="DD289" s="22">
        <f>IFERROR(VLOOKUP($C289,'Лист4'!$D:$AI,27,0)," ")</f>
        <v>14</v>
      </c>
      <c r="DE289" s="22">
        <f>IFERROR(VLOOKUP($C289,'Лист4'!$D:$AI,28,0)," ")</f>
        <v>1</v>
      </c>
      <c r="DF289" s="22">
        <f>IFERROR(VLOOKUP($C289,'Лист4'!$D:$AI,29,0)," ")</f>
        <v>14</v>
      </c>
      <c r="DG289" s="22">
        <f t="shared" si="3"/>
        <v>196</v>
      </c>
      <c r="DH289" s="22">
        <f>IFERROR(VLOOKUP($C289,'Лист4'!$D:$AI,32,0)," ")</f>
        <v>0.016</v>
      </c>
      <c r="DI289" s="22"/>
      <c r="DJ289" s="22"/>
      <c r="DK289" s="22"/>
      <c r="DL289" s="22"/>
      <c r="DM289" s="22"/>
      <c r="DN289" s="22"/>
      <c r="DO289" s="22"/>
      <c r="DP289" s="22"/>
      <c r="DQ289" s="22"/>
      <c r="DR289" s="22"/>
      <c r="DS289" s="22"/>
      <c r="DT289" s="22"/>
      <c r="DU289" s="22"/>
      <c r="DV289" s="22"/>
      <c r="DW289" s="22"/>
      <c r="DX289" s="22"/>
      <c r="DY289" s="22"/>
      <c r="DZ289" s="22"/>
      <c r="EA289" s="22"/>
      <c r="EB289" s="22"/>
      <c r="EC289" s="22"/>
      <c r="ED289" s="22"/>
      <c r="EE289" s="22"/>
      <c r="EF289" s="22"/>
      <c r="EG289" s="22"/>
      <c r="EH289" s="22"/>
      <c r="EI289" s="22"/>
      <c r="EJ289" s="22"/>
      <c r="EK289" s="22"/>
      <c r="EL289" s="22"/>
      <c r="EM289" s="43"/>
      <c r="EN289" s="43"/>
      <c r="EO289" s="43"/>
      <c r="EP289" s="43"/>
      <c r="EQ289" s="43"/>
      <c r="ER289" s="43"/>
      <c r="ES289" s="43"/>
      <c r="ET289" s="43"/>
      <c r="EU289" s="43"/>
      <c r="EV289" s="43"/>
      <c r="EW289" s="43"/>
      <c r="EX289" s="43"/>
      <c r="EY289" s="43"/>
      <c r="EZ289" s="43"/>
      <c r="FA289" s="43"/>
      <c r="FB289" s="43"/>
      <c r="FC289" s="43"/>
    </row>
    <row r="290" ht="18.0" customHeight="1">
      <c r="A290" s="2"/>
      <c r="B290" s="22" t="str">
        <f>IFERROR(VLOOKUP(C290,'Реестр'!C:AC,27,0)," ")</f>
        <v>Смарт-Сэйл</v>
      </c>
      <c r="C290" s="43" t="s">
        <v>4494</v>
      </c>
      <c r="D290" s="22" t="str">
        <f>IFERROR(VLOOKUP(C290,'Лист4'!D:P,13,0)," ")</f>
        <v>CPA</v>
      </c>
      <c r="E290" s="22" t="str">
        <f>IF(OR(ISERROR(VLOOKUP(C290,'Актуальность'!A:B,2,0)), VLOOKUP(C290,'Актуальность'!A:B,2,0)=""), "Актуальный", VLOOKUP(C290,'Актуальность'!A:B,2,0))</f>
        <v>Актуальный</v>
      </c>
      <c r="F290" s="43" t="str">
        <f>IFERROR(VLOOKUP(C290,'Актуальность'!A:C,3,0)," ")</f>
        <v/>
      </c>
      <c r="G290" s="43"/>
      <c r="H290" s="22" t="s">
        <v>2663</v>
      </c>
      <c r="I290" s="22" t="s">
        <v>3437</v>
      </c>
      <c r="J290" s="43"/>
      <c r="K290" s="43"/>
      <c r="L290" s="22" t="b">
        <f t="shared" ref="L290:R290" si="286">T290&lt;&gt;""</f>
        <v>1</v>
      </c>
      <c r="M290" s="22" t="b">
        <f t="shared" si="286"/>
        <v>1</v>
      </c>
      <c r="N290" s="22" t="b">
        <f t="shared" si="286"/>
        <v>1</v>
      </c>
      <c r="O290" s="22" t="b">
        <f t="shared" si="286"/>
        <v>1</v>
      </c>
      <c r="P290" s="22" t="b">
        <f t="shared" si="286"/>
        <v>0</v>
      </c>
      <c r="Q290" s="22" t="b">
        <f t="shared" si="286"/>
        <v>0</v>
      </c>
      <c r="R290" s="22" t="b">
        <f t="shared" si="286"/>
        <v>0</v>
      </c>
      <c r="S290" s="43"/>
      <c r="T290" s="43" t="str">
        <f>IFERROR(VLOOKUP( C290,'1С'!A:B,2,0)," ")</f>
        <v>CC101100407</v>
      </c>
      <c r="U290" s="22" t="str">
        <f>IFERROR(VLOOKUP(T290,'Лист4'!C:I,3,0)," ")</f>
        <v>varifit_1_1</v>
      </c>
      <c r="V290" s="22" t="str">
        <f>IFERROR(VLOOKUP(T290,'Лист4'!C:I,4,0)," ")</f>
        <v>varifit_1_1</v>
      </c>
      <c r="W290" s="22" t="str">
        <f>IFERROR(VLOOKUP(T290,'Лист4'!C:I,5,0)," ")</f>
        <v>varifit_1_1</v>
      </c>
      <c r="X290" s="43" t="str">
        <f>IFERROR(VLOOKUP(T290,'Лист4'!C:I,7,0)," ")</f>
        <v/>
      </c>
      <c r="Y290" s="43" t="str">
        <f>IFERROR(VLOOKUP(T290,'Лист4'!C:I,6,0)," ")</f>
        <v/>
      </c>
      <c r="Z290" s="43"/>
      <c r="AA290" s="43"/>
      <c r="AB290" s="22">
        <v>5.25497365E8</v>
      </c>
      <c r="AC290" s="22">
        <v>2.825161431E9</v>
      </c>
      <c r="AD290" s="22">
        <v>4.640676175E9</v>
      </c>
      <c r="AE290" s="22"/>
      <c r="AF290" s="22"/>
      <c r="AG290" s="43"/>
      <c r="AH290" s="43"/>
      <c r="AI290" s="43" t="str">
        <f>IFERROR(VLOOKUP(T290,'1С'!B:C,2,0)," ")</f>
        <v>Крем от варикоза Варифит, CPA, 30 мл, набор из 2 шт</v>
      </c>
      <c r="AJ290" s="22" t="s">
        <v>3439</v>
      </c>
      <c r="AK290" s="22" t="s">
        <v>4497</v>
      </c>
      <c r="AL290" s="22" t="s">
        <v>4497</v>
      </c>
      <c r="AM290" s="43"/>
      <c r="AN290" s="43"/>
      <c r="AO290" s="43"/>
      <c r="AP290" s="43"/>
      <c r="AQ290" s="46" t="s">
        <v>4498</v>
      </c>
      <c r="AR290" s="46" t="s">
        <v>4499</v>
      </c>
      <c r="AS290" s="46" t="s">
        <v>4500</v>
      </c>
      <c r="AT290" s="43"/>
      <c r="AU290" s="43"/>
      <c r="AV290" s="43"/>
      <c r="AW290" s="43"/>
      <c r="AX290" s="22" t="s">
        <v>3445</v>
      </c>
      <c r="AY290" s="22" t="s">
        <v>4497</v>
      </c>
      <c r="AZ290" s="22" t="s">
        <v>2672</v>
      </c>
      <c r="BA290" s="43"/>
      <c r="BB290" s="43"/>
      <c r="BC290" s="43"/>
      <c r="BD290" s="43"/>
      <c r="BE290" s="43"/>
      <c r="BF290" s="22">
        <f>IFERROR(VLOOKUP(C290,'спецификация'!B:D,3,0)," ")</f>
        <v>4645563784842</v>
      </c>
      <c r="BG290" s="22">
        <v>3.30499E9</v>
      </c>
      <c r="BH290" s="22" t="str">
        <f>IFERROR(VLOOKUP(C290,'спецификация'!B:AA,5,0)," ")</f>
        <v>ЕАЭС N RU Д-RU.PA01.B.66386/24 от 02.02.2024 по 31.01.2029</v>
      </c>
      <c r="BI290" s="22"/>
      <c r="BJ290" s="22" t="str">
        <f>IFERROR(VLOOKUP(C290,'спецификация'!B:AA,6,0)," ")</f>
        <v/>
      </c>
      <c r="BK290" s="43"/>
      <c r="BL290" s="43"/>
      <c r="BM290" s="22" t="str">
        <f>IFERROR(VLOOKUP(BF290,'спецификация'!D:H,5,0)," ")</f>
        <v>Вода, гирудин, троксерутин, экстракт мяты, экстракт хмеля, экстракт ореха черного, экстракт календулы, карбомер, экстракт хвоща, экстракт тысячелистника, троксерутин, экстракт каштана конского, экстракт маклюры, экстракт корня багульника, триэтаноламин, донник лекарственный, консервант. 
</v>
      </c>
      <c r="BN290" s="43"/>
      <c r="BO290" s="22" t="str">
        <f>IFERROR(VLOOKUP(C290,'спецификация'!B:AA,10,0)," ")</f>
        <v/>
      </c>
      <c r="BP290" s="43" t="str">
        <f>IFERROR(VLOOKUP(C290,'спецификация'!B:AA,11,0)," ")</f>
        <v>не рекомендуется использовать во время беременности и детям. Гипоаллергенно. Возможна индивидуальная непереносимость компонентов.</v>
      </c>
      <c r="BQ290" s="22" t="str">
        <f>IFERROR(VLOOKUP(C290,'спецификация'!B:AA,12,0)," ")</f>
        <v>хранить при температуре до 25°С, избегая попадания прямых солнечных лучей.</v>
      </c>
      <c r="BR290" s="22">
        <v>30.0</v>
      </c>
      <c r="BS290" s="22" t="s">
        <v>139</v>
      </c>
      <c r="BT290" s="22"/>
      <c r="BU290" s="22"/>
      <c r="BV290" s="22" t="s">
        <v>307</v>
      </c>
      <c r="BW290" s="44" t="str">
        <f>IFERROR(VLOOKUP(C290,'спецификация'!B:AA,16,0)," ")</f>
        <v>https://docs.google.com/document/d/1QkeScd1qVCdrTwXY-ZieJNGOjLh9jp49/edit?rtpof=true</v>
      </c>
      <c r="BX290" s="43"/>
      <c r="BY290" s="43"/>
      <c r="BZ290" s="45" t="str">
        <f>IFERROR(VLOOKUP(BF290,'спецификация'!D:Y,22,0)," ")</f>
        <v/>
      </c>
      <c r="CA290" s="43"/>
      <c r="CB290" s="43"/>
      <c r="CC290" s="43"/>
      <c r="CD290" s="43"/>
      <c r="CE290" s="43"/>
      <c r="CF290" s="43"/>
      <c r="CG290" s="49">
        <f>IFERROR(VLOOKUP(C290,CC!A:D,4,0)," ")</f>
        <v>233.7</v>
      </c>
      <c r="CH290" s="22" t="str">
        <f>IFERROR(VLOOKUP(C290,'спецификация'!B:AA,19,0)," ")</f>
        <v>ООО «Восток Плюс», 107113, г. Москва, Сокольническая пл., дом 4а, этаж 3. </v>
      </c>
      <c r="CI290" s="22"/>
      <c r="CJ290" s="22"/>
      <c r="CK290" s="22">
        <f>IFERROR(VLOOKUP(C290,CC!K:M,3,0)," ")</f>
        <v>45</v>
      </c>
      <c r="CL290" s="43"/>
      <c r="CM290" s="43"/>
      <c r="CN290" s="43"/>
      <c r="CO290" s="43"/>
      <c r="CP290" s="43"/>
      <c r="CQ290" s="43"/>
      <c r="CR290" s="43"/>
      <c r="CS290" s="43" t="b">
        <v>0</v>
      </c>
      <c r="CT290" s="43" t="b">
        <v>0</v>
      </c>
      <c r="CU290" s="43" t="b">
        <v>0</v>
      </c>
      <c r="CV290" s="43" t="b">
        <v>0</v>
      </c>
      <c r="CW290" s="43"/>
      <c r="CX290" s="43"/>
      <c r="CY290" s="43"/>
      <c r="CZ290" s="43"/>
      <c r="DA290" s="43"/>
      <c r="DB290" s="43"/>
      <c r="DC290" s="43"/>
      <c r="DD290" s="22">
        <f>IFERROR(VLOOKUP($C290,'Лист4'!$D:$AI,27,0)," ")</f>
        <v>9</v>
      </c>
      <c r="DE290" s="22">
        <f>IFERROR(VLOOKUP($C290,'Лист4'!$D:$AI,28,0)," ")</f>
        <v>14</v>
      </c>
      <c r="DF290" s="22">
        <f>IFERROR(VLOOKUP($C290,'Лист4'!$D:$AI,29,0)," ")</f>
        <v>9</v>
      </c>
      <c r="DG290" s="22">
        <f t="shared" si="3"/>
        <v>1134</v>
      </c>
      <c r="DH290" s="22">
        <f>IFERROR(VLOOKUP($C290,'Лист4'!$D:$AI,32,0)," ")</f>
        <v>0.013</v>
      </c>
      <c r="DI290" s="22"/>
      <c r="DJ290" s="22"/>
      <c r="DK290" s="22"/>
      <c r="DL290" s="22"/>
      <c r="DM290" s="22"/>
      <c r="DN290" s="22"/>
      <c r="DO290" s="22"/>
      <c r="DP290" s="22"/>
      <c r="DQ290" s="22"/>
      <c r="DR290" s="22"/>
      <c r="DS290" s="22"/>
      <c r="DT290" s="22"/>
      <c r="DU290" s="22"/>
      <c r="DV290" s="22"/>
      <c r="DW290" s="22"/>
      <c r="DX290" s="22"/>
      <c r="DY290" s="22"/>
      <c r="DZ290" s="22"/>
      <c r="EA290" s="22"/>
      <c r="EB290" s="22"/>
      <c r="EC290" s="22"/>
      <c r="ED290" s="22"/>
      <c r="EE290" s="22"/>
      <c r="EF290" s="22"/>
      <c r="EG290" s="22"/>
      <c r="EH290" s="22"/>
      <c r="EI290" s="22"/>
      <c r="EJ290" s="22"/>
      <c r="EK290" s="22"/>
      <c r="EL290" s="22"/>
      <c r="EM290" s="43"/>
      <c r="EN290" s="43"/>
      <c r="EO290" s="43"/>
      <c r="EP290" s="43"/>
      <c r="EQ290" s="43"/>
      <c r="ER290" s="43"/>
      <c r="ES290" s="43"/>
      <c r="ET290" s="43"/>
      <c r="EU290" s="43"/>
      <c r="EV290" s="43"/>
      <c r="EW290" s="43"/>
      <c r="EX290" s="43"/>
      <c r="EY290" s="43"/>
      <c r="EZ290" s="43"/>
      <c r="FA290" s="43"/>
      <c r="FB290" s="43"/>
      <c r="FC290" s="43"/>
    </row>
    <row r="291" ht="18.0" customHeight="1">
      <c r="A291" s="2"/>
      <c r="B291" s="22" t="str">
        <f>IFERROR(VLOOKUP(C291,'Реестр'!C:AC,27,0)," ")</f>
        <v>Смарт-Сэйл</v>
      </c>
      <c r="C291" s="43" t="s">
        <v>4501</v>
      </c>
      <c r="D291" s="22" t="str">
        <f>IFERROR(VLOOKUP(C291,'Лист4'!D:P,13,0)," ")</f>
        <v>Алтея</v>
      </c>
      <c r="E291" s="22" t="str">
        <f>IF(OR(ISERROR(VLOOKUP(C291,'Актуальность'!A:B,2,0)), VLOOKUP(C291,'Актуальность'!A:B,2,0)=""), "Актуальный", VLOOKUP(C291,'Актуальность'!A:B,2,0))</f>
        <v>Под вопросом</v>
      </c>
      <c r="F291" s="43" t="str">
        <f>IFERROR(VLOOKUP(C291,'Актуальность'!A:C,3,0)," ")</f>
        <v>Проблема с отдушкой, выводим со старой отдушкой</v>
      </c>
      <c r="G291" s="43"/>
      <c r="H291" s="22" t="s">
        <v>2743</v>
      </c>
      <c r="I291" s="22" t="s">
        <v>287</v>
      </c>
      <c r="J291" s="43"/>
      <c r="K291" s="43"/>
      <c r="L291" s="22" t="b">
        <f t="shared" ref="L291:R291" si="287">T291&lt;&gt;""</f>
        <v>1</v>
      </c>
      <c r="M291" s="22" t="b">
        <f t="shared" si="287"/>
        <v>1</v>
      </c>
      <c r="N291" s="22" t="b">
        <f t="shared" si="287"/>
        <v>1</v>
      </c>
      <c r="O291" s="22" t="b">
        <f t="shared" si="287"/>
        <v>1</v>
      </c>
      <c r="P291" s="22" t="b">
        <f t="shared" si="287"/>
        <v>1</v>
      </c>
      <c r="Q291" s="22" t="b">
        <f t="shared" si="287"/>
        <v>1</v>
      </c>
      <c r="R291" s="22" t="b">
        <f t="shared" si="287"/>
        <v>1</v>
      </c>
      <c r="S291" s="43"/>
      <c r="T291" s="43" t="str">
        <f>IFERROR(VLOOKUP( C291,'1С'!A:B,2,0)," ")</f>
        <v>AC101100411</v>
      </c>
      <c r="U291" s="22" t="str">
        <f>IFERROR(VLOOKUP(T291,'Лист4'!C:I,3,0)," ")</f>
        <v>termo_sprei_200ml</v>
      </c>
      <c r="V291" s="22" t="str">
        <f>IFERROR(VLOOKUP(T291,'Лист4'!C:I,4,0)," ")</f>
        <v>termo_sprei_200ml</v>
      </c>
      <c r="W291" s="22" t="str">
        <f>IFERROR(VLOOKUP(T291,'Лист4'!C:I,5,0)," ")</f>
        <v>termo_sprei_200ml</v>
      </c>
      <c r="X291" s="55" t="s">
        <v>4501</v>
      </c>
      <c r="Y291" s="43" t="str">
        <f>IFERROR(VLOOKUP(T291,'Лист4'!C:I,6,0)," ")</f>
        <v>termo_sprei_200ml</v>
      </c>
      <c r="Z291" s="22" t="s">
        <v>4501</v>
      </c>
      <c r="AA291" s="43"/>
      <c r="AB291" s="22">
        <v>2.68373587E8</v>
      </c>
      <c r="AC291" s="22">
        <v>1.720926371E9</v>
      </c>
      <c r="AD291" s="22">
        <v>1.0382190439E11</v>
      </c>
      <c r="AE291" s="67">
        <v>9.9000076226E10</v>
      </c>
      <c r="AF291" s="22" t="s">
        <v>4505</v>
      </c>
      <c r="AG291" s="22" t="s">
        <v>4506</v>
      </c>
      <c r="AH291" s="43"/>
      <c r="AI291" s="43" t="str">
        <f>IFERROR(VLOOKUP(T291,'1С'!B:C,2,0)," ")</f>
        <v>Термозащитный спрей, Алтея, 200 мл</v>
      </c>
      <c r="AJ291" s="22" t="s">
        <v>4507</v>
      </c>
      <c r="AK291" s="22" t="s">
        <v>4508</v>
      </c>
      <c r="AL291" s="22" t="s">
        <v>4509</v>
      </c>
      <c r="AM291" s="43"/>
      <c r="AN291" s="22" t="s">
        <v>4510</v>
      </c>
      <c r="AO291" s="22" t="s">
        <v>4511</v>
      </c>
      <c r="AP291" s="43"/>
      <c r="AQ291" s="46" t="s">
        <v>4512</v>
      </c>
      <c r="AR291" s="46" t="s">
        <v>4513</v>
      </c>
      <c r="AS291" s="46" t="s">
        <v>4514</v>
      </c>
      <c r="AT291" s="43"/>
      <c r="AU291" s="46" t="s">
        <v>4515</v>
      </c>
      <c r="AV291" s="46" t="s">
        <v>4516</v>
      </c>
      <c r="AW291" s="43"/>
      <c r="AX291" s="22" t="s">
        <v>298</v>
      </c>
      <c r="AY291" s="22" t="s">
        <v>4508</v>
      </c>
      <c r="AZ291" s="22" t="s">
        <v>326</v>
      </c>
      <c r="BA291" s="22"/>
      <c r="BB291" s="22" t="s">
        <v>351</v>
      </c>
      <c r="BC291" s="22" t="s">
        <v>298</v>
      </c>
      <c r="BD291" s="43"/>
      <c r="BE291" s="43"/>
      <c r="BF291" s="22" t="str">
        <f>IFERROR(VLOOKUP(C291,'спецификация'!B:D,3,0)," ")</f>
        <v>khvoinitsa_1_1</v>
      </c>
      <c r="BG291" s="22">
        <v>3.305900009E9</v>
      </c>
      <c r="BH291" s="22" t="str">
        <f>IFERROR(VLOOKUP(C291,'спецификация'!B:AA,5,0)," ")</f>
        <v/>
      </c>
      <c r="BI291" s="22"/>
      <c r="BJ291" s="22" t="str">
        <f>IFERROR(VLOOKUP(C291,'спецификация'!B:AA,6,0)," ")</f>
        <v>нет</v>
      </c>
      <c r="BK291" s="43"/>
      <c r="BL291" s="43"/>
      <c r="BM291" s="22" t="str">
        <f>IFERROR(VLOOKUP(BF291,'спецификация'!D:H,5,0)," ")</f>
        <v>Aqua, Amodimethicone, Cetearyl Alcohol, Glycerin, Cetrimonium Chloride, Trideceth-12, Ceteareth 20, Polyquaternium-37, Behentrimonium Chloride, Lysine, Histidine, Arginine, Aspartic Acid, Threonine, Serine, Glutamic Acid, Proline, Glycine, Alanine, Valine, Methionine, Isoleucine, Leucine, Tyrosine, Phenylalanine, Cysteine, Sodium PCA, Glucose, Urea, Allantoin, Lactic Acid, Oenothera Biennis Oil, Retinyl Palmitate, Tocopheryl Acetate, Panthenol, Hydrolyzed Keratin, Hydrolysed Silk, Argania Spinosa Kernel Oil, PEG-7 Glyceryl Cocoate, Potassium Sorbate, Sodium Benzoate, Gluconolactone, Calcium Gluconate, PEG-40 Hydrogenated Castor Oil, Benzoic Acid, Dehydroacetic Acid, Parfum, Phenoxyethanol, Ethylhexylglycerin, Limonene, Hexyl Cinnamal, Coumarin, Isoeugenol, Linalool.</v>
      </c>
      <c r="BN291" s="43"/>
      <c r="BO291" s="22" t="str">
        <f>IFERROR(VLOOKUP(C291,'спецификация'!B:AA,10,0)," ")</f>
        <v>Перед применением встряхните флакон. Нанесите средство на чистые и подсушенные волосы на расстоянии 10-20 см  в необходимом количестве, распределите по длине волос. Приступите к укладке волос</v>
      </c>
      <c r="BP291" s="43" t="str">
        <f>IFERROR(VLOOKUP(C291,'спецификация'!B:AA,11,0)," ")</f>
        <v>нет</v>
      </c>
      <c r="BQ291" s="22" t="str">
        <f>IFERROR(VLOOKUP(C291,'спецификация'!B:AA,12,0)," ")</f>
        <v>Условия хранения: Хранить при температуре не ниже 5˚С и не выше 25˚ Не допускается хранить продукцию под непосредственным воздействием солнечного света и вблизи отопительных приборов.</v>
      </c>
      <c r="BR291" s="22">
        <v>200.0</v>
      </c>
      <c r="BS291" s="22" t="s">
        <v>139</v>
      </c>
      <c r="BT291" s="22"/>
      <c r="BU291" s="22"/>
      <c r="BV291" s="22" t="s">
        <v>307</v>
      </c>
      <c r="BW291" s="44" t="str">
        <f>IFERROR(VLOOKUP(C291,'спецификация'!B:AA,16,0)," ")</f>
        <v>https://docs.google.com/document/d/1WT4-T3aqOZDA2X0J-IUC1fC3oPYIBka2/edit?usp=drive_web&amp;ouid=104241417680089502627&amp;rtpof=true</v>
      </c>
      <c r="BX291" s="43"/>
      <c r="BY291" s="43"/>
      <c r="BZ291" s="45" t="str">
        <f>IFERROR(VLOOKUP(BF291,'спецификация'!D:Y,22,0)," ")</f>
        <v/>
      </c>
      <c r="CA291" s="43"/>
      <c r="CB291" s="43"/>
      <c r="CC291" s="43"/>
      <c r="CD291" s="43"/>
      <c r="CE291" s="43"/>
      <c r="CF291" s="43"/>
      <c r="CG291" s="49">
        <f>IFERROR(VLOOKUP(C291,CC!A:D,4,0)," ")</f>
        <v>116.1</v>
      </c>
      <c r="CH291" s="22" t="str">
        <f>IFERROR(VLOOKUP(C291,'спецификация'!B:AA,19,0)," ")</f>
        <v>ООО "Алтэя"</v>
      </c>
      <c r="CI291" s="22"/>
      <c r="CJ291" s="22" t="s">
        <v>2835</v>
      </c>
      <c r="CK291" s="22">
        <f>IFERROR(VLOOKUP(C291,CC!K:M,3,0)," ")</f>
        <v>90</v>
      </c>
      <c r="CL291" s="43"/>
      <c r="CM291" s="43"/>
      <c r="CN291" s="43"/>
      <c r="CO291" s="43"/>
      <c r="CP291" s="43"/>
      <c r="CQ291" s="43"/>
      <c r="CR291" s="43"/>
      <c r="CS291" s="43" t="b">
        <v>0</v>
      </c>
      <c r="CT291" s="43" t="b">
        <v>0</v>
      </c>
      <c r="CU291" s="43" t="b">
        <v>0</v>
      </c>
      <c r="CV291" s="43" t="b">
        <v>0</v>
      </c>
      <c r="CW291" s="43"/>
      <c r="CX291" s="43"/>
      <c r="CY291" s="43"/>
      <c r="CZ291" s="43"/>
      <c r="DA291" s="43"/>
      <c r="DB291" s="43"/>
      <c r="DC291" s="43"/>
      <c r="DD291" s="22">
        <f>IFERROR(VLOOKUP($C291,'Лист4'!$D:$AI,27,0)," ")</f>
        <v>4</v>
      </c>
      <c r="DE291" s="22">
        <f>IFERROR(VLOOKUP($C291,'Лист4'!$D:$AI,28,0)," ")</f>
        <v>18</v>
      </c>
      <c r="DF291" s="22">
        <f>IFERROR(VLOOKUP($C291,'Лист4'!$D:$AI,29,0)," ")</f>
        <v>4</v>
      </c>
      <c r="DG291" s="22">
        <f t="shared" si="3"/>
        <v>288</v>
      </c>
      <c r="DH291" s="22">
        <f>IFERROR(VLOOKUP($C291,'Лист4'!$D:$AI,32,0)," ")</f>
        <v>0.231</v>
      </c>
      <c r="DI291" s="22"/>
      <c r="DJ291" s="22"/>
      <c r="DK291" s="22"/>
      <c r="DL291" s="22"/>
      <c r="DM291" s="22"/>
      <c r="DN291" s="22"/>
      <c r="DO291" s="22"/>
      <c r="DP291" s="22"/>
      <c r="DQ291" s="22"/>
      <c r="DR291" s="22"/>
      <c r="DS291" s="22"/>
      <c r="DT291" s="22"/>
      <c r="DU291" s="22"/>
      <c r="DV291" s="22"/>
      <c r="DW291" s="22"/>
      <c r="DX291" s="22"/>
      <c r="DY291" s="22"/>
      <c r="DZ291" s="22"/>
      <c r="EA291" s="22"/>
      <c r="EB291" s="22"/>
      <c r="EC291" s="22"/>
      <c r="ED291" s="22"/>
      <c r="EE291" s="22"/>
      <c r="EF291" s="22"/>
      <c r="EG291" s="22"/>
      <c r="EH291" s="22"/>
      <c r="EI291" s="22"/>
      <c r="EJ291" s="22"/>
      <c r="EK291" s="22"/>
      <c r="EL291" s="22"/>
      <c r="EM291" s="43"/>
      <c r="EN291" s="43"/>
      <c r="EO291" s="43"/>
      <c r="EP291" s="43"/>
      <c r="EQ291" s="43"/>
      <c r="ER291" s="43"/>
      <c r="ES291" s="43"/>
      <c r="ET291" s="43"/>
      <c r="EU291" s="43"/>
      <c r="EV291" s="43"/>
      <c r="EW291" s="43"/>
      <c r="EX291" s="43"/>
      <c r="EY291" s="43"/>
      <c r="EZ291" s="43"/>
      <c r="FA291" s="43"/>
      <c r="FB291" s="43"/>
      <c r="FC291" s="43"/>
    </row>
    <row r="292" ht="18.0" customHeight="1">
      <c r="A292" s="2"/>
      <c r="B292" s="22" t="str">
        <f>IFERROR(VLOOKUP(C292,'Реестр'!C:AC,27,0)," ")</f>
        <v>Смарт-Сэйл</v>
      </c>
      <c r="C292" s="43" t="s">
        <v>4522</v>
      </c>
      <c r="D292" s="22" t="str">
        <f>IFERROR(VLOOKUP(C292,'Лист4'!D:P,13,0)," ")</f>
        <v>Алтея</v>
      </c>
      <c r="E292" s="22" t="str">
        <f>IF(OR(ISERROR(VLOOKUP(C292,'Актуальность'!A:B,2,0)), VLOOKUP(C292,'Актуальность'!A:B,2,0)=""), "Актуальный", VLOOKUP(C292,'Актуальность'!A:B,2,0))</f>
        <v>Актуальный</v>
      </c>
      <c r="F292" s="43" t="str">
        <f>IFERROR(VLOOKUP(C292,'Актуальность'!A:C,3,0)," ")</f>
        <v>Цена вниз</v>
      </c>
      <c r="G292" s="43"/>
      <c r="H292" s="22" t="s">
        <v>361</v>
      </c>
      <c r="I292" s="22" t="s">
        <v>3158</v>
      </c>
      <c r="J292" s="43"/>
      <c r="K292" s="43"/>
      <c r="L292" s="22" t="b">
        <f t="shared" ref="L292:R292" si="288">T292&lt;&gt;""</f>
        <v>1</v>
      </c>
      <c r="M292" s="22" t="b">
        <f t="shared" si="288"/>
        <v>1</v>
      </c>
      <c r="N292" s="22" t="b">
        <f t="shared" si="288"/>
        <v>1</v>
      </c>
      <c r="O292" s="22" t="b">
        <f t="shared" si="288"/>
        <v>1</v>
      </c>
      <c r="P292" s="22" t="b">
        <f t="shared" si="288"/>
        <v>0</v>
      </c>
      <c r="Q292" s="22" t="b">
        <f t="shared" si="288"/>
        <v>0</v>
      </c>
      <c r="R292" s="22" t="b">
        <f t="shared" si="288"/>
        <v>0</v>
      </c>
      <c r="S292" s="43"/>
      <c r="T292" s="43" t="str">
        <f>IFERROR(VLOOKUP( C292,'1С'!A:B,2,0)," ")</f>
        <v>AB101100410</v>
      </c>
      <c r="U292" s="22" t="str">
        <f>IFERROR(VLOOKUP(T292,'Лист4'!C:I,3,0)," ")</f>
        <v>ekdisteron_ultra_man_60caps</v>
      </c>
      <c r="V292" s="22" t="str">
        <f>IFERROR(VLOOKUP(T292,'Лист4'!C:I,4,0)," ")</f>
        <v>ekdisteron_ultra_man_60caps</v>
      </c>
      <c r="W292" s="22" t="str">
        <f>IFERROR(VLOOKUP(T292,'Лист4'!C:I,5,0)," ")</f>
        <v>ekdisteron_ultra_man_60caps</v>
      </c>
      <c r="X292" s="43" t="str">
        <f>IFERROR(VLOOKUP(T292,'Лист4'!C:I,7,0)," ")</f>
        <v/>
      </c>
      <c r="Y292" s="43" t="str">
        <f>IFERROR(VLOOKUP(T292,'Лист4'!C:I,6,0)," ")</f>
        <v/>
      </c>
      <c r="Z292" s="43"/>
      <c r="AA292" s="43"/>
      <c r="AB292" s="22">
        <v>4.09911126E8</v>
      </c>
      <c r="AC292" s="22">
        <v>2.099218978E9</v>
      </c>
      <c r="AD292" s="22">
        <v>4.476310745E9</v>
      </c>
      <c r="AE292" s="22"/>
      <c r="AF292" s="22"/>
      <c r="AG292" s="43"/>
      <c r="AH292" s="43"/>
      <c r="AI292" s="43" t="str">
        <f>IFERROR(VLOOKUP(T292,'1С'!B:C,2,0)," ")</f>
        <v>Пищевая добавка Экдистерон, Алтея, 60 капсул</v>
      </c>
      <c r="AJ292" s="22" t="s">
        <v>4525</v>
      </c>
      <c r="AK292" s="22" t="s">
        <v>4526</v>
      </c>
      <c r="AL292" s="22" t="s">
        <v>4527</v>
      </c>
      <c r="AM292" s="43"/>
      <c r="AN292" s="43"/>
      <c r="AO292" s="43"/>
      <c r="AP292" s="43"/>
      <c r="AQ292" s="46" t="s">
        <v>4528</v>
      </c>
      <c r="AR292" s="46" t="s">
        <v>4529</v>
      </c>
      <c r="AS292" s="46" t="s">
        <v>4530</v>
      </c>
      <c r="AT292" s="43"/>
      <c r="AU292" s="43"/>
      <c r="AV292" s="43"/>
      <c r="AW292" s="43"/>
      <c r="AX292" s="22" t="s">
        <v>669</v>
      </c>
      <c r="AY292" s="22" t="s">
        <v>4526</v>
      </c>
      <c r="AZ292" s="22" t="s">
        <v>670</v>
      </c>
      <c r="BA292" s="43"/>
      <c r="BB292" s="43"/>
      <c r="BC292" s="43"/>
      <c r="BD292" s="43"/>
      <c r="BE292" s="43"/>
      <c r="BF292" s="22">
        <f>IFERROR(VLOOKUP(C292,'спецификация'!B:D,3,0)," ")</f>
        <v>4673748455355</v>
      </c>
      <c r="BG292" s="22">
        <v>2.106909808E9</v>
      </c>
      <c r="BH292" s="22" t="str">
        <f>IFERROR(VLOOKUP(C292,'спецификация'!B:AA,5,0)," ")</f>
        <v>ЕАЭС N RU Д-RU.PA04.B.00354/25 от 28.04.2025 по 27.04.2028</v>
      </c>
      <c r="BI292" s="22"/>
      <c r="BJ292" s="22" t="str">
        <f>IFERROR(VLOOKUP(C292,'спецификация'!B:AA,6,0)," ")</f>
        <v>нет</v>
      </c>
      <c r="BK292" s="43"/>
      <c r="BL292" s="43"/>
      <c r="BM292" s="22" t="str">
        <f>IFERROR(VLOOKUP(BF292,'спецификация'!D:H,5,0)," ")</f>
        <v>экстракт корней левзеи сафлоровидной, экстракт спирулины, магния цитрат, цинка пиколинат, экстракт корня женьшеня, L-глютамин, L-аргинин, мальтодекстрин (наполнитель), желатин (капсула).</v>
      </c>
      <c r="BN292" s="43"/>
      <c r="BO292" s="22" t="str">
        <f>IFERROR(VLOOKUP(C292,'спецификация'!B:AA,10,0)," ")</f>
        <v>взрослым по 1 капсуле 1 раз в день в первой половине дня</v>
      </c>
      <c r="BP292" s="43" t="str">
        <f>IFERROR(VLOOKUP(C292,'спецификация'!B:AA,11,0)," ")</f>
        <v>артериальная гипертензия, бессонница, индивидуальная непереносимость компонентов, беременность, кормление грудью.</v>
      </c>
      <c r="BQ292" s="22" t="str">
        <f>IFERROR(VLOOKUP(C292,'спецификация'!B:AA,12,0)," ")</f>
        <v>хранить в сухом, защищенном от попадания прямых солнечных лучей, недоступном для детей месте при температуре не выше 25°С</v>
      </c>
      <c r="BR292" s="22">
        <v>60.0</v>
      </c>
      <c r="BS292" s="22" t="s">
        <v>492</v>
      </c>
      <c r="BT292" s="22"/>
      <c r="BU292" s="22"/>
      <c r="BV292" s="22" t="s">
        <v>307</v>
      </c>
      <c r="BW292" s="44" t="str">
        <f>IFERROR(VLOOKUP(C292,'спецификация'!B:AA,16,0)," ")</f>
        <v>https://docs.google.com/document/d/1c1XLZ9q_YS7o0GQ3og-vSkYD3FTTqw9v/edit?usp=drive_web&amp;ouid=104241417680089502627&amp;rtpof=true</v>
      </c>
      <c r="BX292" s="43"/>
      <c r="BY292" s="43"/>
      <c r="BZ292" s="45" t="str">
        <f>IFERROR(VLOOKUP(BF292,'спецификация'!D:Y,22,0)," ")</f>
        <v/>
      </c>
      <c r="CA292" s="43"/>
      <c r="CB292" s="43"/>
      <c r="CC292" s="43"/>
      <c r="CD292" s="43"/>
      <c r="CE292" s="43"/>
      <c r="CF292" s="43"/>
      <c r="CG292" s="49">
        <f>IFERROR(VLOOKUP(C292,CC!A:D,4,0)," ")</f>
        <v>180.68</v>
      </c>
      <c r="CH292" s="22" t="str">
        <f>IFERROR(VLOOKUP(C292,'спецификация'!B:AA,19,0)," ")</f>
        <v>ООО ТПК "Саморазвитие"</v>
      </c>
      <c r="CI292" s="22"/>
      <c r="CJ292" s="22" t="s">
        <v>1702</v>
      </c>
      <c r="CK292" s="22">
        <f>IFERROR(VLOOKUP(C292,CC!K:M,3,0)," ")</f>
        <v>60</v>
      </c>
      <c r="CL292" s="43"/>
      <c r="CM292" s="43"/>
      <c r="CN292" s="43"/>
      <c r="CO292" s="43"/>
      <c r="CP292" s="43"/>
      <c r="CQ292" s="43"/>
      <c r="CR292" s="43"/>
      <c r="CS292" s="43" t="b">
        <v>0</v>
      </c>
      <c r="CT292" s="43" t="b">
        <v>0</v>
      </c>
      <c r="CU292" s="43" t="b">
        <v>0</v>
      </c>
      <c r="CV292" s="43" t="b">
        <v>0</v>
      </c>
      <c r="CW292" s="43"/>
      <c r="CX292" s="43"/>
      <c r="CY292" s="43"/>
      <c r="CZ292" s="43"/>
      <c r="DA292" s="43"/>
      <c r="DB292" s="43"/>
      <c r="DC292" s="43"/>
      <c r="DD292" s="22">
        <f>IFERROR(VLOOKUP($C292,'Лист4'!$D:$AI,27,0)," ")</f>
        <v>5</v>
      </c>
      <c r="DE292" s="22">
        <f>IFERROR(VLOOKUP($C292,'Лист4'!$D:$AI,28,0)," ")</f>
        <v>5</v>
      </c>
      <c r="DF292" s="22">
        <f>IFERROR(VLOOKUP($C292,'Лист4'!$D:$AI,29,0)," ")</f>
        <v>5</v>
      </c>
      <c r="DG292" s="22">
        <f t="shared" si="3"/>
        <v>125</v>
      </c>
      <c r="DH292" s="22">
        <f>IFERROR(VLOOKUP($C292,'Лист4'!$D:$AI,32,0)," ")</f>
        <v>0.048</v>
      </c>
      <c r="DI292" s="22"/>
      <c r="DJ292" s="22"/>
      <c r="DK292" s="22"/>
      <c r="DL292" s="22"/>
      <c r="DM292" s="22"/>
      <c r="DN292" s="22"/>
      <c r="DO292" s="22"/>
      <c r="DP292" s="22"/>
      <c r="DQ292" s="22"/>
      <c r="DR292" s="22"/>
      <c r="DS292" s="22"/>
      <c r="DT292" s="22"/>
      <c r="DU292" s="22"/>
      <c r="DV292" s="22"/>
      <c r="DW292" s="22"/>
      <c r="DX292" s="22"/>
      <c r="DY292" s="22"/>
      <c r="DZ292" s="22"/>
      <c r="EA292" s="22"/>
      <c r="EB292" s="22"/>
      <c r="EC292" s="22"/>
      <c r="ED292" s="22"/>
      <c r="EE292" s="22"/>
      <c r="EF292" s="22"/>
      <c r="EG292" s="22"/>
      <c r="EH292" s="22"/>
      <c r="EI292" s="22"/>
      <c r="EJ292" s="22"/>
      <c r="EK292" s="22"/>
      <c r="EL292" s="22"/>
      <c r="EM292" s="43"/>
      <c r="EN292" s="43"/>
      <c r="EO292" s="43"/>
      <c r="EP292" s="43"/>
      <c r="EQ292" s="43"/>
      <c r="ER292" s="43"/>
      <c r="ES292" s="43"/>
      <c r="ET292" s="43"/>
      <c r="EU292" s="43"/>
      <c r="EV292" s="43"/>
      <c r="EW292" s="43"/>
      <c r="EX292" s="43"/>
      <c r="EY292" s="43"/>
      <c r="EZ292" s="43"/>
      <c r="FA292" s="43"/>
      <c r="FB292" s="43"/>
      <c r="FC292" s="43"/>
    </row>
    <row r="293" ht="18.0" customHeight="1">
      <c r="A293" s="2"/>
      <c r="B293" s="22" t="str">
        <f>IFERROR(VLOOKUP(C293,'Реестр'!C:AC,27,0)," ")</f>
        <v>Смарт-Сэйл</v>
      </c>
      <c r="C293" s="43" t="s">
        <v>4536</v>
      </c>
      <c r="D293" s="22" t="str">
        <f>IFERROR(VLOOKUP(C293,'Лист4'!D:P,13,0)," ")</f>
        <v>CPA</v>
      </c>
      <c r="E293" s="22" t="str">
        <f>IF(OR(ISERROR(VLOOKUP(C293,'Актуальность'!A:B,2,0)), VLOOKUP(C293,'Актуальность'!A:B,2,0)=""), "Актуальный", VLOOKUP(C293,'Актуальность'!A:B,2,0))</f>
        <v>Актуальный</v>
      </c>
      <c r="F293" s="43" t="str">
        <f>IFERROR(VLOOKUP(C293,'Актуальность'!A:C,3,0)," ")</f>
        <v/>
      </c>
      <c r="G293" s="43"/>
      <c r="H293" s="22" t="s">
        <v>2663</v>
      </c>
      <c r="I293" s="22" t="s">
        <v>4058</v>
      </c>
      <c r="J293" s="43"/>
      <c r="K293" s="43"/>
      <c r="L293" s="22" t="b">
        <f t="shared" ref="L293:R293" si="289">T293&lt;&gt;""</f>
        <v>1</v>
      </c>
      <c r="M293" s="22" t="b">
        <f t="shared" si="289"/>
        <v>1</v>
      </c>
      <c r="N293" s="22" t="b">
        <f t="shared" si="289"/>
        <v>1</v>
      </c>
      <c r="O293" s="22" t="b">
        <f t="shared" si="289"/>
        <v>1</v>
      </c>
      <c r="P293" s="22" t="b">
        <f t="shared" si="289"/>
        <v>1</v>
      </c>
      <c r="Q293" s="22" t="b">
        <f t="shared" si="289"/>
        <v>0</v>
      </c>
      <c r="R293" s="22" t="b">
        <f t="shared" si="289"/>
        <v>0</v>
      </c>
      <c r="S293" s="43"/>
      <c r="T293" s="43" t="str">
        <f>IFERROR(VLOOKUP( C293,'1С'!A:B,2,0)," ")</f>
        <v>CC101100420</v>
      </c>
      <c r="U293" s="22" t="str">
        <f>IFERROR(VLOOKUP(T293,'Лист4'!C:I,3,0)," ")</f>
        <v>psoral_50ml</v>
      </c>
      <c r="V293" s="22" t="str">
        <f>IFERROR(VLOOKUP(T293,'Лист4'!C:I,4,0)," ")</f>
        <v>psoral_50ml</v>
      </c>
      <c r="W293" s="22" t="str">
        <f>IFERROR(VLOOKUP(T293,'Лист4'!C:I,5,0)," ")</f>
        <v>psoral_50ml</v>
      </c>
      <c r="X293" s="43" t="str">
        <f>IFERROR(VLOOKUP(T293,'Лист4'!C:I,7,0)," ")</f>
        <v>psoral_50ml</v>
      </c>
      <c r="Y293" s="43"/>
      <c r="Z293" s="43"/>
      <c r="AA293" s="43"/>
      <c r="AB293" s="22">
        <v>1.86794178E8</v>
      </c>
      <c r="AC293" s="22">
        <v>1.271351989E9</v>
      </c>
      <c r="AD293" s="22">
        <v>1.03331699962E11</v>
      </c>
      <c r="AE293" s="22">
        <v>9.9000125141E10</v>
      </c>
      <c r="AF293" s="22"/>
      <c r="AG293" s="43"/>
      <c r="AH293" s="43"/>
      <c r="AI293" s="43" t="str">
        <f>IFERROR(VLOOKUP(T293,'1С'!B:C,2,0)," ")</f>
        <v>Мазь от псориаза Псорал, CPA, 50 мл</v>
      </c>
      <c r="AJ293" s="22" t="s">
        <v>4539</v>
      </c>
      <c r="AK293" s="22" t="s">
        <v>4540</v>
      </c>
      <c r="AL293" s="22" t="s">
        <v>4541</v>
      </c>
      <c r="AM293" s="22" t="s">
        <v>4542</v>
      </c>
      <c r="AN293" s="43"/>
      <c r="AO293" s="43"/>
      <c r="AP293" s="43"/>
      <c r="AQ293" s="46" t="s">
        <v>4543</v>
      </c>
      <c r="AR293" s="46" t="s">
        <v>4544</v>
      </c>
      <c r="AS293" s="46" t="s">
        <v>4545</v>
      </c>
      <c r="AT293" s="46" t="s">
        <v>4546</v>
      </c>
      <c r="AU293" s="43"/>
      <c r="AV293" s="43"/>
      <c r="AW293" s="43"/>
      <c r="AX293" s="22" t="s">
        <v>594</v>
      </c>
      <c r="AY293" s="22" t="s">
        <v>4540</v>
      </c>
      <c r="AZ293" s="22" t="s">
        <v>2672</v>
      </c>
      <c r="BA293" s="22" t="s">
        <v>1834</v>
      </c>
      <c r="BB293" s="43"/>
      <c r="BC293" s="43"/>
      <c r="BD293" s="43"/>
      <c r="BE293" s="43"/>
      <c r="BF293" s="43" t="s">
        <v>4547</v>
      </c>
      <c r="BG293" s="22">
        <v>3.30499E9</v>
      </c>
      <c r="BH293" s="43" t="s">
        <v>4548</v>
      </c>
      <c r="BI293" s="43"/>
      <c r="BJ293" s="22" t="str">
        <f>IFERROR(VLOOKUP(C293,'спецификация'!B:AA,6,0)," ")</f>
        <v/>
      </c>
      <c r="BK293" s="43"/>
      <c r="BL293" s="43"/>
      <c r="BM293" s="22" t="str">
        <f>IFERROR(VLOOKUP(BF293,'спецификация'!D:H,5,0)," ")</f>
        <v> </v>
      </c>
      <c r="BN293" s="43"/>
      <c r="BO293" s="43" t="s">
        <v>4549</v>
      </c>
      <c r="BP293" s="43" t="s">
        <v>4550</v>
      </c>
      <c r="BQ293" s="43" t="s">
        <v>4551</v>
      </c>
      <c r="BR293" s="22">
        <v>50.0</v>
      </c>
      <c r="BS293" s="22" t="s">
        <v>139</v>
      </c>
      <c r="BT293" s="22"/>
      <c r="BU293" s="22"/>
      <c r="BV293" s="22" t="s">
        <v>307</v>
      </c>
      <c r="BW293" s="68" t="s">
        <v>4552</v>
      </c>
      <c r="BX293" s="43"/>
      <c r="BY293" s="43"/>
      <c r="BZ293" s="45" t="str">
        <f>IFERROR(VLOOKUP(BF293,'спецификация'!D:Y,22,0)," ")</f>
        <v> </v>
      </c>
      <c r="CA293" s="43"/>
      <c r="CB293" s="43"/>
      <c r="CC293" s="43"/>
      <c r="CD293" s="43"/>
      <c r="CE293" s="43"/>
      <c r="CF293" s="43"/>
      <c r="CG293" s="49">
        <f>IFERROR(VLOOKUP(C293,CC!A:D,4,0)," ")</f>
        <v>131.42</v>
      </c>
      <c r="CH293" s="22" t="s">
        <v>4553</v>
      </c>
      <c r="CI293" s="22"/>
      <c r="CJ293" s="43"/>
      <c r="CK293" s="22">
        <f>IFERROR(VLOOKUP(C293,CC!K:M,3,0)," ")</f>
        <v>60</v>
      </c>
      <c r="CL293" s="43"/>
      <c r="CM293" s="43"/>
      <c r="CN293" s="43"/>
      <c r="CO293" s="43"/>
      <c r="CP293" s="43"/>
      <c r="CQ293" s="43"/>
      <c r="CR293" s="43"/>
      <c r="CS293" s="43" t="b">
        <v>0</v>
      </c>
      <c r="CT293" s="43" t="b">
        <v>0</v>
      </c>
      <c r="CU293" s="43" t="b">
        <v>0</v>
      </c>
      <c r="CV293" s="43" t="b">
        <v>0</v>
      </c>
      <c r="CW293" s="43"/>
      <c r="CX293" s="43"/>
      <c r="CY293" s="43"/>
      <c r="CZ293" s="43"/>
      <c r="DA293" s="43"/>
      <c r="DB293" s="43"/>
      <c r="DC293" s="43"/>
      <c r="DD293" s="22">
        <f>IFERROR(VLOOKUP($C293,'Лист4'!$D:$AI,27,0)," ")</f>
        <v>13</v>
      </c>
      <c r="DE293" s="22">
        <f>IFERROR(VLOOKUP($C293,'Лист4'!$D:$AI,28,0)," ")</f>
        <v>4</v>
      </c>
      <c r="DF293" s="22">
        <f>IFERROR(VLOOKUP($C293,'Лист4'!$D:$AI,29,0)," ")</f>
        <v>13</v>
      </c>
      <c r="DG293" s="22">
        <f t="shared" si="3"/>
        <v>676</v>
      </c>
      <c r="DH293" s="22">
        <f>IFERROR(VLOOKUP($C293,'Лист4'!$D:$AI,32,0)," ")</f>
        <v>0.075</v>
      </c>
      <c r="DI293" s="22"/>
      <c r="DJ293" s="22"/>
      <c r="DK293" s="22"/>
      <c r="DL293" s="22"/>
      <c r="DM293" s="22"/>
      <c r="DN293" s="22"/>
      <c r="DO293" s="22"/>
      <c r="DP293" s="22"/>
      <c r="DQ293" s="22"/>
      <c r="DR293" s="22"/>
      <c r="DS293" s="22"/>
      <c r="DT293" s="22"/>
      <c r="DU293" s="22"/>
      <c r="DV293" s="22"/>
      <c r="DW293" s="22"/>
      <c r="DX293" s="22"/>
      <c r="DY293" s="22"/>
      <c r="DZ293" s="22"/>
      <c r="EA293" s="22"/>
      <c r="EB293" s="22"/>
      <c r="EC293" s="22"/>
      <c r="ED293" s="22"/>
      <c r="EE293" s="22"/>
      <c r="EF293" s="22"/>
      <c r="EG293" s="22"/>
      <c r="EH293" s="22"/>
      <c r="EI293" s="22"/>
      <c r="EJ293" s="22"/>
      <c r="EK293" s="22"/>
      <c r="EL293" s="22"/>
      <c r="EM293" s="43"/>
      <c r="EN293" s="43"/>
      <c r="EO293" s="43"/>
      <c r="EP293" s="43"/>
      <c r="EQ293" s="43"/>
      <c r="ER293" s="43"/>
      <c r="ES293" s="43"/>
      <c r="ET293" s="43"/>
      <c r="EU293" s="43"/>
      <c r="EV293" s="43"/>
      <c r="EW293" s="43"/>
      <c r="EX293" s="43"/>
      <c r="EY293" s="43"/>
      <c r="EZ293" s="43"/>
      <c r="FA293" s="43"/>
      <c r="FB293" s="43"/>
      <c r="FC293" s="43"/>
    </row>
    <row r="294" ht="18.0" customHeight="1">
      <c r="A294" s="2"/>
      <c r="B294" s="22" t="str">
        <f>IFERROR(VLOOKUP(C294,'Реестр'!C:AC,27,0)," ")</f>
        <v>Смарт-Сэйл</v>
      </c>
      <c r="C294" s="43" t="s">
        <v>4554</v>
      </c>
      <c r="D294" s="22" t="str">
        <f>IFERROR(VLOOKUP(C294,'Лист4'!D:P,13,0)," ")</f>
        <v>CPA</v>
      </c>
      <c r="E294" s="22" t="str">
        <f>IF(OR(ISERROR(VLOOKUP(C294,'Актуальность'!A:B,2,0)), VLOOKUP(C294,'Актуальность'!A:B,2,0)=""), "Актуальный", VLOOKUP(C294,'Актуальность'!A:B,2,0))</f>
        <v>Актуальный</v>
      </c>
      <c r="F294" s="43" t="str">
        <f>IFERROR(VLOOKUP(C294,'Актуальность'!A:C,3,0)," ")</f>
        <v/>
      </c>
      <c r="G294" s="43"/>
      <c r="H294" s="22" t="s">
        <v>2663</v>
      </c>
      <c r="I294" s="22" t="s">
        <v>3437</v>
      </c>
      <c r="J294" s="43"/>
      <c r="K294" s="43"/>
      <c r="L294" s="22" t="b">
        <f t="shared" ref="L294:R294" si="290">T294&lt;&gt;""</f>
        <v>1</v>
      </c>
      <c r="M294" s="22" t="b">
        <f t="shared" si="290"/>
        <v>1</v>
      </c>
      <c r="N294" s="22" t="b">
        <f t="shared" si="290"/>
        <v>1</v>
      </c>
      <c r="O294" s="22" t="b">
        <f t="shared" si="290"/>
        <v>1</v>
      </c>
      <c r="P294" s="22" t="b">
        <f t="shared" si="290"/>
        <v>0</v>
      </c>
      <c r="Q294" s="22" t="b">
        <f t="shared" si="290"/>
        <v>0</v>
      </c>
      <c r="R294" s="22" t="b">
        <f t="shared" si="290"/>
        <v>0</v>
      </c>
      <c r="S294" s="43"/>
      <c r="T294" s="43" t="str">
        <f>IFERROR(VLOOKUP( C294,'1С'!A:B,2,0)," ")</f>
        <v>CC101100400</v>
      </c>
      <c r="U294" s="22" t="str">
        <f>IFERROR(VLOOKUP(T294,'Лист4'!C:I,3,0)," ")</f>
        <v>wbvaritox</v>
      </c>
      <c r="V294" s="22" t="str">
        <f>IFERROR(VLOOKUP(T294,'Лист4'!C:I,4,0)," ")</f>
        <v>wbvaritox</v>
      </c>
      <c r="W294" s="22" t="str">
        <f>IFERROR(VLOOKUP(T294,'Лист4'!C:I,5,0)," ")</f>
        <v>wbvaritox</v>
      </c>
      <c r="X294" s="43" t="str">
        <f>IFERROR(VLOOKUP(T294,'Лист4'!C:I,7,0)," ")</f>
        <v/>
      </c>
      <c r="Y294" s="43" t="str">
        <f>IFERROR(VLOOKUP(T294,'Лист4'!C:I,6,0)," ")</f>
        <v/>
      </c>
      <c r="Z294" s="43"/>
      <c r="AA294" s="43"/>
      <c r="AB294" s="22">
        <v>1.7904962E7</v>
      </c>
      <c r="AC294" s="22">
        <v>2.89030651E8</v>
      </c>
      <c r="AD294" s="22">
        <v>1.03515423625E11</v>
      </c>
      <c r="AE294" s="22"/>
      <c r="AF294" s="22"/>
      <c r="AG294" s="43"/>
      <c r="AH294" s="43"/>
      <c r="AI294" s="43" t="str">
        <f>IFERROR(VLOOKUP(T294,'1С'!B:C,2,0)," ")</f>
        <v>Крем от варикоза Varitox, CPA, 30 мл</v>
      </c>
      <c r="AJ294" s="22" t="s">
        <v>4557</v>
      </c>
      <c r="AK294" s="22" t="s">
        <v>4558</v>
      </c>
      <c r="AL294" s="22" t="s">
        <v>4559</v>
      </c>
      <c r="AM294" s="43"/>
      <c r="AN294" s="43"/>
      <c r="AO294" s="43"/>
      <c r="AP294" s="43"/>
      <c r="AQ294" s="46" t="s">
        <v>4560</v>
      </c>
      <c r="AR294" s="46" t="s">
        <v>4561</v>
      </c>
      <c r="AS294" s="46" t="s">
        <v>4562</v>
      </c>
      <c r="AT294" s="43"/>
      <c r="AU294" s="43"/>
      <c r="AV294" s="43"/>
      <c r="AW294" s="43"/>
      <c r="AX294" s="22" t="s">
        <v>3445</v>
      </c>
      <c r="AY294" s="22" t="s">
        <v>4558</v>
      </c>
      <c r="AZ294" s="22" t="s">
        <v>2672</v>
      </c>
      <c r="BA294" s="43"/>
      <c r="BB294" s="43"/>
      <c r="BC294" s="43"/>
      <c r="BD294" s="43"/>
      <c r="BE294" s="43"/>
      <c r="BF294" s="22" t="str">
        <f>IFERROR(VLOOKUP(C294,'спецификация'!B:D,3,0)," ")</f>
        <v> </v>
      </c>
      <c r="BG294" s="22">
        <v>3.30499E9</v>
      </c>
      <c r="BH294" s="22" t="str">
        <f>IFERROR(VLOOKUP(C294,'спецификация'!B:AA,5,0)," ")</f>
        <v> </v>
      </c>
      <c r="BI294" s="22"/>
      <c r="BJ294" s="22" t="str">
        <f>IFERROR(VLOOKUP(C294,'спецификация'!B:AA,6,0)," ")</f>
        <v> </v>
      </c>
      <c r="BK294" s="43"/>
      <c r="BL294" s="43"/>
      <c r="BM294" s="22" t="str">
        <f>IFERROR(VLOOKUP(BF294,'спецификация'!D:H,5,0)," ")</f>
        <v> </v>
      </c>
      <c r="BN294" s="43"/>
      <c r="BO294" s="22" t="str">
        <f>IFERROR(VLOOKUP(C294,'спецификация'!B:AA,10,0)," ")</f>
        <v> </v>
      </c>
      <c r="BP294" s="43" t="str">
        <f>IFERROR(VLOOKUP(C294,'спецификация'!B:AA,11,0)," ")</f>
        <v> </v>
      </c>
      <c r="BQ294" s="22" t="str">
        <f>IFERROR(VLOOKUP(C294,'спецификация'!B:AA,12,0)," ")</f>
        <v> </v>
      </c>
      <c r="BR294" s="22">
        <v>30.0</v>
      </c>
      <c r="BS294" s="22" t="s">
        <v>139</v>
      </c>
      <c r="BT294" s="22"/>
      <c r="BU294" s="22"/>
      <c r="BV294" s="22" t="s">
        <v>307</v>
      </c>
      <c r="BW294" s="45" t="str">
        <f>IFERROR(VLOOKUP(C294,'спецификация'!B:AA,16,0)," ")</f>
        <v> </v>
      </c>
      <c r="BX294" s="43"/>
      <c r="BY294" s="43"/>
      <c r="BZ294" s="45" t="str">
        <f>IFERROR(VLOOKUP(BF294,'спецификация'!D:Y,22,0)," ")</f>
        <v> </v>
      </c>
      <c r="CA294" s="43"/>
      <c r="CB294" s="43"/>
      <c r="CC294" s="43"/>
      <c r="CD294" s="43"/>
      <c r="CE294" s="43"/>
      <c r="CF294" s="43"/>
      <c r="CG294" s="49">
        <f>IFERROR(VLOOKUP(C294,CC!A:D,4,0)," ")</f>
        <v>115.72</v>
      </c>
      <c r="CH294" s="22" t="str">
        <f>IFERROR(VLOOKUP(C294,'спецификация'!B:AA,19,0)," ")</f>
        <v> </v>
      </c>
      <c r="CI294" s="22"/>
      <c r="CJ294" s="43"/>
      <c r="CK294" s="22" t="str">
        <f>IFERROR(VLOOKUP(C294,CC!K:M,3,0)," ")</f>
        <v> </v>
      </c>
      <c r="CL294" s="43"/>
      <c r="CM294" s="43"/>
      <c r="CN294" s="43"/>
      <c r="CO294" s="43"/>
      <c r="CP294" s="43"/>
      <c r="CQ294" s="43"/>
      <c r="CR294" s="43"/>
      <c r="CS294" s="43" t="b">
        <v>0</v>
      </c>
      <c r="CT294" s="43" t="b">
        <v>0</v>
      </c>
      <c r="CU294" s="43" t="b">
        <v>0</v>
      </c>
      <c r="CV294" s="43" t="b">
        <v>0</v>
      </c>
      <c r="CW294" s="43"/>
      <c r="CX294" s="43"/>
      <c r="CY294" s="43"/>
      <c r="CZ294" s="43"/>
      <c r="DA294" s="43"/>
      <c r="DB294" s="43"/>
      <c r="DC294" s="43"/>
      <c r="DD294" s="22">
        <f>IFERROR(VLOOKUP($C294,'Лист4'!$D:$AI,27,0)," ")</f>
        <v>4</v>
      </c>
      <c r="DE294" s="22">
        <f>IFERROR(VLOOKUP($C294,'Лист4'!$D:$AI,28,0)," ")</f>
        <v>4</v>
      </c>
      <c r="DF294" s="22">
        <f>IFERROR(VLOOKUP($C294,'Лист4'!$D:$AI,29,0)," ")</f>
        <v>4</v>
      </c>
      <c r="DG294" s="22">
        <f t="shared" si="3"/>
        <v>64</v>
      </c>
      <c r="DH294" s="22">
        <f>IFERROR(VLOOKUP($C294,'Лист4'!$D:$AI,32,0)," ")</f>
        <v>0.172</v>
      </c>
      <c r="DI294" s="22"/>
      <c r="DJ294" s="22"/>
      <c r="DK294" s="22"/>
      <c r="DL294" s="22"/>
      <c r="DM294" s="22"/>
      <c r="DN294" s="22"/>
      <c r="DO294" s="22"/>
      <c r="DP294" s="22"/>
      <c r="DQ294" s="22"/>
      <c r="DR294" s="22"/>
      <c r="DS294" s="22"/>
      <c r="DT294" s="22"/>
      <c r="DU294" s="22"/>
      <c r="DV294" s="22"/>
      <c r="DW294" s="22"/>
      <c r="DX294" s="22"/>
      <c r="DY294" s="22"/>
      <c r="DZ294" s="22"/>
      <c r="EA294" s="22"/>
      <c r="EB294" s="22"/>
      <c r="EC294" s="22"/>
      <c r="ED294" s="22"/>
      <c r="EE294" s="22"/>
      <c r="EF294" s="22"/>
      <c r="EG294" s="22"/>
      <c r="EH294" s="22"/>
      <c r="EI294" s="22"/>
      <c r="EJ294" s="22"/>
      <c r="EK294" s="22"/>
      <c r="EL294" s="22"/>
      <c r="EM294" s="43"/>
      <c r="EN294" s="43"/>
      <c r="EO294" s="43"/>
      <c r="EP294" s="43"/>
      <c r="EQ294" s="43"/>
      <c r="ER294" s="43"/>
      <c r="ES294" s="43"/>
      <c r="ET294" s="43"/>
      <c r="EU294" s="43"/>
      <c r="EV294" s="43"/>
      <c r="EW294" s="43"/>
      <c r="EX294" s="43"/>
      <c r="EY294" s="43"/>
      <c r="EZ294" s="43"/>
      <c r="FA294" s="43"/>
      <c r="FB294" s="43"/>
      <c r="FC294" s="43"/>
    </row>
    <row r="295" ht="18.0" customHeight="1">
      <c r="A295" s="2"/>
      <c r="B295" s="22" t="str">
        <f>IFERROR(VLOOKUP(C295,'Реестр'!C:AC,27,0)," ")</f>
        <v>Смарт-Сэйл</v>
      </c>
      <c r="C295" s="43" t="s">
        <v>4567</v>
      </c>
      <c r="D295" s="22" t="str">
        <f>IFERROR(VLOOKUP(C295,'Лист4'!D:P,13,0)," ")</f>
        <v>CPA</v>
      </c>
      <c r="E295" s="22" t="str">
        <f>IF(OR(ISERROR(VLOOKUP(C295,'Актуальность'!A:B,2,0)), VLOOKUP(C295,'Актуальность'!A:B,2,0)=""), "Актуальный", VLOOKUP(C295,'Актуальность'!A:B,2,0))</f>
        <v>Актуальный</v>
      </c>
      <c r="F295" s="43" t="str">
        <f>IFERROR(VLOOKUP(C295,'Актуальность'!A:C,3,0)," ")</f>
        <v/>
      </c>
      <c r="G295" s="43"/>
      <c r="H295" s="22" t="s">
        <v>2663</v>
      </c>
      <c r="I295" s="22" t="s">
        <v>3888</v>
      </c>
      <c r="J295" s="43"/>
      <c r="K295" s="43"/>
      <c r="L295" s="22" t="b">
        <f t="shared" ref="L295:R295" si="291">T295&lt;&gt;""</f>
        <v>1</v>
      </c>
      <c r="M295" s="22" t="b">
        <f t="shared" si="291"/>
        <v>1</v>
      </c>
      <c r="N295" s="22" t="b">
        <f t="shared" si="291"/>
        <v>1</v>
      </c>
      <c r="O295" s="22" t="b">
        <f t="shared" si="291"/>
        <v>1</v>
      </c>
      <c r="P295" s="22" t="b">
        <f t="shared" si="291"/>
        <v>0</v>
      </c>
      <c r="Q295" s="22" t="b">
        <f t="shared" si="291"/>
        <v>0</v>
      </c>
      <c r="R295" s="22" t="b">
        <f t="shared" si="291"/>
        <v>0</v>
      </c>
      <c r="S295" s="43"/>
      <c r="T295" s="43" t="str">
        <f>IFERROR(VLOOKUP( C295,'1С'!A:B,2,0)," ")</f>
        <v>CO101100402</v>
      </c>
      <c r="U295" s="22" t="str">
        <f>IFERROR(VLOOKUP(T295,'Лист4'!C:I,3,0)," ")</f>
        <v>smokinglock</v>
      </c>
      <c r="V295" s="22" t="str">
        <f>IFERROR(VLOOKUP(T295,'Лист4'!C:I,4,0)," ")</f>
        <v>smokinglock</v>
      </c>
      <c r="W295" s="22" t="str">
        <f>IFERROR(VLOOKUP(T295,'Лист4'!C:I,5,0)," ")</f>
        <v>smokinglock</v>
      </c>
      <c r="X295" s="43" t="str">
        <f>IFERROR(VLOOKUP(T295,'Лист4'!C:I,7,0)," ")</f>
        <v/>
      </c>
      <c r="Y295" s="43" t="str">
        <f>IFERROR(VLOOKUP(T295,'Лист4'!C:I,6,0)," ")</f>
        <v/>
      </c>
      <c r="Z295" s="43"/>
      <c r="AA295" s="43"/>
      <c r="AB295" s="22">
        <v>9.5461301E7</v>
      </c>
      <c r="AC295" s="22">
        <v>6.69955177E8</v>
      </c>
      <c r="AD295" s="22">
        <v>1.03340891622E11</v>
      </c>
      <c r="AE295" s="22"/>
      <c r="AF295" s="22"/>
      <c r="AG295" s="43"/>
      <c r="AH295" s="43"/>
      <c r="AI295" s="43" t="str">
        <f>IFERROR(VLOOKUP(T295,'1С'!B:C,2,0)," ")</f>
        <v>Пищевая добавка Smoking Lock, CPA, 10 мл</v>
      </c>
      <c r="AJ295" s="22" t="s">
        <v>4570</v>
      </c>
      <c r="AK295" s="22" t="s">
        <v>4571</v>
      </c>
      <c r="AL295" s="22" t="s">
        <v>4571</v>
      </c>
      <c r="AM295" s="43"/>
      <c r="AN295" s="43"/>
      <c r="AO295" s="43"/>
      <c r="AP295" s="43"/>
      <c r="AQ295" s="46" t="s">
        <v>4572</v>
      </c>
      <c r="AR295" s="46" t="s">
        <v>4573</v>
      </c>
      <c r="AS295" s="46" t="s">
        <v>4574</v>
      </c>
      <c r="AT295" s="43"/>
      <c r="AU295" s="43"/>
      <c r="AV295" s="43"/>
      <c r="AW295" s="43"/>
      <c r="AX295" s="22" t="s">
        <v>649</v>
      </c>
      <c r="AY295" s="22" t="s">
        <v>4571</v>
      </c>
      <c r="AZ295" s="22" t="s">
        <v>2692</v>
      </c>
      <c r="BA295" s="43"/>
      <c r="BB295" s="43"/>
      <c r="BC295" s="43"/>
      <c r="BD295" s="43"/>
      <c r="BE295" s="43"/>
      <c r="BF295" s="22">
        <f>IFERROR(VLOOKUP(C295,'спецификация'!B:D,3,0)," ")</f>
        <v>4631144115495</v>
      </c>
      <c r="BG295" s="22">
        <v>2.103909009E9</v>
      </c>
      <c r="BH295" s="22" t="str">
        <f>IFERROR(VLOOKUP(C295,'спецификация'!B:AA,5,0)," ")</f>
        <v>ЕАЭС N RU Д-RU.РА08.В.86809/23 от 19.10.2023 до 18.10.2028</v>
      </c>
      <c r="BI295" s="22"/>
      <c r="BJ295" s="22" t="str">
        <f>IFERROR(VLOOKUP(C295,'спецификация'!B:AA,6,0)," ")</f>
        <v/>
      </c>
      <c r="BK295" s="43"/>
      <c r="BL295" s="43"/>
      <c r="BM295" s="22" t="str">
        <f>IFERROR(VLOOKUP(BF295,'спецификация'!D:H,5,0)," ")</f>
        <v>Состав: экстракт аира, экстракт левзеи, экстракт овса, экстракт мяты, экстракт тмина, экстракт фенхеля, экстракт валерианы, экстракт ромашки, экстракт полыни, экстракт тысячелистника, экстракт тыквенных семян, экстракт эвкалипта, экстракт черемухи, экстракт ананаса, экстракт акации, экстракт исландского мха, экстракт горца змеиного, экстракт подорожника, экстракт цветков малины, экстракт багульника, экстракт зверобоя, экстракт прополиса, экстракт душицы, экстракт листа смородины, экстракт плаунца баранца, экстракт родиолы розовой, экстракт лопуха, экстракт цикория, экстракт тимьяна, экстракт имбиря, экстракт хмеля, экстракт вереска, экстракт лимона, экстракт золотого уса, экстракт руты душистой, экстракт кипрея, экстракт каштана.
</v>
      </c>
      <c r="BN295" s="43"/>
      <c r="BO295" s="22" t="str">
        <f>IFERROR(VLOOKUP(C295,'спецификация'!B:AA,10,0)," ")</f>
        <v/>
      </c>
      <c r="BP295" s="43" t="str">
        <f>IFERROR(VLOOKUP(C295,'спецификация'!B:AA,11,0)," ")</f>
        <v>индивидуальная непереносимость одного или нескольких компонентов продукта.
</v>
      </c>
      <c r="BQ295" s="22" t="str">
        <f>IFERROR(VLOOKUP(C295,'спецификация'!B:AA,12,0)," ")</f>
        <v>хранить при температуре до 25 °C, избегая попадания прямых солнечных лучей. 
</v>
      </c>
      <c r="BR295" s="22">
        <v>10.0</v>
      </c>
      <c r="BS295" s="22" t="s">
        <v>139</v>
      </c>
      <c r="BT295" s="22"/>
      <c r="BU295" s="22"/>
      <c r="BV295" s="22"/>
      <c r="BW295" s="44" t="str">
        <f>IFERROR(VLOOKUP(C295,'спецификация'!B:AA,16,0)," ")</f>
        <v>https://docs.google.com/document/d/0B7-1wy6SJH2oeXFtSy1FbU5ZOEk/edit?rtpof=true&amp;resourcekey=0-CZt5ye23dk1CVg4ZIBuu0Q</v>
      </c>
      <c r="BX295" s="43"/>
      <c r="BY295" s="43"/>
      <c r="BZ295" s="45" t="str">
        <f>IFERROR(VLOOKUP(BF295,'спецификация'!D:Y,22,0)," ")</f>
        <v/>
      </c>
      <c r="CA295" s="43"/>
      <c r="CB295" s="43"/>
      <c r="CC295" s="43"/>
      <c r="CD295" s="43"/>
      <c r="CE295" s="43"/>
      <c r="CF295" s="43"/>
      <c r="CG295" s="49">
        <f>IFERROR(VLOOKUP(C295,CC!A:D,4,0)," ")</f>
        <v>110.08</v>
      </c>
      <c r="CH295" s="22" t="str">
        <f>IFERROR(VLOOKUP(C295,'спецификация'!B:AA,19,0)," ")</f>
        <v/>
      </c>
      <c r="CI295" s="22"/>
      <c r="CJ295" s="43"/>
      <c r="CK295" s="22" t="str">
        <f>IFERROR(VLOOKUP(C295,CC!K:M,3,0)," ")</f>
        <v> </v>
      </c>
      <c r="CL295" s="43"/>
      <c r="CM295" s="43"/>
      <c r="CN295" s="43"/>
      <c r="CO295" s="43"/>
      <c r="CP295" s="43"/>
      <c r="CQ295" s="43"/>
      <c r="CR295" s="43"/>
      <c r="CS295" s="43" t="b">
        <v>0</v>
      </c>
      <c r="CT295" s="43" t="b">
        <v>0</v>
      </c>
      <c r="CU295" s="43" t="b">
        <v>0</v>
      </c>
      <c r="CV295" s="43" t="b">
        <v>0</v>
      </c>
      <c r="CW295" s="43"/>
      <c r="CX295" s="43"/>
      <c r="CY295" s="43"/>
      <c r="CZ295" s="43"/>
      <c r="DA295" s="43"/>
      <c r="DB295" s="43"/>
      <c r="DC295" s="43"/>
      <c r="DD295" s="22">
        <f>IFERROR(VLOOKUP($C295,'Лист4'!$D:$AI,27,0)," ")</f>
        <v>9</v>
      </c>
      <c r="DE295" s="22">
        <f>IFERROR(VLOOKUP($C295,'Лист4'!$D:$AI,28,0)," ")</f>
        <v>3</v>
      </c>
      <c r="DF295" s="22">
        <f>IFERROR(VLOOKUP($C295,'Лист4'!$D:$AI,29,0)," ")</f>
        <v>9</v>
      </c>
      <c r="DG295" s="22">
        <f t="shared" si="3"/>
        <v>243</v>
      </c>
      <c r="DH295" s="22">
        <f>IFERROR(VLOOKUP($C295,'Лист4'!$D:$AI,32,0)," ")</f>
        <v>0.02</v>
      </c>
      <c r="DI295" s="22"/>
      <c r="DJ295" s="22"/>
      <c r="DK295" s="22"/>
      <c r="DL295" s="22"/>
      <c r="DM295" s="22"/>
      <c r="DN295" s="22"/>
      <c r="DO295" s="22"/>
      <c r="DP295" s="22"/>
      <c r="DQ295" s="22"/>
      <c r="DR295" s="22"/>
      <c r="DS295" s="22"/>
      <c r="DT295" s="22"/>
      <c r="DU295" s="22"/>
      <c r="DV295" s="22"/>
      <c r="DW295" s="22"/>
      <c r="DX295" s="22"/>
      <c r="DY295" s="22"/>
      <c r="DZ295" s="22"/>
      <c r="EA295" s="22"/>
      <c r="EB295" s="22"/>
      <c r="EC295" s="22"/>
      <c r="ED295" s="22"/>
      <c r="EE295" s="22"/>
      <c r="EF295" s="22"/>
      <c r="EG295" s="22"/>
      <c r="EH295" s="22"/>
      <c r="EI295" s="22"/>
      <c r="EJ295" s="22"/>
      <c r="EK295" s="22"/>
      <c r="EL295" s="22"/>
      <c r="EM295" s="43"/>
      <c r="EN295" s="43"/>
      <c r="EO295" s="43"/>
      <c r="EP295" s="43"/>
      <c r="EQ295" s="43"/>
      <c r="ER295" s="43"/>
      <c r="ES295" s="43"/>
      <c r="ET295" s="43"/>
      <c r="EU295" s="43"/>
      <c r="EV295" s="43"/>
      <c r="EW295" s="43"/>
      <c r="EX295" s="43"/>
      <c r="EY295" s="43"/>
      <c r="EZ295" s="43"/>
      <c r="FA295" s="43"/>
      <c r="FB295" s="43"/>
      <c r="FC295" s="43"/>
    </row>
    <row r="296" ht="18.0" customHeight="1">
      <c r="A296" s="2"/>
      <c r="B296" s="22" t="str">
        <f>IFERROR(VLOOKUP(C296,'Реестр'!C:AC,27,0)," ")</f>
        <v>Смарт-Сэйл</v>
      </c>
      <c r="C296" s="43" t="s">
        <v>4580</v>
      </c>
      <c r="D296" s="22" t="str">
        <f>IFERROR(VLOOKUP(C296,'Лист4'!D:P,13,0)," ")</f>
        <v>CPA</v>
      </c>
      <c r="E296" s="22" t="str">
        <f>IF(OR(ISERROR(VLOOKUP(C296,'Актуальность'!A:B,2,0)), VLOOKUP(C296,'Актуальность'!A:B,2,0)=""), "Актуальный", VLOOKUP(C296,'Актуальность'!A:B,2,0))</f>
        <v>Актуальный</v>
      </c>
      <c r="F296" s="43" t="str">
        <f>IFERROR(VLOOKUP(C296,'Актуальность'!A:C,3,0)," ")</f>
        <v/>
      </c>
      <c r="G296" s="43"/>
      <c r="H296" s="22" t="s">
        <v>2663</v>
      </c>
      <c r="I296" s="22" t="s">
        <v>1027</v>
      </c>
      <c r="J296" s="43"/>
      <c r="K296" s="43"/>
      <c r="L296" s="22" t="b">
        <f t="shared" ref="L296:R296" si="292">T296&lt;&gt;""</f>
        <v>1</v>
      </c>
      <c r="M296" s="22" t="b">
        <f t="shared" si="292"/>
        <v>1</v>
      </c>
      <c r="N296" s="22" t="b">
        <f t="shared" si="292"/>
        <v>1</v>
      </c>
      <c r="O296" s="22" t="b">
        <f t="shared" si="292"/>
        <v>1</v>
      </c>
      <c r="P296" s="22" t="b">
        <f t="shared" si="292"/>
        <v>0</v>
      </c>
      <c r="Q296" s="22" t="b">
        <f t="shared" si="292"/>
        <v>0</v>
      </c>
      <c r="R296" s="22" t="b">
        <f t="shared" si="292"/>
        <v>0</v>
      </c>
      <c r="S296" s="43"/>
      <c r="T296" s="43" t="str">
        <f>IFERROR(VLOOKUP( C296,'1С'!A:B,2,0)," ")</f>
        <v>CO101100436</v>
      </c>
      <c r="U296" s="22" t="str">
        <f>IFERROR(VLOOKUP(T296,'Лист4'!C:I,3,0)," ")</f>
        <v>wbmicelix_1_1</v>
      </c>
      <c r="V296" s="22" t="str">
        <f>IFERROR(VLOOKUP(T296,'Лист4'!C:I,4,0)," ")</f>
        <v>wbmicelix_1_1</v>
      </c>
      <c r="W296" s="22" t="str">
        <f>IFERROR(VLOOKUP(T296,'Лист4'!C:I,5,0)," ")</f>
        <v>wbmicelix_1_1</v>
      </c>
      <c r="X296" s="43" t="str">
        <f>IFERROR(VLOOKUP(T296,'Лист4'!C:I,7,0)," ")</f>
        <v/>
      </c>
      <c r="Y296" s="43" t="str">
        <f>IFERROR(VLOOKUP(T296,'Лист4'!C:I,6,0)," ")</f>
        <v/>
      </c>
      <c r="Z296" s="43"/>
      <c r="AA296" s="43"/>
      <c r="AB296" s="22">
        <v>5.25496072E8</v>
      </c>
      <c r="AC296" s="22">
        <v>2.825129893E9</v>
      </c>
      <c r="AD296" s="22">
        <v>4.640678632E9</v>
      </c>
      <c r="AE296" s="22"/>
      <c r="AF296" s="22"/>
      <c r="AG296" s="43"/>
      <c r="AH296" s="43"/>
      <c r="AI296" s="43" t="str">
        <f>IFERROR(VLOOKUP(T296,'1С'!B:C,2,0)," ")</f>
        <v>Пищевая добавка Мицеликс , CPA, 10 стиков, набор из 2 шт</v>
      </c>
      <c r="AJ296" s="22" t="s">
        <v>2910</v>
      </c>
      <c r="AK296" s="22" t="s">
        <v>4583</v>
      </c>
      <c r="AL296" s="22" t="s">
        <v>4583</v>
      </c>
      <c r="AM296" s="43"/>
      <c r="AN296" s="43"/>
      <c r="AO296" s="43"/>
      <c r="AP296" s="43"/>
      <c r="AQ296" s="46" t="s">
        <v>4584</v>
      </c>
      <c r="AR296" s="46" t="s">
        <v>4585</v>
      </c>
      <c r="AS296" s="46" t="s">
        <v>4586</v>
      </c>
      <c r="AT296" s="43"/>
      <c r="AU296" s="43"/>
      <c r="AV296" s="43"/>
      <c r="AW296" s="43"/>
      <c r="AX296" s="22" t="s">
        <v>649</v>
      </c>
      <c r="AY296" s="22" t="s">
        <v>4583</v>
      </c>
      <c r="AZ296" s="22" t="s">
        <v>372</v>
      </c>
      <c r="BA296" s="43"/>
      <c r="BB296" s="43"/>
      <c r="BC296" s="43"/>
      <c r="BD296" s="43"/>
      <c r="BE296" s="43"/>
      <c r="BF296" s="22">
        <f>IFERROR(VLOOKUP(C296,'спецификация'!B:D,3,0)," ")</f>
        <v>4632456164782</v>
      </c>
      <c r="BG296" s="22">
        <v>2.103909009E9</v>
      </c>
      <c r="BH296" s="22" t="str">
        <f>IFERROR(VLOOKUP(C296,'спецификация'!B:AA,5,0)," ")</f>
        <v>ЕАЭС N RU Д-RU.РА03.В.97282/24 от 27.04.2024 по 25.04.2029</v>
      </c>
      <c r="BI296" s="22"/>
      <c r="BJ296" s="22" t="str">
        <f>IFERROR(VLOOKUP(C296,'спецификация'!B:AA,6,0)," ")</f>
        <v/>
      </c>
      <c r="BK296" s="43"/>
      <c r="BL296" s="43"/>
      <c r="BM296" s="22" t="str">
        <f>IFERROR(VLOOKUP(BF296,'спецификация'!D:H,5,0)," ")</f>
        <v>экстракты кордицепса, рейши, шиитаке, мейтаке, веселки, агарика бразильского, лисички белой.</v>
      </c>
      <c r="BN296" s="43"/>
      <c r="BO296" s="22" t="str">
        <f>IFERROR(VLOOKUP(C296,'спецификация'!B:AA,10,0)," ")</f>
        <v/>
      </c>
      <c r="BP296" s="43" t="str">
        <f>IFERROR(VLOOKUP(C296,'спецификация'!B:AA,11,0),"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296" s="22" t="str">
        <f>IFERROR(VLOOKUP(C296,'спецификация'!B:AA,12,0)," ")</f>
        <v>хранить при температуре до 25°C, избегая попадания прямых солнечных лучей.
</v>
      </c>
      <c r="BR296" s="22">
        <v>10.0</v>
      </c>
      <c r="BS296" s="22" t="s">
        <v>2918</v>
      </c>
      <c r="BT296" s="22"/>
      <c r="BU296" s="22"/>
      <c r="BV296" s="22" t="s">
        <v>307</v>
      </c>
      <c r="BW296" s="44" t="str">
        <f>IFERROR(VLOOKUP(C296,'спецификация'!B:AA,16,0)," ")</f>
        <v>https://docs.google.com/document/d/1eBi8_UD83zerzVOpX5oin0JXKbhIoT-ulLFZbfDnBBM/edit</v>
      </c>
      <c r="BX296" s="43"/>
      <c r="BY296" s="43"/>
      <c r="BZ296" s="45" t="str">
        <f>IFERROR(VLOOKUP(BF296,'спецификация'!D:Y,22,0)," ")</f>
        <v/>
      </c>
      <c r="CA296" s="43"/>
      <c r="CB296" s="43"/>
      <c r="CC296" s="43"/>
      <c r="CD296" s="43"/>
      <c r="CE296" s="43"/>
      <c r="CF296" s="43"/>
      <c r="CG296" s="49">
        <f>IFERROR(VLOOKUP(C296,CC!A:D,4,0)," ")</f>
        <v>232.56</v>
      </c>
      <c r="CH296" s="22" t="str">
        <f>IFERROR(VLOOKUP(C296,'спецификация'!B:AA,19,0)," ")</f>
        <v/>
      </c>
      <c r="CI296" s="22"/>
      <c r="CJ296" s="22"/>
      <c r="CK296" s="22">
        <f>IFERROR(VLOOKUP(C296,CC!K:M,3,0)," ")</f>
        <v>45</v>
      </c>
      <c r="CL296" s="43"/>
      <c r="CM296" s="43"/>
      <c r="CN296" s="43"/>
      <c r="CO296" s="43"/>
      <c r="CP296" s="43"/>
      <c r="CQ296" s="43"/>
      <c r="CR296" s="43"/>
      <c r="CS296" s="43" t="b">
        <v>0</v>
      </c>
      <c r="CT296" s="43" t="b">
        <v>0</v>
      </c>
      <c r="CU296" s="43" t="b">
        <v>0</v>
      </c>
      <c r="CV296" s="43" t="b">
        <v>0</v>
      </c>
      <c r="CW296" s="43"/>
      <c r="CX296" s="43"/>
      <c r="CY296" s="43"/>
      <c r="CZ296" s="43"/>
      <c r="DA296" s="43"/>
      <c r="DB296" s="43"/>
      <c r="DC296" s="43"/>
      <c r="DD296" s="22">
        <f>IFERROR(VLOOKUP($C296,'Лист4'!$D:$AI,27,0)," ")</f>
        <v>9</v>
      </c>
      <c r="DE296" s="22">
        <f>IFERROR(VLOOKUP($C296,'Лист4'!$D:$AI,28,0)," ")</f>
        <v>14</v>
      </c>
      <c r="DF296" s="22">
        <f>IFERROR(VLOOKUP($C296,'Лист4'!$D:$AI,29,0)," ")</f>
        <v>9</v>
      </c>
      <c r="DG296" s="22">
        <f t="shared" si="3"/>
        <v>1134</v>
      </c>
      <c r="DH296" s="22">
        <f>IFERROR(VLOOKUP($C296,'Лист4'!$D:$AI,32,0)," ")</f>
        <v>0.099</v>
      </c>
      <c r="DI296" s="22"/>
      <c r="DJ296" s="22"/>
      <c r="DK296" s="22"/>
      <c r="DL296" s="22"/>
      <c r="DM296" s="22"/>
      <c r="DN296" s="22"/>
      <c r="DO296" s="22"/>
      <c r="DP296" s="22"/>
      <c r="DQ296" s="22"/>
      <c r="DR296" s="22"/>
      <c r="DS296" s="22"/>
      <c r="DT296" s="22"/>
      <c r="DU296" s="22"/>
      <c r="DV296" s="22"/>
      <c r="DW296" s="22"/>
      <c r="DX296" s="22"/>
      <c r="DY296" s="22"/>
      <c r="DZ296" s="22"/>
      <c r="EA296" s="22"/>
      <c r="EB296" s="22"/>
      <c r="EC296" s="22"/>
      <c r="ED296" s="22"/>
      <c r="EE296" s="22"/>
      <c r="EF296" s="22"/>
      <c r="EG296" s="22"/>
      <c r="EH296" s="22"/>
      <c r="EI296" s="22"/>
      <c r="EJ296" s="22"/>
      <c r="EK296" s="22"/>
      <c r="EL296" s="22"/>
      <c r="EM296" s="43"/>
      <c r="EN296" s="43"/>
      <c r="EO296" s="43"/>
      <c r="EP296" s="43"/>
      <c r="EQ296" s="43"/>
      <c r="ER296" s="43"/>
      <c r="ES296" s="43"/>
      <c r="ET296" s="43"/>
      <c r="EU296" s="43"/>
      <c r="EV296" s="43"/>
      <c r="EW296" s="43"/>
      <c r="EX296" s="43"/>
      <c r="EY296" s="43"/>
      <c r="EZ296" s="43"/>
      <c r="FA296" s="43"/>
      <c r="FB296" s="43"/>
      <c r="FC296" s="43"/>
    </row>
    <row r="297" ht="18.0" customHeight="1">
      <c r="A297" s="2"/>
      <c r="B297" s="22" t="str">
        <f>IFERROR(VLOOKUP(C297,'Реестр'!C:AC,27,0)," ")</f>
        <v>Смарт-Сэйл</v>
      </c>
      <c r="C297" s="43" t="s">
        <v>4588</v>
      </c>
      <c r="D297" s="22" t="str">
        <f>IFERROR(VLOOKUP(C297,'Лист4'!D:P,13,0)," ")</f>
        <v>CPA</v>
      </c>
      <c r="E297" s="22" t="str">
        <f>IF(OR(ISERROR(VLOOKUP(C297,'Актуальность'!A:B,2,0)), VLOOKUP(C297,'Актуальность'!A:B,2,0)=""), "Актуальный", VLOOKUP(C297,'Актуальность'!A:B,2,0))</f>
        <v>Актуальный</v>
      </c>
      <c r="F297" s="43" t="str">
        <f>IFERROR(VLOOKUP(C297,'Актуальность'!A:C,3,0)," ")</f>
        <v/>
      </c>
      <c r="G297" s="43"/>
      <c r="H297" s="22" t="s">
        <v>2663</v>
      </c>
      <c r="I297" s="22" t="s">
        <v>2664</v>
      </c>
      <c r="J297" s="43"/>
      <c r="K297" s="43"/>
      <c r="L297" s="22" t="b">
        <f t="shared" ref="L297:R297" si="293">T297&lt;&gt;""</f>
        <v>1</v>
      </c>
      <c r="M297" s="22" t="b">
        <f t="shared" si="293"/>
        <v>1</v>
      </c>
      <c r="N297" s="22" t="b">
        <f t="shared" si="293"/>
        <v>1</v>
      </c>
      <c r="O297" s="22" t="b">
        <f t="shared" si="293"/>
        <v>1</v>
      </c>
      <c r="P297" s="22" t="b">
        <f t="shared" si="293"/>
        <v>0</v>
      </c>
      <c r="Q297" s="22" t="b">
        <f t="shared" si="293"/>
        <v>0</v>
      </c>
      <c r="R297" s="22" t="b">
        <f t="shared" si="293"/>
        <v>0</v>
      </c>
      <c r="S297" s="43"/>
      <c r="T297" s="43" t="str">
        <f>IFERROR(VLOOKUP( C297,'1С'!A:B,2,0)," ")</f>
        <v>CC101100430</v>
      </c>
      <c r="U297" s="22" t="str">
        <f>IFERROR(VLOOKUP(T297,'Лист4'!C:I,3,0)," ")</f>
        <v>pantogor_100ml</v>
      </c>
      <c r="V297" s="22" t="str">
        <f>IFERROR(VLOOKUP(T297,'Лист4'!C:I,4,0)," ")</f>
        <v>pantogor_100ml</v>
      </c>
      <c r="W297" s="22" t="str">
        <f>IFERROR(VLOOKUP(T297,'Лист4'!C:I,5,0)," ")</f>
        <v>pantogor_100ml</v>
      </c>
      <c r="X297" s="43" t="str">
        <f>IFERROR(VLOOKUP(T297,'Лист4'!C:I,7,0)," ")</f>
        <v/>
      </c>
      <c r="Y297" s="43" t="str">
        <f>IFERROR(VLOOKUP(T297,'Лист4'!C:I,6,0)," ")</f>
        <v/>
      </c>
      <c r="Z297" s="43"/>
      <c r="AA297" s="43"/>
      <c r="AB297" s="22">
        <v>1.92909505E8</v>
      </c>
      <c r="AC297" s="22">
        <v>1.324991816E9</v>
      </c>
      <c r="AD297" s="22">
        <v>1.03614742296E11</v>
      </c>
      <c r="AE297" s="22"/>
      <c r="AF297" s="22"/>
      <c r="AG297" s="43"/>
      <c r="AH297" s="43"/>
      <c r="AI297" s="43" t="str">
        <f>IFERROR(VLOOKUP(T297,'1С'!B:C,2,0)," ")</f>
        <v>Мазь для суставов Пантогор , CPA, 100 мл</v>
      </c>
      <c r="AJ297" s="22" t="s">
        <v>4303</v>
      </c>
      <c r="AK297" s="22" t="s">
        <v>4591</v>
      </c>
      <c r="AL297" s="22" t="s">
        <v>4592</v>
      </c>
      <c r="AM297" s="43"/>
      <c r="AN297" s="43"/>
      <c r="AO297" s="43"/>
      <c r="AP297" s="43"/>
      <c r="AQ297" s="46" t="s">
        <v>4593</v>
      </c>
      <c r="AR297" s="46" t="s">
        <v>4594</v>
      </c>
      <c r="AS297" s="46" t="s">
        <v>4595</v>
      </c>
      <c r="AT297" s="43"/>
      <c r="AU297" s="43"/>
      <c r="AV297" s="43"/>
      <c r="AW297" s="43"/>
      <c r="AX297" s="22" t="s">
        <v>3445</v>
      </c>
      <c r="AY297" s="22" t="s">
        <v>4591</v>
      </c>
      <c r="AZ297" s="22" t="s">
        <v>3123</v>
      </c>
      <c r="BA297" s="43"/>
      <c r="BB297" s="43"/>
      <c r="BC297" s="43"/>
      <c r="BD297" s="43"/>
      <c r="BE297" s="43"/>
      <c r="BF297" s="22" t="str">
        <f>IFERROR(VLOOKUP(C297,'спецификация'!B:D,3,0)," ")</f>
        <v>4608956608125
4660417421247</v>
      </c>
      <c r="BG297" s="22">
        <v>3.30499E9</v>
      </c>
      <c r="BH297" s="22" t="str">
        <f>IFERROR(VLOOKUP(C297,'спецификация'!B:AA,5,0)," ")</f>
        <v>EAЭC N RU Д-RU.РД04.B.03319/19 от 11.10.2019</v>
      </c>
      <c r="BI297" s="22"/>
      <c r="BJ297" s="22" t="str">
        <f>IFERROR(VLOOKUP(C297,'спецификация'!B:AA,6,0)," ")</f>
        <v>нет</v>
      </c>
      <c r="BK297" s="43"/>
      <c r="BL297" s="43"/>
      <c r="BM297" s="22" t="str">
        <f>IFERROR(VLOOKUP(BF297,'спецификация'!D:H,5,0)," ")</f>
        <v>панты марала, экстракт лютика желтого, 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v>
      </c>
      <c r="BN297" s="43"/>
      <c r="BO297" s="22" t="str">
        <f>IFERROR(VLOOKUP(C297,'спецификация'!B:AA,10,0)," ")</f>
        <v>гель нанести тонким слоем на пораженные суставы и круговыми движениями втирать в кожу. Применять 2-3 раза в день до исчезновения воспалительных явлений, в среднем от 30 до 45 дней. </v>
      </c>
      <c r="BP297" s="43" t="str">
        <f>IFERROR(VLOOKUP(C297,'спецификация'!B:AA,11,0)," ")</f>
        <v>не рекомендуется использовать во время беременности и детям. Гипоаллергенно. Возможна индивидуальная непереносимость одного или нескольких компонентов продукта. Продукт натурального происхождения, допускается опалесценция и выпадение незначительного осадка, не содержит консервантов и синтетических веществ.</v>
      </c>
      <c r="BQ297" s="22" t="str">
        <f>IFERROR(VLOOKUP(C297,'спецификация'!B:AA,12,0)," ")</f>
        <v>хранить при температуре до 25 °C, избегая попадания прямых солнечных лучей.</v>
      </c>
      <c r="BR297" s="22">
        <v>100.0</v>
      </c>
      <c r="BS297" s="22" t="s">
        <v>139</v>
      </c>
      <c r="BT297" s="22"/>
      <c r="BU297" s="22"/>
      <c r="BV297" s="22" t="s">
        <v>307</v>
      </c>
      <c r="BW297" s="44" t="str">
        <f>IFERROR(VLOOKUP(C297,'спецификация'!B:AA,16,0)," ")</f>
        <v>https://docs.google.com/document/d/19AibZNT71SlwiTp2VdYk-38zxEtoVKBY/edit?usp=drive_web&amp;ouid=104241417680089502627&amp;rtpof=true</v>
      </c>
      <c r="BX297" s="43"/>
      <c r="BY297" s="43"/>
      <c r="BZ297" s="45" t="str">
        <f>IFERROR(VLOOKUP(BF297,'спецификация'!D:Y,22,0)," ")</f>
        <v/>
      </c>
      <c r="CA297" s="43"/>
      <c r="CB297" s="43"/>
      <c r="CC297" s="43"/>
      <c r="CD297" s="43"/>
      <c r="CE297" s="43"/>
      <c r="CF297" s="43"/>
      <c r="CG297" s="49">
        <f>IFERROR(VLOOKUP(C297,CC!A:D,4,0)," ")</f>
        <v>190.69</v>
      </c>
      <c r="CH297" s="22" t="str">
        <f>IFERROR(VLOOKUP(C297,'спецификация'!B:AA,19,0)," ")</f>
        <v>ООО "САН ДЭЙ"</v>
      </c>
      <c r="CI297" s="22"/>
      <c r="CJ297" s="43"/>
      <c r="CK297" s="22">
        <f>IFERROR(VLOOKUP(C297,CC!K:M,3,0)," ")</f>
        <v>45</v>
      </c>
      <c r="CL297" s="43"/>
      <c r="CM297" s="43"/>
      <c r="CN297" s="43"/>
      <c r="CO297" s="43"/>
      <c r="CP297" s="43"/>
      <c r="CQ297" s="43"/>
      <c r="CR297" s="43"/>
      <c r="CS297" s="43" t="b">
        <v>0</v>
      </c>
      <c r="CT297" s="43" t="b">
        <v>0</v>
      </c>
      <c r="CU297" s="43" t="b">
        <v>0</v>
      </c>
      <c r="CV297" s="43" t="b">
        <v>0</v>
      </c>
      <c r="CW297" s="43"/>
      <c r="CX297" s="43"/>
      <c r="CY297" s="43"/>
      <c r="CZ297" s="43"/>
      <c r="DA297" s="43"/>
      <c r="DB297" s="43"/>
      <c r="DC297" s="43"/>
      <c r="DD297" s="22">
        <f>IFERROR(VLOOKUP($C297,'Лист4'!$D:$AI,27,0)," ")</f>
        <v>8</v>
      </c>
      <c r="DE297" s="22">
        <f>IFERROR(VLOOKUP($C297,'Лист4'!$D:$AI,28,0)," ")</f>
        <v>5</v>
      </c>
      <c r="DF297" s="22">
        <f>IFERROR(VLOOKUP($C297,'Лист4'!$D:$AI,29,0)," ")</f>
        <v>8</v>
      </c>
      <c r="DG297" s="22">
        <f t="shared" si="3"/>
        <v>320</v>
      </c>
      <c r="DH297" s="22">
        <f>IFERROR(VLOOKUP($C297,'Лист4'!$D:$AI,32,0)," ")</f>
        <v>0.14</v>
      </c>
      <c r="DI297" s="22"/>
      <c r="DJ297" s="22"/>
      <c r="DK297" s="22"/>
      <c r="DL297" s="22"/>
      <c r="DM297" s="22"/>
      <c r="DN297" s="22"/>
      <c r="DO297" s="22"/>
      <c r="DP297" s="22"/>
      <c r="DQ297" s="22"/>
      <c r="DR297" s="22"/>
      <c r="DS297" s="22"/>
      <c r="DT297" s="22"/>
      <c r="DU297" s="22"/>
      <c r="DV297" s="22"/>
      <c r="DW297" s="22"/>
      <c r="DX297" s="22"/>
      <c r="DY297" s="22"/>
      <c r="DZ297" s="22"/>
      <c r="EA297" s="22"/>
      <c r="EB297" s="22"/>
      <c r="EC297" s="22"/>
      <c r="ED297" s="22"/>
      <c r="EE297" s="22"/>
      <c r="EF297" s="22"/>
      <c r="EG297" s="22"/>
      <c r="EH297" s="22"/>
      <c r="EI297" s="22"/>
      <c r="EJ297" s="22"/>
      <c r="EK297" s="22"/>
      <c r="EL297" s="22"/>
      <c r="EM297" s="43"/>
      <c r="EN297" s="43"/>
      <c r="EO297" s="43"/>
      <c r="EP297" s="43"/>
      <c r="EQ297" s="43"/>
      <c r="ER297" s="43"/>
      <c r="ES297" s="43"/>
      <c r="ET297" s="43"/>
      <c r="EU297" s="43"/>
      <c r="EV297" s="43"/>
      <c r="EW297" s="43"/>
      <c r="EX297" s="43"/>
      <c r="EY297" s="43"/>
      <c r="EZ297" s="43"/>
      <c r="FA297" s="43"/>
      <c r="FB297" s="43"/>
      <c r="FC297" s="43"/>
    </row>
    <row r="298" ht="18.0" customHeight="1">
      <c r="A298" s="2"/>
      <c r="B298" s="22" t="str">
        <f>IFERROR(VLOOKUP(C298,'Реестр'!C:AC,27,0)," ")</f>
        <v>Смарт-Сэйл</v>
      </c>
      <c r="C298" s="43" t="s">
        <v>4603</v>
      </c>
      <c r="D298" s="22" t="str">
        <f>IFERROR(VLOOKUP(C298,'Лист4'!D:P,13,0)," ")</f>
        <v>CPA</v>
      </c>
      <c r="E298" s="22" t="str">
        <f>IF(OR(ISERROR(VLOOKUP(C298,'Актуальность'!A:B,2,0)), VLOOKUP(C298,'Актуальность'!A:B,2,0)=""), "Актуальный", VLOOKUP(C298,'Актуальность'!A:B,2,0))</f>
        <v>Актуальный</v>
      </c>
      <c r="F298" s="43" t="str">
        <f>IFERROR(VLOOKUP(C298,'Актуальность'!A:C,3,0)," ")</f>
        <v/>
      </c>
      <c r="G298" s="43"/>
      <c r="H298" s="22" t="s">
        <v>2663</v>
      </c>
      <c r="I298" s="22" t="s">
        <v>2703</v>
      </c>
      <c r="J298" s="43"/>
      <c r="K298" s="43"/>
      <c r="L298" s="22" t="b">
        <f t="shared" ref="L298:R298" si="294">T298&lt;&gt;""</f>
        <v>1</v>
      </c>
      <c r="M298" s="22" t="b">
        <f t="shared" si="294"/>
        <v>1</v>
      </c>
      <c r="N298" s="22" t="b">
        <f t="shared" si="294"/>
        <v>1</v>
      </c>
      <c r="O298" s="22" t="b">
        <f t="shared" si="294"/>
        <v>1</v>
      </c>
      <c r="P298" s="22" t="b">
        <f t="shared" si="294"/>
        <v>0</v>
      </c>
      <c r="Q298" s="22" t="b">
        <f t="shared" si="294"/>
        <v>0</v>
      </c>
      <c r="R298" s="22" t="b">
        <f t="shared" si="294"/>
        <v>0</v>
      </c>
      <c r="S298" s="43"/>
      <c r="T298" s="43" t="str">
        <f>IFERROR(VLOOKUP( C298,'1С'!A:B,2,0)," ")</f>
        <v>CO101100433</v>
      </c>
      <c r="U298" s="22" t="str">
        <f>IFERROR(VLOOKUP(T298,'Лист4'!C:I,3,0)," ")</f>
        <v>arterol_1_1</v>
      </c>
      <c r="V298" s="22" t="str">
        <f>IFERROR(VLOOKUP(T298,'Лист4'!C:I,4,0)," ")</f>
        <v>arterol_1_1</v>
      </c>
      <c r="W298" s="22" t="str">
        <f>IFERROR(VLOOKUP(T298,'Лист4'!C:I,5,0)," ")</f>
        <v>arterol_1_1</v>
      </c>
      <c r="X298" s="43" t="str">
        <f>IFERROR(VLOOKUP(T298,'Лист4'!C:I,7,0)," ")</f>
        <v/>
      </c>
      <c r="Y298" s="43" t="str">
        <f>IFERROR(VLOOKUP(T298,'Лист4'!C:I,6,0)," ")</f>
        <v/>
      </c>
      <c r="Z298" s="43"/>
      <c r="AA298" s="43"/>
      <c r="AB298" s="22">
        <v>5.25491703E8</v>
      </c>
      <c r="AC298" s="22">
        <v>2.825063594E9</v>
      </c>
      <c r="AD298" s="22">
        <v>4.640677629E9</v>
      </c>
      <c r="AE298" s="22"/>
      <c r="AF298" s="22"/>
      <c r="AG298" s="43"/>
      <c r="AH298" s="43"/>
      <c r="AI298" s="43" t="str">
        <f>IFERROR(VLOOKUP(T298,'1С'!B:C,2,0)," ")</f>
        <v>Пищевая добавка Артерол, CPA, 10 мл, набор из 2 шт</v>
      </c>
      <c r="AJ298" s="22" t="s">
        <v>2705</v>
      </c>
      <c r="AK298" s="22" t="s">
        <v>4606</v>
      </c>
      <c r="AL298" s="22" t="s">
        <v>4606</v>
      </c>
      <c r="AM298" s="43"/>
      <c r="AN298" s="43"/>
      <c r="AO298" s="43"/>
      <c r="AP298" s="43"/>
      <c r="AQ298" s="46" t="s">
        <v>4607</v>
      </c>
      <c r="AR298" s="46" t="s">
        <v>4608</v>
      </c>
      <c r="AS298" s="46" t="s">
        <v>4609</v>
      </c>
      <c r="AT298" s="43"/>
      <c r="AU298" s="43"/>
      <c r="AV298" s="43"/>
      <c r="AW298" s="43"/>
      <c r="AX298" s="22" t="s">
        <v>649</v>
      </c>
      <c r="AY298" s="22" t="s">
        <v>4606</v>
      </c>
      <c r="AZ298" s="22" t="s">
        <v>372</v>
      </c>
      <c r="BA298" s="43"/>
      <c r="BB298" s="43"/>
      <c r="BC298" s="43"/>
      <c r="BD298" s="43"/>
      <c r="BE298" s="43"/>
      <c r="BF298" s="22">
        <f>IFERROR(VLOOKUP(C298,'спецификация'!B:D,3,0)," ")</f>
        <v>4675893578767</v>
      </c>
      <c r="BG298" s="22">
        <v>2.106909808E9</v>
      </c>
      <c r="BH298" s="22" t="str">
        <f>IFERROR(VLOOKUP(C298,'спецификация'!B:AA,5,0)," ")</f>
        <v>ЕАЭС N RU Д-RU.PA08.B.28041/23 от 04.10.2023 по 03.10.2028</v>
      </c>
      <c r="BI298" s="22"/>
      <c r="BJ298" s="22" t="str">
        <f>IFERROR(VLOOKUP(C298,'спецификация'!B:AA,6,0)," ")</f>
        <v/>
      </c>
      <c r="BK298" s="43"/>
      <c r="BL298" s="43"/>
      <c r="BM298" s="22" t="str">
        <f>IFERROR(VLOOKUP(BF298,'спецификация'!D:H,5,0)," ")</f>
        <v>вода, экстракты гуавы, плодов брусники, листьев гинкго билобы, плодов фенхеля, корней цикория, травы медуницы, кордицепс, ежовик гребенчатый, черный тмин, амарант, кора белой ивы, магний цитрат, лимонная кислота, бензоат натрия, сорбат калия, сукралоза.</v>
      </c>
      <c r="BN298" s="43"/>
      <c r="BO298" s="22" t="str">
        <f>IFERROR(VLOOKUP(C298,'спецификация'!B:AA,10,0)," ")</f>
        <v/>
      </c>
      <c r="BP298" s="43" t="str">
        <f>IFERROR(VLOOKUP(C298,'спецификация'!B:AA,11,0)," ")</f>
        <v>повышенная чувствительность к компонентам средства.
</v>
      </c>
      <c r="BQ298" s="22" t="str">
        <f>IFERROR(VLOOKUP(C298,'спецификация'!B:AA,12,0)," ")</f>
        <v>в недоступном для детей месте при температуре не выше 25°С.</v>
      </c>
      <c r="BR298" s="22">
        <v>10.0</v>
      </c>
      <c r="BS298" s="22" t="s">
        <v>2739</v>
      </c>
      <c r="BT298" s="22"/>
      <c r="BU298" s="22"/>
      <c r="BV298" s="22"/>
      <c r="BW298" s="44" t="str">
        <f>IFERROR(VLOOKUP(C298,'спецификация'!B:AA,16,0)," ")</f>
        <v>https://docs.google.com/document/d/1EHtDvxgztV-Ul8TBZawfWzrrCY31RyFh/edit</v>
      </c>
      <c r="BX298" s="43"/>
      <c r="BY298" s="43"/>
      <c r="BZ298" s="45" t="str">
        <f>IFERROR(VLOOKUP(BF298,'спецификация'!D:Y,22,0)," ")</f>
        <v/>
      </c>
      <c r="CA298" s="43"/>
      <c r="CB298" s="43"/>
      <c r="CC298" s="43"/>
      <c r="CD298" s="43"/>
      <c r="CE298" s="43"/>
      <c r="CF298" s="43"/>
      <c r="CG298" s="49">
        <f>IFERROR(VLOOKUP(C298,CC!A:D,4,0)," ")</f>
        <v>170.18</v>
      </c>
      <c r="CH298" s="22" t="str">
        <f>IFERROR(VLOOKUP(C298,'спецификация'!B:AA,19,0)," ")</f>
        <v>ООО Нутрафарм</v>
      </c>
      <c r="CI298" s="22"/>
      <c r="CJ298" s="22"/>
      <c r="CK298" s="22">
        <f>IFERROR(VLOOKUP(C298,CC!K:M,3,0)," ")</f>
        <v>45</v>
      </c>
      <c r="CL298" s="43"/>
      <c r="CM298" s="43"/>
      <c r="CN298" s="43"/>
      <c r="CO298" s="43"/>
      <c r="CP298" s="43"/>
      <c r="CQ298" s="43"/>
      <c r="CR298" s="43"/>
      <c r="CS298" s="43" t="b">
        <v>0</v>
      </c>
      <c r="CT298" s="43" t="b">
        <v>0</v>
      </c>
      <c r="CU298" s="43" t="b">
        <v>0</v>
      </c>
      <c r="CV298" s="43" t="b">
        <v>0</v>
      </c>
      <c r="CW298" s="43"/>
      <c r="CX298" s="43"/>
      <c r="CY298" s="43"/>
      <c r="CZ298" s="43"/>
      <c r="DA298" s="43"/>
      <c r="DB298" s="43"/>
      <c r="DC298" s="43"/>
      <c r="DD298" s="22">
        <f>IFERROR(VLOOKUP($C298,'Лист4'!$D:$AI,27,0)," ")</f>
        <v>9</v>
      </c>
      <c r="DE298" s="22">
        <f>IFERROR(VLOOKUP($C298,'Лист4'!$D:$AI,28,0)," ")</f>
        <v>13</v>
      </c>
      <c r="DF298" s="22">
        <f>IFERROR(VLOOKUP($C298,'Лист4'!$D:$AI,29,0)," ")</f>
        <v>9</v>
      </c>
      <c r="DG298" s="22">
        <f t="shared" si="3"/>
        <v>1053</v>
      </c>
      <c r="DH298" s="22">
        <f>IFERROR(VLOOKUP($C298,'Лист4'!$D:$AI,32,0)," ")</f>
        <v>0.119</v>
      </c>
      <c r="DI298" s="22"/>
      <c r="DJ298" s="22"/>
      <c r="DK298" s="22"/>
      <c r="DL298" s="22"/>
      <c r="DM298" s="22"/>
      <c r="DN298" s="22"/>
      <c r="DO298" s="22"/>
      <c r="DP298" s="22"/>
      <c r="DQ298" s="22"/>
      <c r="DR298" s="22"/>
      <c r="DS298" s="22"/>
      <c r="DT298" s="22"/>
      <c r="DU298" s="22"/>
      <c r="DV298" s="22"/>
      <c r="DW298" s="22"/>
      <c r="DX298" s="22"/>
      <c r="DY298" s="22"/>
      <c r="DZ298" s="22"/>
      <c r="EA298" s="22"/>
      <c r="EB298" s="22"/>
      <c r="EC298" s="22"/>
      <c r="ED298" s="22"/>
      <c r="EE298" s="22"/>
      <c r="EF298" s="22"/>
      <c r="EG298" s="22"/>
      <c r="EH298" s="22"/>
      <c r="EI298" s="22"/>
      <c r="EJ298" s="22"/>
      <c r="EK298" s="22"/>
      <c r="EL298" s="22"/>
      <c r="EM298" s="43"/>
      <c r="EN298" s="43"/>
      <c r="EO298" s="43"/>
      <c r="EP298" s="43"/>
      <c r="EQ298" s="43"/>
      <c r="ER298" s="43"/>
      <c r="ES298" s="43"/>
      <c r="ET298" s="43"/>
      <c r="EU298" s="43"/>
      <c r="EV298" s="43"/>
      <c r="EW298" s="43"/>
      <c r="EX298" s="43"/>
      <c r="EY298" s="43"/>
      <c r="EZ298" s="43"/>
      <c r="FA298" s="43"/>
      <c r="FB298" s="43"/>
      <c r="FC298" s="43"/>
    </row>
    <row r="299" ht="18.0" customHeight="1">
      <c r="A299" s="2"/>
      <c r="B299" s="22" t="str">
        <f>IFERROR(VLOOKUP(C299,'Реестр'!C:AC,27,0)," ")</f>
        <v>Смарт-Сэйл</v>
      </c>
      <c r="C299" s="43" t="s">
        <v>4610</v>
      </c>
      <c r="D299" s="22" t="str">
        <f>IFERROR(VLOOKUP(C299,'Лист4'!D:P,13,0)," ")</f>
        <v>Алтея</v>
      </c>
      <c r="E299" s="22" t="str">
        <f>IF(OR(ISERROR(VLOOKUP(C299,'Актуальность'!A:B,2,0)), VLOOKUP(C299,'Актуальность'!A:B,2,0)=""), "Актуальный", VLOOKUP(C299,'Актуальность'!A:B,2,0))</f>
        <v>Актуальный</v>
      </c>
      <c r="F299" s="43" t="str">
        <f>IFERROR(VLOOKUP(C299,'Актуальность'!A:C,3,0)," ")</f>
        <v/>
      </c>
      <c r="G299" s="43"/>
      <c r="H299" s="22" t="s">
        <v>2743</v>
      </c>
      <c r="I299" s="22" t="s">
        <v>1630</v>
      </c>
      <c r="J299" s="43"/>
      <c r="K299" s="43"/>
      <c r="L299" s="22" t="b">
        <f t="shared" ref="L299:R299" si="295">T299&lt;&gt;""</f>
        <v>1</v>
      </c>
      <c r="M299" s="22" t="b">
        <f t="shared" si="295"/>
        <v>1</v>
      </c>
      <c r="N299" s="22" t="b">
        <f t="shared" si="295"/>
        <v>1</v>
      </c>
      <c r="O299" s="22" t="b">
        <f t="shared" si="295"/>
        <v>1</v>
      </c>
      <c r="P299" s="22" t="b">
        <f t="shared" si="295"/>
        <v>1</v>
      </c>
      <c r="Q299" s="22" t="b">
        <f t="shared" si="295"/>
        <v>1</v>
      </c>
      <c r="R299" s="22" t="b">
        <f t="shared" si="295"/>
        <v>1</v>
      </c>
      <c r="S299" s="43"/>
      <c r="T299" s="43" t="str">
        <f>IFERROR(VLOOKUP( C299,'1С'!A:B,2,0)," ")</f>
        <v>AC101100447</v>
      </c>
      <c r="U299" s="22" t="str">
        <f>IFERROR(VLOOKUP(T299,'Лист4'!C:I,3,0)," ")</f>
        <v>nabor_remuver_40ml</v>
      </c>
      <c r="V299" s="22" t="str">
        <f>IFERROR(VLOOKUP(T299,'Лист4'!C:I,4,0)," ")</f>
        <v>nabor_remuver_40ml</v>
      </c>
      <c r="W299" s="22" t="str">
        <f>IFERROR(VLOOKUP(T299,'Лист4'!C:I,5,0)," ")</f>
        <v>nabor_remuver_40ml</v>
      </c>
      <c r="X299" s="43" t="str">
        <f>IFERROR(VLOOKUP(T299,'Лист4'!C:I,7,0)," ")</f>
        <v>nabor_remuver_40ml</v>
      </c>
      <c r="Y299" s="43" t="str">
        <f>IFERROR(VLOOKUP(T299,'Лист4'!C:I,6,0)," ")</f>
        <v>nabor_remuver_40ml</v>
      </c>
      <c r="Z299" s="22" t="s">
        <v>4610</v>
      </c>
      <c r="AA299" s="43"/>
      <c r="AB299" s="22">
        <v>1.97560593E8</v>
      </c>
      <c r="AC299" s="22">
        <v>1.350956924E9</v>
      </c>
      <c r="AD299" s="22">
        <v>1.03745682453E11</v>
      </c>
      <c r="AE299" s="22">
        <v>9.9000076202E10</v>
      </c>
      <c r="AF299" s="22" t="s">
        <v>4613</v>
      </c>
      <c r="AG299" s="22" t="s">
        <v>4614</v>
      </c>
      <c r="AH299" s="43"/>
      <c r="AI299" s="43" t="str">
        <f>IFERROR(VLOOKUP(T299,'1С'!B:C,2,0)," ")</f>
        <v>Ремувер для удаления кутикулы, Алтея, 40 мл</v>
      </c>
      <c r="AJ299" s="22" t="s">
        <v>4615</v>
      </c>
      <c r="AK299" s="22" t="s">
        <v>4611</v>
      </c>
      <c r="AL299" s="22" t="s">
        <v>4616</v>
      </c>
      <c r="AM299" s="22" t="s">
        <v>4617</v>
      </c>
      <c r="AN299" s="22" t="s">
        <v>4618</v>
      </c>
      <c r="AO299" s="22" t="s">
        <v>4619</v>
      </c>
      <c r="AP299" s="43"/>
      <c r="AQ299" s="46" t="s">
        <v>4620</v>
      </c>
      <c r="AR299" s="46" t="s">
        <v>4621</v>
      </c>
      <c r="AS299" s="46" t="s">
        <v>4622</v>
      </c>
      <c r="AT299" s="46" t="s">
        <v>4623</v>
      </c>
      <c r="AU299" s="46" t="s">
        <v>4624</v>
      </c>
      <c r="AV299" s="46" t="s">
        <v>4625</v>
      </c>
      <c r="AW299" s="43"/>
      <c r="AX299" s="22" t="s">
        <v>1642</v>
      </c>
      <c r="AY299" s="22" t="s">
        <v>4611</v>
      </c>
      <c r="AZ299" s="22" t="s">
        <v>1643</v>
      </c>
      <c r="BA299" s="22" t="s">
        <v>1644</v>
      </c>
      <c r="BB299" s="22" t="s">
        <v>1645</v>
      </c>
      <c r="BC299" s="22" t="s">
        <v>4626</v>
      </c>
      <c r="BD299" s="43"/>
      <c r="BE299" s="43"/>
      <c r="BF299" s="22" t="str">
        <f>IFERROR(VLOOKUP(C299,'спецификация'!B:D,3,0)," ")</f>
        <v>4607050974815</v>
      </c>
      <c r="BG299" s="22"/>
      <c r="BH299" s="22" t="str">
        <f>IFERROR(VLOOKUP(C299,'спецификация'!B:AA,5,0)," ")</f>
        <v>ЕАЭС N RU Д-RU.РА05.В.72880/22 от 18.08.2022 до 17.08.2027</v>
      </c>
      <c r="BI299" s="22"/>
      <c r="BJ299" s="22" t="str">
        <f>IFERROR(VLOOKUP(C299,'спецификация'!B:AA,6,0)," ")</f>
        <v>без ЧЗ</v>
      </c>
      <c r="BK299" s="43"/>
      <c r="BL299" s="43"/>
      <c r="BM299" s="22" t="str">
        <f>IFERROR(VLOOKUP(BF299,'спецификация'!D:H,5,0)," ")</f>
        <v>вода деионизированная, гидроксид натрия, глицерин, Глицерет-8, лавандовое масло, экстракт листьев монарды дидимы, гидрогенизированное касторовое масло PEG-40, экстракт сока листьев Алоэ барбадосского, ксантановая камедь, превентол D7, парфюмерная отдушка.</v>
      </c>
      <c r="BN299" s="43"/>
      <c r="BO299" s="22" t="str">
        <f>IFERROR(VLOOKUP(C299,'спецификация'!B:AA,10,0)," ")</f>
        <v>Нанести гель на кутикулу.
Оставить на 30-60 секунд, но не более 2 минут.
Удалить размягченную кутикулу с помощью апельсиновой палочки или пушера.
Тщательно смыть средство теплой водой.</v>
      </c>
      <c r="BP299" s="43" t="str">
        <f>IFERROR(VLOOKUP(C299,'спецификация'!B:AA,11,0)," ")</f>
        <v/>
      </c>
      <c r="BQ299" s="22" t="str">
        <f>IFERROR(VLOOKUP(C299,'спецификация'!B:AA,12,0)," ")</f>
        <v/>
      </c>
      <c r="BR299" s="22"/>
      <c r="BS299" s="43"/>
      <c r="BT299" s="43"/>
      <c r="BU299" s="22"/>
      <c r="BV299" s="22" t="s">
        <v>401</v>
      </c>
      <c r="BW299" s="44" t="str">
        <f>IFERROR(VLOOKUP(C299,'спецификация'!B:AA,16,0)," ")</f>
        <v>https://docs.google.com/document/d/1zxCycQOe4cjhUSjwWga4DaBIQl-pTJIGy_nDNr19FXg/edit</v>
      </c>
      <c r="BX299" s="43"/>
      <c r="BY299" s="43"/>
      <c r="BZ299" s="45" t="str">
        <f>IFERROR(VLOOKUP(BF299,'спецификация'!D:Y,22,0)," ")</f>
        <v/>
      </c>
      <c r="CA299" s="43"/>
      <c r="CB299" s="43"/>
      <c r="CC299" s="43"/>
      <c r="CD299" s="43"/>
      <c r="CE299" s="43"/>
      <c r="CF299" s="43"/>
      <c r="CG299" s="49">
        <f>IFERROR(VLOOKUP(C299,CC!A:D,4,0)," ")</f>
        <v>49.5</v>
      </c>
      <c r="CH299" s="22" t="str">
        <f>IFERROR(VLOOKUP(C299,'спецификация'!B:AA,19,0)," ")</f>
        <v>ООО "СКЭМ"</v>
      </c>
      <c r="CI299" s="22"/>
      <c r="CJ299" s="43"/>
      <c r="CK299" s="22">
        <f>IFERROR(VLOOKUP(C299,CC!K:M,3,0)," ")</f>
        <v>30</v>
      </c>
      <c r="CL299" s="43"/>
      <c r="CM299" s="43"/>
      <c r="CN299" s="43"/>
      <c r="CO299" s="43"/>
      <c r="CP299" s="43"/>
      <c r="CQ299" s="43"/>
      <c r="CR299" s="43"/>
      <c r="CS299" s="43" t="b">
        <v>0</v>
      </c>
      <c r="CT299" s="43" t="b">
        <v>0</v>
      </c>
      <c r="CU299" s="43" t="b">
        <v>0</v>
      </c>
      <c r="CV299" s="43" t="b">
        <v>0</v>
      </c>
      <c r="CW299" s="43"/>
      <c r="CX299" s="43"/>
      <c r="CY299" s="43"/>
      <c r="CZ299" s="43"/>
      <c r="DA299" s="43"/>
      <c r="DB299" s="43"/>
      <c r="DC299" s="43"/>
      <c r="DD299" s="22">
        <f>IFERROR(VLOOKUP($C299,'Лист4'!$D:$AI,27,0)," ")</f>
        <v>7</v>
      </c>
      <c r="DE299" s="22">
        <f>IFERROR(VLOOKUP($C299,'Лист4'!$D:$AI,28,0)," ")</f>
        <v>2</v>
      </c>
      <c r="DF299" s="22">
        <f>IFERROR(VLOOKUP($C299,'Лист4'!$D:$AI,29,0)," ")</f>
        <v>7</v>
      </c>
      <c r="DG299" s="22">
        <f t="shared" si="3"/>
        <v>98</v>
      </c>
      <c r="DH299" s="22">
        <f>IFERROR(VLOOKUP($C299,'Лист4'!$D:$AI,32,0)," ")</f>
        <v>0.082</v>
      </c>
      <c r="DI299" s="22"/>
      <c r="DJ299" s="22"/>
      <c r="DK299" s="22"/>
      <c r="DL299" s="22"/>
      <c r="DM299" s="22"/>
      <c r="DN299" s="22"/>
      <c r="DO299" s="22"/>
      <c r="DP299" s="22"/>
      <c r="DQ299" s="22"/>
      <c r="DR299" s="22"/>
      <c r="DS299" s="22"/>
      <c r="DT299" s="22"/>
      <c r="DU299" s="22"/>
      <c r="DV299" s="22"/>
      <c r="DW299" s="22"/>
      <c r="DX299" s="22"/>
      <c r="DY299" s="22"/>
      <c r="DZ299" s="22"/>
      <c r="EA299" s="22"/>
      <c r="EB299" s="22"/>
      <c r="EC299" s="22"/>
      <c r="ED299" s="22"/>
      <c r="EE299" s="22"/>
      <c r="EF299" s="22"/>
      <c r="EG299" s="22"/>
      <c r="EH299" s="22"/>
      <c r="EI299" s="22"/>
      <c r="EJ299" s="22"/>
      <c r="EK299" s="22"/>
      <c r="EL299" s="22"/>
      <c r="EM299" s="43"/>
      <c r="EN299" s="43"/>
      <c r="EO299" s="43"/>
      <c r="EP299" s="43"/>
      <c r="EQ299" s="43"/>
      <c r="ER299" s="43"/>
      <c r="ES299" s="43"/>
      <c r="ET299" s="43"/>
      <c r="EU299" s="43"/>
      <c r="EV299" s="43"/>
      <c r="EW299" s="43"/>
      <c r="EX299" s="43"/>
      <c r="EY299" s="43"/>
      <c r="EZ299" s="43"/>
      <c r="FA299" s="43"/>
      <c r="FB299" s="43"/>
      <c r="FC299" s="43"/>
    </row>
    <row r="300" ht="18.0" customHeight="1">
      <c r="A300" s="2"/>
      <c r="B300" s="22" t="str">
        <f>IFERROR(VLOOKUP(C300,'Реестр'!C:AC,27,0)," ")</f>
        <v>Смарт-Сэйл</v>
      </c>
      <c r="C300" s="43" t="s">
        <v>4630</v>
      </c>
      <c r="D300" s="22" t="str">
        <f>IFERROR(VLOOKUP(C300,'Лист4'!D:P,13,0)," ")</f>
        <v>CPA</v>
      </c>
      <c r="E300" s="22" t="str">
        <f>IF(OR(ISERROR(VLOOKUP(C300,'Актуальность'!A:B,2,0)), VLOOKUP(C300,'Актуальность'!A:B,2,0)=""), "Актуальный", VLOOKUP(C300,'Актуальность'!A:B,2,0))</f>
        <v>Актуальный</v>
      </c>
      <c r="F300" s="43" t="str">
        <f>IFERROR(VLOOKUP(C300,'Актуальность'!A:C,3,0)," ")</f>
        <v/>
      </c>
      <c r="G300" s="43"/>
      <c r="H300" s="22" t="s">
        <v>2663</v>
      </c>
      <c r="I300" s="22" t="s">
        <v>4045</v>
      </c>
      <c r="J300" s="43"/>
      <c r="K300" s="43"/>
      <c r="L300" s="22" t="b">
        <f t="shared" ref="L300:R300" si="296">T300&lt;&gt;""</f>
        <v>1</v>
      </c>
      <c r="M300" s="22" t="b">
        <f t="shared" si="296"/>
        <v>1</v>
      </c>
      <c r="N300" s="22" t="b">
        <f t="shared" si="296"/>
        <v>1</v>
      </c>
      <c r="O300" s="22" t="b">
        <f t="shared" si="296"/>
        <v>0</v>
      </c>
      <c r="P300" s="22" t="b">
        <f t="shared" si="296"/>
        <v>0</v>
      </c>
      <c r="Q300" s="22" t="b">
        <f t="shared" si="296"/>
        <v>0</v>
      </c>
      <c r="R300" s="22" t="b">
        <f t="shared" si="296"/>
        <v>0</v>
      </c>
      <c r="S300" s="43"/>
      <c r="T300" s="43" t="str">
        <f>IFERROR(VLOOKUP( C300,'1С'!A:B,2,0)," ")</f>
        <v>CO101100410</v>
      </c>
      <c r="U300" s="22" t="str">
        <f>IFERROR(VLOOKUP(T300,'Лист4'!C:I,3,0)," ")</f>
        <v>chudofrukt_1_1</v>
      </c>
      <c r="V300" s="22" t="str">
        <f>IFERROR(VLOOKUP(T300,'Лист4'!C:I,4,0)," ")</f>
        <v>chudofrukt_1_1</v>
      </c>
      <c r="W300" s="22" t="str">
        <f>IFERROR(VLOOKUP(T300,'Лист4'!C:I,5,0)," ")</f>
        <v/>
      </c>
      <c r="X300" s="43" t="str">
        <f>IFERROR(VLOOKUP(T300,'Лист4'!C:I,7,0)," ")</f>
        <v/>
      </c>
      <c r="Y300" s="43" t="str">
        <f>IFERROR(VLOOKUP(T300,'Лист4'!C:I,6,0)," ")</f>
        <v/>
      </c>
      <c r="Z300" s="43"/>
      <c r="AA300" s="43"/>
      <c r="AB300" s="22">
        <v>1.72160798E8</v>
      </c>
      <c r="AC300" s="22">
        <v>1.154571921E9</v>
      </c>
      <c r="AD300" s="22"/>
      <c r="AE300" s="22"/>
      <c r="AF300" s="22"/>
      <c r="AG300" s="43"/>
      <c r="AH300" s="43"/>
      <c r="AI300" s="43" t="str">
        <f>IFERROR(VLOOKUP(T300,'1С'!B:C,2,0)," ")</f>
        <v>Пищевая добавка Чудо Фрукт, CPA, 10 шипучих таблеток, набор из 2 шт</v>
      </c>
      <c r="AJ300" s="22" t="s">
        <v>4633</v>
      </c>
      <c r="AK300" s="22" t="s">
        <v>4634</v>
      </c>
      <c r="AL300" s="43"/>
      <c r="AM300" s="43"/>
      <c r="AN300" s="43"/>
      <c r="AO300" s="43"/>
      <c r="AP300" s="43"/>
      <c r="AQ300" s="46" t="s">
        <v>4635</v>
      </c>
      <c r="AR300" s="46" t="s">
        <v>4636</v>
      </c>
      <c r="AS300" s="43"/>
      <c r="AT300" s="43"/>
      <c r="AU300" s="43"/>
      <c r="AV300" s="43"/>
      <c r="AW300" s="43"/>
      <c r="AX300" s="22" t="s">
        <v>528</v>
      </c>
      <c r="AY300" s="22" t="s">
        <v>4634</v>
      </c>
      <c r="AZ300" s="43"/>
      <c r="BA300" s="43"/>
      <c r="BB300" s="43"/>
      <c r="BC300" s="43"/>
      <c r="BD300" s="43"/>
      <c r="BE300" s="43"/>
      <c r="BF300" s="22">
        <f>IFERROR(VLOOKUP(C300,'спецификация'!B:D,3,0)," ")</f>
        <v>2038301341797</v>
      </c>
      <c r="BG300" s="22"/>
      <c r="BH300" s="22" t="str">
        <f>IFERROR(VLOOKUP(C300,'спецификация'!B:AA,5,0)," ")</f>
        <v/>
      </c>
      <c r="BI300" s="22"/>
      <c r="BJ300" s="22" t="str">
        <f>IFERROR(VLOOKUP(C300,'спецификация'!B:AA,6,0)," ")</f>
        <v/>
      </c>
      <c r="BK300" s="43"/>
      <c r="BL300" s="43"/>
      <c r="BM300" s="22" t="str">
        <f>IFERROR(VLOOKUP(BF300,'спецификация'!D:H,5,0)," ")</f>
        <v/>
      </c>
      <c r="BN300" s="43"/>
      <c r="BO300" s="22" t="str">
        <f>IFERROR(VLOOKUP(C300,'спецификация'!B:AA,10,0)," ")</f>
        <v/>
      </c>
      <c r="BP300" s="43" t="str">
        <f>IFERROR(VLOOKUP(C300,'спецификация'!B:AA,11,0)," ")</f>
        <v/>
      </c>
      <c r="BQ300" s="22" t="str">
        <f>IFERROR(VLOOKUP(C300,'спецификация'!B:AA,12,0)," ")</f>
        <v/>
      </c>
      <c r="BR300" s="22"/>
      <c r="BS300" s="43"/>
      <c r="BT300" s="43"/>
      <c r="BU300" s="22"/>
      <c r="BV300" s="22"/>
      <c r="BW300" s="45" t="str">
        <f>IFERROR(VLOOKUP(C300,'спецификация'!B:AA,16,0)," ")</f>
        <v/>
      </c>
      <c r="BX300" s="43"/>
      <c r="BY300" s="43"/>
      <c r="BZ300" s="45" t="str">
        <f>IFERROR(VLOOKUP(BF300,'спецификация'!D:Y,22,0)," ")</f>
        <v/>
      </c>
      <c r="CA300" s="43"/>
      <c r="CB300" s="43"/>
      <c r="CC300" s="43"/>
      <c r="CD300" s="43"/>
      <c r="CE300" s="43"/>
      <c r="CF300" s="43"/>
      <c r="CG300" s="49">
        <f>IFERROR(VLOOKUP(C300,CC!A:D,4,0)," ")</f>
        <v>276.84</v>
      </c>
      <c r="CH300" s="22" t="str">
        <f>IFERROR(VLOOKUP(C300,'спецификация'!B:AA,19,0)," ")</f>
        <v/>
      </c>
      <c r="CI300" s="22"/>
      <c r="CJ300" s="43"/>
      <c r="CK300" s="22">
        <f>IFERROR(VLOOKUP(C300,CC!K:M,3,0)," ")</f>
        <v>45</v>
      </c>
      <c r="CL300" s="43"/>
      <c r="CM300" s="43"/>
      <c r="CN300" s="43"/>
      <c r="CO300" s="43"/>
      <c r="CP300" s="43"/>
      <c r="CQ300" s="43"/>
      <c r="CR300" s="43"/>
      <c r="CS300" s="43" t="b">
        <v>0</v>
      </c>
      <c r="CT300" s="43" t="b">
        <v>0</v>
      </c>
      <c r="CU300" s="43" t="b">
        <v>0</v>
      </c>
      <c r="CV300" s="43" t="b">
        <v>0</v>
      </c>
      <c r="CW300" s="43"/>
      <c r="CX300" s="43"/>
      <c r="CY300" s="43"/>
      <c r="CZ300" s="43"/>
      <c r="DA300" s="43"/>
      <c r="DB300" s="43"/>
      <c r="DC300" s="43"/>
      <c r="DD300" s="22">
        <f>IFERROR(VLOOKUP($C300,'Лист4'!$D:$AI,27,0)," ")</f>
        <v>21</v>
      </c>
      <c r="DE300" s="22">
        <f>IFERROR(VLOOKUP($C300,'Лист4'!$D:$AI,28,0)," ")</f>
        <v>6</v>
      </c>
      <c r="DF300" s="22">
        <f>IFERROR(VLOOKUP($C300,'Лист4'!$D:$AI,29,0)," ")</f>
        <v>21</v>
      </c>
      <c r="DG300" s="22">
        <f t="shared" si="3"/>
        <v>2646</v>
      </c>
      <c r="DH300" s="22">
        <f>IFERROR(VLOOKUP($C300,'Лист4'!$D:$AI,32,0)," ")</f>
        <v>0.138</v>
      </c>
      <c r="DI300" s="22"/>
      <c r="DJ300" s="22"/>
      <c r="DK300" s="22"/>
      <c r="DL300" s="22"/>
      <c r="DM300" s="22"/>
      <c r="DN300" s="22"/>
      <c r="DO300" s="22"/>
      <c r="DP300" s="22"/>
      <c r="DQ300" s="22"/>
      <c r="DR300" s="22"/>
      <c r="DS300" s="22"/>
      <c r="DT300" s="22"/>
      <c r="DU300" s="22"/>
      <c r="DV300" s="22"/>
      <c r="DW300" s="22"/>
      <c r="DX300" s="22"/>
      <c r="DY300" s="22"/>
      <c r="DZ300" s="22"/>
      <c r="EA300" s="22"/>
      <c r="EB300" s="22"/>
      <c r="EC300" s="22"/>
      <c r="ED300" s="22"/>
      <c r="EE300" s="22"/>
      <c r="EF300" s="22"/>
      <c r="EG300" s="22"/>
      <c r="EH300" s="22"/>
      <c r="EI300" s="22"/>
      <c r="EJ300" s="22"/>
      <c r="EK300" s="22"/>
      <c r="EL300" s="22"/>
      <c r="EM300" s="43"/>
      <c r="EN300" s="43"/>
      <c r="EO300" s="43"/>
      <c r="EP300" s="43"/>
      <c r="EQ300" s="43"/>
      <c r="ER300" s="43"/>
      <c r="ES300" s="43"/>
      <c r="ET300" s="43"/>
      <c r="EU300" s="43"/>
      <c r="EV300" s="43"/>
      <c r="EW300" s="43"/>
      <c r="EX300" s="43"/>
      <c r="EY300" s="43"/>
      <c r="EZ300" s="43"/>
      <c r="FA300" s="43"/>
      <c r="FB300" s="43"/>
      <c r="FC300" s="43"/>
    </row>
    <row r="301" ht="18.0" customHeight="1">
      <c r="A301" s="2"/>
      <c r="B301" s="22" t="str">
        <f>IFERROR(VLOOKUP(C301,'Реестр'!C:AC,27,0)," ")</f>
        <v>Смарт-Сэйл</v>
      </c>
      <c r="C301" s="43" t="s">
        <v>4642</v>
      </c>
      <c r="D301" s="22" t="str">
        <f>IFERROR(VLOOKUP(C301,'Лист4'!D:P,13,0)," ")</f>
        <v>Алтея</v>
      </c>
      <c r="E301" s="22" t="str">
        <f>IF(OR(ISERROR(VLOOKUP(C301,'Актуальность'!A:B,2,0)), VLOOKUP(C301,'Актуальность'!A:B,2,0)=""), "Актуальный", VLOOKUP(C301,'Актуальность'!A:B,2,0))</f>
        <v>Вывод</v>
      </c>
      <c r="F301" s="43" t="str">
        <f>IFERROR(VLOOKUP(C301,'Актуальность'!A:C,3,0)," ")</f>
        <v>Перегретая ниша внутри МП</v>
      </c>
      <c r="G301" s="43"/>
      <c r="H301" s="22" t="s">
        <v>361</v>
      </c>
      <c r="I301" s="22" t="s">
        <v>3158</v>
      </c>
      <c r="J301" s="43"/>
      <c r="K301" s="43"/>
      <c r="L301" s="22" t="b">
        <f t="shared" ref="L301:R301" si="297">T301&lt;&gt;""</f>
        <v>1</v>
      </c>
      <c r="M301" s="22" t="b">
        <f t="shared" si="297"/>
        <v>1</v>
      </c>
      <c r="N301" s="22" t="b">
        <f t="shared" si="297"/>
        <v>1</v>
      </c>
      <c r="O301" s="22" t="b">
        <f t="shared" si="297"/>
        <v>1</v>
      </c>
      <c r="P301" s="22" t="b">
        <f t="shared" si="297"/>
        <v>0</v>
      </c>
      <c r="Q301" s="22" t="b">
        <f t="shared" si="297"/>
        <v>0</v>
      </c>
      <c r="R301" s="22" t="b">
        <f t="shared" si="297"/>
        <v>0</v>
      </c>
      <c r="S301" s="43"/>
      <c r="T301" s="43" t="str">
        <f>IFERROR(VLOOKUP( C301,'1С'!A:B,2,0)," ")</f>
        <v>AB101100409</v>
      </c>
      <c r="U301" s="22" t="str">
        <f>IFERROR(VLOOKUP(T301,'Лист4'!C:I,3,0)," ")</f>
        <v>Т-34_BAD_60caps</v>
      </c>
      <c r="V301" s="22" t="str">
        <f>IFERROR(VLOOKUP(T301,'Лист4'!C:I,4,0)," ")</f>
        <v>Т-34_BAD_60caps</v>
      </c>
      <c r="W301" s="22" t="str">
        <f>IFERROR(VLOOKUP(T301,'Лист4'!C:I,5,0)," ")</f>
        <v>Т-34_BAD_60caps</v>
      </c>
      <c r="X301" s="43" t="str">
        <f>IFERROR(VLOOKUP(T301,'Лист4'!C:I,7,0)," ")</f>
        <v/>
      </c>
      <c r="Y301" s="43" t="str">
        <f>IFERROR(VLOOKUP(T301,'Лист4'!C:I,6,0)," ")</f>
        <v/>
      </c>
      <c r="Z301" s="43"/>
      <c r="AA301" s="43"/>
      <c r="AB301" s="22">
        <v>1.75788642E8</v>
      </c>
      <c r="AC301" s="22">
        <v>1.171921502E9</v>
      </c>
      <c r="AD301" s="22">
        <v>1.03333756199E11</v>
      </c>
      <c r="AE301" s="22"/>
      <c r="AF301" s="22"/>
      <c r="AG301" s="43"/>
      <c r="AH301" s="43"/>
      <c r="AI301" s="43" t="str">
        <f>IFERROR(VLOOKUP(T301,'1С'!B:C,2,0)," ")</f>
        <v>БАД Т-34, Алтея, 60 капсул</v>
      </c>
      <c r="AJ301" s="22" t="s">
        <v>4646</v>
      </c>
      <c r="AK301" s="22" t="s">
        <v>4647</v>
      </c>
      <c r="AL301" s="22" t="s">
        <v>4647</v>
      </c>
      <c r="AM301" s="43"/>
      <c r="AN301" s="43"/>
      <c r="AO301" s="43"/>
      <c r="AP301" s="43"/>
      <c r="AQ301" s="46" t="s">
        <v>4648</v>
      </c>
      <c r="AR301" s="46" t="s">
        <v>4649</v>
      </c>
      <c r="AS301" s="46" t="s">
        <v>4650</v>
      </c>
      <c r="AT301" s="43"/>
      <c r="AU301" s="43"/>
      <c r="AV301" s="43"/>
      <c r="AW301" s="43"/>
      <c r="AX301" s="22" t="s">
        <v>361</v>
      </c>
      <c r="AY301" s="22" t="s">
        <v>4647</v>
      </c>
      <c r="AZ301" s="22" t="s">
        <v>2692</v>
      </c>
      <c r="BA301" s="43"/>
      <c r="BB301" s="43"/>
      <c r="BC301" s="43"/>
      <c r="BD301" s="43"/>
      <c r="BE301" s="43"/>
      <c r="BF301" s="22">
        <f>IFERROR(VLOOKUP(C301,'спецификация'!B:D,3,0)," ")</f>
        <v>4607025203162</v>
      </c>
      <c r="BG301" s="22">
        <v>2.106909808E9</v>
      </c>
      <c r="BH301" s="22" t="str">
        <f>IFERROR(VLOOKUP(C301,'спецификация'!B:AA,5,0)," ")</f>
        <v>RU.77.99.11.003.R.000009.01.23 от 09.01.2023</v>
      </c>
      <c r="BI301" s="22"/>
      <c r="BJ301" s="22" t="str">
        <f>IFERROR(VLOOKUP(C301,'спецификация'!B:AA,6,0)," ")</f>
        <v>да</v>
      </c>
      <c r="BK301" s="43"/>
      <c r="BL301" s="43"/>
      <c r="BM301" s="22" t="str">
        <f>IFERROR(VLOOKUP(BF301,'спецификация'!D:H,5,0)," ")</f>
        <v>экстракт корня Эврикомы длиннолистной, Экстракт листьев Эпимедиума, Экстракт корневища дикого ямса, Экстракт коры катуаба,  L-аргинин, Микрокристаллическая целлюлоза (Е460, носитель); состав оболочки капсулы: желатин</v>
      </c>
      <c r="BN301" s="43"/>
      <c r="BO301" s="22" t="str">
        <f>IFERROR(VLOOKUP(C301,'спецификация'!B:AA,10,0)," ")</f>
        <v> взрослым мужчинам по 1 капсуле в день во время еды. Курс приема – 1 месяц, можно повторить через 30 дней.</v>
      </c>
      <c r="BP301" s="43" t="str">
        <f>IFERROR(VLOOKUP(C301,'спецификация'!B:AA,11,0)," ")</f>
        <v>индивидуальная непереносимость компонентов. Перед применением рекомендуется проконсультироваться с врачом.</v>
      </c>
      <c r="BQ301" s="22" t="str">
        <f>IFERROR(VLOOKUP(C301,'спецификация'!B:AA,12,0)," ")</f>
        <v>хранить в сухом,защищенном от прямых солнечных лучей и недоступном для детей месте при температуре не выше +25°C</v>
      </c>
      <c r="BR301" s="22">
        <v>60.0</v>
      </c>
      <c r="BS301" s="22" t="s">
        <v>492</v>
      </c>
      <c r="BT301" s="22"/>
      <c r="BU301" s="22"/>
      <c r="BV301" s="22" t="s">
        <v>307</v>
      </c>
      <c r="BW301" s="44" t="str">
        <f>IFERROR(VLOOKUP(C301,'спецификация'!B:AA,16,0)," ")</f>
        <v>https://docs.google.com/document/d/1jxIhXnXRFmwGkQT12IYQ5dkGJ5THEEum/edit</v>
      </c>
      <c r="BX301" s="43"/>
      <c r="BY301" s="43"/>
      <c r="BZ301" s="45" t="str">
        <f>IFERROR(VLOOKUP(BF301,'спецификация'!D:Y,22,0)," ")</f>
        <v/>
      </c>
      <c r="CA301" s="43"/>
      <c r="CB301" s="43"/>
      <c r="CC301" s="43"/>
      <c r="CD301" s="43"/>
      <c r="CE301" s="43"/>
      <c r="CF301" s="43"/>
      <c r="CG301" s="49">
        <f>IFERROR(VLOOKUP(C301,CC!A:D,4,0)," ")</f>
        <v>254.1</v>
      </c>
      <c r="CH301" s="22" t="str">
        <f>IFERROR(VLOOKUP(C301,'спецификация'!B:AA,19,0)," ")</f>
        <v>ООО "Витамер"</v>
      </c>
      <c r="CI301" s="22"/>
      <c r="CJ301" s="22" t="s">
        <v>4657</v>
      </c>
      <c r="CK301" s="22" t="str">
        <f>IFERROR(VLOOKUP(C301,CC!K:M,3,0)," ")</f>
        <v> </v>
      </c>
      <c r="CL301" s="43"/>
      <c r="CM301" s="43"/>
      <c r="CN301" s="43"/>
      <c r="CO301" s="43"/>
      <c r="CP301" s="43"/>
      <c r="CQ301" s="43"/>
      <c r="CR301" s="43"/>
      <c r="CS301" s="43" t="b">
        <v>0</v>
      </c>
      <c r="CT301" s="43" t="b">
        <v>0</v>
      </c>
      <c r="CU301" s="43" t="b">
        <v>0</v>
      </c>
      <c r="CV301" s="43" t="b">
        <v>0</v>
      </c>
      <c r="CW301" s="43"/>
      <c r="CX301" s="43"/>
      <c r="CY301" s="43"/>
      <c r="CZ301" s="43"/>
      <c r="DA301" s="43"/>
      <c r="DB301" s="43"/>
      <c r="DC301" s="43"/>
      <c r="DD301" s="22">
        <f>IFERROR(VLOOKUP($C301,'Лист4'!$D:$AI,27,0)," ")</f>
        <v>5</v>
      </c>
      <c r="DE301" s="22">
        <f>IFERROR(VLOOKUP($C301,'Лист4'!$D:$AI,28,0)," ")</f>
        <v>5</v>
      </c>
      <c r="DF301" s="22">
        <f>IFERROR(VLOOKUP($C301,'Лист4'!$D:$AI,29,0)," ")</f>
        <v>5</v>
      </c>
      <c r="DG301" s="22">
        <f t="shared" si="3"/>
        <v>125</v>
      </c>
      <c r="DH301" s="22">
        <f>IFERROR(VLOOKUP($C301,'Лист4'!$D:$AI,32,0)," ")</f>
        <v>0.064</v>
      </c>
      <c r="DI301" s="22"/>
      <c r="DJ301" s="22"/>
      <c r="DK301" s="22"/>
      <c r="DL301" s="22"/>
      <c r="DM301" s="22"/>
      <c r="DN301" s="22"/>
      <c r="DO301" s="22"/>
      <c r="DP301" s="22"/>
      <c r="DQ301" s="22"/>
      <c r="DR301" s="22"/>
      <c r="DS301" s="22"/>
      <c r="DT301" s="22"/>
      <c r="DU301" s="22"/>
      <c r="DV301" s="22"/>
      <c r="DW301" s="22"/>
      <c r="DX301" s="22"/>
      <c r="DY301" s="22"/>
      <c r="DZ301" s="22"/>
      <c r="EA301" s="22"/>
      <c r="EB301" s="22"/>
      <c r="EC301" s="22"/>
      <c r="ED301" s="22"/>
      <c r="EE301" s="22"/>
      <c r="EF301" s="22"/>
      <c r="EG301" s="22"/>
      <c r="EH301" s="22"/>
      <c r="EI301" s="22"/>
      <c r="EJ301" s="22"/>
      <c r="EK301" s="22"/>
      <c r="EL301" s="22"/>
      <c r="EM301" s="43"/>
      <c r="EN301" s="43"/>
      <c r="EO301" s="43"/>
      <c r="EP301" s="43"/>
      <c r="EQ301" s="43"/>
      <c r="ER301" s="43"/>
      <c r="ES301" s="43"/>
      <c r="ET301" s="43"/>
      <c r="EU301" s="43"/>
      <c r="EV301" s="43"/>
      <c r="EW301" s="43"/>
      <c r="EX301" s="43"/>
      <c r="EY301" s="43"/>
      <c r="EZ301" s="43"/>
      <c r="FA301" s="43"/>
      <c r="FB301" s="43"/>
      <c r="FC301" s="43"/>
    </row>
    <row r="302" ht="18.0" customHeight="1">
      <c r="A302" s="2"/>
      <c r="B302" s="22" t="str">
        <f>IFERROR(VLOOKUP(C302,'Реестр'!C:AC,27,0)," ")</f>
        <v>Смарт-Сэйл</v>
      </c>
      <c r="C302" s="43" t="s">
        <v>4658</v>
      </c>
      <c r="D302" s="22" t="str">
        <f>IFERROR(VLOOKUP(C302,'Лист4'!D:P,13,0)," ")</f>
        <v>CPA</v>
      </c>
      <c r="E302" s="22" t="str">
        <f>IF(OR(ISERROR(VLOOKUP(C302,'Актуальность'!A:B,2,0)), VLOOKUP(C302,'Актуальность'!A:B,2,0)=""), "Актуальный", VLOOKUP(C302,'Актуальность'!A:B,2,0))</f>
        <v>Актуальный</v>
      </c>
      <c r="F302" s="43" t="str">
        <f>IFERROR(VLOOKUP(C302,'Актуальность'!A:C,3,0)," ")</f>
        <v/>
      </c>
      <c r="G302" s="43"/>
      <c r="H302" s="22" t="s">
        <v>4660</v>
      </c>
      <c r="I302" s="22" t="s">
        <v>4661</v>
      </c>
      <c r="J302" s="43"/>
      <c r="K302" s="43"/>
      <c r="L302" s="22" t="b">
        <f t="shared" ref="L302:R302" si="298">T302&lt;&gt;""</f>
        <v>1</v>
      </c>
      <c r="M302" s="22" t="b">
        <f t="shared" si="298"/>
        <v>1</v>
      </c>
      <c r="N302" s="22" t="b">
        <f t="shared" si="298"/>
        <v>1</v>
      </c>
      <c r="O302" s="22" t="b">
        <f t="shared" si="298"/>
        <v>1</v>
      </c>
      <c r="P302" s="22" t="b">
        <f t="shared" si="298"/>
        <v>0</v>
      </c>
      <c r="Q302" s="22" t="b">
        <f t="shared" si="298"/>
        <v>0</v>
      </c>
      <c r="R302" s="22" t="b">
        <f t="shared" si="298"/>
        <v>0</v>
      </c>
      <c r="S302" s="43"/>
      <c r="T302" s="43" t="str">
        <f>IFERROR(VLOOKUP( C302,'1С'!A:B,2,0)," ")</f>
        <v>CO101100456</v>
      </c>
      <c r="U302" s="22" t="str">
        <f>IFERROR(VLOOKUP(T302,'Лист4'!C:I,3,0)," ")</f>
        <v>wbgetsize</v>
      </c>
      <c r="V302" s="22" t="str">
        <f>IFERROR(VLOOKUP(T302,'Лист4'!C:I,4,0)," ")</f>
        <v>wbgetsize</v>
      </c>
      <c r="W302" s="22" t="str">
        <f>IFERROR(VLOOKUP(T302,'Лист4'!C:I,5,0)," ")</f>
        <v>wbgetsize</v>
      </c>
      <c r="X302" s="43" t="str">
        <f>IFERROR(VLOOKUP(T302,'Лист4'!C:I,7,0)," ")</f>
        <v/>
      </c>
      <c r="Y302" s="43" t="str">
        <f>IFERROR(VLOOKUP(T302,'Лист4'!C:I,6,0)," ")</f>
        <v/>
      </c>
      <c r="Z302" s="43"/>
      <c r="AA302" s="43"/>
      <c r="AB302" s="22">
        <v>1.7907051E7</v>
      </c>
      <c r="AC302" s="22">
        <v>2.86744793E8</v>
      </c>
      <c r="AD302" s="22">
        <v>4.569814034E9</v>
      </c>
      <c r="AE302" s="22"/>
      <c r="AF302" s="22"/>
      <c r="AG302" s="43"/>
      <c r="AH302" s="43"/>
      <c r="AI302" s="43" t="str">
        <f>IFERROR(VLOOKUP(T302,'1С'!B:C,2,0)," ")</f>
        <v>Игрушка для взрослых Getsize, CPA</v>
      </c>
      <c r="AJ302" s="22" t="s">
        <v>4663</v>
      </c>
      <c r="AK302" s="22" t="s">
        <v>4664</v>
      </c>
      <c r="AL302" s="22" t="s">
        <v>4664</v>
      </c>
      <c r="AM302" s="43"/>
      <c r="AN302" s="43"/>
      <c r="AO302" s="43"/>
      <c r="AP302" s="43"/>
      <c r="AQ302" s="46" t="s">
        <v>4665</v>
      </c>
      <c r="AR302" s="46" t="s">
        <v>4666</v>
      </c>
      <c r="AS302" s="43"/>
      <c r="AT302" s="43"/>
      <c r="AU302" s="43"/>
      <c r="AV302" s="43"/>
      <c r="AW302" s="43"/>
      <c r="AX302" s="22" t="s">
        <v>4667</v>
      </c>
      <c r="AY302" s="22" t="s">
        <v>4664</v>
      </c>
      <c r="AZ302" s="22" t="s">
        <v>4668</v>
      </c>
      <c r="BA302" s="43"/>
      <c r="BB302" s="43"/>
      <c r="BC302" s="43"/>
      <c r="BD302" s="43"/>
      <c r="BE302" s="43"/>
      <c r="BF302" s="22" t="str">
        <f>IFERROR(VLOOKUP(C302,'спецификация'!B:D,3,0)," ")</f>
        <v> </v>
      </c>
      <c r="BG302" s="22"/>
      <c r="BH302" s="22" t="str">
        <f>IFERROR(VLOOKUP(C302,'спецификация'!B:AA,5,0)," ")</f>
        <v> </v>
      </c>
      <c r="BI302" s="22"/>
      <c r="BJ302" s="22" t="str">
        <f>IFERROR(VLOOKUP(C302,'спецификация'!B:AA,6,0)," ")</f>
        <v> </v>
      </c>
      <c r="BK302" s="43"/>
      <c r="BL302" s="43"/>
      <c r="BM302" s="22" t="str">
        <f>IFERROR(VLOOKUP(BF302,'спецификация'!D:H,5,0)," ")</f>
        <v> </v>
      </c>
      <c r="BN302" s="43"/>
      <c r="BO302" s="22" t="str">
        <f>IFERROR(VLOOKUP(C302,'спецификация'!B:AA,10,0)," ")</f>
        <v> </v>
      </c>
      <c r="BP302" s="43" t="str">
        <f>IFERROR(VLOOKUP(C302,'спецификация'!B:AA,11,0)," ")</f>
        <v> </v>
      </c>
      <c r="BQ302" s="22" t="str">
        <f>IFERROR(VLOOKUP(C302,'спецификация'!B:AA,12,0)," ")</f>
        <v> </v>
      </c>
      <c r="BR302" s="22">
        <v>1.0</v>
      </c>
      <c r="BS302" s="22" t="s">
        <v>421</v>
      </c>
      <c r="BT302" s="22"/>
      <c r="BU302" s="22"/>
      <c r="BV302" s="22" t="s">
        <v>4672</v>
      </c>
      <c r="BW302" s="45" t="str">
        <f>IFERROR(VLOOKUP(C302,'спецификация'!B:AA,16,0)," ")</f>
        <v> </v>
      </c>
      <c r="BX302" s="43"/>
      <c r="BY302" s="43"/>
      <c r="BZ302" s="45" t="str">
        <f>IFERROR(VLOOKUP(BF302,'спецификация'!D:Y,22,0)," ")</f>
        <v> </v>
      </c>
      <c r="CA302" s="43"/>
      <c r="CB302" s="43"/>
      <c r="CC302" s="43"/>
      <c r="CD302" s="43"/>
      <c r="CE302" s="43"/>
      <c r="CF302" s="43"/>
      <c r="CG302" s="49">
        <f>IFERROR(VLOOKUP(C302,CC!A:D,4,0)," ")</f>
        <v>307.5</v>
      </c>
      <c r="CH302" s="22" t="str">
        <f>IFERROR(VLOOKUP(C302,'спецификация'!B:AA,19,0)," ")</f>
        <v> </v>
      </c>
      <c r="CI302" s="22"/>
      <c r="CJ302" s="43"/>
      <c r="CK302" s="22" t="str">
        <f>IFERROR(VLOOKUP(C302,CC!K:M,3,0)," ")</f>
        <v> </v>
      </c>
      <c r="CL302" s="43"/>
      <c r="CM302" s="43"/>
      <c r="CN302" s="43"/>
      <c r="CO302" s="43"/>
      <c r="CP302" s="43"/>
      <c r="CQ302" s="43"/>
      <c r="CR302" s="43"/>
      <c r="CS302" s="43" t="b">
        <v>0</v>
      </c>
      <c r="CT302" s="43" t="b">
        <v>0</v>
      </c>
      <c r="CU302" s="43" t="b">
        <v>0</v>
      </c>
      <c r="CV302" s="43" t="b">
        <v>0</v>
      </c>
      <c r="CW302" s="43"/>
      <c r="CX302" s="43"/>
      <c r="CY302" s="43"/>
      <c r="CZ302" s="43"/>
      <c r="DA302" s="43"/>
      <c r="DB302" s="43"/>
      <c r="DC302" s="43"/>
      <c r="DD302" s="22">
        <f>IFERROR(VLOOKUP($C302,'Лист4'!$D:$AI,27,0)," ")</f>
        <v>9</v>
      </c>
      <c r="DE302" s="22">
        <f>IFERROR(VLOOKUP($C302,'Лист4'!$D:$AI,28,0)," ")</f>
        <v>4</v>
      </c>
      <c r="DF302" s="22">
        <f>IFERROR(VLOOKUP($C302,'Лист4'!$D:$AI,29,0)," ")</f>
        <v>9</v>
      </c>
      <c r="DG302" s="22">
        <f t="shared" si="3"/>
        <v>324</v>
      </c>
      <c r="DH302" s="22">
        <f>IFERROR(VLOOKUP($C302,'Лист4'!$D:$AI,32,0)," ")</f>
        <v>0.092</v>
      </c>
      <c r="DI302" s="22"/>
      <c r="DJ302" s="22"/>
      <c r="DK302" s="22"/>
      <c r="DL302" s="22"/>
      <c r="DM302" s="22"/>
      <c r="DN302" s="22"/>
      <c r="DO302" s="22"/>
      <c r="DP302" s="22"/>
      <c r="DQ302" s="22"/>
      <c r="DR302" s="22"/>
      <c r="DS302" s="22"/>
      <c r="DT302" s="22"/>
      <c r="DU302" s="22"/>
      <c r="DV302" s="22"/>
      <c r="DW302" s="22"/>
      <c r="DX302" s="22"/>
      <c r="DY302" s="22"/>
      <c r="DZ302" s="22"/>
      <c r="EA302" s="22"/>
      <c r="EB302" s="22"/>
      <c r="EC302" s="22"/>
      <c r="ED302" s="22"/>
      <c r="EE302" s="22"/>
      <c r="EF302" s="22"/>
      <c r="EG302" s="22"/>
      <c r="EH302" s="22"/>
      <c r="EI302" s="22"/>
      <c r="EJ302" s="22"/>
      <c r="EK302" s="22"/>
      <c r="EL302" s="22"/>
      <c r="EM302" s="43"/>
      <c r="EN302" s="43"/>
      <c r="EO302" s="43"/>
      <c r="EP302" s="43"/>
      <c r="EQ302" s="43"/>
      <c r="ER302" s="43"/>
      <c r="ES302" s="43"/>
      <c r="ET302" s="43"/>
      <c r="EU302" s="43"/>
      <c r="EV302" s="43"/>
      <c r="EW302" s="43"/>
      <c r="EX302" s="43"/>
      <c r="EY302" s="43"/>
      <c r="EZ302" s="43"/>
      <c r="FA302" s="43"/>
      <c r="FB302" s="43"/>
      <c r="FC302" s="43"/>
    </row>
    <row r="303" ht="18.0" customHeight="1">
      <c r="A303" s="2"/>
      <c r="B303" s="22" t="str">
        <f>IFERROR(VLOOKUP(C303,'Реестр'!C:AC,27,0)," ")</f>
        <v>Смарт-Сэйл</v>
      </c>
      <c r="C303" s="43" t="s">
        <v>4673</v>
      </c>
      <c r="D303" s="22" t="str">
        <f>IFERROR(VLOOKUP(C303,'Лист4'!D:P,13,0)," ")</f>
        <v>Алтея</v>
      </c>
      <c r="E303" s="22" t="str">
        <f>IF(OR(ISERROR(VLOOKUP(C303,'Актуальность'!A:B,2,0)), VLOOKUP(C303,'Актуальность'!A:B,2,0)=""), "Актуальный", VLOOKUP(C303,'Актуальность'!A:B,2,0))</f>
        <v>Вывод</v>
      </c>
      <c r="F303" s="43" t="str">
        <f>IFERROR(VLOOKUP(C303,'Актуальность'!A:C,3,0)," ")</f>
        <v>Низкомаржинальный товар / слишком быстро падает рейтинг</v>
      </c>
      <c r="G303" s="43"/>
      <c r="H303" s="22" t="s">
        <v>361</v>
      </c>
      <c r="I303" s="22" t="s">
        <v>4676</v>
      </c>
      <c r="J303" s="43"/>
      <c r="K303" s="43"/>
      <c r="L303" s="22" t="b">
        <f t="shared" ref="L303:R303" si="299">T303&lt;&gt;""</f>
        <v>1</v>
      </c>
      <c r="M303" s="22" t="b">
        <f t="shared" si="299"/>
        <v>1</v>
      </c>
      <c r="N303" s="22" t="b">
        <f t="shared" si="299"/>
        <v>1</v>
      </c>
      <c r="O303" s="22" t="b">
        <f t="shared" si="299"/>
        <v>1</v>
      </c>
      <c r="P303" s="22" t="b">
        <f t="shared" si="299"/>
        <v>0</v>
      </c>
      <c r="Q303" s="22" t="b">
        <f t="shared" si="299"/>
        <v>0</v>
      </c>
      <c r="R303" s="22" t="b">
        <f t="shared" si="299"/>
        <v>0</v>
      </c>
      <c r="S303" s="43"/>
      <c r="T303" s="43" t="str">
        <f>IFERROR(VLOOKUP( C303,'1С'!A:B,2,0)," ")</f>
        <v>AB101100414</v>
      </c>
      <c r="U303" s="22" t="str">
        <f>IFERROR(VLOOKUP(T303,'Лист4'!C:I,3,0)," ")</f>
        <v>frutaksa_BAD_200gr</v>
      </c>
      <c r="V303" s="22" t="str">
        <f>IFERROR(VLOOKUP(T303,'Лист4'!C:I,4,0)," ")</f>
        <v>frutaksa_BAD_200gr</v>
      </c>
      <c r="W303" s="22" t="str">
        <f>IFERROR(VLOOKUP(T303,'Лист4'!C:I,5,0)," ")</f>
        <v>frutaksa_BAD_200gr</v>
      </c>
      <c r="X303" s="43" t="str">
        <f>IFERROR(VLOOKUP(T303,'Лист4'!C:I,7,0)," ")</f>
        <v/>
      </c>
      <c r="Y303" s="43" t="str">
        <f>IFERROR(VLOOKUP(T303,'Лист4'!C:I,6,0)," ")</f>
        <v/>
      </c>
      <c r="Z303" s="43"/>
      <c r="AA303" s="43"/>
      <c r="AB303" s="22">
        <v>2.23762749E8</v>
      </c>
      <c r="AC303" s="22">
        <v>1.542480921E9</v>
      </c>
      <c r="AD303" s="22">
        <v>1.03515403562E11</v>
      </c>
      <c r="AE303" s="22"/>
      <c r="AF303" s="22"/>
      <c r="AG303" s="43"/>
      <c r="AH303" s="43"/>
      <c r="AI303" s="43" t="str">
        <f>IFERROR(VLOOKUP(T303,'1С'!B:C,2,0)," ")</f>
        <v>БАД Фрутакса, Алтея, 200 г</v>
      </c>
      <c r="AJ303" s="22" t="s">
        <v>4678</v>
      </c>
      <c r="AK303" s="22" t="s">
        <v>4679</v>
      </c>
      <c r="AL303" s="22" t="s">
        <v>4680</v>
      </c>
      <c r="AM303" s="43"/>
      <c r="AN303" s="43"/>
      <c r="AO303" s="43"/>
      <c r="AP303" s="43"/>
      <c r="AQ303" s="46" t="s">
        <v>4681</v>
      </c>
      <c r="AR303" s="46" t="s">
        <v>4682</v>
      </c>
      <c r="AS303" s="46" t="s">
        <v>4683</v>
      </c>
      <c r="AT303" s="43"/>
      <c r="AU303" s="43"/>
      <c r="AV303" s="43"/>
      <c r="AW303" s="43"/>
      <c r="AX303" s="22" t="s">
        <v>361</v>
      </c>
      <c r="AY303" s="22" t="s">
        <v>4679</v>
      </c>
      <c r="AZ303" s="22" t="s">
        <v>2534</v>
      </c>
      <c r="BA303" s="43"/>
      <c r="BB303" s="43"/>
      <c r="BC303" s="43"/>
      <c r="BD303" s="43"/>
      <c r="BE303" s="43"/>
      <c r="BF303" s="22">
        <f>IFERROR(VLOOKUP(C303,'спецификация'!B:D,3,0)," ")</f>
        <v>4627193453732</v>
      </c>
      <c r="BG303" s="22">
        <v>2.106909808E9</v>
      </c>
      <c r="BH303" s="22" t="str">
        <f>IFERROR(VLOOKUP(C303,'спецификация'!B:AA,5,0)," ")</f>
        <v>AM.01.06.01.003.R.000057.02.24 от 14.02.2024</v>
      </c>
      <c r="BI303" s="22"/>
      <c r="BJ303" s="22" t="str">
        <f>IFERROR(VLOOKUP(C303,'спецификация'!B:AA,6,0)," ")</f>
        <v>да</v>
      </c>
      <c r="BK303" s="43"/>
      <c r="BL303" s="43"/>
      <c r="BM303" s="22" t="str">
        <f>IFERROR(VLOOKUP(BF303,'спецификация'!D:H,5,0)," ")</f>
        <v>мальтодекстрин, декстроза, инулин, гуаровая камедь, лимонная кислота, ароматизатор ананас, экстракт ананаса, экстракт померанца, экстракт апельсина, экстракт мандарина, экстракт манго, экстракт яблока, экстракт листьев березы, витаминный премикс, стевиозид, экстракт спирулины, медно-натриевый хлорофиллин, хрома пиколинат.</v>
      </c>
      <c r="BN303" s="43"/>
      <c r="BO303" s="22" t="str">
        <f>IFERROR(VLOOKUP(C303,'спецификация'!B:AA,10,0)," ")</f>
        <v>взрослым 1 раз в день до приема пищи, растворив содержимое 1 мерной ложки в 200 мл воды.</v>
      </c>
      <c r="BP303" s="43" t="str">
        <f>IFERROR(VLOOKUP(C303,'спецификация'!B:AA,11,0)," ")</f>
        <v>индивидуальная непереносимость компонентов, беременность, кормление грудью. Перед применением рекомендуется проконсультироваться с врачом.</v>
      </c>
      <c r="BQ303" s="22" t="str">
        <f>IFERROR(VLOOKUP(C303,'спецификация'!B:AA,12,0)," ")</f>
        <v>хранить в оригинальной закрытой упаковке в защищенном от прямых солнечных лучей и недоступном для детей месте при температуре не выше +25ºС.</v>
      </c>
      <c r="BR303" s="22">
        <v>30.0</v>
      </c>
      <c r="BS303" s="22" t="s">
        <v>4688</v>
      </c>
      <c r="BT303" s="22"/>
      <c r="BU303" s="22"/>
      <c r="BV303" s="22" t="s">
        <v>307</v>
      </c>
      <c r="BW303" s="44" t="str">
        <f>IFERROR(VLOOKUP(C303,'спецификация'!B:AA,16,0)," ")</f>
        <v>https://docs.google.com/document/d/1qSKOdAE3uZCuZSUMoOEqXt691on9sb1W/edit</v>
      </c>
      <c r="BX303" s="43"/>
      <c r="BY303" s="43"/>
      <c r="BZ303" s="45" t="str">
        <f>IFERROR(VLOOKUP(BF303,'спецификация'!D:Y,22,0)," ")</f>
        <v/>
      </c>
      <c r="CA303" s="43"/>
      <c r="CB303" s="43"/>
      <c r="CC303" s="43"/>
      <c r="CD303" s="43"/>
      <c r="CE303" s="43"/>
      <c r="CF303" s="43"/>
      <c r="CG303" s="49">
        <f>IFERROR(VLOOKUP(C303,CC!A:D,4,0)," ")</f>
        <v>214.39</v>
      </c>
      <c r="CH303" s="22" t="str">
        <f>IFERROR(VLOOKUP(C303,'спецификация'!B:AA,19,0)," ")</f>
        <v>ООО "ЗДРАВФАРМ", 129626, Россия, г. Москва, вн. тер г., Муниципальный округ Алексеевский, ул. 1-я Мытищинская, д3, стр. 1, эт. 6, каб 216, ком. 42</v>
      </c>
      <c r="CI303" s="22"/>
      <c r="CJ303" s="22" t="s">
        <v>805</v>
      </c>
      <c r="CK303" s="22">
        <f>IFERROR(VLOOKUP(C303,CC!K:M,3,0)," ")</f>
        <v>90</v>
      </c>
      <c r="CL303" s="43"/>
      <c r="CM303" s="43"/>
      <c r="CN303" s="43"/>
      <c r="CO303" s="43"/>
      <c r="CP303" s="43"/>
      <c r="CQ303" s="43"/>
      <c r="CR303" s="43"/>
      <c r="CS303" s="43" t="b">
        <v>0</v>
      </c>
      <c r="CT303" s="43" t="b">
        <v>0</v>
      </c>
      <c r="CU303" s="43" t="b">
        <v>0</v>
      </c>
      <c r="CV303" s="43" t="b">
        <v>0</v>
      </c>
      <c r="CW303" s="43"/>
      <c r="CX303" s="43"/>
      <c r="CY303" s="43"/>
      <c r="CZ303" s="43"/>
      <c r="DA303" s="43"/>
      <c r="DB303" s="43"/>
      <c r="DC303" s="43"/>
      <c r="DD303" s="22">
        <f>IFERROR(VLOOKUP($C303,'Лист4'!$D:$AI,27,0)," ")</f>
        <v>9</v>
      </c>
      <c r="DE303" s="22">
        <f>IFERROR(VLOOKUP($C303,'Лист4'!$D:$AI,28,0)," ")</f>
        <v>9</v>
      </c>
      <c r="DF303" s="22">
        <f>IFERROR(VLOOKUP($C303,'Лист4'!$D:$AI,29,0)," ")</f>
        <v>9</v>
      </c>
      <c r="DG303" s="22">
        <f t="shared" si="3"/>
        <v>729</v>
      </c>
      <c r="DH303" s="22">
        <f>IFERROR(VLOOKUP($C303,'Лист4'!$D:$AI,32,0)," ")</f>
        <v>0.26</v>
      </c>
      <c r="DI303" s="22"/>
      <c r="DJ303" s="22"/>
      <c r="DK303" s="22"/>
      <c r="DL303" s="22"/>
      <c r="DM303" s="22"/>
      <c r="DN303" s="22"/>
      <c r="DO303" s="22"/>
      <c r="DP303" s="22"/>
      <c r="DQ303" s="22"/>
      <c r="DR303" s="22"/>
      <c r="DS303" s="22"/>
      <c r="DT303" s="22"/>
      <c r="DU303" s="22"/>
      <c r="DV303" s="22"/>
      <c r="DW303" s="22"/>
      <c r="DX303" s="22"/>
      <c r="DY303" s="22"/>
      <c r="DZ303" s="22"/>
      <c r="EA303" s="22"/>
      <c r="EB303" s="22"/>
      <c r="EC303" s="22"/>
      <c r="ED303" s="22"/>
      <c r="EE303" s="22"/>
      <c r="EF303" s="22"/>
      <c r="EG303" s="22"/>
      <c r="EH303" s="22"/>
      <c r="EI303" s="22"/>
      <c r="EJ303" s="22"/>
      <c r="EK303" s="22"/>
      <c r="EL303" s="22"/>
      <c r="EM303" s="43"/>
      <c r="EN303" s="43"/>
      <c r="EO303" s="43"/>
      <c r="EP303" s="43"/>
      <c r="EQ303" s="43"/>
      <c r="ER303" s="43"/>
      <c r="ES303" s="43"/>
      <c r="ET303" s="43"/>
      <c r="EU303" s="43"/>
      <c r="EV303" s="43"/>
      <c r="EW303" s="43"/>
      <c r="EX303" s="43"/>
      <c r="EY303" s="43"/>
      <c r="EZ303" s="43"/>
      <c r="FA303" s="43"/>
      <c r="FB303" s="43"/>
      <c r="FC303" s="43"/>
    </row>
    <row r="304" ht="18.0" customHeight="1">
      <c r="A304" s="2"/>
      <c r="B304" s="22" t="str">
        <f>IFERROR(VLOOKUP(C304,'Реестр'!C:AC,27,0)," ")</f>
        <v>Смарт-Сэйл</v>
      </c>
      <c r="C304" s="43" t="s">
        <v>4691</v>
      </c>
      <c r="D304" s="22" t="str">
        <f>IFERROR(VLOOKUP(C304,'Лист4'!D:P,13,0)," ")</f>
        <v>Алтея</v>
      </c>
      <c r="E304" s="22" t="str">
        <f>IF(OR(ISERROR(VLOOKUP(C304,'Актуальность'!A:B,2,0)), VLOOKUP(C304,'Актуальность'!A:B,2,0)=""), "Актуальный", VLOOKUP(C304,'Актуальность'!A:B,2,0))</f>
        <v>Вывод</v>
      </c>
      <c r="F304" s="43" t="str">
        <f>IFERROR(VLOOKUP(C304,'Актуальность'!A:C,3,0)," ")</f>
        <v>Оставляем только одинарный</v>
      </c>
      <c r="G304" s="43"/>
      <c r="H304" s="22" t="s">
        <v>2743</v>
      </c>
      <c r="I304" s="22" t="s">
        <v>1630</v>
      </c>
      <c r="J304" s="43"/>
      <c r="K304" s="43"/>
      <c r="L304" s="22" t="b">
        <f t="shared" ref="L304:R304" si="300">T304&lt;&gt;""</f>
        <v>1</v>
      </c>
      <c r="M304" s="22" t="b">
        <f t="shared" si="300"/>
        <v>1</v>
      </c>
      <c r="N304" s="22" t="b">
        <f t="shared" si="300"/>
        <v>1</v>
      </c>
      <c r="O304" s="22" t="b">
        <f t="shared" si="300"/>
        <v>0</v>
      </c>
      <c r="P304" s="22" t="b">
        <f t="shared" si="300"/>
        <v>0</v>
      </c>
      <c r="Q304" s="22" t="b">
        <f t="shared" si="300"/>
        <v>0</v>
      </c>
      <c r="R304" s="22" t="b">
        <f t="shared" si="300"/>
        <v>0</v>
      </c>
      <c r="S304" s="43"/>
      <c r="T304" s="43" t="str">
        <f>IFERROR(VLOOKUP( C304,'1С'!A:B,2,0)," ")</f>
        <v>AC101100448</v>
      </c>
      <c r="U304" s="22" t="str">
        <f>IFERROR(VLOOKUP(T304,'Лист4'!C:I,3,0)," ")</f>
        <v>nabor_remuver_40ml_1_1</v>
      </c>
      <c r="V304" s="22" t="str">
        <f>IFERROR(VLOOKUP(T304,'Лист4'!C:I,4,0)," ")</f>
        <v>nabor_remuver_40ml_1_1</v>
      </c>
      <c r="W304" s="22" t="str">
        <f>IFERROR(VLOOKUP(T304,'Лист4'!C:I,5,0)," ")</f>
        <v/>
      </c>
      <c r="X304" s="43" t="str">
        <f>IFERROR(VLOOKUP(T304,'Лист4'!C:I,7,0)," ")</f>
        <v/>
      </c>
      <c r="Y304" s="43" t="str">
        <f>IFERROR(VLOOKUP(T304,'Лист4'!C:I,6,0)," ")</f>
        <v/>
      </c>
      <c r="Z304" s="43"/>
      <c r="AA304" s="43"/>
      <c r="AB304" s="22">
        <v>3.99759797E8</v>
      </c>
      <c r="AC304" s="22">
        <v>2.067921716E9</v>
      </c>
      <c r="AD304" s="22"/>
      <c r="AE304" s="22"/>
      <c r="AF304" s="22"/>
      <c r="AG304" s="43"/>
      <c r="AH304" s="43"/>
      <c r="AI304" s="43" t="str">
        <f>IFERROR(VLOOKUP(T304,'1С'!B:C,2,0)," ")</f>
        <v>Ремувер для удаления кутикулы, Алтея, 40 мл, набор из 2 шт</v>
      </c>
      <c r="AJ304" s="22" t="s">
        <v>4695</v>
      </c>
      <c r="AK304" s="22" t="s">
        <v>4696</v>
      </c>
      <c r="AL304" s="43"/>
      <c r="AM304" s="43"/>
      <c r="AN304" s="43"/>
      <c r="AO304" s="43"/>
      <c r="AP304" s="43"/>
      <c r="AQ304" s="46" t="s">
        <v>4697</v>
      </c>
      <c r="AR304" s="46" t="s">
        <v>4698</v>
      </c>
      <c r="AS304" s="43"/>
      <c r="AT304" s="43"/>
      <c r="AU304" s="43"/>
      <c r="AV304" s="43"/>
      <c r="AW304" s="43"/>
      <c r="AX304" s="22" t="s">
        <v>1642</v>
      </c>
      <c r="AY304" s="22" t="s">
        <v>4696</v>
      </c>
      <c r="AZ304" s="43"/>
      <c r="BA304" s="43"/>
      <c r="BB304" s="43"/>
      <c r="BC304" s="43"/>
      <c r="BD304" s="43"/>
      <c r="BE304" s="43"/>
      <c r="BF304" s="22">
        <f>IFERROR(VLOOKUP(C304,'спецификация'!B:D,3,0)," ")</f>
        <v>4656887467946</v>
      </c>
      <c r="BG304" s="22"/>
      <c r="BH304" s="22" t="str">
        <f>IFERROR(VLOOKUP(C304,'спецификация'!B:AA,5,0)," ")</f>
        <v/>
      </c>
      <c r="BI304" s="22"/>
      <c r="BJ304" s="22" t="str">
        <f>IFERROR(VLOOKUP(C304,'спецификация'!B:AA,6,0)," ")</f>
        <v/>
      </c>
      <c r="BK304" s="43"/>
      <c r="BL304" s="43"/>
      <c r="BM304" s="22" t="str">
        <f>IFERROR(VLOOKUP(BF304,'спецификация'!D:H,5,0)," ")</f>
        <v/>
      </c>
      <c r="BN304" s="43"/>
      <c r="BO304" s="22" t="str">
        <f>IFERROR(VLOOKUP(C304,'спецификация'!B:AA,10,0)," ")</f>
        <v/>
      </c>
      <c r="BP304" s="43" t="str">
        <f>IFERROR(VLOOKUP(C304,'спецификация'!B:AA,11,0)," ")</f>
        <v/>
      </c>
      <c r="BQ304" s="22" t="str">
        <f>IFERROR(VLOOKUP(C304,'спецификация'!B:AA,12,0)," ")</f>
        <v/>
      </c>
      <c r="BR304" s="22"/>
      <c r="BS304" s="58" t="s">
        <v>1666</v>
      </c>
      <c r="BT304" s="58"/>
      <c r="BU304" s="22"/>
      <c r="BV304" s="22"/>
      <c r="BW304" s="45" t="str">
        <f>IFERROR(VLOOKUP(C304,'спецификация'!B:AA,16,0)," ")</f>
        <v/>
      </c>
      <c r="BX304" s="43"/>
      <c r="BY304" s="43"/>
      <c r="BZ304" s="45" t="str">
        <f>IFERROR(VLOOKUP(BF304,'спецификация'!D:Y,22,0)," ")</f>
        <v/>
      </c>
      <c r="CA304" s="43"/>
      <c r="CB304" s="43"/>
      <c r="CC304" s="43"/>
      <c r="CD304" s="43"/>
      <c r="CE304" s="43"/>
      <c r="CF304" s="43"/>
      <c r="CG304" s="49">
        <f>IFERROR(VLOOKUP(C304,CC!A:D,4,0)," ")</f>
        <v>99</v>
      </c>
      <c r="CH304" s="22" t="str">
        <f>IFERROR(VLOOKUP(C304,'спецификация'!B:AA,19,0)," ")</f>
        <v/>
      </c>
      <c r="CI304" s="22"/>
      <c r="CJ304" s="22"/>
      <c r="CK304" s="22">
        <f>IFERROR(VLOOKUP(C304,CC!K:M,3,0)," ")</f>
        <v>30</v>
      </c>
      <c r="CL304" s="43"/>
      <c r="CM304" s="43"/>
      <c r="CN304" s="43"/>
      <c r="CO304" s="43"/>
      <c r="CP304" s="43"/>
      <c r="CQ304" s="43"/>
      <c r="CR304" s="43"/>
      <c r="CS304" s="43" t="b">
        <v>0</v>
      </c>
      <c r="CT304" s="43" t="b">
        <v>0</v>
      </c>
      <c r="CU304" s="43" t="b">
        <v>0</v>
      </c>
      <c r="CV304" s="43" t="b">
        <v>0</v>
      </c>
      <c r="CW304" s="43"/>
      <c r="CX304" s="43"/>
      <c r="CY304" s="43"/>
      <c r="CZ304" s="43"/>
      <c r="DA304" s="43"/>
      <c r="DB304" s="43"/>
      <c r="DC304" s="43"/>
      <c r="DD304" s="22">
        <f>IFERROR(VLOOKUP($C304,'Лист4'!$D:$AI,27,0)," ")</f>
        <v>10</v>
      </c>
      <c r="DE304" s="22">
        <f>IFERROR(VLOOKUP($C304,'Лист4'!$D:$AI,28,0)," ")</f>
        <v>15</v>
      </c>
      <c r="DF304" s="22">
        <f>IFERROR(VLOOKUP($C304,'Лист4'!$D:$AI,29,0)," ")</f>
        <v>10</v>
      </c>
      <c r="DG304" s="22">
        <f t="shared" si="3"/>
        <v>1500</v>
      </c>
      <c r="DH304" s="22">
        <f>IFERROR(VLOOKUP($C304,'Лист4'!$D:$AI,32,0)," ")</f>
        <v>0.128</v>
      </c>
      <c r="DI304" s="22"/>
      <c r="DJ304" s="22"/>
      <c r="DK304" s="22"/>
      <c r="DL304" s="22"/>
      <c r="DM304" s="22"/>
      <c r="DN304" s="22"/>
      <c r="DO304" s="22"/>
      <c r="DP304" s="22"/>
      <c r="DQ304" s="22"/>
      <c r="DR304" s="22"/>
      <c r="DS304" s="22"/>
      <c r="DT304" s="22"/>
      <c r="DU304" s="22"/>
      <c r="DV304" s="22"/>
      <c r="DW304" s="22"/>
      <c r="DX304" s="22"/>
      <c r="DY304" s="22"/>
      <c r="DZ304" s="22"/>
      <c r="EA304" s="22"/>
      <c r="EB304" s="22"/>
      <c r="EC304" s="22"/>
      <c r="ED304" s="22"/>
      <c r="EE304" s="22"/>
      <c r="EF304" s="22"/>
      <c r="EG304" s="22"/>
      <c r="EH304" s="22"/>
      <c r="EI304" s="22"/>
      <c r="EJ304" s="22"/>
      <c r="EK304" s="22"/>
      <c r="EL304" s="22"/>
      <c r="EM304" s="43"/>
      <c r="EN304" s="43"/>
      <c r="EO304" s="43"/>
      <c r="EP304" s="43"/>
      <c r="EQ304" s="43"/>
      <c r="ER304" s="43"/>
      <c r="ES304" s="43"/>
      <c r="ET304" s="43"/>
      <c r="EU304" s="43"/>
      <c r="EV304" s="43"/>
      <c r="EW304" s="43"/>
      <c r="EX304" s="43"/>
      <c r="EY304" s="43"/>
      <c r="EZ304" s="43"/>
      <c r="FA304" s="43"/>
      <c r="FB304" s="43"/>
      <c r="FC304" s="43"/>
    </row>
    <row r="305" ht="18.0" customHeight="1">
      <c r="A305" s="2"/>
      <c r="B305" s="22" t="str">
        <f>IFERROR(VLOOKUP(C305,'Реестр'!C:AC,27,0)," ")</f>
        <v>Смарт-Сэйл</v>
      </c>
      <c r="C305" s="43" t="s">
        <v>4703</v>
      </c>
      <c r="D305" s="22" t="str">
        <f>IFERROR(VLOOKUP(C305,'Лист4'!D:P,13,0)," ")</f>
        <v>Алтея</v>
      </c>
      <c r="E305" s="22" t="str">
        <f>IF(OR(ISERROR(VLOOKUP(C305,'Актуальность'!A:B,2,0)), VLOOKUP(C305,'Актуальность'!A:B,2,0)=""), "Актуальный", VLOOKUP(C305,'Актуальность'!A:B,2,0))</f>
        <v>Актуальный</v>
      </c>
      <c r="F305" s="43" t="str">
        <f>IFERROR(VLOOKUP(C305,'Актуальность'!A:C,3,0)," ")</f>
        <v/>
      </c>
      <c r="G305" s="43"/>
      <c r="H305" s="22" t="s">
        <v>361</v>
      </c>
      <c r="I305" s="22" t="s">
        <v>2766</v>
      </c>
      <c r="J305" s="43"/>
      <c r="K305" s="43"/>
      <c r="L305" s="22" t="b">
        <f t="shared" ref="L305:R305" si="301">T305&lt;&gt;""</f>
        <v>1</v>
      </c>
      <c r="M305" s="22" t="b">
        <f t="shared" si="301"/>
        <v>1</v>
      </c>
      <c r="N305" s="22" t="b">
        <f t="shared" si="301"/>
        <v>1</v>
      </c>
      <c r="O305" s="22" t="b">
        <f t="shared" si="301"/>
        <v>1</v>
      </c>
      <c r="P305" s="22" t="b">
        <f t="shared" si="301"/>
        <v>0</v>
      </c>
      <c r="Q305" s="22" t="b">
        <f t="shared" si="301"/>
        <v>0</v>
      </c>
      <c r="R305" s="22" t="b">
        <f t="shared" si="301"/>
        <v>0</v>
      </c>
      <c r="S305" s="43"/>
      <c r="T305" s="43" t="str">
        <f>IFERROR(VLOOKUP( C305,'1С'!A:B,2,0)," ")</f>
        <v>AB101100401</v>
      </c>
      <c r="U305" s="22" t="str">
        <f>IFERROR(VLOOKUP(T305,'Лист4'!C:I,3,0)," ")</f>
        <v>glikiron_BAD_60caps</v>
      </c>
      <c r="V305" s="22" t="str">
        <f>IFERROR(VLOOKUP(T305,'Лист4'!C:I,4,0)," ")</f>
        <v>glikiron_BAD_60caps</v>
      </c>
      <c r="W305" s="22" t="str">
        <f>IFERROR(VLOOKUP(T305,'Лист4'!C:I,5,0)," ")</f>
        <v>glikiron_BAD_60caps</v>
      </c>
      <c r="X305" s="43" t="str">
        <f>IFERROR(VLOOKUP(T305,'Лист4'!C:I,7,0)," ")</f>
        <v/>
      </c>
      <c r="Y305" s="43" t="str">
        <f>IFERROR(VLOOKUP(T305,'Лист4'!C:I,6,0)," ")</f>
        <v/>
      </c>
      <c r="Z305" s="43"/>
      <c r="AA305" s="43"/>
      <c r="AB305" s="22">
        <v>2.09229089E8</v>
      </c>
      <c r="AC305" s="22">
        <v>1.422277198E9</v>
      </c>
      <c r="AD305" s="22">
        <v>1.03515427024E11</v>
      </c>
      <c r="AE305" s="22"/>
      <c r="AF305" s="22"/>
      <c r="AG305" s="43"/>
      <c r="AH305" s="43"/>
      <c r="AI305" s="43" t="str">
        <f>IFERROR(VLOOKUP(T305,'1С'!B:C,2,0)," ")</f>
        <v>БАД Гликерон, Алтея, 60 капсул</v>
      </c>
      <c r="AJ305" s="22" t="s">
        <v>4706</v>
      </c>
      <c r="AK305" s="22" t="s">
        <v>4707</v>
      </c>
      <c r="AL305" s="22" t="s">
        <v>4708</v>
      </c>
      <c r="AM305" s="43"/>
      <c r="AN305" s="43"/>
      <c r="AO305" s="43"/>
      <c r="AP305" s="43"/>
      <c r="AQ305" s="46" t="s">
        <v>4709</v>
      </c>
      <c r="AR305" s="46" t="s">
        <v>4710</v>
      </c>
      <c r="AS305" s="46" t="s">
        <v>4711</v>
      </c>
      <c r="AT305" s="43"/>
      <c r="AU305" s="43"/>
      <c r="AV305" s="43"/>
      <c r="AW305" s="43"/>
      <c r="AX305" s="22" t="s">
        <v>361</v>
      </c>
      <c r="AY305" s="22" t="s">
        <v>4707</v>
      </c>
      <c r="AZ305" s="22" t="s">
        <v>372</v>
      </c>
      <c r="BA305" s="43"/>
      <c r="BB305" s="43"/>
      <c r="BC305" s="43"/>
      <c r="BD305" s="43"/>
      <c r="BE305" s="43"/>
      <c r="BF305" s="22">
        <f>IFERROR(VLOOKUP(C305,'спецификация'!B:D,3,0)," ")</f>
        <v>4627193453404</v>
      </c>
      <c r="BG305" s="22">
        <v>2.106909803E9</v>
      </c>
      <c r="BH305" s="22" t="str">
        <f>IFERROR(VLOOKUP(C305,'спецификация'!B:AA,5,0)," ")</f>
        <v/>
      </c>
      <c r="BI305" s="22"/>
      <c r="BJ305" s="22" t="str">
        <f>IFERROR(VLOOKUP(C305,'спецификация'!B:AA,6,0)," ")</f>
        <v>да</v>
      </c>
      <c r="BK305" s="43"/>
      <c r="BL305" s="43"/>
      <c r="BM305" s="22" t="str">
        <f>IFERROR(VLOOKUP(BF305,'спецификация'!D:H,5,0)," ")</f>
        <v>корицы экстракт сухой коры, альфа-липоевая кислота, годжи экстракт сухой плодов, фасоли белой  экстракт сухой плодов, крапивы двудомной экстракт сухой листьев, экстракт сухой топинамбура клубней, агент антислёживающий: кальциевая соль стеариновой кислоты (Е470), агент антислёживающий: диоксид кремния аморфный (Е551), пиколинат хрома, желатин*, носитель: целлюлоза микрокристаллическая (Е460).</v>
      </c>
      <c r="BN305" s="43"/>
      <c r="BO305" s="22" t="str">
        <f>IFERROR(VLOOKUP(C305,'спецификация'!B:AA,10,0)," ")</f>
        <v>взрослым по 2 капсулы 1 раз в день во время еды.</v>
      </c>
      <c r="BP305" s="43" t="str">
        <f>IFERROR(VLOOKUP(C305,'спецификация'!B:AA,11,0)," ")</f>
        <v>индивидуальная непереносимость компонентов продукта, беременность, кормление грудью. Перед применением рекомендуется проконсультироваться с врачом. </v>
      </c>
      <c r="BQ305" s="22" t="str">
        <f>IFERROR(VLOOKUP(C305,'спецификация'!B:AA,12,0)," ")</f>
        <v>хранить в сухом, защищенном от прямых солнечных лучей и недоступном для детей месте при температуре не выше +25°С.  </v>
      </c>
      <c r="BR305" s="22">
        <v>60.0</v>
      </c>
      <c r="BS305" s="22" t="s">
        <v>492</v>
      </c>
      <c r="BT305" s="22"/>
      <c r="BU305" s="22"/>
      <c r="BV305" s="22" t="s">
        <v>307</v>
      </c>
      <c r="BW305" s="44" t="str">
        <f>IFERROR(VLOOKUP(C305,'спецификация'!B:AA,16,0)," ")</f>
        <v>https://docs.google.com/document/d/1ADGfMzevXRCtvQW1mjXTkDLw9N94ge2c/edit</v>
      </c>
      <c r="BX305" s="43"/>
      <c r="BY305" s="43"/>
      <c r="BZ305" s="45" t="str">
        <f>IFERROR(VLOOKUP(BF305,'спецификация'!D:Y,22,0)," ")</f>
        <v/>
      </c>
      <c r="CA305" s="43"/>
      <c r="CB305" s="43"/>
      <c r="CC305" s="43"/>
      <c r="CD305" s="43"/>
      <c r="CE305" s="43"/>
      <c r="CF305" s="43"/>
      <c r="CG305" s="49">
        <f>IFERROR(VLOOKUP(C305,CC!A:D,4,0)," ")</f>
        <v>152.67</v>
      </c>
      <c r="CH305" s="22" t="str">
        <f>IFERROR(VLOOKUP(C305,'спецификация'!B:AA,19,0)," ")</f>
        <v>ООО "ЗДРАВФАРМ", 129626, Россия, г. Москва, вн. тер г., Муниципальный округ Алексеевский, ул. 1-я Мытищинская, д3, стр. 1, эт. 6, каб 216, ком. 42</v>
      </c>
      <c r="CI305" s="22"/>
      <c r="CJ305" s="22" t="s">
        <v>805</v>
      </c>
      <c r="CK305" s="22">
        <f>IFERROR(VLOOKUP(C305,CC!K:M,3,0)," ")</f>
        <v>90</v>
      </c>
      <c r="CL305" s="43"/>
      <c r="CM305" s="43"/>
      <c r="CN305" s="43"/>
      <c r="CO305" s="43"/>
      <c r="CP305" s="43"/>
      <c r="CQ305" s="43"/>
      <c r="CR305" s="43"/>
      <c r="CS305" s="43" t="b">
        <v>0</v>
      </c>
      <c r="CT305" s="43" t="b">
        <v>0</v>
      </c>
      <c r="CU305" s="43" t="b">
        <v>0</v>
      </c>
      <c r="CV305" s="43" t="b">
        <v>0</v>
      </c>
      <c r="CW305" s="43"/>
      <c r="CX305" s="43"/>
      <c r="CY305" s="43"/>
      <c r="CZ305" s="43"/>
      <c r="DA305" s="43"/>
      <c r="DB305" s="43"/>
      <c r="DC305" s="43"/>
      <c r="DD305" s="22">
        <f>IFERROR(VLOOKUP($C305,'Лист4'!$D:$AI,27,0)," ")</f>
        <v>5</v>
      </c>
      <c r="DE305" s="22">
        <f>IFERROR(VLOOKUP($C305,'Лист4'!$D:$AI,28,0)," ")</f>
        <v>5</v>
      </c>
      <c r="DF305" s="22">
        <f>IFERROR(VLOOKUP($C305,'Лист4'!$D:$AI,29,0)," ")</f>
        <v>5</v>
      </c>
      <c r="DG305" s="22">
        <f t="shared" si="3"/>
        <v>125</v>
      </c>
      <c r="DH305" s="22">
        <f>IFERROR(VLOOKUP($C305,'Лист4'!$D:$AI,32,0)," ")</f>
        <v>0.044</v>
      </c>
      <c r="DI305" s="22"/>
      <c r="DJ305" s="22"/>
      <c r="DK305" s="22"/>
      <c r="DL305" s="22"/>
      <c r="DM305" s="22"/>
      <c r="DN305" s="22"/>
      <c r="DO305" s="22"/>
      <c r="DP305" s="22"/>
      <c r="DQ305" s="22"/>
      <c r="DR305" s="22"/>
      <c r="DS305" s="22"/>
      <c r="DT305" s="22"/>
      <c r="DU305" s="22"/>
      <c r="DV305" s="22"/>
      <c r="DW305" s="22"/>
      <c r="DX305" s="22"/>
      <c r="DY305" s="22"/>
      <c r="DZ305" s="22"/>
      <c r="EA305" s="22"/>
      <c r="EB305" s="22"/>
      <c r="EC305" s="22"/>
      <c r="ED305" s="22"/>
      <c r="EE305" s="22"/>
      <c r="EF305" s="22"/>
      <c r="EG305" s="22"/>
      <c r="EH305" s="22"/>
      <c r="EI305" s="22"/>
      <c r="EJ305" s="22"/>
      <c r="EK305" s="22"/>
      <c r="EL305" s="22"/>
      <c r="EM305" s="43"/>
      <c r="EN305" s="43"/>
      <c r="EO305" s="43"/>
      <c r="EP305" s="43"/>
      <c r="EQ305" s="43"/>
      <c r="ER305" s="43"/>
      <c r="ES305" s="43"/>
      <c r="ET305" s="43"/>
      <c r="EU305" s="43"/>
      <c r="EV305" s="43"/>
      <c r="EW305" s="43"/>
      <c r="EX305" s="43"/>
      <c r="EY305" s="43"/>
      <c r="EZ305" s="43"/>
      <c r="FA305" s="43"/>
      <c r="FB305" s="43"/>
      <c r="FC305" s="43"/>
    </row>
    <row r="306" ht="18.0" customHeight="1">
      <c r="A306" s="2"/>
      <c r="B306" s="22" t="str">
        <f>IFERROR(VLOOKUP(C306,'Реестр'!C:AC,27,0)," ")</f>
        <v>Смарт-Сэйл</v>
      </c>
      <c r="C306" s="43" t="s">
        <v>4716</v>
      </c>
      <c r="D306" s="22" t="str">
        <f>IFERROR(VLOOKUP(C306,'Лист4'!D:P,13,0)," ")</f>
        <v>CPA</v>
      </c>
      <c r="E306" s="22" t="str">
        <f>IF(OR(ISERROR(VLOOKUP(C306,'Актуальность'!A:B,2,0)), VLOOKUP(C306,'Актуальность'!A:B,2,0)=""), "Актуальный", VLOOKUP(C306,'Актуальность'!A:B,2,0))</f>
        <v>Актуальный</v>
      </c>
      <c r="F306" s="43" t="str">
        <f>IFERROR(VLOOKUP(C306,'Актуальность'!A:C,3,0)," ")</f>
        <v/>
      </c>
      <c r="G306" s="43"/>
      <c r="H306" s="22" t="s">
        <v>2663</v>
      </c>
      <c r="I306" s="22" t="s">
        <v>2703</v>
      </c>
      <c r="J306" s="43"/>
      <c r="K306" s="43"/>
      <c r="L306" s="22" t="b">
        <f t="shared" ref="L306:R306" si="302">T306&lt;&gt;""</f>
        <v>1</v>
      </c>
      <c r="M306" s="22" t="b">
        <f t="shared" si="302"/>
        <v>1</v>
      </c>
      <c r="N306" s="22" t="b">
        <f t="shared" si="302"/>
        <v>1</v>
      </c>
      <c r="O306" s="22" t="b">
        <f t="shared" si="302"/>
        <v>1</v>
      </c>
      <c r="P306" s="22" t="b">
        <f t="shared" si="302"/>
        <v>1</v>
      </c>
      <c r="Q306" s="22" t="b">
        <f t="shared" si="302"/>
        <v>1</v>
      </c>
      <c r="R306" s="22" t="b">
        <f t="shared" si="302"/>
        <v>0</v>
      </c>
      <c r="S306" s="43"/>
      <c r="T306" s="43" t="str">
        <f>IFERROR(VLOOKUP( C306,'1С'!A:B,2,0)," ")</f>
        <v>CO101100458</v>
      </c>
      <c r="U306" s="43" t="s">
        <v>4716</v>
      </c>
      <c r="V306" s="43" t="s">
        <v>4716</v>
      </c>
      <c r="W306" s="43" t="s">
        <v>4716</v>
      </c>
      <c r="X306" s="43" t="str">
        <f>IFERROR(VLOOKUP(T306,'Лист4'!C:I,7,0)," ")</f>
        <v> </v>
      </c>
      <c r="Y306" s="43" t="str">
        <f>IFERROR(VLOOKUP(T306,'Лист4'!C:I,6,0)," ")</f>
        <v> </v>
      </c>
      <c r="Z306" s="43"/>
      <c r="AA306" s="43"/>
      <c r="AB306" s="22">
        <v>6.16101955E8</v>
      </c>
      <c r="AC306" s="22">
        <v>1.129297876E9</v>
      </c>
      <c r="AD306" s="22">
        <v>4.764695041E9</v>
      </c>
      <c r="AE306" s="22"/>
      <c r="AF306" s="22"/>
      <c r="AG306" s="43"/>
      <c r="AH306" s="43"/>
      <c r="AI306" s="43" t="str">
        <f>IFERROR(VLOOKUP(T306,'1С'!B:C,2,0)," ")</f>
        <v>Пищевая добавка Антигипертон, CPA, 10 капсул</v>
      </c>
      <c r="AJ306" s="22" t="s">
        <v>4719</v>
      </c>
      <c r="AK306" s="22" t="s">
        <v>3191</v>
      </c>
      <c r="AL306" s="22" t="s">
        <v>3192</v>
      </c>
      <c r="AM306" s="43"/>
      <c r="AN306" s="43"/>
      <c r="AO306" s="43"/>
      <c r="AP306" s="43"/>
      <c r="AQ306" s="46" t="s">
        <v>4720</v>
      </c>
      <c r="AR306" s="46" t="s">
        <v>3194</v>
      </c>
      <c r="AS306" s="46" t="s">
        <v>3195</v>
      </c>
      <c r="AT306" s="43"/>
      <c r="AU306" s="43"/>
      <c r="AV306" s="43"/>
      <c r="AW306" s="43"/>
      <c r="AX306" s="22" t="s">
        <v>361</v>
      </c>
      <c r="AY306" s="22" t="s">
        <v>3191</v>
      </c>
      <c r="AZ306" s="22" t="s">
        <v>2692</v>
      </c>
      <c r="BA306" s="43"/>
      <c r="BB306" s="43"/>
      <c r="BC306" s="43"/>
      <c r="BD306" s="43"/>
      <c r="BE306" s="43"/>
      <c r="BF306" s="22">
        <f>IFERROR(VLOOKUP(C306,'спецификация'!B:D,3,0)," ")</f>
        <v>4610030634135</v>
      </c>
      <c r="BG306" s="22">
        <v>2.103909009E9</v>
      </c>
      <c r="BH306" s="22" t="str">
        <f>IFERROR(VLOOKUP(C306,'спецификация'!B:AA,5,0)," ")</f>
        <v/>
      </c>
      <c r="BI306" s="22"/>
      <c r="BJ306" s="22" t="str">
        <f>IFERROR(VLOOKUP(C306,'спецификация'!B:AA,6,0)," ")</f>
        <v/>
      </c>
      <c r="BK306" s="43"/>
      <c r="BL306" s="43"/>
      <c r="BM306" s="22" t="str">
        <f>IFERROR(VLOOKUP(BF306,'спецификация'!D:H,5,0)," ")</f>
        <v>пантовый гематоген, экстракт гуавы, экстракт плодов брусники, экстракт листьев гинкго билобы, экстракт плодов фенхеля, экстракт корней цикория, экстракт травы медуницы, магний цитрат.</v>
      </c>
      <c r="BN306" s="43"/>
      <c r="BO306" s="22" t="str">
        <f>IFERROR(VLOOKUP(C306,'спецификация'!B:AA,10,0)," ")</f>
        <v/>
      </c>
      <c r="BP306" s="43" t="str">
        <f>IFERROR(VLOOKUP(C306,'спецификация'!B:AA,11,0)," ")</f>
        <v>беременность, кормление грудью, возраст младше 18 лет. 
Возможна индивидуальная непереносимость компонентов.
</v>
      </c>
      <c r="BQ306" s="22" t="str">
        <f>IFERROR(VLOOKUP(C306,'спецификация'!B:AA,12,0)," ")</f>
        <v>хранить в оригинальной закрытой упаковке в защищенном от прямых солнечных лучей и недоступном для детей месте при температуре не выше +25ºС.
</v>
      </c>
      <c r="BR306" s="22"/>
      <c r="BS306" s="43"/>
      <c r="BT306" s="43"/>
      <c r="BU306" s="22"/>
      <c r="BV306" s="22"/>
      <c r="BW306" s="44" t="str">
        <f>IFERROR(VLOOKUP(C306,'спецификация'!B:AA,16,0)," ")</f>
        <v>https://docs.google.com/document/d/11SdOQnwC57sNfFDOKLJSMc5pCm6He7Nn/edit</v>
      </c>
      <c r="BX306" s="43"/>
      <c r="BY306" s="43"/>
      <c r="BZ306" s="45" t="str">
        <f>IFERROR(VLOOKUP(BF306,'спецификация'!D:Y,22,0)," ")</f>
        <v/>
      </c>
      <c r="CA306" s="43"/>
      <c r="CB306" s="43"/>
      <c r="CC306" s="43"/>
      <c r="CD306" s="43"/>
      <c r="CE306" s="43"/>
      <c r="CF306" s="43"/>
      <c r="CG306" s="49">
        <f>IFERROR(VLOOKUP(C306,CC!A:D,4,0)," ")</f>
        <v>99.67</v>
      </c>
      <c r="CH306" s="22" t="str">
        <f>IFERROR(VLOOKUP(C306,'спецификация'!B:AA,19,0)," ")</f>
        <v/>
      </c>
      <c r="CI306" s="22"/>
      <c r="CJ306" s="22"/>
      <c r="CK306" s="22">
        <f>IFERROR(VLOOKUP(C306,CC!K:M,3,0)," ")</f>
        <v>45</v>
      </c>
      <c r="CL306" s="43"/>
      <c r="CM306" s="43"/>
      <c r="CN306" s="43"/>
      <c r="CO306" s="43"/>
      <c r="CP306" s="43"/>
      <c r="CQ306" s="43"/>
      <c r="CR306" s="43"/>
      <c r="CS306" s="43" t="b">
        <v>0</v>
      </c>
      <c r="CT306" s="43" t="b">
        <v>0</v>
      </c>
      <c r="CU306" s="43" t="b">
        <v>0</v>
      </c>
      <c r="CV306" s="43" t="b">
        <v>0</v>
      </c>
      <c r="CW306" s="43"/>
      <c r="CX306" s="43"/>
      <c r="CY306" s="43"/>
      <c r="CZ306" s="43"/>
      <c r="DA306" s="43"/>
      <c r="DB306" s="43"/>
      <c r="DC306" s="43"/>
      <c r="DD306" s="22">
        <f>IFERROR(VLOOKUP($C306,'Лист4'!$D:$AI,27,0)," ")</f>
        <v>1</v>
      </c>
      <c r="DE306" s="22">
        <f>IFERROR(VLOOKUP($C306,'Лист4'!$D:$AI,28,0)," ")</f>
        <v>1</v>
      </c>
      <c r="DF306" s="22">
        <f>IFERROR(VLOOKUP($C306,'Лист4'!$D:$AI,29,0)," ")</f>
        <v>1</v>
      </c>
      <c r="DG306" s="22">
        <f t="shared" si="3"/>
        <v>1</v>
      </c>
      <c r="DH306" s="22">
        <f>IFERROR(VLOOKUP($C306,'Лист4'!$D:$AI,32,0)," ")</f>
        <v>1</v>
      </c>
      <c r="DI306" s="22"/>
      <c r="DJ306" s="22"/>
      <c r="DK306" s="22"/>
      <c r="DL306" s="22"/>
      <c r="DM306" s="22"/>
      <c r="DN306" s="22"/>
      <c r="DO306" s="22"/>
      <c r="DP306" s="22"/>
      <c r="DQ306" s="22"/>
      <c r="DR306" s="22"/>
      <c r="DS306" s="22"/>
      <c r="DT306" s="22"/>
      <c r="DU306" s="22"/>
      <c r="DV306" s="22"/>
      <c r="DW306" s="22"/>
      <c r="DX306" s="22"/>
      <c r="DY306" s="22"/>
      <c r="DZ306" s="22"/>
      <c r="EA306" s="22"/>
      <c r="EB306" s="22"/>
      <c r="EC306" s="22"/>
      <c r="ED306" s="22"/>
      <c r="EE306" s="22"/>
      <c r="EF306" s="22"/>
      <c r="EG306" s="22"/>
      <c r="EH306" s="22"/>
      <c r="EI306" s="22"/>
      <c r="EJ306" s="22"/>
      <c r="EK306" s="22"/>
      <c r="EL306" s="22"/>
      <c r="EM306" s="43"/>
      <c r="EN306" s="43"/>
      <c r="EO306" s="43"/>
      <c r="EP306" s="43"/>
      <c r="EQ306" s="43"/>
      <c r="ER306" s="43"/>
      <c r="ES306" s="43"/>
      <c r="ET306" s="43"/>
      <c r="EU306" s="43"/>
      <c r="EV306" s="43"/>
      <c r="EW306" s="43"/>
      <c r="EX306" s="43"/>
      <c r="EY306" s="43"/>
      <c r="EZ306" s="43"/>
      <c r="FA306" s="43"/>
      <c r="FB306" s="43"/>
      <c r="FC306" s="43"/>
    </row>
    <row r="307" ht="18.0" customHeight="1">
      <c r="A307" s="2"/>
      <c r="B307" s="22" t="str">
        <f>IFERROR(VLOOKUP(C307,'Реестр'!C:AC,27,0)," ")</f>
        <v>Смарт-Сэйл</v>
      </c>
      <c r="C307" s="43" t="s">
        <v>4726</v>
      </c>
      <c r="D307" s="22" t="str">
        <f>IFERROR(VLOOKUP(C307,'Лист4'!D:P,13,0)," ")</f>
        <v> </v>
      </c>
      <c r="E307" s="22" t="str">
        <f>IF(OR(ISERROR(VLOOKUP(C307,'Актуальность'!A:B,2,0)), VLOOKUP(C307,'Актуальность'!A:B,2,0)=""), "Актуальный", VLOOKUP(C307,'Актуальность'!A:B,2,0))</f>
        <v>Актуальный</v>
      </c>
      <c r="F307" s="43" t="str">
        <f>IFERROR(VLOOKUP(C307,'Актуальность'!A:C,3,0)," ")</f>
        <v/>
      </c>
      <c r="G307" s="43"/>
      <c r="H307" s="22" t="s">
        <v>2663</v>
      </c>
      <c r="I307" s="22" t="s">
        <v>4058</v>
      </c>
      <c r="J307" s="43"/>
      <c r="K307" s="43"/>
      <c r="L307" s="22" t="b">
        <f t="shared" ref="L307:R307" si="303">T307&lt;&gt;""</f>
        <v>1</v>
      </c>
      <c r="M307" s="22" t="b">
        <f t="shared" si="303"/>
        <v>1</v>
      </c>
      <c r="N307" s="22" t="b">
        <f t="shared" si="303"/>
        <v>1</v>
      </c>
      <c r="O307" s="22" t="b">
        <f t="shared" si="303"/>
        <v>1</v>
      </c>
      <c r="P307" s="22" t="b">
        <f t="shared" si="303"/>
        <v>1</v>
      </c>
      <c r="Q307" s="22" t="b">
        <f t="shared" si="303"/>
        <v>1</v>
      </c>
      <c r="R307" s="22" t="b">
        <f t="shared" si="303"/>
        <v>0</v>
      </c>
      <c r="S307" s="43"/>
      <c r="T307" s="43" t="str">
        <f>IFERROR(VLOOKUP( C307,'1С'!A:B,2,0)," ")</f>
        <v> </v>
      </c>
      <c r="U307" s="22" t="str">
        <f>IFERROR(VLOOKUP(T307,'Лист4'!C:I,3,0)," ")</f>
        <v> </v>
      </c>
      <c r="V307" s="22" t="s">
        <v>4726</v>
      </c>
      <c r="W307" s="22" t="str">
        <f>IFERROR(VLOOKUP(T307,'Лист4'!C:I,5,0)," ")</f>
        <v> </v>
      </c>
      <c r="X307" s="43" t="str">
        <f>IFERROR(VLOOKUP(T307,'Лист4'!C:I,7,0)," ")</f>
        <v> </v>
      </c>
      <c r="Y307" s="43" t="str">
        <f>IFERROR(VLOOKUP(T307,'Лист4'!C:I,6,0)," ")</f>
        <v> </v>
      </c>
      <c r="Z307" s="43"/>
      <c r="AA307" s="43"/>
      <c r="AB307" s="22"/>
      <c r="AC307" s="22">
        <v>3.107365307E9</v>
      </c>
      <c r="AD307" s="22"/>
      <c r="AE307" s="22"/>
      <c r="AF307" s="22"/>
      <c r="AG307" s="43"/>
      <c r="AH307" s="43"/>
      <c r="AI307" s="43" t="str">
        <f>IFERROR(VLOOKUP(T307,'1С'!B:C,2,0)," ")</f>
        <v> </v>
      </c>
      <c r="AJ307" s="43"/>
      <c r="AK307" s="22" t="s">
        <v>4727</v>
      </c>
      <c r="AL307" s="43"/>
      <c r="AM307" s="43"/>
      <c r="AN307" s="43"/>
      <c r="AO307" s="43"/>
      <c r="AP307" s="43"/>
      <c r="AQ307" s="43"/>
      <c r="AR307" s="43"/>
      <c r="AS307" s="43"/>
      <c r="AT307" s="43"/>
      <c r="AU307" s="43"/>
      <c r="AV307" s="43"/>
      <c r="AW307" s="43"/>
      <c r="AX307" s="22"/>
      <c r="AY307" s="22" t="s">
        <v>4727</v>
      </c>
      <c r="AZ307" s="43"/>
      <c r="BA307" s="43"/>
      <c r="BB307" s="43"/>
      <c r="BC307" s="43"/>
      <c r="BD307" s="43"/>
      <c r="BE307" s="43"/>
      <c r="BF307" s="22" t="str">
        <f>IFERROR(VLOOKUP(C307,'спецификация'!B:D,3,0)," ")</f>
        <v> </v>
      </c>
      <c r="BG307" s="22"/>
      <c r="BH307" s="22" t="str">
        <f>IFERROR(VLOOKUP(C307,'спецификация'!B:AA,5,0)," ")</f>
        <v> </v>
      </c>
      <c r="BI307" s="22"/>
      <c r="BJ307" s="22" t="str">
        <f>IFERROR(VLOOKUP(C307,'спецификация'!B:AA,6,0)," ")</f>
        <v> </v>
      </c>
      <c r="BK307" s="43"/>
      <c r="BL307" s="43"/>
      <c r="BM307" s="22" t="str">
        <f>IFERROR(VLOOKUP(BF307,'спецификация'!D:H,5,0)," ")</f>
        <v> </v>
      </c>
      <c r="BN307" s="43"/>
      <c r="BO307" s="22" t="str">
        <f>IFERROR(VLOOKUP(C307,'спецификация'!B:AA,10,0)," ")</f>
        <v> </v>
      </c>
      <c r="BP307" s="43" t="str">
        <f>IFERROR(VLOOKUP(C307,'спецификация'!B:AA,11,0)," ")</f>
        <v> </v>
      </c>
      <c r="BQ307" s="22" t="str">
        <f>IFERROR(VLOOKUP(C307,'спецификация'!B:AA,12,0)," ")</f>
        <v> </v>
      </c>
      <c r="BR307" s="22"/>
      <c r="BS307" s="43"/>
      <c r="BT307" s="43"/>
      <c r="BU307" s="22"/>
      <c r="BV307" s="22" t="s">
        <v>401</v>
      </c>
      <c r="BW307" s="45" t="str">
        <f>IFERROR(VLOOKUP(C307,'спецификация'!B:AA,16,0)," ")</f>
        <v> </v>
      </c>
      <c r="BX307" s="43"/>
      <c r="BY307" s="43"/>
      <c r="BZ307" s="45" t="str">
        <f>IFERROR(VLOOKUP(BF307,'спецификация'!D:Y,22,0)," ")</f>
        <v> </v>
      </c>
      <c r="CA307" s="43"/>
      <c r="CB307" s="43"/>
      <c r="CC307" s="43"/>
      <c r="CD307" s="43"/>
      <c r="CE307" s="43"/>
      <c r="CF307" s="43"/>
      <c r="CG307" s="49" t="str">
        <f>IFERROR(VLOOKUP(C307,CC!A:D,4,0)," ")</f>
        <v> </v>
      </c>
      <c r="CH307" s="22" t="str">
        <f>IFERROR(VLOOKUP(C307,'спецификация'!B:AA,19,0)," ")</f>
        <v> </v>
      </c>
      <c r="CI307" s="22"/>
      <c r="CJ307" s="43"/>
      <c r="CK307" s="22" t="str">
        <f>IFERROR(VLOOKUP(C307,CC!K:M,3,0)," ")</f>
        <v> </v>
      </c>
      <c r="CL307" s="43"/>
      <c r="CM307" s="43"/>
      <c r="CN307" s="43"/>
      <c r="CO307" s="43"/>
      <c r="CP307" s="43"/>
      <c r="CQ307" s="43"/>
      <c r="CR307" s="43"/>
      <c r="CS307" s="43" t="b">
        <v>0</v>
      </c>
      <c r="CT307" s="43" t="b">
        <v>0</v>
      </c>
      <c r="CU307" s="43" t="b">
        <v>0</v>
      </c>
      <c r="CV307" s="43" t="b">
        <v>0</v>
      </c>
      <c r="CW307" s="43"/>
      <c r="CX307" s="43"/>
      <c r="CY307" s="43"/>
      <c r="CZ307" s="43"/>
      <c r="DA307" s="43"/>
      <c r="DB307" s="43"/>
      <c r="DC307" s="43"/>
      <c r="DD307" s="22" t="str">
        <f>IFERROR(VLOOKUP($C307,'Лист4'!$D:$AI,27,0)," ")</f>
        <v> </v>
      </c>
      <c r="DE307" s="22" t="str">
        <f>IFERROR(VLOOKUP($C307,'Лист4'!$D:$AI,28,0)," ")</f>
        <v> </v>
      </c>
      <c r="DF307" s="22" t="str">
        <f>IFERROR(VLOOKUP($C307,'Лист4'!$D:$AI,29,0)," ")</f>
        <v> </v>
      </c>
      <c r="DG307" s="22" t="str">
        <f t="shared" si="3"/>
        <v> </v>
      </c>
      <c r="DH307" s="22" t="str">
        <f>IFERROR(VLOOKUP($C307,'Лист4'!$D:$AI,32,0)," ")</f>
        <v> </v>
      </c>
      <c r="DI307" s="22"/>
      <c r="DJ307" s="22"/>
      <c r="DK307" s="22"/>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43"/>
      <c r="EN307" s="43"/>
      <c r="EO307" s="43"/>
      <c r="EP307" s="43"/>
      <c r="EQ307" s="43"/>
      <c r="ER307" s="43"/>
      <c r="ES307" s="43"/>
      <c r="ET307" s="43"/>
      <c r="EU307" s="43"/>
      <c r="EV307" s="43"/>
      <c r="EW307" s="43"/>
      <c r="EX307" s="43"/>
      <c r="EY307" s="43"/>
      <c r="EZ307" s="43"/>
      <c r="FA307" s="43"/>
      <c r="FB307" s="43"/>
      <c r="FC307" s="43"/>
    </row>
    <row r="308" ht="18.0" customHeight="1">
      <c r="A308" s="2"/>
      <c r="B308" s="22" t="str">
        <f>IFERROR(VLOOKUP(C308,'Реестр'!C:AC,27,0)," ")</f>
        <v>Смарт-Сэйл</v>
      </c>
      <c r="C308" s="43" t="s">
        <v>4728</v>
      </c>
      <c r="D308" s="22" t="str">
        <f>IFERROR(VLOOKUP(C308,'Лист4'!D:P,13,0)," ")</f>
        <v>Алтея</v>
      </c>
      <c r="E308" s="22" t="str">
        <f>IF(OR(ISERROR(VLOOKUP(C308,'Актуальность'!A:B,2,0)), VLOOKUP(C308,'Актуальность'!A:B,2,0)=""), "Актуальный", VLOOKUP(C308,'Актуальность'!A:B,2,0))</f>
        <v>Актуальный</v>
      </c>
      <c r="F308" s="43" t="str">
        <f>IFERROR(VLOOKUP(C308,'Актуальность'!A:C,3,0)," ")</f>
        <v/>
      </c>
      <c r="G308" s="43"/>
      <c r="H308" s="22" t="s">
        <v>2743</v>
      </c>
      <c r="I308" s="22" t="s">
        <v>565</v>
      </c>
      <c r="J308" s="43"/>
      <c r="K308" s="43"/>
      <c r="L308" s="22" t="b">
        <f t="shared" ref="L308:R308" si="304">T308&lt;&gt;""</f>
        <v>1</v>
      </c>
      <c r="M308" s="22" t="b">
        <f t="shared" si="304"/>
        <v>0</v>
      </c>
      <c r="N308" s="22" t="b">
        <f t="shared" si="304"/>
        <v>1</v>
      </c>
      <c r="O308" s="22" t="b">
        <f t="shared" si="304"/>
        <v>0</v>
      </c>
      <c r="P308" s="22" t="b">
        <f t="shared" si="304"/>
        <v>0</v>
      </c>
      <c r="Q308" s="22" t="b">
        <f t="shared" si="304"/>
        <v>0</v>
      </c>
      <c r="R308" s="22" t="b">
        <f t="shared" si="304"/>
        <v>0</v>
      </c>
      <c r="S308" s="43"/>
      <c r="T308" s="43" t="str">
        <f>IFERROR(VLOOKUP( C308,'1С'!A:B,2,0)," ")</f>
        <v>AC201100432</v>
      </c>
      <c r="U308" s="22" t="str">
        <f>IFERROR(VLOOKUP(T308,'Лист4'!C:I,3,0)," ")</f>
        <v/>
      </c>
      <c r="V308" s="22" t="str">
        <f>IFERROR(VLOOKUP(T308,'Лист4'!C:I,4,0)," ")</f>
        <v>syvorotka_dlya_lica_30ml_v2</v>
      </c>
      <c r="W308" s="22" t="str">
        <f>IFERROR(VLOOKUP(T308,'Лист4'!C:I,5,0)," ")</f>
        <v/>
      </c>
      <c r="X308" s="43" t="str">
        <f>IFERROR(VLOOKUP(T308,'Лист4'!C:I,7,0)," ")</f>
        <v/>
      </c>
      <c r="Y308" s="43" t="str">
        <f>IFERROR(VLOOKUP(T308,'Лист4'!C:I,6,0)," ")</f>
        <v/>
      </c>
      <c r="Z308" s="43"/>
      <c r="AA308" s="43"/>
      <c r="AB308" s="22"/>
      <c r="AC308" s="22">
        <v>3.159927877E9</v>
      </c>
      <c r="AD308" s="22"/>
      <c r="AE308" s="22"/>
      <c r="AF308" s="22"/>
      <c r="AG308" s="43"/>
      <c r="AH308" s="43"/>
      <c r="AI308" s="43" t="str">
        <f>IFERROR(VLOOKUP(T308,'1С'!B:C,2,0)," ")</f>
        <v>Сыворотка с ниацинамидом для лица, Алтея, 30 мл</v>
      </c>
      <c r="AJ308" s="43"/>
      <c r="AK308" s="22" t="s">
        <v>2841</v>
      </c>
      <c r="AL308" s="43"/>
      <c r="AM308" s="43"/>
      <c r="AN308" s="43"/>
      <c r="AO308" s="43"/>
      <c r="AP308" s="43"/>
      <c r="AQ308" s="43"/>
      <c r="AR308" s="46" t="s">
        <v>4730</v>
      </c>
      <c r="AS308" s="43"/>
      <c r="AT308" s="43"/>
      <c r="AU308" s="43"/>
      <c r="AV308" s="43"/>
      <c r="AW308" s="43"/>
      <c r="AX308" s="22"/>
      <c r="AY308" s="22" t="s">
        <v>2841</v>
      </c>
      <c r="AZ308" s="43"/>
      <c r="BA308" s="43"/>
      <c r="BB308" s="43"/>
      <c r="BC308" s="43"/>
      <c r="BD308" s="43"/>
      <c r="BE308" s="43"/>
      <c r="BF308" s="22" t="str">
        <f>IFERROR(VLOOKUP(C308,'спецификация'!B:D,3,0)," ")</f>
        <v> </v>
      </c>
      <c r="BG308" s="22"/>
      <c r="BH308" s="22" t="str">
        <f>IFERROR(VLOOKUP(C308,'спецификация'!B:AA,5,0)," ")</f>
        <v> </v>
      </c>
      <c r="BI308" s="22"/>
      <c r="BJ308" s="22" t="str">
        <f>IFERROR(VLOOKUP(C308,'спецификация'!B:AA,6,0)," ")</f>
        <v> </v>
      </c>
      <c r="BK308" s="43"/>
      <c r="BL308" s="43"/>
      <c r="BM308" s="22" t="str">
        <f>IFERROR(VLOOKUP(BF308,'спецификация'!D:H,5,0)," ")</f>
        <v> </v>
      </c>
      <c r="BN308" s="43"/>
      <c r="BO308" s="22" t="str">
        <f>IFERROR(VLOOKUP(C308,'спецификация'!B:AA,10,0)," ")</f>
        <v> </v>
      </c>
      <c r="BP308" s="43" t="str">
        <f>IFERROR(VLOOKUP(C308,'спецификация'!B:AA,11,0)," ")</f>
        <v> </v>
      </c>
      <c r="BQ308" s="22" t="str">
        <f>IFERROR(VLOOKUP(C308,'спецификация'!B:AA,12,0)," ")</f>
        <v> </v>
      </c>
      <c r="BR308" s="22"/>
      <c r="BS308" s="43"/>
      <c r="BT308" s="43"/>
      <c r="BU308" s="22"/>
      <c r="BV308" s="22" t="s">
        <v>401</v>
      </c>
      <c r="BW308" s="45" t="str">
        <f>IFERROR(VLOOKUP(C308,'спецификация'!B:AA,16,0)," ")</f>
        <v> </v>
      </c>
      <c r="BX308" s="43"/>
      <c r="BY308" s="43"/>
      <c r="BZ308" s="45" t="str">
        <f>IFERROR(VLOOKUP(BF308,'спецификация'!D:Y,22,0)," ")</f>
        <v> </v>
      </c>
      <c r="CA308" s="43"/>
      <c r="CB308" s="43"/>
      <c r="CC308" s="43"/>
      <c r="CD308" s="43"/>
      <c r="CE308" s="43"/>
      <c r="CF308" s="43"/>
      <c r="CG308" s="49">
        <f>IFERROR(VLOOKUP(C308,CC!A:D,4,0)," ")</f>
        <v>130</v>
      </c>
      <c r="CH308" s="22" t="str">
        <f>IFERROR(VLOOKUP(C308,'спецификация'!B:AA,19,0)," ")</f>
        <v> </v>
      </c>
      <c r="CI308" s="22"/>
      <c r="CJ308" s="43"/>
      <c r="CK308" s="22" t="str">
        <f>IFERROR(VLOOKUP(C308,CC!K:M,3,0)," ")</f>
        <v> </v>
      </c>
      <c r="CL308" s="43"/>
      <c r="CM308" s="43"/>
      <c r="CN308" s="43"/>
      <c r="CO308" s="43"/>
      <c r="CP308" s="43"/>
      <c r="CQ308" s="43"/>
      <c r="CR308" s="43"/>
      <c r="CS308" s="43" t="b">
        <v>0</v>
      </c>
      <c r="CT308" s="43" t="b">
        <v>0</v>
      </c>
      <c r="CU308" s="43" t="b">
        <v>0</v>
      </c>
      <c r="CV308" s="43" t="b">
        <v>0</v>
      </c>
      <c r="CW308" s="43"/>
      <c r="CX308" s="43"/>
      <c r="CY308" s="43"/>
      <c r="CZ308" s="43"/>
      <c r="DA308" s="43"/>
      <c r="DB308" s="43"/>
      <c r="DC308" s="43"/>
      <c r="DD308" s="22">
        <f>IFERROR(VLOOKUP($C308,'Лист4'!$D:$AI,27,0)," ")</f>
        <v>7</v>
      </c>
      <c r="DE308" s="22">
        <f>IFERROR(VLOOKUP($C308,'Лист4'!$D:$AI,28,0)," ")</f>
        <v>4</v>
      </c>
      <c r="DF308" s="22">
        <f>IFERROR(VLOOKUP($C308,'Лист4'!$D:$AI,29,0)," ")</f>
        <v>7</v>
      </c>
      <c r="DG308" s="22">
        <f t="shared" si="3"/>
        <v>196</v>
      </c>
      <c r="DH308" s="22">
        <f>IFERROR(VLOOKUP($C308,'Лист4'!$D:$AI,32,0)," ")</f>
        <v>0.048</v>
      </c>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43"/>
      <c r="EN308" s="43"/>
      <c r="EO308" s="43"/>
      <c r="EP308" s="43"/>
      <c r="EQ308" s="43"/>
      <c r="ER308" s="43"/>
      <c r="ES308" s="43"/>
      <c r="ET308" s="43"/>
      <c r="EU308" s="43"/>
      <c r="EV308" s="43"/>
      <c r="EW308" s="43"/>
      <c r="EX308" s="43"/>
      <c r="EY308" s="43"/>
      <c r="EZ308" s="43"/>
      <c r="FA308" s="43"/>
      <c r="FB308" s="43"/>
      <c r="FC308" s="43"/>
    </row>
    <row r="309" ht="18.0" customHeight="1">
      <c r="A309" s="2"/>
      <c r="B309" s="22" t="str">
        <f>IFERROR(VLOOKUP(C309,'Реестр'!C:AC,27,0)," ")</f>
        <v>Смарт-Сэйл</v>
      </c>
      <c r="C309" s="43" t="s">
        <v>4736</v>
      </c>
      <c r="D309" s="22" t="str">
        <f>IFERROR(VLOOKUP(C309,'Лист4'!D:P,13,0)," ")</f>
        <v>Алтея</v>
      </c>
      <c r="E309" s="22" t="str">
        <f>IF(OR(ISERROR(VLOOKUP(C309,'Актуальность'!A:B,2,0)), VLOOKUP(C309,'Актуальность'!A:B,2,0)=""), "Актуальный", VLOOKUP(C309,'Актуальность'!A:B,2,0))</f>
        <v>Актуальный</v>
      </c>
      <c r="F309" s="43" t="str">
        <f>IFERROR(VLOOKUP(C309,'Актуальность'!A:C,3,0)," ")</f>
        <v/>
      </c>
      <c r="G309" s="43"/>
      <c r="H309" s="22" t="s">
        <v>2743</v>
      </c>
      <c r="I309" s="22" t="s">
        <v>565</v>
      </c>
      <c r="J309" s="43"/>
      <c r="K309" s="43"/>
      <c r="L309" s="22" t="b">
        <f t="shared" ref="L309:R309" si="305">T309&lt;&gt;""</f>
        <v>1</v>
      </c>
      <c r="M309" s="22" t="b">
        <f t="shared" si="305"/>
        <v>1</v>
      </c>
      <c r="N309" s="22" t="b">
        <f t="shared" si="305"/>
        <v>1</v>
      </c>
      <c r="O309" s="22" t="b">
        <f t="shared" si="305"/>
        <v>1</v>
      </c>
      <c r="P309" s="22" t="b">
        <f t="shared" si="305"/>
        <v>0</v>
      </c>
      <c r="Q309" s="22" t="b">
        <f t="shared" si="305"/>
        <v>0</v>
      </c>
      <c r="R309" s="22" t="b">
        <f t="shared" si="305"/>
        <v>0</v>
      </c>
      <c r="S309" s="43"/>
      <c r="T309" s="43" t="str">
        <f>IFERROR(VLOOKUP( C309,'1С'!A:B,2,0)," ")</f>
        <v>AC101100455</v>
      </c>
      <c r="U309" s="22" t="str">
        <f>IFERROR(VLOOKUP(T309,'Лист4'!C:I,3,0)," ")</f>
        <v>krem_spf50_50ml</v>
      </c>
      <c r="V309" s="22" t="str">
        <f>IFERROR(VLOOKUP(T309,'Лист4'!C:I,4,0)," ")</f>
        <v>krem_spf50_50ml</v>
      </c>
      <c r="W309" s="55" t="s">
        <v>4736</v>
      </c>
      <c r="X309" s="43" t="str">
        <f>IFERROR(VLOOKUP(T309,'Лист4'!C:I,7,0)," ")</f>
        <v/>
      </c>
      <c r="Y309" s="43" t="str">
        <f>IFERROR(VLOOKUP(T309,'Лист4'!C:I,6,0)," ")</f>
        <v/>
      </c>
      <c r="Z309" s="43"/>
      <c r="AA309" s="43"/>
      <c r="AB309" s="22">
        <v>6.68799528E8</v>
      </c>
      <c r="AC309" s="22">
        <v>3.164675898E9</v>
      </c>
      <c r="AD309" s="22">
        <v>4.824579506E9</v>
      </c>
      <c r="AE309" s="22"/>
      <c r="AF309" s="22"/>
      <c r="AG309" s="43"/>
      <c r="AH309" s="43"/>
      <c r="AI309" s="43" t="str">
        <f>IFERROR(VLOOKUP(T309,'1С'!B:C,2,0)," ")</f>
        <v>Солнцезащитный крем для лица spf 50, Алтея, 50 мл</v>
      </c>
      <c r="AJ309" s="22" t="s">
        <v>717</v>
      </c>
      <c r="AK309" s="22" t="s">
        <v>4739</v>
      </c>
      <c r="AL309" s="22" t="s">
        <v>4740</v>
      </c>
      <c r="AM309" s="43"/>
      <c r="AN309" s="43"/>
      <c r="AO309" s="43"/>
      <c r="AP309" s="43"/>
      <c r="AQ309" s="46" t="s">
        <v>4741</v>
      </c>
      <c r="AR309" s="46" t="s">
        <v>4742</v>
      </c>
      <c r="AS309" s="46" t="s">
        <v>4743</v>
      </c>
      <c r="AT309" s="43"/>
      <c r="AU309" s="43"/>
      <c r="AV309" s="43"/>
      <c r="AW309" s="43"/>
      <c r="AX309" s="22" t="s">
        <v>594</v>
      </c>
      <c r="AY309" s="22" t="s">
        <v>4739</v>
      </c>
      <c r="AZ309" s="22" t="s">
        <v>722</v>
      </c>
      <c r="BA309" s="43"/>
      <c r="BB309" s="43"/>
      <c r="BC309" s="43"/>
      <c r="BD309" s="43"/>
      <c r="BE309" s="43"/>
      <c r="BF309" s="22">
        <f>IFERROR(VLOOKUP(C309,'спецификация'!B:D,3,0)," ")</f>
        <v>4660417421766</v>
      </c>
      <c r="BG309" s="22">
        <v>3.30499E9</v>
      </c>
      <c r="BH309" s="22" t="str">
        <f>IFERROR(VLOOKUP(C309,'спецификация'!B:AA,5,0)," ")</f>
        <v/>
      </c>
      <c r="BI309" s="22"/>
      <c r="BJ309" s="22" t="str">
        <f>IFERROR(VLOOKUP(C309,'спецификация'!B:AA,6,0)," ")</f>
        <v>да</v>
      </c>
      <c r="BK309" s="43"/>
      <c r="BL309" s="43"/>
      <c r="BM309" s="22" t="str">
        <f>IFERROR(VLOOKUP(BF309,'спецификация'!D:H,5,0)," ")</f>
        <v>Deionized Water, Methylene Bis-Benzotriazolyl Tetramethylbutylphenol, Diethylamino Hydroxybenzoyl Hexyl Benzoate, Ceto Stearyl Alcohol, Isoamyl laurate, Hyaluronic Acid, Sodium acrylates copolymer (and) Lecithin, Green Tea Leaf Extract, Glycerin, Glycerol monostearate, Glyceryl Stearate, Ceteareth-20, Ceteareth-12, Cetearyl Alcohol, Cetyl Palmitate
, Bis-Ethylhexyloxyphenol Methoxyphenyl Triazine, Phenoxyethanol, Ethylhexylglycerin, Divinyldimethicone, Ethylhexyl Triazone, Coenzyme Q10, Coenzyme Q10, Disodium edta, Ceramides Complex CR/Water, Pentylene Glycol, Phospholipids, Sphingolipids, Niacinamide, Tapioca Starch, Sodium Polyacrylate, Panthenol, Butyrospermum Parkii, Prunus Amygdalus Dulcis Oil, CI 17200, Parfum
</v>
      </c>
      <c r="BN309" s="43"/>
      <c r="BO309" s="22" t="str">
        <f>IFERROR(VLOOKUP(C309,'спецификация'!B:AA,10,0)," ")</f>
        <v>нанесите массирующими движениями на чистую кожу лица. Подходит для ежедневного использования.</v>
      </c>
      <c r="BP309" s="43" t="str">
        <f>IFERROR(VLOOKUP(C309,'спецификация'!B:AA,11,0)," ")</f>
        <v>Меры предосторожности: возможна индивидуальная непереносимость к отдельным компонентам.</v>
      </c>
      <c r="BQ309" s="22" t="str">
        <f>IFERROR(VLOOKUP(C309,'спецификация'!B:AA,12,0)," ")</f>
        <v> хранить в сухом недоступном для света месте при температуре от +5 до +25.</v>
      </c>
      <c r="BR309" s="22">
        <v>50.0</v>
      </c>
      <c r="BS309" s="22" t="s">
        <v>139</v>
      </c>
      <c r="BT309" s="22"/>
      <c r="BU309" s="22"/>
      <c r="BV309" s="22" t="s">
        <v>727</v>
      </c>
      <c r="BW309" s="44" t="str">
        <f>IFERROR(VLOOKUP(C309,'спецификация'!B:AA,16,0)," ")</f>
        <v>https://docs.google.com/document/d/1AriInRWnlS9T-O0GNPdp_3inwfwupAI0/edit</v>
      </c>
      <c r="BX309" s="43"/>
      <c r="BY309" s="43"/>
      <c r="BZ309" s="45" t="str">
        <f>IFERROR(VLOOKUP(BF309,'спецификация'!D:Y,22,0)," ")</f>
        <v/>
      </c>
      <c r="CA309" s="43"/>
      <c r="CB309" s="43"/>
      <c r="CC309" s="43"/>
      <c r="CD309" s="43"/>
      <c r="CE309" s="43"/>
      <c r="CF309" s="43"/>
      <c r="CG309" s="49">
        <f>IFERROR(VLOOKUP(C309,CC!A:D,4,0)," ")</f>
        <v>130</v>
      </c>
      <c r="CH309" s="22" t="str">
        <f>IFERROR(VLOOKUP(C309,'спецификация'!B:AA,19,0)," ")</f>
        <v>Восток-Плюс</v>
      </c>
      <c r="CI309" s="22"/>
      <c r="CJ309" s="22"/>
      <c r="CK309" s="22">
        <f>IFERROR(VLOOKUP(C309,CC!K:M,3,0)," ")</f>
        <v>45</v>
      </c>
      <c r="CL309" s="43"/>
      <c r="CM309" s="43"/>
      <c r="CN309" s="43"/>
      <c r="CO309" s="43"/>
      <c r="CP309" s="43"/>
      <c r="CQ309" s="43"/>
      <c r="CR309" s="43"/>
      <c r="CS309" s="43" t="b">
        <v>0</v>
      </c>
      <c r="CT309" s="43" t="b">
        <v>0</v>
      </c>
      <c r="CU309" s="43" t="b">
        <v>0</v>
      </c>
      <c r="CV309" s="43" t="b">
        <v>0</v>
      </c>
      <c r="CW309" s="43"/>
      <c r="CX309" s="43"/>
      <c r="CY309" s="43"/>
      <c r="CZ309" s="43"/>
      <c r="DA309" s="43"/>
      <c r="DB309" s="43"/>
      <c r="DC309" s="43"/>
      <c r="DD309" s="22">
        <f>IFERROR(VLOOKUP($C309,'Лист4'!$D:$AI,27,0)," ")</f>
        <v>1</v>
      </c>
      <c r="DE309" s="22">
        <f>IFERROR(VLOOKUP($C309,'Лист4'!$D:$AI,28,0)," ")</f>
        <v>1</v>
      </c>
      <c r="DF309" s="22">
        <f>IFERROR(VLOOKUP($C309,'Лист4'!$D:$AI,29,0)," ")</f>
        <v>1</v>
      </c>
      <c r="DG309" s="22">
        <f t="shared" si="3"/>
        <v>1</v>
      </c>
      <c r="DH309" s="22">
        <f>IFERROR(VLOOKUP($C309,'Лист4'!$D:$AI,32,0)," ")</f>
        <v>1</v>
      </c>
      <c r="DI309" s="22"/>
      <c r="DJ309" s="22"/>
      <c r="DK309" s="22"/>
      <c r="DL309" s="22"/>
      <c r="DM309" s="22"/>
      <c r="DN309" s="22"/>
      <c r="DO309" s="22"/>
      <c r="DP309" s="22"/>
      <c r="DQ309" s="22"/>
      <c r="DR309" s="22"/>
      <c r="DS309" s="22"/>
      <c r="DT309" s="22"/>
      <c r="DU309" s="22"/>
      <c r="DV309" s="22"/>
      <c r="DW309" s="22"/>
      <c r="DX309" s="22"/>
      <c r="DY309" s="22"/>
      <c r="DZ309" s="22"/>
      <c r="EA309" s="22"/>
      <c r="EB309" s="22"/>
      <c r="EC309" s="22"/>
      <c r="ED309" s="22"/>
      <c r="EE309" s="22"/>
      <c r="EF309" s="22"/>
      <c r="EG309" s="22"/>
      <c r="EH309" s="22"/>
      <c r="EI309" s="22"/>
      <c r="EJ309" s="22"/>
      <c r="EK309" s="22"/>
      <c r="EL309" s="22"/>
      <c r="EM309" s="43"/>
      <c r="EN309" s="43"/>
      <c r="EO309" s="43"/>
      <c r="EP309" s="43"/>
      <c r="EQ309" s="43"/>
      <c r="ER309" s="43"/>
      <c r="ES309" s="43"/>
      <c r="ET309" s="43"/>
      <c r="EU309" s="43"/>
      <c r="EV309" s="43"/>
      <c r="EW309" s="43"/>
      <c r="EX309" s="43"/>
      <c r="EY309" s="43"/>
      <c r="EZ309" s="43"/>
      <c r="FA309" s="43"/>
      <c r="FB309" s="43"/>
      <c r="FC309" s="43"/>
    </row>
    <row r="310" ht="18.0" customHeight="1">
      <c r="A310" s="2"/>
      <c r="B310" s="22" t="str">
        <f>IFERROR(VLOOKUP(C310,'Реестр'!C:AC,27,0)," ")</f>
        <v>Смарт-Сэйл</v>
      </c>
      <c r="C310" s="43" t="s">
        <v>4749</v>
      </c>
      <c r="D310" s="22" t="str">
        <f>IFERROR(VLOOKUP(C310,'Лист4'!D:P,13,0)," ")</f>
        <v>CPA</v>
      </c>
      <c r="E310" s="22" t="str">
        <f>IF(OR(ISERROR(VLOOKUP(C310,'Актуальность'!A:B,2,0)), VLOOKUP(C310,'Актуальность'!A:B,2,0)=""), "Актуальный", VLOOKUP(C310,'Актуальность'!A:B,2,0))</f>
        <v>Актуальный</v>
      </c>
      <c r="F310" s="43" t="str">
        <f>IFERROR(VLOOKUP(C310,'Актуальность'!A:C,3,0)," ")</f>
        <v/>
      </c>
      <c r="G310" s="43"/>
      <c r="H310" s="22" t="s">
        <v>2663</v>
      </c>
      <c r="I310" s="22" t="s">
        <v>2876</v>
      </c>
      <c r="J310" s="43"/>
      <c r="K310" s="43"/>
      <c r="L310" s="22" t="b">
        <f t="shared" ref="L310:R310" si="306">T310&lt;&gt;""</f>
        <v>1</v>
      </c>
      <c r="M310" s="22" t="b">
        <f t="shared" si="306"/>
        <v>1</v>
      </c>
      <c r="N310" s="22" t="b">
        <f t="shared" si="306"/>
        <v>1</v>
      </c>
      <c r="O310" s="22" t="b">
        <f t="shared" si="306"/>
        <v>1</v>
      </c>
      <c r="P310" s="22" t="b">
        <f t="shared" si="306"/>
        <v>0</v>
      </c>
      <c r="Q310" s="22" t="b">
        <f t="shared" si="306"/>
        <v>0</v>
      </c>
      <c r="R310" s="22" t="b">
        <f t="shared" si="306"/>
        <v>0</v>
      </c>
      <c r="S310" s="43"/>
      <c r="T310" s="43" t="str">
        <f>IFERROR(VLOOKUP( C310,'1С'!A:B,2,0)," ")</f>
        <v>CO101100405</v>
      </c>
      <c r="U310" s="22" t="str">
        <f>IFERROR(VLOOKUP(T310,'Лист4'!C:I,3,0)," ")</f>
        <v>sanatsin</v>
      </c>
      <c r="V310" s="22" t="str">
        <f>IFERROR(VLOOKUP(T310,'Лист4'!C:I,4,0)," ")</f>
        <v>sanatsin</v>
      </c>
      <c r="W310" s="22" t="str">
        <f>IFERROR(VLOOKUP(T310,'Лист4'!C:I,5,0)," ")</f>
        <v>sanatsin</v>
      </c>
      <c r="X310" s="43" t="str">
        <f>IFERROR(VLOOKUP(T310,'Лист4'!C:I,7,0)," ")</f>
        <v/>
      </c>
      <c r="Y310" s="43" t="str">
        <f>IFERROR(VLOOKUP(T310,'Лист4'!C:I,6,0)," ")</f>
        <v/>
      </c>
      <c r="Z310" s="43"/>
      <c r="AA310" s="43"/>
      <c r="AB310" s="22">
        <v>3.4285227E7</v>
      </c>
      <c r="AC310" s="22">
        <v>2.96756085E8</v>
      </c>
      <c r="AD310" s="22">
        <v>1.01863091732E11</v>
      </c>
      <c r="AE310" s="22"/>
      <c r="AF310" s="22"/>
      <c r="AG310" s="43"/>
      <c r="AH310" s="43"/>
      <c r="AI310" s="43" t="str">
        <f>IFERROR(VLOOKUP(T310,'1С'!B:C,2,0)," ")</f>
        <v>Пищевая добавка Санацин, CPA, 20 штук</v>
      </c>
      <c r="AJ310" s="22" t="s">
        <v>4164</v>
      </c>
      <c r="AK310" s="22" t="s">
        <v>4751</v>
      </c>
      <c r="AL310" s="22" t="s">
        <v>4752</v>
      </c>
      <c r="AM310" s="43"/>
      <c r="AN310" s="43"/>
      <c r="AO310" s="43"/>
      <c r="AP310" s="43"/>
      <c r="AQ310" s="46" t="s">
        <v>4753</v>
      </c>
      <c r="AR310" s="46" t="s">
        <v>4754</v>
      </c>
      <c r="AS310" s="46" t="s">
        <v>4755</v>
      </c>
      <c r="AT310" s="43"/>
      <c r="AU310" s="43"/>
      <c r="AV310" s="43"/>
      <c r="AW310" s="43"/>
      <c r="AX310" s="22" t="s">
        <v>649</v>
      </c>
      <c r="AY310" s="22" t="s">
        <v>4751</v>
      </c>
      <c r="AZ310" s="22" t="s">
        <v>372</v>
      </c>
      <c r="BA310" s="43"/>
      <c r="BB310" s="43"/>
      <c r="BC310" s="43"/>
      <c r="BD310" s="43"/>
      <c r="BE310" s="43"/>
      <c r="BF310" s="22">
        <f>IFERROR(VLOOKUP(C310,'спецификация'!B:D,3,0)," ")</f>
        <v>4631141996004</v>
      </c>
      <c r="BG310" s="22"/>
      <c r="BH310" s="22" t="str">
        <f>IFERROR(VLOOKUP(C310,'спецификация'!B:AA,5,0)," ")</f>
        <v>RU.77.99.11.003.R.002344.07.22
</v>
      </c>
      <c r="BI310" s="22"/>
      <c r="BJ310" s="22" t="str">
        <f>IFERROR(VLOOKUP(C310,'спецификация'!B:AA,6,0)," ")</f>
        <v/>
      </c>
      <c r="BK310" s="43"/>
      <c r="BL310" s="43"/>
      <c r="BM310" s="22" t="str">
        <f>IFERROR(VLOOKUP(BF310,'спецификация'!D:H,5,0)," ")</f>
        <v>Утренняя капсула (белая): экстракты куркумы, грейпфрута косточек, осины коры, родиолы розовой, черного перца, гвоздики и мяты перечной, аэросил, кальций стеариновокислый, лактоза.       
Вечерняя капсула (красная): экстракты сенны, пижмы, солодки, листа грецкого ореха, черного перца, чеснока, артишока, фенхеля и зверобоя, аэросил, кальций стеариновокислый, лактоза.      </v>
      </c>
      <c r="BN310" s="43"/>
      <c r="BO310" s="22" t="str">
        <f>IFERROR(VLOOKUP(C310,'спецификация'!B:AA,10,0)," ")</f>
        <v/>
      </c>
      <c r="BP310" s="43" t="str">
        <f>IFERROR(VLOOKUP(C310,'спецификация'!B:AA,11,0),"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10" s="22" t="str">
        <f>IFERROR(VLOOKUP(C310,'спецификация'!B:AA,12,0)," ")</f>
        <v>хранить при температуре до 25°C, избегая попадания прямых солнечных лучей.
</v>
      </c>
      <c r="BR310" s="22">
        <v>20.0</v>
      </c>
      <c r="BS310" s="22" t="s">
        <v>492</v>
      </c>
      <c r="BT310" s="22"/>
      <c r="BU310" s="22"/>
      <c r="BV310" s="22" t="s">
        <v>307</v>
      </c>
      <c r="BW310" s="44" t="str">
        <f>IFERROR(VLOOKUP(C310,'спецификация'!B:AA,16,0)," ")</f>
        <v>https://docs.google.com/document/d/142vgp_UHRI5uecUA1EXnCHwJdUET3y0fZexy576OLvQ/edit</v>
      </c>
      <c r="BX310" s="43"/>
      <c r="BY310" s="43"/>
      <c r="BZ310" s="45" t="str">
        <f>IFERROR(VLOOKUP(BF310,'спецификация'!D:Y,22,0)," ")</f>
        <v/>
      </c>
      <c r="CA310" s="43"/>
      <c r="CB310" s="43"/>
      <c r="CC310" s="43"/>
      <c r="CD310" s="43"/>
      <c r="CE310" s="43"/>
      <c r="CF310" s="43"/>
      <c r="CG310" s="49">
        <f>IFERROR(VLOOKUP(C310,CC!A:D,4,0)," ")</f>
        <v>116.15</v>
      </c>
      <c r="CH310" s="22" t="str">
        <f>IFERROR(VLOOKUP(C310,'спецификация'!B:AA,19,0)," ")</f>
        <v/>
      </c>
      <c r="CI310" s="22"/>
      <c r="CJ310" s="43"/>
      <c r="CK310" s="22" t="str">
        <f>IFERROR(VLOOKUP(C310,CC!K:M,3,0)," ")</f>
        <v> </v>
      </c>
      <c r="CL310" s="43"/>
      <c r="CM310" s="43"/>
      <c r="CN310" s="43"/>
      <c r="CO310" s="43"/>
      <c r="CP310" s="43"/>
      <c r="CQ310" s="43"/>
      <c r="CR310" s="43"/>
      <c r="CS310" s="43" t="b">
        <v>0</v>
      </c>
      <c r="CT310" s="43" t="b">
        <v>0</v>
      </c>
      <c r="CU310" s="43" t="b">
        <v>0</v>
      </c>
      <c r="CV310" s="43" t="b">
        <v>0</v>
      </c>
      <c r="CW310" s="43"/>
      <c r="CX310" s="43"/>
      <c r="CY310" s="43"/>
      <c r="CZ310" s="43"/>
      <c r="DA310" s="43"/>
      <c r="DB310" s="43"/>
      <c r="DC310" s="43"/>
      <c r="DD310" s="22">
        <f>IFERROR(VLOOKUP($C310,'Лист4'!$D:$AI,27,0)," ")</f>
        <v>8</v>
      </c>
      <c r="DE310" s="22">
        <f>IFERROR(VLOOKUP($C310,'Лист4'!$D:$AI,28,0)," ")</f>
        <v>2</v>
      </c>
      <c r="DF310" s="22">
        <f>IFERROR(VLOOKUP($C310,'Лист4'!$D:$AI,29,0)," ")</f>
        <v>8</v>
      </c>
      <c r="DG310" s="22">
        <f t="shared" si="3"/>
        <v>128</v>
      </c>
      <c r="DH310" s="22">
        <f>IFERROR(VLOOKUP($C310,'Лист4'!$D:$AI,32,0)," ")</f>
        <v>0.016</v>
      </c>
      <c r="DI310" s="22"/>
      <c r="DJ310" s="22"/>
      <c r="DK310" s="22"/>
      <c r="DL310" s="22"/>
      <c r="DM310" s="22"/>
      <c r="DN310" s="22"/>
      <c r="DO310" s="22"/>
      <c r="DP310" s="22"/>
      <c r="DQ310" s="22"/>
      <c r="DR310" s="22"/>
      <c r="DS310" s="22"/>
      <c r="DT310" s="22"/>
      <c r="DU310" s="22"/>
      <c r="DV310" s="22"/>
      <c r="DW310" s="22"/>
      <c r="DX310" s="22"/>
      <c r="DY310" s="22"/>
      <c r="DZ310" s="22"/>
      <c r="EA310" s="22"/>
      <c r="EB310" s="22"/>
      <c r="EC310" s="22"/>
      <c r="ED310" s="22"/>
      <c r="EE310" s="22"/>
      <c r="EF310" s="22"/>
      <c r="EG310" s="22"/>
      <c r="EH310" s="22"/>
      <c r="EI310" s="22"/>
      <c r="EJ310" s="22"/>
      <c r="EK310" s="22"/>
      <c r="EL310" s="22"/>
      <c r="EM310" s="43"/>
      <c r="EN310" s="43"/>
      <c r="EO310" s="43"/>
      <c r="EP310" s="43"/>
      <c r="EQ310" s="43"/>
      <c r="ER310" s="43"/>
      <c r="ES310" s="43"/>
      <c r="ET310" s="43"/>
      <c r="EU310" s="43"/>
      <c r="EV310" s="43"/>
      <c r="EW310" s="43"/>
      <c r="EX310" s="43"/>
      <c r="EY310" s="43"/>
      <c r="EZ310" s="43"/>
      <c r="FA310" s="43"/>
      <c r="FB310" s="43"/>
      <c r="FC310" s="43"/>
    </row>
    <row r="311" ht="18.0" customHeight="1">
      <c r="A311" s="2"/>
      <c r="B311" s="22" t="str">
        <f>IFERROR(VLOOKUP(C311,'Реестр'!C:AC,27,0)," ")</f>
        <v>Смарт-Сэйл</v>
      </c>
      <c r="C311" s="43" t="s">
        <v>4758</v>
      </c>
      <c r="D311" s="22" t="str">
        <f>IFERROR(VLOOKUP(C311,'Лист4'!D:P,13,0)," ")</f>
        <v>Алтея</v>
      </c>
      <c r="E311" s="22" t="str">
        <f>IF(OR(ISERROR(VLOOKUP(C311,'Актуальность'!A:B,2,0)), VLOOKUP(C311,'Актуальность'!A:B,2,0)=""), "Актуальный", VLOOKUP(C311,'Актуальность'!A:B,2,0))</f>
        <v>Вывод</v>
      </c>
      <c r="F311" s="43" t="str">
        <f>IFERROR(VLOOKUP(C311,'Актуальность'!A:C,3,0)," ")</f>
        <v/>
      </c>
      <c r="G311" s="43"/>
      <c r="H311" s="22" t="s">
        <v>2743</v>
      </c>
      <c r="I311" s="22" t="s">
        <v>4366</v>
      </c>
      <c r="J311" s="43"/>
      <c r="K311" s="43"/>
      <c r="L311" s="22" t="b">
        <f t="shared" ref="L311:R311" si="307">T311&lt;&gt;""</f>
        <v>1</v>
      </c>
      <c r="M311" s="22" t="b">
        <f t="shared" si="307"/>
        <v>1</v>
      </c>
      <c r="N311" s="22" t="b">
        <f t="shared" si="307"/>
        <v>1</v>
      </c>
      <c r="O311" s="22" t="b">
        <f t="shared" si="307"/>
        <v>1</v>
      </c>
      <c r="P311" s="22" t="b">
        <f t="shared" si="307"/>
        <v>1</v>
      </c>
      <c r="Q311" s="22" t="b">
        <f t="shared" si="307"/>
        <v>1</v>
      </c>
      <c r="R311" s="22" t="b">
        <f t="shared" si="307"/>
        <v>0</v>
      </c>
      <c r="S311" s="43"/>
      <c r="T311" s="43" t="str">
        <f>IFERROR(VLOOKUP( C311,'1С'!A:B,2,0)," ")</f>
        <v>AC101100438</v>
      </c>
      <c r="U311" s="22" t="str">
        <f>IFERROR(VLOOKUP(T311,'Лист4'!C:I,3,0)," ")</f>
        <v>stik_ot_mozoley</v>
      </c>
      <c r="V311" s="22" t="str">
        <f>IFERROR(VLOOKUP(T311,'Лист4'!C:I,4,0)," ")</f>
        <v>stik_ot_mozoley</v>
      </c>
      <c r="W311" s="22" t="str">
        <f>IFERROR(VLOOKUP(T311,'Лист4'!C:I,5,0)," ")</f>
        <v>stik_ot_mozoley</v>
      </c>
      <c r="X311" s="43" t="str">
        <f>IFERROR(VLOOKUP(T311,'Лист4'!C:I,7,0)," ")</f>
        <v>stik_ot_mozoley</v>
      </c>
      <c r="Y311" s="43" t="str">
        <f>IFERROR(VLOOKUP(T311,'Лист4'!C:I,6,0)," ")</f>
        <v>stik_ot_mozoley</v>
      </c>
      <c r="Z311" s="43"/>
      <c r="AA311" s="43"/>
      <c r="AB311" s="22">
        <v>2.63003602E8</v>
      </c>
      <c r="AC311" s="22">
        <v>1.70231937E9</v>
      </c>
      <c r="AD311" s="22">
        <v>1.03534746275E11</v>
      </c>
      <c r="AE311" s="22">
        <v>9.9000114734E10</v>
      </c>
      <c r="AF311" s="22" t="s">
        <v>4761</v>
      </c>
      <c r="AG311" s="43"/>
      <c r="AH311" s="43"/>
      <c r="AI311" s="43" t="str">
        <f>IFERROR(VLOOKUP(T311,'1С'!B:C,2,0)," ")</f>
        <v>Карандаш от мозолей, Алтея, 20 г</v>
      </c>
      <c r="AJ311" s="22" t="s">
        <v>4762</v>
      </c>
      <c r="AK311" s="22" t="s">
        <v>4763</v>
      </c>
      <c r="AL311" s="22" t="s">
        <v>4763</v>
      </c>
      <c r="AM311" s="22" t="s">
        <v>4764</v>
      </c>
      <c r="AN311" s="22" t="s">
        <v>4765</v>
      </c>
      <c r="AO311" s="43"/>
      <c r="AP311" s="43"/>
      <c r="AQ311" s="46" t="s">
        <v>4766</v>
      </c>
      <c r="AR311" s="46" t="s">
        <v>4767</v>
      </c>
      <c r="AS311" s="46" t="s">
        <v>4768</v>
      </c>
      <c r="AT311" s="43"/>
      <c r="AU311" s="46" t="s">
        <v>4769</v>
      </c>
      <c r="AV311" s="43"/>
      <c r="AW311" s="43"/>
      <c r="AX311" s="22" t="s">
        <v>594</v>
      </c>
      <c r="AY311" s="22" t="s">
        <v>4763</v>
      </c>
      <c r="AZ311" s="22" t="s">
        <v>4360</v>
      </c>
      <c r="BA311" s="22" t="s">
        <v>1834</v>
      </c>
      <c r="BB311" s="22" t="s">
        <v>4770</v>
      </c>
      <c r="BC311" s="43"/>
      <c r="BD311" s="43"/>
      <c r="BE311" s="43"/>
      <c r="BF311" s="22">
        <f>IFERROR(VLOOKUP(C311,'спецификация'!B:D,3,0)," ")</f>
        <v>4690222978568</v>
      </c>
      <c r="BG311" s="22">
        <v>3.30499E9</v>
      </c>
      <c r="BH311" s="22" t="str">
        <f>IFERROR(VLOOKUP(C311,'спецификация'!B:AA,5,0)," ")</f>
        <v>ЕАЭС N RU Д-RU.PA06.B.77628/24 от 16.09.2024 по 04.08.2029</v>
      </c>
      <c r="BI311" s="22"/>
      <c r="BJ311" s="22" t="str">
        <f>IFERROR(VLOOKUP(C311,'спецификация'!B:AA,6,0)," ")</f>
        <v>нет</v>
      </c>
      <c r="BK311" s="43"/>
      <c r="BL311" s="43"/>
      <c r="BM311" s="22" t="str">
        <f>IFERROR(VLOOKUP(BF311,'спецификация'!D:H,5,0)," ")</f>
        <v>Petrolatum, Vitis Vinifera seed oil, Rice (Oriza sativa) bran wax, Palm Pulp Oil, Glyceryl monostearate, Stearic Acid, Colloidal Silver, Polysorbate 80, Lanolin anhydrous Deodorized, Cocos Nucifera (Coconut) Oil, Butyrospermum Parkii Butter, Vitamin E (Tocopherol), Panthenol, Butyl-hydroxytoluene (BHT)</v>
      </c>
      <c r="BN311" s="43"/>
      <c r="BO311" s="22" t="str">
        <f>IFERROR(VLOOKUP(C311,'спецификация'!B:AA,10,0)," ")</f>
        <v>откройте защитную крышку, поверните колёсико снизу и нанесите увлажняющий крем-стик на проблемную зону в области ног.</v>
      </c>
      <c r="BP311" s="43" t="str">
        <f>IFERROR(VLOOKUP(C311,'спецификация'!B:AA,11,0)," ")</f>
        <v>Меры предосторожности: возможна индивидуальная непереносимость ингредиентов состава, не допускать попадания на слизистые оболочки.</v>
      </c>
      <c r="BQ311" s="22" t="str">
        <f>IFERROR(VLOOKUP(C311,'спецификация'!B:AA,12,0)," ")</f>
        <v>хранить в сухом недоступном для света месте при температуре от +5 до +25 С</v>
      </c>
      <c r="BR311" s="22">
        <v>20.0</v>
      </c>
      <c r="BS311" s="60" t="s">
        <v>4776</v>
      </c>
      <c r="BT311" s="60"/>
      <c r="BU311" s="22"/>
      <c r="BV311" s="22" t="s">
        <v>307</v>
      </c>
      <c r="BW311" s="44" t="str">
        <f>IFERROR(VLOOKUP(C311,'спецификация'!B:AA,16,0)," ")</f>
        <v>https://docs.google.com/document/d/1miW0ikGBU3peC3wv3xjlFMw7Rc2tJP3i/edit</v>
      </c>
      <c r="BX311" s="43"/>
      <c r="BY311" s="43"/>
      <c r="BZ311" s="45" t="str">
        <f>IFERROR(VLOOKUP(BF311,'спецификация'!D:Y,22,0)," ")</f>
        <v/>
      </c>
      <c r="CA311" s="43"/>
      <c r="CB311" s="43"/>
      <c r="CC311" s="43"/>
      <c r="CD311" s="43"/>
      <c r="CE311" s="43"/>
      <c r="CF311" s="43"/>
      <c r="CG311" s="49">
        <f>IFERROR(VLOOKUP(C311,CC!A:D,4,0)," ")</f>
        <v>117.03</v>
      </c>
      <c r="CH311" s="22" t="str">
        <f>IFERROR(VLOOKUP(C311,'спецификация'!B:AA,19,0)," ")</f>
        <v>ООО М9 Фарм</v>
      </c>
      <c r="CI311" s="22"/>
      <c r="CJ311" s="22" t="s">
        <v>4779</v>
      </c>
      <c r="CK311" s="22">
        <f>IFERROR(VLOOKUP(C311,CC!K:M,3,0)," ")</f>
        <v>90</v>
      </c>
      <c r="CL311" s="43"/>
      <c r="CM311" s="43"/>
      <c r="CN311" s="43"/>
      <c r="CO311" s="43"/>
      <c r="CP311" s="43"/>
      <c r="CQ311" s="43"/>
      <c r="CR311" s="43"/>
      <c r="CS311" s="43" t="b">
        <v>0</v>
      </c>
      <c r="CT311" s="43" t="b">
        <v>0</v>
      </c>
      <c r="CU311" s="43" t="b">
        <v>0</v>
      </c>
      <c r="CV311" s="43" t="b">
        <v>0</v>
      </c>
      <c r="CW311" s="43"/>
      <c r="CX311" s="43"/>
      <c r="CY311" s="43"/>
      <c r="CZ311" s="43"/>
      <c r="DA311" s="43"/>
      <c r="DB311" s="43"/>
      <c r="DC311" s="43"/>
      <c r="DD311" s="22">
        <f>IFERROR(VLOOKUP($C311,'Лист4'!$D:$AI,27,0)," ")</f>
        <v>1</v>
      </c>
      <c r="DE311" s="22">
        <f>IFERROR(VLOOKUP($C311,'Лист4'!$D:$AI,28,0)," ")</f>
        <v>7</v>
      </c>
      <c r="DF311" s="22">
        <f>IFERROR(VLOOKUP($C311,'Лист4'!$D:$AI,29,0)," ")</f>
        <v>1</v>
      </c>
      <c r="DG311" s="22">
        <f t="shared" si="3"/>
        <v>7</v>
      </c>
      <c r="DH311" s="22">
        <f>IFERROR(VLOOKUP($C311,'Лист4'!$D:$AI,32,0)," ")</f>
        <v>0.03</v>
      </c>
      <c r="DI311" s="22"/>
      <c r="DJ311" s="22"/>
      <c r="DK311" s="22"/>
      <c r="DL311" s="22"/>
      <c r="DM311" s="22"/>
      <c r="DN311" s="22"/>
      <c r="DO311" s="22"/>
      <c r="DP311" s="22"/>
      <c r="DQ311" s="22"/>
      <c r="DR311" s="22"/>
      <c r="DS311" s="22"/>
      <c r="DT311" s="22"/>
      <c r="DU311" s="22"/>
      <c r="DV311" s="22"/>
      <c r="DW311" s="22"/>
      <c r="DX311" s="22"/>
      <c r="DY311" s="22"/>
      <c r="DZ311" s="22"/>
      <c r="EA311" s="22"/>
      <c r="EB311" s="22"/>
      <c r="EC311" s="22"/>
      <c r="ED311" s="22"/>
      <c r="EE311" s="22"/>
      <c r="EF311" s="22"/>
      <c r="EG311" s="22"/>
      <c r="EH311" s="22"/>
      <c r="EI311" s="22"/>
      <c r="EJ311" s="22"/>
      <c r="EK311" s="22"/>
      <c r="EL311" s="22"/>
      <c r="EM311" s="43"/>
      <c r="EN311" s="43"/>
      <c r="EO311" s="43"/>
      <c r="EP311" s="43"/>
      <c r="EQ311" s="43"/>
      <c r="ER311" s="43"/>
      <c r="ES311" s="43"/>
      <c r="ET311" s="43"/>
      <c r="EU311" s="43"/>
      <c r="EV311" s="43"/>
      <c r="EW311" s="43"/>
      <c r="EX311" s="43"/>
      <c r="EY311" s="43"/>
      <c r="EZ311" s="43"/>
      <c r="FA311" s="43"/>
      <c r="FB311" s="43"/>
      <c r="FC311" s="43"/>
    </row>
    <row r="312" ht="18.0" customHeight="1">
      <c r="A312" s="2"/>
      <c r="B312" s="22" t="str">
        <f>IFERROR(VLOOKUP(C312,'Реестр'!C:AC,27,0)," ")</f>
        <v>Смарт-Сэйл</v>
      </c>
      <c r="C312" s="43" t="s">
        <v>4780</v>
      </c>
      <c r="D312" s="22" t="str">
        <f>IFERROR(VLOOKUP(C312,'Лист4'!D:P,13,0)," ")</f>
        <v>CPA</v>
      </c>
      <c r="E312" s="22" t="str">
        <f>IF(OR(ISERROR(VLOOKUP(C312,'Актуальность'!A:B,2,0)), VLOOKUP(C312,'Актуальность'!A:B,2,0)=""), "Актуальный", VLOOKUP(C312,'Актуальность'!A:B,2,0))</f>
        <v>Актуальный</v>
      </c>
      <c r="F312" s="43" t="str">
        <f>IFERROR(VLOOKUP(C312,'Актуальность'!A:C,3,0)," ")</f>
        <v/>
      </c>
      <c r="G312" s="43"/>
      <c r="H312" s="22" t="s">
        <v>2663</v>
      </c>
      <c r="I312" s="22" t="s">
        <v>2766</v>
      </c>
      <c r="J312" s="43"/>
      <c r="K312" s="43"/>
      <c r="L312" s="22" t="b">
        <f t="shared" ref="L312:R312" si="308">T312&lt;&gt;""</f>
        <v>1</v>
      </c>
      <c r="M312" s="22" t="b">
        <f t="shared" si="308"/>
        <v>1</v>
      </c>
      <c r="N312" s="22" t="b">
        <f t="shared" si="308"/>
        <v>1</v>
      </c>
      <c r="O312" s="22" t="b">
        <f t="shared" si="308"/>
        <v>1</v>
      </c>
      <c r="P312" s="22" t="b">
        <f t="shared" si="308"/>
        <v>0</v>
      </c>
      <c r="Q312" s="22" t="b">
        <f t="shared" si="308"/>
        <v>0</v>
      </c>
      <c r="R312" s="22" t="b">
        <f t="shared" si="308"/>
        <v>0</v>
      </c>
      <c r="S312" s="43"/>
      <c r="T312" s="43" t="str">
        <f>IFERROR(VLOOKUP( C312,'1С'!A:B,2,0)," ")</f>
        <v>CO101100412</v>
      </c>
      <c r="U312" s="22" t="str">
        <f>IFERROR(VLOOKUP(T312,'Лист4'!C:I,3,0)," ")</f>
        <v>glikiron</v>
      </c>
      <c r="V312" s="22" t="str">
        <f>IFERROR(VLOOKUP(T312,'Лист4'!C:I,4,0)," ")</f>
        <v>glikiron</v>
      </c>
      <c r="W312" s="22" t="str">
        <f>IFERROR(VLOOKUP(T312,'Лист4'!C:I,5,0)," ")</f>
        <v>glikiron</v>
      </c>
      <c r="X312" s="43" t="str">
        <f>IFERROR(VLOOKUP(T312,'Лист4'!C:I,7,0)," ")</f>
        <v/>
      </c>
      <c r="Y312" s="43" t="str">
        <f>IFERROR(VLOOKUP(T312,'Лист4'!C:I,6,0)," ")</f>
        <v/>
      </c>
      <c r="Z312" s="43"/>
      <c r="AA312" s="43"/>
      <c r="AB312" s="22">
        <v>3.5495802E7</v>
      </c>
      <c r="AC312" s="22">
        <v>2.96790094E8</v>
      </c>
      <c r="AD312" s="22">
        <v>1.01740440649E11</v>
      </c>
      <c r="AE312" s="22"/>
      <c r="AF312" s="22"/>
      <c r="AG312" s="43"/>
      <c r="AH312" s="43"/>
      <c r="AI312" s="43" t="str">
        <f>IFERROR(VLOOKUP(T312,'1С'!B:C,2,0)," ")</f>
        <v>Пищевая добавка Гликирон, CPA, 50 мл</v>
      </c>
      <c r="AJ312" s="22" t="s">
        <v>4783</v>
      </c>
      <c r="AK312" s="22" t="s">
        <v>4784</v>
      </c>
      <c r="AL312" s="22" t="s">
        <v>4785</v>
      </c>
      <c r="AM312" s="43"/>
      <c r="AN312" s="43"/>
      <c r="AO312" s="43"/>
      <c r="AP312" s="43"/>
      <c r="AQ312" s="46" t="s">
        <v>4786</v>
      </c>
      <c r="AR312" s="46" t="s">
        <v>4787</v>
      </c>
      <c r="AS312" s="46" t="s">
        <v>4788</v>
      </c>
      <c r="AT312" s="43"/>
      <c r="AU312" s="43"/>
      <c r="AV312" s="43"/>
      <c r="AW312" s="43"/>
      <c r="AX312" s="22" t="s">
        <v>649</v>
      </c>
      <c r="AY312" s="22" t="s">
        <v>4784</v>
      </c>
      <c r="AZ312" s="22" t="s">
        <v>372</v>
      </c>
      <c r="BA312" s="43"/>
      <c r="BB312" s="43"/>
      <c r="BC312" s="43"/>
      <c r="BD312" s="43"/>
      <c r="BE312" s="43"/>
      <c r="BF312" s="22">
        <f>IFERROR(VLOOKUP(C312,'спецификация'!B:D,3,0)," ")</f>
        <v>4631155368231</v>
      </c>
      <c r="BG312" s="22">
        <v>2.103909009E9</v>
      </c>
      <c r="BH312" s="22" t="str">
        <f>IFERROR(VLOOKUP(C312,'спецификация'!B:AA,5,0)," ")</f>
        <v>ЕАЭС N RU от 10.02.2021 до 10.02.2026</v>
      </c>
      <c r="BI312" s="22"/>
      <c r="BJ312" s="22" t="str">
        <f>IFERROR(VLOOKUP(C312,'спецификация'!B:AA,6,0)," ")</f>
        <v/>
      </c>
      <c r="BK312" s="43"/>
      <c r="BL312" s="43"/>
      <c r="BM312" s="22" t="str">
        <f>IFERROR(VLOOKUP(BF312,'спецификация'!D:H,5,0)," ")</f>
        <v>экстракт черники (Vaccinium Spp), экстракт галеги (Galega officinalis L.), экстракт гарцинии (Garcinia Cambogia), экстракт створок фасоли (Phaseolus vulgaris L.), экстракт  красных виноградных листьев (Vitis vinifera L.), экстракт цветков липы (Basswood), экстракт ананаса (Ananas comosus), экстракт фиалки (Viola tricolor L.), экстракт корня одуванчика (Taraxacum officinale), экстракт грецкого ореха (Juglans), экстракт спирулины (Flocci).</v>
      </c>
      <c r="BN312" s="43"/>
      <c r="BO312" s="22" t="str">
        <f>IFERROR(VLOOKUP(C312,'спецификация'!B:AA,10,0)," ")</f>
        <v/>
      </c>
      <c r="BP312" s="43" t="str">
        <f>IFERROR(VLOOKUP(C312,'спецификация'!B:AA,11,0),"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12" s="22" t="str">
        <f>IFERROR(VLOOKUP(C312,'спецификация'!B:AA,12,0)," ")</f>
        <v>хранить при температуре не ниже 0°C и не выше  25°C, избегая попадания прямых солнечных лучей.
</v>
      </c>
      <c r="BR312" s="22">
        <v>50.0</v>
      </c>
      <c r="BS312" s="22" t="s">
        <v>139</v>
      </c>
      <c r="BT312" s="22"/>
      <c r="BU312" s="22"/>
      <c r="BV312" s="22" t="s">
        <v>307</v>
      </c>
      <c r="BW312" s="44" t="str">
        <f>IFERROR(VLOOKUP(C312,'спецификация'!B:AA,16,0)," ")</f>
        <v>https://docs.google.com/document/d/1YWiURDgTmVqJ6nCW6aVW7qaZNY6sPNUGrHWoyLLmJxk/edit</v>
      </c>
      <c r="BX312" s="43"/>
      <c r="BY312" s="43"/>
      <c r="BZ312" s="45" t="str">
        <f>IFERROR(VLOOKUP(BF312,'спецификация'!D:Y,22,0)," ")</f>
        <v/>
      </c>
      <c r="CA312" s="43"/>
      <c r="CB312" s="43"/>
      <c r="CC312" s="43"/>
      <c r="CD312" s="43"/>
      <c r="CE312" s="43"/>
      <c r="CF312" s="43"/>
      <c r="CG312" s="49">
        <f>IFERROR(VLOOKUP(C312,CC!A:D,4,0)," ")</f>
        <v>119.23</v>
      </c>
      <c r="CH312" s="22" t="str">
        <f>IFERROR(VLOOKUP(C312,'спецификация'!B:AA,19,0)," ")</f>
        <v/>
      </c>
      <c r="CI312" s="22"/>
      <c r="CJ312" s="43"/>
      <c r="CK312" s="22">
        <f>IFERROR(VLOOKUP(C312,CC!K:M,3,0)," ")</f>
        <v>45</v>
      </c>
      <c r="CL312" s="43"/>
      <c r="CM312" s="43"/>
      <c r="CN312" s="43"/>
      <c r="CO312" s="43"/>
      <c r="CP312" s="43"/>
      <c r="CQ312" s="43"/>
      <c r="CR312" s="43"/>
      <c r="CS312" s="43" t="b">
        <v>0</v>
      </c>
      <c r="CT312" s="43" t="b">
        <v>0</v>
      </c>
      <c r="CU312" s="43" t="b">
        <v>0</v>
      </c>
      <c r="CV312" s="43" t="b">
        <v>0</v>
      </c>
      <c r="CW312" s="43"/>
      <c r="CX312" s="43"/>
      <c r="CY312" s="43"/>
      <c r="CZ312" s="43"/>
      <c r="DA312" s="43"/>
      <c r="DB312" s="43"/>
      <c r="DC312" s="43"/>
      <c r="DD312" s="22">
        <f>IFERROR(VLOOKUP($C312,'Лист4'!$D:$AI,27,0)," ")</f>
        <v>10</v>
      </c>
      <c r="DE312" s="22">
        <f>IFERROR(VLOOKUP($C312,'Лист4'!$D:$AI,28,0)," ")</f>
        <v>4</v>
      </c>
      <c r="DF312" s="22">
        <f>IFERROR(VLOOKUP($C312,'Лист4'!$D:$AI,29,0)," ")</f>
        <v>10</v>
      </c>
      <c r="DG312" s="22">
        <f t="shared" si="3"/>
        <v>400</v>
      </c>
      <c r="DH312" s="22">
        <f>IFERROR(VLOOKUP($C312,'Лист4'!$D:$AI,32,0)," ")</f>
        <v>0.069</v>
      </c>
      <c r="DI312" s="22"/>
      <c r="DJ312" s="22"/>
      <c r="DK312" s="22"/>
      <c r="DL312" s="22"/>
      <c r="DM312" s="22"/>
      <c r="DN312" s="22"/>
      <c r="DO312" s="22"/>
      <c r="DP312" s="22"/>
      <c r="DQ312" s="22"/>
      <c r="DR312" s="22"/>
      <c r="DS312" s="22"/>
      <c r="DT312" s="22"/>
      <c r="DU312" s="22"/>
      <c r="DV312" s="22"/>
      <c r="DW312" s="22"/>
      <c r="DX312" s="22"/>
      <c r="DY312" s="22"/>
      <c r="DZ312" s="22"/>
      <c r="EA312" s="22"/>
      <c r="EB312" s="22"/>
      <c r="EC312" s="22"/>
      <c r="ED312" s="22"/>
      <c r="EE312" s="22"/>
      <c r="EF312" s="22"/>
      <c r="EG312" s="22"/>
      <c r="EH312" s="22"/>
      <c r="EI312" s="22"/>
      <c r="EJ312" s="22"/>
      <c r="EK312" s="22"/>
      <c r="EL312" s="22"/>
      <c r="EM312" s="43"/>
      <c r="EN312" s="43"/>
      <c r="EO312" s="43"/>
      <c r="EP312" s="43"/>
      <c r="EQ312" s="43"/>
      <c r="ER312" s="43"/>
      <c r="ES312" s="43"/>
      <c r="ET312" s="43"/>
      <c r="EU312" s="43"/>
      <c r="EV312" s="43"/>
      <c r="EW312" s="43"/>
      <c r="EX312" s="43"/>
      <c r="EY312" s="43"/>
      <c r="EZ312" s="43"/>
      <c r="FA312" s="43"/>
      <c r="FB312" s="43"/>
      <c r="FC312" s="43"/>
    </row>
    <row r="313" ht="18.0" customHeight="1">
      <c r="A313" s="2"/>
      <c r="B313" s="22" t="str">
        <f>IFERROR(VLOOKUP(C313,'Реестр'!C:AC,27,0)," ")</f>
        <v>Смарт-Сэйл</v>
      </c>
      <c r="C313" s="43" t="s">
        <v>4794</v>
      </c>
      <c r="D313" s="22" t="str">
        <f>IFERROR(VLOOKUP(C313,'Лист4'!D:P,13,0)," ")</f>
        <v>CPA</v>
      </c>
      <c r="E313" s="22" t="str">
        <f>IF(OR(ISERROR(VLOOKUP(C313,'Актуальность'!A:B,2,0)), VLOOKUP(C313,'Актуальность'!A:B,2,0)=""), "Актуальный", VLOOKUP(C313,'Актуальность'!A:B,2,0))</f>
        <v>Актуальный</v>
      </c>
      <c r="F313" s="43" t="str">
        <f>IFERROR(VLOOKUP(C313,'Актуальность'!A:C,3,0)," ")</f>
        <v/>
      </c>
      <c r="G313" s="43"/>
      <c r="H313" s="22" t="s">
        <v>2663</v>
      </c>
      <c r="I313" s="22" t="s">
        <v>3437</v>
      </c>
      <c r="J313" s="43"/>
      <c r="K313" s="43"/>
      <c r="L313" s="22" t="b">
        <f t="shared" ref="L313:R313" si="309">T313&lt;&gt;""</f>
        <v>1</v>
      </c>
      <c r="M313" s="22" t="b">
        <f t="shared" si="309"/>
        <v>1</v>
      </c>
      <c r="N313" s="22" t="b">
        <f t="shared" si="309"/>
        <v>1</v>
      </c>
      <c r="O313" s="22" t="b">
        <f t="shared" si="309"/>
        <v>1</v>
      </c>
      <c r="P313" s="22" t="b">
        <f t="shared" si="309"/>
        <v>0</v>
      </c>
      <c r="Q313" s="22" t="b">
        <f t="shared" si="309"/>
        <v>0</v>
      </c>
      <c r="R313" s="22" t="b">
        <f t="shared" si="309"/>
        <v>0</v>
      </c>
      <c r="S313" s="43"/>
      <c r="T313" s="43" t="str">
        <f>IFERROR(VLOOKUP( C313,'1С'!A:B,2,0)," ")</f>
        <v>CC101100403</v>
      </c>
      <c r="U313" s="22" t="str">
        <f>IFERROR(VLOOKUP(T313,'Лист4'!C:I,3,0)," ")</f>
        <v>vetonus_1_1</v>
      </c>
      <c r="V313" s="22" t="str">
        <f>IFERROR(VLOOKUP(T313,'Лист4'!C:I,4,0)," ")</f>
        <v>vetonus_1_1</v>
      </c>
      <c r="W313" s="22" t="str">
        <f>IFERROR(VLOOKUP(T313,'Лист4'!C:I,5,0)," ")</f>
        <v>vetonus_1_1</v>
      </c>
      <c r="X313" s="43" t="str">
        <f>IFERROR(VLOOKUP(T313,'Лист4'!C:I,7,0)," ")</f>
        <v/>
      </c>
      <c r="Y313" s="43" t="str">
        <f>IFERROR(VLOOKUP(T313,'Лист4'!C:I,6,0)," ")</f>
        <v/>
      </c>
      <c r="Z313" s="43"/>
      <c r="AA313" s="43"/>
      <c r="AB313" s="22">
        <v>1.76859687E8</v>
      </c>
      <c r="AC313" s="22">
        <v>1.188108975E9</v>
      </c>
      <c r="AD313" s="22">
        <v>1.03515420172E11</v>
      </c>
      <c r="AE313" s="22"/>
      <c r="AF313" s="22"/>
      <c r="AG313" s="43"/>
      <c r="AH313" s="43"/>
      <c r="AI313" s="43" t="str">
        <f>IFERROR(VLOOKUP(T313,'1С'!B:C,2,0)," ")</f>
        <v>Крем от варикоза Ветонус, CPA, 30 мл</v>
      </c>
      <c r="AJ313" s="22" t="s">
        <v>4797</v>
      </c>
      <c r="AK313" s="22" t="s">
        <v>4798</v>
      </c>
      <c r="AL313" s="22" t="s">
        <v>4799</v>
      </c>
      <c r="AM313" s="43"/>
      <c r="AN313" s="43"/>
      <c r="AO313" s="43"/>
      <c r="AP313" s="43"/>
      <c r="AQ313" s="46" t="s">
        <v>4800</v>
      </c>
      <c r="AR313" s="46" t="s">
        <v>4801</v>
      </c>
      <c r="AS313" s="46" t="s">
        <v>4802</v>
      </c>
      <c r="AT313" s="43"/>
      <c r="AU313" s="43"/>
      <c r="AV313" s="43"/>
      <c r="AW313" s="43"/>
      <c r="AX313" s="22" t="s">
        <v>3445</v>
      </c>
      <c r="AY313" s="22" t="s">
        <v>4798</v>
      </c>
      <c r="AZ313" s="22" t="s">
        <v>2672</v>
      </c>
      <c r="BA313" s="43"/>
      <c r="BB313" s="43"/>
      <c r="BC313" s="43"/>
      <c r="BD313" s="43"/>
      <c r="BE313" s="43"/>
      <c r="BF313" s="22" t="str">
        <f>IFERROR(VLOOKUP(C313,'спецификация'!B:D,3,0)," ")</f>
        <v/>
      </c>
      <c r="BG313" s="22"/>
      <c r="BH313" s="22" t="str">
        <f>IFERROR(VLOOKUP(C313,'спецификация'!B:AA,5,0)," ")</f>
        <v/>
      </c>
      <c r="BI313" s="22"/>
      <c r="BJ313" s="22" t="str">
        <f>IFERROR(VLOOKUP(C313,'спецификация'!B:AA,6,0)," ")</f>
        <v/>
      </c>
      <c r="BK313" s="43"/>
      <c r="BL313" s="43"/>
      <c r="BM313" s="22" t="str">
        <f>IFERROR(VLOOKUP(BF313,'спецификация'!D:H,5,0)," ")</f>
        <v> </v>
      </c>
      <c r="BN313" s="43"/>
      <c r="BO313" s="22" t="str">
        <f>IFERROR(VLOOKUP(C313,'спецификация'!B:AA,10,0)," ")</f>
        <v/>
      </c>
      <c r="BP313" s="43" t="str">
        <f>IFERROR(VLOOKUP(C313,'спецификация'!B:AA,11,0)," ")</f>
        <v/>
      </c>
      <c r="BQ313" s="22" t="str">
        <f>IFERROR(VLOOKUP(C313,'спецификация'!B:AA,12,0)," ")</f>
        <v/>
      </c>
      <c r="BR313" s="22"/>
      <c r="BS313" s="43"/>
      <c r="BT313" s="43"/>
      <c r="BU313" s="22"/>
      <c r="BV313" s="22"/>
      <c r="BW313" s="45" t="str">
        <f>IFERROR(VLOOKUP(C313,'спецификация'!B:AA,16,0)," ")</f>
        <v/>
      </c>
      <c r="BX313" s="43"/>
      <c r="BY313" s="43"/>
      <c r="BZ313" s="45" t="str">
        <f>IFERROR(VLOOKUP(BF313,'спецификация'!D:Y,22,0)," ")</f>
        <v> </v>
      </c>
      <c r="CA313" s="43"/>
      <c r="CB313" s="43"/>
      <c r="CC313" s="43"/>
      <c r="CD313" s="43"/>
      <c r="CE313" s="43"/>
      <c r="CF313" s="43"/>
      <c r="CG313" s="49">
        <f>IFERROR(VLOOKUP(C313,CC!A:D,4,0)," ")</f>
        <v>205.2</v>
      </c>
      <c r="CH313" s="22" t="str">
        <f>IFERROR(VLOOKUP(C313,'спецификация'!B:AA,19,0)," ")</f>
        <v/>
      </c>
      <c r="CI313" s="22"/>
      <c r="CJ313" s="43"/>
      <c r="CK313" s="22">
        <f>IFERROR(VLOOKUP(C313,CC!K:M,3,0)," ")</f>
        <v>45</v>
      </c>
      <c r="CL313" s="43"/>
      <c r="CM313" s="43"/>
      <c r="CN313" s="43"/>
      <c r="CO313" s="43"/>
      <c r="CP313" s="43"/>
      <c r="CQ313" s="43"/>
      <c r="CR313" s="43"/>
      <c r="CS313" s="43" t="b">
        <v>0</v>
      </c>
      <c r="CT313" s="43" t="b">
        <v>0</v>
      </c>
      <c r="CU313" s="43" t="b">
        <v>0</v>
      </c>
      <c r="CV313" s="43" t="b">
        <v>0</v>
      </c>
      <c r="CW313" s="43"/>
      <c r="CX313" s="43"/>
      <c r="CY313" s="43"/>
      <c r="CZ313" s="43"/>
      <c r="DA313" s="43"/>
      <c r="DB313" s="43"/>
      <c r="DC313" s="43"/>
      <c r="DD313" s="22">
        <f>IFERROR(VLOOKUP($C313,'Лист4'!$D:$AI,27,0)," ")</f>
        <v>22</v>
      </c>
      <c r="DE313" s="22">
        <f>IFERROR(VLOOKUP($C313,'Лист4'!$D:$AI,28,0)," ")</f>
        <v>6</v>
      </c>
      <c r="DF313" s="22">
        <f>IFERROR(VLOOKUP($C313,'Лист4'!$D:$AI,29,0)," ")</f>
        <v>22</v>
      </c>
      <c r="DG313" s="22">
        <f t="shared" si="3"/>
        <v>2904</v>
      </c>
      <c r="DH313" s="22">
        <f>IFERROR(VLOOKUP($C313,'Лист4'!$D:$AI,32,0)," ")</f>
        <v>0.152</v>
      </c>
      <c r="DI313" s="22"/>
      <c r="DJ313" s="22"/>
      <c r="DK313" s="22"/>
      <c r="DL313" s="22"/>
      <c r="DM313" s="22"/>
      <c r="DN313" s="22"/>
      <c r="DO313" s="22"/>
      <c r="DP313" s="22"/>
      <c r="DQ313" s="22"/>
      <c r="DR313" s="22"/>
      <c r="DS313" s="22"/>
      <c r="DT313" s="22"/>
      <c r="DU313" s="22"/>
      <c r="DV313" s="22"/>
      <c r="DW313" s="22"/>
      <c r="DX313" s="22"/>
      <c r="DY313" s="22"/>
      <c r="DZ313" s="22"/>
      <c r="EA313" s="22"/>
      <c r="EB313" s="22"/>
      <c r="EC313" s="22"/>
      <c r="ED313" s="22"/>
      <c r="EE313" s="22"/>
      <c r="EF313" s="22"/>
      <c r="EG313" s="22"/>
      <c r="EH313" s="22"/>
      <c r="EI313" s="22"/>
      <c r="EJ313" s="22"/>
      <c r="EK313" s="22"/>
      <c r="EL313" s="22"/>
      <c r="EM313" s="43"/>
      <c r="EN313" s="43"/>
      <c r="EO313" s="43"/>
      <c r="EP313" s="43"/>
      <c r="EQ313" s="43"/>
      <c r="ER313" s="43"/>
      <c r="ES313" s="43"/>
      <c r="ET313" s="43"/>
      <c r="EU313" s="43"/>
      <c r="EV313" s="43"/>
      <c r="EW313" s="43"/>
      <c r="EX313" s="43"/>
      <c r="EY313" s="43"/>
      <c r="EZ313" s="43"/>
      <c r="FA313" s="43"/>
      <c r="FB313" s="43"/>
      <c r="FC313" s="43"/>
    </row>
    <row r="314" ht="18.0" customHeight="1">
      <c r="A314" s="2"/>
      <c r="B314" s="22" t="str">
        <f>IFERROR(VLOOKUP(C314,'Реестр'!C:AC,27,0)," ")</f>
        <v>Смарт-Сэйл</v>
      </c>
      <c r="C314" s="43" t="s">
        <v>4804</v>
      </c>
      <c r="D314" s="22" t="str">
        <f>IFERROR(VLOOKUP(C314,'Лист4'!D:P,13,0)," ")</f>
        <v>CPA</v>
      </c>
      <c r="E314" s="22" t="str">
        <f>IF(OR(ISERROR(VLOOKUP(C314,'Актуальность'!A:B,2,0)), VLOOKUP(C314,'Актуальность'!A:B,2,0)=""), "Актуальный", VLOOKUP(C314,'Актуальность'!A:B,2,0))</f>
        <v>Актуальный</v>
      </c>
      <c r="F314" s="43" t="str">
        <f>IFERROR(VLOOKUP(C314,'Актуальность'!A:C,3,0)," ")</f>
        <v/>
      </c>
      <c r="G314" s="43"/>
      <c r="H314" s="22" t="s">
        <v>2663</v>
      </c>
      <c r="I314" s="22" t="s">
        <v>2766</v>
      </c>
      <c r="J314" s="43"/>
      <c r="K314" s="43"/>
      <c r="L314" s="22" t="b">
        <f t="shared" ref="L314:R314" si="310">T314&lt;&gt;""</f>
        <v>1</v>
      </c>
      <c r="M314" s="22" t="b">
        <f t="shared" si="310"/>
        <v>1</v>
      </c>
      <c r="N314" s="22" t="b">
        <f t="shared" si="310"/>
        <v>1</v>
      </c>
      <c r="O314" s="22" t="b">
        <f t="shared" si="310"/>
        <v>1</v>
      </c>
      <c r="P314" s="22" t="b">
        <f t="shared" si="310"/>
        <v>0</v>
      </c>
      <c r="Q314" s="22" t="b">
        <f t="shared" si="310"/>
        <v>0</v>
      </c>
      <c r="R314" s="22" t="b">
        <f t="shared" si="310"/>
        <v>0</v>
      </c>
      <c r="S314" s="43"/>
      <c r="T314" s="43" t="str">
        <f>IFERROR(VLOOKUP( C314,'1С'!A:B,2,0)," ")</f>
        <v>CO101100414</v>
      </c>
      <c r="U314" s="22" t="str">
        <f>IFERROR(VLOOKUP(T314,'Лист4'!C:I,3,0)," ")</f>
        <v>glukofol</v>
      </c>
      <c r="V314" s="22" t="str">
        <f>IFERROR(VLOOKUP(T314,'Лист4'!C:I,4,0)," ")</f>
        <v>glukofol</v>
      </c>
      <c r="W314" s="22" t="str">
        <f>IFERROR(VLOOKUP(T314,'Лист4'!C:I,5,0)," ")</f>
        <v>glukofol</v>
      </c>
      <c r="X314" s="43" t="str">
        <f>IFERROR(VLOOKUP(T314,'Лист4'!C:I,7,0)," ")</f>
        <v/>
      </c>
      <c r="Y314" s="43" t="str">
        <f>IFERROR(VLOOKUP(T314,'Лист4'!C:I,6,0)," ")</f>
        <v/>
      </c>
      <c r="Z314" s="43"/>
      <c r="AA314" s="43"/>
      <c r="AB314" s="22">
        <v>2.34152631E8</v>
      </c>
      <c r="AC314" s="22">
        <v>1.590064366E9</v>
      </c>
      <c r="AD314" s="22">
        <v>1.03515407115E11</v>
      </c>
      <c r="AE314" s="22"/>
      <c r="AF314" s="22"/>
      <c r="AG314" s="43"/>
      <c r="AH314" s="43"/>
      <c r="AI314" s="43" t="str">
        <f>IFERROR(VLOOKUP(T314,'1С'!B:C,2,0)," ")</f>
        <v>Пищевая добавка Глюкофол, CPA, 10 мл</v>
      </c>
      <c r="AJ314" s="22" t="s">
        <v>4807</v>
      </c>
      <c r="AK314" s="22" t="s">
        <v>4808</v>
      </c>
      <c r="AL314" s="22" t="s">
        <v>4809</v>
      </c>
      <c r="AM314" s="43"/>
      <c r="AN314" s="43"/>
      <c r="AO314" s="43"/>
      <c r="AP314" s="43"/>
      <c r="AQ314" s="46" t="s">
        <v>4810</v>
      </c>
      <c r="AR314" s="46" t="s">
        <v>4811</v>
      </c>
      <c r="AS314" s="46" t="s">
        <v>4812</v>
      </c>
      <c r="AT314" s="43"/>
      <c r="AU314" s="43"/>
      <c r="AV314" s="43"/>
      <c r="AW314" s="43"/>
      <c r="AX314" s="22" t="s">
        <v>649</v>
      </c>
      <c r="AY314" s="22" t="s">
        <v>4808</v>
      </c>
      <c r="AZ314" s="22" t="s">
        <v>372</v>
      </c>
      <c r="BA314" s="43"/>
      <c r="BB314" s="43"/>
      <c r="BC314" s="43"/>
      <c r="BD314" s="43"/>
      <c r="BE314" s="43"/>
      <c r="BF314" s="22">
        <f>IFERROR(VLOOKUP(C314,'спецификация'!B:D,3,0)," ")</f>
        <v>4610030632698</v>
      </c>
      <c r="BG314" s="22">
        <v>2.106909809E9</v>
      </c>
      <c r="BH314" s="22" t="str">
        <f>IFERROR(VLOOKUP(C314,'спецификация'!B:AA,5,0)," ")</f>
        <v>ЕАЭС N RU Д-RU.PA01.B.95627/24 от 14.02.2024 по 13.02.2029</v>
      </c>
      <c r="BI314" s="22"/>
      <c r="BJ314" s="22" t="str">
        <f>IFERROR(VLOOKUP(C314,'спецификация'!B:AA,6,0)," ")</f>
        <v/>
      </c>
      <c r="BK314" s="43"/>
      <c r="BL314" s="43"/>
      <c r="BM314" s="22" t="str">
        <f>IFERROR(VLOOKUP(BF314,'спецификация'!D:H,5,0)," ")</f>
        <v>экстракты папайи, грейпфрута, стевии, пажитника, галеги, спирулины, девясила, софоры японской, топинамбура, кизила, вода, лимонная кислота, сорбат калия (Е202), бензоат натрия (Е211).
</v>
      </c>
      <c r="BN314" s="43"/>
      <c r="BO314" s="22" t="str">
        <f>IFERROR(VLOOKUP(C314,'спецификация'!B:AA,10,0)," ")</f>
        <v/>
      </c>
      <c r="BP314" s="43" t="str">
        <f>IFERROR(VLOOKUP(C314,'спецификация'!B:AA,11,0)," ")</f>
        <v>индивидуальная непереносимость компонентов, беременность, кормление грудью.
</v>
      </c>
      <c r="BQ314" s="22" t="str">
        <f>IFERROR(VLOOKUP(C314,'спецификация'!B:AA,12,0)," ")</f>
        <v>хранить при температуре не выше 25 °С в местах, удалённых от прямого солнечного света, отопительных приборов, влаги.
</v>
      </c>
      <c r="BR314" s="22">
        <v>10.0</v>
      </c>
      <c r="BS314" s="22" t="s">
        <v>139</v>
      </c>
      <c r="BT314" s="22"/>
      <c r="BU314" s="22"/>
      <c r="BV314" s="22" t="s">
        <v>307</v>
      </c>
      <c r="BW314" s="44" t="str">
        <f>IFERROR(VLOOKUP(C314,'спецификация'!B:AA,16,0)," ")</f>
        <v>https://docs.google.com/document/d/16fd_JnCEH3lED00_-1FMrEFjhBav7hYw/edit?rtpof=true</v>
      </c>
      <c r="BX314" s="43"/>
      <c r="BY314" s="43"/>
      <c r="BZ314" s="45" t="str">
        <f>IFERROR(VLOOKUP(BF314,'спецификация'!D:Y,22,0)," ")</f>
        <v/>
      </c>
      <c r="CA314" s="43"/>
      <c r="CB314" s="43"/>
      <c r="CC314" s="43"/>
      <c r="CD314" s="43"/>
      <c r="CE314" s="43"/>
      <c r="CF314" s="43"/>
      <c r="CG314" s="49">
        <f>IFERROR(VLOOKUP(C314,CC!A:D,4,0)," ")</f>
        <v>77</v>
      </c>
      <c r="CH314" s="22" t="str">
        <f>IFERROR(VLOOKUP(C314,'спецификация'!B:AA,19,0)," ")</f>
        <v>ООО «НУТРАФАРМ», 129626, г. Москва, Муниципальный округ Алексеевский, ул. 1-ая Мытищинская, дом 3, строение 1, этаж 3, каб. 306, ком. 5А</v>
      </c>
      <c r="CI314" s="22"/>
      <c r="CJ314" s="43"/>
      <c r="CK314" s="22">
        <f>IFERROR(VLOOKUP(C314,CC!K:M,3,0)," ")</f>
        <v>45</v>
      </c>
      <c r="CL314" s="43"/>
      <c r="CM314" s="43"/>
      <c r="CN314" s="43"/>
      <c r="CO314" s="43"/>
      <c r="CP314" s="43"/>
      <c r="CQ314" s="43"/>
      <c r="CR314" s="43"/>
      <c r="CS314" s="43" t="b">
        <v>0</v>
      </c>
      <c r="CT314" s="43" t="b">
        <v>0</v>
      </c>
      <c r="CU314" s="43" t="b">
        <v>0</v>
      </c>
      <c r="CV314" s="43" t="b">
        <v>0</v>
      </c>
      <c r="CW314" s="43"/>
      <c r="CX314" s="43"/>
      <c r="CY314" s="43"/>
      <c r="CZ314" s="43"/>
      <c r="DA314" s="43"/>
      <c r="DB314" s="43"/>
      <c r="DC314" s="43"/>
      <c r="DD314" s="22">
        <f>IFERROR(VLOOKUP($C314,'Лист4'!$D:$AI,27,0)," ")</f>
        <v>3</v>
      </c>
      <c r="DE314" s="22">
        <f>IFERROR(VLOOKUP($C314,'Лист4'!$D:$AI,28,0)," ")</f>
        <v>3</v>
      </c>
      <c r="DF314" s="22">
        <f>IFERROR(VLOOKUP($C314,'Лист4'!$D:$AI,29,0)," ")</f>
        <v>3</v>
      </c>
      <c r="DG314" s="22">
        <f t="shared" si="3"/>
        <v>27</v>
      </c>
      <c r="DH314" s="22">
        <f>IFERROR(VLOOKUP($C314,'Лист4'!$D:$AI,32,0)," ")</f>
        <v>0.046</v>
      </c>
      <c r="DI314" s="22"/>
      <c r="DJ314" s="22"/>
      <c r="DK314" s="22"/>
      <c r="DL314" s="22"/>
      <c r="DM314" s="22"/>
      <c r="DN314" s="22"/>
      <c r="DO314" s="22"/>
      <c r="DP314" s="22"/>
      <c r="DQ314" s="22"/>
      <c r="DR314" s="22"/>
      <c r="DS314" s="22"/>
      <c r="DT314" s="22"/>
      <c r="DU314" s="22"/>
      <c r="DV314" s="22"/>
      <c r="DW314" s="22"/>
      <c r="DX314" s="22"/>
      <c r="DY314" s="22"/>
      <c r="DZ314" s="22"/>
      <c r="EA314" s="22"/>
      <c r="EB314" s="22"/>
      <c r="EC314" s="22"/>
      <c r="ED314" s="22"/>
      <c r="EE314" s="22"/>
      <c r="EF314" s="22"/>
      <c r="EG314" s="22"/>
      <c r="EH314" s="22"/>
      <c r="EI314" s="22"/>
      <c r="EJ314" s="22"/>
      <c r="EK314" s="22"/>
      <c r="EL314" s="22"/>
      <c r="EM314" s="43"/>
      <c r="EN314" s="43"/>
      <c r="EO314" s="43"/>
      <c r="EP314" s="43"/>
      <c r="EQ314" s="43"/>
      <c r="ER314" s="43"/>
      <c r="ES314" s="43"/>
      <c r="ET314" s="43"/>
      <c r="EU314" s="43"/>
      <c r="EV314" s="43"/>
      <c r="EW314" s="43"/>
      <c r="EX314" s="43"/>
      <c r="EY314" s="43"/>
      <c r="EZ314" s="43"/>
      <c r="FA314" s="43"/>
      <c r="FB314" s="43"/>
      <c r="FC314" s="43"/>
    </row>
    <row r="315" ht="18.0" customHeight="1">
      <c r="A315" s="2"/>
      <c r="B315" s="22" t="str">
        <f>IFERROR(VLOOKUP(C315,'Реестр'!C:AC,27,0)," ")</f>
        <v>Смарт-Сэйл</v>
      </c>
      <c r="C315" s="43" t="s">
        <v>4818</v>
      </c>
      <c r="D315" s="22" t="str">
        <f>IFERROR(VLOOKUP(C315,'Лист4'!D:P,13,0)," ")</f>
        <v>CPA</v>
      </c>
      <c r="E315" s="22" t="str">
        <f>IF(OR(ISERROR(VLOOKUP(C315,'Актуальность'!A:B,2,0)), VLOOKUP(C315,'Актуальность'!A:B,2,0)=""), "Актуальный", VLOOKUP(C315,'Актуальность'!A:B,2,0))</f>
        <v>Актуальный</v>
      </c>
      <c r="F315" s="43" t="str">
        <f>IFERROR(VLOOKUP(C315,'Актуальность'!A:C,3,0)," ")</f>
        <v/>
      </c>
      <c r="G315" s="43"/>
      <c r="H315" s="22" t="s">
        <v>2663</v>
      </c>
      <c r="I315" s="22" t="s">
        <v>2860</v>
      </c>
      <c r="J315" s="43"/>
      <c r="K315" s="43"/>
      <c r="L315" s="22" t="b">
        <f t="shared" ref="L315:R315" si="311">T315&lt;&gt;""</f>
        <v>1</v>
      </c>
      <c r="M315" s="22" t="b">
        <f t="shared" si="311"/>
        <v>1</v>
      </c>
      <c r="N315" s="22" t="b">
        <f t="shared" si="311"/>
        <v>1</v>
      </c>
      <c r="O315" s="22" t="b">
        <f t="shared" si="311"/>
        <v>1</v>
      </c>
      <c r="P315" s="22" t="b">
        <f t="shared" si="311"/>
        <v>0</v>
      </c>
      <c r="Q315" s="22" t="b">
        <f t="shared" si="311"/>
        <v>0</v>
      </c>
      <c r="R315" s="22" t="b">
        <f t="shared" si="311"/>
        <v>0</v>
      </c>
      <c r="S315" s="43"/>
      <c r="T315" s="43" t="str">
        <f>IFERROR(VLOOKUP( C315,'1С'!A:B,2,0)," ")</f>
        <v>CC101100410</v>
      </c>
      <c r="U315" s="22" t="str">
        <f>IFERROR(VLOOKUP(T315,'Лист4'!C:I,3,0)," ")</f>
        <v>micolan</v>
      </c>
      <c r="V315" s="22" t="str">
        <f>IFERROR(VLOOKUP(T315,'Лист4'!C:I,4,0)," ")</f>
        <v>micolan</v>
      </c>
      <c r="W315" s="22" t="str">
        <f>IFERROR(VLOOKUP(T315,'Лист4'!C:I,5,0)," ")</f>
        <v>micolan</v>
      </c>
      <c r="X315" s="43" t="str">
        <f>IFERROR(VLOOKUP(T315,'Лист4'!C:I,7,0)," ")</f>
        <v/>
      </c>
      <c r="Y315" s="43" t="str">
        <f>IFERROR(VLOOKUP(T315,'Лист4'!C:I,6,0)," ")</f>
        <v/>
      </c>
      <c r="Z315" s="43"/>
      <c r="AA315" s="43"/>
      <c r="AB315" s="22">
        <v>3.7671984E7</v>
      </c>
      <c r="AC315" s="22">
        <v>3.07654206E8</v>
      </c>
      <c r="AD315" s="22">
        <v>1.01453593166E11</v>
      </c>
      <c r="AE315" s="22"/>
      <c r="AF315" s="22"/>
      <c r="AG315" s="43"/>
      <c r="AH315" s="43"/>
      <c r="AI315" s="43" t="str">
        <f>IFERROR(VLOOKUP(T315,'1С'!B:C,2,0)," ")</f>
        <v>Мазь от грибка ногтей Миколан, CPA, 15 мл</v>
      </c>
      <c r="AJ315" s="22" t="s">
        <v>4821</v>
      </c>
      <c r="AK315" s="22" t="s">
        <v>4822</v>
      </c>
      <c r="AL315" s="22" t="s">
        <v>4823</v>
      </c>
      <c r="AM315" s="43"/>
      <c r="AN315" s="43"/>
      <c r="AO315" s="43"/>
      <c r="AP315" s="43"/>
      <c r="AQ315" s="46" t="s">
        <v>4824</v>
      </c>
      <c r="AR315" s="46" t="s">
        <v>4825</v>
      </c>
      <c r="AS315" s="46" t="s">
        <v>4826</v>
      </c>
      <c r="AT315" s="43"/>
      <c r="AU315" s="43"/>
      <c r="AV315" s="43"/>
      <c r="AW315" s="43"/>
      <c r="AX315" s="22" t="s">
        <v>594</v>
      </c>
      <c r="AY315" s="22" t="s">
        <v>4822</v>
      </c>
      <c r="AZ315" s="22" t="s">
        <v>2672</v>
      </c>
      <c r="BA315" s="43"/>
      <c r="BB315" s="43"/>
      <c r="BC315" s="43"/>
      <c r="BD315" s="43"/>
      <c r="BE315" s="43"/>
      <c r="BF315" s="22">
        <f>IFERROR(VLOOKUP(C315,'спецификация'!B:D,3,0)," ")</f>
        <v>4631153669934</v>
      </c>
      <c r="BG315" s="22">
        <v>3.30499E9</v>
      </c>
      <c r="BH315" s="22" t="str">
        <f>IFERROR(VLOOKUP(C315,'спецификация'!B:AA,5,0)," ")</f>
        <v>ЕАЭС N RU Д-RU.РА09.В.60972/24 от 18.10.2024 действует до 17.10.2029</v>
      </c>
      <c r="BI315" s="22"/>
      <c r="BJ315" s="22" t="str">
        <f>IFERROR(VLOOKUP(C315,'спецификация'!B:AA,6,0)," ")</f>
        <v/>
      </c>
      <c r="BK315" s="43"/>
      <c r="BL315" s="43"/>
      <c r="BM315" s="22" t="str">
        <f>IFERROR(VLOOKUP(BF315,'спецификация'!D:H,5,0)," ")</f>
        <v>вода, пропиленгликоль, триклозан, коллоидное серебро, полифенолы граната, кордицепс, экстракт прополиса, вытяжка из плодов черного ореха, экстракт мяты перечной, экстракт календулы, экстракт чистотела, экстракт листа лопуха, экстракт индейского лука, экстракт листьев эхинацеи, консервант.</v>
      </c>
      <c r="BN315" s="43"/>
      <c r="BO315" s="22" t="str">
        <f>IFERROR(VLOOKUP(C315,'спецификация'!B:AA,10,0)," ")</f>
        <v/>
      </c>
      <c r="BP315" s="43" t="str">
        <f>IFERROR(VLOOKUP(C315,'спецификация'!B:AA,11,0),"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15" s="22" t="str">
        <f>IFERROR(VLOOKUP(C315,'спецификация'!B:AA,12,0)," ")</f>
        <v>хранить при температуре до 25°C, избегая попадания прямых солнечных лучей.
</v>
      </c>
      <c r="BR315" s="22">
        <v>15.0</v>
      </c>
      <c r="BS315" s="22" t="s">
        <v>139</v>
      </c>
      <c r="BT315" s="22"/>
      <c r="BU315" s="22"/>
      <c r="BV315" s="22"/>
      <c r="BW315" s="44" t="str">
        <f>IFERROR(VLOOKUP(C315,'спецификация'!B:AA,16,0)," ")</f>
        <v>https://docs.google.com/document/d/1rhXfUbCVrO68AnmBPDZuMpyWPz41hv1sx65orFor4pI/edit</v>
      </c>
      <c r="BX315" s="43"/>
      <c r="BY315" s="43"/>
      <c r="BZ315" s="45" t="str">
        <f>IFERROR(VLOOKUP(BF315,'спецификация'!D:Y,22,0)," ")</f>
        <v/>
      </c>
      <c r="CA315" s="43"/>
      <c r="CB315" s="43"/>
      <c r="CC315" s="43"/>
      <c r="CD315" s="43"/>
      <c r="CE315" s="43"/>
      <c r="CF315" s="43"/>
      <c r="CG315" s="49">
        <f>IFERROR(VLOOKUP(C315,CC!A:D,4,0)," ")</f>
        <v>97.4</v>
      </c>
      <c r="CH315" s="22" t="str">
        <f>IFERROR(VLOOKUP(C315,'спецификация'!B:AA,19,0)," ")</f>
        <v>ООО «Восток Плюс», 107113, г. Москва, Сокольническая пл., дом 4а, этаж 3, пом.IV, комн.11</v>
      </c>
      <c r="CI315" s="22"/>
      <c r="CJ315" s="43"/>
      <c r="CK315" s="22">
        <f>IFERROR(VLOOKUP(C315,CC!K:M,3,0)," ")</f>
        <v>45</v>
      </c>
      <c r="CL315" s="43"/>
      <c r="CM315" s="43"/>
      <c r="CN315" s="43"/>
      <c r="CO315" s="43"/>
      <c r="CP315" s="43"/>
      <c r="CQ315" s="43"/>
      <c r="CR315" s="43"/>
      <c r="CS315" s="43" t="b">
        <v>0</v>
      </c>
      <c r="CT315" s="43" t="b">
        <v>0</v>
      </c>
      <c r="CU315" s="43" t="b">
        <v>0</v>
      </c>
      <c r="CV315" s="43" t="b">
        <v>0</v>
      </c>
      <c r="CW315" s="43"/>
      <c r="CX315" s="43"/>
      <c r="CY315" s="43"/>
      <c r="CZ315" s="43"/>
      <c r="DA315" s="43"/>
      <c r="DB315" s="43"/>
      <c r="DC315" s="43"/>
      <c r="DD315" s="22">
        <f>IFERROR(VLOOKUP($C315,'Лист4'!$D:$AI,27,0)," ")</f>
        <v>10</v>
      </c>
      <c r="DE315" s="22">
        <f>IFERROR(VLOOKUP($C315,'Лист4'!$D:$AI,28,0)," ")</f>
        <v>2</v>
      </c>
      <c r="DF315" s="22">
        <f>IFERROR(VLOOKUP($C315,'Лист4'!$D:$AI,29,0)," ")</f>
        <v>10</v>
      </c>
      <c r="DG315" s="22">
        <f t="shared" si="3"/>
        <v>200</v>
      </c>
      <c r="DH315" s="22">
        <f>IFERROR(VLOOKUP($C315,'Лист4'!$D:$AI,32,0)," ")</f>
        <v>0.031</v>
      </c>
      <c r="DI315" s="22"/>
      <c r="DJ315" s="22"/>
      <c r="DK315" s="22"/>
      <c r="DL315" s="22"/>
      <c r="DM315" s="22"/>
      <c r="DN315" s="22"/>
      <c r="DO315" s="22"/>
      <c r="DP315" s="22"/>
      <c r="DQ315" s="22"/>
      <c r="DR315" s="22"/>
      <c r="DS315" s="22"/>
      <c r="DT315" s="22"/>
      <c r="DU315" s="22"/>
      <c r="DV315" s="22"/>
      <c r="DW315" s="22"/>
      <c r="DX315" s="22"/>
      <c r="DY315" s="22"/>
      <c r="DZ315" s="22"/>
      <c r="EA315" s="22"/>
      <c r="EB315" s="22"/>
      <c r="EC315" s="22"/>
      <c r="ED315" s="22"/>
      <c r="EE315" s="22"/>
      <c r="EF315" s="22"/>
      <c r="EG315" s="22"/>
      <c r="EH315" s="22"/>
      <c r="EI315" s="22"/>
      <c r="EJ315" s="22"/>
      <c r="EK315" s="22"/>
      <c r="EL315" s="22"/>
      <c r="EM315" s="43"/>
      <c r="EN315" s="43"/>
      <c r="EO315" s="43"/>
      <c r="EP315" s="43"/>
      <c r="EQ315" s="43"/>
      <c r="ER315" s="43"/>
      <c r="ES315" s="43"/>
      <c r="ET315" s="43"/>
      <c r="EU315" s="43"/>
      <c r="EV315" s="43"/>
      <c r="EW315" s="43"/>
      <c r="EX315" s="43"/>
      <c r="EY315" s="43"/>
      <c r="EZ315" s="43"/>
      <c r="FA315" s="43"/>
      <c r="FB315" s="43"/>
      <c r="FC315" s="43"/>
    </row>
    <row r="316" ht="18.0" customHeight="1">
      <c r="A316" s="2"/>
      <c r="B316" s="22" t="str">
        <f>IFERROR(VLOOKUP(C316,'Реестр'!C:AC,27,0)," ")</f>
        <v>Смарт-Сэйл</v>
      </c>
      <c r="C316" s="43" t="s">
        <v>4830</v>
      </c>
      <c r="D316" s="22" t="str">
        <f>IFERROR(VLOOKUP(C316,'Лист4'!D:P,13,0)," ")</f>
        <v>CPA</v>
      </c>
      <c r="E316" s="22" t="str">
        <f>IF(OR(ISERROR(VLOOKUP(C316,'Актуальность'!A:B,2,0)), VLOOKUP(C316,'Актуальность'!A:B,2,0)=""), "Актуальный", VLOOKUP(C316,'Актуальность'!A:B,2,0))</f>
        <v>Актуальный</v>
      </c>
      <c r="F316" s="43" t="str">
        <f>IFERROR(VLOOKUP(C316,'Актуальность'!A:C,3,0)," ")</f>
        <v/>
      </c>
      <c r="G316" s="43"/>
      <c r="H316" s="22" t="s">
        <v>2663</v>
      </c>
      <c r="I316" s="22" t="s">
        <v>3437</v>
      </c>
      <c r="J316" s="43"/>
      <c r="K316" s="43"/>
      <c r="L316" s="22" t="b">
        <f t="shared" ref="L316:R316" si="312">T316&lt;&gt;""</f>
        <v>1</v>
      </c>
      <c r="M316" s="22" t="b">
        <f t="shared" si="312"/>
        <v>1</v>
      </c>
      <c r="N316" s="22" t="b">
        <f t="shared" si="312"/>
        <v>1</v>
      </c>
      <c r="O316" s="22" t="b">
        <f t="shared" si="312"/>
        <v>1</v>
      </c>
      <c r="P316" s="22" t="b">
        <f t="shared" si="312"/>
        <v>0</v>
      </c>
      <c r="Q316" s="22" t="b">
        <f t="shared" si="312"/>
        <v>0</v>
      </c>
      <c r="R316" s="22" t="b">
        <f t="shared" si="312"/>
        <v>0</v>
      </c>
      <c r="S316" s="43"/>
      <c r="T316" s="43" t="str">
        <f>IFERROR(VLOOKUP( C316,'1С'!A:B,2,0)," ")</f>
        <v>CC101100402</v>
      </c>
      <c r="U316" s="22" t="str">
        <f>IFERROR(VLOOKUP(T316,'Лист4'!C:I,3,0)," ")</f>
        <v>vetonus</v>
      </c>
      <c r="V316" s="22" t="str">
        <f>IFERROR(VLOOKUP(T316,'Лист4'!C:I,4,0)," ")</f>
        <v>vetonus</v>
      </c>
      <c r="W316" s="22" t="str">
        <f>IFERROR(VLOOKUP(T316,'Лист4'!C:I,5,0)," ")</f>
        <v>vetonus</v>
      </c>
      <c r="X316" s="43" t="str">
        <f>IFERROR(VLOOKUP(T316,'Лист4'!C:I,7,0)," ")</f>
        <v/>
      </c>
      <c r="Y316" s="43" t="str">
        <f>IFERROR(VLOOKUP(T316,'Лист4'!C:I,6,0)," ")</f>
        <v/>
      </c>
      <c r="Z316" s="43"/>
      <c r="AA316" s="43"/>
      <c r="AB316" s="22">
        <v>1.448549E8</v>
      </c>
      <c r="AC316" s="22">
        <v>8.47511103E8</v>
      </c>
      <c r="AD316" s="22">
        <v>1.01961328078E11</v>
      </c>
      <c r="AE316" s="22"/>
      <c r="AF316" s="22"/>
      <c r="AG316" s="43"/>
      <c r="AH316" s="43"/>
      <c r="AI316" s="43" t="str">
        <f>IFERROR(VLOOKUP(T316,'1С'!B:C,2,0)," ")</f>
        <v>Крем от варикоза Ветонус, CPA, 30 мл</v>
      </c>
      <c r="AJ316" s="22" t="s">
        <v>4797</v>
      </c>
      <c r="AK316" s="22" t="s">
        <v>4798</v>
      </c>
      <c r="AL316" s="22" t="s">
        <v>4798</v>
      </c>
      <c r="AM316" s="43"/>
      <c r="AN316" s="43"/>
      <c r="AO316" s="43"/>
      <c r="AP316" s="43"/>
      <c r="AQ316" s="46" t="s">
        <v>4832</v>
      </c>
      <c r="AR316" s="46" t="s">
        <v>4833</v>
      </c>
      <c r="AS316" s="46" t="s">
        <v>4834</v>
      </c>
      <c r="AT316" s="43"/>
      <c r="AU316" s="43"/>
      <c r="AV316" s="43"/>
      <c r="AW316" s="43"/>
      <c r="AX316" s="22" t="s">
        <v>3445</v>
      </c>
      <c r="AY316" s="22" t="s">
        <v>4798</v>
      </c>
      <c r="AZ316" s="22" t="s">
        <v>2672</v>
      </c>
      <c r="BA316" s="43"/>
      <c r="BB316" s="43"/>
      <c r="BC316" s="43"/>
      <c r="BD316" s="43"/>
      <c r="BE316" s="43"/>
      <c r="BF316" s="22">
        <f>IFERROR(VLOOKUP(C316,'спецификация'!B:D,3,0)," ")</f>
        <v>4627144543031</v>
      </c>
      <c r="BG316" s="22">
        <v>3.30499E9</v>
      </c>
      <c r="BH316" s="22" t="str">
        <f>IFERROR(VLOOKUP(C316,'спецификация'!B:AA,5,0)," ")</f>
        <v>ЕАЭС N RU Д-RU.PA08.B.30783/22 от 17.11.2022 до 16.11.2027</v>
      </c>
      <c r="BI316" s="22"/>
      <c r="BJ316" s="22" t="str">
        <f>IFERROR(VLOOKUP(C316,'спецификация'!B:AA,6,0)," ")</f>
        <v/>
      </c>
      <c r="BK316" s="43"/>
      <c r="BL316" s="43"/>
      <c r="BM316" s="22" t="str">
        <f>IFERROR(VLOOKUP(BF316,'спецификация'!D:H,5,0)," ")</f>
        <v>вода, гирудин, экстракт арники, экстракт трехцветной фиалки, донник лекарственный, экстракт липы, экстракт календулы, экстракт каштана, корень солодки, троксерутин, карбомер, тэа, консервант.</v>
      </c>
      <c r="BN316" s="43"/>
      <c r="BO316" s="22" t="str">
        <f>IFERROR(VLOOKUP(C316,'спецификация'!B:AA,10,0)," ")</f>
        <v/>
      </c>
      <c r="BP316" s="43" t="str">
        <f>IFERROR(VLOOKUP(C316,'спецификация'!B:AA,11,0)," ")</f>
        <v>индивидуальная непереносимость компонентов продукта, беременность, кормление грудью. </v>
      </c>
      <c r="BQ316" s="22" t="str">
        <f>IFERROR(VLOOKUP(C316,'спецификация'!B:AA,12,0)," ")</f>
        <v>хранить в оригинальной упаковке, в защищенном от прямых солнечных лучей и недоступном для детей месте при температуре не выше 25°С.</v>
      </c>
      <c r="BR316" s="22">
        <v>30.0</v>
      </c>
      <c r="BS316" s="22" t="s">
        <v>139</v>
      </c>
      <c r="BT316" s="22"/>
      <c r="BU316" s="22"/>
      <c r="BV316" s="22"/>
      <c r="BW316" s="44" t="str">
        <f>IFERROR(VLOOKUP(C316,'спецификация'!B:AA,16,0)," ")</f>
        <v>https://drive.google.com/drive/folders/1QTaszo4g8yN64w1FPvJn0dZJ05wgOruc</v>
      </c>
      <c r="BX316" s="43"/>
      <c r="BY316" s="43"/>
      <c r="BZ316" s="45" t="str">
        <f>IFERROR(VLOOKUP(BF316,'спецификация'!D:Y,22,0)," ")</f>
        <v/>
      </c>
      <c r="CA316" s="43"/>
      <c r="CB316" s="43"/>
      <c r="CC316" s="43"/>
      <c r="CD316" s="43"/>
      <c r="CE316" s="43"/>
      <c r="CF316" s="43"/>
      <c r="CG316" s="49">
        <f>IFERROR(VLOOKUP(C316,CC!A:D,4,0)," ")</f>
        <v>102.6</v>
      </c>
      <c r="CH316" s="22" t="str">
        <f>IFERROR(VLOOKUP(C316,'спецификация'!B:AA,19,0)," ")</f>
        <v>ООО «Восток Плюс», 107113, г. Москва, Сокольническая пл., дом 4а, этаж 3. </v>
      </c>
      <c r="CI316" s="22"/>
      <c r="CJ316" s="43"/>
      <c r="CK316" s="22">
        <f>IFERROR(VLOOKUP(C316,CC!K:M,3,0)," ")</f>
        <v>45</v>
      </c>
      <c r="CL316" s="43"/>
      <c r="CM316" s="43"/>
      <c r="CN316" s="43"/>
      <c r="CO316" s="43"/>
      <c r="CP316" s="43"/>
      <c r="CQ316" s="43"/>
      <c r="CR316" s="43"/>
      <c r="CS316" s="43" t="b">
        <v>0</v>
      </c>
      <c r="CT316" s="43" t="b">
        <v>0</v>
      </c>
      <c r="CU316" s="43" t="b">
        <v>0</v>
      </c>
      <c r="CV316" s="43" t="b">
        <v>0</v>
      </c>
      <c r="CW316" s="43"/>
      <c r="CX316" s="43"/>
      <c r="CY316" s="43"/>
      <c r="CZ316" s="43"/>
      <c r="DA316" s="43"/>
      <c r="DB316" s="43"/>
      <c r="DC316" s="43"/>
      <c r="DD316" s="22">
        <f>IFERROR(VLOOKUP($C316,'Лист4'!$D:$AI,27,0)," ")</f>
        <v>6</v>
      </c>
      <c r="DE316" s="22">
        <f>IFERROR(VLOOKUP($C316,'Лист4'!$D:$AI,28,0)," ")</f>
        <v>14</v>
      </c>
      <c r="DF316" s="22">
        <f>IFERROR(VLOOKUP($C316,'Лист4'!$D:$AI,29,0)," ")</f>
        <v>6</v>
      </c>
      <c r="DG316" s="22">
        <f t="shared" si="3"/>
        <v>504</v>
      </c>
      <c r="DH316" s="22">
        <f>IFERROR(VLOOKUP($C316,'Лист4'!$D:$AI,32,0)," ")</f>
        <v>0.04</v>
      </c>
      <c r="DI316" s="22"/>
      <c r="DJ316" s="22"/>
      <c r="DK316" s="22"/>
      <c r="DL316" s="22"/>
      <c r="DM316" s="22"/>
      <c r="DN316" s="22"/>
      <c r="DO316" s="22"/>
      <c r="DP316" s="22"/>
      <c r="DQ316" s="22"/>
      <c r="DR316" s="22"/>
      <c r="DS316" s="22"/>
      <c r="DT316" s="22"/>
      <c r="DU316" s="22"/>
      <c r="DV316" s="22"/>
      <c r="DW316" s="22"/>
      <c r="DX316" s="22"/>
      <c r="DY316" s="22"/>
      <c r="DZ316" s="22"/>
      <c r="EA316" s="22"/>
      <c r="EB316" s="22"/>
      <c r="EC316" s="22"/>
      <c r="ED316" s="22"/>
      <c r="EE316" s="22"/>
      <c r="EF316" s="22"/>
      <c r="EG316" s="22"/>
      <c r="EH316" s="22"/>
      <c r="EI316" s="22"/>
      <c r="EJ316" s="22"/>
      <c r="EK316" s="22"/>
      <c r="EL316" s="22"/>
      <c r="EM316" s="43"/>
      <c r="EN316" s="43"/>
      <c r="EO316" s="43"/>
      <c r="EP316" s="43"/>
      <c r="EQ316" s="43"/>
      <c r="ER316" s="43"/>
      <c r="ES316" s="43"/>
      <c r="ET316" s="43"/>
      <c r="EU316" s="43"/>
      <c r="EV316" s="43"/>
      <c r="EW316" s="43"/>
      <c r="EX316" s="43"/>
      <c r="EY316" s="43"/>
      <c r="EZ316" s="43"/>
      <c r="FA316" s="43"/>
      <c r="FB316" s="43"/>
      <c r="FC316" s="43"/>
    </row>
    <row r="317" ht="18.0" customHeight="1">
      <c r="A317" s="2"/>
      <c r="B317" s="22" t="str">
        <f>IFERROR(VLOOKUP(C317,'Реестр'!C:AC,27,0)," ")</f>
        <v>Смарт-Сэйл</v>
      </c>
      <c r="C317" s="43" t="s">
        <v>4836</v>
      </c>
      <c r="D317" s="22" t="str">
        <f>IFERROR(VLOOKUP(C317,'Лист4'!D:P,13,0)," ")</f>
        <v>CPA</v>
      </c>
      <c r="E317" s="22" t="str">
        <f>IF(OR(ISERROR(VLOOKUP(C317,'Актуальность'!A:B,2,0)), VLOOKUP(C317,'Актуальность'!A:B,2,0)=""), "Актуальный", VLOOKUP(C317,'Актуальность'!A:B,2,0))</f>
        <v>Актуальный</v>
      </c>
      <c r="F317" s="43" t="str">
        <f>IFERROR(VLOOKUP(C317,'Актуальность'!A:C,3,0)," ")</f>
        <v/>
      </c>
      <c r="G317" s="43"/>
      <c r="H317" s="22" t="s">
        <v>2663</v>
      </c>
      <c r="I317" s="22" t="s">
        <v>2718</v>
      </c>
      <c r="J317" s="43"/>
      <c r="K317" s="43"/>
      <c r="L317" s="22" t="b">
        <f t="shared" ref="L317:R317" si="313">T317&lt;&gt;""</f>
        <v>1</v>
      </c>
      <c r="M317" s="22" t="b">
        <f t="shared" si="313"/>
        <v>1</v>
      </c>
      <c r="N317" s="22" t="b">
        <f t="shared" si="313"/>
        <v>1</v>
      </c>
      <c r="O317" s="22" t="b">
        <f t="shared" si="313"/>
        <v>1</v>
      </c>
      <c r="P317" s="22" t="b">
        <f t="shared" si="313"/>
        <v>0</v>
      </c>
      <c r="Q317" s="22" t="b">
        <f t="shared" si="313"/>
        <v>0</v>
      </c>
      <c r="R317" s="22" t="b">
        <f t="shared" si="313"/>
        <v>0</v>
      </c>
      <c r="S317" s="43"/>
      <c r="T317" s="43" t="str">
        <f>IFERROR(VLOOKUP( C317,'1С'!A:B,2,0)," ")</f>
        <v>CO101100451</v>
      </c>
      <c r="U317" s="22" t="str">
        <f>IFERROR(VLOOKUP(T317,'Лист4'!C:I,3,0)," ")</f>
        <v>brutalax</v>
      </c>
      <c r="V317" s="22" t="str">
        <f>IFERROR(VLOOKUP(T317,'Лист4'!C:I,4,0)," ")</f>
        <v>brutalax</v>
      </c>
      <c r="W317" s="22" t="str">
        <f>IFERROR(VLOOKUP(T317,'Лист4'!C:I,5,0)," ")</f>
        <v>brutalax</v>
      </c>
      <c r="X317" s="43" t="str">
        <f>IFERROR(VLOOKUP(T317,'Лист4'!C:I,7,0)," ")</f>
        <v/>
      </c>
      <c r="Y317" s="43" t="str">
        <f>IFERROR(VLOOKUP(T317,'Лист4'!C:I,6,0)," ")</f>
        <v/>
      </c>
      <c r="Z317" s="43"/>
      <c r="AA317" s="43"/>
      <c r="AB317" s="22">
        <v>4.1656854E7</v>
      </c>
      <c r="AC317" s="22">
        <v>3.56313449E8</v>
      </c>
      <c r="AD317" s="22">
        <v>1.02200689078E11</v>
      </c>
      <c r="AE317" s="22"/>
      <c r="AF317" s="22"/>
      <c r="AG317" s="43"/>
      <c r="AH317" s="43"/>
      <c r="AI317" s="43" t="str">
        <f>IFERROR(VLOOKUP(T317,'1С'!B:C,2,0)," ")</f>
        <v>Пищевая добавка Бруталакс, CPA, 20 капсул</v>
      </c>
      <c r="AJ317" s="22" t="s">
        <v>4839</v>
      </c>
      <c r="AK317" s="22" t="s">
        <v>4840</v>
      </c>
      <c r="AL317" s="22" t="s">
        <v>4841</v>
      </c>
      <c r="AM317" s="43"/>
      <c r="AN317" s="43"/>
      <c r="AO317" s="43"/>
      <c r="AP317" s="43"/>
      <c r="AQ317" s="46" t="s">
        <v>4842</v>
      </c>
      <c r="AR317" s="46" t="s">
        <v>4843</v>
      </c>
      <c r="AS317" s="46" t="s">
        <v>4844</v>
      </c>
      <c r="AT317" s="43"/>
      <c r="AU317" s="43"/>
      <c r="AV317" s="43"/>
      <c r="AW317" s="43"/>
      <c r="AX317" s="22" t="s">
        <v>4845</v>
      </c>
      <c r="AY317" s="22" t="s">
        <v>4840</v>
      </c>
      <c r="AZ317" s="22" t="s">
        <v>2692</v>
      </c>
      <c r="BA317" s="43"/>
      <c r="BB317" s="43"/>
      <c r="BC317" s="43"/>
      <c r="BD317" s="43"/>
      <c r="BE317" s="43"/>
      <c r="BF317" s="22">
        <f>IFERROR(VLOOKUP(C317,'спецификация'!B:D,3,0)," ")</f>
        <v>4631159687796</v>
      </c>
      <c r="BG317" s="22">
        <v>2.106909809E9</v>
      </c>
      <c r="BH317" s="22" t="str">
        <f>IFERROR(VLOOKUP(C317,'спецификация'!B:AA,5,0)," ")</f>
        <v>ЕАЭС N RU Д-RU.PA01.B.93743/21 от 28.09.2021 до 21.09.2026</v>
      </c>
      <c r="BI317" s="22"/>
      <c r="BJ317" s="22" t="str">
        <f>IFERROR(VLOOKUP(C317,'спецификация'!B:AA,6,0)," ")</f>
        <v/>
      </c>
      <c r="BK317" s="43"/>
      <c r="BL317" s="43"/>
      <c r="BM317" s="22" t="str">
        <f>IFERROR(VLOOKUP(BF317,'спецификация'!D:H,5,0)," ")</f>
        <v>экстракты: сабаль пальметто, йохимбе, африканской сливы (кора дерева), спаржи, можжевельника, тыквы, имбиря, сельдерея,  кипрея, лапчатки и розмарина; ацетат цинка, крахмал, тальк.</v>
      </c>
      <c r="BN317" s="43"/>
      <c r="BO317" s="22" t="str">
        <f>IFERROR(VLOOKUP(C317,'спецификация'!B:AA,10,0)," ")</f>
        <v/>
      </c>
      <c r="BP317" s="43" t="str">
        <f>IFERROR(VLOOKUP(C317,'спецификация'!B:AA,11,0),"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17" s="22" t="str">
        <f>IFERROR(VLOOKUP(C317,'спецификация'!B:AA,12,0)," ")</f>
        <v> хранить при температуре до 25°C, избегая попадания прямых солнечных лучей.
</v>
      </c>
      <c r="BR317" s="22">
        <v>20.0</v>
      </c>
      <c r="BS317" s="22" t="s">
        <v>492</v>
      </c>
      <c r="BT317" s="22"/>
      <c r="BU317" s="22"/>
      <c r="BV317" s="22"/>
      <c r="BW317" s="44" t="str">
        <f>IFERROR(VLOOKUP(C317,'спецификация'!B:AA,16,0)," ")</f>
        <v>https://docs.google.com/document/d/1GCvu-WMehT_cE-J6S0RnKmkGP4601I6OdJob7BBlPSA/edit</v>
      </c>
      <c r="BX317" s="43"/>
      <c r="BY317" s="43"/>
      <c r="BZ317" s="45" t="str">
        <f>IFERROR(VLOOKUP(BF317,'спецификация'!D:Y,22,0)," ")</f>
        <v/>
      </c>
      <c r="CA317" s="43"/>
      <c r="CB317" s="43"/>
      <c r="CC317" s="43"/>
      <c r="CD317" s="43"/>
      <c r="CE317" s="43"/>
      <c r="CF317" s="43"/>
      <c r="CG317" s="49">
        <f>IFERROR(VLOOKUP(C317,CC!A:D,4,0)," ")</f>
        <v>87</v>
      </c>
      <c r="CH317" s="22" t="str">
        <f>IFERROR(VLOOKUP(C317,'спецификация'!B:AA,19,0)," ")</f>
        <v>ООО «НОРДФАРМ», 214009, г.Смоленск, микрорайон Южный, дом 4, офис 4</v>
      </c>
      <c r="CI317" s="22"/>
      <c r="CJ317" s="43"/>
      <c r="CK317" s="22">
        <f>IFERROR(VLOOKUP(C317,CC!K:M,3,0)," ")</f>
        <v>90</v>
      </c>
      <c r="CL317" s="43"/>
      <c r="CM317" s="43"/>
      <c r="CN317" s="43"/>
      <c r="CO317" s="43"/>
      <c r="CP317" s="43"/>
      <c r="CQ317" s="43"/>
      <c r="CR317" s="43"/>
      <c r="CS317" s="43" t="b">
        <v>0</v>
      </c>
      <c r="CT317" s="43" t="b">
        <v>0</v>
      </c>
      <c r="CU317" s="43" t="b">
        <v>0</v>
      </c>
      <c r="CV317" s="43" t="b">
        <v>0</v>
      </c>
      <c r="CW317" s="43"/>
      <c r="CX317" s="43"/>
      <c r="CY317" s="43"/>
      <c r="CZ317" s="43"/>
      <c r="DA317" s="43"/>
      <c r="DB317" s="43"/>
      <c r="DC317" s="43"/>
      <c r="DD317" s="22">
        <f>IFERROR(VLOOKUP($C317,'Лист4'!$D:$AI,27,0)," ")</f>
        <v>11</v>
      </c>
      <c r="DE317" s="22">
        <f>IFERROR(VLOOKUP($C317,'Лист4'!$D:$AI,28,0)," ")</f>
        <v>3</v>
      </c>
      <c r="DF317" s="22">
        <f>IFERROR(VLOOKUP($C317,'Лист4'!$D:$AI,29,0)," ")</f>
        <v>11</v>
      </c>
      <c r="DG317" s="22">
        <f t="shared" si="3"/>
        <v>363</v>
      </c>
      <c r="DH317" s="22">
        <f>IFERROR(VLOOKUP($C317,'Лист4'!$D:$AI,32,0)," ")</f>
        <v>0.024</v>
      </c>
      <c r="DI317" s="22"/>
      <c r="DJ317" s="22"/>
      <c r="DK317" s="22"/>
      <c r="DL317" s="22"/>
      <c r="DM317" s="22"/>
      <c r="DN317" s="22"/>
      <c r="DO317" s="22"/>
      <c r="DP317" s="22"/>
      <c r="DQ317" s="22"/>
      <c r="DR317" s="22"/>
      <c r="DS317" s="22"/>
      <c r="DT317" s="22"/>
      <c r="DU317" s="22"/>
      <c r="DV317" s="22"/>
      <c r="DW317" s="22"/>
      <c r="DX317" s="22"/>
      <c r="DY317" s="22"/>
      <c r="DZ317" s="22"/>
      <c r="EA317" s="22"/>
      <c r="EB317" s="22"/>
      <c r="EC317" s="22"/>
      <c r="ED317" s="22"/>
      <c r="EE317" s="22"/>
      <c r="EF317" s="22"/>
      <c r="EG317" s="22"/>
      <c r="EH317" s="22"/>
      <c r="EI317" s="22"/>
      <c r="EJ317" s="22"/>
      <c r="EK317" s="22"/>
      <c r="EL317" s="22"/>
      <c r="EM317" s="43"/>
      <c r="EN317" s="43"/>
      <c r="EO317" s="43"/>
      <c r="EP317" s="43"/>
      <c r="EQ317" s="43"/>
      <c r="ER317" s="43"/>
      <c r="ES317" s="43"/>
      <c r="ET317" s="43"/>
      <c r="EU317" s="43"/>
      <c r="EV317" s="43"/>
      <c r="EW317" s="43"/>
      <c r="EX317" s="43"/>
      <c r="EY317" s="43"/>
      <c r="EZ317" s="43"/>
      <c r="FA317" s="43"/>
      <c r="FB317" s="43"/>
      <c r="FC317" s="43"/>
    </row>
    <row r="318" ht="18.0" customHeight="1">
      <c r="A318" s="2"/>
      <c r="B318" s="22" t="str">
        <f>IFERROR(VLOOKUP(C318,'Реестр'!C:AC,27,0)," ")</f>
        <v>Смарт-Сэйл</v>
      </c>
      <c r="C318" s="43" t="s">
        <v>4851</v>
      </c>
      <c r="D318" s="22" t="str">
        <f>IFERROR(VLOOKUP(C318,'Лист4'!D:P,13,0)," ")</f>
        <v>Алтея</v>
      </c>
      <c r="E318" s="22" t="str">
        <f>IF(OR(ISERROR(VLOOKUP(C318,'Актуальность'!A:B,2,0)), VLOOKUP(C318,'Актуальность'!A:B,2,0)=""), "Актуальный", VLOOKUP(C318,'Актуальность'!A:B,2,0))</f>
        <v>Актуальный</v>
      </c>
      <c r="F318" s="43" t="str">
        <f>IFERROR(VLOOKUP(C318,'Актуальность'!A:C,3,0)," ")</f>
        <v>КЗ</v>
      </c>
      <c r="G318" s="43"/>
      <c r="H318" s="22" t="s">
        <v>361</v>
      </c>
      <c r="I318" s="22" t="s">
        <v>1557</v>
      </c>
      <c r="J318" s="43"/>
      <c r="K318" s="43"/>
      <c r="L318" s="22" t="b">
        <f t="shared" ref="L318:R318" si="314">T318&lt;&gt;""</f>
        <v>1</v>
      </c>
      <c r="M318" s="22" t="b">
        <f t="shared" si="314"/>
        <v>1</v>
      </c>
      <c r="N318" s="22" t="b">
        <f t="shared" si="314"/>
        <v>1</v>
      </c>
      <c r="O318" s="22" t="b">
        <f t="shared" si="314"/>
        <v>1</v>
      </c>
      <c r="P318" s="22" t="b">
        <f t="shared" si="314"/>
        <v>0</v>
      </c>
      <c r="Q318" s="22" t="b">
        <f t="shared" si="314"/>
        <v>0</v>
      </c>
      <c r="R318" s="22" t="b">
        <f t="shared" si="314"/>
        <v>0</v>
      </c>
      <c r="S318" s="43"/>
      <c r="T318" s="43" t="str">
        <f>IFERROR(VLOOKUP( C318,'1С'!A:B,2,0)," ")</f>
        <v>AB101100411</v>
      </c>
      <c r="U318" s="22" t="str">
        <f>IFERROR(VLOOKUP(T318,'Лист4'!C:I,3,0)," ")</f>
        <v>relaksinol_BAD_60caps</v>
      </c>
      <c r="V318" s="22" t="str">
        <f>IFERROR(VLOOKUP(T318,'Лист4'!C:I,4,0)," ")</f>
        <v>relaksinol_BAD_60caps</v>
      </c>
      <c r="W318" s="22" t="str">
        <f>IFERROR(VLOOKUP(T318,'Лист4'!C:I,5,0)," ")</f>
        <v>relaksinol_BAD_60caps</v>
      </c>
      <c r="X318" s="43" t="str">
        <f>IFERROR(VLOOKUP(T318,'Лист4'!C:I,7,0)," ")</f>
        <v/>
      </c>
      <c r="Y318" s="43" t="str">
        <f>IFERROR(VLOOKUP(T318,'Лист4'!C:I,6,0)," ")</f>
        <v/>
      </c>
      <c r="Z318" s="43"/>
      <c r="AA318" s="43"/>
      <c r="AB318" s="22">
        <v>2.44342184E8</v>
      </c>
      <c r="AC318" s="22">
        <v>1.629559728E9</v>
      </c>
      <c r="AD318" s="22">
        <v>1.03515407818E11</v>
      </c>
      <c r="AE318" s="22"/>
      <c r="AF318" s="22"/>
      <c r="AG318" s="43"/>
      <c r="AH318" s="43"/>
      <c r="AI318" s="43" t="str">
        <f>IFERROR(VLOOKUP(T318,'1С'!B:C,2,0)," ")</f>
        <v>БАД Релаксинол 400 мг, Алтея, 60 капсул</v>
      </c>
      <c r="AJ318" s="22" t="s">
        <v>4854</v>
      </c>
      <c r="AK318" s="22" t="s">
        <v>4855</v>
      </c>
      <c r="AL318" s="22" t="s">
        <v>4856</v>
      </c>
      <c r="AM318" s="43"/>
      <c r="AN318" s="43"/>
      <c r="AO318" s="43"/>
      <c r="AP318" s="43"/>
      <c r="AQ318" s="46" t="s">
        <v>4857</v>
      </c>
      <c r="AR318" s="46" t="s">
        <v>4858</v>
      </c>
      <c r="AS318" s="46" t="s">
        <v>4859</v>
      </c>
      <c r="AT318" s="43"/>
      <c r="AU318" s="43"/>
      <c r="AV318" s="43"/>
      <c r="AW318" s="43"/>
      <c r="AX318" s="22" t="s">
        <v>649</v>
      </c>
      <c r="AY318" s="22" t="s">
        <v>4855</v>
      </c>
      <c r="AZ318" s="22" t="s">
        <v>372</v>
      </c>
      <c r="BA318" s="43"/>
      <c r="BB318" s="43"/>
      <c r="BC318" s="43"/>
      <c r="BD318" s="43"/>
      <c r="BE318" s="43"/>
      <c r="BF318" s="22">
        <f>IFERROR(VLOOKUP(C318,'спецификация'!B:D,3,0)," ")</f>
        <v>4610030631738</v>
      </c>
      <c r="BG318" s="22">
        <v>2.106909803E9</v>
      </c>
      <c r="BH318" s="22" t="str">
        <f>IFERROR(VLOOKUP(C318,'спецификация'!B:AA,5,0)," ")</f>
        <v/>
      </c>
      <c r="BI318" s="22"/>
      <c r="BJ318" s="22" t="str">
        <f>IFERROR(VLOOKUP(C318,'спецификация'!B:AA,6,0)," ")</f>
        <v>да</v>
      </c>
      <c r="BK318" s="43"/>
      <c r="BL318" s="43"/>
      <c r="BM318" s="22" t="str">
        <f>IFERROR(VLOOKUP(BF318,'спецификация'!D:H,5,0)," ")</f>
        <v>магния цитрат, экстракт лаванды, носитель: целлюлоза микрокристаллическая (Е460), агент антислеживающий: магниевая соль стеариновой кислоты (Е470), агент антислеживающий: диоксид кремния аморфный (Е551), витамин В6 (пиридоксина гидрохлорид), желатин, краситель: оксид цинка
*- компонент оболочки
</v>
      </c>
      <c r="BN318" s="43"/>
      <c r="BO318" s="22" t="str">
        <f>IFERROR(VLOOKUP(C318,'спецификация'!B:AA,10,0)," ")</f>
        <v>взрослым по 1 капсуле 2 раза в день во время еды.</v>
      </c>
      <c r="BP318" s="43" t="str">
        <f>IFERROR(VLOOKUP(C318,'спецификация'!B:AA,11,0)," ")</f>
        <v>индивидуальная непереносимость компонентов продукта, беременность, кормление грудью.
Перед применением рекомендуется проконсультироваться с врачом.
</v>
      </c>
      <c r="BQ318" s="22" t="str">
        <f>IFERROR(VLOOKUP(C318,'спецификация'!B:AA,12,0)," ")</f>
        <v>хранить в сухом, защищенном от прямых солнечных лучей и недоступном для детей месте при температуре не выше +25 °С.  </v>
      </c>
      <c r="BR318" s="22">
        <v>60.0</v>
      </c>
      <c r="BS318" s="22" t="s">
        <v>492</v>
      </c>
      <c r="BT318" s="22"/>
      <c r="BU318" s="22"/>
      <c r="BV318" s="22" t="s">
        <v>307</v>
      </c>
      <c r="BW318" s="44" t="str">
        <f>IFERROR(VLOOKUP(C318,'спецификация'!B:AA,16,0)," ")</f>
        <v>https://docs.google.com/document/d/1yOI53bYFXaQXua0VT8h9kH1v_X9Vnzyb/edit</v>
      </c>
      <c r="BX318" s="43"/>
      <c r="BY318" s="43"/>
      <c r="BZ318" s="45" t="str">
        <f>IFERROR(VLOOKUP(BF318,'спецификация'!D:Y,22,0)," ")</f>
        <v/>
      </c>
      <c r="CA318" s="43"/>
      <c r="CB318" s="43"/>
      <c r="CC318" s="43"/>
      <c r="CD318" s="43"/>
      <c r="CE318" s="43"/>
      <c r="CF318" s="43"/>
      <c r="CG318" s="49">
        <f>IFERROR(VLOOKUP(C318,CC!A:D,4,0)," ")</f>
        <v>183.7</v>
      </c>
      <c r="CH318" s="22" t="str">
        <f>IFERROR(VLOOKUP(C318,'спецификация'!B:AA,19,0)," ")</f>
        <v>ООО «Химфармконтракт», 129329, Россия, г. Москва, вн. тер г., Муниципальный округ Свиблово, ул. Кольская, д.1, этаж/помещение 6/I, ком.10. 
</v>
      </c>
      <c r="CI318" s="22"/>
      <c r="CJ318" s="22" t="s">
        <v>805</v>
      </c>
      <c r="CK318" s="22">
        <f>IFERROR(VLOOKUP(C318,CC!K:M,3,0)," ")</f>
        <v>90</v>
      </c>
      <c r="CL318" s="43"/>
      <c r="CM318" s="43"/>
      <c r="CN318" s="43"/>
      <c r="CO318" s="43"/>
      <c r="CP318" s="43"/>
      <c r="CQ318" s="43"/>
      <c r="CR318" s="43"/>
      <c r="CS318" s="43" t="b">
        <v>0</v>
      </c>
      <c r="CT318" s="43" t="b">
        <v>0</v>
      </c>
      <c r="CU318" s="43" t="b">
        <v>0</v>
      </c>
      <c r="CV318" s="43" t="b">
        <v>0</v>
      </c>
      <c r="CW318" s="43"/>
      <c r="CX318" s="43"/>
      <c r="CY318" s="43"/>
      <c r="CZ318" s="43"/>
      <c r="DA318" s="43"/>
      <c r="DB318" s="43"/>
      <c r="DC318" s="43"/>
      <c r="DD318" s="22">
        <f>IFERROR(VLOOKUP($C318,'Лист4'!$D:$AI,27,0)," ")</f>
        <v>4</v>
      </c>
      <c r="DE318" s="22">
        <f>IFERROR(VLOOKUP($C318,'Лист4'!$D:$AI,28,0)," ")</f>
        <v>9</v>
      </c>
      <c r="DF318" s="22">
        <f>IFERROR(VLOOKUP($C318,'Лист4'!$D:$AI,29,0)," ")</f>
        <v>4</v>
      </c>
      <c r="DG318" s="22">
        <f t="shared" si="3"/>
        <v>144</v>
      </c>
      <c r="DH318" s="22">
        <f>IFERROR(VLOOKUP($C318,'Лист4'!$D:$AI,32,0)," ")</f>
        <v>0.03</v>
      </c>
      <c r="DI318" s="22"/>
      <c r="DJ318" s="22"/>
      <c r="DK318" s="22"/>
      <c r="DL318" s="22"/>
      <c r="DM318" s="22"/>
      <c r="DN318" s="22"/>
      <c r="DO318" s="22"/>
      <c r="DP318" s="22"/>
      <c r="DQ318" s="22"/>
      <c r="DR318" s="22"/>
      <c r="DS318" s="22"/>
      <c r="DT318" s="22"/>
      <c r="DU318" s="22"/>
      <c r="DV318" s="22"/>
      <c r="DW318" s="22"/>
      <c r="DX318" s="22"/>
      <c r="DY318" s="22"/>
      <c r="DZ318" s="22"/>
      <c r="EA318" s="22"/>
      <c r="EB318" s="22"/>
      <c r="EC318" s="22"/>
      <c r="ED318" s="22"/>
      <c r="EE318" s="22"/>
      <c r="EF318" s="22"/>
      <c r="EG318" s="22"/>
      <c r="EH318" s="22"/>
      <c r="EI318" s="22"/>
      <c r="EJ318" s="22"/>
      <c r="EK318" s="22"/>
      <c r="EL318" s="22"/>
      <c r="EM318" s="43"/>
      <c r="EN318" s="43"/>
      <c r="EO318" s="43"/>
      <c r="EP318" s="43"/>
      <c r="EQ318" s="43"/>
      <c r="ER318" s="43"/>
      <c r="ES318" s="43"/>
      <c r="ET318" s="43"/>
      <c r="EU318" s="43"/>
      <c r="EV318" s="43"/>
      <c r="EW318" s="43"/>
      <c r="EX318" s="43"/>
      <c r="EY318" s="43"/>
      <c r="EZ318" s="43"/>
      <c r="FA318" s="43"/>
      <c r="FB318" s="43"/>
      <c r="FC318" s="43"/>
    </row>
    <row r="319" ht="18.0" customHeight="1">
      <c r="A319" s="2"/>
      <c r="B319" s="22" t="str">
        <f>IFERROR(VLOOKUP(C319,'Реестр'!C:AC,27,0)," ")</f>
        <v>Смарт-Сэйл</v>
      </c>
      <c r="C319" s="43" t="s">
        <v>5546</v>
      </c>
      <c r="D319" s="22" t="str">
        <f>IFERROR(VLOOKUP(C319,'Лист4'!D:P,13,0)," ")</f>
        <v>Алтея</v>
      </c>
      <c r="E319" s="22" t="str">
        <f>IF(OR(ISERROR(VLOOKUP(C319,'Актуальность'!A:B,2,0)), VLOOKUP(C319,'Актуальность'!A:B,2,0)=""), "Актуальный", VLOOKUP(C319,'Актуальность'!A:B,2,0))</f>
        <v>Вывод</v>
      </c>
      <c r="F319" s="43" t="str">
        <f>IFERROR(VLOOKUP(C319,'Актуальность'!A:C,3,0)," ")</f>
        <v>Высокий себес / плохой запуск</v>
      </c>
      <c r="G319" s="43"/>
      <c r="H319" s="22" t="s">
        <v>2743</v>
      </c>
      <c r="I319" s="22" t="s">
        <v>565</v>
      </c>
      <c r="J319" s="43"/>
      <c r="K319" s="43"/>
      <c r="L319" s="22" t="b">
        <f t="shared" ref="L319:R319" si="315">T319&lt;&gt;""</f>
        <v>1</v>
      </c>
      <c r="M319" s="22" t="b">
        <f t="shared" si="315"/>
        <v>1</v>
      </c>
      <c r="N319" s="22" t="b">
        <f t="shared" si="315"/>
        <v>1</v>
      </c>
      <c r="O319" s="22" t="b">
        <f t="shared" si="315"/>
        <v>1</v>
      </c>
      <c r="P319" s="22" t="b">
        <f t="shared" si="315"/>
        <v>1</v>
      </c>
      <c r="Q319" s="22" t="b">
        <f t="shared" si="315"/>
        <v>1</v>
      </c>
      <c r="R319" s="22" t="b">
        <f t="shared" si="315"/>
        <v>0</v>
      </c>
      <c r="S319" s="43"/>
      <c r="T319" s="43" t="str">
        <f>IFERROR(VLOOKUP( C319,'1С'!A:B,2,0)," ")</f>
        <v>AC101100422</v>
      </c>
      <c r="U319" s="22" t="str">
        <f>IFERROR(VLOOKUP(T319,'Лист4'!C:I,3,0)," ")</f>
        <v>gidrofilnoe_maslo_150ml</v>
      </c>
      <c r="V319" s="22" t="str">
        <f>IFERROR(VLOOKUP(T319,'Лист4'!C:I,4,0)," ")</f>
        <v>gidrofilnoe_maslo_150ml</v>
      </c>
      <c r="W319" s="22" t="str">
        <f>IFERROR(VLOOKUP(T319,'Лист4'!C:I,5,0)," ")</f>
        <v>gidrofilnoe_maslo_150ml</v>
      </c>
      <c r="X319" s="43" t="str">
        <f>IFERROR(VLOOKUP(T319,'Лист4'!C:I,7,0)," ")</f>
        <v>gidrofilnoe_maslo_150ml</v>
      </c>
      <c r="Y319" s="43" t="str">
        <f>IFERROR(VLOOKUP(T319,'Лист4'!C:I,6,0)," ")</f>
        <v>gidrofilnoe_maslo_150ml</v>
      </c>
      <c r="Z319" s="43"/>
      <c r="AA319" s="43"/>
      <c r="AB319" s="22">
        <v>2.2122964E8</v>
      </c>
      <c r="AC319" s="22">
        <v>1.526983919E9</v>
      </c>
      <c r="AD319" s="22">
        <v>1.03515417439E11</v>
      </c>
      <c r="AE319" s="22">
        <v>9.9000076222E10</v>
      </c>
      <c r="AF319" s="22" t="s">
        <v>6587</v>
      </c>
      <c r="AG319" s="43"/>
      <c r="AH319" s="43"/>
      <c r="AI319" s="43" t="str">
        <f>IFERROR(VLOOKUP(T319,'1С'!B:C,2,0)," ")</f>
        <v>Гидрофильное масло, Алтея, 150 мл</v>
      </c>
      <c r="AJ319" s="22" t="s">
        <v>6657</v>
      </c>
      <c r="AK319" s="22" t="s">
        <v>6588</v>
      </c>
      <c r="AL319" s="22" t="s">
        <v>6588</v>
      </c>
      <c r="AM319" s="22" t="s">
        <v>6658</v>
      </c>
      <c r="AN319" s="22" t="s">
        <v>6659</v>
      </c>
      <c r="AO319" s="43"/>
      <c r="AP319" s="43"/>
      <c r="AQ319" s="46" t="s">
        <v>6660</v>
      </c>
      <c r="AR319" s="46" t="s">
        <v>6661</v>
      </c>
      <c r="AS319" s="46" t="s">
        <v>6662</v>
      </c>
      <c r="AT319" s="46" t="s">
        <v>6663</v>
      </c>
      <c r="AU319" s="46" t="s">
        <v>6664</v>
      </c>
      <c r="AV319" s="43"/>
      <c r="AW319" s="43"/>
      <c r="AX319" s="22" t="s">
        <v>6235</v>
      </c>
      <c r="AY319" s="22" t="s">
        <v>6588</v>
      </c>
      <c r="AZ319" s="22" t="s">
        <v>3640</v>
      </c>
      <c r="BA319" s="22" t="s">
        <v>1447</v>
      </c>
      <c r="BB319" s="22" t="s">
        <v>6665</v>
      </c>
      <c r="BC319" s="43"/>
      <c r="BD319" s="43"/>
      <c r="BE319" s="43"/>
      <c r="BF319" s="22">
        <f>IFERROR(VLOOKUP(C319,'спецификация'!B:D,3,0)," ")</f>
        <v>4610172186202</v>
      </c>
      <c r="BG319" s="22">
        <v>3.30499E9</v>
      </c>
      <c r="BH319" s="22" t="str">
        <f>IFERROR(VLOOKUP(C319,'спецификация'!B:AA,5,0)," ")</f>
        <v/>
      </c>
      <c r="BI319" s="22"/>
      <c r="BJ319" s="22" t="str">
        <f>IFERROR(VLOOKUP(C319,'спецификация'!B:AA,6,0)," ")</f>
        <v>нет</v>
      </c>
      <c r="BK319" s="43"/>
      <c r="BL319" s="43"/>
      <c r="BM319" s="22" t="str">
        <f>IFERROR(VLOOKUP(BF319,'спецификация'!D:H,5,0)," ")</f>
        <v>HELIANTHUS ANNUUS (SUNFLOWER) SEED OIL, SORBETH-30 TETRAOLEATE, CAPRYLIC/CAPRIC TRIGLYCERIDE, ETHYLHEXYL PALMITATE, VITIS VINIFERA (GRAPE) SEED OIL, BUTYROSPERMUM PARKII (SHEA) BUTTER, LAVANDULA ANGUSTIFOLIA (LAVENDER) HERB OIL, TOCOPHEROL, BHT, LINALOOL, LIMONENE.</v>
      </c>
      <c r="BN319" s="43"/>
      <c r="BO319" s="22" t="str">
        <f>IFERROR(VLOOKUP(C319,'спецификация'!B:AA,10,0)," ")</f>
        <v>небольшое количество масла распределить между ладней. Нанести на сухую кожу лица. Эмульгировать масло водой. Сделать легкий массаж. Полностью смыть эмульсию с лица.</v>
      </c>
      <c r="BP319" s="43" t="str">
        <f>IFERROR(VLOOKUP(C319,'спецификация'!B:AA,11,0)," ")</f>
        <v>возможна индивидуальная непереносимость к отдельным компонентам, перед применением протестировать масло на небольшом участке кожи. При попадании масла в глаза, тщательно промойте большим количеством воды.</v>
      </c>
      <c r="BQ319" s="22" t="str">
        <f>IFERROR(VLOOKUP(C319,'спецификация'!B:AA,12,0)," ")</f>
        <v>: хранить в сухом недоступном для света месте при температуре от +5 до +25.</v>
      </c>
      <c r="BR319" s="22">
        <v>150.0</v>
      </c>
      <c r="BS319" s="22" t="s">
        <v>139</v>
      </c>
      <c r="BT319" s="22"/>
      <c r="BU319" s="22"/>
      <c r="BV319" s="22" t="s">
        <v>307</v>
      </c>
      <c r="BW319" s="44" t="str">
        <f>IFERROR(VLOOKUP(C319,'спецификация'!B:AA,16,0)," ")</f>
        <v>https://docs.google.com/document/d/1FQqlknbbu81zCEVfNfQ_0sM9nUjexgPt/edit</v>
      </c>
      <c r="BX319" s="43"/>
      <c r="BY319" s="43"/>
      <c r="BZ319" s="45" t="str">
        <f>IFERROR(VLOOKUP(BF319,'спецификация'!D:Y,22,0)," ")</f>
        <v/>
      </c>
      <c r="CA319" s="43"/>
      <c r="CB319" s="43"/>
      <c r="CC319" s="43"/>
      <c r="CD319" s="43"/>
      <c r="CE319" s="43"/>
      <c r="CF319" s="43"/>
      <c r="CG319" s="49">
        <f>IFERROR(VLOOKUP(C319,CC!A:D,4,0)," ")</f>
        <v>172.31</v>
      </c>
      <c r="CH319" s="22" t="str">
        <f>IFERROR(VLOOKUP(C319,'спецификация'!B:AA,19,0)," ")</f>
        <v>ООО "ДжиЭсЭС Косметикс"</v>
      </c>
      <c r="CI319" s="22"/>
      <c r="CJ319" s="22" t="s">
        <v>3178</v>
      </c>
      <c r="CK319" s="22">
        <f>IFERROR(VLOOKUP(C319,CC!K:M,3,0)," ")</f>
        <v>90</v>
      </c>
      <c r="CL319" s="43"/>
      <c r="CM319" s="43"/>
      <c r="CN319" s="43"/>
      <c r="CO319" s="43"/>
      <c r="CP319" s="43"/>
      <c r="CQ319" s="43"/>
      <c r="CR319" s="43"/>
      <c r="CS319" s="43" t="b">
        <v>0</v>
      </c>
      <c r="CT319" s="43" t="b">
        <v>0</v>
      </c>
      <c r="CU319" s="43" t="b">
        <v>0</v>
      </c>
      <c r="CV319" s="43" t="b">
        <v>0</v>
      </c>
      <c r="CW319" s="43"/>
      <c r="CX319" s="43"/>
      <c r="CY319" s="43"/>
      <c r="CZ319" s="43"/>
      <c r="DA319" s="43"/>
      <c r="DB319" s="43"/>
      <c r="DC319" s="43"/>
      <c r="DD319" s="22">
        <f>IFERROR(VLOOKUP($C319,'Лист4'!$D:$AI,27,0)," ")</f>
        <v>5</v>
      </c>
      <c r="DE319" s="22">
        <f>IFERROR(VLOOKUP($C319,'Лист4'!$D:$AI,28,0)," ")</f>
        <v>14</v>
      </c>
      <c r="DF319" s="22">
        <f>IFERROR(VLOOKUP($C319,'Лист4'!$D:$AI,29,0)," ")</f>
        <v>5</v>
      </c>
      <c r="DG319" s="22">
        <f t="shared" si="3"/>
        <v>350</v>
      </c>
      <c r="DH319" s="22">
        <f>IFERROR(VLOOKUP($C319,'Лист4'!$D:$AI,32,0)," ")</f>
        <v>0.164</v>
      </c>
      <c r="DI319" s="22"/>
      <c r="DJ319" s="22"/>
      <c r="DK319" s="22"/>
      <c r="DL319" s="22"/>
      <c r="DM319" s="22"/>
      <c r="DN319" s="22"/>
      <c r="DO319" s="22"/>
      <c r="DP319" s="22"/>
      <c r="DQ319" s="22"/>
      <c r="DR319" s="22"/>
      <c r="DS319" s="22"/>
      <c r="DT319" s="22"/>
      <c r="DU319" s="22"/>
      <c r="DV319" s="22"/>
      <c r="DW319" s="22"/>
      <c r="DX319" s="22"/>
      <c r="DY319" s="22"/>
      <c r="DZ319" s="22"/>
      <c r="EA319" s="22"/>
      <c r="EB319" s="22"/>
      <c r="EC319" s="22"/>
      <c r="ED319" s="22"/>
      <c r="EE319" s="22"/>
      <c r="EF319" s="22"/>
      <c r="EG319" s="22"/>
      <c r="EH319" s="22"/>
      <c r="EI319" s="22"/>
      <c r="EJ319" s="22"/>
      <c r="EK319" s="22"/>
      <c r="EL319" s="22"/>
      <c r="EM319" s="43"/>
      <c r="EN319" s="43"/>
      <c r="EO319" s="43"/>
      <c r="EP319" s="43"/>
      <c r="EQ319" s="43"/>
      <c r="ER319" s="43"/>
      <c r="ES319" s="43"/>
      <c r="ET319" s="43"/>
      <c r="EU319" s="43"/>
      <c r="EV319" s="43"/>
      <c r="EW319" s="43"/>
      <c r="EX319" s="43"/>
      <c r="EY319" s="43"/>
      <c r="EZ319" s="43"/>
      <c r="FA319" s="43"/>
      <c r="FB319" s="43"/>
      <c r="FC319" s="43"/>
    </row>
    <row r="320" ht="18.0" customHeight="1">
      <c r="A320" s="2"/>
      <c r="B320" s="22" t="str">
        <f>IFERROR(VLOOKUP(C320,'Реестр'!C:AC,27,0)," ")</f>
        <v>Смарт-Сэйл</v>
      </c>
      <c r="C320" s="43" t="s">
        <v>4863</v>
      </c>
      <c r="D320" s="22" t="str">
        <f>IFERROR(VLOOKUP(C320,'Лист4'!D:P,13,0)," ")</f>
        <v>CPA</v>
      </c>
      <c r="E320" s="22" t="str">
        <f>IF(OR(ISERROR(VLOOKUP(C320,'Актуальность'!A:B,2,0)), VLOOKUP(C320,'Актуальность'!A:B,2,0)=""), "Актуальный", VLOOKUP(C320,'Актуальность'!A:B,2,0))</f>
        <v>Актуальный</v>
      </c>
      <c r="F320" s="43" t="str">
        <f>IFERROR(VLOOKUP(C320,'Актуальность'!A:C,3,0)," ")</f>
        <v/>
      </c>
      <c r="G320" s="43"/>
      <c r="H320" s="22" t="s">
        <v>2663</v>
      </c>
      <c r="I320" s="22" t="s">
        <v>3888</v>
      </c>
      <c r="J320" s="43"/>
      <c r="K320" s="43"/>
      <c r="L320" s="22" t="b">
        <f t="shared" ref="L320:R320" si="316">T320&lt;&gt;""</f>
        <v>1</v>
      </c>
      <c r="M320" s="22" t="b">
        <f t="shared" si="316"/>
        <v>1</v>
      </c>
      <c r="N320" s="22" t="b">
        <f t="shared" si="316"/>
        <v>1</v>
      </c>
      <c r="O320" s="22" t="b">
        <f t="shared" si="316"/>
        <v>1</v>
      </c>
      <c r="P320" s="22" t="b">
        <f t="shared" si="316"/>
        <v>0</v>
      </c>
      <c r="Q320" s="22" t="b">
        <f t="shared" si="316"/>
        <v>0</v>
      </c>
      <c r="R320" s="22" t="b">
        <f t="shared" si="316"/>
        <v>0</v>
      </c>
      <c r="S320" s="43"/>
      <c r="T320" s="43" t="str">
        <f>IFERROR(VLOOKUP( C320,'1С'!A:B,2,0)," ")</f>
        <v>CO101100400</v>
      </c>
      <c r="U320" s="22" t="str">
        <f>IFERROR(VLOOKUP(T320,'Лист4'!C:I,3,0)," ")</f>
        <v>trezor</v>
      </c>
      <c r="V320" s="22" t="str">
        <f>IFERROR(VLOOKUP(T320,'Лист4'!C:I,4,0)," ")</f>
        <v>trezor</v>
      </c>
      <c r="W320" s="22" t="str">
        <f>IFERROR(VLOOKUP(T320,'Лист4'!C:I,5,0)," ")</f>
        <v>trezor</v>
      </c>
      <c r="X320" s="43" t="str">
        <f>IFERROR(VLOOKUP(T320,'Лист4'!C:I,7,0)," ")</f>
        <v/>
      </c>
      <c r="Y320" s="43" t="str">
        <f>IFERROR(VLOOKUP(T320,'Лист4'!C:I,6,0)," ")</f>
        <v/>
      </c>
      <c r="Z320" s="43"/>
      <c r="AA320" s="43"/>
      <c r="AB320" s="22">
        <v>1.8836119E7</v>
      </c>
      <c r="AC320" s="22">
        <v>2.90202723E8</v>
      </c>
      <c r="AD320" s="22">
        <v>1.03340893703E11</v>
      </c>
      <c r="AE320" s="22"/>
      <c r="AF320" s="22"/>
      <c r="AG320" s="43"/>
      <c r="AH320" s="43"/>
      <c r="AI320" s="43" t="str">
        <f>IFERROR(VLOOKUP(T320,'1С'!B:C,2,0)," ")</f>
        <v>Пищевая добавка Трезор, CPA, 10 стиков</v>
      </c>
      <c r="AJ320" s="22" t="s">
        <v>4866</v>
      </c>
      <c r="AK320" s="22" t="s">
        <v>4867</v>
      </c>
      <c r="AL320" s="22" t="s">
        <v>4868</v>
      </c>
      <c r="AM320" s="43"/>
      <c r="AN320" s="43"/>
      <c r="AO320" s="43"/>
      <c r="AP320" s="43"/>
      <c r="AQ320" s="46" t="s">
        <v>4869</v>
      </c>
      <c r="AR320" s="46" t="s">
        <v>4870</v>
      </c>
      <c r="AS320" s="46" t="s">
        <v>4871</v>
      </c>
      <c r="AT320" s="43"/>
      <c r="AU320" s="43"/>
      <c r="AV320" s="43"/>
      <c r="AW320" s="43"/>
      <c r="AX320" s="22" t="s">
        <v>649</v>
      </c>
      <c r="AY320" s="22" t="s">
        <v>4867</v>
      </c>
      <c r="AZ320" s="22" t="s">
        <v>2692</v>
      </c>
      <c r="BA320" s="43"/>
      <c r="BB320" s="43"/>
      <c r="BC320" s="43"/>
      <c r="BD320" s="43"/>
      <c r="BE320" s="43"/>
      <c r="BF320" s="22">
        <f>IFERROR(VLOOKUP(C320,'спецификация'!B:D,3,0)," ")</f>
        <v>4631153593390</v>
      </c>
      <c r="BG320" s="22"/>
      <c r="BH320" s="22" t="str">
        <f>IFERROR(VLOOKUP(C320,'спецификация'!B:AA,5,0)," ")</f>
        <v>ЕАЭС N RU Д-RU.РА03.В.97282/24 от 27.04.2024 по 25.04.2029</v>
      </c>
      <c r="BI320" s="22"/>
      <c r="BJ320" s="22" t="str">
        <f>IFERROR(VLOOKUP(C320,'спецификация'!B:AA,6,0)," ")</f>
        <v/>
      </c>
      <c r="BK320" s="43"/>
      <c r="BL320" s="43"/>
      <c r="BM320" s="22" t="str">
        <f>IFERROR(VLOOKUP(BF320,'спецификация'!D:H,5,0)," ")</f>
        <v>копринус, толокнянка экстракт, зверобой, тысячелистник, можжевельник, ползучий тимьян, золототысячник, левзеи сафлоровидной, любисток, тиноспора, китайская дереза, кемпферия корень.</v>
      </c>
      <c r="BN320" s="43"/>
      <c r="BO320" s="22" t="str">
        <f>IFERROR(VLOOKUP(C320,'спецификация'!B:AA,10,0)," ")</f>
        <v/>
      </c>
      <c r="BP320" s="43" t="str">
        <f>IFERROR(VLOOKUP(C320,'спецификация'!B:AA,11,0),"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20" s="22" t="str">
        <f>IFERROR(VLOOKUP(C320,'спецификация'!B:AA,12,0)," ")</f>
        <v>хранить при температуре до 25°C, избегая попадания прямых солнечных лучей.
</v>
      </c>
      <c r="BR320" s="22">
        <v>10.0</v>
      </c>
      <c r="BS320" s="22" t="s">
        <v>2918</v>
      </c>
      <c r="BT320" s="22"/>
      <c r="BU320" s="22"/>
      <c r="BV320" s="22" t="s">
        <v>307</v>
      </c>
      <c r="BW320" s="44" t="str">
        <f>IFERROR(VLOOKUP(C320,'спецификация'!B:AA,16,0)," ")</f>
        <v>https://docs.google.com/document/d/1Nuvu-uuTsk1H4RhbLYNR_BjwiOg1OJGlXQKJuizP7mw/edit</v>
      </c>
      <c r="BX320" s="43"/>
      <c r="BY320" s="43"/>
      <c r="BZ320" s="45" t="str">
        <f>IFERROR(VLOOKUP(BF320,'спецификация'!D:Y,22,0)," ")</f>
        <v/>
      </c>
      <c r="CA320" s="43"/>
      <c r="CB320" s="43"/>
      <c r="CC320" s="43"/>
      <c r="CD320" s="43"/>
      <c r="CE320" s="43"/>
      <c r="CF320" s="43"/>
      <c r="CG320" s="49">
        <f>IFERROR(VLOOKUP(C320,CC!A:D,4,0)," ")</f>
        <v>102.85</v>
      </c>
      <c r="CH320" s="22" t="str">
        <f>IFERROR(VLOOKUP(C320,'спецификация'!B:AA,19,0)," ")</f>
        <v>ООО «Восток Плюс», 107113, г. Москва, Сокольническая пл., дом 4а, этаж 3, пом.IV, комн.11</v>
      </c>
      <c r="CI320" s="22"/>
      <c r="CJ320" s="43"/>
      <c r="CK320" s="22">
        <f>IFERROR(VLOOKUP(C320,CC!K:M,3,0)," ")</f>
        <v>45</v>
      </c>
      <c r="CL320" s="43"/>
      <c r="CM320" s="43"/>
      <c r="CN320" s="43"/>
      <c r="CO320" s="43"/>
      <c r="CP320" s="43"/>
      <c r="CQ320" s="43"/>
      <c r="CR320" s="43"/>
      <c r="CS320" s="43" t="b">
        <v>0</v>
      </c>
      <c r="CT320" s="43" t="b">
        <v>0</v>
      </c>
      <c r="CU320" s="43" t="b">
        <v>0</v>
      </c>
      <c r="CV320" s="43" t="b">
        <v>0</v>
      </c>
      <c r="CW320" s="43"/>
      <c r="CX320" s="43"/>
      <c r="CY320" s="43"/>
      <c r="CZ320" s="43"/>
      <c r="DA320" s="43"/>
      <c r="DB320" s="43"/>
      <c r="DC320" s="43"/>
      <c r="DD320" s="22">
        <f>IFERROR(VLOOKUP($C320,'Лист4'!$D:$AI,27,0)," ")</f>
        <v>5</v>
      </c>
      <c r="DE320" s="22">
        <f>IFERROR(VLOOKUP($C320,'Лист4'!$D:$AI,28,0)," ")</f>
        <v>8</v>
      </c>
      <c r="DF320" s="22">
        <f>IFERROR(VLOOKUP($C320,'Лист4'!$D:$AI,29,0)," ")</f>
        <v>5</v>
      </c>
      <c r="DG320" s="22">
        <f t="shared" si="3"/>
        <v>200</v>
      </c>
      <c r="DH320" s="22">
        <f>IFERROR(VLOOKUP($C320,'Лист4'!$D:$AI,32,0)," ")</f>
        <v>0.026</v>
      </c>
      <c r="DI320" s="22"/>
      <c r="DJ320" s="22"/>
      <c r="DK320" s="22"/>
      <c r="DL320" s="22"/>
      <c r="DM320" s="22"/>
      <c r="DN320" s="22"/>
      <c r="DO320" s="22"/>
      <c r="DP320" s="22"/>
      <c r="DQ320" s="22"/>
      <c r="DR320" s="22"/>
      <c r="DS320" s="22"/>
      <c r="DT320" s="22"/>
      <c r="DU320" s="22"/>
      <c r="DV320" s="22"/>
      <c r="DW320" s="22"/>
      <c r="DX320" s="22"/>
      <c r="DY320" s="22"/>
      <c r="DZ320" s="22"/>
      <c r="EA320" s="22"/>
      <c r="EB320" s="22"/>
      <c r="EC320" s="22"/>
      <c r="ED320" s="22"/>
      <c r="EE320" s="22"/>
      <c r="EF320" s="22"/>
      <c r="EG320" s="22"/>
      <c r="EH320" s="22"/>
      <c r="EI320" s="22"/>
      <c r="EJ320" s="22"/>
      <c r="EK320" s="22"/>
      <c r="EL320" s="22"/>
      <c r="EM320" s="43"/>
      <c r="EN320" s="43"/>
      <c r="EO320" s="43"/>
      <c r="EP320" s="43"/>
      <c r="EQ320" s="43"/>
      <c r="ER320" s="43"/>
      <c r="ES320" s="43"/>
      <c r="ET320" s="43"/>
      <c r="EU320" s="43"/>
      <c r="EV320" s="43"/>
      <c r="EW320" s="43"/>
      <c r="EX320" s="43"/>
      <c r="EY320" s="43"/>
      <c r="EZ320" s="43"/>
      <c r="FA320" s="43"/>
      <c r="FB320" s="43"/>
      <c r="FC320" s="43"/>
    </row>
    <row r="321" ht="18.0" customHeight="1">
      <c r="A321" s="2"/>
      <c r="B321" s="22" t="str">
        <f>IFERROR(VLOOKUP(C321,'Реестр'!C:AC,27,0)," ")</f>
        <v>Смарт-Сэйл</v>
      </c>
      <c r="C321" s="43" t="s">
        <v>4875</v>
      </c>
      <c r="D321" s="22" t="str">
        <f>IFERROR(VLOOKUP(C321,'Лист4'!D:P,13,0)," ")</f>
        <v>CPA</v>
      </c>
      <c r="E321" s="22" t="str">
        <f>IF(OR(ISERROR(VLOOKUP(C321,'Актуальность'!A:B,2,0)), VLOOKUP(C321,'Актуальность'!A:B,2,0)=""), "Актуальный", VLOOKUP(C321,'Актуальность'!A:B,2,0))</f>
        <v>Актуальный</v>
      </c>
      <c r="F321" s="43" t="str">
        <f>IFERROR(VLOOKUP(C321,'Актуальность'!A:C,3,0)," ")</f>
        <v/>
      </c>
      <c r="G321" s="43"/>
      <c r="H321" s="22" t="s">
        <v>2663</v>
      </c>
      <c r="I321" s="22" t="s">
        <v>4045</v>
      </c>
      <c r="J321" s="43"/>
      <c r="K321" s="43"/>
      <c r="L321" s="22" t="b">
        <f t="shared" ref="L321:R321" si="317">T321&lt;&gt;""</f>
        <v>1</v>
      </c>
      <c r="M321" s="22" t="b">
        <f t="shared" si="317"/>
        <v>1</v>
      </c>
      <c r="N321" s="22" t="b">
        <f t="shared" si="317"/>
        <v>1</v>
      </c>
      <c r="O321" s="22" t="b">
        <f t="shared" si="317"/>
        <v>1</v>
      </c>
      <c r="P321" s="22" t="b">
        <f t="shared" si="317"/>
        <v>0</v>
      </c>
      <c r="Q321" s="22" t="b">
        <f t="shared" si="317"/>
        <v>0</v>
      </c>
      <c r="R321" s="22" t="b">
        <f t="shared" si="317"/>
        <v>0</v>
      </c>
      <c r="S321" s="43"/>
      <c r="T321" s="43" t="str">
        <f>IFERROR(VLOOKUP( C321,'1С'!A:B,2,0)," ")</f>
        <v>CO101100409</v>
      </c>
      <c r="U321" s="22" t="str">
        <f>IFERROR(VLOOKUP(T321,'Лист4'!C:I,3,0)," ")</f>
        <v>pirantox</v>
      </c>
      <c r="V321" s="22" t="str">
        <f>IFERROR(VLOOKUP(T321,'Лист4'!C:I,4,0)," ")</f>
        <v>pirantox</v>
      </c>
      <c r="W321" s="22" t="str">
        <f>IFERROR(VLOOKUP(T321,'Лист4'!C:I,5,0)," ")</f>
        <v>pirantox</v>
      </c>
      <c r="X321" s="43" t="str">
        <f>IFERROR(VLOOKUP(T321,'Лист4'!C:I,7,0)," ")</f>
        <v/>
      </c>
      <c r="Y321" s="43" t="str">
        <f>IFERROR(VLOOKUP(T321,'Лист4'!C:I,6,0)," ")</f>
        <v/>
      </c>
      <c r="Z321" s="43"/>
      <c r="AA321" s="43"/>
      <c r="AB321" s="22">
        <v>1.19939935E8</v>
      </c>
      <c r="AC321" s="22">
        <v>6.69985038E8</v>
      </c>
      <c r="AD321" s="22">
        <v>1.01806805904E11</v>
      </c>
      <c r="AE321" s="22"/>
      <c r="AF321" s="22"/>
      <c r="AG321" s="43"/>
      <c r="AH321" s="43"/>
      <c r="AI321" s="43" t="str">
        <f>IFERROR(VLOOKUP(T321,'1С'!B:C,2,0)," ")</f>
        <v>Пищевая добавка Пирантокс, CPA, 10 капсул</v>
      </c>
      <c r="AJ321" s="22" t="s">
        <v>4878</v>
      </c>
      <c r="AK321" s="22" t="s">
        <v>4879</v>
      </c>
      <c r="AL321" s="22" t="s">
        <v>4879</v>
      </c>
      <c r="AM321" s="43"/>
      <c r="AN321" s="43"/>
      <c r="AO321" s="43"/>
      <c r="AP321" s="43"/>
      <c r="AQ321" s="46" t="s">
        <v>4880</v>
      </c>
      <c r="AR321" s="46" t="s">
        <v>4881</v>
      </c>
      <c r="AS321" s="46" t="s">
        <v>4882</v>
      </c>
      <c r="AT321" s="43"/>
      <c r="AU321" s="43"/>
      <c r="AV321" s="43"/>
      <c r="AW321" s="43"/>
      <c r="AX321" s="22" t="s">
        <v>649</v>
      </c>
      <c r="AY321" s="22" t="s">
        <v>4879</v>
      </c>
      <c r="AZ321" s="22" t="s">
        <v>2692</v>
      </c>
      <c r="BA321" s="43"/>
      <c r="BB321" s="43"/>
      <c r="BC321" s="43"/>
      <c r="BD321" s="43"/>
      <c r="BE321" s="43"/>
      <c r="BF321" s="22">
        <f>IFERROR(VLOOKUP(C321,'спецификация'!B:D,3,0)," ")</f>
        <v>4631144673049</v>
      </c>
      <c r="BG321" s="22">
        <v>2.103909009E9</v>
      </c>
      <c r="BH321" s="22" t="str">
        <f>IFERROR(VLOOKUP(C321,'спецификация'!B:AA,5,0)," ")</f>
        <v>ЕАЭС N RU Д-RU.PA04.B.78364/22 от 02.08.2022 до 10.07.2027</v>
      </c>
      <c r="BI321" s="22"/>
      <c r="BJ321" s="22" t="str">
        <f>IFERROR(VLOOKUP(C321,'спецификация'!B:AA,6,0)," ")</f>
        <v/>
      </c>
      <c r="BK321" s="43"/>
      <c r="BL321" s="43"/>
      <c r="BM321" s="22" t="str">
        <f>IFERROR(VLOOKUP(BF321,'спецификация'!D:H,5,0)," ")</f>
        <v>Экстракты пижмы, сенны, солодки, куркумы, листа грецкого ореха, семян кориандра, сосновых шишек,  гвоздики, горечавки, имбиря, вытяжка из тыквенных семян, экстракт черного перца, экстракт чеснока, артишока, фенхеля и зверобоя, аэросил, кальций стеариновокислый, лактоза.
</v>
      </c>
      <c r="BN321" s="43"/>
      <c r="BO321" s="22" t="str">
        <f>IFERROR(VLOOKUP(C321,'спецификация'!B:AA,10,0)," ")</f>
        <v/>
      </c>
      <c r="BP321" s="43" t="str">
        <f>IFERROR(VLOOKUP(C321,'спецификация'!B:AA,11,0)," ")</f>
        <v>не рекомендуется применять детям до 12 лет, беременным и кормящим женщинам.
</v>
      </c>
      <c r="BQ321" s="22" t="str">
        <f>IFERROR(VLOOKUP(C321,'спецификация'!B:AA,12,0)," ")</f>
        <v>хранить в сухом месте при температуре не выше 25°С.
</v>
      </c>
      <c r="BR321" s="22">
        <v>10.0</v>
      </c>
      <c r="BS321" s="22" t="s">
        <v>492</v>
      </c>
      <c r="BT321" s="22"/>
      <c r="BU321" s="22"/>
      <c r="BV321" s="22"/>
      <c r="BW321" s="44" t="str">
        <f>IFERROR(VLOOKUP(C321,'спецификация'!B:AA,16,0)," ")</f>
        <v>https://drive.google.com/drive/folders/1XRY9UtFFAHzTtIg3FmvFdksfS3v21j1a</v>
      </c>
      <c r="BX321" s="43"/>
      <c r="BY321" s="43"/>
      <c r="BZ321" s="45" t="str">
        <f>IFERROR(VLOOKUP(BF321,'спецификация'!D:Y,22,0)," ")</f>
        <v/>
      </c>
      <c r="CA321" s="43"/>
      <c r="CB321" s="43"/>
      <c r="CC321" s="43"/>
      <c r="CD321" s="43"/>
      <c r="CE321" s="43"/>
      <c r="CF321" s="43"/>
      <c r="CG321" s="49">
        <f>IFERROR(VLOOKUP(C321,CC!A:D,4,0)," ")</f>
        <v>112.96</v>
      </c>
      <c r="CH321" s="22" t="str">
        <f>IFERROR(VLOOKUP(C321,'спецификация'!B:AA,19,0)," ")</f>
        <v>ООО «Восток Плюс», 107113, г. Москва, Сокольническая пл., дом 4а, этаж 3, пом.IV, комн.11</v>
      </c>
      <c r="CI321" s="22"/>
      <c r="CJ321" s="43"/>
      <c r="CK321" s="22">
        <f>IFERROR(VLOOKUP(C321,CC!K:M,3,0)," ")</f>
        <v>45</v>
      </c>
      <c r="CL321" s="43"/>
      <c r="CM321" s="43"/>
      <c r="CN321" s="43"/>
      <c r="CO321" s="43"/>
      <c r="CP321" s="43"/>
      <c r="CQ321" s="43"/>
      <c r="CR321" s="43"/>
      <c r="CS321" s="43" t="b">
        <v>0</v>
      </c>
      <c r="CT321" s="43" t="b">
        <v>0</v>
      </c>
      <c r="CU321" s="43" t="b">
        <v>0</v>
      </c>
      <c r="CV321" s="43" t="b">
        <v>0</v>
      </c>
      <c r="CW321" s="43"/>
      <c r="CX321" s="43"/>
      <c r="CY321" s="43"/>
      <c r="CZ321" s="43"/>
      <c r="DA321" s="43"/>
      <c r="DB321" s="43"/>
      <c r="DC321" s="43"/>
      <c r="DD321" s="22">
        <f>IFERROR(VLOOKUP($C321,'Лист4'!$D:$AI,27,0)," ")</f>
        <v>8</v>
      </c>
      <c r="DE321" s="22">
        <f>IFERROR(VLOOKUP($C321,'Лист4'!$D:$AI,28,0)," ")</f>
        <v>2</v>
      </c>
      <c r="DF321" s="22">
        <f>IFERROR(VLOOKUP($C321,'Лист4'!$D:$AI,29,0)," ")</f>
        <v>8</v>
      </c>
      <c r="DG321" s="22">
        <f t="shared" si="3"/>
        <v>128</v>
      </c>
      <c r="DH321" s="22">
        <f>IFERROR(VLOOKUP($C321,'Лист4'!$D:$AI,32,0)," ")</f>
        <v>0.098</v>
      </c>
      <c r="DI321" s="22"/>
      <c r="DJ321" s="22"/>
      <c r="DK321" s="22"/>
      <c r="DL321" s="22"/>
      <c r="DM321" s="22"/>
      <c r="DN321" s="22"/>
      <c r="DO321" s="22"/>
      <c r="DP321" s="22"/>
      <c r="DQ321" s="22"/>
      <c r="DR321" s="22"/>
      <c r="DS321" s="22"/>
      <c r="DT321" s="22"/>
      <c r="DU321" s="22"/>
      <c r="DV321" s="22"/>
      <c r="DW321" s="22"/>
      <c r="DX321" s="22"/>
      <c r="DY321" s="22"/>
      <c r="DZ321" s="22"/>
      <c r="EA321" s="22"/>
      <c r="EB321" s="22"/>
      <c r="EC321" s="22"/>
      <c r="ED321" s="22"/>
      <c r="EE321" s="22"/>
      <c r="EF321" s="22"/>
      <c r="EG321" s="22"/>
      <c r="EH321" s="22"/>
      <c r="EI321" s="22"/>
      <c r="EJ321" s="22"/>
      <c r="EK321" s="22"/>
      <c r="EL321" s="22"/>
      <c r="EM321" s="43"/>
      <c r="EN321" s="43"/>
      <c r="EO321" s="43"/>
      <c r="EP321" s="43"/>
      <c r="EQ321" s="43"/>
      <c r="ER321" s="43"/>
      <c r="ES321" s="43"/>
      <c r="ET321" s="43"/>
      <c r="EU321" s="43"/>
      <c r="EV321" s="43"/>
      <c r="EW321" s="43"/>
      <c r="EX321" s="43"/>
      <c r="EY321" s="43"/>
      <c r="EZ321" s="43"/>
      <c r="FA321" s="43"/>
      <c r="FB321" s="43"/>
      <c r="FC321" s="43"/>
    </row>
    <row r="322" ht="18.0" customHeight="1">
      <c r="A322" s="2"/>
      <c r="B322" s="22" t="str">
        <f>IFERROR(VLOOKUP(C322,'Реестр'!C:AC,27,0)," ")</f>
        <v>Смарт-Сэйл</v>
      </c>
      <c r="C322" s="43" t="s">
        <v>4888</v>
      </c>
      <c r="D322" s="22" t="str">
        <f>IFERROR(VLOOKUP(C322,'Лист4'!D:P,13,0)," ")</f>
        <v>CPA</v>
      </c>
      <c r="E322" s="22" t="str">
        <f>IF(OR(ISERROR(VLOOKUP(C322,'Актуальность'!A:B,2,0)), VLOOKUP(C322,'Актуальность'!A:B,2,0)=""), "Актуальный", VLOOKUP(C322,'Актуальность'!A:B,2,0))</f>
        <v>Актуальный</v>
      </c>
      <c r="F322" s="43" t="str">
        <f>IFERROR(VLOOKUP(C322,'Актуальность'!A:C,3,0)," ")</f>
        <v/>
      </c>
      <c r="G322" s="43"/>
      <c r="H322" s="22" t="s">
        <v>2663</v>
      </c>
      <c r="I322" s="22" t="s">
        <v>2664</v>
      </c>
      <c r="J322" s="43"/>
      <c r="K322" s="43"/>
      <c r="L322" s="22" t="b">
        <f t="shared" ref="L322:R322" si="318">T322&lt;&gt;""</f>
        <v>1</v>
      </c>
      <c r="M322" s="22" t="b">
        <f t="shared" si="318"/>
        <v>1</v>
      </c>
      <c r="N322" s="22" t="b">
        <f t="shared" si="318"/>
        <v>1</v>
      </c>
      <c r="O322" s="22" t="b">
        <f t="shared" si="318"/>
        <v>1</v>
      </c>
      <c r="P322" s="22" t="b">
        <f t="shared" si="318"/>
        <v>0</v>
      </c>
      <c r="Q322" s="22" t="b">
        <f t="shared" si="318"/>
        <v>0</v>
      </c>
      <c r="R322" s="22" t="b">
        <f t="shared" si="318"/>
        <v>0</v>
      </c>
      <c r="S322" s="43"/>
      <c r="T322" s="43" t="str">
        <f>IFERROR(VLOOKUP( C322,'1С'!A:B,2,0)," ")</f>
        <v>CC101100423</v>
      </c>
      <c r="U322" s="22" t="str">
        <f>IFERROR(VLOOKUP(T322,'Лист4'!C:I,3,0)," ")</f>
        <v>wbbiotrin</v>
      </c>
      <c r="V322" s="22" t="str">
        <f>IFERROR(VLOOKUP(T322,'Лист4'!C:I,4,0)," ")</f>
        <v>wbbiotrin</v>
      </c>
      <c r="W322" s="22" t="str">
        <f>IFERROR(VLOOKUP(T322,'Лист4'!C:I,5,0)," ")</f>
        <v>wbbiotrin</v>
      </c>
      <c r="X322" s="43" t="str">
        <f>IFERROR(VLOOKUP(T322,'Лист4'!C:I,7,0)," ")</f>
        <v/>
      </c>
      <c r="Y322" s="43" t="str">
        <f>IFERROR(VLOOKUP(T322,'Лист4'!C:I,6,0)," ")</f>
        <v/>
      </c>
      <c r="Z322" s="43"/>
      <c r="AA322" s="43"/>
      <c r="AB322" s="22">
        <v>1.7905705E7</v>
      </c>
      <c r="AC322" s="22">
        <v>2.89386465E8</v>
      </c>
      <c r="AD322" s="22">
        <v>1.01864001748E11</v>
      </c>
      <c r="AE322" s="22"/>
      <c r="AF322" s="22"/>
      <c r="AG322" s="43"/>
      <c r="AH322" s="43"/>
      <c r="AI322" s="43" t="str">
        <f>IFERROR(VLOOKUP(T322,'1С'!B:C,2,0)," ")</f>
        <v>Мазь для суставов Биотрин, CPA, 30 мл</v>
      </c>
      <c r="AJ322" s="22" t="s">
        <v>3945</v>
      </c>
      <c r="AK322" s="22" t="s">
        <v>4891</v>
      </c>
      <c r="AL322" s="22" t="s">
        <v>4892</v>
      </c>
      <c r="AM322" s="43"/>
      <c r="AN322" s="43"/>
      <c r="AO322" s="43"/>
      <c r="AP322" s="43"/>
      <c r="AQ322" s="46" t="s">
        <v>4893</v>
      </c>
      <c r="AR322" s="46" t="s">
        <v>4894</v>
      </c>
      <c r="AS322" s="46" t="s">
        <v>4895</v>
      </c>
      <c r="AT322" s="43"/>
      <c r="AU322" s="43"/>
      <c r="AV322" s="43"/>
      <c r="AW322" s="43"/>
      <c r="AX322" s="22" t="s">
        <v>594</v>
      </c>
      <c r="AY322" s="22" t="s">
        <v>4891</v>
      </c>
      <c r="AZ322" s="22" t="s">
        <v>2672</v>
      </c>
      <c r="BA322" s="43"/>
      <c r="BB322" s="43"/>
      <c r="BC322" s="43"/>
      <c r="BD322" s="43"/>
      <c r="BE322" s="43"/>
      <c r="BF322" s="22" t="str">
        <f>IFERROR(VLOOKUP(C322,'спецификация'!B:D,3,0)," ")</f>
        <v> </v>
      </c>
      <c r="BG322" s="22">
        <v>3.30499E9</v>
      </c>
      <c r="BH322" s="22" t="str">
        <f>IFERROR(VLOOKUP(C322,'спецификация'!B:AA,5,0)," ")</f>
        <v> </v>
      </c>
      <c r="BI322" s="22"/>
      <c r="BJ322" s="22" t="str">
        <f>IFERROR(VLOOKUP(C322,'спецификация'!B:AA,6,0)," ")</f>
        <v> </v>
      </c>
      <c r="BK322" s="43"/>
      <c r="BL322" s="43"/>
      <c r="BM322" s="22" t="str">
        <f>IFERROR(VLOOKUP(BF322,'спецификация'!D:H,5,0)," ")</f>
        <v> </v>
      </c>
      <c r="BN322" s="43"/>
      <c r="BO322" s="22" t="str">
        <f>IFERROR(VLOOKUP(C322,'спецификация'!B:AA,10,0)," ")</f>
        <v> </v>
      </c>
      <c r="BP322" s="43" t="str">
        <f>IFERROR(VLOOKUP(C322,'спецификация'!B:AA,11,0)," ")</f>
        <v> </v>
      </c>
      <c r="BQ322" s="22" t="str">
        <f>IFERROR(VLOOKUP(C322,'спецификация'!B:AA,12,0)," ")</f>
        <v> </v>
      </c>
      <c r="BR322" s="22">
        <v>30.0</v>
      </c>
      <c r="BS322" s="22" t="s">
        <v>139</v>
      </c>
      <c r="BT322" s="22"/>
      <c r="BU322" s="22"/>
      <c r="BV322" s="22" t="s">
        <v>307</v>
      </c>
      <c r="BW322" s="45" t="str">
        <f>IFERROR(VLOOKUP(C322,'спецификация'!B:AA,16,0)," ")</f>
        <v> </v>
      </c>
      <c r="BX322" s="43"/>
      <c r="BY322" s="43"/>
      <c r="BZ322" s="45" t="str">
        <f>IFERROR(VLOOKUP(BF322,'спецификация'!D:Y,22,0)," ")</f>
        <v> </v>
      </c>
      <c r="CA322" s="43"/>
      <c r="CB322" s="43"/>
      <c r="CC322" s="43"/>
      <c r="CD322" s="43"/>
      <c r="CE322" s="43"/>
      <c r="CF322" s="43"/>
      <c r="CG322" s="49">
        <f>IFERROR(VLOOKUP(C322,CC!A:D,4,0)," ")</f>
        <v>116.36</v>
      </c>
      <c r="CH322" s="22" t="str">
        <f>IFERROR(VLOOKUP(C322,'спецификация'!B:AA,19,0)," ")</f>
        <v> </v>
      </c>
      <c r="CI322" s="22"/>
      <c r="CJ322" s="43"/>
      <c r="CK322" s="22" t="str">
        <f>IFERROR(VLOOKUP(C322,CC!K:M,3,0)," ")</f>
        <v> </v>
      </c>
      <c r="CL322" s="43"/>
      <c r="CM322" s="43"/>
      <c r="CN322" s="43"/>
      <c r="CO322" s="43"/>
      <c r="CP322" s="43"/>
      <c r="CQ322" s="43"/>
      <c r="CR322" s="43"/>
      <c r="CS322" s="43" t="b">
        <v>0</v>
      </c>
      <c r="CT322" s="43" t="b">
        <v>0</v>
      </c>
      <c r="CU322" s="43" t="b">
        <v>0</v>
      </c>
      <c r="CV322" s="43" t="b">
        <v>0</v>
      </c>
      <c r="CW322" s="43"/>
      <c r="CX322" s="43"/>
      <c r="CY322" s="43"/>
      <c r="CZ322" s="43"/>
      <c r="DA322" s="43"/>
      <c r="DB322" s="43"/>
      <c r="DC322" s="43"/>
      <c r="DD322" s="22">
        <f>IFERROR(VLOOKUP($C322,'Лист4'!$D:$AI,27,0)," ")</f>
        <v>10</v>
      </c>
      <c r="DE322" s="22">
        <f>IFERROR(VLOOKUP($C322,'Лист4'!$D:$AI,28,0)," ")</f>
        <v>3</v>
      </c>
      <c r="DF322" s="22">
        <f>IFERROR(VLOOKUP($C322,'Лист4'!$D:$AI,29,0)," ")</f>
        <v>10</v>
      </c>
      <c r="DG322" s="22">
        <f t="shared" si="3"/>
        <v>300</v>
      </c>
      <c r="DH322" s="22">
        <f>IFERROR(VLOOKUP($C322,'Лист4'!$D:$AI,32,0)," ")</f>
        <v>0.045</v>
      </c>
      <c r="DI322" s="22"/>
      <c r="DJ322" s="22"/>
      <c r="DK322" s="22"/>
      <c r="DL322" s="22"/>
      <c r="DM322" s="22"/>
      <c r="DN322" s="22"/>
      <c r="DO322" s="22"/>
      <c r="DP322" s="22"/>
      <c r="DQ322" s="22"/>
      <c r="DR322" s="22"/>
      <c r="DS322" s="22"/>
      <c r="DT322" s="22"/>
      <c r="DU322" s="22"/>
      <c r="DV322" s="22"/>
      <c r="DW322" s="22"/>
      <c r="DX322" s="22"/>
      <c r="DY322" s="22"/>
      <c r="DZ322" s="22"/>
      <c r="EA322" s="22"/>
      <c r="EB322" s="22"/>
      <c r="EC322" s="22"/>
      <c r="ED322" s="22"/>
      <c r="EE322" s="22"/>
      <c r="EF322" s="22"/>
      <c r="EG322" s="22"/>
      <c r="EH322" s="22"/>
      <c r="EI322" s="22"/>
      <c r="EJ322" s="22"/>
      <c r="EK322" s="22"/>
      <c r="EL322" s="22"/>
      <c r="EM322" s="43"/>
      <c r="EN322" s="43"/>
      <c r="EO322" s="43"/>
      <c r="EP322" s="43"/>
      <c r="EQ322" s="43"/>
      <c r="ER322" s="43"/>
      <c r="ES322" s="43"/>
      <c r="ET322" s="43"/>
      <c r="EU322" s="43"/>
      <c r="EV322" s="43"/>
      <c r="EW322" s="43"/>
      <c r="EX322" s="43"/>
      <c r="EY322" s="43"/>
      <c r="EZ322" s="43"/>
      <c r="FA322" s="43"/>
      <c r="FB322" s="43"/>
      <c r="FC322" s="43"/>
    </row>
    <row r="323" ht="18.0" customHeight="1">
      <c r="A323" s="2"/>
      <c r="B323" s="22" t="str">
        <f>IFERROR(VLOOKUP(C323,'Реестр'!C:AC,27,0)," ")</f>
        <v>Смарт-Сэйл</v>
      </c>
      <c r="C323" s="43" t="s">
        <v>4897</v>
      </c>
      <c r="D323" s="22" t="str">
        <f>IFERROR(VLOOKUP(C323,'Лист4'!D:P,13,0)," ")</f>
        <v>Алтея</v>
      </c>
      <c r="E323" s="22" t="str">
        <f>IF(OR(ISERROR(VLOOKUP(C323,'Актуальность'!A:B,2,0)), VLOOKUP(C323,'Актуальность'!A:B,2,0)=""), "Актуальный", VLOOKUP(C323,'Актуальность'!A:B,2,0))</f>
        <v>Актуальный</v>
      </c>
      <c r="F323" s="43" t="str">
        <f>IFERROR(VLOOKUP(C323,'Актуальность'!A:C,3,0)," ")</f>
        <v/>
      </c>
      <c r="G323" s="43"/>
      <c r="H323" s="22" t="s">
        <v>2743</v>
      </c>
      <c r="I323" s="22" t="s">
        <v>3158</v>
      </c>
      <c r="J323" s="43"/>
      <c r="K323" s="43"/>
      <c r="L323" s="22" t="b">
        <f t="shared" ref="L323:R323" si="319">T323&lt;&gt;""</f>
        <v>1</v>
      </c>
      <c r="M323" s="22" t="b">
        <f t="shared" si="319"/>
        <v>1</v>
      </c>
      <c r="N323" s="22" t="b">
        <f t="shared" si="319"/>
        <v>1</v>
      </c>
      <c r="O323" s="22" t="b">
        <f t="shared" si="319"/>
        <v>1</v>
      </c>
      <c r="P323" s="22" t="b">
        <f t="shared" si="319"/>
        <v>1</v>
      </c>
      <c r="Q323" s="22" t="b">
        <f t="shared" si="319"/>
        <v>0</v>
      </c>
      <c r="R323" s="22" t="b">
        <f t="shared" si="319"/>
        <v>1</v>
      </c>
      <c r="S323" s="43"/>
      <c r="T323" s="43" t="str">
        <f>IFERROR(VLOOKUP( C323,'1С'!A:B,2,0)," ")</f>
        <v>AC101100436</v>
      </c>
      <c r="U323" s="22" t="str">
        <f>IFERROR(VLOOKUP(T323,'Лист4'!C:I,3,0)," ")</f>
        <v>gel_dlya_britya_300ml</v>
      </c>
      <c r="V323" s="22" t="str">
        <f>IFERROR(VLOOKUP(T323,'Лист4'!C:I,4,0)," ")</f>
        <v>gel_dlya_britya_300ml</v>
      </c>
      <c r="W323" s="22" t="str">
        <f>IFERROR(VLOOKUP(T323,'Лист4'!C:I,5,0)," ")</f>
        <v>gel_dlya_britya_300ml</v>
      </c>
      <c r="X323" s="43" t="str">
        <f>IFERROR(VLOOKUP(T323,'Лист4'!C:I,7,0)," ")</f>
        <v>gel_dlya_britya_300ml</v>
      </c>
      <c r="Y323" s="43" t="str">
        <f>IFERROR(VLOOKUP(T323,'Лист4'!C:I,6,0)," ")</f>
        <v/>
      </c>
      <c r="Z323" s="22" t="s">
        <v>4897</v>
      </c>
      <c r="AA323" s="43"/>
      <c r="AB323" s="22">
        <v>4.84548663E8</v>
      </c>
      <c r="AC323" s="22">
        <v>2.58310045E9</v>
      </c>
      <c r="AD323" s="22">
        <v>4.600676003E9</v>
      </c>
      <c r="AE323" s="22">
        <v>9.900013168E10</v>
      </c>
      <c r="AF323" s="22"/>
      <c r="AG323" s="22" t="s">
        <v>4900</v>
      </c>
      <c r="AH323" s="43"/>
      <c r="AI323" s="43" t="str">
        <f>IFERROR(VLOOKUP(T323,'1С'!B:C,2,0)," ")</f>
        <v>Гель для бритья, Алтея, 300 мл</v>
      </c>
      <c r="AJ323" s="22" t="s">
        <v>4901</v>
      </c>
      <c r="AK323" s="22" t="s">
        <v>4902</v>
      </c>
      <c r="AL323" s="22" t="s">
        <v>4903</v>
      </c>
      <c r="AM323" s="22" t="s">
        <v>4904</v>
      </c>
      <c r="AN323" s="43"/>
      <c r="AO323" s="22" t="s">
        <v>4902</v>
      </c>
      <c r="AP323" s="43"/>
      <c r="AQ323" s="46" t="s">
        <v>4905</v>
      </c>
      <c r="AR323" s="46" t="s">
        <v>4906</v>
      </c>
      <c r="AS323" s="46" t="s">
        <v>4907</v>
      </c>
      <c r="AT323" s="43"/>
      <c r="AU323" s="43"/>
      <c r="AV323" s="46" t="s">
        <v>4908</v>
      </c>
      <c r="AW323" s="43"/>
      <c r="AX323" s="22" t="s">
        <v>1832</v>
      </c>
      <c r="AY323" s="22" t="s">
        <v>4902</v>
      </c>
      <c r="AZ323" s="22" t="s">
        <v>4909</v>
      </c>
      <c r="BA323" s="22" t="s">
        <v>1447</v>
      </c>
      <c r="BB323" s="43"/>
      <c r="BC323" s="22" t="s">
        <v>4910</v>
      </c>
      <c r="BD323" s="43"/>
      <c r="BE323" s="43"/>
      <c r="BF323" s="22">
        <f>IFERROR(VLOOKUP(C323,'спецификация'!B:D,3,0)," ")</f>
        <v>4603320465458</v>
      </c>
      <c r="BG323" s="22">
        <v>3.3071E9</v>
      </c>
      <c r="BH323" s="22" t="str">
        <f>IFERROR(VLOOKUP(C323,'спецификация'!B:AA,5,0)," ")</f>
        <v/>
      </c>
      <c r="BI323" s="22"/>
      <c r="BJ323" s="22" t="str">
        <f>IFERROR(VLOOKUP(C323,'спецификация'!B:AA,6,0)," ")</f>
        <v>нет</v>
      </c>
      <c r="BK323" s="43"/>
      <c r="BL323" s="43"/>
      <c r="BM323" s="22" t="str">
        <f>IFERROR(VLOOKUP(BF323,'спецификация'!D:H,5,0)," ")</f>
        <v>Гель для бритья</v>
      </c>
      <c r="BN323" s="43"/>
      <c r="BO323" s="22" t="str">
        <f>IFERROR(VLOOKUP(C323,'спецификация'!B:AA,10,0)," ")</f>
        <v>равномерно нанесите гель на сухую, предварительно очищенную кожу, и приступайте к бритью.</v>
      </c>
      <c r="BP323" s="43" t="str">
        <f>IFERROR(VLOOKUP(C323,'спецификация'!B:AA,11,0)," ")</f>
        <v>использовать только по назначению. Хранить в недоступном для детей месте. При попадании в глаза, немедленно промыть их обильным количеством чистой воды.</v>
      </c>
      <c r="BQ323" s="22" t="str">
        <f>IFERROR(VLOOKUP(C323,'спецификация'!B:AA,12,0)," ")</f>
        <v>хранить при температуре от +5 до +25оС, избегать попадания прямых солнечных лучей.
</v>
      </c>
      <c r="BR323" s="22">
        <v>300.0</v>
      </c>
      <c r="BS323" s="22" t="s">
        <v>139</v>
      </c>
      <c r="BT323" s="22"/>
      <c r="BU323" s="22"/>
      <c r="BV323" s="22" t="s">
        <v>727</v>
      </c>
      <c r="BW323" s="44" t="str">
        <f>IFERROR(VLOOKUP(C323,'спецификация'!B:AA,16,0)," ")</f>
        <v>https://docs.google.com/document/d/1C-nkMsWIC8pzvf18QVp9LWKkWu_mwrHP/edit?usp=drive_web&amp;ouid=104241417680089502627&amp;rtpof=true</v>
      </c>
      <c r="BX323" s="43"/>
      <c r="BY323" s="43"/>
      <c r="BZ323" s="45" t="str">
        <f>IFERROR(VLOOKUP(BF323,'спецификация'!D:Y,22,0)," ")</f>
        <v/>
      </c>
      <c r="CA323" s="43"/>
      <c r="CB323" s="43"/>
      <c r="CC323" s="43"/>
      <c r="CD323" s="43"/>
      <c r="CE323" s="43"/>
      <c r="CF323" s="43"/>
      <c r="CG323" s="49">
        <f>IFERROR(VLOOKUP(C323,CC!A:D,4,0)," ")</f>
        <v>125.68</v>
      </c>
      <c r="CH323" s="22" t="str">
        <f>IFERROR(VLOOKUP(C323,'спецификация'!B:AA,19,0)," ")</f>
        <v>ООО "Марвел"</v>
      </c>
      <c r="CI323" s="22"/>
      <c r="CJ323" s="22" t="s">
        <v>2944</v>
      </c>
      <c r="CK323" s="22">
        <f>IFERROR(VLOOKUP(C323,CC!K:M,3,0)," ")</f>
        <v>60</v>
      </c>
      <c r="CL323" s="43"/>
      <c r="CM323" s="43"/>
      <c r="CN323" s="43"/>
      <c r="CO323" s="43"/>
      <c r="CP323" s="43"/>
      <c r="CQ323" s="43"/>
      <c r="CR323" s="43"/>
      <c r="CS323" s="43" t="b">
        <v>0</v>
      </c>
      <c r="CT323" s="43" t="b">
        <v>0</v>
      </c>
      <c r="CU323" s="43" t="b">
        <v>0</v>
      </c>
      <c r="CV323" s="43" t="b">
        <v>0</v>
      </c>
      <c r="CW323" s="43"/>
      <c r="CX323" s="43"/>
      <c r="CY323" s="43"/>
      <c r="CZ323" s="43"/>
      <c r="DA323" s="43"/>
      <c r="DB323" s="43"/>
      <c r="DC323" s="43"/>
      <c r="DD323" s="22">
        <f>IFERROR(VLOOKUP($C323,'Лист4'!$D:$AI,27,0)," ")</f>
        <v>6</v>
      </c>
      <c r="DE323" s="22">
        <f>IFERROR(VLOOKUP($C323,'Лист4'!$D:$AI,28,0)," ")</f>
        <v>16</v>
      </c>
      <c r="DF323" s="22">
        <f>IFERROR(VLOOKUP($C323,'Лист4'!$D:$AI,29,0)," ")</f>
        <v>6</v>
      </c>
      <c r="DG323" s="22">
        <f t="shared" si="3"/>
        <v>576</v>
      </c>
      <c r="DH323" s="22">
        <f>IFERROR(VLOOKUP($C323,'Лист4'!$D:$AI,32,0)," ")</f>
        <v>0.317</v>
      </c>
      <c r="DI323" s="22"/>
      <c r="DJ323" s="22"/>
      <c r="DK323" s="22"/>
      <c r="DL323" s="22"/>
      <c r="DM323" s="22"/>
      <c r="DN323" s="22"/>
      <c r="DO323" s="22"/>
      <c r="DP323" s="22"/>
      <c r="DQ323" s="22"/>
      <c r="DR323" s="22"/>
      <c r="DS323" s="22"/>
      <c r="DT323" s="22"/>
      <c r="DU323" s="22"/>
      <c r="DV323" s="22"/>
      <c r="DW323" s="22"/>
      <c r="DX323" s="22"/>
      <c r="DY323" s="22"/>
      <c r="DZ323" s="22"/>
      <c r="EA323" s="22"/>
      <c r="EB323" s="22"/>
      <c r="EC323" s="22"/>
      <c r="ED323" s="22"/>
      <c r="EE323" s="22"/>
      <c r="EF323" s="22"/>
      <c r="EG323" s="22"/>
      <c r="EH323" s="22"/>
      <c r="EI323" s="22"/>
      <c r="EJ323" s="22"/>
      <c r="EK323" s="22"/>
      <c r="EL323" s="22"/>
      <c r="EM323" s="43"/>
      <c r="EN323" s="43"/>
      <c r="EO323" s="43"/>
      <c r="EP323" s="43"/>
      <c r="EQ323" s="43"/>
      <c r="ER323" s="43"/>
      <c r="ES323" s="43"/>
      <c r="ET323" s="43"/>
      <c r="EU323" s="43"/>
      <c r="EV323" s="43"/>
      <c r="EW323" s="43"/>
      <c r="EX323" s="43"/>
      <c r="EY323" s="43"/>
      <c r="EZ323" s="43"/>
      <c r="FA323" s="43"/>
      <c r="FB323" s="43"/>
      <c r="FC323" s="43"/>
    </row>
    <row r="324" ht="18.0" customHeight="1">
      <c r="A324" s="2"/>
      <c r="B324" s="22" t="str">
        <f>IFERROR(VLOOKUP(C324,'Реестр'!C:AC,27,0)," ")</f>
        <v>Смарт-Сэйл</v>
      </c>
      <c r="C324" s="43" t="s">
        <v>4916</v>
      </c>
      <c r="D324" s="22" t="str">
        <f>IFERROR(VLOOKUP(C324,'Лист4'!D:P,13,0)," ")</f>
        <v>Алтея</v>
      </c>
      <c r="E324" s="22" t="str">
        <f>IF(OR(ISERROR(VLOOKUP(C324,'Актуальность'!A:B,2,0)), VLOOKUP(C324,'Актуальность'!A:B,2,0)=""), "Актуальный", VLOOKUP(C324,'Актуальность'!A:B,2,0))</f>
        <v>Под вопросом</v>
      </c>
      <c r="F324" s="43" t="str">
        <f>IFERROR(VLOOKUP(C324,'Актуальность'!A:C,3,0)," ")</f>
        <v/>
      </c>
      <c r="G324" s="43"/>
      <c r="H324" s="22" t="s">
        <v>361</v>
      </c>
      <c r="I324" s="22" t="s">
        <v>4045</v>
      </c>
      <c r="J324" s="43"/>
      <c r="K324" s="43"/>
      <c r="L324" s="22" t="b">
        <f t="shared" ref="L324:R324" si="320">T324&lt;&gt;""</f>
        <v>1</v>
      </c>
      <c r="M324" s="22" t="b">
        <f t="shared" si="320"/>
        <v>1</v>
      </c>
      <c r="N324" s="22" t="b">
        <f t="shared" si="320"/>
        <v>1</v>
      </c>
      <c r="O324" s="22" t="b">
        <f t="shared" si="320"/>
        <v>1</v>
      </c>
      <c r="P324" s="22" t="b">
        <f t="shared" si="320"/>
        <v>0</v>
      </c>
      <c r="Q324" s="22" t="b">
        <f t="shared" si="320"/>
        <v>0</v>
      </c>
      <c r="R324" s="22" t="b">
        <f t="shared" si="320"/>
        <v>0</v>
      </c>
      <c r="S324" s="43"/>
      <c r="T324" s="43" t="str">
        <f>IFERROR(VLOOKUP( C324,'1С'!A:B,2,0)," ")</f>
        <v>AB101100400</v>
      </c>
      <c r="U324" s="22" t="str">
        <f>IFERROR(VLOOKUP(T324,'Лист4'!C:I,3,0)," ")</f>
        <v>limfaks_BAD_30caps</v>
      </c>
      <c r="V324" s="22" t="str">
        <f>IFERROR(VLOOKUP(T324,'Лист4'!C:I,4,0)," ")</f>
        <v>limfaks_BAD_30caps</v>
      </c>
      <c r="W324" s="22" t="str">
        <f>IFERROR(VLOOKUP(T324,'Лист4'!C:I,5,0)," ")</f>
        <v>limfaks_BAD_30caps</v>
      </c>
      <c r="X324" s="43" t="str">
        <f>IFERROR(VLOOKUP(T324,'Лист4'!C:I,7,0)," ")</f>
        <v/>
      </c>
      <c r="Y324" s="43" t="str">
        <f>IFERROR(VLOOKUP(T324,'Лист4'!C:I,6,0)," ")</f>
        <v/>
      </c>
      <c r="Z324" s="43"/>
      <c r="AA324" s="43"/>
      <c r="AB324" s="22">
        <v>2.76258805E8</v>
      </c>
      <c r="AC324" s="22">
        <v>1.745055145E9</v>
      </c>
      <c r="AD324" s="22">
        <v>1.0359944665E11</v>
      </c>
      <c r="AE324" s="22"/>
      <c r="AF324" s="22"/>
      <c r="AG324" s="43"/>
      <c r="AH324" s="43"/>
      <c r="AI324" s="43" t="str">
        <f>IFERROR(VLOOKUP(T324,'1С'!B:C,2,0)," ")</f>
        <v>БАД Лимфакс, Алтея, 30 капсул</v>
      </c>
      <c r="AJ324" s="22" t="s">
        <v>4919</v>
      </c>
      <c r="AK324" s="22" t="s">
        <v>4920</v>
      </c>
      <c r="AL324" s="22" t="s">
        <v>4921</v>
      </c>
      <c r="AM324" s="43"/>
      <c r="AN324" s="43"/>
      <c r="AO324" s="43"/>
      <c r="AP324" s="43"/>
      <c r="AQ324" s="46" t="s">
        <v>4922</v>
      </c>
      <c r="AR324" s="46" t="s">
        <v>4923</v>
      </c>
      <c r="AS324" s="46" t="s">
        <v>4924</v>
      </c>
      <c r="AT324" s="43"/>
      <c r="AU324" s="43"/>
      <c r="AV324" s="43"/>
      <c r="AW324" s="43"/>
      <c r="AX324" s="22" t="s">
        <v>361</v>
      </c>
      <c r="AY324" s="22" t="s">
        <v>4920</v>
      </c>
      <c r="AZ324" s="22" t="s">
        <v>372</v>
      </c>
      <c r="BA324" s="43"/>
      <c r="BB324" s="43"/>
      <c r="BC324" s="43"/>
      <c r="BD324" s="43"/>
      <c r="BE324" s="43"/>
      <c r="BF324" s="22">
        <f>IFERROR(VLOOKUP(C324,'спецификация'!B:D,3,0)," ")</f>
        <v>4610030631943</v>
      </c>
      <c r="BG324" s="22">
        <v>2.106909803E9</v>
      </c>
      <c r="BH324" s="22" t="str">
        <f>IFERROR(VLOOKUP(C324,'спецификация'!B:AA,5,0)," ")</f>
        <v/>
      </c>
      <c r="BI324" s="22"/>
      <c r="BJ324" s="22" t="str">
        <f>IFERROR(VLOOKUP(C324,'спецификация'!B:AA,6,0)," ")</f>
        <v>да</v>
      </c>
      <c r="BK324" s="43"/>
      <c r="BL324" s="43"/>
      <c r="BM324" s="22" t="str">
        <f>IFERROR(VLOOKUP(BF324,'спецификация'!D:H,5,0)," ")</f>
        <v>носитель: целлюлоза микрокристаллическая (Е460), экстракт череды, экстракт вишни, экстракт лопуха, экстракт крапивы, экстракт петрушки, экстракт зеленого чая, экстракт мяты, экстракт померанца, экстракт софоры японской, агент антислеживающий: магниевая соль стеариновой кислоты (Е470), агент антислеживающий: диоксид кремния аморфный (Е551), оболочка капсулы белого цвета (желатин, краситель: оксид цинка).</v>
      </c>
      <c r="BN324" s="43"/>
      <c r="BO324" s="22" t="str">
        <f>IFERROR(VLOOKUP(C324,'спецификация'!B:AA,10,0)," ")</f>
        <v>взрослым по 1 капсуле 2 раза в день во время еды.
Продолжительность приема – 15 дней. При необходимости прием можно повторить. 
</v>
      </c>
      <c r="BP324" s="43" t="str">
        <f>IFERROR(VLOOKUP(C324,'спецификация'!B:AA,11,0)," ")</f>
        <v>индивидуальная непереносимость компонентов продукта, беременность, кормление грудью.
Перед применением рекомендуется проконсультироваться с врачом.
</v>
      </c>
      <c r="BQ324" s="22" t="str">
        <f>IFERROR(VLOOKUP(C324,'спецификация'!B:AA,12,0)," ")</f>
        <v>: хранить в сухом, защищенном от прямых солнечных лучей и недоступном для детей месте при температуре не выше +25 °С.  </v>
      </c>
      <c r="BR324" s="22">
        <v>30.0</v>
      </c>
      <c r="BS324" s="22" t="s">
        <v>492</v>
      </c>
      <c r="BT324" s="22"/>
      <c r="BU324" s="22"/>
      <c r="BV324" s="22" t="s">
        <v>307</v>
      </c>
      <c r="BW324" s="44" t="str">
        <f>IFERROR(VLOOKUP(C324,'спецификация'!B:AA,16,0)," ")</f>
        <v>https://docs.google.com/document/d/1oD9n8QawKqk5lJVA06yTNjvgAgVvrLqJ/edit</v>
      </c>
      <c r="BX324" s="43"/>
      <c r="BY324" s="43"/>
      <c r="BZ324" s="45" t="str">
        <f>IFERROR(VLOOKUP(BF324,'спецификация'!D:Y,22,0)," ")</f>
        <v/>
      </c>
      <c r="CA324" s="43"/>
      <c r="CB324" s="43"/>
      <c r="CC324" s="43"/>
      <c r="CD324" s="43"/>
      <c r="CE324" s="43"/>
      <c r="CF324" s="43"/>
      <c r="CG324" s="49">
        <f>IFERROR(VLOOKUP(C324,CC!A:D,4,0)," ")</f>
        <v>136.03</v>
      </c>
      <c r="CH324" s="22" t="str">
        <f>IFERROR(VLOOKUP(C324,'спецификация'!B:AA,19,0)," ")</f>
        <v>ООО «Химфармконтракт», 129329, Россия, г. Москва, вн. тер г., Муниципальный округ Свиблово, ул. Кольская, д.1, этаж/помещение 6/I, ком.10. 
</v>
      </c>
      <c r="CI324" s="22"/>
      <c r="CJ324" s="22" t="s">
        <v>805</v>
      </c>
      <c r="CK324" s="22">
        <f>IFERROR(VLOOKUP(C324,CC!K:M,3,0)," ")</f>
        <v>90</v>
      </c>
      <c r="CL324" s="43"/>
      <c r="CM324" s="43"/>
      <c r="CN324" s="43"/>
      <c r="CO324" s="43"/>
      <c r="CP324" s="43"/>
      <c r="CQ324" s="43"/>
      <c r="CR324" s="43"/>
      <c r="CS324" s="43" t="b">
        <v>0</v>
      </c>
      <c r="CT324" s="43" t="b">
        <v>0</v>
      </c>
      <c r="CU324" s="43" t="b">
        <v>0</v>
      </c>
      <c r="CV324" s="43" t="b">
        <v>0</v>
      </c>
      <c r="CW324" s="43"/>
      <c r="CX324" s="43"/>
      <c r="CY324" s="43"/>
      <c r="CZ324" s="43"/>
      <c r="DA324" s="43"/>
      <c r="DB324" s="43"/>
      <c r="DC324" s="43"/>
      <c r="DD324" s="22">
        <f>IFERROR(VLOOKUP($C324,'Лист4'!$D:$AI,27,0)," ")</f>
        <v>8</v>
      </c>
      <c r="DE324" s="22">
        <f>IFERROR(VLOOKUP($C324,'Лист4'!$D:$AI,28,0)," ")</f>
        <v>4</v>
      </c>
      <c r="DF324" s="22">
        <f>IFERROR(VLOOKUP($C324,'Лист4'!$D:$AI,29,0)," ")</f>
        <v>8</v>
      </c>
      <c r="DG324" s="22">
        <f t="shared" si="3"/>
        <v>256</v>
      </c>
      <c r="DH324" s="22">
        <f>IFERROR(VLOOKUP($C324,'Лист4'!$D:$AI,32,0)," ")</f>
        <v>0.035</v>
      </c>
      <c r="DI324" s="22"/>
      <c r="DJ324" s="22"/>
      <c r="DK324" s="22"/>
      <c r="DL324" s="22"/>
      <c r="DM324" s="22"/>
      <c r="DN324" s="22"/>
      <c r="DO324" s="22"/>
      <c r="DP324" s="22"/>
      <c r="DQ324" s="22"/>
      <c r="DR324" s="22"/>
      <c r="DS324" s="22"/>
      <c r="DT324" s="22"/>
      <c r="DU324" s="22"/>
      <c r="DV324" s="22"/>
      <c r="DW324" s="22"/>
      <c r="DX324" s="22"/>
      <c r="DY324" s="22"/>
      <c r="DZ324" s="22"/>
      <c r="EA324" s="22"/>
      <c r="EB324" s="22"/>
      <c r="EC324" s="22"/>
      <c r="ED324" s="22"/>
      <c r="EE324" s="22"/>
      <c r="EF324" s="22"/>
      <c r="EG324" s="22"/>
      <c r="EH324" s="22"/>
      <c r="EI324" s="22"/>
      <c r="EJ324" s="22"/>
      <c r="EK324" s="22"/>
      <c r="EL324" s="22"/>
      <c r="EM324" s="43"/>
      <c r="EN324" s="43"/>
      <c r="EO324" s="43"/>
      <c r="EP324" s="43"/>
      <c r="EQ324" s="43"/>
      <c r="ER324" s="43"/>
      <c r="ES324" s="43"/>
      <c r="ET324" s="43"/>
      <c r="EU324" s="43"/>
      <c r="EV324" s="43"/>
      <c r="EW324" s="43"/>
      <c r="EX324" s="43"/>
      <c r="EY324" s="43"/>
      <c r="EZ324" s="43"/>
      <c r="FA324" s="43"/>
      <c r="FB324" s="43"/>
      <c r="FC324" s="43"/>
    </row>
    <row r="325" ht="18.0" customHeight="1">
      <c r="A325" s="2"/>
      <c r="B325" s="22" t="str">
        <f>IFERROR(VLOOKUP(C325,'Реестр'!C:AC,27,0)," ")</f>
        <v>Смарт-Сэйл</v>
      </c>
      <c r="C325" s="43" t="s">
        <v>4930</v>
      </c>
      <c r="D325" s="22" t="str">
        <f>IFERROR(VLOOKUP(C325,'Лист4'!D:P,13,0)," ")</f>
        <v>CPA</v>
      </c>
      <c r="E325" s="22" t="str">
        <f>IF(OR(ISERROR(VLOOKUP(C325,'Актуальность'!A:B,2,0)), VLOOKUP(C325,'Актуальность'!A:B,2,0)=""), "Актуальный", VLOOKUP(C325,'Актуальность'!A:B,2,0))</f>
        <v>Актуальный</v>
      </c>
      <c r="F325" s="43" t="str">
        <f>IFERROR(VLOOKUP(C325,'Актуальность'!A:C,3,0)," ")</f>
        <v/>
      </c>
      <c r="G325" s="43"/>
      <c r="H325" s="22" t="s">
        <v>2663</v>
      </c>
      <c r="I325" s="22" t="s">
        <v>3697</v>
      </c>
      <c r="J325" s="43"/>
      <c r="K325" s="43"/>
      <c r="L325" s="22" t="b">
        <f t="shared" ref="L325:R325" si="321">T325&lt;&gt;""</f>
        <v>1</v>
      </c>
      <c r="M325" s="22" t="b">
        <f t="shared" si="321"/>
        <v>1</v>
      </c>
      <c r="N325" s="22" t="b">
        <f t="shared" si="321"/>
        <v>1</v>
      </c>
      <c r="O325" s="22" t="b">
        <f t="shared" si="321"/>
        <v>1</v>
      </c>
      <c r="P325" s="22" t="b">
        <f t="shared" si="321"/>
        <v>0</v>
      </c>
      <c r="Q325" s="22" t="b">
        <f t="shared" si="321"/>
        <v>0</v>
      </c>
      <c r="R325" s="22" t="b">
        <f t="shared" si="321"/>
        <v>0</v>
      </c>
      <c r="S325" s="43"/>
      <c r="T325" s="43" t="str">
        <f>IFERROR(VLOOKUP( C325,'1С'!A:B,2,0)," ")</f>
        <v>CO101100417</v>
      </c>
      <c r="U325" s="22" t="str">
        <f>IFERROR(VLOOKUP(T325,'Лист4'!C:I,3,0)," ")</f>
        <v>wboptitrin</v>
      </c>
      <c r="V325" s="22" t="str">
        <f>IFERROR(VLOOKUP(T325,'Лист4'!C:I,4,0)," ")</f>
        <v>wboptitrin</v>
      </c>
      <c r="W325" s="22" t="str">
        <f>IFERROR(VLOOKUP(T325,'Лист4'!C:I,5,0)," ")</f>
        <v>wboptitrin</v>
      </c>
      <c r="X325" s="43" t="str">
        <f>IFERROR(VLOOKUP(T325,'Лист4'!C:I,7,0)," ")</f>
        <v/>
      </c>
      <c r="Y325" s="43" t="str">
        <f>IFERROR(VLOOKUP(T325,'Лист4'!C:I,6,0)," ")</f>
        <v/>
      </c>
      <c r="Z325" s="43"/>
      <c r="AA325" s="43"/>
      <c r="AB325" s="22">
        <v>1.7898843E7</v>
      </c>
      <c r="AC325" s="22">
        <v>2.91860206E8</v>
      </c>
      <c r="AD325" s="22">
        <v>1.03515413326E11</v>
      </c>
      <c r="AE325" s="22"/>
      <c r="AF325" s="22"/>
      <c r="AG325" s="43"/>
      <c r="AH325" s="43"/>
      <c r="AI325" s="43" t="str">
        <f>IFERROR(VLOOKUP(T325,'1С'!B:C,2,0)," ")</f>
        <v>Пищевая добавка Оптитрин, CPA, 7 ампул</v>
      </c>
      <c r="AJ325" s="22" t="s">
        <v>4933</v>
      </c>
      <c r="AK325" s="22" t="s">
        <v>4934</v>
      </c>
      <c r="AL325" s="22" t="s">
        <v>4935</v>
      </c>
      <c r="AM325" s="43"/>
      <c r="AN325" s="43"/>
      <c r="AO325" s="43"/>
      <c r="AP325" s="43"/>
      <c r="AQ325" s="46" t="s">
        <v>4936</v>
      </c>
      <c r="AR325" s="46" t="s">
        <v>4937</v>
      </c>
      <c r="AS325" s="46" t="s">
        <v>4938</v>
      </c>
      <c r="AT325" s="43"/>
      <c r="AU325" s="43"/>
      <c r="AV325" s="43"/>
      <c r="AW325" s="43"/>
      <c r="AX325" s="22" t="s">
        <v>649</v>
      </c>
      <c r="AY325" s="22" t="s">
        <v>4934</v>
      </c>
      <c r="AZ325" s="22" t="s">
        <v>372</v>
      </c>
      <c r="BA325" s="43"/>
      <c r="BB325" s="43"/>
      <c r="BC325" s="43"/>
      <c r="BD325" s="43"/>
      <c r="BE325" s="43"/>
      <c r="BF325" s="22" t="str">
        <f>IFERROR(VLOOKUP(C325,'спецификация'!B:D,3,0)," ")</f>
        <v> </v>
      </c>
      <c r="BG325" s="22">
        <v>2.103909009E9</v>
      </c>
      <c r="BH325" s="22" t="str">
        <f>IFERROR(VLOOKUP(C325,'спецификация'!B:AA,5,0)," ")</f>
        <v> </v>
      </c>
      <c r="BI325" s="22"/>
      <c r="BJ325" s="22" t="str">
        <f>IFERROR(VLOOKUP(C325,'спецификация'!B:AA,6,0)," ")</f>
        <v> </v>
      </c>
      <c r="BK325" s="43"/>
      <c r="BL325" s="43"/>
      <c r="BM325" s="22" t="str">
        <f>IFERROR(VLOOKUP(BF325,'спецификация'!D:H,5,0)," ")</f>
        <v> </v>
      </c>
      <c r="BN325" s="43"/>
      <c r="BO325" s="22" t="str">
        <f>IFERROR(VLOOKUP(C325,'спецификация'!B:AA,10,0)," ")</f>
        <v> </v>
      </c>
      <c r="BP325" s="43" t="str">
        <f>IFERROR(VLOOKUP(C325,'спецификация'!B:AA,11,0)," ")</f>
        <v> </v>
      </c>
      <c r="BQ325" s="22" t="str">
        <f>IFERROR(VLOOKUP(C325,'спецификация'!B:AA,12,0)," ")</f>
        <v> </v>
      </c>
      <c r="BR325" s="22">
        <v>7.0</v>
      </c>
      <c r="BS325" s="22" t="s">
        <v>4337</v>
      </c>
      <c r="BT325" s="22"/>
      <c r="BU325" s="22"/>
      <c r="BV325" s="22" t="s">
        <v>307</v>
      </c>
      <c r="BW325" s="45" t="str">
        <f>IFERROR(VLOOKUP(C325,'спецификация'!B:AA,16,0)," ")</f>
        <v> </v>
      </c>
      <c r="BX325" s="43"/>
      <c r="BY325" s="43"/>
      <c r="BZ325" s="45" t="str">
        <f>IFERROR(VLOOKUP(BF325,'спецификация'!D:Y,22,0)," ")</f>
        <v> </v>
      </c>
      <c r="CA325" s="43"/>
      <c r="CB325" s="43"/>
      <c r="CC325" s="43"/>
      <c r="CD325" s="43"/>
      <c r="CE325" s="43"/>
      <c r="CF325" s="43"/>
      <c r="CG325" s="49">
        <f>IFERROR(VLOOKUP(C325,CC!A:D,4,0)," ")</f>
        <v>117.37</v>
      </c>
      <c r="CH325" s="22" t="str">
        <f>IFERROR(VLOOKUP(C325,'спецификация'!B:AA,19,0)," ")</f>
        <v> </v>
      </c>
      <c r="CI325" s="22"/>
      <c r="CJ325" s="43"/>
      <c r="CK325" s="22" t="str">
        <f>IFERROR(VLOOKUP(C325,CC!K:M,3,0)," ")</f>
        <v> </v>
      </c>
      <c r="CL325" s="43"/>
      <c r="CM325" s="43"/>
      <c r="CN325" s="43"/>
      <c r="CO325" s="43"/>
      <c r="CP325" s="43"/>
      <c r="CQ325" s="43"/>
      <c r="CR325" s="43"/>
      <c r="CS325" s="43" t="b">
        <v>0</v>
      </c>
      <c r="CT325" s="43" t="b">
        <v>0</v>
      </c>
      <c r="CU325" s="43" t="b">
        <v>0</v>
      </c>
      <c r="CV325" s="43" t="b">
        <v>0</v>
      </c>
      <c r="CW325" s="43"/>
      <c r="CX325" s="43"/>
      <c r="CY325" s="43"/>
      <c r="CZ325" s="43"/>
      <c r="DA325" s="43"/>
      <c r="DB325" s="43"/>
      <c r="DC325" s="43"/>
      <c r="DD325" s="22">
        <f>IFERROR(VLOOKUP($C325,'Лист4'!$D:$AI,27,0)," ")</f>
        <v>12</v>
      </c>
      <c r="DE325" s="22">
        <f>IFERROR(VLOOKUP($C325,'Лист4'!$D:$AI,28,0)," ")</f>
        <v>1</v>
      </c>
      <c r="DF325" s="22">
        <f>IFERROR(VLOOKUP($C325,'Лист4'!$D:$AI,29,0)," ")</f>
        <v>12</v>
      </c>
      <c r="DG325" s="22">
        <f t="shared" si="3"/>
        <v>144</v>
      </c>
      <c r="DH325" s="22">
        <f>IFERROR(VLOOKUP($C325,'Лист4'!$D:$AI,32,0)," ")</f>
        <v>0.034</v>
      </c>
      <c r="DI325" s="22"/>
      <c r="DJ325" s="22"/>
      <c r="DK325" s="22"/>
      <c r="DL325" s="22"/>
      <c r="DM325" s="22"/>
      <c r="DN325" s="22"/>
      <c r="DO325" s="22"/>
      <c r="DP325" s="22"/>
      <c r="DQ325" s="22"/>
      <c r="DR325" s="22"/>
      <c r="DS325" s="22"/>
      <c r="DT325" s="22"/>
      <c r="DU325" s="22"/>
      <c r="DV325" s="22"/>
      <c r="DW325" s="22"/>
      <c r="DX325" s="22"/>
      <c r="DY325" s="22"/>
      <c r="DZ325" s="22"/>
      <c r="EA325" s="22"/>
      <c r="EB325" s="22"/>
      <c r="EC325" s="22"/>
      <c r="ED325" s="22"/>
      <c r="EE325" s="22"/>
      <c r="EF325" s="22"/>
      <c r="EG325" s="22"/>
      <c r="EH325" s="22"/>
      <c r="EI325" s="22"/>
      <c r="EJ325" s="22"/>
      <c r="EK325" s="22"/>
      <c r="EL325" s="22"/>
      <c r="EM325" s="43"/>
      <c r="EN325" s="43"/>
      <c r="EO325" s="43"/>
      <c r="EP325" s="43"/>
      <c r="EQ325" s="43"/>
      <c r="ER325" s="43"/>
      <c r="ES325" s="43"/>
      <c r="ET325" s="43"/>
      <c r="EU325" s="43"/>
      <c r="EV325" s="43"/>
      <c r="EW325" s="43"/>
      <c r="EX325" s="43"/>
      <c r="EY325" s="43"/>
      <c r="EZ325" s="43"/>
      <c r="FA325" s="43"/>
      <c r="FB325" s="43"/>
      <c r="FC325" s="43"/>
    </row>
    <row r="326" ht="18.0" customHeight="1">
      <c r="A326" s="2"/>
      <c r="B326" s="22" t="str">
        <f>IFERROR(VLOOKUP(C326,'Реестр'!C:AC,27,0)," ")</f>
        <v>Смарт-Сэйл</v>
      </c>
      <c r="C326" s="43" t="s">
        <v>4943</v>
      </c>
      <c r="D326" s="22" t="str">
        <f>IFERROR(VLOOKUP(C326,'Лист4'!D:P,13,0)," ")</f>
        <v>CPA</v>
      </c>
      <c r="E326" s="22" t="str">
        <f>IF(OR(ISERROR(VLOOKUP(C326,'Актуальность'!A:B,2,0)), VLOOKUP(C326,'Актуальность'!A:B,2,0)=""), "Актуальный", VLOOKUP(C326,'Актуальность'!A:B,2,0))</f>
        <v>Актуальный</v>
      </c>
      <c r="F326" s="43" t="str">
        <f>IFERROR(VLOOKUP(C326,'Актуальность'!A:C,3,0)," ")</f>
        <v/>
      </c>
      <c r="G326" s="43"/>
      <c r="H326" s="22" t="s">
        <v>2663</v>
      </c>
      <c r="I326" s="22" t="s">
        <v>2718</v>
      </c>
      <c r="J326" s="43"/>
      <c r="K326" s="43"/>
      <c r="L326" s="22" t="b">
        <f t="shared" ref="L326:R326" si="322">T326&lt;&gt;""</f>
        <v>1</v>
      </c>
      <c r="M326" s="22" t="b">
        <f t="shared" si="322"/>
        <v>1</v>
      </c>
      <c r="N326" s="22" t="b">
        <f t="shared" si="322"/>
        <v>1</v>
      </c>
      <c r="O326" s="22" t="b">
        <f t="shared" si="322"/>
        <v>1</v>
      </c>
      <c r="P326" s="22" t="b">
        <f t="shared" si="322"/>
        <v>0</v>
      </c>
      <c r="Q326" s="22" t="b">
        <f t="shared" si="322"/>
        <v>0</v>
      </c>
      <c r="R326" s="22" t="b">
        <f t="shared" si="322"/>
        <v>0</v>
      </c>
      <c r="S326" s="43"/>
      <c r="T326" s="43" t="str">
        <f>IFERROR(VLOOKUP( C326,'1С'!A:B,2,0)," ")</f>
        <v>CO101100452</v>
      </c>
      <c r="U326" s="22" t="str">
        <f>IFERROR(VLOOKUP(T326,'Лист4'!C:I,3,0)," ")</f>
        <v>t34poten10caps</v>
      </c>
      <c r="V326" s="22" t="str">
        <f>IFERROR(VLOOKUP(T326,'Лист4'!C:I,4,0)," ")</f>
        <v>t34poten10caps</v>
      </c>
      <c r="W326" s="22" t="str">
        <f>IFERROR(VLOOKUP(T326,'Лист4'!C:I,5,0)," ")</f>
        <v>t34poten10caps</v>
      </c>
      <c r="X326" s="43" t="str">
        <f>IFERROR(VLOOKUP(T326,'Лист4'!C:I,7,0)," ")</f>
        <v/>
      </c>
      <c r="Y326" s="43" t="str">
        <f>IFERROR(VLOOKUP(T326,'Лист4'!C:I,6,0)," ")</f>
        <v/>
      </c>
      <c r="Z326" s="43"/>
      <c r="AA326" s="43"/>
      <c r="AB326" s="22">
        <v>1.50790885E8</v>
      </c>
      <c r="AC326" s="22">
        <v>8.89458318E8</v>
      </c>
      <c r="AD326" s="22">
        <v>1.03340892602E11</v>
      </c>
      <c r="AE326" s="22"/>
      <c r="AF326" s="22"/>
      <c r="AG326" s="43"/>
      <c r="AH326" s="43"/>
      <c r="AI326" s="43" t="str">
        <f>IFERROR(VLOOKUP(T326,'1С'!B:C,2,0)," ")</f>
        <v>Пищевая добавка Т 34, CPA, 20 капсул</v>
      </c>
      <c r="AJ326" s="22" t="s">
        <v>4646</v>
      </c>
      <c r="AK326" s="22" t="s">
        <v>4946</v>
      </c>
      <c r="AL326" s="22" t="s">
        <v>4947</v>
      </c>
      <c r="AM326" s="43"/>
      <c r="AN326" s="43"/>
      <c r="AO326" s="43"/>
      <c r="AP326" s="43"/>
      <c r="AQ326" s="46" t="s">
        <v>4948</v>
      </c>
      <c r="AR326" s="46" t="s">
        <v>4949</v>
      </c>
      <c r="AS326" s="46" t="s">
        <v>4950</v>
      </c>
      <c r="AT326" s="43"/>
      <c r="AU326" s="43"/>
      <c r="AV326" s="43"/>
      <c r="AW326" s="43"/>
      <c r="AX326" s="22" t="s">
        <v>4845</v>
      </c>
      <c r="AY326" s="22" t="s">
        <v>4946</v>
      </c>
      <c r="AZ326" s="22" t="s">
        <v>2692</v>
      </c>
      <c r="BA326" s="43"/>
      <c r="BB326" s="43"/>
      <c r="BC326" s="43"/>
      <c r="BD326" s="43"/>
      <c r="BE326" s="43"/>
      <c r="BF326" s="22">
        <f>IFERROR(VLOOKUP(C326,'спецификация'!B:D,3,0)," ")</f>
        <v>4627144543048</v>
      </c>
      <c r="BG326" s="22"/>
      <c r="BH326" s="22" t="str">
        <f>IFERROR(VLOOKUP(C326,'спецификация'!B:AA,5,0)," ")</f>
        <v>ЕАЭС N RU Д-RU.РА08.В.93267/22</v>
      </c>
      <c r="BI326" s="22"/>
      <c r="BJ326" s="22" t="str">
        <f>IFERROR(VLOOKUP(C326,'спецификация'!B:AA,6,0)," ")</f>
        <v/>
      </c>
      <c r="BK326" s="43"/>
      <c r="BL326" s="43"/>
      <c r="BM326" s="22" t="str">
        <f>IFERROR(VLOOKUP(BF326,'спецификация'!D:H,5,0)," ")</f>
        <v>экстракт корня женьшеня, экстракт корня эврикомы, экстракт йохимбе, экстракт перуанской маки, диоксид кремния.</v>
      </c>
      <c r="BN326" s="43"/>
      <c r="BO326" s="22" t="str">
        <f>IFERROR(VLOOKUP(C326,'спецификация'!B:AA,10,0)," ")</f>
        <v/>
      </c>
      <c r="BP326" s="43" t="str">
        <f>IFERROR(VLOOKUP(C326,'спецификация'!B:AA,11,0)," ")</f>
        <v>индивидуальная непереносимость компонентов средства.</v>
      </c>
      <c r="BQ326" s="22" t="str">
        <f>IFERROR(VLOOKUP(C326,'спецификация'!B:AA,12,0)," ")</f>
        <v>хранить в оригинальной закрытой упаковке в защищенном от прямых солнечных лучей и недоступном для детей месте при температуре не выше +25 ºС.</v>
      </c>
      <c r="BR326" s="22">
        <v>10.0</v>
      </c>
      <c r="BS326" s="22" t="s">
        <v>492</v>
      </c>
      <c r="BT326" s="22"/>
      <c r="BU326" s="22"/>
      <c r="BV326" s="22"/>
      <c r="BW326" s="44" t="str">
        <f>IFERROR(VLOOKUP(C326,'спецификация'!B:AA,16,0)," ")</f>
        <v>https://drive.google.com/drive/folders/1-_g6dP9mUTOZY5TXHtfVQPbGN4-3xuZ1</v>
      </c>
      <c r="BX326" s="43"/>
      <c r="BY326" s="43"/>
      <c r="BZ326" s="45" t="str">
        <f>IFERROR(VLOOKUP(BF326,'спецификация'!D:Y,22,0)," ")</f>
        <v/>
      </c>
      <c r="CA326" s="43"/>
      <c r="CB326" s="43"/>
      <c r="CC326" s="43"/>
      <c r="CD326" s="43"/>
      <c r="CE326" s="43"/>
      <c r="CF326" s="43"/>
      <c r="CG326" s="49">
        <f>IFERROR(VLOOKUP(C326,CC!A:D,4,0)," ")</f>
        <v>115.41</v>
      </c>
      <c r="CH326" s="22" t="str">
        <f>IFERROR(VLOOKUP(C326,'спецификация'!B:AA,19,0)," ")</f>
        <v/>
      </c>
      <c r="CI326" s="22"/>
      <c r="CJ326" s="43"/>
      <c r="CK326" s="22">
        <f>IFERROR(VLOOKUP(C326,CC!K:M,3,0)," ")</f>
        <v>45</v>
      </c>
      <c r="CL326" s="43"/>
      <c r="CM326" s="43"/>
      <c r="CN326" s="43"/>
      <c r="CO326" s="43"/>
      <c r="CP326" s="43"/>
      <c r="CQ326" s="43"/>
      <c r="CR326" s="43"/>
      <c r="CS326" s="43" t="b">
        <v>0</v>
      </c>
      <c r="CT326" s="43" t="b">
        <v>0</v>
      </c>
      <c r="CU326" s="43" t="b">
        <v>0</v>
      </c>
      <c r="CV326" s="43" t="b">
        <v>0</v>
      </c>
      <c r="CW326" s="43"/>
      <c r="CX326" s="43"/>
      <c r="CY326" s="43"/>
      <c r="CZ326" s="43"/>
      <c r="DA326" s="43"/>
      <c r="DB326" s="43"/>
      <c r="DC326" s="43"/>
      <c r="DD326" s="22">
        <f>IFERROR(VLOOKUP($C326,'Лист4'!$D:$AI,27,0)," ")</f>
        <v>10</v>
      </c>
      <c r="DE326" s="22">
        <f>IFERROR(VLOOKUP($C326,'Лист4'!$D:$AI,28,0)," ")</f>
        <v>1</v>
      </c>
      <c r="DF326" s="22">
        <f>IFERROR(VLOOKUP($C326,'Лист4'!$D:$AI,29,0)," ")</f>
        <v>10</v>
      </c>
      <c r="DG326" s="22">
        <f t="shared" si="3"/>
        <v>100</v>
      </c>
      <c r="DH326" s="22">
        <f>IFERROR(VLOOKUP($C326,'Лист4'!$D:$AI,32,0)," ")</f>
        <v>0.015</v>
      </c>
      <c r="DI326" s="22"/>
      <c r="DJ326" s="22"/>
      <c r="DK326" s="22"/>
      <c r="DL326" s="22"/>
      <c r="DM326" s="22"/>
      <c r="DN326" s="22"/>
      <c r="DO326" s="22"/>
      <c r="DP326" s="22"/>
      <c r="DQ326" s="22"/>
      <c r="DR326" s="22"/>
      <c r="DS326" s="22"/>
      <c r="DT326" s="22"/>
      <c r="DU326" s="22"/>
      <c r="DV326" s="22"/>
      <c r="DW326" s="22"/>
      <c r="DX326" s="22"/>
      <c r="DY326" s="22"/>
      <c r="DZ326" s="22"/>
      <c r="EA326" s="22"/>
      <c r="EB326" s="22"/>
      <c r="EC326" s="22"/>
      <c r="ED326" s="22"/>
      <c r="EE326" s="22"/>
      <c r="EF326" s="22"/>
      <c r="EG326" s="22"/>
      <c r="EH326" s="22"/>
      <c r="EI326" s="22"/>
      <c r="EJ326" s="22"/>
      <c r="EK326" s="22"/>
      <c r="EL326" s="22"/>
      <c r="EM326" s="43"/>
      <c r="EN326" s="43"/>
      <c r="EO326" s="43"/>
      <c r="EP326" s="43"/>
      <c r="EQ326" s="43"/>
      <c r="ER326" s="43"/>
      <c r="ES326" s="43"/>
      <c r="ET326" s="43"/>
      <c r="EU326" s="43"/>
      <c r="EV326" s="43"/>
      <c r="EW326" s="43"/>
      <c r="EX326" s="43"/>
      <c r="EY326" s="43"/>
      <c r="EZ326" s="43"/>
      <c r="FA326" s="43"/>
      <c r="FB326" s="43"/>
      <c r="FC326" s="43"/>
    </row>
    <row r="327" ht="18.0" customHeight="1">
      <c r="A327" s="2"/>
      <c r="B327" s="22" t="str">
        <f>IFERROR(VLOOKUP(C327,'Реестр'!C:AC,27,0)," ")</f>
        <v>Смарт-Сэйл</v>
      </c>
      <c r="C327" s="43" t="s">
        <v>4956</v>
      </c>
      <c r="D327" s="22" t="str">
        <f>IFERROR(VLOOKUP(C327,'Лист4'!D:P,13,0)," ")</f>
        <v>CPA</v>
      </c>
      <c r="E327" s="22" t="str">
        <f>IF(OR(ISERROR(VLOOKUP(C327,'Актуальность'!A:B,2,0)), VLOOKUP(C327,'Актуальность'!A:B,2,0)=""), "Актуальный", VLOOKUP(C327,'Актуальность'!A:B,2,0))</f>
        <v>Актуальный</v>
      </c>
      <c r="F327" s="43" t="str">
        <f>IFERROR(VLOOKUP(C327,'Актуальность'!A:C,3,0)," ")</f>
        <v/>
      </c>
      <c r="G327" s="43"/>
      <c r="H327" s="22" t="s">
        <v>2663</v>
      </c>
      <c r="I327" s="22" t="s">
        <v>3697</v>
      </c>
      <c r="J327" s="43"/>
      <c r="K327" s="43"/>
      <c r="L327" s="22" t="b">
        <f t="shared" ref="L327:R327" si="323">T327&lt;&gt;""</f>
        <v>1</v>
      </c>
      <c r="M327" s="22" t="b">
        <f t="shared" si="323"/>
        <v>1</v>
      </c>
      <c r="N327" s="22" t="b">
        <f t="shared" si="323"/>
        <v>1</v>
      </c>
      <c r="O327" s="22" t="b">
        <f t="shared" si="323"/>
        <v>1</v>
      </c>
      <c r="P327" s="22" t="b">
        <f t="shared" si="323"/>
        <v>0</v>
      </c>
      <c r="Q327" s="22" t="b">
        <f t="shared" si="323"/>
        <v>0</v>
      </c>
      <c r="R327" s="22" t="b">
        <f t="shared" si="323"/>
        <v>0</v>
      </c>
      <c r="S327" s="43"/>
      <c r="T327" s="43" t="str">
        <f>IFERROR(VLOOKUP( C327,'1С'!A:B,2,0)," ")</f>
        <v>CO101100419</v>
      </c>
      <c r="U327" s="22" t="str">
        <f>IFERROR(VLOOKUP(T327,'Лист4'!C:I,3,0)," ")</f>
        <v>okucin</v>
      </c>
      <c r="V327" s="22" t="str">
        <f>IFERROR(VLOOKUP(T327,'Лист4'!C:I,4,0)," ")</f>
        <v>okucin</v>
      </c>
      <c r="W327" s="22" t="str">
        <f>IFERROR(VLOOKUP(T327,'Лист4'!C:I,5,0)," ")</f>
        <v>okucin</v>
      </c>
      <c r="X327" s="43" t="str">
        <f>IFERROR(VLOOKUP(T327,'Лист4'!C:I,7,0)," ")</f>
        <v/>
      </c>
      <c r="Y327" s="43" t="str">
        <f>IFERROR(VLOOKUP(T327,'Лист4'!C:I,6,0)," ")</f>
        <v/>
      </c>
      <c r="Z327" s="43"/>
      <c r="AA327" s="43"/>
      <c r="AB327" s="22">
        <v>4.9570192E7</v>
      </c>
      <c r="AC327" s="22">
        <v>3.99457649E8</v>
      </c>
      <c r="AD327" s="22">
        <v>1.0325787057E11</v>
      </c>
      <c r="AE327" s="22"/>
      <c r="AF327" s="22"/>
      <c r="AG327" s="43"/>
      <c r="AH327" s="43"/>
      <c r="AI327" s="43" t="str">
        <f>IFERROR(VLOOKUP(T327,'1С'!B:C,2,0)," ")</f>
        <v>Пищевая добавка Окуцин, CPA, 10 мл</v>
      </c>
      <c r="AJ327" s="22" t="s">
        <v>4959</v>
      </c>
      <c r="AK327" s="22" t="s">
        <v>4960</v>
      </c>
      <c r="AL327" s="22" t="s">
        <v>4961</v>
      </c>
      <c r="AM327" s="43"/>
      <c r="AN327" s="43"/>
      <c r="AO327" s="43"/>
      <c r="AP327" s="43"/>
      <c r="AQ327" s="46" t="s">
        <v>4962</v>
      </c>
      <c r="AR327" s="46" t="s">
        <v>4963</v>
      </c>
      <c r="AS327" s="46" t="s">
        <v>4964</v>
      </c>
      <c r="AT327" s="43"/>
      <c r="AU327" s="43"/>
      <c r="AV327" s="43"/>
      <c r="AW327" s="43"/>
      <c r="AX327" s="22" t="s">
        <v>649</v>
      </c>
      <c r="AY327" s="22" t="s">
        <v>4960</v>
      </c>
      <c r="AZ327" s="22" t="s">
        <v>372</v>
      </c>
      <c r="BA327" s="43"/>
      <c r="BB327" s="43"/>
      <c r="BC327" s="43"/>
      <c r="BD327" s="43"/>
      <c r="BE327" s="43"/>
      <c r="BF327" s="22">
        <f>IFERROR(VLOOKUP(C327,'спецификация'!B:D,3,0)," ")</f>
        <v>4631144115358</v>
      </c>
      <c r="BG327" s="22"/>
      <c r="BH327" s="22" t="str">
        <f>IFERROR(VLOOKUP(C327,'спецификация'!B:AA,5,0)," ")</f>
        <v>ЕАЭС N RU Д-RU.РА03.В.97282/24 от 27.04.2024 по 25.04.2029</v>
      </c>
      <c r="BI327" s="22"/>
      <c r="BJ327" s="22" t="str">
        <f>IFERROR(VLOOKUP(C327,'спецификация'!B:AA,6,0)," ")</f>
        <v/>
      </c>
      <c r="BK327" s="43"/>
      <c r="BL327" s="43"/>
      <c r="BM327" s="22" t="str">
        <f>IFERROR(VLOOKUP(BF327,'спецификация'!D:H,5,0)," ")</f>
        <v>Мальтодекстрин, регулятор кислотности лимонная кислота, экстракт плодов черники, лютеин, зеаксантин, экстракт корней женьшеня, экстракт шафрана, экстракт виноградных косточек, экстракт корневищ аира, премикс витаминный (витамины: А, Д3, Е, С, В1, В2, В3, В5, В6, В9, В12, биотин), ароматизатор «Лесные ягоды», подсластитель сукралоза.</v>
      </c>
      <c r="BN327" s="43"/>
      <c r="BO327" s="22" t="str">
        <f>IFERROR(VLOOKUP(C327,'спецификация'!B:AA,10,0)," ")</f>
        <v/>
      </c>
      <c r="BP327" s="43" t="str">
        <f>IFERROR(VLOOKUP(C327,'спецификация'!B:AA,11,0),"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27" s="22" t="str">
        <f>IFERROR(VLOOKUP(C327,'спецификация'!B:AA,12,0)," ")</f>
        <v> индивидуальная непереносимость одного или нескольких компонентов средства.
</v>
      </c>
      <c r="BR327" s="22">
        <v>7.0</v>
      </c>
      <c r="BS327" s="22" t="s">
        <v>2918</v>
      </c>
      <c r="BT327" s="22"/>
      <c r="BU327" s="22"/>
      <c r="BV327" s="22"/>
      <c r="BW327" s="44" t="str">
        <f>IFERROR(VLOOKUP(C327,'спецификация'!B:AA,16,0)," ")</f>
        <v>https://docs.google.com/document/d/1V9qC6KinvCAParcdMTC_bM7LSF6qsv08ln80SUNZ1gk/edit</v>
      </c>
      <c r="BX327" s="43"/>
      <c r="BY327" s="43"/>
      <c r="BZ327" s="45" t="str">
        <f>IFERROR(VLOOKUP(BF327,'спецификация'!D:Y,22,0)," ")</f>
        <v/>
      </c>
      <c r="CA327" s="43"/>
      <c r="CB327" s="43"/>
      <c r="CC327" s="43"/>
      <c r="CD327" s="43"/>
      <c r="CE327" s="43"/>
      <c r="CF327" s="43"/>
      <c r="CG327" s="49">
        <f>IFERROR(VLOOKUP(C327,CC!A:D,4,0)," ")</f>
        <v>125.28</v>
      </c>
      <c r="CH327" s="22" t="str">
        <f>IFERROR(VLOOKUP(C327,'спецификация'!B:AA,19,0)," ")</f>
        <v/>
      </c>
      <c r="CI327" s="22"/>
      <c r="CJ327" s="43"/>
      <c r="CK327" s="22">
        <f>IFERROR(VLOOKUP(C327,CC!K:M,3,0)," ")</f>
        <v>45</v>
      </c>
      <c r="CL327" s="43"/>
      <c r="CM327" s="43"/>
      <c r="CN327" s="43"/>
      <c r="CO327" s="43"/>
      <c r="CP327" s="43"/>
      <c r="CQ327" s="43"/>
      <c r="CR327" s="43"/>
      <c r="CS327" s="43" t="b">
        <v>0</v>
      </c>
      <c r="CT327" s="43" t="b">
        <v>0</v>
      </c>
      <c r="CU327" s="43" t="b">
        <v>0</v>
      </c>
      <c r="CV327" s="43" t="b">
        <v>0</v>
      </c>
      <c r="CW327" s="43"/>
      <c r="CX327" s="43"/>
      <c r="CY327" s="43"/>
      <c r="CZ327" s="43"/>
      <c r="DA327" s="43"/>
      <c r="DB327" s="43"/>
      <c r="DC327" s="43"/>
      <c r="DD327" s="22">
        <f>IFERROR(VLOOKUP($C327,'Лист4'!$D:$AI,27,0)," ")</f>
        <v>13</v>
      </c>
      <c r="DE327" s="22">
        <f>IFERROR(VLOOKUP($C327,'Лист4'!$D:$AI,28,0)," ")</f>
        <v>5</v>
      </c>
      <c r="DF327" s="22">
        <f>IFERROR(VLOOKUP($C327,'Лист4'!$D:$AI,29,0)," ")</f>
        <v>13</v>
      </c>
      <c r="DG327" s="22">
        <f t="shared" si="3"/>
        <v>845</v>
      </c>
      <c r="DH327" s="22">
        <f>IFERROR(VLOOKUP($C327,'Лист4'!$D:$AI,32,0)," ")</f>
        <v>0.046</v>
      </c>
      <c r="DI327" s="22"/>
      <c r="DJ327" s="22"/>
      <c r="DK327" s="22"/>
      <c r="DL327" s="22"/>
      <c r="DM327" s="22"/>
      <c r="DN327" s="22"/>
      <c r="DO327" s="22"/>
      <c r="DP327" s="22"/>
      <c r="DQ327" s="22"/>
      <c r="DR327" s="22"/>
      <c r="DS327" s="22"/>
      <c r="DT327" s="22"/>
      <c r="DU327" s="22"/>
      <c r="DV327" s="22"/>
      <c r="DW327" s="22"/>
      <c r="DX327" s="22"/>
      <c r="DY327" s="22"/>
      <c r="DZ327" s="22"/>
      <c r="EA327" s="22"/>
      <c r="EB327" s="22"/>
      <c r="EC327" s="22"/>
      <c r="ED327" s="22"/>
      <c r="EE327" s="22"/>
      <c r="EF327" s="22"/>
      <c r="EG327" s="22"/>
      <c r="EH327" s="22"/>
      <c r="EI327" s="22"/>
      <c r="EJ327" s="22"/>
      <c r="EK327" s="22"/>
      <c r="EL327" s="22"/>
      <c r="EM327" s="43"/>
      <c r="EN327" s="43"/>
      <c r="EO327" s="43"/>
      <c r="EP327" s="43"/>
      <c r="EQ327" s="43"/>
      <c r="ER327" s="43"/>
      <c r="ES327" s="43"/>
      <c r="ET327" s="43"/>
      <c r="EU327" s="43"/>
      <c r="EV327" s="43"/>
      <c r="EW327" s="43"/>
      <c r="EX327" s="43"/>
      <c r="EY327" s="43"/>
      <c r="EZ327" s="43"/>
      <c r="FA327" s="43"/>
      <c r="FB327" s="43"/>
      <c r="FC327" s="43"/>
    </row>
    <row r="328" ht="18.0" customHeight="1">
      <c r="A328" s="2"/>
      <c r="B328" s="22" t="str">
        <f>IFERROR(VLOOKUP(C328,'Реестр'!C:AC,27,0)," ")</f>
        <v>Смарт-Сэйл</v>
      </c>
      <c r="C328" s="43" t="s">
        <v>4969</v>
      </c>
      <c r="D328" s="22" t="str">
        <f>IFERROR(VLOOKUP(C328,'Лист4'!D:P,13,0)," ")</f>
        <v>CPA</v>
      </c>
      <c r="E328" s="22" t="str">
        <f>IF(OR(ISERROR(VLOOKUP(C328,'Актуальность'!A:B,2,0)), VLOOKUP(C328,'Актуальность'!A:B,2,0)=""), "Актуальный", VLOOKUP(C328,'Актуальность'!A:B,2,0))</f>
        <v>Актуальный</v>
      </c>
      <c r="F328" s="43" t="str">
        <f>IFERROR(VLOOKUP(C328,'Актуальность'!A:C,3,0)," ")</f>
        <v/>
      </c>
      <c r="G328" s="43"/>
      <c r="H328" s="22" t="s">
        <v>2663</v>
      </c>
      <c r="I328" s="22" t="s">
        <v>2664</v>
      </c>
      <c r="J328" s="43"/>
      <c r="K328" s="43"/>
      <c r="L328" s="22" t="b">
        <f t="shared" ref="L328:R328" si="324">T328&lt;&gt;""</f>
        <v>1</v>
      </c>
      <c r="M328" s="22" t="b">
        <f t="shared" si="324"/>
        <v>1</v>
      </c>
      <c r="N328" s="22" t="b">
        <f t="shared" si="324"/>
        <v>1</v>
      </c>
      <c r="O328" s="22" t="b">
        <f t="shared" si="324"/>
        <v>1</v>
      </c>
      <c r="P328" s="22" t="b">
        <f t="shared" si="324"/>
        <v>0</v>
      </c>
      <c r="Q328" s="22" t="b">
        <f t="shared" si="324"/>
        <v>0</v>
      </c>
      <c r="R328" s="22" t="b">
        <f t="shared" si="324"/>
        <v>0</v>
      </c>
      <c r="S328" s="43"/>
      <c r="T328" s="43" t="str">
        <f>IFERROR(VLOOKUP( C328,'1С'!A:B,2,0)," ")</f>
        <v>CC101100445</v>
      </c>
      <c r="U328" s="22" t="str">
        <f>IFERROR(VLOOKUP(T328,'Лист4'!C:I,3,0)," ")</f>
        <v>biotrin_60ml</v>
      </c>
      <c r="V328" s="22" t="str">
        <f>IFERROR(VLOOKUP(T328,'Лист4'!C:I,4,0)," ")</f>
        <v>biotrin_60ml</v>
      </c>
      <c r="W328" s="22" t="str">
        <f>IFERROR(VLOOKUP(T328,'Лист4'!C:I,5,0)," ")</f>
        <v>biotrin_60ml</v>
      </c>
      <c r="X328" s="43" t="str">
        <f>IFERROR(VLOOKUP(T328,'Лист4'!C:I,7,0)," ")</f>
        <v/>
      </c>
      <c r="Y328" s="43" t="str">
        <f>IFERROR(VLOOKUP(T328,'Лист4'!C:I,6,0)," ")</f>
        <v/>
      </c>
      <c r="Z328" s="43"/>
      <c r="AA328" s="43"/>
      <c r="AB328" s="22">
        <v>1.86784742E8</v>
      </c>
      <c r="AC328" s="22">
        <v>1.271273685E9</v>
      </c>
      <c r="AD328" s="22">
        <v>1.02662269728E11</v>
      </c>
      <c r="AE328" s="22"/>
      <c r="AF328" s="22"/>
      <c r="AG328" s="43"/>
      <c r="AH328" s="43"/>
      <c r="AI328" s="43" t="str">
        <f>IFERROR(VLOOKUP(T328,'1С'!B:C,2,0)," ")</f>
        <v>Мазь для суставов Биотрин, CPA, 60 мл</v>
      </c>
      <c r="AJ328" s="22" t="s">
        <v>4972</v>
      </c>
      <c r="AK328" s="22" t="s">
        <v>4973</v>
      </c>
      <c r="AL328" s="22" t="s">
        <v>4974</v>
      </c>
      <c r="AM328" s="43"/>
      <c r="AN328" s="43"/>
      <c r="AO328" s="43"/>
      <c r="AP328" s="43"/>
      <c r="AQ328" s="46" t="s">
        <v>4975</v>
      </c>
      <c r="AR328" s="46" t="s">
        <v>4976</v>
      </c>
      <c r="AS328" s="46" t="s">
        <v>4977</v>
      </c>
      <c r="AT328" s="43"/>
      <c r="AU328" s="43"/>
      <c r="AV328" s="43"/>
      <c r="AW328" s="43"/>
      <c r="AX328" s="22" t="s">
        <v>594</v>
      </c>
      <c r="AY328" s="22" t="s">
        <v>4973</v>
      </c>
      <c r="AZ328" s="22" t="s">
        <v>3123</v>
      </c>
      <c r="BA328" s="43"/>
      <c r="BB328" s="43"/>
      <c r="BC328" s="43"/>
      <c r="BD328" s="43"/>
      <c r="BE328" s="43"/>
      <c r="BF328" s="22" t="str">
        <f>IFERROR(VLOOKUP(C328,'спецификация'!B:D,3,0)," ")</f>
        <v>панты марала, экстракт коры дуба, коллаген, экстракт конского каштана, хондроитин, глюкозамин, змеиный яд, акулий жир, экстракт лютика желтого, 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v>
      </c>
      <c r="BG328" s="22">
        <v>3.30499E9</v>
      </c>
      <c r="BH328" s="22" t="str">
        <f>IFERROR(VLOOKUP(C328,'спецификация'!B:AA,5,0)," ")</f>
        <v>ЕАЭС N RU Д-RU.PА01.B.28855/21 от15.06.2021 по 08.06.2026</v>
      </c>
      <c r="BI328" s="22"/>
      <c r="BJ328" s="22" t="str">
        <f>IFERROR(VLOOKUP(C328,'спецификация'!B:AA,6,0)," ")</f>
        <v/>
      </c>
      <c r="BK328" s="43"/>
      <c r="BL328" s="43"/>
      <c r="BM328" s="22" t="str">
        <f>IFERROR(VLOOKUP(BF328,'спецификация'!D:H,5,0)," ")</f>
        <v>экстракт коры дуба, коллаген, экстракт конского каштана, хондроитин, глюкозамин, змеиный яд, акулий жир, экстракт лютика желтого, 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 панты марала.</v>
      </c>
      <c r="BN328" s="43"/>
      <c r="BO328" s="22" t="str">
        <f>IFERROR(VLOOKUP(C328,'спецификация'!B:AA,10,0)," ")</f>
        <v/>
      </c>
      <c r="BP328" s="43" t="str">
        <f>IFERROR(VLOOKUP(C328,'спецификация'!B:AA,11,0),"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28" s="22" t="str">
        <f>IFERROR(VLOOKUP(C328,'спецификация'!B:AA,12,0)," ")</f>
        <v>хранить при температуре до 25°C, избегая попадания прямых солнечных лучей.
</v>
      </c>
      <c r="BR328" s="22">
        <v>30.0</v>
      </c>
      <c r="BS328" s="22" t="s">
        <v>139</v>
      </c>
      <c r="BT328" s="22"/>
      <c r="BU328" s="22"/>
      <c r="BV328" s="22"/>
      <c r="BW328" s="45" t="str">
        <f>IFERROR(VLOOKUP(C328,'спецификация'!B:AA,16,0)," ")</f>
        <v>Лечебное средство</v>
      </c>
      <c r="BX328" s="43"/>
      <c r="BY328" s="43"/>
      <c r="BZ328" s="45" t="str">
        <f>IFERROR(VLOOKUP(BF328,'спецификация'!D:Y,22,0)," ")</f>
        <v/>
      </c>
      <c r="CA328" s="43"/>
      <c r="CB328" s="43"/>
      <c r="CC328" s="43"/>
      <c r="CD328" s="43"/>
      <c r="CE328" s="43"/>
      <c r="CF328" s="43"/>
      <c r="CG328" s="49">
        <f>IFERROR(VLOOKUP(C328,CC!A:D,4,0)," ")</f>
        <v>179.33</v>
      </c>
      <c r="CH328" s="22" t="str">
        <f>IFERROR(VLOOKUP(C328,'спецификация'!B:AA,19,0)," ")</f>
        <v>Кремы</v>
      </c>
      <c r="CI328" s="22"/>
      <c r="CJ328" s="43"/>
      <c r="CK328" s="22">
        <f>IFERROR(VLOOKUP(C328,CC!K:M,3,0)," ")</f>
        <v>45</v>
      </c>
      <c r="CL328" s="43"/>
      <c r="CM328" s="43"/>
      <c r="CN328" s="43"/>
      <c r="CO328" s="43"/>
      <c r="CP328" s="43"/>
      <c r="CQ328" s="43"/>
      <c r="CR328" s="43"/>
      <c r="CS328" s="43" t="b">
        <v>0</v>
      </c>
      <c r="CT328" s="43" t="b">
        <v>0</v>
      </c>
      <c r="CU328" s="43" t="b">
        <v>0</v>
      </c>
      <c r="CV328" s="43" t="b">
        <v>0</v>
      </c>
      <c r="CW328" s="43"/>
      <c r="CX328" s="43"/>
      <c r="CY328" s="43"/>
      <c r="CZ328" s="43"/>
      <c r="DA328" s="43"/>
      <c r="DB328" s="43"/>
      <c r="DC328" s="43"/>
      <c r="DD328" s="22">
        <f>IFERROR(VLOOKUP($C328,'Лист4'!$D:$AI,27,0)," ")</f>
        <v>4</v>
      </c>
      <c r="DE328" s="22">
        <f>IFERROR(VLOOKUP($C328,'Лист4'!$D:$AI,28,0)," ")</f>
        <v>5</v>
      </c>
      <c r="DF328" s="22">
        <f>IFERROR(VLOOKUP($C328,'Лист4'!$D:$AI,29,0)," ")</f>
        <v>4</v>
      </c>
      <c r="DG328" s="22">
        <f t="shared" si="3"/>
        <v>80</v>
      </c>
      <c r="DH328" s="22">
        <f>IFERROR(VLOOKUP($C328,'Лист4'!$D:$AI,32,0)," ")</f>
        <v>0.08</v>
      </c>
      <c r="DI328" s="22"/>
      <c r="DJ328" s="22"/>
      <c r="DK328" s="22"/>
      <c r="DL328" s="22"/>
      <c r="DM328" s="22"/>
      <c r="DN328" s="22"/>
      <c r="DO328" s="22"/>
      <c r="DP328" s="22"/>
      <c r="DQ328" s="22"/>
      <c r="DR328" s="22"/>
      <c r="DS328" s="22"/>
      <c r="DT328" s="22"/>
      <c r="DU328" s="22"/>
      <c r="DV328" s="22"/>
      <c r="DW328" s="22"/>
      <c r="DX328" s="22"/>
      <c r="DY328" s="22"/>
      <c r="DZ328" s="22"/>
      <c r="EA328" s="22"/>
      <c r="EB328" s="22"/>
      <c r="EC328" s="22"/>
      <c r="ED328" s="22"/>
      <c r="EE328" s="22"/>
      <c r="EF328" s="22"/>
      <c r="EG328" s="22"/>
      <c r="EH328" s="22"/>
      <c r="EI328" s="22"/>
      <c r="EJ328" s="22"/>
      <c r="EK328" s="22"/>
      <c r="EL328" s="22"/>
      <c r="EM328" s="43"/>
      <c r="EN328" s="43"/>
      <c r="EO328" s="43"/>
      <c r="EP328" s="43"/>
      <c r="EQ328" s="43"/>
      <c r="ER328" s="43"/>
      <c r="ES328" s="43"/>
      <c r="ET328" s="43"/>
      <c r="EU328" s="43"/>
      <c r="EV328" s="43"/>
      <c r="EW328" s="43"/>
      <c r="EX328" s="43"/>
      <c r="EY328" s="43"/>
      <c r="EZ328" s="43"/>
      <c r="FA328" s="43"/>
      <c r="FB328" s="43"/>
      <c r="FC328" s="43"/>
    </row>
    <row r="329" ht="18.0" customHeight="1">
      <c r="A329" s="2"/>
      <c r="B329" s="22" t="str">
        <f>IFERROR(VLOOKUP(C329,'Реестр'!C:AC,27,0)," ")</f>
        <v>Смарт-Сэйл</v>
      </c>
      <c r="C329" s="43" t="s">
        <v>4980</v>
      </c>
      <c r="D329" s="22" t="str">
        <f>IFERROR(VLOOKUP(C329,'Лист4'!D:P,13,0)," ")</f>
        <v>CPA</v>
      </c>
      <c r="E329" s="22" t="str">
        <f>IF(OR(ISERROR(VLOOKUP(C329,'Актуальность'!A:B,2,0)), VLOOKUP(C329,'Актуальность'!A:B,2,0)=""), "Актуальный", VLOOKUP(C329,'Актуальность'!A:B,2,0))</f>
        <v>Актуальный</v>
      </c>
      <c r="F329" s="43" t="str">
        <f>IFERROR(VLOOKUP(C329,'Актуальность'!A:C,3,0)," ")</f>
        <v/>
      </c>
      <c r="G329" s="43"/>
      <c r="H329" s="22" t="s">
        <v>2663</v>
      </c>
      <c r="I329" s="22" t="s">
        <v>2684</v>
      </c>
      <c r="J329" s="43"/>
      <c r="K329" s="43"/>
      <c r="L329" s="22" t="b">
        <f t="shared" ref="L329:R329" si="325">T329&lt;&gt;""</f>
        <v>1</v>
      </c>
      <c r="M329" s="22" t="b">
        <f t="shared" si="325"/>
        <v>1</v>
      </c>
      <c r="N329" s="22" t="b">
        <f t="shared" si="325"/>
        <v>1</v>
      </c>
      <c r="O329" s="22" t="b">
        <f t="shared" si="325"/>
        <v>0</v>
      </c>
      <c r="P329" s="22" t="b">
        <f t="shared" si="325"/>
        <v>0</v>
      </c>
      <c r="Q329" s="22" t="b">
        <f t="shared" si="325"/>
        <v>0</v>
      </c>
      <c r="R329" s="22" t="b">
        <f t="shared" si="325"/>
        <v>0</v>
      </c>
      <c r="S329" s="43"/>
      <c r="T329" s="43" t="str">
        <f>IFERROR(VLOOKUP( C329,'1С'!A:B,2,0)," ")</f>
        <v>CO101100457</v>
      </c>
      <c r="U329" s="22" t="str">
        <f>IFERROR(VLOOKUP(T329,'Лист4'!C:I,3,0)," ")</f>
        <v>adenofrin</v>
      </c>
      <c r="V329" s="22" t="str">
        <f>IFERROR(VLOOKUP(T329,'Лист4'!C:I,4,0)," ")</f>
        <v>adenofrin</v>
      </c>
      <c r="W329" s="22" t="str">
        <f>IFERROR(VLOOKUP(T329,'Лист4'!C:I,5,0)," ")</f>
        <v/>
      </c>
      <c r="X329" s="43" t="str">
        <f>IFERROR(VLOOKUP(T329,'Лист4'!C:I,7,0)," ")</f>
        <v/>
      </c>
      <c r="Y329" s="43" t="str">
        <f>IFERROR(VLOOKUP(T329,'Лист4'!C:I,6,0)," ")</f>
        <v/>
      </c>
      <c r="Z329" s="43"/>
      <c r="AA329" s="43"/>
      <c r="AB329" s="22">
        <v>3.429865E7</v>
      </c>
      <c r="AC329" s="22">
        <v>2.96818197E8</v>
      </c>
      <c r="AD329" s="22"/>
      <c r="AE329" s="22"/>
      <c r="AF329" s="22"/>
      <c r="AG329" s="43"/>
      <c r="AH329" s="43"/>
      <c r="AI329" s="43" t="str">
        <f>IFERROR(VLOOKUP(T329,'1С'!B:C,2,0)," ")</f>
        <v>Пищевая добавка Аденофрин, CPA, 20 капсул</v>
      </c>
      <c r="AJ329" s="22" t="s">
        <v>4982</v>
      </c>
      <c r="AK329" s="22" t="s">
        <v>4983</v>
      </c>
      <c r="AL329" s="43"/>
      <c r="AM329" s="43"/>
      <c r="AN329" s="43"/>
      <c r="AO329" s="43"/>
      <c r="AP329" s="43"/>
      <c r="AQ329" s="46" t="s">
        <v>4984</v>
      </c>
      <c r="AR329" s="46" t="s">
        <v>4985</v>
      </c>
      <c r="AS329" s="43"/>
      <c r="AT329" s="43"/>
      <c r="AU329" s="43"/>
      <c r="AV329" s="43"/>
      <c r="AW329" s="43"/>
      <c r="AX329" s="22" t="s">
        <v>4667</v>
      </c>
      <c r="AY329" s="22" t="s">
        <v>4983</v>
      </c>
      <c r="AZ329" s="43"/>
      <c r="BA329" s="43"/>
      <c r="BB329" s="43"/>
      <c r="BC329" s="43"/>
      <c r="BD329" s="43"/>
      <c r="BE329" s="43"/>
      <c r="BF329" s="22">
        <f>IFERROR(VLOOKUP(C329,'спецификация'!B:D,3,0)," ")</f>
        <v>4631155494015</v>
      </c>
      <c r="BG329" s="22"/>
      <c r="BH329" s="22" t="str">
        <f>IFERROR(VLOOKUP(C329,'спецификация'!B:AA,5,0)," ")</f>
        <v>ЕАЭС N RU Д-RU.PA01.B.01495/21 от 15.07.2021 до 13.07.2026</v>
      </c>
      <c r="BI329" s="22"/>
      <c r="BJ329" s="22" t="str">
        <f>IFERROR(VLOOKUP(C329,'спецификация'!B:AA,6,0)," ")</f>
        <v/>
      </c>
      <c r="BK329" s="43"/>
      <c r="BL329" s="43"/>
      <c r="BM329" s="22" t="str">
        <f>IFERROR(VLOOKUP(BF329,'спецификация'!D:H,5,0)," ")</f>
        <v>экстракт готу колы, экстракт гокшура, экстракт эпимедиум, экстракт маки перуанской, экстракт ярутки, витамин Е, лактоза, стеарат кальция, диоксид кремния.</v>
      </c>
      <c r="BN329" s="43"/>
      <c r="BO329" s="22" t="str">
        <f>IFERROR(VLOOKUP(C329,'спецификация'!B:AA,10,0)," ")</f>
        <v/>
      </c>
      <c r="BP329" s="43" t="str">
        <f>IFERROR(VLOOKUP(C329,'спецификация'!B:AA,11,0),"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29" s="22" t="str">
        <f>IFERROR(VLOOKUP(C329,'спецификация'!B:AA,12,0)," ")</f>
        <v>хранить в сухом месте при
температуре не выше 25°С.</v>
      </c>
      <c r="BR329" s="22">
        <v>20.0</v>
      </c>
      <c r="BS329" s="22" t="s">
        <v>492</v>
      </c>
      <c r="BT329" s="22"/>
      <c r="BU329" s="22"/>
      <c r="BV329" s="22" t="s">
        <v>307</v>
      </c>
      <c r="BW329" s="44" t="str">
        <f>IFERROR(VLOOKUP(C329,'спецификация'!B:AA,16,0)," ")</f>
        <v>https://drive.google.com/drive/folders/1hyJcX_K11KG6JDu6WDUSRPr-efqOSfzE</v>
      </c>
      <c r="BX329" s="43"/>
      <c r="BY329" s="43"/>
      <c r="BZ329" s="45" t="str">
        <f>IFERROR(VLOOKUP(BF329,'спецификация'!D:Y,22,0)," ")</f>
        <v/>
      </c>
      <c r="CA329" s="43"/>
      <c r="CB329" s="43"/>
      <c r="CC329" s="43"/>
      <c r="CD329" s="43"/>
      <c r="CE329" s="43"/>
      <c r="CF329" s="43"/>
      <c r="CG329" s="49">
        <f>IFERROR(VLOOKUP(C329,CC!A:D,4,0)," ")</f>
        <v>100</v>
      </c>
      <c r="CH329" s="22" t="str">
        <f>IFERROR(VLOOKUP(C329,'спецификация'!B:AA,19,0)," ")</f>
        <v>ООО «НОРДФАРМ», 214009, г.Смоленск, микрорайон Южный, дом 4</v>
      </c>
      <c r="CI329" s="22"/>
      <c r="CJ329" s="43"/>
      <c r="CK329" s="22" t="str">
        <f>IFERROR(VLOOKUP(C329,CC!K:M,3,0)," ")</f>
        <v> </v>
      </c>
      <c r="CL329" s="43"/>
      <c r="CM329" s="43"/>
      <c r="CN329" s="43"/>
      <c r="CO329" s="43"/>
      <c r="CP329" s="43"/>
      <c r="CQ329" s="43"/>
      <c r="CR329" s="43"/>
      <c r="CS329" s="43" t="b">
        <v>0</v>
      </c>
      <c r="CT329" s="43" t="b">
        <v>0</v>
      </c>
      <c r="CU329" s="43" t="b">
        <v>0</v>
      </c>
      <c r="CV329" s="43" t="b">
        <v>0</v>
      </c>
      <c r="CW329" s="43"/>
      <c r="CX329" s="43"/>
      <c r="CY329" s="43"/>
      <c r="CZ329" s="43"/>
      <c r="DA329" s="43"/>
      <c r="DB329" s="43"/>
      <c r="DC329" s="43"/>
      <c r="DD329" s="22">
        <f>IFERROR(VLOOKUP($C329,'Лист4'!$D:$AI,27,0)," ")</f>
        <v>11</v>
      </c>
      <c r="DE329" s="22">
        <f>IFERROR(VLOOKUP($C329,'Лист4'!$D:$AI,28,0)," ")</f>
        <v>3</v>
      </c>
      <c r="DF329" s="22">
        <f>IFERROR(VLOOKUP($C329,'Лист4'!$D:$AI,29,0)," ")</f>
        <v>11</v>
      </c>
      <c r="DG329" s="22">
        <f t="shared" si="3"/>
        <v>363</v>
      </c>
      <c r="DH329" s="22">
        <f>IFERROR(VLOOKUP($C329,'Лист4'!$D:$AI,32,0)," ")</f>
        <v>0.02</v>
      </c>
      <c r="DI329" s="22"/>
      <c r="DJ329" s="22"/>
      <c r="DK329" s="22"/>
      <c r="DL329" s="22"/>
      <c r="DM329" s="22"/>
      <c r="DN329" s="22"/>
      <c r="DO329" s="22"/>
      <c r="DP329" s="22"/>
      <c r="DQ329" s="22"/>
      <c r="DR329" s="22"/>
      <c r="DS329" s="22"/>
      <c r="DT329" s="22"/>
      <c r="DU329" s="22"/>
      <c r="DV329" s="22"/>
      <c r="DW329" s="22"/>
      <c r="DX329" s="22"/>
      <c r="DY329" s="22"/>
      <c r="DZ329" s="22"/>
      <c r="EA329" s="22"/>
      <c r="EB329" s="22"/>
      <c r="EC329" s="22"/>
      <c r="ED329" s="22"/>
      <c r="EE329" s="22"/>
      <c r="EF329" s="22"/>
      <c r="EG329" s="22"/>
      <c r="EH329" s="22"/>
      <c r="EI329" s="22"/>
      <c r="EJ329" s="22"/>
      <c r="EK329" s="22"/>
      <c r="EL329" s="22"/>
      <c r="EM329" s="43"/>
      <c r="EN329" s="43"/>
      <c r="EO329" s="43"/>
      <c r="EP329" s="43"/>
      <c r="EQ329" s="43"/>
      <c r="ER329" s="43"/>
      <c r="ES329" s="43"/>
      <c r="ET329" s="43"/>
      <c r="EU329" s="43"/>
      <c r="EV329" s="43"/>
      <c r="EW329" s="43"/>
      <c r="EX329" s="43"/>
      <c r="EY329" s="43"/>
      <c r="EZ329" s="43"/>
      <c r="FA329" s="43"/>
      <c r="FB329" s="43"/>
      <c r="FC329" s="43"/>
    </row>
    <row r="330" ht="18.0" customHeight="1">
      <c r="A330" s="2"/>
      <c r="B330" s="22" t="str">
        <f>IFERROR(VLOOKUP(C330,'Реестр'!C:AC,27,0)," ")</f>
        <v>Смарт-Сэйл</v>
      </c>
      <c r="C330" s="43" t="s">
        <v>4990</v>
      </c>
      <c r="D330" s="22" t="str">
        <f>IFERROR(VLOOKUP(C330,'Лист4'!D:P,13,0)," ")</f>
        <v>CPA</v>
      </c>
      <c r="E330" s="22" t="str">
        <f>IF(OR(ISERROR(VLOOKUP(C330,'Актуальность'!A:B,2,0)), VLOOKUP(C330,'Актуальность'!A:B,2,0)=""), "Актуальный", VLOOKUP(C330,'Актуальность'!A:B,2,0))</f>
        <v>Актуальный</v>
      </c>
      <c r="F330" s="43" t="str">
        <f>IFERROR(VLOOKUP(C330,'Актуальность'!A:C,3,0)," ")</f>
        <v/>
      </c>
      <c r="G330" s="43"/>
      <c r="H330" s="22" t="s">
        <v>2663</v>
      </c>
      <c r="I330" s="22" t="s">
        <v>3437</v>
      </c>
      <c r="J330" s="43"/>
      <c r="K330" s="43"/>
      <c r="L330" s="22" t="b">
        <f t="shared" ref="L330:R330" si="326">T330&lt;&gt;""</f>
        <v>1</v>
      </c>
      <c r="M330" s="22" t="b">
        <f t="shared" si="326"/>
        <v>1</v>
      </c>
      <c r="N330" s="22" t="b">
        <f t="shared" si="326"/>
        <v>1</v>
      </c>
      <c r="O330" s="22" t="b">
        <f t="shared" si="326"/>
        <v>1</v>
      </c>
      <c r="P330" s="22" t="b">
        <f t="shared" si="326"/>
        <v>0</v>
      </c>
      <c r="Q330" s="22" t="b">
        <f t="shared" si="326"/>
        <v>0</v>
      </c>
      <c r="R330" s="22" t="b">
        <f t="shared" si="326"/>
        <v>0</v>
      </c>
      <c r="S330" s="43"/>
      <c r="T330" s="43" t="str">
        <f>IFERROR(VLOOKUP( C330,'1С'!A:B,2,0)," ")</f>
        <v>CC101100405</v>
      </c>
      <c r="U330" s="22" t="str">
        <f>IFERROR(VLOOKUP(T330,'Лист4'!C:I,3,0)," ")</f>
        <v>dardrakona_75ml</v>
      </c>
      <c r="V330" s="22" t="str">
        <f>IFERROR(VLOOKUP(T330,'Лист4'!C:I,4,0)," ")</f>
        <v>dardrakona_75ml</v>
      </c>
      <c r="W330" s="22" t="str">
        <f>IFERROR(VLOOKUP(T330,'Лист4'!C:I,5,0)," ")</f>
        <v>dardrakona_75ml</v>
      </c>
      <c r="X330" s="43" t="str">
        <f>IFERROR(VLOOKUP(T330,'Лист4'!C:I,7,0)," ")</f>
        <v/>
      </c>
      <c r="Y330" s="43" t="str">
        <f>IFERROR(VLOOKUP(T330,'Лист4'!C:I,6,0)," ")</f>
        <v/>
      </c>
      <c r="Z330" s="43"/>
      <c r="AA330" s="43"/>
      <c r="AB330" s="22">
        <v>1.97567632E8</v>
      </c>
      <c r="AC330" s="22">
        <v>1.350973968E9</v>
      </c>
      <c r="AD330" s="22">
        <v>1.02622361536E11</v>
      </c>
      <c r="AE330" s="22"/>
      <c r="AF330" s="22"/>
      <c r="AG330" s="43"/>
      <c r="AH330" s="43"/>
      <c r="AI330" s="43" t="str">
        <f>IFERROR(VLOOKUP(T330,'1С'!B:C,2,0)," ")</f>
        <v>Крем от варикоза Дар дракона, CPA, 75 мл</v>
      </c>
      <c r="AJ330" s="22" t="s">
        <v>4993</v>
      </c>
      <c r="AK330" s="22" t="s">
        <v>4994</v>
      </c>
      <c r="AL330" s="22" t="s">
        <v>4995</v>
      </c>
      <c r="AM330" s="43"/>
      <c r="AN330" s="43"/>
      <c r="AO330" s="43"/>
      <c r="AP330" s="43"/>
      <c r="AQ330" s="46" t="s">
        <v>4996</v>
      </c>
      <c r="AR330" s="46" t="s">
        <v>4997</v>
      </c>
      <c r="AS330" s="46" t="s">
        <v>4998</v>
      </c>
      <c r="AT330" s="43"/>
      <c r="AU330" s="43"/>
      <c r="AV330" s="43"/>
      <c r="AW330" s="43"/>
      <c r="AX330" s="22" t="s">
        <v>3445</v>
      </c>
      <c r="AY330" s="22" t="s">
        <v>4994</v>
      </c>
      <c r="AZ330" s="22" t="s">
        <v>2672</v>
      </c>
      <c r="BA330" s="43"/>
      <c r="BB330" s="43"/>
      <c r="BC330" s="43"/>
      <c r="BD330" s="43"/>
      <c r="BE330" s="43"/>
      <c r="BF330" s="22">
        <f>IFERROR(VLOOKUP(C330,'спецификация'!B:D,3,0)," ")</f>
        <v>4670142965268</v>
      </c>
      <c r="BG330" s="22">
        <v>3.30499E9</v>
      </c>
      <c r="BH330" s="22" t="str">
        <f>IFERROR(VLOOKUP(C330,'спецификация'!B:AA,5,0)," ")</f>
        <v>ЕАЭС N RU Д-RU.PA06.B.42107/23 от 14.08.2023 до 13.08.2028</v>
      </c>
      <c r="BI330" s="22"/>
      <c r="BJ330" s="22" t="str">
        <f>IFERROR(VLOOKUP(C330,'спецификация'!B:AA,6,0)," ")</f>
        <v/>
      </c>
      <c r="BK330" s="43"/>
      <c r="BL330" s="43"/>
      <c r="BM330" s="22" t="str">
        <f>IFERROR(VLOOKUP(BF330,'спецификация'!D:H,5,0)," ")</f>
        <v>вода (aqua), экстракт конского каштана (Horse Chestnut Seed extract), кротон Лехлера «Кровь дракона» (Lechleri ​​receptus Croto Brut extract), экстракт череды (Burmese extract), экстракт мяты (Mint extract), экстракт березы (Birch extract), экстракт чабреца (Thymus extract), стеариновая кислота (stearic acid),  оливковое масло (olive oil),  глицерин (glycerin), цетеариловый спирт (cereal alcohol), глицерил стеарат (glyceryl stearate), ТЭА (TEA), трилон Б (trilon b), отдушка (fragrance), bht, феноксиэтанол (phenpxyethanol),  этилгексилстеарат (ethylhexylglycerin).</v>
      </c>
      <c r="BN330" s="43"/>
      <c r="BO330" s="22" t="str">
        <f>IFERROR(VLOOKUP(C330,'спецификация'!B:AA,10,0)," ")</f>
        <v/>
      </c>
      <c r="BP330" s="43" t="str">
        <f>IFERROR(VLOOKUP(C330,'спецификация'!B:AA,11,0),"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30" s="22" t="str">
        <f>IFERROR(VLOOKUP(C330,'спецификация'!B:AA,12,0)," ")</f>
        <v>хранить в сухом месте при температуре не выше 25°С.</v>
      </c>
      <c r="BR330" s="22">
        <v>100.0</v>
      </c>
      <c r="BS330" s="22" t="s">
        <v>139</v>
      </c>
      <c r="BT330" s="22"/>
      <c r="BU330" s="22"/>
      <c r="BV330" s="22"/>
      <c r="BW330" s="45" t="str">
        <f>IFERROR(VLOOKUP(C330,'спецификация'!B:AA,16,0)," ")</f>
        <v/>
      </c>
      <c r="BX330" s="43"/>
      <c r="BY330" s="43"/>
      <c r="BZ330" s="45" t="str">
        <f>IFERROR(VLOOKUP(BF330,'спецификация'!D:Y,22,0)," ")</f>
        <v/>
      </c>
      <c r="CA330" s="43"/>
      <c r="CB330" s="43"/>
      <c r="CC330" s="43"/>
      <c r="CD330" s="43"/>
      <c r="CE330" s="43"/>
      <c r="CF330" s="43"/>
      <c r="CG330" s="49">
        <f>IFERROR(VLOOKUP(C330,CC!A:D,4,0)," ")</f>
        <v>125</v>
      </c>
      <c r="CH330" s="22" t="str">
        <f>IFERROR(VLOOKUP(C330,'спецификация'!B:AA,19,0)," ")</f>
        <v/>
      </c>
      <c r="CI330" s="22"/>
      <c r="CJ330" s="22" t="s">
        <v>3819</v>
      </c>
      <c r="CK330" s="22">
        <f>IFERROR(VLOOKUP(C330,CC!K:M,3,0)," ")</f>
        <v>60</v>
      </c>
      <c r="CL330" s="43"/>
      <c r="CM330" s="43"/>
      <c r="CN330" s="43"/>
      <c r="CO330" s="43"/>
      <c r="CP330" s="43"/>
      <c r="CQ330" s="43"/>
      <c r="CR330" s="43"/>
      <c r="CS330" s="43" t="b">
        <v>0</v>
      </c>
      <c r="CT330" s="43" t="b">
        <v>0</v>
      </c>
      <c r="CU330" s="43" t="b">
        <v>0</v>
      </c>
      <c r="CV330" s="43" t="b">
        <v>0</v>
      </c>
      <c r="CW330" s="43"/>
      <c r="CX330" s="43"/>
      <c r="CY330" s="43"/>
      <c r="CZ330" s="43"/>
      <c r="DA330" s="43"/>
      <c r="DB330" s="43"/>
      <c r="DC330" s="43"/>
      <c r="DD330" s="22">
        <f>IFERROR(VLOOKUP($C330,'Лист4'!$D:$AI,27,0)," ")</f>
        <v>1</v>
      </c>
      <c r="DE330" s="22">
        <f>IFERROR(VLOOKUP($C330,'Лист4'!$D:$AI,28,0)," ")</f>
        <v>6</v>
      </c>
      <c r="DF330" s="22">
        <f>IFERROR(VLOOKUP($C330,'Лист4'!$D:$AI,29,0)," ")</f>
        <v>1</v>
      </c>
      <c r="DG330" s="22">
        <f t="shared" si="3"/>
        <v>6</v>
      </c>
      <c r="DH330" s="22">
        <f>IFERROR(VLOOKUP($C330,'Лист4'!$D:$AI,32,0)," ")</f>
        <v>0.1</v>
      </c>
      <c r="DI330" s="22"/>
      <c r="DJ330" s="22"/>
      <c r="DK330" s="22"/>
      <c r="DL330" s="22"/>
      <c r="DM330" s="22"/>
      <c r="DN330" s="22"/>
      <c r="DO330" s="22"/>
      <c r="DP330" s="22"/>
      <c r="DQ330" s="22"/>
      <c r="DR330" s="22"/>
      <c r="DS330" s="22"/>
      <c r="DT330" s="22"/>
      <c r="DU330" s="22"/>
      <c r="DV330" s="22"/>
      <c r="DW330" s="22"/>
      <c r="DX330" s="22"/>
      <c r="DY330" s="22"/>
      <c r="DZ330" s="22"/>
      <c r="EA330" s="22"/>
      <c r="EB330" s="22"/>
      <c r="EC330" s="22"/>
      <c r="ED330" s="22"/>
      <c r="EE330" s="22"/>
      <c r="EF330" s="22"/>
      <c r="EG330" s="22"/>
      <c r="EH330" s="22"/>
      <c r="EI330" s="22"/>
      <c r="EJ330" s="22"/>
      <c r="EK330" s="22"/>
      <c r="EL330" s="22"/>
      <c r="EM330" s="43"/>
      <c r="EN330" s="43"/>
      <c r="EO330" s="43"/>
      <c r="EP330" s="43"/>
      <c r="EQ330" s="43"/>
      <c r="ER330" s="43"/>
      <c r="ES330" s="43"/>
      <c r="ET330" s="43"/>
      <c r="EU330" s="43"/>
      <c r="EV330" s="43"/>
      <c r="EW330" s="43"/>
      <c r="EX330" s="43"/>
      <c r="EY330" s="43"/>
      <c r="EZ330" s="43"/>
      <c r="FA330" s="43"/>
      <c r="FB330" s="43"/>
      <c r="FC330" s="43"/>
    </row>
    <row r="331" ht="18.0" customHeight="1">
      <c r="A331" s="2"/>
      <c r="B331" s="22" t="str">
        <f>IFERROR(VLOOKUP(C331,'Реестр'!C:AC,27,0)," ")</f>
        <v>Смарт-Сэйл</v>
      </c>
      <c r="C331" s="43" t="s">
        <v>5000</v>
      </c>
      <c r="D331" s="22" t="str">
        <f>IFERROR(VLOOKUP(C331,'Лист4'!D:P,13,0)," ")</f>
        <v>CPA</v>
      </c>
      <c r="E331" s="22" t="str">
        <f>IF(OR(ISERROR(VLOOKUP(C331,'Актуальность'!A:B,2,0)), VLOOKUP(C331,'Актуальность'!A:B,2,0)=""), "Актуальный", VLOOKUP(C331,'Актуальность'!A:B,2,0))</f>
        <v>Актуальный</v>
      </c>
      <c r="F331" s="43" t="str">
        <f>IFERROR(VLOOKUP(C331,'Актуальность'!A:C,3,0)," ")</f>
        <v/>
      </c>
      <c r="G331" s="43"/>
      <c r="H331" s="22" t="s">
        <v>2663</v>
      </c>
      <c r="I331" s="22" t="s">
        <v>2664</v>
      </c>
      <c r="J331" s="43"/>
      <c r="K331" s="43"/>
      <c r="L331" s="22" t="b">
        <f t="shared" ref="L331:R331" si="327">T331&lt;&gt;""</f>
        <v>1</v>
      </c>
      <c r="M331" s="22" t="b">
        <f t="shared" si="327"/>
        <v>1</v>
      </c>
      <c r="N331" s="22" t="b">
        <f t="shared" si="327"/>
        <v>1</v>
      </c>
      <c r="O331" s="22" t="b">
        <f t="shared" si="327"/>
        <v>1</v>
      </c>
      <c r="P331" s="22" t="b">
        <f t="shared" si="327"/>
        <v>0</v>
      </c>
      <c r="Q331" s="22" t="b">
        <f t="shared" si="327"/>
        <v>0</v>
      </c>
      <c r="R331" s="22" t="b">
        <f t="shared" si="327"/>
        <v>0</v>
      </c>
      <c r="S331" s="43"/>
      <c r="T331" s="43" t="str">
        <f>IFERROR(VLOOKUP( C331,'1С'!A:B,2,0)," ")</f>
        <v>CC101100438</v>
      </c>
      <c r="U331" s="22" t="str">
        <f>IFERROR(VLOOKUP(T331,'Лист4'!C:I,3,0)," ")</f>
        <v>sinergel_30ml_1_1</v>
      </c>
      <c r="V331" s="22" t="str">
        <f>IFERROR(VLOOKUP(T331,'Лист4'!C:I,4,0)," ")</f>
        <v>sinergel_30ml_1_1</v>
      </c>
      <c r="W331" s="22" t="str">
        <f>IFERROR(VLOOKUP(T331,'Лист4'!C:I,5,0)," ")</f>
        <v>sinergel_30ml_1_1</v>
      </c>
      <c r="X331" s="43" t="str">
        <f>IFERROR(VLOOKUP(T331,'Лист4'!C:I,7,0)," ")</f>
        <v/>
      </c>
      <c r="Y331" s="43" t="str">
        <f>IFERROR(VLOOKUP(T331,'Лист4'!C:I,6,0)," ")</f>
        <v/>
      </c>
      <c r="Z331" s="43"/>
      <c r="AA331" s="43"/>
      <c r="AB331" s="22">
        <v>3.18414683E8</v>
      </c>
      <c r="AC331" s="22">
        <v>1.851902167E9</v>
      </c>
      <c r="AD331" s="22">
        <v>1.03816798171E11</v>
      </c>
      <c r="AE331" s="22"/>
      <c r="AF331" s="22"/>
      <c r="AG331" s="43"/>
      <c r="AH331" s="43"/>
      <c r="AI331" s="43" t="str">
        <f>IFERROR(VLOOKUP(T331,'1С'!B:C,2,0)," ")</f>
        <v>Мазь для суставов Синергель , CPA, 30 мл, набор из 2 шт</v>
      </c>
      <c r="AJ331" s="22" t="s">
        <v>3874</v>
      </c>
      <c r="AK331" s="22" t="s">
        <v>5003</v>
      </c>
      <c r="AL331" s="22" t="s">
        <v>5004</v>
      </c>
      <c r="AM331" s="43"/>
      <c r="AN331" s="43"/>
      <c r="AO331" s="43"/>
      <c r="AP331" s="43"/>
      <c r="AQ331" s="46" t="s">
        <v>5005</v>
      </c>
      <c r="AR331" s="46" t="s">
        <v>5006</v>
      </c>
      <c r="AS331" s="46" t="s">
        <v>5007</v>
      </c>
      <c r="AT331" s="43"/>
      <c r="AU331" s="43"/>
      <c r="AV331" s="43"/>
      <c r="AW331" s="43"/>
      <c r="AX331" s="22" t="s">
        <v>594</v>
      </c>
      <c r="AY331" s="22" t="s">
        <v>5003</v>
      </c>
      <c r="AZ331" s="22" t="s">
        <v>2672</v>
      </c>
      <c r="BA331" s="43"/>
      <c r="BB331" s="43"/>
      <c r="BC331" s="43"/>
      <c r="BD331" s="43"/>
      <c r="BE331" s="43"/>
      <c r="BF331" s="22">
        <f>IFERROR(VLOOKUP(C331,'спецификация'!B:D,3,0)," ")</f>
        <v>4603312714069</v>
      </c>
      <c r="BG331" s="22"/>
      <c r="BH331" s="22" t="str">
        <f>IFERROR(VLOOKUP(C331,'спецификация'!B:AA,5,0)," ")</f>
        <v/>
      </c>
      <c r="BI331" s="22"/>
      <c r="BJ331" s="22" t="str">
        <f>IFERROR(VLOOKUP(C331,'спецификация'!B:AA,6,0)," ")</f>
        <v/>
      </c>
      <c r="BK331" s="43"/>
      <c r="BL331" s="43"/>
      <c r="BM331" s="22" t="str">
        <f>IFERROR(VLOOKUP(BF331,'спецификация'!D:H,5,0)," ")</f>
        <v/>
      </c>
      <c r="BN331" s="43"/>
      <c r="BO331" s="22" t="str">
        <f>IFERROR(VLOOKUP(C331,'спецификация'!B:AA,10,0)," ")</f>
        <v/>
      </c>
      <c r="BP331" s="43" t="str">
        <f>IFERROR(VLOOKUP(C331,'спецификация'!B:AA,11,0)," ")</f>
        <v/>
      </c>
      <c r="BQ331" s="22" t="str">
        <f>IFERROR(VLOOKUP(C331,'спецификация'!B:AA,12,0)," ")</f>
        <v/>
      </c>
      <c r="BR331" s="22"/>
      <c r="BS331" s="58" t="s">
        <v>5012</v>
      </c>
      <c r="BT331" s="58"/>
      <c r="BU331" s="22"/>
      <c r="BV331" s="22"/>
      <c r="BW331" s="45" t="str">
        <f>IFERROR(VLOOKUP(C331,'спецификация'!B:AA,16,0)," ")</f>
        <v/>
      </c>
      <c r="BX331" s="43"/>
      <c r="BY331" s="43"/>
      <c r="BZ331" s="45" t="str">
        <f>IFERROR(VLOOKUP(BF331,'спецификация'!D:Y,22,0)," ")</f>
        <v/>
      </c>
      <c r="CA331" s="43"/>
      <c r="CB331" s="43"/>
      <c r="CC331" s="43"/>
      <c r="CD331" s="43"/>
      <c r="CE331" s="43"/>
      <c r="CF331" s="43"/>
      <c r="CG331" s="49">
        <f>IFERROR(VLOOKUP(C331,CC!A:D,4,0)," ")</f>
        <v>247.56</v>
      </c>
      <c r="CH331" s="22" t="str">
        <f>IFERROR(VLOOKUP(C331,'спецификация'!B:AA,19,0)," ")</f>
        <v/>
      </c>
      <c r="CI331" s="22"/>
      <c r="CJ331" s="43"/>
      <c r="CK331" s="22">
        <f>IFERROR(VLOOKUP(C331,CC!K:M,3,0)," ")</f>
        <v>45</v>
      </c>
      <c r="CL331" s="43"/>
      <c r="CM331" s="43"/>
      <c r="CN331" s="43"/>
      <c r="CO331" s="43"/>
      <c r="CP331" s="43"/>
      <c r="CQ331" s="43"/>
      <c r="CR331" s="43"/>
      <c r="CS331" s="43" t="b">
        <v>0</v>
      </c>
      <c r="CT331" s="43" t="b">
        <v>0</v>
      </c>
      <c r="CU331" s="43" t="b">
        <v>0</v>
      </c>
      <c r="CV331" s="43" t="b">
        <v>0</v>
      </c>
      <c r="CW331" s="43"/>
      <c r="CX331" s="43"/>
      <c r="CY331" s="43"/>
      <c r="CZ331" s="43"/>
      <c r="DA331" s="43"/>
      <c r="DB331" s="43"/>
      <c r="DC331" s="43"/>
      <c r="DD331" s="22">
        <f>IFERROR(VLOOKUP($C331,'Лист4'!$D:$AI,27,0)," ")</f>
        <v>9</v>
      </c>
      <c r="DE331" s="22">
        <f>IFERROR(VLOOKUP($C331,'Лист4'!$D:$AI,28,0)," ")</f>
        <v>15</v>
      </c>
      <c r="DF331" s="22">
        <f>IFERROR(VLOOKUP($C331,'Лист4'!$D:$AI,29,0)," ")</f>
        <v>9</v>
      </c>
      <c r="DG331" s="22">
        <f t="shared" si="3"/>
        <v>1215</v>
      </c>
      <c r="DH331" s="22">
        <f>IFERROR(VLOOKUP($C331,'Лист4'!$D:$AI,32,0)," ")</f>
        <v>0.124</v>
      </c>
      <c r="DI331" s="22"/>
      <c r="DJ331" s="22"/>
      <c r="DK331" s="22"/>
      <c r="DL331" s="22"/>
      <c r="DM331" s="22"/>
      <c r="DN331" s="22"/>
      <c r="DO331" s="22"/>
      <c r="DP331" s="22"/>
      <c r="DQ331" s="22"/>
      <c r="DR331" s="22"/>
      <c r="DS331" s="22"/>
      <c r="DT331" s="22"/>
      <c r="DU331" s="22"/>
      <c r="DV331" s="22"/>
      <c r="DW331" s="22"/>
      <c r="DX331" s="22"/>
      <c r="DY331" s="22"/>
      <c r="DZ331" s="22"/>
      <c r="EA331" s="22"/>
      <c r="EB331" s="22"/>
      <c r="EC331" s="22"/>
      <c r="ED331" s="22"/>
      <c r="EE331" s="22"/>
      <c r="EF331" s="22"/>
      <c r="EG331" s="22"/>
      <c r="EH331" s="22"/>
      <c r="EI331" s="22"/>
      <c r="EJ331" s="22"/>
      <c r="EK331" s="22"/>
      <c r="EL331" s="22"/>
      <c r="EM331" s="43"/>
      <c r="EN331" s="43"/>
      <c r="EO331" s="43"/>
      <c r="EP331" s="43"/>
      <c r="EQ331" s="43"/>
      <c r="ER331" s="43"/>
      <c r="ES331" s="43"/>
      <c r="ET331" s="43"/>
      <c r="EU331" s="43"/>
      <c r="EV331" s="43"/>
      <c r="EW331" s="43"/>
      <c r="EX331" s="43"/>
      <c r="EY331" s="43"/>
      <c r="EZ331" s="43"/>
      <c r="FA331" s="43"/>
      <c r="FB331" s="43"/>
      <c r="FC331" s="43"/>
    </row>
    <row r="332" ht="18.0" customHeight="1">
      <c r="A332" s="2"/>
      <c r="B332" s="22" t="str">
        <f>IFERROR(VLOOKUP(C332,'Реестр'!C:AC,27,0)," ")</f>
        <v>Смарт-Сэйл</v>
      </c>
      <c r="C332" s="43" t="s">
        <v>5013</v>
      </c>
      <c r="D332" s="22" t="str">
        <f>IFERROR(VLOOKUP(C332,'Лист4'!D:P,13,0)," ")</f>
        <v>CPA</v>
      </c>
      <c r="E332" s="22" t="str">
        <f>IF(OR(ISERROR(VLOOKUP(C332,'Актуальность'!A:B,2,0)), VLOOKUP(C332,'Актуальность'!A:B,2,0)=""), "Актуальный", VLOOKUP(C332,'Актуальность'!A:B,2,0))</f>
        <v>Актуальный</v>
      </c>
      <c r="F332" s="43" t="str">
        <f>IFERROR(VLOOKUP(C332,'Актуальность'!A:C,3,0)," ")</f>
        <v/>
      </c>
      <c r="G332" s="43"/>
      <c r="H332" s="22" t="s">
        <v>2663</v>
      </c>
      <c r="I332" s="22" t="s">
        <v>2664</v>
      </c>
      <c r="J332" s="43"/>
      <c r="K332" s="43"/>
      <c r="L332" s="22" t="b">
        <f t="shared" ref="L332:R332" si="328">T332&lt;&gt;""</f>
        <v>1</v>
      </c>
      <c r="M332" s="22" t="b">
        <f t="shared" si="328"/>
        <v>1</v>
      </c>
      <c r="N332" s="22" t="b">
        <f t="shared" si="328"/>
        <v>1</v>
      </c>
      <c r="O332" s="22" t="b">
        <f t="shared" si="328"/>
        <v>1</v>
      </c>
      <c r="P332" s="22" t="b">
        <f t="shared" si="328"/>
        <v>0</v>
      </c>
      <c r="Q332" s="22" t="b">
        <f t="shared" si="328"/>
        <v>0</v>
      </c>
      <c r="R332" s="22" t="b">
        <f t="shared" si="328"/>
        <v>0</v>
      </c>
      <c r="S332" s="43"/>
      <c r="T332" s="43" t="str">
        <f>IFERROR(VLOOKUP( C332,'1С'!A:B,2,0)," ")</f>
        <v>CC101100426</v>
      </c>
      <c r="U332" s="22" t="str">
        <f>IFERROR(VLOOKUP(T332,'Лист4'!C:I,3,0)," ")</f>
        <v>wbbiotrin_1_1</v>
      </c>
      <c r="V332" s="22" t="str">
        <f>IFERROR(VLOOKUP(T332,'Лист4'!C:I,4,0)," ")</f>
        <v>wbbiotrin_1_1</v>
      </c>
      <c r="W332" s="22" t="str">
        <f>IFERROR(VLOOKUP(T332,'Лист4'!C:I,5,0)," ")</f>
        <v>wbbiotrin_1_1</v>
      </c>
      <c r="X332" s="43" t="str">
        <f>IFERROR(VLOOKUP(T332,'Лист4'!C:I,7,0)," ")</f>
        <v/>
      </c>
      <c r="Y332" s="43" t="str">
        <f>IFERROR(VLOOKUP(T332,'Лист4'!C:I,6,0)," ")</f>
        <v/>
      </c>
      <c r="Z332" s="43"/>
      <c r="AA332" s="43"/>
      <c r="AB332" s="22">
        <v>1.72161836E8</v>
      </c>
      <c r="AC332" s="22">
        <v>1.15456532E9</v>
      </c>
      <c r="AD332" s="22">
        <v>1.03544230414E11</v>
      </c>
      <c r="AE332" s="22"/>
      <c r="AF332" s="22"/>
      <c r="AG332" s="43"/>
      <c r="AH332" s="43"/>
      <c r="AI332" s="43" t="str">
        <f>IFERROR(VLOOKUP(T332,'1С'!B:C,2,0)," ")</f>
        <v>Мазь для суставов Биотрин, CPA, 30 мл, набор из 2 шт</v>
      </c>
      <c r="AJ332" s="22" t="s">
        <v>3945</v>
      </c>
      <c r="AK332" s="22" t="s">
        <v>5016</v>
      </c>
      <c r="AL332" s="22" t="s">
        <v>5016</v>
      </c>
      <c r="AM332" s="43"/>
      <c r="AN332" s="43"/>
      <c r="AO332" s="43"/>
      <c r="AP332" s="43"/>
      <c r="AQ332" s="46" t="s">
        <v>5017</v>
      </c>
      <c r="AR332" s="46" t="s">
        <v>5018</v>
      </c>
      <c r="AS332" s="46" t="s">
        <v>5019</v>
      </c>
      <c r="AT332" s="43"/>
      <c r="AU332" s="43"/>
      <c r="AV332" s="43"/>
      <c r="AW332" s="43"/>
      <c r="AX332" s="22" t="s">
        <v>594</v>
      </c>
      <c r="AY332" s="22" t="s">
        <v>5016</v>
      </c>
      <c r="AZ332" s="22" t="s">
        <v>2672</v>
      </c>
      <c r="BA332" s="43"/>
      <c r="BB332" s="43"/>
      <c r="BC332" s="43"/>
      <c r="BD332" s="43"/>
      <c r="BE332" s="43"/>
      <c r="BF332" s="22">
        <f>IFERROR(VLOOKUP(C332,'спецификация'!B:D,3,0)," ")</f>
        <v>2038301429006</v>
      </c>
      <c r="BG332" s="22"/>
      <c r="BH332" s="22" t="str">
        <f>IFERROR(VLOOKUP(C332,'спецификация'!B:AA,5,0)," ")</f>
        <v/>
      </c>
      <c r="BI332" s="22"/>
      <c r="BJ332" s="22" t="str">
        <f>IFERROR(VLOOKUP(C332,'спецификация'!B:AA,6,0)," ")</f>
        <v/>
      </c>
      <c r="BK332" s="43"/>
      <c r="BL332" s="43"/>
      <c r="BM332" s="22" t="str">
        <f>IFERROR(VLOOKUP(BF332,'спецификация'!D:H,5,0)," ")</f>
        <v/>
      </c>
      <c r="BN332" s="43"/>
      <c r="BO332" s="22" t="str">
        <f>IFERROR(VLOOKUP(C332,'спецификация'!B:AA,10,0)," ")</f>
        <v/>
      </c>
      <c r="BP332" s="43" t="str">
        <f>IFERROR(VLOOKUP(C332,'спецификация'!B:AA,11,0)," ")</f>
        <v/>
      </c>
      <c r="BQ332" s="22" t="str">
        <f>IFERROR(VLOOKUP(C332,'спецификация'!B:AA,12,0)," ")</f>
        <v/>
      </c>
      <c r="BR332" s="22"/>
      <c r="BS332" s="43"/>
      <c r="BT332" s="43"/>
      <c r="BU332" s="22"/>
      <c r="BV332" s="22"/>
      <c r="BW332" s="45" t="str">
        <f>IFERROR(VLOOKUP(C332,'спецификация'!B:AA,16,0)," ")</f>
        <v/>
      </c>
      <c r="BX332" s="43"/>
      <c r="BY332" s="43"/>
      <c r="BZ332" s="45" t="str">
        <f>IFERROR(VLOOKUP(BF332,'спецификация'!D:Y,22,0)," ")</f>
        <v/>
      </c>
      <c r="CA332" s="43"/>
      <c r="CB332" s="43"/>
      <c r="CC332" s="43"/>
      <c r="CD332" s="43"/>
      <c r="CE332" s="43"/>
      <c r="CF332" s="43"/>
      <c r="CG332" s="49">
        <f>IFERROR(VLOOKUP(C332,CC!A:D,4,0)," ")</f>
        <v>232.72</v>
      </c>
      <c r="CH332" s="22" t="str">
        <f>IFERROR(VLOOKUP(C332,'спецификация'!B:AA,19,0)," ")</f>
        <v/>
      </c>
      <c r="CI332" s="22"/>
      <c r="CJ332" s="43"/>
      <c r="CK332" s="22">
        <f>IFERROR(VLOOKUP(C332,CC!K:M,3,0)," ")</f>
        <v>45</v>
      </c>
      <c r="CL332" s="43"/>
      <c r="CM332" s="43"/>
      <c r="CN332" s="43"/>
      <c r="CO332" s="43"/>
      <c r="CP332" s="43"/>
      <c r="CQ332" s="43"/>
      <c r="CR332" s="43"/>
      <c r="CS332" s="43" t="b">
        <v>0</v>
      </c>
      <c r="CT332" s="43" t="b">
        <v>0</v>
      </c>
      <c r="CU332" s="43" t="b">
        <v>0</v>
      </c>
      <c r="CV332" s="43" t="b">
        <v>0</v>
      </c>
      <c r="CW332" s="43"/>
      <c r="CX332" s="43"/>
      <c r="CY332" s="43"/>
      <c r="CZ332" s="43"/>
      <c r="DA332" s="43"/>
      <c r="DB332" s="43"/>
      <c r="DC332" s="43"/>
      <c r="DD332" s="22">
        <f>IFERROR(VLOOKUP($C332,'Лист4'!$D:$AI,27,0)," ")</f>
        <v>15</v>
      </c>
      <c r="DE332" s="22">
        <f>IFERROR(VLOOKUP($C332,'Лист4'!$D:$AI,28,0)," ")</f>
        <v>6</v>
      </c>
      <c r="DF332" s="22">
        <f>IFERROR(VLOOKUP($C332,'Лист4'!$D:$AI,29,0)," ")</f>
        <v>15</v>
      </c>
      <c r="DG332" s="22">
        <f t="shared" si="3"/>
        <v>1350</v>
      </c>
      <c r="DH332" s="22">
        <f>IFERROR(VLOOKUP($C332,'Лист4'!$D:$AI,32,0)," ")</f>
        <v>0.152</v>
      </c>
      <c r="DI332" s="22"/>
      <c r="DJ332" s="22"/>
      <c r="DK332" s="22"/>
      <c r="DL332" s="22"/>
      <c r="DM332" s="22"/>
      <c r="DN332" s="22"/>
      <c r="DO332" s="22"/>
      <c r="DP332" s="22"/>
      <c r="DQ332" s="22"/>
      <c r="DR332" s="22"/>
      <c r="DS332" s="22"/>
      <c r="DT332" s="22"/>
      <c r="DU332" s="22"/>
      <c r="DV332" s="22"/>
      <c r="DW332" s="22"/>
      <c r="DX332" s="22"/>
      <c r="DY332" s="22"/>
      <c r="DZ332" s="22"/>
      <c r="EA332" s="22"/>
      <c r="EB332" s="22"/>
      <c r="EC332" s="22"/>
      <c r="ED332" s="22"/>
      <c r="EE332" s="22"/>
      <c r="EF332" s="22"/>
      <c r="EG332" s="22"/>
      <c r="EH332" s="22"/>
      <c r="EI332" s="22"/>
      <c r="EJ332" s="22"/>
      <c r="EK332" s="22"/>
      <c r="EL332" s="22"/>
      <c r="EM332" s="43"/>
      <c r="EN332" s="43"/>
      <c r="EO332" s="43"/>
      <c r="EP332" s="43"/>
      <c r="EQ332" s="43"/>
      <c r="ER332" s="43"/>
      <c r="ES332" s="43"/>
      <c r="ET332" s="43"/>
      <c r="EU332" s="43"/>
      <c r="EV332" s="43"/>
      <c r="EW332" s="43"/>
      <c r="EX332" s="43"/>
      <c r="EY332" s="43"/>
      <c r="EZ332" s="43"/>
      <c r="FA332" s="43"/>
      <c r="FB332" s="43"/>
      <c r="FC332" s="43"/>
    </row>
    <row r="333" ht="18.0" customHeight="1">
      <c r="A333" s="2"/>
      <c r="B333" s="22" t="str">
        <f>IFERROR(VLOOKUP(C333,'Реестр'!C:AC,27,0)," ")</f>
        <v>Смарт-Сэйл</v>
      </c>
      <c r="C333" s="43" t="s">
        <v>5020</v>
      </c>
      <c r="D333" s="22" t="str">
        <f>IFERROR(VLOOKUP(C333,'Лист4'!D:P,13,0)," ")</f>
        <v>CPA</v>
      </c>
      <c r="E333" s="22" t="str">
        <f>IF(OR(ISERROR(VLOOKUP(C333,'Актуальность'!A:B,2,0)), VLOOKUP(C333,'Актуальность'!A:B,2,0)=""), "Актуальный", VLOOKUP(C333,'Актуальность'!A:B,2,0))</f>
        <v>Актуальный</v>
      </c>
      <c r="F333" s="43" t="str">
        <f>IFERROR(VLOOKUP(C333,'Актуальность'!A:C,3,0)," ")</f>
        <v/>
      </c>
      <c r="G333" s="43"/>
      <c r="H333" s="22" t="s">
        <v>4660</v>
      </c>
      <c r="I333" s="22" t="s">
        <v>5022</v>
      </c>
      <c r="J333" s="43"/>
      <c r="K333" s="43"/>
      <c r="L333" s="22" t="b">
        <f t="shared" ref="L333:R333" si="329">T333&lt;&gt;""</f>
        <v>1</v>
      </c>
      <c r="M333" s="22" t="b">
        <f t="shared" si="329"/>
        <v>1</v>
      </c>
      <c r="N333" s="22" t="b">
        <f t="shared" si="329"/>
        <v>1</v>
      </c>
      <c r="O333" s="22" t="b">
        <f t="shared" si="329"/>
        <v>1</v>
      </c>
      <c r="P333" s="22" t="b">
        <f t="shared" si="329"/>
        <v>1</v>
      </c>
      <c r="Q333" s="22" t="b">
        <f t="shared" si="329"/>
        <v>1</v>
      </c>
      <c r="R333" s="22" t="b">
        <f t="shared" si="329"/>
        <v>0</v>
      </c>
      <c r="S333" s="43"/>
      <c r="T333" s="43" t="str">
        <f>IFERROR(VLOOKUP( C333,'1С'!A:B,2,0)," ")</f>
        <v>CC101100449</v>
      </c>
      <c r="U333" s="22" t="s">
        <v>5020</v>
      </c>
      <c r="V333" s="22" t="s">
        <v>5020</v>
      </c>
      <c r="W333" s="22" t="s">
        <v>5020</v>
      </c>
      <c r="X333" s="43" t="str">
        <f>IFERROR(VLOOKUP(T333,'Лист4'!C:I,7,0)," ")</f>
        <v> </v>
      </c>
      <c r="Y333" s="43" t="str">
        <f>IFERROR(VLOOKUP(T333,'Лист4'!C:I,6,0)," ")</f>
        <v> </v>
      </c>
      <c r="Z333" s="43"/>
      <c r="AA333" s="43"/>
      <c r="AB333" s="22">
        <v>1.789162E7</v>
      </c>
      <c r="AC333" s="22">
        <v>2.88346567E8</v>
      </c>
      <c r="AD333" s="22">
        <v>1.03515446251E11</v>
      </c>
      <c r="AE333" s="22"/>
      <c r="AF333" s="22"/>
      <c r="AG333" s="43"/>
      <c r="AH333" s="43"/>
      <c r="AI333" s="43" t="str">
        <f>IFERROR(VLOOKUP(T333,'1С'!B:C,2,0)," ")</f>
        <v>Лубрикант Getsize CPA, 30 мл</v>
      </c>
      <c r="AJ333" s="22" t="s">
        <v>5024</v>
      </c>
      <c r="AK333" s="22" t="s">
        <v>5025</v>
      </c>
      <c r="AL333" s="22" t="s">
        <v>5026</v>
      </c>
      <c r="AM333" s="43"/>
      <c r="AN333" s="43"/>
      <c r="AO333" s="43"/>
      <c r="AP333" s="43"/>
      <c r="AQ333" s="46" t="s">
        <v>5027</v>
      </c>
      <c r="AR333" s="46" t="s">
        <v>4332</v>
      </c>
      <c r="AS333" s="46" t="s">
        <v>5028</v>
      </c>
      <c r="AT333" s="43"/>
      <c r="AU333" s="43"/>
      <c r="AV333" s="43"/>
      <c r="AW333" s="43"/>
      <c r="AX333" s="22" t="s">
        <v>4667</v>
      </c>
      <c r="AY333" s="22" t="s">
        <v>5025</v>
      </c>
      <c r="AZ333" s="22" t="s">
        <v>5029</v>
      </c>
      <c r="BA333" s="43"/>
      <c r="BB333" s="43"/>
      <c r="BC333" s="43"/>
      <c r="BD333" s="43"/>
      <c r="BE333" s="43"/>
      <c r="BF333" s="22">
        <f>IFERROR(VLOOKUP(C333,'спецификация'!B:D,3,0)," ")</f>
        <v>4631146952982</v>
      </c>
      <c r="BG333" s="22">
        <v>3.30499E9</v>
      </c>
      <c r="BH333" s="22" t="str">
        <f>IFERROR(VLOOKUP(C333,'спецификация'!B:AA,5,0)," ")</f>
        <v>ЕАЭС N RU Д-RU.РА09.В.60972/24 от 18.10.2024 действует до 17.10.2029</v>
      </c>
      <c r="BI333" s="22"/>
      <c r="BJ333" s="22" t="str">
        <f>IFERROR(VLOOKUP(C333,'спецификация'!B:AA,6,0)," ")</f>
        <v/>
      </c>
      <c r="BK333" s="43"/>
      <c r="BL333" s="43"/>
      <c r="BM333" s="22" t="str">
        <f>IFERROR(VLOOKUP(BF333,'спецификация'!D:H,5,0)," ")</f>
        <v>вода, глицерин, экстракт трибуллуса, экстракт аралии маньчжурской, экстракт панакса радикса, масло лещины, гидроксиэтилцеллюлоза, полигликоль 400, аллантоин, экстракт ромашки, консервант.</v>
      </c>
      <c r="BN333" s="43"/>
      <c r="BO333" s="22" t="str">
        <f>IFERROR(VLOOKUP(C333,'спецификация'!B:AA,10,0)," ")</f>
        <v/>
      </c>
      <c r="BP333" s="43" t="str">
        <f>IFERROR(VLOOKUP(C333,'спецификация'!B:AA,11,0),"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33" s="22" t="str">
        <f>IFERROR(VLOOKUP(C333,'спецификация'!B:AA,12,0)," ")</f>
        <v>в сухом, защищенном от света месте при температуре от +5°С до +25°С.
</v>
      </c>
      <c r="BR333" s="22">
        <v>30.0</v>
      </c>
      <c r="BS333" s="22" t="s">
        <v>139</v>
      </c>
      <c r="BT333" s="22"/>
      <c r="BU333" s="22"/>
      <c r="BV333" s="22" t="s">
        <v>307</v>
      </c>
      <c r="BW333" s="44" t="str">
        <f>IFERROR(VLOOKUP(C333,'спецификация'!B:AA,16,0)," ")</f>
        <v>https://docs.google.com/document/d/1rK79ueSXwFLmuL3ulnvb9aN0ZA8JY1gLSbRsjbVMr80/edit</v>
      </c>
      <c r="BX333" s="43"/>
      <c r="BY333" s="43"/>
      <c r="BZ333" s="45" t="str">
        <f>IFERROR(VLOOKUP(BF333,'спецификация'!D:Y,22,0)," ")</f>
        <v/>
      </c>
      <c r="CA333" s="43"/>
      <c r="CB333" s="43"/>
      <c r="CC333" s="43"/>
      <c r="CD333" s="43"/>
      <c r="CE333" s="43"/>
      <c r="CF333" s="43"/>
      <c r="CG333" s="49">
        <f>IFERROR(VLOOKUP(C333,CC!A:D,4,0)," ")</f>
        <v>85.5</v>
      </c>
      <c r="CH333" s="22" t="str">
        <f>IFERROR(VLOOKUP(C333,'спецификация'!B:AA,19,0)," ")</f>
        <v/>
      </c>
      <c r="CI333" s="22"/>
      <c r="CJ333" s="43"/>
      <c r="CK333" s="22" t="str">
        <f>IFERROR(VLOOKUP(C333,CC!K:M,3,0)," ")</f>
        <v> </v>
      </c>
      <c r="CL333" s="43"/>
      <c r="CM333" s="43"/>
      <c r="CN333" s="43"/>
      <c r="CO333" s="43"/>
      <c r="CP333" s="43"/>
      <c r="CQ333" s="43"/>
      <c r="CR333" s="43"/>
      <c r="CS333" s="43" t="b">
        <v>0</v>
      </c>
      <c r="CT333" s="43" t="b">
        <v>0</v>
      </c>
      <c r="CU333" s="43" t="b">
        <v>0</v>
      </c>
      <c r="CV333" s="43" t="b">
        <v>0</v>
      </c>
      <c r="CW333" s="43"/>
      <c r="CX333" s="43"/>
      <c r="CY333" s="43"/>
      <c r="CZ333" s="43"/>
      <c r="DA333" s="43"/>
      <c r="DB333" s="43"/>
      <c r="DC333" s="43"/>
      <c r="DD333" s="22">
        <f>IFERROR(VLOOKUP($C333,'Лист4'!$D:$AI,27,0)," ")</f>
        <v>22</v>
      </c>
      <c r="DE333" s="22">
        <f>IFERROR(VLOOKUP($C333,'Лист4'!$D:$AI,28,0)," ")</f>
        <v>6</v>
      </c>
      <c r="DF333" s="22">
        <f>IFERROR(VLOOKUP($C333,'Лист4'!$D:$AI,29,0)," ")</f>
        <v>22</v>
      </c>
      <c r="DG333" s="22">
        <f t="shared" si="3"/>
        <v>2904</v>
      </c>
      <c r="DH333" s="22">
        <f>IFERROR(VLOOKUP($C333,'Лист4'!$D:$AI,32,0)," ")</f>
        <v>0.048</v>
      </c>
      <c r="DI333" s="22"/>
      <c r="DJ333" s="22"/>
      <c r="DK333" s="22"/>
      <c r="DL333" s="22"/>
      <c r="DM333" s="22"/>
      <c r="DN333" s="22"/>
      <c r="DO333" s="22"/>
      <c r="DP333" s="22"/>
      <c r="DQ333" s="22"/>
      <c r="DR333" s="22"/>
      <c r="DS333" s="22"/>
      <c r="DT333" s="22"/>
      <c r="DU333" s="22"/>
      <c r="DV333" s="22"/>
      <c r="DW333" s="22"/>
      <c r="DX333" s="22"/>
      <c r="DY333" s="22"/>
      <c r="DZ333" s="22"/>
      <c r="EA333" s="22"/>
      <c r="EB333" s="22"/>
      <c r="EC333" s="22"/>
      <c r="ED333" s="22"/>
      <c r="EE333" s="22"/>
      <c r="EF333" s="22"/>
      <c r="EG333" s="22"/>
      <c r="EH333" s="22"/>
      <c r="EI333" s="22"/>
      <c r="EJ333" s="22"/>
      <c r="EK333" s="22"/>
      <c r="EL333" s="22"/>
      <c r="EM333" s="43"/>
      <c r="EN333" s="43"/>
      <c r="EO333" s="43"/>
      <c r="EP333" s="43"/>
      <c r="EQ333" s="43"/>
      <c r="ER333" s="43"/>
      <c r="ES333" s="43"/>
      <c r="ET333" s="43"/>
      <c r="EU333" s="43"/>
      <c r="EV333" s="43"/>
      <c r="EW333" s="43"/>
      <c r="EX333" s="43"/>
      <c r="EY333" s="43"/>
      <c r="EZ333" s="43"/>
      <c r="FA333" s="43"/>
      <c r="FB333" s="43"/>
      <c r="FC333" s="43"/>
    </row>
    <row r="334" ht="18.0" customHeight="1">
      <c r="A334" s="2"/>
      <c r="B334" s="22" t="str">
        <f>IFERROR(VLOOKUP(C334,'Реестр'!C:AC,27,0)," ")</f>
        <v>Смарт-Сэйл</v>
      </c>
      <c r="C334" s="43" t="s">
        <v>5031</v>
      </c>
      <c r="D334" s="22" t="str">
        <f>IFERROR(VLOOKUP(C334,'Лист4'!D:P,13,0)," ")</f>
        <v>CPA</v>
      </c>
      <c r="E334" s="22" t="str">
        <f>IF(OR(ISERROR(VLOOKUP(C334,'Актуальность'!A:B,2,0)), VLOOKUP(C334,'Актуальность'!A:B,2,0)=""), "Актуальный", VLOOKUP(C334,'Актуальность'!A:B,2,0))</f>
        <v>Актуальный</v>
      </c>
      <c r="F334" s="43" t="str">
        <f>IFERROR(VLOOKUP(C334,'Актуальность'!A:C,3,0)," ")</f>
        <v/>
      </c>
      <c r="G334" s="43"/>
      <c r="H334" s="22" t="s">
        <v>2663</v>
      </c>
      <c r="I334" s="22" t="s">
        <v>3697</v>
      </c>
      <c r="J334" s="43"/>
      <c r="K334" s="43"/>
      <c r="L334" s="22" t="b">
        <f t="shared" ref="L334:R334" si="330">T334&lt;&gt;""</f>
        <v>1</v>
      </c>
      <c r="M334" s="22" t="b">
        <f t="shared" si="330"/>
        <v>1</v>
      </c>
      <c r="N334" s="22" t="b">
        <f t="shared" si="330"/>
        <v>1</v>
      </c>
      <c r="O334" s="22" t="b">
        <f t="shared" si="330"/>
        <v>1</v>
      </c>
      <c r="P334" s="22" t="b">
        <f t="shared" si="330"/>
        <v>0</v>
      </c>
      <c r="Q334" s="22" t="b">
        <f t="shared" si="330"/>
        <v>0</v>
      </c>
      <c r="R334" s="22" t="b">
        <f t="shared" si="330"/>
        <v>0</v>
      </c>
      <c r="S334" s="43"/>
      <c r="T334" s="43" t="str">
        <f>IFERROR(VLOOKUP( C334,'1С'!A:B,2,0)," ")</f>
        <v>CO101100418</v>
      </c>
      <c r="U334" s="22" t="str">
        <f>IFERROR(VLOOKUP(T334,'Лист4'!C:I,3,0)," ")</f>
        <v>wbvizox</v>
      </c>
      <c r="V334" s="22" t="str">
        <f>IFERROR(VLOOKUP(T334,'Лист4'!C:I,4,0)," ")</f>
        <v>wbvizox</v>
      </c>
      <c r="W334" s="22" t="str">
        <f>IFERROR(VLOOKUP(T334,'Лист4'!C:I,5,0)," ")</f>
        <v>wbvizox</v>
      </c>
      <c r="X334" s="43" t="str">
        <f>IFERROR(VLOOKUP(T334,'Лист4'!C:I,7,0)," ")</f>
        <v/>
      </c>
      <c r="Y334" s="43" t="str">
        <f>IFERROR(VLOOKUP(T334,'Лист4'!C:I,6,0)," ")</f>
        <v/>
      </c>
      <c r="Z334" s="43"/>
      <c r="AA334" s="43"/>
      <c r="AB334" s="22">
        <v>4.13496E7</v>
      </c>
      <c r="AC334" s="22">
        <v>3.27231771E8</v>
      </c>
      <c r="AD334" s="22">
        <v>4.666601948E9</v>
      </c>
      <c r="AE334" s="22"/>
      <c r="AF334" s="22"/>
      <c r="AG334" s="43"/>
      <c r="AH334" s="43"/>
      <c r="AI334" s="43" t="str">
        <f>IFERROR(VLOOKUP(T334,'1С'!B:C,2,0)," ")</f>
        <v>Пищевая добавка Визокс, CPA, 10 мл</v>
      </c>
      <c r="AJ334" s="22" t="s">
        <v>5034</v>
      </c>
      <c r="AK334" s="22" t="s">
        <v>5035</v>
      </c>
      <c r="AL334" s="22" t="s">
        <v>5036</v>
      </c>
      <c r="AM334" s="43"/>
      <c r="AN334" s="43"/>
      <c r="AO334" s="43"/>
      <c r="AP334" s="43"/>
      <c r="AQ334" s="46" t="s">
        <v>5037</v>
      </c>
      <c r="AR334" s="46" t="s">
        <v>5038</v>
      </c>
      <c r="AS334" s="43"/>
      <c r="AT334" s="43"/>
      <c r="AU334" s="43"/>
      <c r="AV334" s="43"/>
      <c r="AW334" s="43"/>
      <c r="AX334" s="22" t="s">
        <v>649</v>
      </c>
      <c r="AY334" s="22" t="s">
        <v>5035</v>
      </c>
      <c r="AZ334" s="22" t="s">
        <v>372</v>
      </c>
      <c r="BA334" s="43"/>
      <c r="BB334" s="43"/>
      <c r="BC334" s="43"/>
      <c r="BD334" s="43"/>
      <c r="BE334" s="43"/>
      <c r="BF334" s="22">
        <f>IFERROR(VLOOKUP(C334,'спецификация'!B:D,3,0)," ")</f>
        <v>4631137993550</v>
      </c>
      <c r="BG334" s="22"/>
      <c r="BH334" s="22" t="str">
        <f>IFERROR(VLOOKUP(C334,'спецификация'!B:AA,5,0)," ")</f>
        <v>ЕАЭС N RU Д-RU.PA08.B.86809/23 от 19.10.2023 до 18.10.2028</v>
      </c>
      <c r="BI334" s="22"/>
      <c r="BJ334" s="22" t="str">
        <f>IFERROR(VLOOKUP(C334,'спецификация'!B:AA,6,0)," ")</f>
        <v/>
      </c>
      <c r="BK334" s="43"/>
      <c r="BL334" s="43"/>
      <c r="BM334" s="22" t="str">
        <f>IFERROR(VLOOKUP(BF334,'спецификация'!D:H,5,0)," ")</f>
        <v>экстракт аира, экстракт ирги, экстракт лимонника, экстракт черники, экстракт земляники, экстракт клюквы, экстракт морошки, экстракт крапивы, экстракт одуванчика, экстракт первоцвета, экстракт шиповника, экстракт пустырника, экстракт смородины, экстракт элеутерококка, экстракт женьшеня, экстракт арники, экстракт магнолии, экстракт чеснока, экстракт аронии, экстракт алоэ, экстракт календулы, экстракт толокнянки, экстракт кукурузных рылец, экстракт мяты, экстракт чабреца, экстракт лимона, экстракт лайма, экстракт фенхеля, экстракт укропа, экстракт петрушки, экстракт очанки, экстракт виноградных косточек, экстракт василька, экстракт коры сосны, экстракт пассифлоры, экстракт подорожника, .</v>
      </c>
      <c r="BN334" s="43"/>
      <c r="BO334" s="22" t="str">
        <f>IFERROR(VLOOKUP(C334,'спецификация'!B:AA,10,0)," ")</f>
        <v/>
      </c>
      <c r="BP334" s="43" t="str">
        <f>IFERROR(VLOOKUP(C334,'спецификация'!B:AA,11,0)," ")</f>
        <v> индивидуальная непереносимость одного или нескольких компонентов средства.
</v>
      </c>
      <c r="BQ334" s="22" t="str">
        <f>IFERROR(VLOOKUP(C334,'спецификация'!B:AA,12,0)," ")</f>
        <v> хранить при температуре до 25 °C, избегая попадания прямых солнечных лучей.
</v>
      </c>
      <c r="BR334" s="22">
        <v>10.0</v>
      </c>
      <c r="BS334" s="22" t="s">
        <v>139</v>
      </c>
      <c r="BT334" s="22"/>
      <c r="BU334" s="22"/>
      <c r="BV334" s="22" t="s">
        <v>307</v>
      </c>
      <c r="BW334" s="44" t="str">
        <f>IFERROR(VLOOKUP(C334,'спецификация'!B:AA,16,0)," ")</f>
        <v>https://docs.google.com/document/d/1ld0niFTBcvasI9B_5Tqfn2Wy1crI-MDcBDswnylS_VI/edit</v>
      </c>
      <c r="BX334" s="43"/>
      <c r="BY334" s="43"/>
      <c r="BZ334" s="45" t="str">
        <f>IFERROR(VLOOKUP(BF334,'спецификация'!D:Y,22,0)," ")</f>
        <v/>
      </c>
      <c r="CA334" s="43"/>
      <c r="CB334" s="43"/>
      <c r="CC334" s="43"/>
      <c r="CD334" s="43"/>
      <c r="CE334" s="43"/>
      <c r="CF334" s="43"/>
      <c r="CG334" s="49">
        <f>IFERROR(VLOOKUP(C334,CC!A:D,4,0)," ")</f>
        <v>114.31</v>
      </c>
      <c r="CH334" s="22" t="str">
        <f>IFERROR(VLOOKUP(C334,'спецификация'!B:AA,19,0)," ")</f>
        <v/>
      </c>
      <c r="CI334" s="22"/>
      <c r="CJ334" s="43"/>
      <c r="CK334" s="22" t="str">
        <f>IFERROR(VLOOKUP(C334,CC!K:M,3,0)," ")</f>
        <v> </v>
      </c>
      <c r="CL334" s="43"/>
      <c r="CM334" s="43"/>
      <c r="CN334" s="43"/>
      <c r="CO334" s="43"/>
      <c r="CP334" s="43"/>
      <c r="CQ334" s="43"/>
      <c r="CR334" s="43"/>
      <c r="CS334" s="43" t="b">
        <v>0</v>
      </c>
      <c r="CT334" s="43" t="b">
        <v>0</v>
      </c>
      <c r="CU334" s="43" t="b">
        <v>0</v>
      </c>
      <c r="CV334" s="43" t="b">
        <v>0</v>
      </c>
      <c r="CW334" s="43"/>
      <c r="CX334" s="43"/>
      <c r="CY334" s="43"/>
      <c r="CZ334" s="43"/>
      <c r="DA334" s="43"/>
      <c r="DB334" s="43"/>
      <c r="DC334" s="43"/>
      <c r="DD334" s="22">
        <f>IFERROR(VLOOKUP($C334,'Лист4'!$D:$AI,27,0)," ")</f>
        <v>3</v>
      </c>
      <c r="DE334" s="22">
        <f>IFERROR(VLOOKUP($C334,'Лист4'!$D:$AI,28,0)," ")</f>
        <v>7</v>
      </c>
      <c r="DF334" s="22">
        <f>IFERROR(VLOOKUP($C334,'Лист4'!$D:$AI,29,0)," ")</f>
        <v>3</v>
      </c>
      <c r="DG334" s="22">
        <f t="shared" si="3"/>
        <v>63</v>
      </c>
      <c r="DH334" s="22">
        <f>IFERROR(VLOOKUP($C334,'Лист4'!$D:$AI,32,0)," ")</f>
        <v>0.042</v>
      </c>
      <c r="DI334" s="22"/>
      <c r="DJ334" s="22"/>
      <c r="DK334" s="22"/>
      <c r="DL334" s="22"/>
      <c r="DM334" s="22"/>
      <c r="DN334" s="22"/>
      <c r="DO334" s="22"/>
      <c r="DP334" s="22"/>
      <c r="DQ334" s="22"/>
      <c r="DR334" s="22"/>
      <c r="DS334" s="22"/>
      <c r="DT334" s="22"/>
      <c r="DU334" s="22"/>
      <c r="DV334" s="22"/>
      <c r="DW334" s="22"/>
      <c r="DX334" s="22"/>
      <c r="DY334" s="22"/>
      <c r="DZ334" s="22"/>
      <c r="EA334" s="22"/>
      <c r="EB334" s="22"/>
      <c r="EC334" s="22"/>
      <c r="ED334" s="22"/>
      <c r="EE334" s="22"/>
      <c r="EF334" s="22"/>
      <c r="EG334" s="22"/>
      <c r="EH334" s="22"/>
      <c r="EI334" s="22"/>
      <c r="EJ334" s="22"/>
      <c r="EK334" s="22"/>
      <c r="EL334" s="22"/>
      <c r="EM334" s="43"/>
      <c r="EN334" s="43"/>
      <c r="EO334" s="43"/>
      <c r="EP334" s="43"/>
      <c r="EQ334" s="43"/>
      <c r="ER334" s="43"/>
      <c r="ES334" s="43"/>
      <c r="ET334" s="43"/>
      <c r="EU334" s="43"/>
      <c r="EV334" s="43"/>
      <c r="EW334" s="43"/>
      <c r="EX334" s="43"/>
      <c r="EY334" s="43"/>
      <c r="EZ334" s="43"/>
      <c r="FA334" s="43"/>
      <c r="FB334" s="43"/>
      <c r="FC334" s="43"/>
    </row>
    <row r="335" ht="18.0" customHeight="1">
      <c r="A335" s="2"/>
      <c r="B335" s="22" t="str">
        <f>IFERROR(VLOOKUP(C335,'Реестр'!C:AC,27,0)," ")</f>
        <v>Смарт-Сэйл</v>
      </c>
      <c r="C335" s="43" t="s">
        <v>5044</v>
      </c>
      <c r="D335" s="22" t="str">
        <f>IFERROR(VLOOKUP(C335,'Лист4'!D:P,13,0)," ")</f>
        <v>CPA</v>
      </c>
      <c r="E335" s="22" t="str">
        <f>IF(OR(ISERROR(VLOOKUP(C335,'Актуальность'!A:B,2,0)), VLOOKUP(C335,'Актуальность'!A:B,2,0)=""), "Актуальный", VLOOKUP(C335,'Актуальность'!A:B,2,0))</f>
        <v>Актуальный</v>
      </c>
      <c r="F335" s="43" t="str">
        <f>IFERROR(VLOOKUP(C335,'Актуальность'!A:C,3,0)," ")</f>
        <v/>
      </c>
      <c r="G335" s="43"/>
      <c r="H335" s="22" t="s">
        <v>2663</v>
      </c>
      <c r="I335" s="22" t="s">
        <v>3888</v>
      </c>
      <c r="J335" s="43"/>
      <c r="K335" s="43"/>
      <c r="L335" s="22" t="b">
        <f t="shared" ref="L335:R335" si="331">T335&lt;&gt;""</f>
        <v>1</v>
      </c>
      <c r="M335" s="22" t="b">
        <f t="shared" si="331"/>
        <v>1</v>
      </c>
      <c r="N335" s="22" t="b">
        <f t="shared" si="331"/>
        <v>1</v>
      </c>
      <c r="O335" s="22" t="b">
        <f t="shared" si="331"/>
        <v>1</v>
      </c>
      <c r="P335" s="22" t="b">
        <f t="shared" si="331"/>
        <v>0</v>
      </c>
      <c r="Q335" s="22" t="b">
        <f t="shared" si="331"/>
        <v>0</v>
      </c>
      <c r="R335" s="22" t="b">
        <f t="shared" si="331"/>
        <v>0</v>
      </c>
      <c r="S335" s="43"/>
      <c r="T335" s="43" t="str">
        <f>IFERROR(VLOOKUP( C335,'1С'!A:B,2,0)," ")</f>
        <v>CO101100401</v>
      </c>
      <c r="U335" s="22" t="str">
        <f>IFERROR(VLOOKUP(T335,'Лист4'!C:I,3,0)," ")</f>
        <v>wbalkotoxic</v>
      </c>
      <c r="V335" s="22" t="str">
        <f>IFERROR(VLOOKUP(T335,'Лист4'!C:I,4,0)," ")</f>
        <v>wbalkotoxic</v>
      </c>
      <c r="W335" s="22" t="str">
        <f>IFERROR(VLOOKUP(T335,'Лист4'!C:I,5,0)," ")</f>
        <v>wbalkotoxic</v>
      </c>
      <c r="X335" s="43" t="str">
        <f>IFERROR(VLOOKUP(T335,'Лист4'!C:I,7,0)," ")</f>
        <v/>
      </c>
      <c r="Y335" s="43" t="str">
        <f>IFERROR(VLOOKUP(T335,'Лист4'!C:I,6,0)," ")</f>
        <v/>
      </c>
      <c r="Z335" s="43"/>
      <c r="AA335" s="43"/>
      <c r="AB335" s="22">
        <v>3.5422984E7</v>
      </c>
      <c r="AC335" s="22">
        <v>2.99140637E8</v>
      </c>
      <c r="AD335" s="22"/>
      <c r="AE335" s="22"/>
      <c r="AF335" s="22"/>
      <c r="AG335" s="43"/>
      <c r="AH335" s="43"/>
      <c r="AI335" s="43" t="str">
        <f>IFERROR(VLOOKUP(T335,'1С'!B:C,2,0)," ")</f>
        <v>Пищевая добавка Alkotoxic, CPA, 10 мл</v>
      </c>
      <c r="AJ335" s="22" t="s">
        <v>5047</v>
      </c>
      <c r="AK335" s="22" t="s">
        <v>5048</v>
      </c>
      <c r="AL335" s="43"/>
      <c r="AM335" s="43"/>
      <c r="AN335" s="43"/>
      <c r="AO335" s="43"/>
      <c r="AP335" s="43"/>
      <c r="AQ335" s="46" t="s">
        <v>5049</v>
      </c>
      <c r="AR335" s="46" t="s">
        <v>5050</v>
      </c>
      <c r="AS335" s="43"/>
      <c r="AT335" s="43"/>
      <c r="AU335" s="43"/>
      <c r="AV335" s="43"/>
      <c r="AW335" s="43"/>
      <c r="AX335" s="22" t="s">
        <v>649</v>
      </c>
      <c r="AY335" s="22" t="s">
        <v>5048</v>
      </c>
      <c r="AZ335" s="43"/>
      <c r="BA335" s="43"/>
      <c r="BB335" s="43"/>
      <c r="BC335" s="43"/>
      <c r="BD335" s="43"/>
      <c r="BE335" s="43"/>
      <c r="BF335" s="22">
        <f>IFERROR(VLOOKUP(C335,'спецификация'!B:D,3,0)," ")</f>
        <v>4631136905127</v>
      </c>
      <c r="BG335" s="22">
        <v>2.103909009E9</v>
      </c>
      <c r="BH335" s="22" t="str">
        <f>IFERROR(VLOOKUP(C335,'спецификация'!B:AA,5,0)," ")</f>
        <v>ЕАЭС N RU Д-RU.РА08.В.86809/23 от 19.10.2023 до 18.10.2028</v>
      </c>
      <c r="BI335" s="22"/>
      <c r="BJ335" s="22" t="str">
        <f>IFERROR(VLOOKUP(C335,'спецификация'!B:AA,6,0)," ")</f>
        <v/>
      </c>
      <c r="BK335" s="43"/>
      <c r="BL335" s="43"/>
      <c r="BM335" s="22" t="str">
        <f>IFERROR(VLOOKUP(BF335,'спецификация'!D:H,5,0)," ")</f>
        <v>экстракт гриба копринус, вытяжка из лавра эфиопского, вытяжка хрустальника алтайского, экстракт зеленого чая, экстракт плауна булавовидного, экстракт гриба шиитаке, вытяжка травы эхинацея, экстракт тимьяна ползучего, экстракт зверобоя, экстракт полыни, экстракт золототысячника, экстракт копытня европейского, экстракт прополиса, экстракт синюхи, экстракт татарника, экстракт топинамбура.</v>
      </c>
      <c r="BN335" s="43"/>
      <c r="BO335" s="22" t="str">
        <f>IFERROR(VLOOKUP(C335,'спецификация'!B:AA,10,0)," ")</f>
        <v/>
      </c>
      <c r="BP335" s="43" t="str">
        <f>IFERROR(VLOOKUP(C335,'спецификация'!B:AA,11,0),"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35" s="22" t="str">
        <f>IFERROR(VLOOKUP(C335,'спецификация'!B:AA,12,0)," ")</f>
        <v>хранить при температуре до 25°C, избегая попадания прямых солнечных лучей.
</v>
      </c>
      <c r="BR335" s="22">
        <v>10.0</v>
      </c>
      <c r="BS335" s="22" t="s">
        <v>139</v>
      </c>
      <c r="BT335" s="22"/>
      <c r="BU335" s="22"/>
      <c r="BV335" s="22" t="s">
        <v>307</v>
      </c>
      <c r="BW335" s="44" t="str">
        <f>IFERROR(VLOOKUP(C335,'спецификация'!B:AA,16,0)," ")</f>
        <v>https://docs.google.com/document/d/1JYJZh8aG1analngDOepf85thWepYrXrRlLyQDuqIJns/edit</v>
      </c>
      <c r="BX335" s="43"/>
      <c r="BY335" s="43"/>
      <c r="BZ335" s="45" t="str">
        <f>IFERROR(VLOOKUP(BF335,'спецификация'!D:Y,22,0)," ")</f>
        <v/>
      </c>
      <c r="CA335" s="43"/>
      <c r="CB335" s="43"/>
      <c r="CC335" s="43"/>
      <c r="CD335" s="43"/>
      <c r="CE335" s="43"/>
      <c r="CF335" s="43"/>
      <c r="CG335" s="49">
        <f>IFERROR(VLOOKUP(C335,CC!A:D,4,0)," ")</f>
        <v>98.2</v>
      </c>
      <c r="CH335" s="22" t="str">
        <f>IFERROR(VLOOKUP(C335,'спецификация'!B:AA,19,0)," ")</f>
        <v/>
      </c>
      <c r="CI335" s="22"/>
      <c r="CJ335" s="43"/>
      <c r="CK335" s="22" t="str">
        <f>IFERROR(VLOOKUP(C335,CC!K:M,3,0)," ")</f>
        <v> </v>
      </c>
      <c r="CL335" s="43"/>
      <c r="CM335" s="43"/>
      <c r="CN335" s="43"/>
      <c r="CO335" s="43"/>
      <c r="CP335" s="43"/>
      <c r="CQ335" s="43"/>
      <c r="CR335" s="43"/>
      <c r="CS335" s="43" t="b">
        <v>0</v>
      </c>
      <c r="CT335" s="43" t="b">
        <v>0</v>
      </c>
      <c r="CU335" s="43" t="b">
        <v>0</v>
      </c>
      <c r="CV335" s="43" t="b">
        <v>0</v>
      </c>
      <c r="CW335" s="43"/>
      <c r="CX335" s="43"/>
      <c r="CY335" s="43"/>
      <c r="CZ335" s="43"/>
      <c r="DA335" s="43"/>
      <c r="DB335" s="43"/>
      <c r="DC335" s="43"/>
      <c r="DD335" s="22">
        <f>IFERROR(VLOOKUP($C335,'Лист4'!$D:$AI,27,0)," ")</f>
        <v>10</v>
      </c>
      <c r="DE335" s="22">
        <f>IFERROR(VLOOKUP($C335,'Лист4'!$D:$AI,28,0)," ")</f>
        <v>3</v>
      </c>
      <c r="DF335" s="22">
        <f>IFERROR(VLOOKUP($C335,'Лист4'!$D:$AI,29,0)," ")</f>
        <v>10</v>
      </c>
      <c r="DG335" s="22">
        <f t="shared" si="3"/>
        <v>300</v>
      </c>
      <c r="DH335" s="22">
        <f>IFERROR(VLOOKUP($C335,'Лист4'!$D:$AI,32,0)," ")</f>
        <v>0.044</v>
      </c>
      <c r="DI335" s="22"/>
      <c r="DJ335" s="22"/>
      <c r="DK335" s="22"/>
      <c r="DL335" s="22"/>
      <c r="DM335" s="22"/>
      <c r="DN335" s="22"/>
      <c r="DO335" s="22"/>
      <c r="DP335" s="22"/>
      <c r="DQ335" s="22"/>
      <c r="DR335" s="22"/>
      <c r="DS335" s="22"/>
      <c r="DT335" s="22"/>
      <c r="DU335" s="22"/>
      <c r="DV335" s="22"/>
      <c r="DW335" s="22"/>
      <c r="DX335" s="22"/>
      <c r="DY335" s="22"/>
      <c r="DZ335" s="22"/>
      <c r="EA335" s="22"/>
      <c r="EB335" s="22"/>
      <c r="EC335" s="22"/>
      <c r="ED335" s="22"/>
      <c r="EE335" s="22"/>
      <c r="EF335" s="22"/>
      <c r="EG335" s="22"/>
      <c r="EH335" s="22"/>
      <c r="EI335" s="22"/>
      <c r="EJ335" s="22"/>
      <c r="EK335" s="22"/>
      <c r="EL335" s="22"/>
      <c r="EM335" s="43"/>
      <c r="EN335" s="43"/>
      <c r="EO335" s="43"/>
      <c r="EP335" s="43"/>
      <c r="EQ335" s="43"/>
      <c r="ER335" s="43"/>
      <c r="ES335" s="43"/>
      <c r="ET335" s="43"/>
      <c r="EU335" s="43"/>
      <c r="EV335" s="43"/>
      <c r="EW335" s="43"/>
      <c r="EX335" s="43"/>
      <c r="EY335" s="43"/>
      <c r="EZ335" s="43"/>
      <c r="FA335" s="43"/>
      <c r="FB335" s="43"/>
      <c r="FC335" s="43"/>
    </row>
    <row r="336" ht="18.0" customHeight="1">
      <c r="A336" s="2"/>
      <c r="B336" s="22" t="str">
        <f>IFERROR(VLOOKUP(C336,'Реестр'!C:AC,27,0)," ")</f>
        <v>Смарт-Сэйл</v>
      </c>
      <c r="C336" s="43" t="s">
        <v>5055</v>
      </c>
      <c r="D336" s="22" t="str">
        <f>IFERROR(VLOOKUP(C336,'Лист4'!D:P,13,0)," ")</f>
        <v>CPA</v>
      </c>
      <c r="E336" s="22" t="str">
        <f>IF(OR(ISERROR(VLOOKUP(C336,'Актуальность'!A:B,2,0)), VLOOKUP(C336,'Актуальность'!A:B,2,0)=""), "Актуальный", VLOOKUP(C336,'Актуальность'!A:B,2,0))</f>
        <v>Актуальный</v>
      </c>
      <c r="F336" s="43" t="str">
        <f>IFERROR(VLOOKUP(C336,'Актуальность'!A:C,3,0)," ")</f>
        <v/>
      </c>
      <c r="G336" s="43"/>
      <c r="H336" s="22" t="s">
        <v>2663</v>
      </c>
      <c r="I336" s="22" t="s">
        <v>4045</v>
      </c>
      <c r="J336" s="43"/>
      <c r="K336" s="43"/>
      <c r="L336" s="22" t="b">
        <f t="shared" ref="L336:R336" si="332">T336&lt;&gt;""</f>
        <v>1</v>
      </c>
      <c r="M336" s="22" t="b">
        <f t="shared" si="332"/>
        <v>1</v>
      </c>
      <c r="N336" s="22" t="b">
        <f t="shared" si="332"/>
        <v>1</v>
      </c>
      <c r="O336" s="22" t="b">
        <f t="shared" si="332"/>
        <v>1</v>
      </c>
      <c r="P336" s="22" t="b">
        <f t="shared" si="332"/>
        <v>0</v>
      </c>
      <c r="Q336" s="22" t="b">
        <f t="shared" si="332"/>
        <v>0</v>
      </c>
      <c r="R336" s="22" t="b">
        <f t="shared" si="332"/>
        <v>0</v>
      </c>
      <c r="S336" s="43"/>
      <c r="T336" s="43" t="str">
        <f>IFERROR(VLOOKUP( C336,'1С'!A:B,2,0)," ")</f>
        <v>CO101100408</v>
      </c>
      <c r="U336" s="22" t="str">
        <f>IFERROR(VLOOKUP(T336,'Лист4'!C:I,3,0)," ")</f>
        <v>chudofrukt</v>
      </c>
      <c r="V336" s="22" t="str">
        <f>IFERROR(VLOOKUP(T336,'Лист4'!C:I,4,0)," ")</f>
        <v>chudofrukt</v>
      </c>
      <c r="W336" s="22" t="str">
        <f>IFERROR(VLOOKUP(T336,'Лист4'!C:I,5,0)," ")</f>
        <v>chudofrukt</v>
      </c>
      <c r="X336" s="43" t="str">
        <f>IFERROR(VLOOKUP(T336,'Лист4'!C:I,7,0)," ")</f>
        <v/>
      </c>
      <c r="Y336" s="43" t="str">
        <f>IFERROR(VLOOKUP(T336,'Лист4'!C:I,6,0)," ")</f>
        <v/>
      </c>
      <c r="Z336" s="43"/>
      <c r="AA336" s="43"/>
      <c r="AB336" s="22">
        <v>1.11902604E8</v>
      </c>
      <c r="AC336" s="22">
        <v>6.36852972E8</v>
      </c>
      <c r="AD336" s="22">
        <v>1.01806792616E11</v>
      </c>
      <c r="AE336" s="22"/>
      <c r="AF336" s="22"/>
      <c r="AG336" s="43"/>
      <c r="AH336" s="43"/>
      <c r="AI336" s="43" t="str">
        <f>IFERROR(VLOOKUP(T336,'1С'!B:C,2,0)," ")</f>
        <v>Пищевая добавка Чудо Фрукт, CPA, 10 шипучих таблеток</v>
      </c>
      <c r="AJ336" s="22" t="s">
        <v>4633</v>
      </c>
      <c r="AK336" s="22" t="s">
        <v>5058</v>
      </c>
      <c r="AL336" s="22" t="s">
        <v>5059</v>
      </c>
      <c r="AM336" s="43"/>
      <c r="AN336" s="43"/>
      <c r="AO336" s="43"/>
      <c r="AP336" s="43"/>
      <c r="AQ336" s="46" t="s">
        <v>5060</v>
      </c>
      <c r="AR336" s="46" t="s">
        <v>5061</v>
      </c>
      <c r="AS336" s="46" t="s">
        <v>5062</v>
      </c>
      <c r="AT336" s="43"/>
      <c r="AU336" s="43"/>
      <c r="AV336" s="43"/>
      <c r="AW336" s="43"/>
      <c r="AX336" s="22" t="s">
        <v>528</v>
      </c>
      <c r="AY336" s="22" t="s">
        <v>5058</v>
      </c>
      <c r="AZ336" s="22" t="s">
        <v>2534</v>
      </c>
      <c r="BA336" s="43"/>
      <c r="BB336" s="43"/>
      <c r="BC336" s="43"/>
      <c r="BD336" s="43"/>
      <c r="BE336" s="43"/>
      <c r="BF336" s="22">
        <f>IFERROR(VLOOKUP(C336,'спецификация'!B:D,3,0)," ")</f>
        <v>4631144115839</v>
      </c>
      <c r="BG336" s="22"/>
      <c r="BH336" s="22" t="str">
        <f>IFERROR(VLOOKUP(C336,'спецификация'!B:AA,5,0)," ")</f>
        <v>ЕАЭС N RU Д-RU.PA04.B.47304/22 от 27.06.2022 до 26.06.2027</v>
      </c>
      <c r="BI336" s="22"/>
      <c r="BJ336" s="22" t="str">
        <f>IFERROR(VLOOKUP(C336,'спецификация'!B:AA,6,0)," ")</f>
        <v/>
      </c>
      <c r="BK336" s="43"/>
      <c r="BL336" s="43"/>
      <c r="BM336" s="22" t="str">
        <f>IFERROR(VLOOKUP(BF336,'спецификация'!D:H,5,0)," ")</f>
        <v>декстроза, сорбитол, лимонная кислота, гидрокарбонат натрия, экстракт асаи, экстракт ананаса, экстракт лайма, экстракт мангустина, экстракт папайи, экстракт маракуйи, экстракт грейпфрута, ароматизатор «Папайя», сукралоза.</v>
      </c>
      <c r="BN336" s="43"/>
      <c r="BO336" s="22" t="str">
        <f>IFERROR(VLOOKUP(C336,'спецификация'!B:AA,10,0)," ")</f>
        <v/>
      </c>
      <c r="BP336" s="43" t="str">
        <f>IFERROR(VLOOKUP(C336,'спецификация'!B:AA,11,0)," ")</f>
        <v> индивидуальная непереносимость компонентов, беременность, кормление грудью, возраст младше 18 лет. Перед применением необходимо проконсультироваться с врачом. Не является лекарственным средством.
</v>
      </c>
      <c r="BQ336" s="22" t="str">
        <f>IFERROR(VLOOKUP(C336,'спецификация'!B:AA,12,0)," ")</f>
        <v> хранить в оригинальной закрытой упаковке в защищенном от прямых солнечных лучей и недоступном для детей месте при температуре не выше +25ºС.
</v>
      </c>
      <c r="BR336" s="22">
        <v>10.0</v>
      </c>
      <c r="BS336" s="22" t="s">
        <v>5064</v>
      </c>
      <c r="BT336" s="22"/>
      <c r="BU336" s="22"/>
      <c r="BV336" s="22"/>
      <c r="BW336" s="44" t="str">
        <f>IFERROR(VLOOKUP(C336,'спецификация'!B:AA,16,0)," ")</f>
        <v>https://docs.google.com/document/d/1eMNa3Qh7JWIeVbBCJJ0SQ1uZ-tW7yPtim_lye7GsG3Q/edit</v>
      </c>
      <c r="BX336" s="43"/>
      <c r="BY336" s="43"/>
      <c r="BZ336" s="45" t="str">
        <f>IFERROR(VLOOKUP(BF336,'спецификация'!D:Y,22,0)," ")</f>
        <v/>
      </c>
      <c r="CA336" s="43"/>
      <c r="CB336" s="43"/>
      <c r="CC336" s="43"/>
      <c r="CD336" s="43"/>
      <c r="CE336" s="43"/>
      <c r="CF336" s="43"/>
      <c r="CG336" s="49">
        <f>IFERROR(VLOOKUP(C336,CC!A:D,4,0)," ")</f>
        <v>138.42</v>
      </c>
      <c r="CH336" s="22" t="str">
        <f>IFERROR(VLOOKUP(C336,'спецификация'!B:AA,19,0)," ")</f>
        <v>ООО «БЬЮТИРИН», 129329, г. Москва, ул. Кольская, д.1, этаж 6, комн.10</v>
      </c>
      <c r="CI336" s="22"/>
      <c r="CJ336" s="43"/>
      <c r="CK336" s="22">
        <f>IFERROR(VLOOKUP(C336,CC!K:M,3,0)," ")</f>
        <v>45</v>
      </c>
      <c r="CL336" s="43"/>
      <c r="CM336" s="43"/>
      <c r="CN336" s="43"/>
      <c r="CO336" s="43"/>
      <c r="CP336" s="43"/>
      <c r="CQ336" s="43"/>
      <c r="CR336" s="43"/>
      <c r="CS336" s="43" t="b">
        <v>0</v>
      </c>
      <c r="CT336" s="43" t="b">
        <v>0</v>
      </c>
      <c r="CU336" s="43" t="b">
        <v>0</v>
      </c>
      <c r="CV336" s="43" t="b">
        <v>0</v>
      </c>
      <c r="CW336" s="43"/>
      <c r="CX336" s="43"/>
      <c r="CY336" s="43"/>
      <c r="CZ336" s="43"/>
      <c r="DA336" s="43"/>
      <c r="DB336" s="43"/>
      <c r="DC336" s="43"/>
      <c r="DD336" s="22">
        <f>IFERROR(VLOOKUP($C336,'Лист4'!$D:$AI,27,0)," ")</f>
        <v>10</v>
      </c>
      <c r="DE336" s="22">
        <f>IFERROR(VLOOKUP($C336,'Лист4'!$D:$AI,28,0)," ")</f>
        <v>13</v>
      </c>
      <c r="DF336" s="22">
        <f>IFERROR(VLOOKUP($C336,'Лист4'!$D:$AI,29,0)," ")</f>
        <v>10</v>
      </c>
      <c r="DG336" s="22">
        <f t="shared" si="3"/>
        <v>1300</v>
      </c>
      <c r="DH336" s="22">
        <f>IFERROR(VLOOKUP($C336,'Лист4'!$D:$AI,32,0)," ")</f>
        <v>0.04</v>
      </c>
      <c r="DI336" s="22"/>
      <c r="DJ336" s="22"/>
      <c r="DK336" s="22"/>
      <c r="DL336" s="22"/>
      <c r="DM336" s="22"/>
      <c r="DN336" s="22"/>
      <c r="DO336" s="22"/>
      <c r="DP336" s="22"/>
      <c r="DQ336" s="22"/>
      <c r="DR336" s="22"/>
      <c r="DS336" s="22"/>
      <c r="DT336" s="22"/>
      <c r="DU336" s="22"/>
      <c r="DV336" s="22"/>
      <c r="DW336" s="22"/>
      <c r="DX336" s="22"/>
      <c r="DY336" s="22"/>
      <c r="DZ336" s="22"/>
      <c r="EA336" s="22"/>
      <c r="EB336" s="22"/>
      <c r="EC336" s="22"/>
      <c r="ED336" s="22"/>
      <c r="EE336" s="22"/>
      <c r="EF336" s="22"/>
      <c r="EG336" s="22"/>
      <c r="EH336" s="22"/>
      <c r="EI336" s="22"/>
      <c r="EJ336" s="22"/>
      <c r="EK336" s="22"/>
      <c r="EL336" s="22"/>
      <c r="EM336" s="43"/>
      <c r="EN336" s="43"/>
      <c r="EO336" s="43"/>
      <c r="EP336" s="43"/>
      <c r="EQ336" s="43"/>
      <c r="ER336" s="43"/>
      <c r="ES336" s="43"/>
      <c r="ET336" s="43"/>
      <c r="EU336" s="43"/>
      <c r="EV336" s="43"/>
      <c r="EW336" s="43"/>
      <c r="EX336" s="43"/>
      <c r="EY336" s="43"/>
      <c r="EZ336" s="43"/>
      <c r="FA336" s="43"/>
      <c r="FB336" s="43"/>
      <c r="FC336" s="43"/>
    </row>
    <row r="337" ht="18.0" customHeight="1">
      <c r="A337" s="2"/>
      <c r="B337" s="22" t="str">
        <f>IFERROR(VLOOKUP(C337,'Реестр'!C:AC,27,0)," ")</f>
        <v>Смарт-Сэйл</v>
      </c>
      <c r="C337" s="43" t="s">
        <v>5066</v>
      </c>
      <c r="D337" s="22" t="str">
        <f>IFERROR(VLOOKUP(C337,'Лист4'!D:P,13,0)," ")</f>
        <v>CPA</v>
      </c>
      <c r="E337" s="22" t="str">
        <f>IF(OR(ISERROR(VLOOKUP(C337,'Актуальность'!A:B,2,0)), VLOOKUP(C337,'Актуальность'!A:B,2,0)=""), "Актуальный", VLOOKUP(C337,'Актуальность'!A:B,2,0))</f>
        <v>Актуальный</v>
      </c>
      <c r="F337" s="43" t="str">
        <f>IFERROR(VLOOKUP(C337,'Актуальность'!A:C,3,0)," ")</f>
        <v/>
      </c>
      <c r="G337" s="43"/>
      <c r="H337" s="22" t="s">
        <v>361</v>
      </c>
      <c r="I337" s="22" t="s">
        <v>4676</v>
      </c>
      <c r="J337" s="43"/>
      <c r="K337" s="43"/>
      <c r="L337" s="22" t="b">
        <f t="shared" ref="L337:R337" si="333">T337&lt;&gt;""</f>
        <v>1</v>
      </c>
      <c r="M337" s="22" t="b">
        <f t="shared" si="333"/>
        <v>1</v>
      </c>
      <c r="N337" s="22" t="b">
        <f t="shared" si="333"/>
        <v>1</v>
      </c>
      <c r="O337" s="22" t="b">
        <f t="shared" si="333"/>
        <v>1</v>
      </c>
      <c r="P337" s="22" t="b">
        <f t="shared" si="333"/>
        <v>0</v>
      </c>
      <c r="Q337" s="22" t="b">
        <f t="shared" si="333"/>
        <v>0</v>
      </c>
      <c r="R337" s="22" t="b">
        <f t="shared" si="333"/>
        <v>0</v>
      </c>
      <c r="S337" s="43"/>
      <c r="T337" s="43" t="str">
        <f>IFERROR(VLOOKUP( C337,'1С'!A:B,2,0)," ")</f>
        <v>CB101100401</v>
      </c>
      <c r="U337" s="22" t="str">
        <f>IFERROR(VLOOKUP(T337,'Лист4'!C:I,3,0)," ")</f>
        <v>fruitalica</v>
      </c>
      <c r="V337" s="22" t="str">
        <f>IFERROR(VLOOKUP(T337,'Лист4'!C:I,4,0)," ")</f>
        <v>fruitalica</v>
      </c>
      <c r="W337" s="22" t="str">
        <f>IFERROR(VLOOKUP(T337,'Лист4'!C:I,5,0)," ")</f>
        <v>fruitalica</v>
      </c>
      <c r="X337" s="43" t="str">
        <f>IFERROR(VLOOKUP(T337,'Лист4'!C:I,7,0)," ")</f>
        <v/>
      </c>
      <c r="Y337" s="43" t="str">
        <f>IFERROR(VLOOKUP(T337,'Лист4'!C:I,6,0)," ")</f>
        <v/>
      </c>
      <c r="Z337" s="43"/>
      <c r="AA337" s="43"/>
      <c r="AB337" s="22">
        <v>3.4283989E7</v>
      </c>
      <c r="AC337" s="22">
        <v>3.01630774E8</v>
      </c>
      <c r="AD337" s="22">
        <v>1.02174014381E11</v>
      </c>
      <c r="AE337" s="22"/>
      <c r="AF337" s="22"/>
      <c r="AG337" s="43"/>
      <c r="AH337" s="43"/>
      <c r="AI337" s="43" t="str">
        <f>IFERROR(VLOOKUP(T337,'1С'!B:C,2,0)," ")</f>
        <v>Пищевая добавка Фруталика , CPA, 10 капсул</v>
      </c>
      <c r="AJ337" s="22" t="s">
        <v>5069</v>
      </c>
      <c r="AK337" s="22" t="s">
        <v>5070</v>
      </c>
      <c r="AL337" s="22" t="s">
        <v>5071</v>
      </c>
      <c r="AM337" s="43"/>
      <c r="AN337" s="43"/>
      <c r="AO337" s="43"/>
      <c r="AP337" s="43"/>
      <c r="AQ337" s="46" t="s">
        <v>5072</v>
      </c>
      <c r="AR337" s="46" t="s">
        <v>5073</v>
      </c>
      <c r="AS337" s="46" t="s">
        <v>5074</v>
      </c>
      <c r="AT337" s="43"/>
      <c r="AU337" s="43"/>
      <c r="AV337" s="43"/>
      <c r="AW337" s="43"/>
      <c r="AX337" s="22" t="s">
        <v>528</v>
      </c>
      <c r="AY337" s="22" t="s">
        <v>5070</v>
      </c>
      <c r="AZ337" s="22" t="s">
        <v>2534</v>
      </c>
      <c r="BA337" s="43"/>
      <c r="BB337" s="43"/>
      <c r="BC337" s="43"/>
      <c r="BD337" s="43"/>
      <c r="BE337" s="43"/>
      <c r="BF337" s="22">
        <f>IFERROR(VLOOKUP(C337,'спецификация'!B:D,3,0)," ")</f>
        <v>4631157255768</v>
      </c>
      <c r="BG337" s="22"/>
      <c r="BH337" s="22" t="str">
        <f>IFERROR(VLOOKUP(C337,'спецификация'!B:AA,5,0)," ")</f>
        <v>АМ.01.01.01.003.R.000181.05.22</v>
      </c>
      <c r="BI337" s="22"/>
      <c r="BJ337" s="22" t="str">
        <f>IFERROR(VLOOKUP(C337,'спецификация'!B:AA,6,0)," ")</f>
        <v/>
      </c>
      <c r="BK337" s="43"/>
      <c r="BL337" s="43"/>
      <c r="BM337" s="22" t="str">
        <f>IFERROR(VLOOKUP(BF337,'спецификация'!D:H,5,0)," ")</f>
        <v>African mango extract (экстракт африканского манго), Gotu Kola extract (экстракт готу колы), Tamarind extract (экстракт тамаринда), Acai extract (экстракт асаи), Blueberry extract (экстракт голубики), Hoodia Gordonii extract (экстракт худии гордони), Quandong extract (экстракт квандонга).
Вспомогательные вещества: МКЦ, картофельный крахмал. </v>
      </c>
      <c r="BN337" s="43"/>
      <c r="BO337" s="22" t="str">
        <f>IFERROR(VLOOKUP(C337,'спецификация'!B:AA,10,0)," ")</f>
        <v/>
      </c>
      <c r="BP337" s="43" t="str">
        <f>IFERROR(VLOOKUP(C337,'спецификация'!B:AA,11,0),"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37" s="22" t="str">
        <f>IFERROR(VLOOKUP(C337,'спецификация'!B:AA,12,0)," ")</f>
        <v>хранить при температуре до 25°C в темном месте, защищенном от прямого света и источников нагревания.
</v>
      </c>
      <c r="BR337" s="22">
        <v>10.0</v>
      </c>
      <c r="BS337" s="22" t="s">
        <v>492</v>
      </c>
      <c r="BT337" s="22"/>
      <c r="BU337" s="22"/>
      <c r="BV337" s="22" t="s">
        <v>307</v>
      </c>
      <c r="BW337" s="44" t="str">
        <f>IFERROR(VLOOKUP(C337,'спецификация'!B:AA,16,0)," ")</f>
        <v>https://drive.google.com/drive/u/2/folders/1w2IlSH4Nx6ABa3z3BGanIQ2jPN6-YVlw</v>
      </c>
      <c r="BX337" s="43"/>
      <c r="BY337" s="43"/>
      <c r="BZ337" s="45" t="str">
        <f>IFERROR(VLOOKUP(BF337,'спецификация'!D:Y,22,0)," ")</f>
        <v/>
      </c>
      <c r="CA337" s="43"/>
      <c r="CB337" s="43"/>
      <c r="CC337" s="43"/>
      <c r="CD337" s="43"/>
      <c r="CE337" s="43"/>
      <c r="CF337" s="43"/>
      <c r="CG337" s="49">
        <f>IFERROR(VLOOKUP(C337,CC!A:D,4,0)," ")</f>
        <v>94.21</v>
      </c>
      <c r="CH337" s="22" t="str">
        <f>IFERROR(VLOOKUP(C337,'спецификация'!B:AA,19,0)," ")</f>
        <v>ООО «Восток Плюс», 107113, г. </v>
      </c>
      <c r="CI337" s="22"/>
      <c r="CJ337" s="43"/>
      <c r="CK337" s="22" t="str">
        <f>IFERROR(VLOOKUP(C337,CC!K:M,3,0)," ")</f>
        <v> </v>
      </c>
      <c r="CL337" s="43"/>
      <c r="CM337" s="43"/>
      <c r="CN337" s="43"/>
      <c r="CO337" s="43"/>
      <c r="CP337" s="43"/>
      <c r="CQ337" s="43"/>
      <c r="CR337" s="43"/>
      <c r="CS337" s="43" t="b">
        <v>0</v>
      </c>
      <c r="CT337" s="43" t="b">
        <v>0</v>
      </c>
      <c r="CU337" s="43" t="b">
        <v>0</v>
      </c>
      <c r="CV337" s="43" t="b">
        <v>0</v>
      </c>
      <c r="CW337" s="43"/>
      <c r="CX337" s="43"/>
      <c r="CY337" s="43"/>
      <c r="CZ337" s="43"/>
      <c r="DA337" s="43"/>
      <c r="DB337" s="43"/>
      <c r="DC337" s="43"/>
      <c r="DD337" s="22">
        <f>IFERROR(VLOOKUP($C337,'Лист4'!$D:$AI,27,0)," ")</f>
        <v>12</v>
      </c>
      <c r="DE337" s="22">
        <f>IFERROR(VLOOKUP($C337,'Лист4'!$D:$AI,28,0)," ")</f>
        <v>2</v>
      </c>
      <c r="DF337" s="22">
        <f>IFERROR(VLOOKUP($C337,'Лист4'!$D:$AI,29,0)," ")</f>
        <v>12</v>
      </c>
      <c r="DG337" s="22">
        <f t="shared" si="3"/>
        <v>288</v>
      </c>
      <c r="DH337" s="22">
        <f>IFERROR(VLOOKUP($C337,'Лист4'!$D:$AI,32,0)," ")</f>
        <v>0.046</v>
      </c>
      <c r="DI337" s="22"/>
      <c r="DJ337" s="22"/>
      <c r="DK337" s="22"/>
      <c r="DL337" s="22"/>
      <c r="DM337" s="22"/>
      <c r="DN337" s="22"/>
      <c r="DO337" s="22"/>
      <c r="DP337" s="22"/>
      <c r="DQ337" s="22"/>
      <c r="DR337" s="22"/>
      <c r="DS337" s="22"/>
      <c r="DT337" s="22"/>
      <c r="DU337" s="22"/>
      <c r="DV337" s="22"/>
      <c r="DW337" s="22"/>
      <c r="DX337" s="22"/>
      <c r="DY337" s="22"/>
      <c r="DZ337" s="22"/>
      <c r="EA337" s="22"/>
      <c r="EB337" s="22"/>
      <c r="EC337" s="22"/>
      <c r="ED337" s="22"/>
      <c r="EE337" s="22"/>
      <c r="EF337" s="22"/>
      <c r="EG337" s="22"/>
      <c r="EH337" s="22"/>
      <c r="EI337" s="22"/>
      <c r="EJ337" s="22"/>
      <c r="EK337" s="22"/>
      <c r="EL337" s="22"/>
      <c r="EM337" s="43"/>
      <c r="EN337" s="43"/>
      <c r="EO337" s="43"/>
      <c r="EP337" s="43"/>
      <c r="EQ337" s="43"/>
      <c r="ER337" s="43"/>
      <c r="ES337" s="43"/>
      <c r="ET337" s="43"/>
      <c r="EU337" s="43"/>
      <c r="EV337" s="43"/>
      <c r="EW337" s="43"/>
      <c r="EX337" s="43"/>
      <c r="EY337" s="43"/>
      <c r="EZ337" s="43"/>
      <c r="FA337" s="43"/>
      <c r="FB337" s="43"/>
      <c r="FC337" s="43"/>
    </row>
    <row r="338" ht="18.0" customHeight="1">
      <c r="A338" s="2"/>
      <c r="B338" s="22" t="str">
        <f>IFERROR(VLOOKUP(C338,'Реестр'!C:AC,27,0)," ")</f>
        <v>Смарт-Сэйл</v>
      </c>
      <c r="C338" s="43" t="s">
        <v>5081</v>
      </c>
      <c r="D338" s="22" t="str">
        <f>IFERROR(VLOOKUP(C338,'Лист4'!D:P,13,0)," ")</f>
        <v>CPA</v>
      </c>
      <c r="E338" s="22" t="str">
        <f>IF(OR(ISERROR(VLOOKUP(C338,'Актуальность'!A:B,2,0)), VLOOKUP(C338,'Актуальность'!A:B,2,0)=""), "Актуальный", VLOOKUP(C338,'Актуальность'!A:B,2,0))</f>
        <v>Актуальный</v>
      </c>
      <c r="F338" s="43" t="str">
        <f>IFERROR(VLOOKUP(C338,'Актуальность'!A:C,3,0)," ")</f>
        <v/>
      </c>
      <c r="G338" s="43"/>
      <c r="H338" s="22" t="s">
        <v>2663</v>
      </c>
      <c r="I338" s="22" t="s">
        <v>5083</v>
      </c>
      <c r="J338" s="43"/>
      <c r="K338" s="43"/>
      <c r="L338" s="22" t="b">
        <f t="shared" ref="L338:R338" si="334">T338&lt;&gt;""</f>
        <v>1</v>
      </c>
      <c r="M338" s="22" t="b">
        <f t="shared" si="334"/>
        <v>1</v>
      </c>
      <c r="N338" s="22" t="b">
        <f t="shared" si="334"/>
        <v>1</v>
      </c>
      <c r="O338" s="22" t="b">
        <f t="shared" si="334"/>
        <v>1</v>
      </c>
      <c r="P338" s="22" t="b">
        <f t="shared" si="334"/>
        <v>0</v>
      </c>
      <c r="Q338" s="22" t="b">
        <f t="shared" si="334"/>
        <v>0</v>
      </c>
      <c r="R338" s="22" t="b">
        <f t="shared" si="334"/>
        <v>0</v>
      </c>
      <c r="S338" s="43"/>
      <c r="T338" s="43" t="str">
        <f>IFERROR(VLOOKUP( C338,'1С'!A:B,2,0)," ")</f>
        <v>CO101100439</v>
      </c>
      <c r="U338" s="22" t="str">
        <f>IFERROR(VLOOKUP(T338,'Лист4'!C:I,3,0)," ")</f>
        <v>wbpapiderm</v>
      </c>
      <c r="V338" s="22" t="str">
        <f>IFERROR(VLOOKUP(T338,'Лист4'!C:I,4,0)," ")</f>
        <v>papiderm</v>
      </c>
      <c r="W338" s="22" t="str">
        <f>IFERROR(VLOOKUP(T338,'Лист4'!C:I,5,0)," ")</f>
        <v>papiderm</v>
      </c>
      <c r="X338" s="43" t="str">
        <f>IFERROR(VLOOKUP(T338,'Лист4'!C:I,7,0)," ")</f>
        <v/>
      </c>
      <c r="Y338" s="43" t="str">
        <f>IFERROR(VLOOKUP(T338,'Лист4'!C:I,6,0)," ")</f>
        <v/>
      </c>
      <c r="Z338" s="43"/>
      <c r="AA338" s="43"/>
      <c r="AB338" s="22">
        <v>4.1351094E7</v>
      </c>
      <c r="AC338" s="22">
        <v>3.27232798E8</v>
      </c>
      <c r="AD338" s="22">
        <v>1.01436838678E11</v>
      </c>
      <c r="AE338" s="22"/>
      <c r="AF338" s="22"/>
      <c r="AG338" s="43"/>
      <c r="AH338" s="43"/>
      <c r="AI338" s="43" t="str">
        <f>IFERROR(VLOOKUP(T338,'1С'!B:C,2,0)," ")</f>
        <v>Пищевая добавка Папидерм , CPA, 10 мл</v>
      </c>
      <c r="AJ338" s="22" t="s">
        <v>5086</v>
      </c>
      <c r="AK338" s="22" t="s">
        <v>5087</v>
      </c>
      <c r="AL338" s="22" t="s">
        <v>5087</v>
      </c>
      <c r="AM338" s="43"/>
      <c r="AN338" s="43"/>
      <c r="AO338" s="43"/>
      <c r="AP338" s="43"/>
      <c r="AQ338" s="46" t="s">
        <v>5088</v>
      </c>
      <c r="AR338" s="46" t="s">
        <v>5089</v>
      </c>
      <c r="AS338" s="46" t="s">
        <v>5090</v>
      </c>
      <c r="AT338" s="43"/>
      <c r="AU338" s="43"/>
      <c r="AV338" s="43"/>
      <c r="AW338" s="43"/>
      <c r="AX338" s="22" t="s">
        <v>649</v>
      </c>
      <c r="AY338" s="22" t="s">
        <v>5087</v>
      </c>
      <c r="AZ338" s="22" t="s">
        <v>2692</v>
      </c>
      <c r="BA338" s="43"/>
      <c r="BB338" s="43"/>
      <c r="BC338" s="43"/>
      <c r="BD338" s="43"/>
      <c r="BE338" s="43"/>
      <c r="BF338" s="22">
        <f>IFERROR(VLOOKUP(C338,'спецификация'!B:D,3,0)," ")</f>
        <v>4631136905165</v>
      </c>
      <c r="BG338" s="22">
        <v>2.103909009E9</v>
      </c>
      <c r="BH338" s="22" t="str">
        <f>IFERROR(VLOOKUP(C338,'спецификация'!B:AA,5,0)," ")</f>
        <v>ЕАЭС N RU Д-RU.РА08.В.86809/23 от 19.10.2023 до 18.10.2028</v>
      </c>
      <c r="BI338" s="22"/>
      <c r="BJ338" s="22" t="str">
        <f>IFERROR(VLOOKUP(C338,'спецификация'!B:AA,6,0)," ")</f>
        <v/>
      </c>
      <c r="BK338" s="43"/>
      <c r="BL338" s="43"/>
      <c r="BM338" s="22" t="str">
        <f>IFERROR(VLOOKUP(BF338,'спецификация'!D:H,5,0)," ")</f>
        <v>экстракт чистотела, экстракт кордицепса китайского, экстракт желтокорня канадского, экстракт адамового яблока, экстракт чеснока, экстракт окопника, экстракт княжника алтайского, экстракт пихты, экстракт сосны, экстракт жостера, экстракт чабреца, экстракт прополиса,  экстракт каланхоэ, экстракт побегов картофеля, экстракт картофеля, экстракт мумиё, экстракт маклюры, экстракт грецкого ореха, экстракт расторопши, экстракт черного ореха, экстракт лимона, экстракт  березы, экстракт мелиссы, экстракт мяты, экстракт гидрастиса канадского, экстракт шиитаке, экстракт лисички белой, экстракт эхинацеи, экстракт одуванчика, экстракт подорожника, экстракт хвоща, экстракт рябины, экстракт каштана.</v>
      </c>
      <c r="BN338" s="43"/>
      <c r="BO338" s="22" t="str">
        <f>IFERROR(VLOOKUP(C338,'спецификация'!B:AA,10,0)," ")</f>
        <v/>
      </c>
      <c r="BP338" s="43" t="str">
        <f>IFERROR(VLOOKUP(C338,'спецификация'!B:AA,11,0),"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38" s="22" t="str">
        <f>IFERROR(VLOOKUP(C338,'спецификация'!B:AA,12,0)," ")</f>
        <v> хранить при температуре до 25°C, избегая попадания прямых солнечных лучей.
</v>
      </c>
      <c r="BR338" s="22"/>
      <c r="BS338" s="43"/>
      <c r="BT338" s="43"/>
      <c r="BU338" s="22"/>
      <c r="BV338" s="22" t="s">
        <v>401</v>
      </c>
      <c r="BW338" s="44" t="str">
        <f>IFERROR(VLOOKUP(C338,'спецификация'!B:AA,16,0)," ")</f>
        <v>https://docs.google.com/document/d/1k27HGmD8tcAF0g-0FxobSpwtDTyfYARlR1zN7DYGEf4/edit</v>
      </c>
      <c r="BX338" s="43"/>
      <c r="BY338" s="43"/>
      <c r="BZ338" s="45" t="str">
        <f>IFERROR(VLOOKUP(BF338,'спецификация'!D:Y,22,0)," ")</f>
        <v/>
      </c>
      <c r="CA338" s="43"/>
      <c r="CB338" s="43"/>
      <c r="CC338" s="43"/>
      <c r="CD338" s="43"/>
      <c r="CE338" s="43"/>
      <c r="CF338" s="43"/>
      <c r="CG338" s="49">
        <f>IFERROR(VLOOKUP(C338,CC!A:D,4,0)," ")</f>
        <v>99.28</v>
      </c>
      <c r="CH338" s="22" t="str">
        <f>IFERROR(VLOOKUP(C338,'спецификация'!B:AA,19,0)," ")</f>
        <v>Восток Плюс</v>
      </c>
      <c r="CI338" s="22"/>
      <c r="CJ338" s="43"/>
      <c r="CK338" s="22">
        <f>IFERROR(VLOOKUP(C338,CC!K:M,3,0)," ")</f>
        <v>45</v>
      </c>
      <c r="CL338" s="43"/>
      <c r="CM338" s="43"/>
      <c r="CN338" s="43"/>
      <c r="CO338" s="43"/>
      <c r="CP338" s="43"/>
      <c r="CQ338" s="43"/>
      <c r="CR338" s="43"/>
      <c r="CS338" s="43" t="b">
        <v>0</v>
      </c>
      <c r="CT338" s="43" t="b">
        <v>0</v>
      </c>
      <c r="CU338" s="43" t="b">
        <v>0</v>
      </c>
      <c r="CV338" s="43" t="b">
        <v>0</v>
      </c>
      <c r="CW338" s="43"/>
      <c r="CX338" s="43"/>
      <c r="CY338" s="43"/>
      <c r="CZ338" s="43"/>
      <c r="DA338" s="43"/>
      <c r="DB338" s="43"/>
      <c r="DC338" s="43"/>
      <c r="DD338" s="22">
        <f>IFERROR(VLOOKUP($C338,'Лист4'!$D:$AI,27,0)," ")</f>
        <v>4</v>
      </c>
      <c r="DE338" s="22">
        <f>IFERROR(VLOOKUP($C338,'Лист4'!$D:$AI,28,0)," ")</f>
        <v>9</v>
      </c>
      <c r="DF338" s="22">
        <f>IFERROR(VLOOKUP($C338,'Лист4'!$D:$AI,29,0)," ")</f>
        <v>4</v>
      </c>
      <c r="DG338" s="22">
        <f t="shared" si="3"/>
        <v>144</v>
      </c>
      <c r="DH338" s="22">
        <f>IFERROR(VLOOKUP($C338,'Лист4'!$D:$AI,32,0)," ")</f>
        <v>0.046</v>
      </c>
      <c r="DI338" s="22"/>
      <c r="DJ338" s="22"/>
      <c r="DK338" s="22"/>
      <c r="DL338" s="22"/>
      <c r="DM338" s="22"/>
      <c r="DN338" s="22"/>
      <c r="DO338" s="22"/>
      <c r="DP338" s="22"/>
      <c r="DQ338" s="22"/>
      <c r="DR338" s="22"/>
      <c r="DS338" s="22"/>
      <c r="DT338" s="22"/>
      <c r="DU338" s="22"/>
      <c r="DV338" s="22"/>
      <c r="DW338" s="22"/>
      <c r="DX338" s="22"/>
      <c r="DY338" s="22"/>
      <c r="DZ338" s="22"/>
      <c r="EA338" s="22"/>
      <c r="EB338" s="22"/>
      <c r="EC338" s="22"/>
      <c r="ED338" s="22"/>
      <c r="EE338" s="22"/>
      <c r="EF338" s="22"/>
      <c r="EG338" s="22"/>
      <c r="EH338" s="22"/>
      <c r="EI338" s="22"/>
      <c r="EJ338" s="22"/>
      <c r="EK338" s="22"/>
      <c r="EL338" s="22"/>
      <c r="EM338" s="43"/>
      <c r="EN338" s="43"/>
      <c r="EO338" s="43"/>
      <c r="EP338" s="43"/>
      <c r="EQ338" s="43"/>
      <c r="ER338" s="43"/>
      <c r="ES338" s="43"/>
      <c r="ET338" s="43"/>
      <c r="EU338" s="43"/>
      <c r="EV338" s="43"/>
      <c r="EW338" s="43"/>
      <c r="EX338" s="43"/>
      <c r="EY338" s="43"/>
      <c r="EZ338" s="43"/>
      <c r="FA338" s="43"/>
      <c r="FB338" s="43"/>
      <c r="FC338" s="43"/>
    </row>
    <row r="339" ht="18.0" customHeight="1">
      <c r="A339" s="2"/>
      <c r="B339" s="22" t="str">
        <f>IFERROR(VLOOKUP(C339,'Реестр'!C:AC,27,0)," ")</f>
        <v>Смарт-Сэйл</v>
      </c>
      <c r="C339" s="43" t="s">
        <v>5095</v>
      </c>
      <c r="D339" s="22" t="str">
        <f>IFERROR(VLOOKUP(C339,'Лист4'!D:P,13,0)," ")</f>
        <v>CPA</v>
      </c>
      <c r="E339" s="22" t="str">
        <f>IF(OR(ISERROR(VLOOKUP(C339,'Актуальность'!A:B,2,0)), VLOOKUP(C339,'Актуальность'!A:B,2,0)=""), "Актуальный", VLOOKUP(C339,'Актуальность'!A:B,2,0))</f>
        <v>Актуальный</v>
      </c>
      <c r="F339" s="43" t="str">
        <f>IFERROR(VLOOKUP(C339,'Актуальность'!A:C,3,0)," ")</f>
        <v/>
      </c>
      <c r="G339" s="43"/>
      <c r="H339" s="22" t="s">
        <v>2663</v>
      </c>
      <c r="I339" s="22" t="s">
        <v>2718</v>
      </c>
      <c r="J339" s="43"/>
      <c r="K339" s="43"/>
      <c r="L339" s="22" t="b">
        <f t="shared" ref="L339:R339" si="335">T339&lt;&gt;""</f>
        <v>1</v>
      </c>
      <c r="M339" s="22" t="b">
        <f t="shared" si="335"/>
        <v>1</v>
      </c>
      <c r="N339" s="22" t="b">
        <f t="shared" si="335"/>
        <v>1</v>
      </c>
      <c r="O339" s="22" t="b">
        <f t="shared" si="335"/>
        <v>1</v>
      </c>
      <c r="P339" s="22" t="b">
        <f t="shared" si="335"/>
        <v>0</v>
      </c>
      <c r="Q339" s="22" t="b">
        <f t="shared" si="335"/>
        <v>0</v>
      </c>
      <c r="R339" s="22" t="b">
        <f t="shared" si="335"/>
        <v>0</v>
      </c>
      <c r="S339" s="43"/>
      <c r="T339" s="43" t="str">
        <f>IFERROR(VLOOKUP( C339,'1С'!A:B,2,0)," ")</f>
        <v>CO101100449</v>
      </c>
      <c r="U339" s="22" t="str">
        <f>IFERROR(VLOOKUP(T339,'Лист4'!C:I,3,0)," ")</f>
        <v>wbneomaxblue</v>
      </c>
      <c r="V339" s="22" t="str">
        <f>IFERROR(VLOOKUP(T339,'Лист4'!C:I,4,0)," ")</f>
        <v>wbneomaxblue</v>
      </c>
      <c r="W339" s="22" t="str">
        <f>IFERROR(VLOOKUP(T339,'Лист4'!C:I,5,0)," ")</f>
        <v>wbneomaxblue</v>
      </c>
      <c r="X339" s="43" t="str">
        <f>IFERROR(VLOOKUP(T339,'Лист4'!C:I,7,0)," ")</f>
        <v/>
      </c>
      <c r="Y339" s="43" t="str">
        <f>IFERROR(VLOOKUP(T339,'Лист4'!C:I,6,0)," ")</f>
        <v/>
      </c>
      <c r="Z339" s="43"/>
      <c r="AA339" s="43"/>
      <c r="AB339" s="22">
        <v>1.7902935E7</v>
      </c>
      <c r="AC339" s="22">
        <v>2.95356614E8</v>
      </c>
      <c r="AD339" s="22">
        <v>1.03515619478E11</v>
      </c>
      <c r="AE339" s="22"/>
      <c r="AF339" s="22"/>
      <c r="AG339" s="43"/>
      <c r="AH339" s="43"/>
      <c r="AI339" s="43" t="str">
        <f>IFERROR(VLOOKUP(T339,'1С'!B:C,2,0)," ")</f>
        <v>Пищевая добавка Neomax blue, CPA, 10 шт</v>
      </c>
      <c r="AJ339" s="22" t="s">
        <v>5098</v>
      </c>
      <c r="AK339" s="22" t="s">
        <v>5099</v>
      </c>
      <c r="AL339" s="22" t="s">
        <v>5100</v>
      </c>
      <c r="AM339" s="43"/>
      <c r="AN339" s="43"/>
      <c r="AO339" s="43"/>
      <c r="AP339" s="43"/>
      <c r="AQ339" s="46" t="s">
        <v>5101</v>
      </c>
      <c r="AR339" s="46" t="s">
        <v>5102</v>
      </c>
      <c r="AS339" s="46" t="s">
        <v>5103</v>
      </c>
      <c r="AT339" s="43"/>
      <c r="AU339" s="43"/>
      <c r="AV339" s="43"/>
      <c r="AW339" s="43"/>
      <c r="AX339" s="22" t="s">
        <v>4667</v>
      </c>
      <c r="AY339" s="22" t="s">
        <v>5099</v>
      </c>
      <c r="AZ339" s="22" t="s">
        <v>2692</v>
      </c>
      <c r="BA339" s="43"/>
      <c r="BB339" s="43"/>
      <c r="BC339" s="43"/>
      <c r="BD339" s="43"/>
      <c r="BE339" s="43"/>
      <c r="BF339" s="22">
        <f>IFERROR(VLOOKUP(C339,'спецификация'!B:D,3,0)," ")</f>
        <v>4631148520929</v>
      </c>
      <c r="BG339" s="22"/>
      <c r="BH339" s="22" t="str">
        <f>IFERROR(VLOOKUP(C339,'спецификация'!B:AA,5,0)," ")</f>
        <v>RU.77.99.11.003.R.004698.12.19
</v>
      </c>
      <c r="BI339" s="22"/>
      <c r="BJ339" s="22" t="str">
        <f>IFERROR(VLOOKUP(C339,'спецификация'!B:AA,6,0)," ")</f>
        <v/>
      </c>
      <c r="BK339" s="43"/>
      <c r="BL339" s="43"/>
      <c r="BM339" s="22" t="str">
        <f>IFERROR(VLOOKUP(BF339,'спецификация'!D:H,5,0)," ")</f>
        <v>экстракт корня маки перуанской (Lepidium meyenii), экстракт коры муиры пуама (Ptychopetalum olacoides), экстракт семян пажитника греческого (Trigonella foenum – graecum), лактоза пищевая, экстракт листьев Дамианы (Turnera diffusa), цитрат цинка, желатин, краситель (титана диоксид Е 171).</v>
      </c>
      <c r="BN339" s="43"/>
      <c r="BO339" s="22" t="str">
        <f>IFERROR(VLOOKUP(C339,'спецификация'!B:AA,10,0)," ")</f>
        <v/>
      </c>
      <c r="BP339" s="43" t="str">
        <f>IFERROR(VLOOKUP(C339,'спецификация'!B:AA,11,0),"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
Перед применением рекомендуется проконсультироваться с врачом.</v>
      </c>
      <c r="BQ339" s="22" t="str">
        <f>IFERROR(VLOOKUP(C339,'спецификация'!B:AA,12,0)," ")</f>
        <v>хранить в сухом, защищенном от попадания прямых солнечных лучей, недоступном для детей месте, при температуре не выше +25°С.
</v>
      </c>
      <c r="BR339" s="22">
        <v>10.0</v>
      </c>
      <c r="BS339" s="22" t="s">
        <v>492</v>
      </c>
      <c r="BT339" s="22"/>
      <c r="BU339" s="22"/>
      <c r="BV339" s="22" t="s">
        <v>307</v>
      </c>
      <c r="BW339" s="44" t="str">
        <f>IFERROR(VLOOKUP(C339,'спецификация'!B:AA,16,0)," ")</f>
        <v>https://docs.google.com/document/d/1aDrLIW7wDt74oaO3ff_ckEPC6hsT4aOJMmoU-SVeuW0/edit</v>
      </c>
      <c r="BX339" s="43"/>
      <c r="BY339" s="43"/>
      <c r="BZ339" s="45" t="str">
        <f>IFERROR(VLOOKUP(BF339,'спецификация'!D:Y,22,0)," ")</f>
        <v/>
      </c>
      <c r="CA339" s="43"/>
      <c r="CB339" s="43"/>
      <c r="CC339" s="43"/>
      <c r="CD339" s="43"/>
      <c r="CE339" s="43"/>
      <c r="CF339" s="43"/>
      <c r="CG339" s="49">
        <f>IFERROR(VLOOKUP(C339,CC!A:D,4,0)," ")</f>
        <v>109.19</v>
      </c>
      <c r="CH339" s="22" t="str">
        <f>IFERROR(VLOOKUP(C339,'спецификация'!B:AA,19,0)," ")</f>
        <v/>
      </c>
      <c r="CI339" s="22"/>
      <c r="CJ339" s="43"/>
      <c r="CK339" s="22" t="str">
        <f>IFERROR(VLOOKUP(C339,CC!K:M,3,0)," ")</f>
        <v> </v>
      </c>
      <c r="CL339" s="43"/>
      <c r="CM339" s="43"/>
      <c r="CN339" s="43"/>
      <c r="CO339" s="43"/>
      <c r="CP339" s="43"/>
      <c r="CQ339" s="43"/>
      <c r="CR339" s="43"/>
      <c r="CS339" s="43" t="b">
        <v>0</v>
      </c>
      <c r="CT339" s="43" t="b">
        <v>0</v>
      </c>
      <c r="CU339" s="43" t="b">
        <v>0</v>
      </c>
      <c r="CV339" s="43" t="b">
        <v>0</v>
      </c>
      <c r="CW339" s="43"/>
      <c r="CX339" s="43"/>
      <c r="CY339" s="43"/>
      <c r="CZ339" s="43"/>
      <c r="DA339" s="43"/>
      <c r="DB339" s="43"/>
      <c r="DC339" s="43"/>
      <c r="DD339" s="22">
        <f>IFERROR(VLOOKUP($C339,'Лист4'!$D:$AI,27,0)," ")</f>
        <v>6</v>
      </c>
      <c r="DE339" s="22">
        <f>IFERROR(VLOOKUP($C339,'Лист4'!$D:$AI,28,0)," ")</f>
        <v>4</v>
      </c>
      <c r="DF339" s="22">
        <f>IFERROR(VLOOKUP($C339,'Лист4'!$D:$AI,29,0)," ")</f>
        <v>6</v>
      </c>
      <c r="DG339" s="22">
        <f t="shared" si="3"/>
        <v>144</v>
      </c>
      <c r="DH339" s="22">
        <f>IFERROR(VLOOKUP($C339,'Лист4'!$D:$AI,32,0)," ")</f>
        <v>0.05</v>
      </c>
      <c r="DI339" s="22"/>
      <c r="DJ339" s="22"/>
      <c r="DK339" s="22"/>
      <c r="DL339" s="22"/>
      <c r="DM339" s="22"/>
      <c r="DN339" s="22"/>
      <c r="DO339" s="22"/>
      <c r="DP339" s="22"/>
      <c r="DQ339" s="22"/>
      <c r="DR339" s="22"/>
      <c r="DS339" s="22"/>
      <c r="DT339" s="22"/>
      <c r="DU339" s="22"/>
      <c r="DV339" s="22"/>
      <c r="DW339" s="22"/>
      <c r="DX339" s="22"/>
      <c r="DY339" s="22"/>
      <c r="DZ339" s="22"/>
      <c r="EA339" s="22"/>
      <c r="EB339" s="22"/>
      <c r="EC339" s="22"/>
      <c r="ED339" s="22"/>
      <c r="EE339" s="22"/>
      <c r="EF339" s="22"/>
      <c r="EG339" s="22"/>
      <c r="EH339" s="22"/>
      <c r="EI339" s="22"/>
      <c r="EJ339" s="22"/>
      <c r="EK339" s="22"/>
      <c r="EL339" s="22"/>
      <c r="EM339" s="43"/>
      <c r="EN339" s="43"/>
      <c r="EO339" s="43"/>
      <c r="EP339" s="43"/>
      <c r="EQ339" s="43"/>
      <c r="ER339" s="43"/>
      <c r="ES339" s="43"/>
      <c r="ET339" s="43"/>
      <c r="EU339" s="43"/>
      <c r="EV339" s="43"/>
      <c r="EW339" s="43"/>
      <c r="EX339" s="43"/>
      <c r="EY339" s="43"/>
      <c r="EZ339" s="43"/>
      <c r="FA339" s="43"/>
      <c r="FB339" s="43"/>
      <c r="FC339" s="43"/>
    </row>
    <row r="340" ht="18.0" customHeight="1">
      <c r="A340" s="2"/>
      <c r="B340" s="22" t="str">
        <f>IFERROR(VLOOKUP(C340,'Реестр'!C:AC,27,0)," ")</f>
        <v>Смарт-Сэйл</v>
      </c>
      <c r="C340" s="43" t="s">
        <v>5110</v>
      </c>
      <c r="D340" s="22" t="str">
        <f>IFERROR(VLOOKUP(C340,'Лист4'!D:P,13,0)," ")</f>
        <v>CPA</v>
      </c>
      <c r="E340" s="22" t="str">
        <f>IF(OR(ISERROR(VLOOKUP(C340,'Актуальность'!A:B,2,0)), VLOOKUP(C340,'Актуальность'!A:B,2,0)=""), "Актуальный", VLOOKUP(C340,'Актуальность'!A:B,2,0))</f>
        <v>Актуальный</v>
      </c>
      <c r="F340" s="43" t="str">
        <f>IFERROR(VLOOKUP(C340,'Актуальность'!A:C,3,0)," ")</f>
        <v/>
      </c>
      <c r="G340" s="43"/>
      <c r="H340" s="22" t="s">
        <v>2663</v>
      </c>
      <c r="I340" s="22" t="s">
        <v>2684</v>
      </c>
      <c r="J340" s="43"/>
      <c r="K340" s="43"/>
      <c r="L340" s="22" t="b">
        <f t="shared" ref="L340:R340" si="336">T340&lt;&gt;""</f>
        <v>1</v>
      </c>
      <c r="M340" s="22" t="b">
        <f t="shared" si="336"/>
        <v>1</v>
      </c>
      <c r="N340" s="22" t="b">
        <f t="shared" si="336"/>
        <v>1</v>
      </c>
      <c r="O340" s="22" t="b">
        <f t="shared" si="336"/>
        <v>1</v>
      </c>
      <c r="P340" s="22" t="b">
        <f t="shared" si="336"/>
        <v>0</v>
      </c>
      <c r="Q340" s="22" t="b">
        <f t="shared" si="336"/>
        <v>0</v>
      </c>
      <c r="R340" s="22" t="b">
        <f t="shared" si="336"/>
        <v>0</v>
      </c>
      <c r="S340" s="43"/>
      <c r="T340" s="43" t="str">
        <f>IFERROR(VLOOKUP( C340,'1С'!A:B,2,0)," ")</f>
        <v>CO101100441</v>
      </c>
      <c r="U340" s="22" t="str">
        <f>IFERROR(VLOOKUP(T340,'Лист4'!C:I,3,0)," ")</f>
        <v>urolgan</v>
      </c>
      <c r="V340" s="22" t="str">
        <f>IFERROR(VLOOKUP(T340,'Лист4'!C:I,4,0)," ")</f>
        <v>urolgan</v>
      </c>
      <c r="W340" s="22" t="str">
        <f>IFERROR(VLOOKUP(T340,'Лист4'!C:I,5,0)," ")</f>
        <v>urolgan</v>
      </c>
      <c r="X340" s="43" t="str">
        <f>IFERROR(VLOOKUP(T340,'Лист4'!C:I,7,0)," ")</f>
        <v/>
      </c>
      <c r="Y340" s="43" t="str">
        <f>IFERROR(VLOOKUP(T340,'Лист4'!C:I,6,0)," ")</f>
        <v/>
      </c>
      <c r="Z340" s="43"/>
      <c r="AA340" s="43"/>
      <c r="AB340" s="22">
        <v>2.23155748E8</v>
      </c>
      <c r="AC340" s="22">
        <v>1.541839778E9</v>
      </c>
      <c r="AD340" s="22">
        <v>1.03515423988E11</v>
      </c>
      <c r="AE340" s="22"/>
      <c r="AF340" s="22"/>
      <c r="AG340" s="43"/>
      <c r="AH340" s="43"/>
      <c r="AI340" s="43" t="str">
        <f>IFERROR(VLOOKUP(T340,'1С'!B:C,2,0)," ")</f>
        <v>Пищевая добавка Уролган , CPA, 10 мл</v>
      </c>
      <c r="AJ340" s="22" t="s">
        <v>5113</v>
      </c>
      <c r="AK340" s="22" t="s">
        <v>5114</v>
      </c>
      <c r="AL340" s="22" t="s">
        <v>5115</v>
      </c>
      <c r="AM340" s="43"/>
      <c r="AN340" s="43"/>
      <c r="AO340" s="43"/>
      <c r="AP340" s="43"/>
      <c r="AQ340" s="46" t="s">
        <v>5116</v>
      </c>
      <c r="AR340" s="46" t="s">
        <v>5117</v>
      </c>
      <c r="AS340" s="46" t="s">
        <v>5118</v>
      </c>
      <c r="AT340" s="43"/>
      <c r="AU340" s="43"/>
      <c r="AV340" s="43"/>
      <c r="AW340" s="43"/>
      <c r="AX340" s="22" t="s">
        <v>649</v>
      </c>
      <c r="AY340" s="22" t="s">
        <v>5114</v>
      </c>
      <c r="AZ340" s="22" t="s">
        <v>372</v>
      </c>
      <c r="BA340" s="43"/>
      <c r="BB340" s="43"/>
      <c r="BC340" s="43"/>
      <c r="BD340" s="43"/>
      <c r="BE340" s="43"/>
      <c r="BF340" s="22">
        <f>IFERROR(VLOOKUP(C340,'спецификация'!B:D,3,0)," ")</f>
        <v>4610030632629</v>
      </c>
      <c r="BG340" s="22">
        <v>2.106909809E9</v>
      </c>
      <c r="BH340" s="22" t="str">
        <f>IFERROR(VLOOKUP(C340,'спецификация'!B:AA,5,0)," ")</f>
        <v>ЕАЭС N RU Д-RU.PA01.B.29828/24 от 26.01.2024 по 22.01.2029</v>
      </c>
      <c r="BI340" s="22"/>
      <c r="BJ340" s="22" t="str">
        <f>IFERROR(VLOOKUP(C340,'спецификация'!B:AA,6,0)," ")</f>
        <v/>
      </c>
      <c r="BK340" s="43"/>
      <c r="BL340" s="43"/>
      <c r="BM340" s="22" t="str">
        <f>IFERROR(VLOOKUP(BF340,'спецификация'!D:H,5,0)," ")</f>
        <v> вода, экстракты эпимедиума, ярутки, корня астрагала, корня и корневища шалфея лекарственного, ягод годжи, семян маки перуанской, брусничной толокнянки, пантов марала, лимонная кислота, сорбат калия (Е202), бензоат натрия (Е211).
</v>
      </c>
      <c r="BN340" s="43"/>
      <c r="BO340" s="22" t="str">
        <f>IFERROR(VLOOKUP(C340,'спецификация'!B:AA,10,0)," ")</f>
        <v/>
      </c>
      <c r="BP340" s="43" t="str">
        <f>IFERROR(VLOOKUP(C340,'спецификация'!B:AA,11,0)," ")</f>
        <v>индивидуальная непереносимость компонентов.</v>
      </c>
      <c r="BQ340" s="22" t="str">
        <f>IFERROR(VLOOKUP(C340,'спецификация'!B:AA,12,0)," ")</f>
        <v>хранить при температуре не выше 25 °С в местах, удалённых от прямого солнечного света, отопительных приборов, влаги.
</v>
      </c>
      <c r="BR340" s="22">
        <v>10.0</v>
      </c>
      <c r="BS340" s="22" t="s">
        <v>139</v>
      </c>
      <c r="BT340" s="22"/>
      <c r="BU340" s="22"/>
      <c r="BV340" s="22" t="s">
        <v>307</v>
      </c>
      <c r="BW340" s="44" t="str">
        <f>IFERROR(VLOOKUP(C340,'спецификация'!B:AA,16,0)," ")</f>
        <v>https://docs.google.com/document/d/1ELk6rwKWaBQYzPKRqTkOmYKbizqqM5y2/edit</v>
      </c>
      <c r="BX340" s="43"/>
      <c r="BY340" s="43"/>
      <c r="BZ340" s="45" t="str">
        <f>IFERROR(VLOOKUP(BF340,'спецификация'!D:Y,22,0)," ")</f>
        <v/>
      </c>
      <c r="CA340" s="43"/>
      <c r="CB340" s="43"/>
      <c r="CC340" s="43"/>
      <c r="CD340" s="43"/>
      <c r="CE340" s="43"/>
      <c r="CF340" s="43"/>
      <c r="CG340" s="49">
        <f>IFERROR(VLOOKUP(C340,CC!A:D,4,0)," ")</f>
        <v>93.13</v>
      </c>
      <c r="CH340" s="22" t="str">
        <f>IFERROR(VLOOKUP(C340,'спецификация'!B:AA,19,0)," ")</f>
        <v>ООО Нутрафарм</v>
      </c>
      <c r="CI340" s="22"/>
      <c r="CJ340" s="43"/>
      <c r="CK340" s="22">
        <f>IFERROR(VLOOKUP(C340,CC!K:M,3,0)," ")</f>
        <v>45</v>
      </c>
      <c r="CL340" s="43"/>
      <c r="CM340" s="43"/>
      <c r="CN340" s="43"/>
      <c r="CO340" s="43"/>
      <c r="CP340" s="43"/>
      <c r="CQ340" s="43"/>
      <c r="CR340" s="43"/>
      <c r="CS340" s="43" t="b">
        <v>0</v>
      </c>
      <c r="CT340" s="43" t="b">
        <v>0</v>
      </c>
      <c r="CU340" s="43" t="b">
        <v>0</v>
      </c>
      <c r="CV340" s="43" t="b">
        <v>0</v>
      </c>
      <c r="CW340" s="43"/>
      <c r="CX340" s="43"/>
      <c r="CY340" s="43"/>
      <c r="CZ340" s="43"/>
      <c r="DA340" s="43"/>
      <c r="DB340" s="43"/>
      <c r="DC340" s="43"/>
      <c r="DD340" s="22">
        <f>IFERROR(VLOOKUP($C340,'Лист4'!$D:$AI,27,0)," ")</f>
        <v>4</v>
      </c>
      <c r="DE340" s="22">
        <f>IFERROR(VLOOKUP($C340,'Лист4'!$D:$AI,28,0)," ")</f>
        <v>8</v>
      </c>
      <c r="DF340" s="22">
        <f>IFERROR(VLOOKUP($C340,'Лист4'!$D:$AI,29,0)," ")</f>
        <v>4</v>
      </c>
      <c r="DG340" s="22">
        <f t="shared" si="3"/>
        <v>128</v>
      </c>
      <c r="DH340" s="22">
        <f>IFERROR(VLOOKUP($C340,'Лист4'!$D:$AI,32,0)," ")</f>
        <v>0.046</v>
      </c>
      <c r="DI340" s="22"/>
      <c r="DJ340" s="22"/>
      <c r="DK340" s="22"/>
      <c r="DL340" s="22"/>
      <c r="DM340" s="22"/>
      <c r="DN340" s="22"/>
      <c r="DO340" s="22"/>
      <c r="DP340" s="22"/>
      <c r="DQ340" s="22"/>
      <c r="DR340" s="22"/>
      <c r="DS340" s="22"/>
      <c r="DT340" s="22"/>
      <c r="DU340" s="22"/>
      <c r="DV340" s="22"/>
      <c r="DW340" s="22"/>
      <c r="DX340" s="22"/>
      <c r="DY340" s="22"/>
      <c r="DZ340" s="22"/>
      <c r="EA340" s="22"/>
      <c r="EB340" s="22"/>
      <c r="EC340" s="22"/>
      <c r="ED340" s="22"/>
      <c r="EE340" s="22"/>
      <c r="EF340" s="22"/>
      <c r="EG340" s="22"/>
      <c r="EH340" s="22"/>
      <c r="EI340" s="22"/>
      <c r="EJ340" s="22"/>
      <c r="EK340" s="22"/>
      <c r="EL340" s="22"/>
      <c r="EM340" s="43"/>
      <c r="EN340" s="43"/>
      <c r="EO340" s="43"/>
      <c r="EP340" s="43"/>
      <c r="EQ340" s="43"/>
      <c r="ER340" s="43"/>
      <c r="ES340" s="43"/>
      <c r="ET340" s="43"/>
      <c r="EU340" s="43"/>
      <c r="EV340" s="43"/>
      <c r="EW340" s="43"/>
      <c r="EX340" s="43"/>
      <c r="EY340" s="43"/>
      <c r="EZ340" s="43"/>
      <c r="FA340" s="43"/>
      <c r="FB340" s="43"/>
      <c r="FC340" s="43"/>
    </row>
    <row r="341" ht="18.0" customHeight="1">
      <c r="A341" s="2"/>
      <c r="B341" s="22" t="str">
        <f>IFERROR(VLOOKUP(C341,'Реестр'!C:AC,27,0)," ")</f>
        <v>Смарт-Сэйл</v>
      </c>
      <c r="C341" s="43" t="s">
        <v>5123</v>
      </c>
      <c r="D341" s="22" t="str">
        <f>IFERROR(VLOOKUP(C341,'Лист4'!D:P,13,0)," ")</f>
        <v>CPA</v>
      </c>
      <c r="E341" s="22" t="str">
        <f>IF(OR(ISERROR(VLOOKUP(C341,'Актуальность'!A:B,2,0)), VLOOKUP(C341,'Актуальность'!A:B,2,0)=""), "Актуальный", VLOOKUP(C341,'Актуальность'!A:B,2,0))</f>
        <v>Актуальный</v>
      </c>
      <c r="F341" s="43" t="str">
        <f>IFERROR(VLOOKUP(C341,'Актуальность'!A:C,3,0)," ")</f>
        <v/>
      </c>
      <c r="G341" s="43"/>
      <c r="H341" s="22" t="s">
        <v>2663</v>
      </c>
      <c r="I341" s="22" t="s">
        <v>2718</v>
      </c>
      <c r="J341" s="43"/>
      <c r="K341" s="43"/>
      <c r="L341" s="22" t="b">
        <f t="shared" ref="L341:R341" si="337">T341&lt;&gt;""</f>
        <v>1</v>
      </c>
      <c r="M341" s="22" t="b">
        <f t="shared" si="337"/>
        <v>1</v>
      </c>
      <c r="N341" s="22" t="b">
        <f t="shared" si="337"/>
        <v>1</v>
      </c>
      <c r="O341" s="22" t="b">
        <f t="shared" si="337"/>
        <v>0</v>
      </c>
      <c r="P341" s="22" t="b">
        <f t="shared" si="337"/>
        <v>0</v>
      </c>
      <c r="Q341" s="22" t="b">
        <f t="shared" si="337"/>
        <v>0</v>
      </c>
      <c r="R341" s="22" t="b">
        <f t="shared" si="337"/>
        <v>0</v>
      </c>
      <c r="S341" s="43"/>
      <c r="T341" s="43" t="str">
        <f>IFERROR(VLOOKUP( C341,'1С'!A:B,2,0)," ")</f>
        <v>CO101100450</v>
      </c>
      <c r="U341" s="22" t="str">
        <f>IFERROR(VLOOKUP(T341,'Лист4'!C:I,3,0)," ")</f>
        <v>wbneomax</v>
      </c>
      <c r="V341" s="22" t="str">
        <f>IFERROR(VLOOKUP(T341,'Лист4'!C:I,4,0)," ")</f>
        <v>wbneomax</v>
      </c>
      <c r="W341" s="22" t="str">
        <f>IFERROR(VLOOKUP(T341,'Лист4'!C:I,5,0)," ")</f>
        <v/>
      </c>
      <c r="X341" s="43" t="str">
        <f>IFERROR(VLOOKUP(T341,'Лист4'!C:I,7,0)," ")</f>
        <v/>
      </c>
      <c r="Y341" s="43" t="str">
        <f>IFERROR(VLOOKUP(T341,'Лист4'!C:I,6,0)," ")</f>
        <v/>
      </c>
      <c r="Z341" s="43"/>
      <c r="AA341" s="43"/>
      <c r="AB341" s="22">
        <v>4.5641409E7</v>
      </c>
      <c r="AC341" s="22">
        <v>2.91910198E8</v>
      </c>
      <c r="AD341" s="22"/>
      <c r="AE341" s="22"/>
      <c r="AF341" s="22"/>
      <c r="AG341" s="43"/>
      <c r="AH341" s="43"/>
      <c r="AI341" s="43" t="str">
        <f>IFERROR(VLOOKUP(T341,'1С'!B:C,2,0)," ")</f>
        <v>Пищевая добавка Neomax, CPA, 13 шт</v>
      </c>
      <c r="AJ341" s="22" t="s">
        <v>5126</v>
      </c>
      <c r="AK341" s="22" t="s">
        <v>5127</v>
      </c>
      <c r="AL341" s="43"/>
      <c r="AM341" s="43"/>
      <c r="AN341" s="43"/>
      <c r="AO341" s="43"/>
      <c r="AP341" s="43"/>
      <c r="AQ341" s="46" t="s">
        <v>5128</v>
      </c>
      <c r="AR341" s="46" t="s">
        <v>5129</v>
      </c>
      <c r="AS341" s="43"/>
      <c r="AT341" s="43"/>
      <c r="AU341" s="43"/>
      <c r="AV341" s="43"/>
      <c r="AW341" s="43"/>
      <c r="AX341" s="22" t="s">
        <v>4667</v>
      </c>
      <c r="AY341" s="22" t="s">
        <v>5127</v>
      </c>
      <c r="AZ341" s="43"/>
      <c r="BA341" s="43"/>
      <c r="BB341" s="43"/>
      <c r="BC341" s="43"/>
      <c r="BD341" s="43"/>
      <c r="BE341" s="43"/>
      <c r="BF341" s="22">
        <f>IFERROR(VLOOKUP(C341,'спецификация'!B:D,3,0)," ")</f>
        <v>4631148520912</v>
      </c>
      <c r="BG341" s="22"/>
      <c r="BH341" s="22" t="str">
        <f>IFERROR(VLOOKUP(C341,'спецификация'!B:AA,5,0)," ")</f>
        <v>ЕАЭС N RU Д-RU.ТР06.B.14277/19 от 22.10.2019 до 21.10.2024</v>
      </c>
      <c r="BI341" s="22"/>
      <c r="BJ341" s="22" t="str">
        <f>IFERROR(VLOOKUP(C341,'спецификация'!B:AA,6,0)," ")</f>
        <v/>
      </c>
      <c r="BK341" s="43"/>
      <c r="BL341" s="43"/>
      <c r="BM341" s="22" t="str">
        <f>IFERROR(VLOOKUP(BF341,'спецификация'!D:H,5,0)," ")</f>
        <v>Состав красных капсул: экстракт фукуса, экстракт корня эврикомы, экстракт жгучей мукуны, экстракт левзеи сафлоровидной, экстракт дьявольского когтя, экстракт трибулуса. Состав синих капсул: экстракт корня маки перуанской (Lepidium meyenii), экстракт коры муиры пуама (Ptychopetalum olacoides), экстракт семян пажитника греческого (Trigonella foenum – graecum), лактоза пищевая, экстракт листьев Дамианы (Turnera diffusa), цитрат цинка, желатин, краситель (титана диоксид Е 171).</v>
      </c>
      <c r="BN341" s="43"/>
      <c r="BO341" s="22" t="str">
        <f>IFERROR(VLOOKUP(C341,'спецификация'!B:AA,10,0)," ")</f>
        <v/>
      </c>
      <c r="BP341" s="43" t="str">
        <f>IFERROR(VLOOKUP(C341,'спецификация'!B:AA,11,0),"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
Перед применением рекомендуется проконсультироваться с врачом.</v>
      </c>
      <c r="BQ341" s="22" t="str">
        <f>IFERROR(VLOOKUP(C341,'спецификация'!B:AA,12,0)," ")</f>
        <v> хранить при температуре до 25°C, избегая попадания прямых солнечных лучей.
</v>
      </c>
      <c r="BR341" s="22">
        <v>10.0</v>
      </c>
      <c r="BS341" s="60" t="s">
        <v>5132</v>
      </c>
      <c r="BT341" s="60"/>
      <c r="BU341" s="22"/>
      <c r="BV341" s="22" t="s">
        <v>307</v>
      </c>
      <c r="BW341" s="44" t="str">
        <f>IFERROR(VLOOKUP(C341,'спецификация'!B:AA,16,0)," ")</f>
        <v>https://docs.google.com/document/d/1aDrLIW7wDt74oaO3ff_ckEPC6hsT4aOJMmoU-SVeuW0/editt</v>
      </c>
      <c r="BX341" s="43"/>
      <c r="BY341" s="43"/>
      <c r="BZ341" s="45" t="str">
        <f>IFERROR(VLOOKUP(BF341,'спецификация'!D:Y,22,0)," ")</f>
        <v/>
      </c>
      <c r="CA341" s="43"/>
      <c r="CB341" s="43"/>
      <c r="CC341" s="43"/>
      <c r="CD341" s="43"/>
      <c r="CE341" s="43"/>
      <c r="CF341" s="43"/>
      <c r="CG341" s="49">
        <f>IFERROR(VLOOKUP(C341,CC!A:D,4,0)," ")</f>
        <v>166.98</v>
      </c>
      <c r="CH341" s="22" t="str">
        <f>IFERROR(VLOOKUP(C341,'спецификация'!B:AA,19,0)," ")</f>
        <v>ООО «Восток Плюс», 107113, г. Москва, Сокольническая пл., дом 4а, этаж 3, пом.IV, комн.11</v>
      </c>
      <c r="CI341" s="22"/>
      <c r="CJ341" s="43"/>
      <c r="CK341" s="22" t="str">
        <f>IFERROR(VLOOKUP(C341,CC!K:M,3,0)," ")</f>
        <v> </v>
      </c>
      <c r="CL341" s="43"/>
      <c r="CM341" s="43"/>
      <c r="CN341" s="43"/>
      <c r="CO341" s="43"/>
      <c r="CP341" s="43"/>
      <c r="CQ341" s="43"/>
      <c r="CR341" s="43"/>
      <c r="CS341" s="43" t="b">
        <v>0</v>
      </c>
      <c r="CT341" s="43" t="b">
        <v>0</v>
      </c>
      <c r="CU341" s="43" t="b">
        <v>0</v>
      </c>
      <c r="CV341" s="43" t="b">
        <v>0</v>
      </c>
      <c r="CW341" s="43"/>
      <c r="CX341" s="43"/>
      <c r="CY341" s="43"/>
      <c r="CZ341" s="43"/>
      <c r="DA341" s="43"/>
      <c r="DB341" s="43"/>
      <c r="DC341" s="43"/>
      <c r="DD341" s="22">
        <f>IFERROR(VLOOKUP($C341,'Лист4'!$D:$AI,27,0)," ")</f>
        <v>6</v>
      </c>
      <c r="DE341" s="22">
        <f>IFERROR(VLOOKUP($C341,'Лист4'!$D:$AI,28,0)," ")</f>
        <v>4</v>
      </c>
      <c r="DF341" s="22">
        <f>IFERROR(VLOOKUP($C341,'Лист4'!$D:$AI,29,0)," ")</f>
        <v>6</v>
      </c>
      <c r="DG341" s="22">
        <f t="shared" si="3"/>
        <v>144</v>
      </c>
      <c r="DH341" s="22">
        <f>IFERROR(VLOOKUP($C341,'Лист4'!$D:$AI,32,0)," ")</f>
        <v>0.038</v>
      </c>
      <c r="DI341" s="22"/>
      <c r="DJ341" s="22"/>
      <c r="DK341" s="22"/>
      <c r="DL341" s="22"/>
      <c r="DM341" s="22"/>
      <c r="DN341" s="22"/>
      <c r="DO341" s="22"/>
      <c r="DP341" s="22"/>
      <c r="DQ341" s="22"/>
      <c r="DR341" s="22"/>
      <c r="DS341" s="22"/>
      <c r="DT341" s="22"/>
      <c r="DU341" s="22"/>
      <c r="DV341" s="22"/>
      <c r="DW341" s="22"/>
      <c r="DX341" s="22"/>
      <c r="DY341" s="22"/>
      <c r="DZ341" s="22"/>
      <c r="EA341" s="22"/>
      <c r="EB341" s="22"/>
      <c r="EC341" s="22"/>
      <c r="ED341" s="22"/>
      <c r="EE341" s="22"/>
      <c r="EF341" s="22"/>
      <c r="EG341" s="22"/>
      <c r="EH341" s="22"/>
      <c r="EI341" s="22"/>
      <c r="EJ341" s="22"/>
      <c r="EK341" s="22"/>
      <c r="EL341" s="22"/>
      <c r="EM341" s="43"/>
      <c r="EN341" s="43"/>
      <c r="EO341" s="43"/>
      <c r="EP341" s="43"/>
      <c r="EQ341" s="43"/>
      <c r="ER341" s="43"/>
      <c r="ES341" s="43"/>
      <c r="ET341" s="43"/>
      <c r="EU341" s="43"/>
      <c r="EV341" s="43"/>
      <c r="EW341" s="43"/>
      <c r="EX341" s="43"/>
      <c r="EY341" s="43"/>
      <c r="EZ341" s="43"/>
      <c r="FA341" s="43"/>
      <c r="FB341" s="43"/>
      <c r="FC341" s="43"/>
    </row>
    <row r="342" ht="18.0" customHeight="1">
      <c r="A342" s="2"/>
      <c r="B342" s="22" t="str">
        <f>IFERROR(VLOOKUP(C342,'Реестр'!C:AC,27,0)," ")</f>
        <v>Смарт-Сэйл</v>
      </c>
      <c r="C342" s="43" t="s">
        <v>5134</v>
      </c>
      <c r="D342" s="22" t="str">
        <f>IFERROR(VLOOKUP(C342,'Лист4'!D:P,13,0)," ")</f>
        <v>Алтея</v>
      </c>
      <c r="E342" s="22" t="str">
        <f>IF(OR(ISERROR(VLOOKUP(C342,'Актуальность'!A:B,2,0)), VLOOKUP(C342,'Актуальность'!A:B,2,0)=""), "Актуальный", VLOOKUP(C342,'Актуальность'!A:B,2,0))</f>
        <v>Вывод</v>
      </c>
      <c r="F342" s="43" t="str">
        <f>IFERROR(VLOOKUP(C342,'Актуальность'!A:C,3,0)," ")</f>
        <v>Низкомаржинальный товар</v>
      </c>
      <c r="G342" s="43"/>
      <c r="H342" s="22" t="s">
        <v>361</v>
      </c>
      <c r="I342" s="22" t="s">
        <v>4676</v>
      </c>
      <c r="J342" s="43"/>
      <c r="K342" s="43"/>
      <c r="L342" s="22" t="b">
        <f t="shared" ref="L342:R342" si="338">T342&lt;&gt;""</f>
        <v>1</v>
      </c>
      <c r="M342" s="22" t="b">
        <f t="shared" si="338"/>
        <v>1</v>
      </c>
      <c r="N342" s="22" t="b">
        <f t="shared" si="338"/>
        <v>1</v>
      </c>
      <c r="O342" s="22" t="b">
        <f t="shared" si="338"/>
        <v>1</v>
      </c>
      <c r="P342" s="22" t="b">
        <f t="shared" si="338"/>
        <v>0</v>
      </c>
      <c r="Q342" s="22" t="b">
        <f t="shared" si="338"/>
        <v>0</v>
      </c>
      <c r="R342" s="22" t="b">
        <f t="shared" si="338"/>
        <v>0</v>
      </c>
      <c r="S342" s="43"/>
      <c r="T342" s="43" t="str">
        <f>IFERROR(VLOOKUP( C342,'1С'!A:B,2,0)," ")</f>
        <v>AB101100415</v>
      </c>
      <c r="U342" s="22" t="str">
        <f>IFERROR(VLOOKUP(T342,'Лист4'!C:I,3,0)," ")</f>
        <v>frutalika_BAD_60caps</v>
      </c>
      <c r="V342" s="22" t="str">
        <f>IFERROR(VLOOKUP(T342,'Лист4'!C:I,4,0)," ")</f>
        <v>frutalika_BAD_60caps</v>
      </c>
      <c r="W342" s="22" t="str">
        <f>IFERROR(VLOOKUP(T342,'Лист4'!C:I,5,0)," ")</f>
        <v>frutalika_BAD_60caps</v>
      </c>
      <c r="X342" s="43" t="str">
        <f>IFERROR(VLOOKUP(T342,'Лист4'!C:I,7,0)," ")</f>
        <v/>
      </c>
      <c r="Y342" s="43" t="str">
        <f>IFERROR(VLOOKUP(T342,'Лист4'!C:I,6,0)," ")</f>
        <v/>
      </c>
      <c r="Z342" s="43"/>
      <c r="AA342" s="43"/>
      <c r="AB342" s="22">
        <v>2.23763016E8</v>
      </c>
      <c r="AC342" s="22">
        <v>1.548063119E9</v>
      </c>
      <c r="AD342" s="22">
        <v>1.0351541241E11</v>
      </c>
      <c r="AE342" s="22"/>
      <c r="AF342" s="22"/>
      <c r="AG342" s="43"/>
      <c r="AH342" s="43"/>
      <c r="AI342" s="43" t="str">
        <f>IFERROR(VLOOKUP(T342,'1С'!B:C,2,0)," ")</f>
        <v>БАД Фруталика, Алтея, 60 капсул</v>
      </c>
      <c r="AJ342" s="22" t="s">
        <v>5137</v>
      </c>
      <c r="AK342" s="22" t="s">
        <v>5138</v>
      </c>
      <c r="AL342" s="22" t="s">
        <v>5138</v>
      </c>
      <c r="AM342" s="43"/>
      <c r="AN342" s="43"/>
      <c r="AO342" s="43"/>
      <c r="AP342" s="43"/>
      <c r="AQ342" s="46" t="s">
        <v>5139</v>
      </c>
      <c r="AR342" s="46" t="s">
        <v>5140</v>
      </c>
      <c r="AS342" s="46" t="s">
        <v>5141</v>
      </c>
      <c r="AT342" s="43"/>
      <c r="AU342" s="43"/>
      <c r="AV342" s="43"/>
      <c r="AW342" s="43"/>
      <c r="AX342" s="22" t="s">
        <v>361</v>
      </c>
      <c r="AY342" s="22" t="s">
        <v>5138</v>
      </c>
      <c r="AZ342" s="22" t="s">
        <v>2534</v>
      </c>
      <c r="BA342" s="43"/>
      <c r="BB342" s="43"/>
      <c r="BC342" s="43"/>
      <c r="BD342" s="43"/>
      <c r="BE342" s="43"/>
      <c r="BF342" s="22">
        <f>IFERROR(VLOOKUP(C342,'спецификация'!B:D,3,0)," ")</f>
        <v>4627193453695</v>
      </c>
      <c r="BG342" s="22">
        <v>2.106909808E9</v>
      </c>
      <c r="BH342" s="22" t="str">
        <f>IFERROR(VLOOKUP(C342,'спецификация'!B:AA,5,0)," ")</f>
        <v>AM.01.06.01.003.R.000041.02.24 от 07.02.2024</v>
      </c>
      <c r="BI342" s="22"/>
      <c r="BJ342" s="22" t="str">
        <f>IFERROR(VLOOKUP(C342,'спецификация'!B:AA,6,0)," ")</f>
        <v>да</v>
      </c>
      <c r="BK342" s="43"/>
      <c r="BL342" s="43"/>
      <c r="BM342" s="22" t="str">
        <f>IFERROR(VLOOKUP(BF342,'спецификация'!D:H,5,0)," ")</f>
        <v>экстракт гарцинии камбоджийской, экстракт африканского манго, экстракт готу-кола, экстракт чабреца, экстракт асаи, экстракт голубики, экстракт худии гордона, антислеживающий агент: диоксид кремния аморфный (Е551), антислеживающий агент: магниевая соль стеариновой кислоты (Е470), пиколинат хрома, желатин*, оксид цинка*, целлюлоза микрокристаллическая (Е460).</v>
      </c>
      <c r="BN342" s="43"/>
      <c r="BO342" s="22" t="str">
        <f>IFERROR(VLOOKUP(C342,'спецификация'!B:AA,10,0)," ")</f>
        <v>взрослым по 1 капсуле 1 раз в день во время еды.
Продолжительность приема – 4  недели. При необходимости прием можно повторить через 2 месяца. </v>
      </c>
      <c r="BP342" s="43" t="str">
        <f>IFERROR(VLOOKUP(C342,'спецификация'!B:AA,11,0)," ")</f>
        <v>индивидуальная непереносимость компонентов продукта, беременность, кормление грудью. Перед применением рекомендуется проконсультироваться с врачом. </v>
      </c>
      <c r="BQ342" s="22" t="str">
        <f>IFERROR(VLOOKUP(C342,'спецификация'!B:AA,12,0)," ")</f>
        <v>хранить в сухом, защищенном от прямых солнечных лучей и недоступном для детей месте при температуре не выше +25°С.  </v>
      </c>
      <c r="BR342" s="22">
        <v>60.0</v>
      </c>
      <c r="BS342" s="22" t="s">
        <v>492</v>
      </c>
      <c r="BT342" s="22"/>
      <c r="BU342" s="22"/>
      <c r="BV342" s="22" t="s">
        <v>307</v>
      </c>
      <c r="BW342" s="44" t="str">
        <f>IFERROR(VLOOKUP(C342,'спецификация'!B:AA,16,0)," ")</f>
        <v>https://docs.google.com/document/d/1ugrv4klaPXoafgs1u8VnUefUaHLryZrV/edit</v>
      </c>
      <c r="BX342" s="43"/>
      <c r="BY342" s="43"/>
      <c r="BZ342" s="45" t="str">
        <f>IFERROR(VLOOKUP(BF342,'спецификация'!D:Y,22,0)," ")</f>
        <v/>
      </c>
      <c r="CA342" s="43"/>
      <c r="CB342" s="43"/>
      <c r="CC342" s="43"/>
      <c r="CD342" s="43"/>
      <c r="CE342" s="43"/>
      <c r="CF342" s="43"/>
      <c r="CG342" s="49">
        <f>IFERROR(VLOOKUP(C342,CC!A:D,4,0)," ")</f>
        <v>152.69</v>
      </c>
      <c r="CH342" s="22" t="str">
        <f>IFERROR(VLOOKUP(C342,'спецификация'!B:AA,19,0)," ")</f>
        <v>ООО "ЗДРАВФАРМ", 129626, Россия, г. Москва, вн. тер г., Муниципальный округ Алексеевский, ул. 1-я Мытищинская, д3, стр. 1, эт. 6, каб 216, ком. 42</v>
      </c>
      <c r="CI342" s="22"/>
      <c r="CJ342" s="22" t="s">
        <v>805</v>
      </c>
      <c r="CK342" s="22">
        <f>IFERROR(VLOOKUP(C342,CC!K:M,3,0)," ")</f>
        <v>90</v>
      </c>
      <c r="CL342" s="43"/>
      <c r="CM342" s="43"/>
      <c r="CN342" s="43"/>
      <c r="CO342" s="43"/>
      <c r="CP342" s="43"/>
      <c r="CQ342" s="43"/>
      <c r="CR342" s="43"/>
      <c r="CS342" s="43" t="b">
        <v>0</v>
      </c>
      <c r="CT342" s="43" t="b">
        <v>0</v>
      </c>
      <c r="CU342" s="43" t="b">
        <v>0</v>
      </c>
      <c r="CV342" s="43" t="b">
        <v>0</v>
      </c>
      <c r="CW342" s="43"/>
      <c r="CX342" s="43"/>
      <c r="CY342" s="43"/>
      <c r="CZ342" s="43"/>
      <c r="DA342" s="43"/>
      <c r="DB342" s="43"/>
      <c r="DC342" s="43"/>
      <c r="DD342" s="22">
        <f>IFERROR(VLOOKUP($C342,'Лист4'!$D:$AI,27,0)," ")</f>
        <v>3</v>
      </c>
      <c r="DE342" s="22">
        <f>IFERROR(VLOOKUP($C342,'Лист4'!$D:$AI,28,0)," ")</f>
        <v>9</v>
      </c>
      <c r="DF342" s="22">
        <f>IFERROR(VLOOKUP($C342,'Лист4'!$D:$AI,29,0)," ")</f>
        <v>3</v>
      </c>
      <c r="DG342" s="22">
        <f t="shared" si="3"/>
        <v>81</v>
      </c>
      <c r="DH342" s="22">
        <f>IFERROR(VLOOKUP($C342,'Лист4'!$D:$AI,32,0)," ")</f>
        <v>0.03</v>
      </c>
      <c r="DI342" s="22"/>
      <c r="DJ342" s="22"/>
      <c r="DK342" s="22"/>
      <c r="DL342" s="22"/>
      <c r="DM342" s="22"/>
      <c r="DN342" s="22"/>
      <c r="DO342" s="22"/>
      <c r="DP342" s="22"/>
      <c r="DQ342" s="22"/>
      <c r="DR342" s="22"/>
      <c r="DS342" s="22"/>
      <c r="DT342" s="22"/>
      <c r="DU342" s="22"/>
      <c r="DV342" s="22"/>
      <c r="DW342" s="22"/>
      <c r="DX342" s="22"/>
      <c r="DY342" s="22"/>
      <c r="DZ342" s="22"/>
      <c r="EA342" s="22"/>
      <c r="EB342" s="22"/>
      <c r="EC342" s="22"/>
      <c r="ED342" s="22"/>
      <c r="EE342" s="22"/>
      <c r="EF342" s="22"/>
      <c r="EG342" s="22"/>
      <c r="EH342" s="22"/>
      <c r="EI342" s="22"/>
      <c r="EJ342" s="22"/>
      <c r="EK342" s="22"/>
      <c r="EL342" s="22"/>
      <c r="EM342" s="43"/>
      <c r="EN342" s="43"/>
      <c r="EO342" s="43"/>
      <c r="EP342" s="43"/>
      <c r="EQ342" s="43"/>
      <c r="ER342" s="43"/>
      <c r="ES342" s="43"/>
      <c r="ET342" s="43"/>
      <c r="EU342" s="43"/>
      <c r="EV342" s="43"/>
      <c r="EW342" s="43"/>
      <c r="EX342" s="43"/>
      <c r="EY342" s="43"/>
      <c r="EZ342" s="43"/>
      <c r="FA342" s="43"/>
      <c r="FB342" s="43"/>
      <c r="FC342" s="43"/>
    </row>
    <row r="343" ht="18.0" customHeight="1">
      <c r="A343" s="2"/>
      <c r="B343" s="22" t="str">
        <f>IFERROR(VLOOKUP(C343,'Реестр'!C:AC,27,0)," ")</f>
        <v>Смарт-Сэйл</v>
      </c>
      <c r="C343" s="43" t="s">
        <v>5146</v>
      </c>
      <c r="D343" s="22" t="str">
        <f>IFERROR(VLOOKUP(C343,'Лист4'!D:P,13,0)," ")</f>
        <v>Алтея</v>
      </c>
      <c r="E343" s="22" t="str">
        <f>IF(OR(ISERROR(VLOOKUP(C343,'Актуальность'!A:B,2,0)), VLOOKUP(C343,'Актуальность'!A:B,2,0)=""), "Актуальный", VLOOKUP(C343,'Актуальность'!A:B,2,0))</f>
        <v>Вывод</v>
      </c>
      <c r="F343" s="43" t="str">
        <f>IFERROR(VLOOKUP(C343,'Актуальность'!A:C,3,0)," ")</f>
        <v>Низкомаржинальный товар</v>
      </c>
      <c r="G343" s="43"/>
      <c r="H343" s="22" t="s">
        <v>361</v>
      </c>
      <c r="I343" s="22" t="s">
        <v>4676</v>
      </c>
      <c r="J343" s="43"/>
      <c r="K343" s="43"/>
      <c r="L343" s="22" t="b">
        <f t="shared" ref="L343:R343" si="339">T343&lt;&gt;""</f>
        <v>1</v>
      </c>
      <c r="M343" s="22" t="b">
        <f t="shared" si="339"/>
        <v>1</v>
      </c>
      <c r="N343" s="22" t="b">
        <f t="shared" si="339"/>
        <v>1</v>
      </c>
      <c r="O343" s="22" t="b">
        <f t="shared" si="339"/>
        <v>1</v>
      </c>
      <c r="P343" s="22" t="b">
        <f t="shared" si="339"/>
        <v>0</v>
      </c>
      <c r="Q343" s="22" t="b">
        <f t="shared" si="339"/>
        <v>0</v>
      </c>
      <c r="R343" s="22" t="b">
        <f t="shared" si="339"/>
        <v>0</v>
      </c>
      <c r="S343" s="43"/>
      <c r="T343" s="43" t="str">
        <f>IFERROR(VLOOKUP( C343,'1С'!A:B,2,0)," ")</f>
        <v>AB101100413</v>
      </c>
      <c r="U343" s="22" t="str">
        <f>IFERROR(VLOOKUP(T343,'Лист4'!C:I,3,0)," ")</f>
        <v>chudofrukt_BAD_60caps</v>
      </c>
      <c r="V343" s="22" t="str">
        <f>IFERROR(VLOOKUP(T343,'Лист4'!C:I,4,0)," ")</f>
        <v>chudofrukt_BAD_60caps</v>
      </c>
      <c r="W343" s="22" t="str">
        <f>IFERROR(VLOOKUP(T343,'Лист4'!C:I,5,0)," ")</f>
        <v>chudofrukt_BAD_60caps</v>
      </c>
      <c r="X343" s="43" t="str">
        <f>IFERROR(VLOOKUP(T343,'Лист4'!C:I,7,0)," ")</f>
        <v/>
      </c>
      <c r="Y343" s="43" t="str">
        <f>IFERROR(VLOOKUP(T343,'Лист4'!C:I,6,0)," ")</f>
        <v/>
      </c>
      <c r="Z343" s="43"/>
      <c r="AA343" s="43"/>
      <c r="AB343" s="22">
        <v>1.67208205E8</v>
      </c>
      <c r="AC343" s="22">
        <v>1.08225213E9</v>
      </c>
      <c r="AD343" s="22">
        <v>1.0207657167E11</v>
      </c>
      <c r="AE343" s="22"/>
      <c r="AF343" s="22"/>
      <c r="AG343" s="43"/>
      <c r="AH343" s="43"/>
      <c r="AI343" s="43" t="str">
        <f>IFERROR(VLOOKUP(T343,'1С'!B:C,2,0)," ")</f>
        <v>БАД Чудофрукт, Алтея, 60 капсул</v>
      </c>
      <c r="AJ343" s="22" t="s">
        <v>5149</v>
      </c>
      <c r="AK343" s="22" t="s">
        <v>5150</v>
      </c>
      <c r="AL343" s="22" t="s">
        <v>5150</v>
      </c>
      <c r="AM343" s="43"/>
      <c r="AN343" s="43"/>
      <c r="AO343" s="43"/>
      <c r="AP343" s="43"/>
      <c r="AQ343" s="46" t="s">
        <v>5151</v>
      </c>
      <c r="AR343" s="46" t="s">
        <v>5152</v>
      </c>
      <c r="AS343" s="46" t="s">
        <v>5153</v>
      </c>
      <c r="AT343" s="43"/>
      <c r="AU343" s="43"/>
      <c r="AV343" s="43"/>
      <c r="AW343" s="43"/>
      <c r="AX343" s="22" t="s">
        <v>528</v>
      </c>
      <c r="AY343" s="22" t="s">
        <v>5150</v>
      </c>
      <c r="AZ343" s="22" t="s">
        <v>2534</v>
      </c>
      <c r="BA343" s="43"/>
      <c r="BB343" s="43"/>
      <c r="BC343" s="43"/>
      <c r="BD343" s="43"/>
      <c r="BE343" s="43"/>
      <c r="BF343" s="22">
        <f>IFERROR(VLOOKUP(C343,'спецификация'!B:D,3,0)," ")</f>
        <v>4610030631134</v>
      </c>
      <c r="BG343" s="22">
        <v>2.106909809E9</v>
      </c>
      <c r="BH343" s="22" t="str">
        <f>IFERROR(VLOOKUP(C343,'спецификация'!B:AA,5,0)," ")</f>
        <v/>
      </c>
      <c r="BI343" s="22"/>
      <c r="BJ343" s="22" t="str">
        <f>IFERROR(VLOOKUP(C343,'спецификация'!B:AA,6,0)," ")</f>
        <v/>
      </c>
      <c r="BK343" s="43"/>
      <c r="BL343" s="43"/>
      <c r="BM343" s="22" t="str">
        <f>IFERROR(VLOOKUP(BF343,'спецификация'!D:H,5,0)," ")</f>
        <v>L-карнитин, липоевая кислота, L-аргинин, экстракт сухой померанца плодов, кальциевая соль стеариновой кислоты (Е470, агент антислеживающий), диоксид кремния аморфный (551, агент антислеживающий), пиколинат хрома, целлюлоза микрокристаллическая (Е460, носитель), желатин.</v>
      </c>
      <c r="BN343" s="43"/>
      <c r="BO343" s="22" t="str">
        <f>IFERROR(VLOOKUP(C343,'спецификация'!B:AA,10,0)," ")</f>
        <v>взрослым по 1 капсуле 2 раза в день во время еды. Продолжительность приема - 1 месяц. При необходимости прием можно повторить</v>
      </c>
      <c r="BP343" s="43" t="str">
        <f>IFERROR(VLOOKUP(C343,'спецификация'!B:AA,11,0)," ")</f>
        <v>индивидуальная непереносимость компонентов продукта, беременность, кормление грудью. Перед применением рекомендуется проконсультироваться с врачом.</v>
      </c>
      <c r="BQ343" s="22" t="str">
        <f>IFERROR(VLOOKUP(C343,'спецификация'!B:AA,12,0)," ")</f>
        <v>хранить в сухом,защищенном от прямых солнечных лучей и недоступном для детей месте при температуре не выше +25°C</v>
      </c>
      <c r="BR343" s="22">
        <v>60.0</v>
      </c>
      <c r="BS343" s="22" t="s">
        <v>492</v>
      </c>
      <c r="BT343" s="22"/>
      <c r="BU343" s="22"/>
      <c r="BV343" s="22" t="s">
        <v>307</v>
      </c>
      <c r="BW343" s="44" t="str">
        <f>IFERROR(VLOOKUP(C343,'спецификация'!B:AA,16,0)," ")</f>
        <v>https://docs.google.com/document/d/15KVhRbS1K3HQ2oUPAIE7QTFnQPrzkh6u/edit?usp=drive_link&amp;ouid=104241417680089502627&amp;rtpof=true&amp;sd=true</v>
      </c>
      <c r="BX343" s="43"/>
      <c r="BY343" s="43"/>
      <c r="BZ343" s="45" t="str">
        <f>IFERROR(VLOOKUP(BF343,'спецификация'!D:Y,22,0)," ")</f>
        <v/>
      </c>
      <c r="CA343" s="43"/>
      <c r="CB343" s="43"/>
      <c r="CC343" s="43"/>
      <c r="CD343" s="43"/>
      <c r="CE343" s="43"/>
      <c r="CF343" s="43"/>
      <c r="CG343" s="49">
        <f>IFERROR(VLOOKUP(C343,CC!A:D,4,0)," ")</f>
        <v>145</v>
      </c>
      <c r="CH343" s="22" t="str">
        <f>IFERROR(VLOOKUP(C343,'спецификация'!B:AA,19,0)," ")</f>
        <v>ООО "ЗДРАВФАРМ", 129626, Россия, г. Москва, вн. тер г., Муниципальный округ Алексеевский, ул. 1-я Мытищинская, д3, стр. 1, эт. 6, каб 216, ком. 42</v>
      </c>
      <c r="CI343" s="22"/>
      <c r="CJ343" s="22" t="s">
        <v>5157</v>
      </c>
      <c r="CK343" s="22">
        <f>IFERROR(VLOOKUP(C343,CC!K:M,3,0)," ")</f>
        <v>90</v>
      </c>
      <c r="CL343" s="43"/>
      <c r="CM343" s="43"/>
      <c r="CN343" s="43"/>
      <c r="CO343" s="43"/>
      <c r="CP343" s="43"/>
      <c r="CQ343" s="43"/>
      <c r="CR343" s="43"/>
      <c r="CS343" s="43" t="b">
        <v>0</v>
      </c>
      <c r="CT343" s="43" t="b">
        <v>0</v>
      </c>
      <c r="CU343" s="43" t="b">
        <v>0</v>
      </c>
      <c r="CV343" s="43" t="b">
        <v>0</v>
      </c>
      <c r="CW343" s="43"/>
      <c r="CX343" s="43"/>
      <c r="CY343" s="43"/>
      <c r="CZ343" s="43"/>
      <c r="DA343" s="43"/>
      <c r="DB343" s="43"/>
      <c r="DC343" s="43"/>
      <c r="DD343" s="22">
        <f>IFERROR(VLOOKUP($C343,'Лист4'!$D:$AI,27,0)," ")</f>
        <v>5</v>
      </c>
      <c r="DE343" s="22">
        <f>IFERROR(VLOOKUP($C343,'Лист4'!$D:$AI,28,0)," ")</f>
        <v>13</v>
      </c>
      <c r="DF343" s="22">
        <f>IFERROR(VLOOKUP($C343,'Лист4'!$D:$AI,29,0)," ")</f>
        <v>5</v>
      </c>
      <c r="DG343" s="22">
        <f t="shared" si="3"/>
        <v>325</v>
      </c>
      <c r="DH343" s="22">
        <f>IFERROR(VLOOKUP($C343,'Лист4'!$D:$AI,32,0)," ")</f>
        <v>0.03</v>
      </c>
      <c r="DI343" s="22"/>
      <c r="DJ343" s="22"/>
      <c r="DK343" s="22"/>
      <c r="DL343" s="22"/>
      <c r="DM343" s="22"/>
      <c r="DN343" s="22"/>
      <c r="DO343" s="22"/>
      <c r="DP343" s="22"/>
      <c r="DQ343" s="22"/>
      <c r="DR343" s="22"/>
      <c r="DS343" s="22"/>
      <c r="DT343" s="22"/>
      <c r="DU343" s="22"/>
      <c r="DV343" s="22"/>
      <c r="DW343" s="22"/>
      <c r="DX343" s="22"/>
      <c r="DY343" s="22"/>
      <c r="DZ343" s="22"/>
      <c r="EA343" s="22"/>
      <c r="EB343" s="22"/>
      <c r="EC343" s="22"/>
      <c r="ED343" s="22"/>
      <c r="EE343" s="22"/>
      <c r="EF343" s="22"/>
      <c r="EG343" s="22"/>
      <c r="EH343" s="22"/>
      <c r="EI343" s="22"/>
      <c r="EJ343" s="22"/>
      <c r="EK343" s="22"/>
      <c r="EL343" s="22"/>
      <c r="EM343" s="43"/>
      <c r="EN343" s="43"/>
      <c r="EO343" s="43"/>
      <c r="EP343" s="43"/>
      <c r="EQ343" s="43"/>
      <c r="ER343" s="43"/>
      <c r="ES343" s="43"/>
      <c r="ET343" s="43"/>
      <c r="EU343" s="43"/>
      <c r="EV343" s="43"/>
      <c r="EW343" s="43"/>
      <c r="EX343" s="43"/>
      <c r="EY343" s="43"/>
      <c r="EZ343" s="43"/>
      <c r="FA343" s="43"/>
      <c r="FB343" s="43"/>
      <c r="FC343" s="43"/>
    </row>
    <row r="344" ht="18.0" customHeight="1">
      <c r="A344" s="2"/>
      <c r="B344" s="22" t="str">
        <f>IFERROR(VLOOKUP(C344,'Реестр'!C:AC,27,0)," ")</f>
        <v>Смарт-Сэйл</v>
      </c>
      <c r="C344" s="43" t="s">
        <v>5158</v>
      </c>
      <c r="D344" s="22" t="str">
        <f>IFERROR(VLOOKUP(C344,'Лист4'!D:P,13,0)," ")</f>
        <v>CPA</v>
      </c>
      <c r="E344" s="22" t="str">
        <f>IF(OR(ISERROR(VLOOKUP(C344,'Актуальность'!A:B,2,0)), VLOOKUP(C344,'Актуальность'!A:B,2,0)=""), "Актуальный", VLOOKUP(C344,'Актуальность'!A:B,2,0))</f>
        <v>Актуальный</v>
      </c>
      <c r="F344" s="43" t="str">
        <f>IFERROR(VLOOKUP(C344,'Актуальность'!A:C,3,0)," ")</f>
        <v/>
      </c>
      <c r="G344" s="43"/>
      <c r="H344" s="22" t="s">
        <v>2663</v>
      </c>
      <c r="I344" s="22" t="s">
        <v>2860</v>
      </c>
      <c r="J344" s="43"/>
      <c r="K344" s="43"/>
      <c r="L344" s="22" t="b">
        <f t="shared" ref="L344:R344" si="340">T344&lt;&gt;""</f>
        <v>1</v>
      </c>
      <c r="M344" s="22" t="b">
        <f t="shared" si="340"/>
        <v>1</v>
      </c>
      <c r="N344" s="22" t="b">
        <f t="shared" si="340"/>
        <v>1</v>
      </c>
      <c r="O344" s="22" t="b">
        <f t="shared" si="340"/>
        <v>1</v>
      </c>
      <c r="P344" s="22" t="b">
        <f t="shared" si="340"/>
        <v>0</v>
      </c>
      <c r="Q344" s="22" t="b">
        <f t="shared" si="340"/>
        <v>0</v>
      </c>
      <c r="R344" s="22" t="b">
        <f t="shared" si="340"/>
        <v>0</v>
      </c>
      <c r="S344" s="43"/>
      <c r="T344" s="43" t="str">
        <f>IFERROR(VLOOKUP( C344,'1С'!A:B,2,0)," ")</f>
        <v>CC101100409</v>
      </c>
      <c r="U344" s="22" t="str">
        <f>IFERROR(VLOOKUP(T344,'Лист4'!C:I,3,0)," ")</f>
        <v>dolgar</v>
      </c>
      <c r="V344" s="22" t="str">
        <f>IFERROR(VLOOKUP(T344,'Лист4'!C:I,4,0)," ")</f>
        <v>dolgar</v>
      </c>
      <c r="W344" s="22" t="str">
        <f>IFERROR(VLOOKUP(T344,'Лист4'!C:I,5,0)," ")</f>
        <v>dolgar</v>
      </c>
      <c r="X344" s="43" t="str">
        <f>IFERROR(VLOOKUP(T344,'Лист4'!C:I,7,0)," ")</f>
        <v/>
      </c>
      <c r="Y344" s="43" t="str">
        <f>IFERROR(VLOOKUP(T344,'Лист4'!C:I,6,0)," ")</f>
        <v/>
      </c>
      <c r="Z344" s="43"/>
      <c r="AA344" s="43"/>
      <c r="AB344" s="22">
        <v>1.895363E7</v>
      </c>
      <c r="AC344" s="22">
        <v>2.90413438E8</v>
      </c>
      <c r="AD344" s="22">
        <v>1.03340894535E11</v>
      </c>
      <c r="AE344" s="22"/>
      <c r="AF344" s="22"/>
      <c r="AG344" s="43"/>
      <c r="AH344" s="43"/>
      <c r="AI344" s="43" t="str">
        <f>IFERROR(VLOOKUP(T344,'1С'!B:C,2,0)," ")</f>
        <v>Мазь от грибка ногтей Долгар, CPA, 15 мл</v>
      </c>
      <c r="AJ344" s="22" t="s">
        <v>5161</v>
      </c>
      <c r="AK344" s="22" t="s">
        <v>5162</v>
      </c>
      <c r="AL344" s="22" t="s">
        <v>5163</v>
      </c>
      <c r="AM344" s="43"/>
      <c r="AN344" s="43"/>
      <c r="AO344" s="43"/>
      <c r="AP344" s="43"/>
      <c r="AQ344" s="46" t="s">
        <v>5164</v>
      </c>
      <c r="AR344" s="46" t="s">
        <v>5165</v>
      </c>
      <c r="AS344" s="46" t="s">
        <v>5166</v>
      </c>
      <c r="AT344" s="43"/>
      <c r="AU344" s="43"/>
      <c r="AV344" s="43"/>
      <c r="AW344" s="43"/>
      <c r="AX344" s="22" t="s">
        <v>594</v>
      </c>
      <c r="AY344" s="22" t="s">
        <v>5162</v>
      </c>
      <c r="AZ344" s="22" t="s">
        <v>2672</v>
      </c>
      <c r="BA344" s="43"/>
      <c r="BB344" s="43"/>
      <c r="BC344" s="43"/>
      <c r="BD344" s="43"/>
      <c r="BE344" s="43"/>
      <c r="BF344" s="22">
        <f>IFERROR(VLOOKUP(C344,'спецификация'!B:D,3,0)," ")</f>
        <v>4631153669927</v>
      </c>
      <c r="BG344" s="22">
        <v>3.30499E9</v>
      </c>
      <c r="BH344" s="22" t="str">
        <f>IFERROR(VLOOKUP(C344,'спецификация'!B:AA,5,0)," ")</f>
        <v>ЕАЭС N RU Д-RU.РА09.В.60972/24 от 18.10.2024 действует до 17.10.2029</v>
      </c>
      <c r="BI344" s="22"/>
      <c r="BJ344" s="22" t="str">
        <f>IFERROR(VLOOKUP(C344,'спецификация'!B:AA,6,0)," ")</f>
        <v/>
      </c>
      <c r="BK344" s="43"/>
      <c r="BL344" s="43"/>
      <c r="BM344" s="22" t="str">
        <f>IFERROR(VLOOKUP(BF344,'спецификация'!D:H,5,0)," ")</f>
        <v>вода, пропиленгликоль, триклозан, коллоидное серебро, полифенолы граната, кордицепс, экстракт прополиса, вытяжка из плодов черного ореха, экстракт мяты перечной, экстракт календулы, экстракт чистотела, экстракт листа лопуха, экстракт индейского лука, экстракт листьев эхинацеи, консервант.</v>
      </c>
      <c r="BN344" s="43"/>
      <c r="BO344" s="22" t="str">
        <f>IFERROR(VLOOKUP(C344,'спецификация'!B:AA,10,0)," ")</f>
        <v/>
      </c>
      <c r="BP344" s="43" t="str">
        <f>IFERROR(VLOOKUP(C344,'спецификация'!B:AA,11,0),"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44" s="22" t="str">
        <f>IFERROR(VLOOKUP(C344,'спецификация'!B:AA,12,0)," ")</f>
        <v> хранить при температуре до 25°C, избегая попадания прямых солнечных лучей.
</v>
      </c>
      <c r="BR344" s="22">
        <v>15.0</v>
      </c>
      <c r="BS344" s="22" t="s">
        <v>139</v>
      </c>
      <c r="BT344" s="22"/>
      <c r="BU344" s="22"/>
      <c r="BV344" s="22" t="s">
        <v>307</v>
      </c>
      <c r="BW344" s="44" t="str">
        <f>IFERROR(VLOOKUP(C344,'спецификация'!B:AA,16,0)," ")</f>
        <v>https://docs.google.com/document/d/1O0D3KaR9O-x0-0V5LAUtW-hUnaCC7cBVMSlSgE-1-9k/edit</v>
      </c>
      <c r="BX344" s="43"/>
      <c r="BY344" s="43"/>
      <c r="BZ344" s="45" t="str">
        <f>IFERROR(VLOOKUP(BF344,'спецификация'!D:Y,22,0)," ")</f>
        <v/>
      </c>
      <c r="CA344" s="43"/>
      <c r="CB344" s="43"/>
      <c r="CC344" s="43"/>
      <c r="CD344" s="43"/>
      <c r="CE344" s="43"/>
      <c r="CF344" s="43"/>
      <c r="CG344" s="49">
        <f>IFERROR(VLOOKUP(C344,CC!A:D,4,0)," ")</f>
        <v>99.55</v>
      </c>
      <c r="CH344" s="22" t="str">
        <f>IFERROR(VLOOKUP(C344,'спецификация'!B:AA,19,0)," ")</f>
        <v>ООО «Восток Плюс», 107113, г. Москва, Сокольническая пл., дом 4а, этаж 3, пом.IV, комн.11</v>
      </c>
      <c r="CI344" s="22"/>
      <c r="CJ344" s="43"/>
      <c r="CK344" s="22">
        <f>IFERROR(VLOOKUP(C344,CC!K:M,3,0)," ")</f>
        <v>45</v>
      </c>
      <c r="CL344" s="43"/>
      <c r="CM344" s="43"/>
      <c r="CN344" s="43"/>
      <c r="CO344" s="43"/>
      <c r="CP344" s="43"/>
      <c r="CQ344" s="43"/>
      <c r="CR344" s="43"/>
      <c r="CS344" s="43" t="b">
        <v>0</v>
      </c>
      <c r="CT344" s="43" t="b">
        <v>0</v>
      </c>
      <c r="CU344" s="43" t="b">
        <v>0</v>
      </c>
      <c r="CV344" s="43" t="b">
        <v>0</v>
      </c>
      <c r="CW344" s="43"/>
      <c r="CX344" s="43"/>
      <c r="CY344" s="43"/>
      <c r="CZ344" s="43"/>
      <c r="DA344" s="43"/>
      <c r="DB344" s="43"/>
      <c r="DC344" s="43"/>
      <c r="DD344" s="22">
        <f>IFERROR(VLOOKUP($C344,'Лист4'!$D:$AI,27,0)," ")</f>
        <v>3</v>
      </c>
      <c r="DE344" s="22">
        <f>IFERROR(VLOOKUP($C344,'Лист4'!$D:$AI,28,0)," ")</f>
        <v>3</v>
      </c>
      <c r="DF344" s="22">
        <f>IFERROR(VLOOKUP($C344,'Лист4'!$D:$AI,29,0)," ")</f>
        <v>3</v>
      </c>
      <c r="DG344" s="22">
        <f t="shared" si="3"/>
        <v>27</v>
      </c>
      <c r="DH344" s="22">
        <f>IFERROR(VLOOKUP($C344,'Лист4'!$D:$AI,32,0)," ")</f>
        <v>0.065</v>
      </c>
      <c r="DI344" s="22"/>
      <c r="DJ344" s="22"/>
      <c r="DK344" s="22"/>
      <c r="DL344" s="22"/>
      <c r="DM344" s="22"/>
      <c r="DN344" s="22"/>
      <c r="DO344" s="22"/>
      <c r="DP344" s="22"/>
      <c r="DQ344" s="22"/>
      <c r="DR344" s="22"/>
      <c r="DS344" s="22"/>
      <c r="DT344" s="22"/>
      <c r="DU344" s="22"/>
      <c r="DV344" s="22"/>
      <c r="DW344" s="22"/>
      <c r="DX344" s="22"/>
      <c r="DY344" s="22"/>
      <c r="DZ344" s="22"/>
      <c r="EA344" s="22"/>
      <c r="EB344" s="22"/>
      <c r="EC344" s="22"/>
      <c r="ED344" s="22"/>
      <c r="EE344" s="22"/>
      <c r="EF344" s="22"/>
      <c r="EG344" s="22"/>
      <c r="EH344" s="22"/>
      <c r="EI344" s="22"/>
      <c r="EJ344" s="22"/>
      <c r="EK344" s="22"/>
      <c r="EL344" s="22"/>
      <c r="EM344" s="43"/>
      <c r="EN344" s="43"/>
      <c r="EO344" s="43"/>
      <c r="EP344" s="43"/>
      <c r="EQ344" s="43"/>
      <c r="ER344" s="43"/>
      <c r="ES344" s="43"/>
      <c r="ET344" s="43"/>
      <c r="EU344" s="43"/>
      <c r="EV344" s="43"/>
      <c r="EW344" s="43"/>
      <c r="EX344" s="43"/>
      <c r="EY344" s="43"/>
      <c r="EZ344" s="43"/>
      <c r="FA344" s="43"/>
      <c r="FB344" s="43"/>
      <c r="FC344" s="43"/>
    </row>
    <row r="345" ht="18.0" customHeight="1">
      <c r="A345" s="2"/>
      <c r="B345" s="22" t="str">
        <f>IFERROR(VLOOKUP(C345,'Реестр'!C:AC,27,0)," ")</f>
        <v>Смарт-Сэйл</v>
      </c>
      <c r="C345" s="43" t="s">
        <v>5170</v>
      </c>
      <c r="D345" s="22" t="str">
        <f>IFERROR(VLOOKUP(C345,'Лист4'!D:P,13,0)," ")</f>
        <v>Алтея</v>
      </c>
      <c r="E345" s="22" t="str">
        <f>IF(OR(ISERROR(VLOOKUP(C345,'Актуальность'!A:B,2,0)), VLOOKUP(C345,'Актуальность'!A:B,2,0)=""), "Актуальный", VLOOKUP(C345,'Актуальность'!A:B,2,0))</f>
        <v>Вывод</v>
      </c>
      <c r="F345" s="43" t="str">
        <f>IFERROR(VLOOKUP(C345,'Актуальность'!A:C,3,0)," ")</f>
        <v>Неконкурентный товар</v>
      </c>
      <c r="G345" s="43"/>
      <c r="H345" s="22" t="s">
        <v>2743</v>
      </c>
      <c r="I345" s="22" t="s">
        <v>1821</v>
      </c>
      <c r="J345" s="43"/>
      <c r="K345" s="43"/>
      <c r="L345" s="22" t="b">
        <f t="shared" ref="L345:R345" si="341">T345&lt;&gt;""</f>
        <v>1</v>
      </c>
      <c r="M345" s="22" t="b">
        <f t="shared" si="341"/>
        <v>1</v>
      </c>
      <c r="N345" s="22" t="b">
        <f t="shared" si="341"/>
        <v>1</v>
      </c>
      <c r="O345" s="22" t="b">
        <f t="shared" si="341"/>
        <v>1</v>
      </c>
      <c r="P345" s="22" t="b">
        <f t="shared" si="341"/>
        <v>1</v>
      </c>
      <c r="Q345" s="22" t="b">
        <f t="shared" si="341"/>
        <v>1</v>
      </c>
      <c r="R345" s="22" t="b">
        <f t="shared" si="341"/>
        <v>1</v>
      </c>
      <c r="S345" s="43"/>
      <c r="T345" s="43" t="str">
        <f>IFERROR(VLOOKUP( C345,'1С'!A:B,2,0)," ")</f>
        <v>AC101100449</v>
      </c>
      <c r="U345" s="22" t="str">
        <f>IFERROR(VLOOKUP(T345,'Лист4'!C:I,3,0)," ")</f>
        <v>gel_parfum_tabacco_vanille_450ml</v>
      </c>
      <c r="V345" s="22" t="str">
        <f>IFERROR(VLOOKUP(T345,'Лист4'!C:I,4,0)," ")</f>
        <v>gel_parfum_tabacco_vanille_450ml</v>
      </c>
      <c r="W345" s="22" t="str">
        <f>IFERROR(VLOOKUP(T345,'Лист4'!C:I,5,0)," ")</f>
        <v>gel_parfum_tabacco_vanille_450ml</v>
      </c>
      <c r="X345" s="43" t="str">
        <f>IFERROR(VLOOKUP(T345,'Лист4'!C:I,7,0)," ")</f>
        <v>gel_parfum_tabacco_vanille_450ml</v>
      </c>
      <c r="Y345" s="43" t="str">
        <f>IFERROR(VLOOKUP(T345,'Лист4'!C:I,6,0)," ")</f>
        <v>gel_parfum_tabacco_vanille_450ml</v>
      </c>
      <c r="Z345" s="22" t="s">
        <v>5170</v>
      </c>
      <c r="AA345" s="43"/>
      <c r="AB345" s="22">
        <v>3.02594163E8</v>
      </c>
      <c r="AC345" s="22">
        <v>1.793172927E9</v>
      </c>
      <c r="AD345" s="22">
        <v>1.03701553227E11</v>
      </c>
      <c r="AE345" s="22">
        <v>9.9000081276E10</v>
      </c>
      <c r="AF345" s="22" t="s">
        <v>5173</v>
      </c>
      <c r="AG345" s="22" t="s">
        <v>5174</v>
      </c>
      <c r="AH345" s="43"/>
      <c r="AI345" s="43" t="str">
        <f>IFERROR(VLOOKUP(T345,'1С'!B:C,2,0)," ")</f>
        <v>Гель для душа Tobacco Vanille, Алтея,450 мл</v>
      </c>
      <c r="AJ345" s="22" t="s">
        <v>5175</v>
      </c>
      <c r="AK345" s="22" t="s">
        <v>5176</v>
      </c>
      <c r="AL345" s="22" t="s">
        <v>5176</v>
      </c>
      <c r="AM345" s="22" t="s">
        <v>5177</v>
      </c>
      <c r="AN345" s="22" t="s">
        <v>5178</v>
      </c>
      <c r="AO345" s="22" t="s">
        <v>5179</v>
      </c>
      <c r="AP345" s="43"/>
      <c r="AQ345" s="46" t="s">
        <v>5180</v>
      </c>
      <c r="AR345" s="46" t="s">
        <v>5181</v>
      </c>
      <c r="AS345" s="46" t="s">
        <v>5182</v>
      </c>
      <c r="AT345" s="46" t="s">
        <v>5183</v>
      </c>
      <c r="AU345" s="46" t="s">
        <v>5184</v>
      </c>
      <c r="AV345" s="46" t="s">
        <v>5185</v>
      </c>
      <c r="AW345" s="43"/>
      <c r="AX345" s="22" t="s">
        <v>1832</v>
      </c>
      <c r="AY345" s="22" t="s">
        <v>5176</v>
      </c>
      <c r="AZ345" s="22" t="s">
        <v>1833</v>
      </c>
      <c r="BA345" s="22" t="s">
        <v>1834</v>
      </c>
      <c r="BB345" s="22" t="s">
        <v>1835</v>
      </c>
      <c r="BC345" s="22" t="s">
        <v>5186</v>
      </c>
      <c r="BD345" s="43"/>
      <c r="BE345" s="43"/>
      <c r="BF345" s="22">
        <f>IFERROR(VLOOKUP(C345,'спецификация'!B:D,3,0)," ")</f>
        <v>4603320465267</v>
      </c>
      <c r="BG345" s="22">
        <v>3305.0</v>
      </c>
      <c r="BH345" s="22" t="str">
        <f>IFERROR(VLOOKUP(C345,'спецификация'!B:AA,5,0)," ")</f>
        <v/>
      </c>
      <c r="BI345" s="22"/>
      <c r="BJ345" s="22" t="str">
        <f>IFERROR(VLOOKUP(C345,'спецификация'!B:AA,6,0)," ")</f>
        <v>нет</v>
      </c>
      <c r="BK345" s="43"/>
      <c r="BL345" s="43"/>
      <c r="BM345" s="22" t="str">
        <f>IFERROR(VLOOKUP(BF345,'спецификация'!D:H,5,0)," ")</f>
        <v>Aqua, Sodium Laureth Sulfate, Cocamidopropyl Betaine, Sodium Chloride, Glycerin, Fragrance, Decyl Glucoside, Styrene/Acrylates Copolymer, Sweet almond oil, polyflyceryl-4 Esters, avocado oil, Methylchloroisothiazolinone, Aloe Barbadensis Leaf Juice, Disodium Ethylenediaminetetraacetic Acid, Citric Acid, Methylisothiazolinone. </v>
      </c>
      <c r="BN345" s="43"/>
      <c r="BO345" s="22" t="str">
        <f>IFERROR(VLOOKUP(C345,'спецификация'!B:AA,10,0)," ")</f>
        <v>Нанесите гель для душа на влажную кожу, массажными движениями вспеньте и помассируйте, а затем тщательно смойте. </v>
      </c>
      <c r="BP345" s="43" t="str">
        <f>IFERROR(VLOOKUP(C345,'спецификация'!B:AA,11,0)," ")</f>
        <v>Меры предосторожности: не наносите на поврежденную кожу и избегайте попадания в глаза. При попадании в глаза тщательно промойте водой.</v>
      </c>
      <c r="BQ345" s="22" t="str">
        <f>IFERROR(VLOOKUP(C345,'спецификация'!B:AA,12,0)," ")</f>
        <v>хранить при температуре не ниже 0°С и не выше 25°</v>
      </c>
      <c r="BR345" s="22">
        <v>450.0</v>
      </c>
      <c r="BS345" s="22" t="s">
        <v>139</v>
      </c>
      <c r="BT345" s="22"/>
      <c r="BU345" s="22"/>
      <c r="BV345" s="22" t="s">
        <v>727</v>
      </c>
      <c r="BW345" s="44" t="str">
        <f>IFERROR(VLOOKUP(C345,'спецификация'!B:AA,16,0)," ")</f>
        <v>https://drive.google.com/drive/u/4/folders/1uVw6kmQ9Ss01vrlH3uWNVeWoa-uBLBXV</v>
      </c>
      <c r="BX345" s="43"/>
      <c r="BY345" s="43"/>
      <c r="BZ345" s="45" t="str">
        <f>IFERROR(VLOOKUP(BF345,'спецификация'!D:Y,22,0)," ")</f>
        <v/>
      </c>
      <c r="CA345" s="43"/>
      <c r="CB345" s="43"/>
      <c r="CC345" s="43"/>
      <c r="CD345" s="43"/>
      <c r="CE345" s="43"/>
      <c r="CF345" s="43"/>
      <c r="CG345" s="49">
        <f>IFERROR(VLOOKUP(C345,CC!A:D,4,0)," ")</f>
        <v>114.2</v>
      </c>
      <c r="CH345" s="22" t="str">
        <f>IFERROR(VLOOKUP(C345,'спецификация'!B:AA,19,0)," ")</f>
        <v>ООО "Марвел"</v>
      </c>
      <c r="CI345" s="22"/>
      <c r="CJ345" s="22" t="s">
        <v>2944</v>
      </c>
      <c r="CK345" s="22">
        <f>IFERROR(VLOOKUP(C345,CC!K:M,3,0)," ")</f>
        <v>60</v>
      </c>
      <c r="CL345" s="43"/>
      <c r="CM345" s="43"/>
      <c r="CN345" s="43"/>
      <c r="CO345" s="43"/>
      <c r="CP345" s="43"/>
      <c r="CQ345" s="43"/>
      <c r="CR345" s="43"/>
      <c r="CS345" s="43" t="b">
        <v>0</v>
      </c>
      <c r="CT345" s="43" t="b">
        <v>0</v>
      </c>
      <c r="CU345" s="43" t="b">
        <v>0</v>
      </c>
      <c r="CV345" s="43" t="b">
        <v>0</v>
      </c>
      <c r="CW345" s="43"/>
      <c r="CX345" s="43"/>
      <c r="CY345" s="43"/>
      <c r="CZ345" s="43"/>
      <c r="DA345" s="43"/>
      <c r="DB345" s="43"/>
      <c r="DC345" s="43"/>
      <c r="DD345" s="22">
        <f>IFERROR(VLOOKUP($C345,'Лист4'!$D:$AI,27,0)," ")</f>
        <v>6</v>
      </c>
      <c r="DE345" s="22">
        <f>IFERROR(VLOOKUP($C345,'Лист4'!$D:$AI,28,0)," ")</f>
        <v>21</v>
      </c>
      <c r="DF345" s="22">
        <f>IFERROR(VLOOKUP($C345,'Лист4'!$D:$AI,29,0)," ")</f>
        <v>6</v>
      </c>
      <c r="DG345" s="22">
        <f t="shared" si="3"/>
        <v>756</v>
      </c>
      <c r="DH345" s="22">
        <f>IFERROR(VLOOKUP($C345,'Лист4'!$D:$AI,32,0)," ")</f>
        <v>0.476</v>
      </c>
      <c r="DI345" s="22"/>
      <c r="DJ345" s="22"/>
      <c r="DK345" s="22"/>
      <c r="DL345" s="22"/>
      <c r="DM345" s="22"/>
      <c r="DN345" s="22"/>
      <c r="DO345" s="22"/>
      <c r="DP345" s="22"/>
      <c r="DQ345" s="22"/>
      <c r="DR345" s="22"/>
      <c r="DS345" s="22"/>
      <c r="DT345" s="22"/>
      <c r="DU345" s="22"/>
      <c r="DV345" s="22"/>
      <c r="DW345" s="22"/>
      <c r="DX345" s="22"/>
      <c r="DY345" s="22"/>
      <c r="DZ345" s="22"/>
      <c r="EA345" s="22"/>
      <c r="EB345" s="22"/>
      <c r="EC345" s="22"/>
      <c r="ED345" s="22"/>
      <c r="EE345" s="22"/>
      <c r="EF345" s="22"/>
      <c r="EG345" s="22"/>
      <c r="EH345" s="22"/>
      <c r="EI345" s="22"/>
      <c r="EJ345" s="22"/>
      <c r="EK345" s="22"/>
      <c r="EL345" s="22"/>
      <c r="EM345" s="43"/>
      <c r="EN345" s="43"/>
      <c r="EO345" s="43"/>
      <c r="EP345" s="43"/>
      <c r="EQ345" s="43"/>
      <c r="ER345" s="43"/>
      <c r="ES345" s="43"/>
      <c r="ET345" s="43"/>
      <c r="EU345" s="43"/>
      <c r="EV345" s="43"/>
      <c r="EW345" s="43"/>
      <c r="EX345" s="43"/>
      <c r="EY345" s="43"/>
      <c r="EZ345" s="43"/>
      <c r="FA345" s="43"/>
      <c r="FB345" s="43"/>
      <c r="FC345" s="43"/>
    </row>
    <row r="346" ht="18.0" customHeight="1">
      <c r="A346" s="2"/>
      <c r="B346" s="22" t="str">
        <f>IFERROR(VLOOKUP(C346,'Реестр'!C:AC,27,0)," ")</f>
        <v>Смарт-Сэйл</v>
      </c>
      <c r="C346" s="43" t="s">
        <v>5192</v>
      </c>
      <c r="D346" s="22" t="str">
        <f>IFERROR(VLOOKUP(C346,'Лист4'!D:P,13,0)," ")</f>
        <v>CPA</v>
      </c>
      <c r="E346" s="22" t="str">
        <f>IF(OR(ISERROR(VLOOKUP(C346,'Актуальность'!A:B,2,0)), VLOOKUP(C346,'Актуальность'!A:B,2,0)=""), "Актуальный", VLOOKUP(C346,'Актуальность'!A:B,2,0))</f>
        <v>Актуальный</v>
      </c>
      <c r="F346" s="43" t="str">
        <f>IFERROR(VLOOKUP(C346,'Актуальность'!A:C,3,0)," ")</f>
        <v/>
      </c>
      <c r="G346" s="43"/>
      <c r="H346" s="22" t="s">
        <v>2663</v>
      </c>
      <c r="I346" s="22" t="s">
        <v>3437</v>
      </c>
      <c r="J346" s="43"/>
      <c r="K346" s="43"/>
      <c r="L346" s="22" t="b">
        <f t="shared" ref="L346:R346" si="342">T346&lt;&gt;""</f>
        <v>1</v>
      </c>
      <c r="M346" s="22" t="b">
        <f t="shared" si="342"/>
        <v>1</v>
      </c>
      <c r="N346" s="22" t="b">
        <f t="shared" si="342"/>
        <v>1</v>
      </c>
      <c r="O346" s="22" t="b">
        <f t="shared" si="342"/>
        <v>1</v>
      </c>
      <c r="P346" s="22" t="b">
        <f t="shared" si="342"/>
        <v>1</v>
      </c>
      <c r="Q346" s="22" t="b">
        <f t="shared" si="342"/>
        <v>1</v>
      </c>
      <c r="R346" s="22" t="b">
        <f t="shared" si="342"/>
        <v>0</v>
      </c>
      <c r="S346" s="43"/>
      <c r="T346" s="43" t="str">
        <f>IFERROR(VLOOKUP( C346,'1С'!A:B,2,0)," ")</f>
        <v>CC101100448</v>
      </c>
      <c r="U346" s="22" t="str">
        <f>IFERROR(VLOOKUP(T346,'Лист4'!C:I,3,0)," ")</f>
        <v> </v>
      </c>
      <c r="V346" s="22" t="str">
        <f>IFERROR(VLOOKUP(T346,'Лист4'!C:I,4,0)," ")</f>
        <v> </v>
      </c>
      <c r="W346" s="22" t="str">
        <f>IFERROR(VLOOKUP(T346,'Лист4'!C:I,5,0)," ")</f>
        <v> </v>
      </c>
      <c r="X346" s="43" t="str">
        <f>IFERROR(VLOOKUP(T346,'Лист4'!C:I,7,0)," ")</f>
        <v> </v>
      </c>
      <c r="Y346" s="43" t="str">
        <f>IFERROR(VLOOKUP(T346,'Лист4'!C:I,6,0)," ")</f>
        <v> </v>
      </c>
      <c r="Z346" s="43"/>
      <c r="AA346" s="43"/>
      <c r="AB346" s="22">
        <v>4.4552189E7</v>
      </c>
      <c r="AC346" s="22">
        <v>3.59068917E8</v>
      </c>
      <c r="AD346" s="22">
        <v>1.01736417809E11</v>
      </c>
      <c r="AE346" s="22"/>
      <c r="AF346" s="22"/>
      <c r="AG346" s="43"/>
      <c r="AH346" s="43"/>
      <c r="AI346" s="43" t="str">
        <f>IFERROR(VLOOKUP(T346,'1С'!B:C,2,0)," ")</f>
        <v>Крем от варикоза Дар дракона, CPA, 30 мл</v>
      </c>
      <c r="AJ346" s="22" t="s">
        <v>5194</v>
      </c>
      <c r="AK346" s="22" t="s">
        <v>3601</v>
      </c>
      <c r="AL346" s="22" t="s">
        <v>3602</v>
      </c>
      <c r="AM346" s="43"/>
      <c r="AN346" s="43"/>
      <c r="AO346" s="43"/>
      <c r="AP346" s="43"/>
      <c r="AQ346" s="46" t="s">
        <v>5195</v>
      </c>
      <c r="AR346" s="46" t="s">
        <v>3604</v>
      </c>
      <c r="AS346" s="46" t="s">
        <v>3605</v>
      </c>
      <c r="AT346" s="43"/>
      <c r="AU346" s="43"/>
      <c r="AV346" s="43"/>
      <c r="AW346" s="43"/>
      <c r="AX346" s="22" t="s">
        <v>3445</v>
      </c>
      <c r="AY346" s="22" t="s">
        <v>3601</v>
      </c>
      <c r="AZ346" s="22" t="s">
        <v>2672</v>
      </c>
      <c r="BA346" s="43"/>
      <c r="BB346" s="43"/>
      <c r="BC346" s="43"/>
      <c r="BD346" s="43"/>
      <c r="BE346" s="43"/>
      <c r="BF346" s="22" t="str">
        <f>IFERROR(VLOOKUP(C346,'спецификация'!B:D,3,0)," ")</f>
        <v>4631160098901
2038674207621
4660417421117</v>
      </c>
      <c r="BG346" s="22">
        <v>3.30499E9</v>
      </c>
      <c r="BH346" s="22" t="str">
        <f>IFERROR(VLOOKUP(C346,'спецификация'!B:AA,5,0)," ")</f>
        <v>ЕАЭС N RU Д-RU.PА01.B.10437/21 от 28.09.2021 по 23.09.2026</v>
      </c>
      <c r="BI346" s="22"/>
      <c r="BJ346" s="22" t="str">
        <f>IFERROR(VLOOKUP(C346,'спецификация'!B:AA,6,0)," ")</f>
        <v/>
      </c>
      <c r="BK346" s="43"/>
      <c r="BL346" s="43"/>
      <c r="BM346" s="22" t="str">
        <f>IFERROR(VLOOKUP(BF346,'спецификация'!D:H,5,0)," ")</f>
        <v>вода (aqua), экстракт конского каштана (Horse Chestnut Seed extract), кротон Лехлера «Кровь дракона» (Lechleri ​​receptus Croto Brut extract), экстракт череды (Burmese extract), экстракт мяты (Mint extract), экстракт березы (Birch extract), экстракт чабреца (Thymus extract), стеариновая кислота (stearic acid),  оливковое масло (olive oil),  глицерин (glycerin), цетеариловый спирт (cereal alcohol), глицерил стеарат (glyceryl stearate), ТЭА (TEA), трилон Б (trilon b), отдушка (fragrance), bht, феноксиэтанол (phenpxyethanol),  этилгексилстеарат (ethylhexylglycerin).</v>
      </c>
      <c r="BN346" s="43"/>
      <c r="BO346" s="22" t="str">
        <f>IFERROR(VLOOKUP(C346,'спецификация'!B:AA,10,0)," ")</f>
        <v/>
      </c>
      <c r="BP346" s="43" t="str">
        <f>IFERROR(VLOOKUP(C346,'спецификация'!B:AA,11,0),"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46" s="22" t="str">
        <f>IFERROR(VLOOKUP(C346,'спецификация'!B:AA,12,0)," ")</f>
        <v>хранить в сухом месте при температуре не выше 25°С.</v>
      </c>
      <c r="BR346" s="22">
        <v>30.0</v>
      </c>
      <c r="BS346" s="22" t="s">
        <v>139</v>
      </c>
      <c r="BT346" s="22"/>
      <c r="BU346" s="22"/>
      <c r="BV346" s="22"/>
      <c r="BW346" s="44" t="str">
        <f>IFERROR(VLOOKUP(C346,'спецификация'!B:AA,16,0)," ")</f>
        <v>https://docs.google.com/document/d/1B7rbzGLuD6E_hHo1CUV8yc_CfZZjoBRssyTbxY-i4S8/edit</v>
      </c>
      <c r="BX346" s="43"/>
      <c r="BY346" s="43"/>
      <c r="BZ346" s="45" t="str">
        <f>IFERROR(VLOOKUP(BF346,'спецификация'!D:Y,22,0)," ")</f>
        <v/>
      </c>
      <c r="CA346" s="43"/>
      <c r="CB346" s="43"/>
      <c r="CC346" s="43"/>
      <c r="CD346" s="43"/>
      <c r="CE346" s="43"/>
      <c r="CF346" s="43"/>
      <c r="CG346" s="49">
        <f>IFERROR(VLOOKUP(C346,CC!A:D,4,0)," ")</f>
        <v>116.75</v>
      </c>
      <c r="CH346" s="22" t="str">
        <f>IFERROR(VLOOKUP(C346,'спецификация'!B:AA,19,0)," ")</f>
        <v/>
      </c>
      <c r="CI346" s="22"/>
      <c r="CJ346" s="43"/>
      <c r="CK346" s="22">
        <f>IFERROR(VLOOKUP(C346,CC!K:M,3,0)," ")</f>
        <v>45</v>
      </c>
      <c r="CL346" s="43"/>
      <c r="CM346" s="43"/>
      <c r="CN346" s="43"/>
      <c r="CO346" s="43"/>
      <c r="CP346" s="43"/>
      <c r="CQ346" s="43"/>
      <c r="CR346" s="43"/>
      <c r="CS346" s="43" t="b">
        <v>0</v>
      </c>
      <c r="CT346" s="43" t="b">
        <v>0</v>
      </c>
      <c r="CU346" s="43" t="b">
        <v>0</v>
      </c>
      <c r="CV346" s="43" t="b">
        <v>0</v>
      </c>
      <c r="CW346" s="43"/>
      <c r="CX346" s="43"/>
      <c r="CY346" s="43"/>
      <c r="CZ346" s="43"/>
      <c r="DA346" s="43"/>
      <c r="DB346" s="43"/>
      <c r="DC346" s="43"/>
      <c r="DD346" s="22">
        <f>IFERROR(VLOOKUP($C346,'Лист4'!$D:$AI,27,0)," ")</f>
        <v>4</v>
      </c>
      <c r="DE346" s="22">
        <f>IFERROR(VLOOKUP($C346,'Лист4'!$D:$AI,28,0)," ")</f>
        <v>6</v>
      </c>
      <c r="DF346" s="22">
        <f>IFERROR(VLOOKUP($C346,'Лист4'!$D:$AI,29,0)," ")</f>
        <v>4</v>
      </c>
      <c r="DG346" s="22">
        <f t="shared" si="3"/>
        <v>96</v>
      </c>
      <c r="DH346" s="22">
        <f>IFERROR(VLOOKUP($C346,'Лист4'!$D:$AI,32,0)," ")</f>
        <v>0.053</v>
      </c>
      <c r="DI346" s="22"/>
      <c r="DJ346" s="22"/>
      <c r="DK346" s="22"/>
      <c r="DL346" s="22"/>
      <c r="DM346" s="22"/>
      <c r="DN346" s="22"/>
      <c r="DO346" s="22"/>
      <c r="DP346" s="22"/>
      <c r="DQ346" s="22"/>
      <c r="DR346" s="22"/>
      <c r="DS346" s="22"/>
      <c r="DT346" s="22"/>
      <c r="DU346" s="22"/>
      <c r="DV346" s="22"/>
      <c r="DW346" s="22"/>
      <c r="DX346" s="22"/>
      <c r="DY346" s="22"/>
      <c r="DZ346" s="22"/>
      <c r="EA346" s="22"/>
      <c r="EB346" s="22"/>
      <c r="EC346" s="22"/>
      <c r="ED346" s="22"/>
      <c r="EE346" s="22"/>
      <c r="EF346" s="22"/>
      <c r="EG346" s="22"/>
      <c r="EH346" s="22"/>
      <c r="EI346" s="22"/>
      <c r="EJ346" s="22"/>
      <c r="EK346" s="22"/>
      <c r="EL346" s="22"/>
      <c r="EM346" s="43"/>
      <c r="EN346" s="43"/>
      <c r="EO346" s="43"/>
      <c r="EP346" s="43"/>
      <c r="EQ346" s="43"/>
      <c r="ER346" s="43"/>
      <c r="ES346" s="43"/>
      <c r="ET346" s="43"/>
      <c r="EU346" s="43"/>
      <c r="EV346" s="43"/>
      <c r="EW346" s="43"/>
      <c r="EX346" s="43"/>
      <c r="EY346" s="43"/>
      <c r="EZ346" s="43"/>
      <c r="FA346" s="43"/>
      <c r="FB346" s="43"/>
      <c r="FC346" s="43"/>
    </row>
    <row r="347" ht="18.0" customHeight="1">
      <c r="A347" s="2"/>
      <c r="B347" s="22" t="str">
        <f>IFERROR(VLOOKUP(C347,'Реестр'!C:AC,27,0)," ")</f>
        <v>Смарт-Сэйл</v>
      </c>
      <c r="C347" s="43" t="s">
        <v>5198</v>
      </c>
      <c r="D347" s="22" t="str">
        <f>IFERROR(VLOOKUP(C347,'Лист4'!D:P,13,0)," ")</f>
        <v>Алтея</v>
      </c>
      <c r="E347" s="22" t="str">
        <f>IF(OR(ISERROR(VLOOKUP(C347,'Актуальность'!A:B,2,0)), VLOOKUP(C347,'Актуальность'!A:B,2,0)=""), "Актуальный", VLOOKUP(C347,'Актуальность'!A:B,2,0))</f>
        <v>Актуальный</v>
      </c>
      <c r="F347" s="43" t="str">
        <f>IFERROR(VLOOKUP(C347,'Актуальность'!A:C,3,0)," ")</f>
        <v/>
      </c>
      <c r="G347" s="43"/>
      <c r="H347" s="22" t="s">
        <v>2743</v>
      </c>
      <c r="I347" s="22" t="s">
        <v>2744</v>
      </c>
      <c r="J347" s="43"/>
      <c r="K347" s="43"/>
      <c r="L347" s="22" t="b">
        <f t="shared" ref="L347:R347" si="343">T347&lt;&gt;""</f>
        <v>1</v>
      </c>
      <c r="M347" s="22" t="b">
        <f t="shared" si="343"/>
        <v>1</v>
      </c>
      <c r="N347" s="22" t="b">
        <f t="shared" si="343"/>
        <v>1</v>
      </c>
      <c r="O347" s="22" t="b">
        <f t="shared" si="343"/>
        <v>1</v>
      </c>
      <c r="P347" s="22" t="b">
        <f t="shared" si="343"/>
        <v>1</v>
      </c>
      <c r="Q347" s="22" t="b">
        <f t="shared" si="343"/>
        <v>0</v>
      </c>
      <c r="R347" s="22" t="b">
        <f t="shared" si="343"/>
        <v>0</v>
      </c>
      <c r="S347" s="43"/>
      <c r="T347" s="43" t="str">
        <f>IFERROR(VLOOKUP( C347,'1С'!A:B,2,0)," ")</f>
        <v>AC101100460</v>
      </c>
      <c r="U347" s="22" t="str">
        <f>IFERROR(VLOOKUP(T347,'Лист4'!C:I,3,0)," ")</f>
        <v>retinait_krem_01_50ml</v>
      </c>
      <c r="V347" s="22" t="str">
        <f>IFERROR(VLOOKUP(T347,'Лист4'!C:I,4,0)," ")</f>
        <v>retinait_krem_01_50ml</v>
      </c>
      <c r="W347" s="22" t="str">
        <f>IFERROR(VLOOKUP(T347,'Лист4'!C:I,5,0)," ")</f>
        <v>retinait_krem_01_50ml</v>
      </c>
      <c r="X347" s="55" t="s">
        <v>5198</v>
      </c>
      <c r="Y347" s="43" t="str">
        <f>IFERROR(VLOOKUP(T347,'Лист4'!C:I,6,0)," ")</f>
        <v/>
      </c>
      <c r="Z347" s="43"/>
      <c r="AA347" s="43"/>
      <c r="AB347" s="22">
        <v>5.80359518E8</v>
      </c>
      <c r="AC347" s="22">
        <v>3.043803801E9</v>
      </c>
      <c r="AD347" s="22">
        <v>4.737519927E9</v>
      </c>
      <c r="AE347" s="22">
        <v>9.9000137436E10</v>
      </c>
      <c r="AF347" s="22"/>
      <c r="AG347" s="43"/>
      <c r="AH347" s="43"/>
      <c r="AI347" s="43" t="str">
        <f>IFERROR(VLOOKUP(T347,'1С'!B:C,2,0)," ")</f>
        <v>Крем для лица Ретинайт с церамидами, Алтея, 50 мл</v>
      </c>
      <c r="AJ347" s="22" t="s">
        <v>5201</v>
      </c>
      <c r="AK347" s="22" t="s">
        <v>5201</v>
      </c>
      <c r="AL347" s="22" t="s">
        <v>5202</v>
      </c>
      <c r="AM347" s="22" t="s">
        <v>5203</v>
      </c>
      <c r="AN347" s="43"/>
      <c r="AO347" s="43"/>
      <c r="AP347" s="43"/>
      <c r="AQ347" s="46" t="s">
        <v>5204</v>
      </c>
      <c r="AR347" s="46" t="s">
        <v>5205</v>
      </c>
      <c r="AS347" s="46" t="s">
        <v>5206</v>
      </c>
      <c r="AT347" s="43"/>
      <c r="AU347" s="43"/>
      <c r="AV347" s="43"/>
      <c r="AW347" s="43"/>
      <c r="AX347" s="22" t="s">
        <v>594</v>
      </c>
      <c r="AY347" s="22" t="s">
        <v>5201</v>
      </c>
      <c r="AZ347" s="22" t="s">
        <v>595</v>
      </c>
      <c r="BA347" s="22" t="s">
        <v>1447</v>
      </c>
      <c r="BB347" s="43"/>
      <c r="BC347" s="43"/>
      <c r="BD347" s="43"/>
      <c r="BE347" s="43"/>
      <c r="BF347" s="22">
        <f>IFERROR(VLOOKUP(C347,'спецификация'!B:D,3,0)," ")</f>
        <v>4660417421629</v>
      </c>
      <c r="BG347" s="22">
        <v>3.30499E9</v>
      </c>
      <c r="BH347" s="22" t="str">
        <f>IFERROR(VLOOKUP(C347,'спецификация'!B:AA,5,0)," ")</f>
        <v/>
      </c>
      <c r="BI347" s="22"/>
      <c r="BJ347" s="22" t="str">
        <f>IFERROR(VLOOKUP(C347,'спецификация'!B:AA,6,0)," ")</f>
        <v>нет</v>
      </c>
      <c r="BK347" s="43"/>
      <c r="BL347" s="43"/>
      <c r="BM347" s="22" t="str">
        <f>IFERROR(VLOOKUP(BF347,'спецификация'!D:H,5,0)," ")</f>
        <v>Aqua, Caprylic/Capric Triglyceride, Cetearyl Alcohol,  Glycerin,  Jasminum officinale flower water, Glyceryl monostearate, Sorbitan Olivate, Cetearyl Olivate, Hydrogenated Lecithin,  Sucrose stearate, Ceramide NP, Ceramide AP, Ceramide AS, Ceramide NG, Glycosphingolipids, Niacinamide,  Camellia Sinensis Leaf Extract,  1,2-Hexanediol, Phenoxyethanol, Retinol, Polysorbate 20, Polyglyceryl-10 Myristate, Ethyl Lauroyl Arginate HCl, Hydrated Silica, Vitamin Е (Tocoferol), 3-o-Ethyl Ascorbic Acid, Ethylhexylglycerin, Citric Acid</v>
      </c>
      <c r="BN347" s="43"/>
      <c r="BO347" s="22" t="str">
        <f>IFERROR(VLOOKUP(C347,'спецификация'!B:AA,10,0)," ")</f>
        <v>небольшое количество крема распределите по лицу легкими массажными движениями, избегая области вокруг глаз. Используйте крем на ночь.</v>
      </c>
      <c r="BP347" s="43" t="str">
        <f>IFERROR(VLOOKUP(C347,'спецификация'!B:AA,11,0)," ")</f>
        <v>Меры предосторожности: возможна индивидуальная непереносимость к отдельным компонентам.</v>
      </c>
      <c r="BQ347" s="22" t="str">
        <f>IFERROR(VLOOKUP(C347,'спецификация'!B:AA,12,0)," ")</f>
        <v>хранить в сухом недоступном для света месте при температуре от +5 до +25.</v>
      </c>
      <c r="BR347" s="22">
        <v>50.0</v>
      </c>
      <c r="BS347" s="22" t="s">
        <v>139</v>
      </c>
      <c r="BT347" s="22"/>
      <c r="BU347" s="22"/>
      <c r="BV347" s="22" t="s">
        <v>727</v>
      </c>
      <c r="BW347" s="44" t="str">
        <f>IFERROR(VLOOKUP(C347,'спецификация'!B:AA,16,0)," ")</f>
        <v>https://docs.google.com/document/d/1BKPMNiJYIwLSyKjEJQ-ES1RQ5PH2WQbz/edit?usp=drive_web&amp;ouid=104241417680089502627&amp;rtpof=true</v>
      </c>
      <c r="BX347" s="43"/>
      <c r="BY347" s="43"/>
      <c r="BZ347" s="45" t="str">
        <f>IFERROR(VLOOKUP(BF347,'спецификация'!D:Y,22,0)," ")</f>
        <v/>
      </c>
      <c r="CA347" s="43"/>
      <c r="CB347" s="43"/>
      <c r="CC347" s="43"/>
      <c r="CD347" s="43"/>
      <c r="CE347" s="43"/>
      <c r="CF347" s="43"/>
      <c r="CG347" s="49">
        <f>IFERROR(VLOOKUP(C347,CC!A:D,4,0)," ")</f>
        <v>112.39</v>
      </c>
      <c r="CH347" s="22" t="str">
        <f>IFERROR(VLOOKUP(C347,'спецификация'!B:AA,19,0)," ")</f>
        <v>ООО Восток-Плюс</v>
      </c>
      <c r="CI347" s="22"/>
      <c r="CJ347" s="22"/>
      <c r="CK347" s="22">
        <f>IFERROR(VLOOKUP(C347,CC!K:M,3,0)," ")</f>
        <v>45</v>
      </c>
      <c r="CL347" s="43"/>
      <c r="CM347" s="43"/>
      <c r="CN347" s="43"/>
      <c r="CO347" s="43"/>
      <c r="CP347" s="43"/>
      <c r="CQ347" s="43"/>
      <c r="CR347" s="43"/>
      <c r="CS347" s="43" t="b">
        <v>0</v>
      </c>
      <c r="CT347" s="43" t="b">
        <v>0</v>
      </c>
      <c r="CU347" s="43" t="b">
        <v>0</v>
      </c>
      <c r="CV347" s="43" t="b">
        <v>0</v>
      </c>
      <c r="CW347" s="43"/>
      <c r="CX347" s="43"/>
      <c r="CY347" s="43"/>
      <c r="CZ347" s="43"/>
      <c r="DA347" s="43"/>
      <c r="DB347" s="43"/>
      <c r="DC347" s="43"/>
      <c r="DD347" s="22">
        <f>IFERROR(VLOOKUP($C347,'Лист4'!$D:$AI,27,0)," ")</f>
        <v>11</v>
      </c>
      <c r="DE347" s="22">
        <f>IFERROR(VLOOKUP($C347,'Лист4'!$D:$AI,28,0)," ")</f>
        <v>4</v>
      </c>
      <c r="DF347" s="22">
        <f>IFERROR(VLOOKUP($C347,'Лист4'!$D:$AI,29,0)," ")</f>
        <v>11</v>
      </c>
      <c r="DG347" s="22">
        <f t="shared" si="3"/>
        <v>484</v>
      </c>
      <c r="DH347" s="22">
        <f>IFERROR(VLOOKUP($C347,'Лист4'!$D:$AI,32,0)," ")</f>
        <v>0.064</v>
      </c>
      <c r="DI347" s="22"/>
      <c r="DJ347" s="22"/>
      <c r="DK347" s="22"/>
      <c r="DL347" s="22"/>
      <c r="DM347" s="22"/>
      <c r="DN347" s="22"/>
      <c r="DO347" s="22"/>
      <c r="DP347" s="22"/>
      <c r="DQ347" s="22"/>
      <c r="DR347" s="22"/>
      <c r="DS347" s="22"/>
      <c r="DT347" s="22"/>
      <c r="DU347" s="22"/>
      <c r="DV347" s="22"/>
      <c r="DW347" s="22"/>
      <c r="DX347" s="22"/>
      <c r="DY347" s="22"/>
      <c r="DZ347" s="22"/>
      <c r="EA347" s="22"/>
      <c r="EB347" s="22"/>
      <c r="EC347" s="22"/>
      <c r="ED347" s="22"/>
      <c r="EE347" s="22"/>
      <c r="EF347" s="22"/>
      <c r="EG347" s="22"/>
      <c r="EH347" s="22"/>
      <c r="EI347" s="22"/>
      <c r="EJ347" s="22"/>
      <c r="EK347" s="22"/>
      <c r="EL347" s="22"/>
      <c r="EM347" s="43"/>
      <c r="EN347" s="43"/>
      <c r="EO347" s="43"/>
      <c r="EP347" s="43"/>
      <c r="EQ347" s="43"/>
      <c r="ER347" s="43"/>
      <c r="ES347" s="43"/>
      <c r="ET347" s="43"/>
      <c r="EU347" s="43"/>
      <c r="EV347" s="43"/>
      <c r="EW347" s="43"/>
      <c r="EX347" s="43"/>
      <c r="EY347" s="43"/>
      <c r="EZ347" s="43"/>
      <c r="FA347" s="43"/>
      <c r="FB347" s="43"/>
      <c r="FC347" s="43"/>
    </row>
    <row r="348" ht="18.0" customHeight="1">
      <c r="A348" s="2"/>
      <c r="B348" s="22" t="str">
        <f>IFERROR(VLOOKUP(C348,'Реестр'!C:AC,27,0)," ")</f>
        <v>Смарт-Сэйл</v>
      </c>
      <c r="C348" s="43" t="s">
        <v>5212</v>
      </c>
      <c r="D348" s="22" t="str">
        <f>IFERROR(VLOOKUP(C348,'Лист4'!D:P,13,0)," ")</f>
        <v>Алтея</v>
      </c>
      <c r="E348" s="22" t="str">
        <f>IF(OR(ISERROR(VLOOKUP(C348,'Актуальность'!A:B,2,0)), VLOOKUP(C348,'Актуальность'!A:B,2,0)=""), "Актуальный", VLOOKUP(C348,'Актуальность'!A:B,2,0))</f>
        <v>Вывод</v>
      </c>
      <c r="F348" s="43" t="str">
        <f>IFERROR(VLOOKUP(C348,'Актуальность'!A:C,3,0)," ")</f>
        <v>Пробный набор / не зашел</v>
      </c>
      <c r="G348" s="43"/>
      <c r="H348" s="22" t="s">
        <v>2743</v>
      </c>
      <c r="I348" s="22" t="s">
        <v>5215</v>
      </c>
      <c r="J348" s="43"/>
      <c r="K348" s="43"/>
      <c r="L348" s="22" t="b">
        <f t="shared" ref="L348:R348" si="344">T348&lt;&gt;""</f>
        <v>1</v>
      </c>
      <c r="M348" s="22" t="b">
        <f t="shared" si="344"/>
        <v>1</v>
      </c>
      <c r="N348" s="22" t="b">
        <f t="shared" si="344"/>
        <v>1</v>
      </c>
      <c r="O348" s="22" t="b">
        <f t="shared" si="344"/>
        <v>1</v>
      </c>
      <c r="P348" s="22" t="b">
        <f t="shared" si="344"/>
        <v>0</v>
      </c>
      <c r="Q348" s="22" t="b">
        <f t="shared" si="344"/>
        <v>0</v>
      </c>
      <c r="R348" s="22" t="b">
        <f t="shared" si="344"/>
        <v>0</v>
      </c>
      <c r="S348" s="43"/>
      <c r="T348" s="43" t="str">
        <f>IFERROR(VLOOKUP( C348,'1С'!A:B,2,0)," ")</f>
        <v>AC101100437</v>
      </c>
      <c r="U348" s="22" t="str">
        <f>IFERROR(VLOOKUP(T348,'Лист4'!C:I,3,0)," ")</f>
        <v>alteya_young_skin_box</v>
      </c>
      <c r="V348" s="22" t="str">
        <f>IFERROR(VLOOKUP(T348,'Лист4'!C:I,4,0)," ")</f>
        <v>alteya_young_skin_box</v>
      </c>
      <c r="W348" s="22" t="str">
        <f>IFERROR(VLOOKUP(T348,'Лист4'!C:I,5,0)," ")</f>
        <v>alteya_young_skin_box</v>
      </c>
      <c r="X348" s="43" t="str">
        <f>IFERROR(VLOOKUP(T348,'Лист4'!C:I,7,0)," ")</f>
        <v/>
      </c>
      <c r="Y348" s="43" t="str">
        <f>IFERROR(VLOOKUP(T348,'Лист4'!C:I,6,0)," ")</f>
        <v/>
      </c>
      <c r="Z348" s="43"/>
      <c r="AA348" s="43"/>
      <c r="AB348" s="22">
        <v>3.02460733E8</v>
      </c>
      <c r="AC348" s="22">
        <v>1.805976932E9</v>
      </c>
      <c r="AD348" s="22">
        <v>1.03710293979E11</v>
      </c>
      <c r="AE348" s="22"/>
      <c r="AF348" s="22"/>
      <c r="AG348" s="43"/>
      <c r="AH348" s="43"/>
      <c r="AI348" s="43" t="str">
        <f>IFERROR(VLOOKUP(T348,'1С'!B:C,2,0)," ")</f>
        <v>Набор Ретидерм, Алтея, 50 мл, Сыворотка для лица с ниацинамидом, Алтея, 30 мл</v>
      </c>
      <c r="AJ348" s="22" t="s">
        <v>5217</v>
      </c>
      <c r="AK348" s="22" t="s">
        <v>5218</v>
      </c>
      <c r="AL348" s="22" t="s">
        <v>5219</v>
      </c>
      <c r="AM348" s="43"/>
      <c r="AN348" s="43"/>
      <c r="AO348" s="43"/>
      <c r="AP348" s="43"/>
      <c r="AQ348" s="46" t="s">
        <v>5220</v>
      </c>
      <c r="AR348" s="46" t="s">
        <v>5221</v>
      </c>
      <c r="AS348" s="46" t="s">
        <v>5222</v>
      </c>
      <c r="AT348" s="43"/>
      <c r="AU348" s="43"/>
      <c r="AV348" s="43"/>
      <c r="AW348" s="43"/>
      <c r="AX348" s="22" t="s">
        <v>325</v>
      </c>
      <c r="AY348" s="22" t="s">
        <v>5218</v>
      </c>
      <c r="AZ348" s="22" t="s">
        <v>4263</v>
      </c>
      <c r="BA348" s="43"/>
      <c r="BB348" s="43"/>
      <c r="BC348" s="43"/>
      <c r="BD348" s="43"/>
      <c r="BE348" s="43"/>
      <c r="BF348" s="22">
        <f>IFERROR(VLOOKUP(C348,'спецификация'!B:D,3,0)," ")</f>
        <v>4656784976558</v>
      </c>
      <c r="BG348" s="22">
        <v>3.30499E9</v>
      </c>
      <c r="BH348" s="22" t="str">
        <f>IFERROR(VLOOKUP(C348,'спецификация'!B:AA,5,0)," ")</f>
        <v/>
      </c>
      <c r="BI348" s="22"/>
      <c r="BJ348" s="22" t="str">
        <f>IFERROR(VLOOKUP(C348,'спецификация'!B:AA,6,0)," ")</f>
        <v>нет</v>
      </c>
      <c r="BK348" s="43"/>
      <c r="BL348" s="43"/>
      <c r="BM348" s="22" t="str">
        <f>IFERROR(VLOOKUP(BF348,'спецификация'!D:H,5,0)," ")</f>
        <v>retiderm_50ml+syvorotka_dlya_lica_30ml</v>
      </c>
      <c r="BN348" s="43"/>
      <c r="BO348" s="22" t="str">
        <f>IFERROR(VLOOKUP(C348,'спецификация'!B:AA,10,0)," ")</f>
        <v>1. Наносите Ретидерм на очищенную кожу лица вечером, избегая области вокруг глаз.
2. Утром используйте Сыворотку с ниацинамидом перед увлажняющим кремом.</v>
      </c>
      <c r="BP348" s="43" t="str">
        <f>IFERROR(VLOOKUP(C348,'спецификация'!B:AA,11,0)," ")</f>
        <v>Меры предосторожности: возможна индивидуальная непереносимость к отдельным компонентам.</v>
      </c>
      <c r="BQ348" s="22" t="str">
        <f>IFERROR(VLOOKUP(C348,'спецификация'!B:AA,12,0)," ")</f>
        <v>хранить в сухом недоступном для света месте при температуре от +5 до +25.</v>
      </c>
      <c r="BR348" s="22"/>
      <c r="BS348" s="43"/>
      <c r="BT348" s="43"/>
      <c r="BU348" s="22"/>
      <c r="BV348" s="22" t="s">
        <v>307</v>
      </c>
      <c r="BW348" s="45" t="str">
        <f>IFERROR(VLOOKUP(C348,'спецификация'!B:AA,16,0)," ")</f>
        <v/>
      </c>
      <c r="BX348" s="43"/>
      <c r="BY348" s="43"/>
      <c r="BZ348" s="45" t="str">
        <f>IFERROR(VLOOKUP(BF348,'спецификация'!D:Y,22,0)," ")</f>
        <v/>
      </c>
      <c r="CA348" s="43"/>
      <c r="CB348" s="43"/>
      <c r="CC348" s="43"/>
      <c r="CD348" s="43"/>
      <c r="CE348" s="43"/>
      <c r="CF348" s="43"/>
      <c r="CG348" s="49">
        <f>IFERROR(VLOOKUP(C348,CC!A:D,4,0)," ")</f>
        <v>241.53</v>
      </c>
      <c r="CH348" s="22" t="str">
        <f>IFERROR(VLOOKUP(C348,'спецификация'!B:AA,19,0)," ")</f>
        <v/>
      </c>
      <c r="CI348" s="22"/>
      <c r="CJ348" s="22"/>
      <c r="CK348" s="22">
        <f>IFERROR(VLOOKUP(C348,CC!K:M,3,0)," ")</f>
        <v>90</v>
      </c>
      <c r="CL348" s="43"/>
      <c r="CM348" s="43"/>
      <c r="CN348" s="43"/>
      <c r="CO348" s="43"/>
      <c r="CP348" s="43"/>
      <c r="CQ348" s="43"/>
      <c r="CR348" s="43"/>
      <c r="CS348" s="43" t="b">
        <v>0</v>
      </c>
      <c r="CT348" s="43" t="b">
        <v>0</v>
      </c>
      <c r="CU348" s="43" t="b">
        <v>0</v>
      </c>
      <c r="CV348" s="43" t="b">
        <v>0</v>
      </c>
      <c r="CW348" s="43"/>
      <c r="CX348" s="43"/>
      <c r="CY348" s="43"/>
      <c r="CZ348" s="43"/>
      <c r="DA348" s="43"/>
      <c r="DB348" s="43"/>
      <c r="DC348" s="43"/>
      <c r="DD348" s="22">
        <f>IFERROR(VLOOKUP($C348,'Лист4'!$D:$AI,27,0)," ")</f>
        <v>9</v>
      </c>
      <c r="DE348" s="22">
        <f>IFERROR(VLOOKUP($C348,'Лист4'!$D:$AI,28,0)," ")</f>
        <v>15</v>
      </c>
      <c r="DF348" s="22">
        <f>IFERROR(VLOOKUP($C348,'Лист4'!$D:$AI,29,0)," ")</f>
        <v>9</v>
      </c>
      <c r="DG348" s="22">
        <f t="shared" si="3"/>
        <v>1215</v>
      </c>
      <c r="DH348" s="22">
        <f>IFERROR(VLOOKUP($C348,'Лист4'!$D:$AI,32,0)," ")</f>
        <v>0.14</v>
      </c>
      <c r="DI348" s="22"/>
      <c r="DJ348" s="22"/>
      <c r="DK348" s="22"/>
      <c r="DL348" s="22"/>
      <c r="DM348" s="22"/>
      <c r="DN348" s="22"/>
      <c r="DO348" s="22"/>
      <c r="DP348" s="22"/>
      <c r="DQ348" s="22"/>
      <c r="DR348" s="22"/>
      <c r="DS348" s="22"/>
      <c r="DT348" s="22"/>
      <c r="DU348" s="22"/>
      <c r="DV348" s="22"/>
      <c r="DW348" s="22"/>
      <c r="DX348" s="22"/>
      <c r="DY348" s="22"/>
      <c r="DZ348" s="22"/>
      <c r="EA348" s="22"/>
      <c r="EB348" s="22"/>
      <c r="EC348" s="22"/>
      <c r="ED348" s="22"/>
      <c r="EE348" s="22"/>
      <c r="EF348" s="22"/>
      <c r="EG348" s="22"/>
      <c r="EH348" s="22"/>
      <c r="EI348" s="22"/>
      <c r="EJ348" s="22"/>
      <c r="EK348" s="22"/>
      <c r="EL348" s="22"/>
      <c r="EM348" s="43"/>
      <c r="EN348" s="43"/>
      <c r="EO348" s="43"/>
      <c r="EP348" s="43"/>
      <c r="EQ348" s="43"/>
      <c r="ER348" s="43"/>
      <c r="ES348" s="43"/>
      <c r="ET348" s="43"/>
      <c r="EU348" s="43"/>
      <c r="EV348" s="43"/>
      <c r="EW348" s="43"/>
      <c r="EX348" s="43"/>
      <c r="EY348" s="43"/>
      <c r="EZ348" s="43"/>
      <c r="FA348" s="43"/>
      <c r="FB348" s="43"/>
      <c r="FC348" s="43"/>
    </row>
    <row r="349" ht="18.0" customHeight="1">
      <c r="A349" s="2"/>
      <c r="B349" s="22" t="str">
        <f>IFERROR(VLOOKUP(C349,'Реестр'!C:AC,27,0)," ")</f>
        <v>Смарт-Сэйл</v>
      </c>
      <c r="C349" s="43" t="s">
        <v>5225</v>
      </c>
      <c r="D349" s="22" t="str">
        <f>IFERROR(VLOOKUP(C349,'Лист4'!D:P,13,0)," ")</f>
        <v>Алтея</v>
      </c>
      <c r="E349" s="22" t="str">
        <f>IF(OR(ISERROR(VLOOKUP(C349,'Актуальность'!A:B,2,0)), VLOOKUP(C349,'Актуальность'!A:B,2,0)=""), "Актуальный", VLOOKUP(C349,'Актуальность'!A:B,2,0))</f>
        <v>Актуальный</v>
      </c>
      <c r="F349" s="43" t="str">
        <f>IFERROR(VLOOKUP(C349,'Актуальность'!A:C,3,0)," ")</f>
        <v/>
      </c>
      <c r="G349" s="43"/>
      <c r="H349" s="22" t="s">
        <v>2743</v>
      </c>
      <c r="I349" s="22" t="s">
        <v>565</v>
      </c>
      <c r="J349" s="43"/>
      <c r="K349" s="43"/>
      <c r="L349" s="22" t="b">
        <f t="shared" ref="L349:R349" si="345">T349&lt;&gt;""</f>
        <v>1</v>
      </c>
      <c r="M349" s="22" t="b">
        <f t="shared" si="345"/>
        <v>1</v>
      </c>
      <c r="N349" s="22" t="b">
        <f t="shared" si="345"/>
        <v>1</v>
      </c>
      <c r="O349" s="22" t="b">
        <f t="shared" si="345"/>
        <v>1</v>
      </c>
      <c r="P349" s="22" t="b">
        <f t="shared" si="345"/>
        <v>1</v>
      </c>
      <c r="Q349" s="22" t="b">
        <f t="shared" si="345"/>
        <v>1</v>
      </c>
      <c r="R349" s="22" t="b">
        <f t="shared" si="345"/>
        <v>0</v>
      </c>
      <c r="S349" s="43"/>
      <c r="T349" s="43" t="str">
        <f>IFERROR(VLOOKUP( C349,'1С'!A:B,2,0)," ")</f>
        <v>AC101100423</v>
      </c>
      <c r="U349" s="22" t="str">
        <f>IFERROR(VLOOKUP(T349,'Лист4'!C:I,3,0)," ")</f>
        <v>krem-filler_15ml</v>
      </c>
      <c r="V349" s="22" t="str">
        <f>IFERROR(VLOOKUP(T349,'Лист4'!C:I,4,0)," ")</f>
        <v>krem-filler_15ml</v>
      </c>
      <c r="W349" s="22" t="str">
        <f>IFERROR(VLOOKUP(T349,'Лист4'!C:I,5,0)," ")</f>
        <v>krem-filler_15ml</v>
      </c>
      <c r="X349" s="43" t="str">
        <f>IFERROR(VLOOKUP(T349,'Лист4'!C:I,7,0)," ")</f>
        <v>krem-filler_15ml</v>
      </c>
      <c r="Y349" s="43" t="str">
        <f>IFERROR(VLOOKUP(T349,'Лист4'!C:I,6,0)," ")</f>
        <v>krem-filler_15ml</v>
      </c>
      <c r="Z349" s="43"/>
      <c r="AA349" s="43"/>
      <c r="AB349" s="22">
        <v>2.23763841E8</v>
      </c>
      <c r="AC349" s="22">
        <v>1.548065919E9</v>
      </c>
      <c r="AD349" s="22">
        <v>1.03515402868E11</v>
      </c>
      <c r="AE349" s="22">
        <v>9.9000076211E10</v>
      </c>
      <c r="AF349" s="22" t="s">
        <v>5228</v>
      </c>
      <c r="AG349" s="43"/>
      <c r="AH349" s="43"/>
      <c r="AI349" s="43" t="str">
        <f>IFERROR(VLOOKUP(T349,'1С'!B:C,2,0)," ")</f>
        <v>Крем-Филлер для зоны вокруг глаз, Алтея, 15 мл</v>
      </c>
      <c r="AJ349" s="22" t="s">
        <v>5229</v>
      </c>
      <c r="AK349" s="22" t="s">
        <v>5230</v>
      </c>
      <c r="AL349" s="22" t="s">
        <v>5230</v>
      </c>
      <c r="AM349" s="22" t="s">
        <v>5231</v>
      </c>
      <c r="AN349" s="22" t="s">
        <v>5232</v>
      </c>
      <c r="AO349" s="43"/>
      <c r="AP349" s="43"/>
      <c r="AQ349" s="46" t="s">
        <v>5233</v>
      </c>
      <c r="AR349" s="46" t="s">
        <v>5234</v>
      </c>
      <c r="AS349" s="46" t="s">
        <v>5235</v>
      </c>
      <c r="AT349" s="43"/>
      <c r="AU349" s="46" t="s">
        <v>5236</v>
      </c>
      <c r="AV349" s="43"/>
      <c r="AW349" s="43"/>
      <c r="AX349" s="22" t="s">
        <v>594</v>
      </c>
      <c r="AY349" s="22" t="s">
        <v>5230</v>
      </c>
      <c r="AZ349" s="22" t="s">
        <v>3546</v>
      </c>
      <c r="BA349" s="22" t="s">
        <v>1447</v>
      </c>
      <c r="BB349" s="22" t="s">
        <v>596</v>
      </c>
      <c r="BC349" s="43"/>
      <c r="BD349" s="43"/>
      <c r="BE349" s="43"/>
      <c r="BF349" s="22" t="str">
        <f>IFERROR(VLOOKUP(C349,'спецификация'!B:D,3,0)," ")</f>
        <v> </v>
      </c>
      <c r="BG349" s="22">
        <v>3.30499E9</v>
      </c>
      <c r="BH349" s="22" t="str">
        <f>IFERROR(VLOOKUP(C349,'спецификация'!B:AA,5,0)," ")</f>
        <v> </v>
      </c>
      <c r="BI349" s="22"/>
      <c r="BJ349" s="22" t="str">
        <f>IFERROR(VLOOKUP(C349,'спецификация'!B:AA,6,0)," ")</f>
        <v> </v>
      </c>
      <c r="BK349" s="43"/>
      <c r="BL349" s="43"/>
      <c r="BM349" s="22" t="str">
        <f>IFERROR(VLOOKUP(BF349,'спецификация'!D:H,5,0)," ")</f>
        <v> </v>
      </c>
      <c r="BN349" s="43"/>
      <c r="BO349" s="22" t="str">
        <f>IFERROR(VLOOKUP(C349,'спецификация'!B:AA,10,0)," ")</f>
        <v> </v>
      </c>
      <c r="BP349" s="43" t="str">
        <f>IFERROR(VLOOKUP(C349,'спецификация'!B:AA,11,0)," ")</f>
        <v> </v>
      </c>
      <c r="BQ349" s="22" t="str">
        <f>IFERROR(VLOOKUP(C349,'спецификация'!B:AA,12,0)," ")</f>
        <v> </v>
      </c>
      <c r="BR349" s="22"/>
      <c r="BS349" s="43"/>
      <c r="BT349" s="43"/>
      <c r="BU349" s="22"/>
      <c r="BV349" s="22" t="s">
        <v>401</v>
      </c>
      <c r="BW349" s="45" t="str">
        <f>IFERROR(VLOOKUP(C349,'спецификация'!B:AA,16,0)," ")</f>
        <v> </v>
      </c>
      <c r="BX349" s="43"/>
      <c r="BY349" s="43"/>
      <c r="BZ349" s="45" t="str">
        <f>IFERROR(VLOOKUP(BF349,'спецификация'!D:Y,22,0)," ")</f>
        <v> </v>
      </c>
      <c r="CA349" s="43"/>
      <c r="CB349" s="43"/>
      <c r="CC349" s="43"/>
      <c r="CD349" s="43"/>
      <c r="CE349" s="43"/>
      <c r="CF349" s="43"/>
      <c r="CG349" s="49">
        <f>IFERROR(VLOOKUP(C349,CC!A:D,4,0)," ")</f>
        <v>156.52</v>
      </c>
      <c r="CH349" s="22" t="str">
        <f>IFERROR(VLOOKUP(C349,'спецификация'!B:AA,19,0)," ")</f>
        <v> </v>
      </c>
      <c r="CI349" s="22"/>
      <c r="CJ349" s="43"/>
      <c r="CK349" s="22">
        <f>IFERROR(VLOOKUP(C349,CC!K:M,3,0)," ")</f>
        <v>90</v>
      </c>
      <c r="CL349" s="43"/>
      <c r="CM349" s="43"/>
      <c r="CN349" s="43"/>
      <c r="CO349" s="43"/>
      <c r="CP349" s="43"/>
      <c r="CQ349" s="43"/>
      <c r="CR349" s="43"/>
      <c r="CS349" s="43" t="b">
        <v>0</v>
      </c>
      <c r="CT349" s="43" t="b">
        <v>0</v>
      </c>
      <c r="CU349" s="43" t="b">
        <v>0</v>
      </c>
      <c r="CV349" s="43" t="b">
        <v>0</v>
      </c>
      <c r="CW349" s="43"/>
      <c r="CX349" s="43"/>
      <c r="CY349" s="43"/>
      <c r="CZ349" s="43"/>
      <c r="DA349" s="43"/>
      <c r="DB349" s="43"/>
      <c r="DC349" s="43"/>
      <c r="DD349" s="22">
        <f>IFERROR(VLOOKUP($C349,'Лист4'!$D:$AI,27,0)," ")</f>
        <v>8</v>
      </c>
      <c r="DE349" s="22">
        <f>IFERROR(VLOOKUP($C349,'Лист4'!$D:$AI,28,0)," ")</f>
        <v>2</v>
      </c>
      <c r="DF349" s="22">
        <f>IFERROR(VLOOKUP($C349,'Лист4'!$D:$AI,29,0)," ")</f>
        <v>8</v>
      </c>
      <c r="DG349" s="22">
        <f t="shared" si="3"/>
        <v>128</v>
      </c>
      <c r="DH349" s="22">
        <f>IFERROR(VLOOKUP($C349,'Лист4'!$D:$AI,32,0)," ")</f>
        <v>0.1</v>
      </c>
      <c r="DI349" s="22"/>
      <c r="DJ349" s="22"/>
      <c r="DK349" s="22"/>
      <c r="DL349" s="22"/>
      <c r="DM349" s="22"/>
      <c r="DN349" s="22"/>
      <c r="DO349" s="22"/>
      <c r="DP349" s="22"/>
      <c r="DQ349" s="22"/>
      <c r="DR349" s="22"/>
      <c r="DS349" s="22"/>
      <c r="DT349" s="22"/>
      <c r="DU349" s="22"/>
      <c r="DV349" s="22"/>
      <c r="DW349" s="22"/>
      <c r="DX349" s="22"/>
      <c r="DY349" s="22"/>
      <c r="DZ349" s="22"/>
      <c r="EA349" s="22"/>
      <c r="EB349" s="22"/>
      <c r="EC349" s="22"/>
      <c r="ED349" s="22"/>
      <c r="EE349" s="22"/>
      <c r="EF349" s="22"/>
      <c r="EG349" s="22"/>
      <c r="EH349" s="22"/>
      <c r="EI349" s="22"/>
      <c r="EJ349" s="22"/>
      <c r="EK349" s="22"/>
      <c r="EL349" s="22"/>
      <c r="EM349" s="43"/>
      <c r="EN349" s="43"/>
      <c r="EO349" s="43"/>
      <c r="EP349" s="43"/>
      <c r="EQ349" s="43"/>
      <c r="ER349" s="43"/>
      <c r="ES349" s="43"/>
      <c r="ET349" s="43"/>
      <c r="EU349" s="43"/>
      <c r="EV349" s="43"/>
      <c r="EW349" s="43"/>
      <c r="EX349" s="43"/>
      <c r="EY349" s="43"/>
      <c r="EZ349" s="43"/>
      <c r="FA349" s="43"/>
      <c r="FB349" s="43"/>
      <c r="FC349" s="43"/>
    </row>
    <row r="350" ht="18.0" customHeight="1">
      <c r="A350" s="2"/>
      <c r="B350" s="22" t="str">
        <f>IFERROR(VLOOKUP(C350,'Реестр'!C:AC,27,0)," ")</f>
        <v>Смарт-Сэйл</v>
      </c>
      <c r="C350" s="43" t="s">
        <v>5242</v>
      </c>
      <c r="D350" s="22" t="str">
        <f>IFERROR(VLOOKUP(C350,'Лист4'!D:P,13,0)," ")</f>
        <v>Алтея</v>
      </c>
      <c r="E350" s="22" t="str">
        <f>IF(OR(ISERROR(VLOOKUP(C350,'Актуальность'!A:B,2,0)), VLOOKUP(C350,'Актуальность'!A:B,2,0)=""), "Актуальный", VLOOKUP(C350,'Актуальность'!A:B,2,0))</f>
        <v>Вывод</v>
      </c>
      <c r="F350" s="43" t="str">
        <f>IFERROR(VLOOKUP(C350,'Актуальность'!A:C,3,0)," ")</f>
        <v/>
      </c>
      <c r="G350" s="43"/>
      <c r="H350" s="22" t="s">
        <v>2743</v>
      </c>
      <c r="I350" s="22" t="s">
        <v>287</v>
      </c>
      <c r="J350" s="43"/>
      <c r="K350" s="43"/>
      <c r="L350" s="22" t="b">
        <f t="shared" ref="L350:R350" si="346">T350&lt;&gt;""</f>
        <v>1</v>
      </c>
      <c r="M350" s="22" t="b">
        <f t="shared" si="346"/>
        <v>1</v>
      </c>
      <c r="N350" s="22" t="b">
        <f t="shared" si="346"/>
        <v>1</v>
      </c>
      <c r="O350" s="22" t="b">
        <f t="shared" si="346"/>
        <v>1</v>
      </c>
      <c r="P350" s="22" t="b">
        <f t="shared" si="346"/>
        <v>1</v>
      </c>
      <c r="Q350" s="22" t="b">
        <f t="shared" si="346"/>
        <v>1</v>
      </c>
      <c r="R350" s="22" t="b">
        <f t="shared" si="346"/>
        <v>0</v>
      </c>
      <c r="S350" s="43"/>
      <c r="T350" s="43" t="str">
        <f>IFERROR(VLOOKUP( C350,'1С'!A:B,2,0)," ")</f>
        <v>AC101100421</v>
      </c>
      <c r="U350" s="22" t="str">
        <f>IFERROR(VLOOKUP(T350,'Лист4'!C:I,3,0)," ")</f>
        <v>vosk_stik_15ml</v>
      </c>
      <c r="V350" s="22" t="str">
        <f>IFERROR(VLOOKUP(T350,'Лист4'!C:I,4,0)," ")</f>
        <v>vosk_stik_15ml</v>
      </c>
      <c r="W350" s="22" t="str">
        <f>IFERROR(VLOOKUP(T350,'Лист4'!C:I,5,0)," ")</f>
        <v>vosk_stik_15ml</v>
      </c>
      <c r="X350" s="55" t="s">
        <v>5242</v>
      </c>
      <c r="Y350" s="43" t="str">
        <f>IFERROR(VLOOKUP(T350,'Лист4'!C:I,6,0)," ")</f>
        <v>vosk_stik_15ml</v>
      </c>
      <c r="Z350" s="43"/>
      <c r="AA350" s="43"/>
      <c r="AB350" s="22">
        <v>5.38087651E8</v>
      </c>
      <c r="AC350" s="22">
        <v>2.860142614E9</v>
      </c>
      <c r="AD350" s="22">
        <v>4.737518234E9</v>
      </c>
      <c r="AE350" s="22">
        <v>9.9000131672E10</v>
      </c>
      <c r="AF350" s="22" t="s">
        <v>5245</v>
      </c>
      <c r="AG350" s="43"/>
      <c r="AH350" s="43"/>
      <c r="AI350" s="43" t="str">
        <f>IFERROR(VLOOKUP(T350,'1С'!B:C,2,0)," ")</f>
        <v>Воск-Стик для укладки волос, Алтея, 15 мл</v>
      </c>
      <c r="AJ350" s="22" t="s">
        <v>5246</v>
      </c>
      <c r="AK350" s="22" t="s">
        <v>5246</v>
      </c>
      <c r="AL350" s="22" t="s">
        <v>5247</v>
      </c>
      <c r="AM350" s="22" t="s">
        <v>5248</v>
      </c>
      <c r="AN350" s="22" t="s">
        <v>5246</v>
      </c>
      <c r="AO350" s="43"/>
      <c r="AP350" s="43"/>
      <c r="AQ350" s="46" t="s">
        <v>5249</v>
      </c>
      <c r="AR350" s="46" t="s">
        <v>5250</v>
      </c>
      <c r="AS350" s="46" t="s">
        <v>5251</v>
      </c>
      <c r="AT350" s="43"/>
      <c r="AU350" s="46" t="s">
        <v>5252</v>
      </c>
      <c r="AV350" s="43"/>
      <c r="AW350" s="43"/>
      <c r="AX350" s="22" t="s">
        <v>3482</v>
      </c>
      <c r="AY350" s="22" t="s">
        <v>5246</v>
      </c>
      <c r="AZ350" s="22" t="s">
        <v>3483</v>
      </c>
      <c r="BA350" s="22" t="s">
        <v>1493</v>
      </c>
      <c r="BB350" s="22" t="s">
        <v>3484</v>
      </c>
      <c r="BC350" s="43"/>
      <c r="BD350" s="43"/>
      <c r="BE350" s="43"/>
      <c r="BF350" s="22">
        <f>IFERROR(VLOOKUP(C350,'спецификация'!B:D,3,0)," ")</f>
        <v>4670207150196</v>
      </c>
      <c r="BG350" s="22">
        <v>3.3051E9</v>
      </c>
      <c r="BH350" s="22" t="str">
        <f>IFERROR(VLOOKUP(C350,'спецификация'!B:AA,5,0)," ")</f>
        <v/>
      </c>
      <c r="BI350" s="22"/>
      <c r="BJ350" s="22" t="str">
        <f>IFERROR(VLOOKUP(C350,'спецификация'!B:AA,6,0)," ")</f>
        <v>нт</v>
      </c>
      <c r="BK350" s="43"/>
      <c r="BL350" s="43"/>
      <c r="BM350" s="22" t="str">
        <f>IFERROR(VLOOKUP(BF350,'спецификация'!D:H,5,0)," ")</f>
        <v>Petrolatum, Caprylic/Capric Triglyceride, Ceresin, Microcrystalline Wax, Hydrogenated Vegetable Oil, Beeswax, Hydrogenated Palm Acid, Stearyl Stearate, Cetearyl Alcohol, Hydrated Silica, Candelilla Wax, Lanolin, Cyclopentasiloxane, Butyl-Hydroxytoluene (BHT), Hamamelis Virginiana Leaf Extract, Talc, Panthenol, Persea Gratissima (Avocado) Fruit Extract, Polysorbate 80, Parfum</v>
      </c>
      <c r="BN350" s="43"/>
      <c r="BO350" s="22" t="str">
        <f>IFERROR(VLOOKUP(C350,'спецификация'!B:AA,10,0)," ")</f>
        <v>откройте защитную крышку, поверните колёсико снизу и нанесите воск на чистые сухие или влажные волосы от корней к кончикам. Равномерно распределите по волосам, придав необходимую форму.</v>
      </c>
      <c r="BP350" s="43" t="str">
        <f>IFERROR(VLOOKUP(C350,'спецификация'!B:AA,11,0)," ")</f>
        <v>
Меры предосторожности: возможна индивидуальная непереносимость ингредиентов состава, не допускать попадания на слизистые оболочки
</v>
      </c>
      <c r="BQ350" s="22" t="str">
        <f>IFERROR(VLOOKUP(C350,'спецификация'!B:AA,12,0)," ")</f>
        <v>Условия хранения: хранить в сухом недоступном для света месте при температуре от +5 до +25 С</v>
      </c>
      <c r="BR350" s="22">
        <v>15.0</v>
      </c>
      <c r="BS350" s="22" t="s">
        <v>139</v>
      </c>
      <c r="BT350" s="22"/>
      <c r="BU350" s="22"/>
      <c r="BV350" s="22" t="s">
        <v>307</v>
      </c>
      <c r="BW350" s="44" t="str">
        <f>IFERROR(VLOOKUP(C350,'спецификация'!B:AA,16,0)," ")</f>
        <v>https://docs.google.com/document/d/1Ald6fQsE021QICja7CuLzjJxwIfb09ZX/edit</v>
      </c>
      <c r="BX350" s="43"/>
      <c r="BY350" s="43"/>
      <c r="BZ350" s="45" t="str">
        <f>IFERROR(VLOOKUP(BF350,'спецификация'!D:Y,22,0)," ")</f>
        <v/>
      </c>
      <c r="CA350" s="43"/>
      <c r="CB350" s="43"/>
      <c r="CC350" s="43"/>
      <c r="CD350" s="43"/>
      <c r="CE350" s="43"/>
      <c r="CF350" s="43"/>
      <c r="CG350" s="49">
        <f>IFERROR(VLOOKUP(C350,CC!A:D,4,0)," ")</f>
        <v>84.17</v>
      </c>
      <c r="CH350" s="22" t="str">
        <f>IFERROR(VLOOKUP(C350,'спецификация'!B:AA,19,0)," ")</f>
        <v>М9 Фарм</v>
      </c>
      <c r="CI350" s="22"/>
      <c r="CJ350" s="22"/>
      <c r="CK350" s="22" t="str">
        <f>IFERROR(VLOOKUP(C350,CC!K:M,3,0)," ")</f>
        <v/>
      </c>
      <c r="CL350" s="43"/>
      <c r="CM350" s="43"/>
      <c r="CN350" s="43"/>
      <c r="CO350" s="43"/>
      <c r="CP350" s="43"/>
      <c r="CQ350" s="43"/>
      <c r="CR350" s="43"/>
      <c r="CS350" s="43" t="b">
        <v>0</v>
      </c>
      <c r="CT350" s="43" t="b">
        <v>0</v>
      </c>
      <c r="CU350" s="43" t="b">
        <v>0</v>
      </c>
      <c r="CV350" s="43" t="b">
        <v>0</v>
      </c>
      <c r="CW350" s="43"/>
      <c r="CX350" s="43"/>
      <c r="CY350" s="43"/>
      <c r="CZ350" s="43"/>
      <c r="DA350" s="43"/>
      <c r="DB350" s="43"/>
      <c r="DC350" s="43"/>
      <c r="DD350" s="22">
        <f>IFERROR(VLOOKUP($C350,'Лист4'!$D:$AI,27,0)," ")</f>
        <v>1</v>
      </c>
      <c r="DE350" s="22">
        <f>IFERROR(VLOOKUP($C350,'Лист4'!$D:$AI,28,0)," ")</f>
        <v>1</v>
      </c>
      <c r="DF350" s="22">
        <f>IFERROR(VLOOKUP($C350,'Лист4'!$D:$AI,29,0)," ")</f>
        <v>1</v>
      </c>
      <c r="DG350" s="22">
        <f t="shared" si="3"/>
        <v>1</v>
      </c>
      <c r="DH350" s="22">
        <f>IFERROR(VLOOKUP($C350,'Лист4'!$D:$AI,32,0)," ")</f>
        <v>1</v>
      </c>
      <c r="DI350" s="22"/>
      <c r="DJ350" s="22"/>
      <c r="DK350" s="22"/>
      <c r="DL350" s="22"/>
      <c r="DM350" s="22"/>
      <c r="DN350" s="22"/>
      <c r="DO350" s="22"/>
      <c r="DP350" s="22"/>
      <c r="DQ350" s="22"/>
      <c r="DR350" s="22"/>
      <c r="DS350" s="22"/>
      <c r="DT350" s="22"/>
      <c r="DU350" s="22"/>
      <c r="DV350" s="22"/>
      <c r="DW350" s="22"/>
      <c r="DX350" s="22"/>
      <c r="DY350" s="22"/>
      <c r="DZ350" s="22"/>
      <c r="EA350" s="22"/>
      <c r="EB350" s="22"/>
      <c r="EC350" s="22"/>
      <c r="ED350" s="22"/>
      <c r="EE350" s="22"/>
      <c r="EF350" s="22"/>
      <c r="EG350" s="22"/>
      <c r="EH350" s="22"/>
      <c r="EI350" s="22"/>
      <c r="EJ350" s="22"/>
      <c r="EK350" s="22"/>
      <c r="EL350" s="22"/>
      <c r="EM350" s="43"/>
      <c r="EN350" s="43"/>
      <c r="EO350" s="43"/>
      <c r="EP350" s="43"/>
      <c r="EQ350" s="43"/>
      <c r="ER350" s="43"/>
      <c r="ES350" s="43"/>
      <c r="ET350" s="43"/>
      <c r="EU350" s="43"/>
      <c r="EV350" s="43"/>
      <c r="EW350" s="43"/>
      <c r="EX350" s="43"/>
      <c r="EY350" s="43"/>
      <c r="EZ350" s="43"/>
      <c r="FA350" s="43"/>
      <c r="FB350" s="43"/>
      <c r="FC350" s="43"/>
    </row>
    <row r="351" ht="18.0" customHeight="1">
      <c r="A351" s="2"/>
      <c r="B351" s="22" t="str">
        <f>IFERROR(VLOOKUP(C351,'Реестр'!C:AC,27,0)," ")</f>
        <v>Смарт-Сэйл</v>
      </c>
      <c r="C351" s="43" t="s">
        <v>5261</v>
      </c>
      <c r="D351" s="22" t="str">
        <f>IFERROR(VLOOKUP(C351,'Лист4'!D:P,13,0)," ")</f>
        <v>Алтея</v>
      </c>
      <c r="E351" s="22" t="str">
        <f>IF(OR(ISERROR(VLOOKUP(C351,'Актуальность'!A:B,2,0)), VLOOKUP(C351,'Актуальность'!A:B,2,0)=""), "Актуальный", VLOOKUP(C351,'Актуальность'!A:B,2,0))</f>
        <v>Актуальный</v>
      </c>
      <c r="F351" s="43" t="str">
        <f>IFERROR(VLOOKUP(C351,'Актуальность'!A:C,3,0)," ")</f>
        <v/>
      </c>
      <c r="G351" s="43"/>
      <c r="H351" s="22" t="s">
        <v>2743</v>
      </c>
      <c r="I351" s="22" t="s">
        <v>2744</v>
      </c>
      <c r="J351" s="43"/>
      <c r="K351" s="43"/>
      <c r="L351" s="22" t="b">
        <f t="shared" ref="L351:R351" si="347">T351&lt;&gt;""</f>
        <v>1</v>
      </c>
      <c r="M351" s="22" t="b">
        <f t="shared" si="347"/>
        <v>1</v>
      </c>
      <c r="N351" s="22" t="b">
        <f t="shared" si="347"/>
        <v>1</v>
      </c>
      <c r="O351" s="22" t="b">
        <f t="shared" si="347"/>
        <v>1</v>
      </c>
      <c r="P351" s="22" t="b">
        <f t="shared" si="347"/>
        <v>0</v>
      </c>
      <c r="Q351" s="22" t="b">
        <f t="shared" si="347"/>
        <v>0</v>
      </c>
      <c r="R351" s="22" t="b">
        <f t="shared" si="347"/>
        <v>0</v>
      </c>
      <c r="S351" s="43"/>
      <c r="T351" s="43" t="str">
        <f>IFERROR(VLOOKUP( C351,'1С'!A:B,2,0)," ")</f>
        <v>AC101100461</v>
      </c>
      <c r="U351" s="64" t="s">
        <v>5261</v>
      </c>
      <c r="V351" s="22" t="s">
        <v>5261</v>
      </c>
      <c r="W351" s="55" t="s">
        <v>5261</v>
      </c>
      <c r="X351" s="43" t="str">
        <f>IFERROR(VLOOKUP(T351,'Лист4'!C:I,7,0)," ")</f>
        <v/>
      </c>
      <c r="Y351" s="43" t="str">
        <f>IFERROR(VLOOKUP(T351,'Лист4'!C:I,6,0)," ")</f>
        <v/>
      </c>
      <c r="Z351" s="43"/>
      <c r="AA351" s="43"/>
      <c r="AB351" s="22">
        <v>7.27028589E8</v>
      </c>
      <c r="AC351" s="22">
        <v>3.285665744E9</v>
      </c>
      <c r="AD351" s="22">
        <v>4.928672266E9</v>
      </c>
      <c r="AE351" s="22"/>
      <c r="AF351" s="22"/>
      <c r="AG351" s="43"/>
      <c r="AH351" s="43"/>
      <c r="AI351" s="43" t="str">
        <f>IFERROR(VLOOKUP(T351,'1С'!B:C,2,0)," ")</f>
        <v>Крем для лица Ретинайт 1,5%, Алтея, 50 мл</v>
      </c>
      <c r="AJ351" s="22" t="s">
        <v>5264</v>
      </c>
      <c r="AK351" s="22" t="s">
        <v>5264</v>
      </c>
      <c r="AL351" s="22" t="s">
        <v>5265</v>
      </c>
      <c r="AM351" s="43"/>
      <c r="AN351" s="43"/>
      <c r="AO351" s="43"/>
      <c r="AP351" s="43"/>
      <c r="AQ351" s="46" t="s">
        <v>5266</v>
      </c>
      <c r="AR351" s="43"/>
      <c r="AS351" s="46" t="s">
        <v>5267</v>
      </c>
      <c r="AT351" s="43"/>
      <c r="AU351" s="43"/>
      <c r="AV351" s="43"/>
      <c r="AW351" s="43"/>
      <c r="AX351" s="22" t="s">
        <v>594</v>
      </c>
      <c r="AY351" s="22" t="s">
        <v>5264</v>
      </c>
      <c r="AZ351" s="22" t="s">
        <v>595</v>
      </c>
      <c r="BA351" s="43"/>
      <c r="BB351" s="43"/>
      <c r="BC351" s="43"/>
      <c r="BD351" s="43"/>
      <c r="BE351" s="43"/>
      <c r="BF351" s="22" t="str">
        <f>IFERROR(VLOOKUP(C351,'спецификация'!B:D,3,0)," ")</f>
        <v> </v>
      </c>
      <c r="BG351" s="22">
        <v>3.30499E9</v>
      </c>
      <c r="BH351" s="22" t="str">
        <f>IFERROR(VLOOKUP(C351,'спецификация'!B:AA,5,0)," ")</f>
        <v> </v>
      </c>
      <c r="BI351" s="22"/>
      <c r="BJ351" s="22" t="str">
        <f>IFERROR(VLOOKUP(C351,'спецификация'!B:AA,6,0)," ")</f>
        <v> </v>
      </c>
      <c r="BK351" s="43"/>
      <c r="BL351" s="43"/>
      <c r="BM351" s="22" t="str">
        <f>IFERROR(VLOOKUP(BF351,'спецификация'!D:H,5,0)," ")</f>
        <v> </v>
      </c>
      <c r="BN351" s="43"/>
      <c r="BO351" s="22" t="str">
        <f>IFERROR(VLOOKUP(C351,'спецификация'!B:AA,10,0)," ")</f>
        <v> </v>
      </c>
      <c r="BP351" s="43" t="str">
        <f>IFERROR(VLOOKUP(C351,'спецификация'!B:AA,11,0)," ")</f>
        <v> </v>
      </c>
      <c r="BQ351" s="22" t="str">
        <f>IFERROR(VLOOKUP(C351,'спецификация'!B:AA,12,0)," ")</f>
        <v> </v>
      </c>
      <c r="BR351" s="22"/>
      <c r="BS351" s="43"/>
      <c r="BT351" s="43"/>
      <c r="BU351" s="22"/>
      <c r="BV351" s="22" t="s">
        <v>401</v>
      </c>
      <c r="BW351" s="45" t="str">
        <f>IFERROR(VLOOKUP(C351,'спецификация'!B:AA,16,0)," ")</f>
        <v> </v>
      </c>
      <c r="BX351" s="43"/>
      <c r="BY351" s="43"/>
      <c r="BZ351" s="45" t="str">
        <f>IFERROR(VLOOKUP(BF351,'спецификация'!D:Y,22,0)," ")</f>
        <v> </v>
      </c>
      <c r="CA351" s="43"/>
      <c r="CB351" s="43"/>
      <c r="CC351" s="43"/>
      <c r="CD351" s="43"/>
      <c r="CE351" s="43"/>
      <c r="CF351" s="43"/>
      <c r="CG351" s="49">
        <f>IFERROR(VLOOKUP(C351,CC!A:D,4,0)," ")</f>
        <v>121</v>
      </c>
      <c r="CH351" s="22" t="str">
        <f>IFERROR(VLOOKUP(C351,'спецификация'!B:AA,19,0)," ")</f>
        <v> </v>
      </c>
      <c r="CI351" s="22"/>
      <c r="CJ351" s="43"/>
      <c r="CK351" s="22" t="str">
        <f>IFERROR(VLOOKUP(C351,CC!K:M,3,0)," ")</f>
        <v> </v>
      </c>
      <c r="CL351" s="43"/>
      <c r="CM351" s="43"/>
      <c r="CN351" s="43"/>
      <c r="CO351" s="43"/>
      <c r="CP351" s="43"/>
      <c r="CQ351" s="43"/>
      <c r="CR351" s="43"/>
      <c r="CS351" s="43" t="b">
        <v>0</v>
      </c>
      <c r="CT351" s="43" t="b">
        <v>0</v>
      </c>
      <c r="CU351" s="43" t="b">
        <v>0</v>
      </c>
      <c r="CV351" s="43" t="b">
        <v>0</v>
      </c>
      <c r="CW351" s="43"/>
      <c r="CX351" s="43"/>
      <c r="CY351" s="43"/>
      <c r="CZ351" s="43"/>
      <c r="DA351" s="43"/>
      <c r="DB351" s="43"/>
      <c r="DC351" s="43"/>
      <c r="DD351" s="22" t="str">
        <f>IFERROR(VLOOKUP($C351,'Лист4'!$D:$AI,27,0)," ")</f>
        <v/>
      </c>
      <c r="DE351" s="22" t="str">
        <f>IFERROR(VLOOKUP($C351,'Лист4'!$D:$AI,28,0)," ")</f>
        <v/>
      </c>
      <c r="DF351" s="22" t="str">
        <f>IFERROR(VLOOKUP($C351,'Лист4'!$D:$AI,29,0)," ")</f>
        <v/>
      </c>
      <c r="DG351" s="22">
        <f t="shared" si="3"/>
        <v>0</v>
      </c>
      <c r="DH351" s="22" t="str">
        <f>IFERROR(VLOOKUP($C351,'Лист4'!$D:$AI,32,0)," ")</f>
        <v/>
      </c>
      <c r="DI351" s="22"/>
      <c r="DJ351" s="22"/>
      <c r="DK351" s="22"/>
      <c r="DL351" s="22"/>
      <c r="DM351" s="22"/>
      <c r="DN351" s="22"/>
      <c r="DO351" s="22"/>
      <c r="DP351" s="22"/>
      <c r="DQ351" s="22"/>
      <c r="DR351" s="22"/>
      <c r="DS351" s="22"/>
      <c r="DT351" s="22"/>
      <c r="DU351" s="22"/>
      <c r="DV351" s="22"/>
      <c r="DW351" s="22"/>
      <c r="DX351" s="22"/>
      <c r="DY351" s="22"/>
      <c r="DZ351" s="22"/>
      <c r="EA351" s="22"/>
      <c r="EB351" s="22"/>
      <c r="EC351" s="22"/>
      <c r="ED351" s="22"/>
      <c r="EE351" s="22"/>
      <c r="EF351" s="22"/>
      <c r="EG351" s="22"/>
      <c r="EH351" s="22"/>
      <c r="EI351" s="22"/>
      <c r="EJ351" s="22"/>
      <c r="EK351" s="22"/>
      <c r="EL351" s="22"/>
      <c r="EM351" s="43"/>
      <c r="EN351" s="43"/>
      <c r="EO351" s="43"/>
      <c r="EP351" s="43"/>
      <c r="EQ351" s="43"/>
      <c r="ER351" s="43"/>
      <c r="ES351" s="43"/>
      <c r="ET351" s="43"/>
      <c r="EU351" s="43"/>
      <c r="EV351" s="43"/>
      <c r="EW351" s="43"/>
      <c r="EX351" s="43"/>
      <c r="EY351" s="43"/>
      <c r="EZ351" s="43"/>
      <c r="FA351" s="43"/>
      <c r="FB351" s="43"/>
      <c r="FC351" s="43"/>
    </row>
    <row r="352" ht="18.0" customHeight="1">
      <c r="A352" s="2"/>
      <c r="B352" s="22" t="str">
        <f>IFERROR(VLOOKUP(C352,'Реестр'!C:AC,27,0)," ")</f>
        <v>Смарт-Сэйл</v>
      </c>
      <c r="C352" s="43" t="s">
        <v>5272</v>
      </c>
      <c r="D352" s="22" t="str">
        <f>IFERROR(VLOOKUP(C352,'Лист4'!D:P,13,0)," ")</f>
        <v>CPA</v>
      </c>
      <c r="E352" s="22" t="str">
        <f>IF(OR(ISERROR(VLOOKUP(C352,'Актуальность'!A:B,2,0)), VLOOKUP(C352,'Актуальность'!A:B,2,0)=""), "Актуальный", VLOOKUP(C352,'Актуальность'!A:B,2,0))</f>
        <v>Актуальный</v>
      </c>
      <c r="F352" s="43" t="str">
        <f>IFERROR(VLOOKUP(C352,'Актуальность'!A:C,3,0)," ")</f>
        <v/>
      </c>
      <c r="G352" s="43"/>
      <c r="H352" s="22"/>
      <c r="I352" s="22"/>
      <c r="J352" s="43"/>
      <c r="K352" s="43"/>
      <c r="L352" s="22" t="b">
        <f t="shared" ref="L352:R352" si="348">T352&lt;&gt;""</f>
        <v>1</v>
      </c>
      <c r="M352" s="22" t="b">
        <f t="shared" si="348"/>
        <v>1</v>
      </c>
      <c r="N352" s="22" t="b">
        <f t="shared" si="348"/>
        <v>1</v>
      </c>
      <c r="O352" s="22" t="b">
        <f t="shared" si="348"/>
        <v>0</v>
      </c>
      <c r="P352" s="22" t="b">
        <f t="shared" si="348"/>
        <v>0</v>
      </c>
      <c r="Q352" s="22" t="b">
        <f t="shared" si="348"/>
        <v>0</v>
      </c>
      <c r="R352" s="22" t="b">
        <f t="shared" si="348"/>
        <v>0</v>
      </c>
      <c r="S352" s="43"/>
      <c r="T352" s="43" t="str">
        <f>IFERROR(VLOOKUP( C352,'1С'!A:B,2,0)," ")</f>
        <v>CB101100402</v>
      </c>
      <c r="U352" s="22" t="str">
        <f>IFERROR(VLOOKUP(T352,'Лист4'!C:I,3,0)," ")</f>
        <v>wbgetsize1gel2</v>
      </c>
      <c r="V352" s="22" t="str">
        <f>IFERROR(VLOOKUP(T352,'Лист4'!C:I,4,0)," ")</f>
        <v>wbgetsize1gel2</v>
      </c>
      <c r="W352" s="22" t="str">
        <f>IFERROR(VLOOKUP(T352,'Лист4'!C:I,5,0)," ")</f>
        <v/>
      </c>
      <c r="X352" s="43" t="str">
        <f>IFERROR(VLOOKUP(T352,'Лист4'!C:I,7,0)," ")</f>
        <v/>
      </c>
      <c r="Y352" s="43" t="str">
        <f>IFERROR(VLOOKUP(T352,'Лист4'!C:I,6,0)," ")</f>
        <v/>
      </c>
      <c r="Z352" s="43"/>
      <c r="AA352" s="43"/>
      <c r="AB352" s="22">
        <v>1.7908721E7</v>
      </c>
      <c r="AC352" s="22">
        <v>2.90029361E8</v>
      </c>
      <c r="AD352" s="22"/>
      <c r="AE352" s="22"/>
      <c r="AF352" s="22"/>
      <c r="AG352" s="43"/>
      <c r="AH352" s="43"/>
      <c r="AI352" s="43" t="str">
        <f>IFERROR(VLOOKUP(T352,'1С'!B:C,2,0)," ")</f>
        <v>Игрушка для взрослых Кольцо, CPA</v>
      </c>
      <c r="AJ352" s="22" t="s">
        <v>5275</v>
      </c>
      <c r="AK352" s="22" t="s">
        <v>5276</v>
      </c>
      <c r="AL352" s="43"/>
      <c r="AM352" s="43"/>
      <c r="AN352" s="43"/>
      <c r="AO352" s="43"/>
      <c r="AP352" s="43"/>
      <c r="AQ352" s="46" t="s">
        <v>5277</v>
      </c>
      <c r="AR352" s="46" t="s">
        <v>5278</v>
      </c>
      <c r="AS352" s="43"/>
      <c r="AT352" s="43"/>
      <c r="AU352" s="43"/>
      <c r="AV352" s="43"/>
      <c r="AW352" s="43"/>
      <c r="AX352" s="22" t="s">
        <v>4667</v>
      </c>
      <c r="AY352" s="22" t="s">
        <v>5276</v>
      </c>
      <c r="AZ352" s="43"/>
      <c r="BA352" s="43"/>
      <c r="BB352" s="43"/>
      <c r="BC352" s="43"/>
      <c r="BD352" s="43"/>
      <c r="BE352" s="43"/>
      <c r="BF352" s="22" t="str">
        <f>IFERROR(VLOOKUP(C352,'спецификация'!B:D,3,0)," ")</f>
        <v> </v>
      </c>
      <c r="BG352" s="22"/>
      <c r="BH352" s="22" t="str">
        <f>IFERROR(VLOOKUP(C352,'спецификация'!B:AA,5,0)," ")</f>
        <v> </v>
      </c>
      <c r="BI352" s="22"/>
      <c r="BJ352" s="22" t="str">
        <f>IFERROR(VLOOKUP(C352,'спецификация'!B:AA,6,0)," ")</f>
        <v> </v>
      </c>
      <c r="BK352" s="43"/>
      <c r="BL352" s="43"/>
      <c r="BM352" s="22" t="str">
        <f>IFERROR(VLOOKUP(BF352,'спецификация'!D:H,5,0)," ")</f>
        <v> </v>
      </c>
      <c r="BN352" s="43"/>
      <c r="BO352" s="22" t="str">
        <f>IFERROR(VLOOKUP(C352,'спецификация'!B:AA,10,0)," ")</f>
        <v> </v>
      </c>
      <c r="BP352" s="43" t="str">
        <f>IFERROR(VLOOKUP(C352,'спецификация'!B:AA,11,0)," ")</f>
        <v> </v>
      </c>
      <c r="BQ352" s="22" t="str">
        <f>IFERROR(VLOOKUP(C352,'спецификация'!B:AA,12,0)," ")</f>
        <v> </v>
      </c>
      <c r="BR352" s="22">
        <v>1.0</v>
      </c>
      <c r="BS352" s="60" t="s">
        <v>5281</v>
      </c>
      <c r="BT352" s="60"/>
      <c r="BU352" s="22"/>
      <c r="BV352" s="22" t="s">
        <v>5283</v>
      </c>
      <c r="BW352" s="45" t="str">
        <f>IFERROR(VLOOKUP(C352,'спецификация'!B:AA,16,0)," ")</f>
        <v> </v>
      </c>
      <c r="BX352" s="43"/>
      <c r="BY352" s="43"/>
      <c r="BZ352" s="45" t="str">
        <f>IFERROR(VLOOKUP(BF352,'спецификация'!D:Y,22,0)," ")</f>
        <v> </v>
      </c>
      <c r="CA352" s="43"/>
      <c r="CB352" s="43"/>
      <c r="CC352" s="43"/>
      <c r="CD352" s="43"/>
      <c r="CE352" s="43"/>
      <c r="CF352" s="43"/>
      <c r="CG352" s="49">
        <f>IFERROR(VLOOKUP(C352,CC!A:D,4,0)," ")</f>
        <v>480</v>
      </c>
      <c r="CH352" s="22" t="str">
        <f>IFERROR(VLOOKUP(C352,'спецификация'!B:AA,19,0)," ")</f>
        <v> </v>
      </c>
      <c r="CI352" s="22"/>
      <c r="CJ352" s="43"/>
      <c r="CK352" s="22">
        <f>IFERROR(VLOOKUP(C352,CC!K:M,3,0)," ")</f>
        <v>45</v>
      </c>
      <c r="CL352" s="43"/>
      <c r="CM352" s="43"/>
      <c r="CN352" s="43"/>
      <c r="CO352" s="43"/>
      <c r="CP352" s="43"/>
      <c r="CQ352" s="43"/>
      <c r="CR352" s="43"/>
      <c r="CS352" s="43" t="b">
        <v>0</v>
      </c>
      <c r="CT352" s="43" t="b">
        <v>0</v>
      </c>
      <c r="CU352" s="43" t="b">
        <v>0</v>
      </c>
      <c r="CV352" s="43" t="b">
        <v>0</v>
      </c>
      <c r="CW352" s="43"/>
      <c r="CX352" s="43"/>
      <c r="CY352" s="43"/>
      <c r="CZ352" s="43"/>
      <c r="DA352" s="43"/>
      <c r="DB352" s="43"/>
      <c r="DC352" s="43"/>
      <c r="DD352" s="22">
        <f>IFERROR(VLOOKUP($C352,'Лист4'!$D:$AI,27,0)," ")</f>
        <v>22</v>
      </c>
      <c r="DE352" s="22">
        <f>IFERROR(VLOOKUP($C352,'Лист4'!$D:$AI,28,0)," ")</f>
        <v>6</v>
      </c>
      <c r="DF352" s="22">
        <f>IFERROR(VLOOKUP($C352,'Лист4'!$D:$AI,29,0)," ")</f>
        <v>22</v>
      </c>
      <c r="DG352" s="22">
        <f t="shared" si="3"/>
        <v>2904</v>
      </c>
      <c r="DH352" s="22">
        <f>IFERROR(VLOOKUP($C352,'Лист4'!$D:$AI,32,0)," ")</f>
        <v>0.242</v>
      </c>
      <c r="DI352" s="22"/>
      <c r="DJ352" s="22"/>
      <c r="DK352" s="22"/>
      <c r="DL352" s="22"/>
      <c r="DM352" s="22"/>
      <c r="DN352" s="22"/>
      <c r="DO352" s="22"/>
      <c r="DP352" s="22"/>
      <c r="DQ352" s="22"/>
      <c r="DR352" s="22"/>
      <c r="DS352" s="22"/>
      <c r="DT352" s="22"/>
      <c r="DU352" s="22"/>
      <c r="DV352" s="22"/>
      <c r="DW352" s="22"/>
      <c r="DX352" s="22"/>
      <c r="DY352" s="22"/>
      <c r="DZ352" s="22"/>
      <c r="EA352" s="22"/>
      <c r="EB352" s="22"/>
      <c r="EC352" s="22"/>
      <c r="ED352" s="22"/>
      <c r="EE352" s="22"/>
      <c r="EF352" s="22"/>
      <c r="EG352" s="22"/>
      <c r="EH352" s="22"/>
      <c r="EI352" s="22"/>
      <c r="EJ352" s="22"/>
      <c r="EK352" s="22"/>
      <c r="EL352" s="22"/>
      <c r="EM352" s="43"/>
      <c r="EN352" s="43"/>
      <c r="EO352" s="43"/>
      <c r="EP352" s="43"/>
      <c r="EQ352" s="43"/>
      <c r="ER352" s="43"/>
      <c r="ES352" s="43"/>
      <c r="ET352" s="43"/>
      <c r="EU352" s="43"/>
      <c r="EV352" s="43"/>
      <c r="EW352" s="43"/>
      <c r="EX352" s="43"/>
      <c r="EY352" s="43"/>
      <c r="EZ352" s="43"/>
      <c r="FA352" s="43"/>
      <c r="FB352" s="43"/>
      <c r="FC352" s="43"/>
    </row>
    <row r="353" ht="18.0" customHeight="1">
      <c r="A353" s="2"/>
      <c r="B353" s="22" t="str">
        <f>IFERROR(VLOOKUP(C353,'Реестр'!C:AC,27,0)," ")</f>
        <v>Смарт-Сэйл</v>
      </c>
      <c r="C353" s="43" t="s">
        <v>5284</v>
      </c>
      <c r="D353" s="22" t="str">
        <f>IFERROR(VLOOKUP(C353,'Лист4'!D:P,13,0)," ")</f>
        <v>CPA</v>
      </c>
      <c r="E353" s="22" t="str">
        <f>IF(OR(ISERROR(VLOOKUP(C353,'Актуальность'!A:B,2,0)), VLOOKUP(C353,'Актуальность'!A:B,2,0)=""), "Актуальный", VLOOKUP(C353,'Актуальность'!A:B,2,0))</f>
        <v>Актуальный</v>
      </c>
      <c r="F353" s="43" t="str">
        <f>IFERROR(VLOOKUP(C353,'Актуальность'!A:C,3,0)," ")</f>
        <v/>
      </c>
      <c r="G353" s="43"/>
      <c r="H353" s="22"/>
      <c r="I353" s="22"/>
      <c r="J353" s="43"/>
      <c r="K353" s="43"/>
      <c r="L353" s="22" t="b">
        <f t="shared" ref="L353:R353" si="349">T353&lt;&gt;""</f>
        <v>1</v>
      </c>
      <c r="M353" s="22" t="b">
        <f t="shared" si="349"/>
        <v>1</v>
      </c>
      <c r="N353" s="22" t="b">
        <f t="shared" si="349"/>
        <v>1</v>
      </c>
      <c r="O353" s="22" t="b">
        <f t="shared" si="349"/>
        <v>0</v>
      </c>
      <c r="P353" s="22" t="b">
        <f t="shared" si="349"/>
        <v>0</v>
      </c>
      <c r="Q353" s="22" t="b">
        <f t="shared" si="349"/>
        <v>0</v>
      </c>
      <c r="R353" s="22" t="b">
        <f t="shared" si="349"/>
        <v>0</v>
      </c>
      <c r="S353" s="43"/>
      <c r="T353" s="43" t="str">
        <f>IFERROR(VLOOKUP( C353,'1С'!A:B,2,0)," ")</f>
        <v>CC101100442</v>
      </c>
      <c r="U353" s="22" t="str">
        <f>IFERROR(VLOOKUP(T353,'Лист4'!C:I,3,0)," ")</f>
        <v>wbvaranga</v>
      </c>
      <c r="V353" s="22" t="str">
        <f>IFERROR(VLOOKUP(T353,'Лист4'!C:I,4,0)," ")</f>
        <v>wbvaranga</v>
      </c>
      <c r="W353" s="22" t="str">
        <f>IFERROR(VLOOKUP(T353,'Лист4'!C:I,5,0)," ")</f>
        <v/>
      </c>
      <c r="X353" s="43" t="str">
        <f>IFERROR(VLOOKUP(T353,'Лист4'!C:I,7,0)," ")</f>
        <v/>
      </c>
      <c r="Y353" s="43" t="str">
        <f>IFERROR(VLOOKUP(T353,'Лист4'!C:I,6,0)," ")</f>
        <v/>
      </c>
      <c r="Z353" s="43"/>
      <c r="AA353" s="43"/>
      <c r="AB353" s="22">
        <v>4.1327376E7</v>
      </c>
      <c r="AC353" s="22">
        <v>3.27231451E8</v>
      </c>
      <c r="AD353" s="22"/>
      <c r="AE353" s="22"/>
      <c r="AF353" s="22"/>
      <c r="AG353" s="43"/>
      <c r="AH353" s="43"/>
      <c r="AI353" s="43" t="str">
        <f>IFERROR(VLOOKUP(T353,'1С'!B:C,2,0)," ")</f>
        <v>Мазь от грибка Варанга , CPA, 10 мл</v>
      </c>
      <c r="AJ353" s="22" t="s">
        <v>5287</v>
      </c>
      <c r="AK353" s="22" t="s">
        <v>5288</v>
      </c>
      <c r="AL353" s="43"/>
      <c r="AM353" s="43"/>
      <c r="AN353" s="43"/>
      <c r="AO353" s="43"/>
      <c r="AP353" s="43"/>
      <c r="AQ353" s="46" t="s">
        <v>5289</v>
      </c>
      <c r="AR353" s="46" t="s">
        <v>5290</v>
      </c>
      <c r="AS353" s="43"/>
      <c r="AT353" s="43"/>
      <c r="AU353" s="43"/>
      <c r="AV353" s="43"/>
      <c r="AW353" s="43"/>
      <c r="AX353" s="22" t="s">
        <v>594</v>
      </c>
      <c r="AY353" s="22" t="s">
        <v>5288</v>
      </c>
      <c r="AZ353" s="43"/>
      <c r="BA353" s="43"/>
      <c r="BB353" s="43"/>
      <c r="BC353" s="43"/>
      <c r="BD353" s="43"/>
      <c r="BE353" s="43"/>
      <c r="BF353" s="22">
        <f>IFERROR(VLOOKUP(C353,'спецификация'!B:D,3,0)," ")</f>
        <v>4631136905080</v>
      </c>
      <c r="BG353" s="22">
        <v>3.30499E9</v>
      </c>
      <c r="BH353" s="22" t="str">
        <f>IFERROR(VLOOKUP(C353,'спецификация'!B:AA,5,0)," ")</f>
        <v>ЕАЭС N RU Д-RU.РД04.B.03319/19 от 11.10.2019 до 10.10.2024</v>
      </c>
      <c r="BI353" s="22"/>
      <c r="BJ353" s="22" t="str">
        <f>IFERROR(VLOOKUP(C353,'спецификация'!B:AA,6,0)," ")</f>
        <v/>
      </c>
      <c r="BK353" s="43"/>
      <c r="BL353" s="43"/>
      <c r="BM353" s="22" t="str">
        <f>IFERROR(VLOOKUP(BF353,'спецификация'!D:H,5,0)," ")</f>
        <v>экстракт прополиса, экстракт эвкалипта, экстракт золотого уса, экстракт цветов сирени, экстракт коры дуба, экстракт календулы, экстракт вербены, экстракт хвоща, экстракт ежевики, экстракт каланхоэ, экстракт кофе, экстракт чеснока, экстракт почек черного тополя, экстракт имбиря, экстракт полыни, экстракт чистотела, экстракт сосны, экстракт мяты,экстракт чайного дерева , экстракт молочая, экстракт дурнишника, экстракт лимона, экстракт листа рябины, экстракт чабреца, экстракт орегано, экстракт морских водорослей, экстракт аира, экстракт индийского лука, экстракт шалфея, экстракт ромашки, экстракт смолы абрикоса (камедь), экстракт бадьяна.</v>
      </c>
      <c r="BN353" s="43"/>
      <c r="BO353" s="22" t="str">
        <f>IFERROR(VLOOKUP(C353,'спецификация'!B:AA,10,0)," ")</f>
        <v/>
      </c>
      <c r="BP353" s="43" t="str">
        <f>IFERROR(VLOOKUP(C353,'спецификация'!B:AA,11,0),"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53" s="22" t="str">
        <f>IFERROR(VLOOKUP(C353,'спецификация'!B:AA,12,0)," ")</f>
        <v> хранить при температуре до 25 °C, избегая попадания прямых солнечных лучей.
</v>
      </c>
      <c r="BR353" s="22">
        <v>10.0</v>
      </c>
      <c r="BS353" s="22" t="s">
        <v>139</v>
      </c>
      <c r="BT353" s="22"/>
      <c r="BU353" s="22"/>
      <c r="BV353" s="22" t="s">
        <v>307</v>
      </c>
      <c r="BW353" s="44" t="str">
        <f>IFERROR(VLOOKUP(C353,'спецификация'!B:AA,16,0)," ")</f>
        <v>https://docs.google.com/document/d/0B7-1wy6SJH2oSHRhOXlYZXFuRnc/edit?resourcekey=0-qpweuMfstOx0PTpcXhALng</v>
      </c>
      <c r="BX353" s="43"/>
      <c r="BY353" s="43"/>
      <c r="BZ353" s="45" t="str">
        <f>IFERROR(VLOOKUP(BF353,'спецификация'!D:Y,22,0)," ")</f>
        <v/>
      </c>
      <c r="CA353" s="43"/>
      <c r="CB353" s="43"/>
      <c r="CC353" s="43"/>
      <c r="CD353" s="43"/>
      <c r="CE353" s="43"/>
      <c r="CF353" s="43"/>
      <c r="CG353" s="49">
        <f>IFERROR(VLOOKUP(C353,CC!A:D,4,0)," ")</f>
        <v>97.98</v>
      </c>
      <c r="CH353" s="22" t="str">
        <f>IFERROR(VLOOKUP(C353,'спецификация'!B:AA,19,0)," ")</f>
        <v>ООО «Восток Плюс», 107113, г. Москва, Сокольническая пл., дом 4а, этаж 3, пом.IV, комн.11</v>
      </c>
      <c r="CI353" s="22"/>
      <c r="CJ353" s="43"/>
      <c r="CK353" s="22" t="str">
        <f>IFERROR(VLOOKUP(C353,CC!K:M,3,0)," ")</f>
        <v> </v>
      </c>
      <c r="CL353" s="43"/>
      <c r="CM353" s="43"/>
      <c r="CN353" s="43"/>
      <c r="CO353" s="43"/>
      <c r="CP353" s="43"/>
      <c r="CQ353" s="43"/>
      <c r="CR353" s="43"/>
      <c r="CS353" s="43" t="b">
        <v>0</v>
      </c>
      <c r="CT353" s="43" t="b">
        <v>0</v>
      </c>
      <c r="CU353" s="43" t="b">
        <v>0</v>
      </c>
      <c r="CV353" s="43" t="b">
        <v>0</v>
      </c>
      <c r="CW353" s="43"/>
      <c r="CX353" s="43"/>
      <c r="CY353" s="43"/>
      <c r="CZ353" s="43"/>
      <c r="DA353" s="43"/>
      <c r="DB353" s="43"/>
      <c r="DC353" s="43"/>
      <c r="DD353" s="22">
        <f>IFERROR(VLOOKUP($C353,'Лист4'!$D:$AI,27,0)," ")</f>
        <v>9</v>
      </c>
      <c r="DE353" s="22">
        <f>IFERROR(VLOOKUP($C353,'Лист4'!$D:$AI,28,0)," ")</f>
        <v>3</v>
      </c>
      <c r="DF353" s="22">
        <f>IFERROR(VLOOKUP($C353,'Лист4'!$D:$AI,29,0)," ")</f>
        <v>9</v>
      </c>
      <c r="DG353" s="22">
        <f t="shared" si="3"/>
        <v>243</v>
      </c>
      <c r="DH353" s="22">
        <f>IFERROR(VLOOKUP($C353,'Лист4'!$D:$AI,32,0)," ")</f>
        <v>0.046</v>
      </c>
      <c r="DI353" s="22"/>
      <c r="DJ353" s="22"/>
      <c r="DK353" s="22"/>
      <c r="DL353" s="22"/>
      <c r="DM353" s="22"/>
      <c r="DN353" s="22"/>
      <c r="DO353" s="22"/>
      <c r="DP353" s="22"/>
      <c r="DQ353" s="22"/>
      <c r="DR353" s="22"/>
      <c r="DS353" s="22"/>
      <c r="DT353" s="22"/>
      <c r="DU353" s="22"/>
      <c r="DV353" s="22"/>
      <c r="DW353" s="22"/>
      <c r="DX353" s="22"/>
      <c r="DY353" s="22"/>
      <c r="DZ353" s="22"/>
      <c r="EA353" s="22"/>
      <c r="EB353" s="22"/>
      <c r="EC353" s="22"/>
      <c r="ED353" s="22"/>
      <c r="EE353" s="22"/>
      <c r="EF353" s="22"/>
      <c r="EG353" s="22"/>
      <c r="EH353" s="22"/>
      <c r="EI353" s="22"/>
      <c r="EJ353" s="22"/>
      <c r="EK353" s="22"/>
      <c r="EL353" s="22"/>
      <c r="EM353" s="43"/>
      <c r="EN353" s="43"/>
      <c r="EO353" s="43"/>
      <c r="EP353" s="43"/>
      <c r="EQ353" s="43"/>
      <c r="ER353" s="43"/>
      <c r="ES353" s="43"/>
      <c r="ET353" s="43"/>
      <c r="EU353" s="43"/>
      <c r="EV353" s="43"/>
      <c r="EW353" s="43"/>
      <c r="EX353" s="43"/>
      <c r="EY353" s="43"/>
      <c r="EZ353" s="43"/>
      <c r="FA353" s="43"/>
      <c r="FB353" s="43"/>
      <c r="FC353" s="43"/>
    </row>
    <row r="354" ht="18.0" customHeight="1">
      <c r="A354" s="2"/>
      <c r="B354" s="22" t="str">
        <f>IFERROR(VLOOKUP(C354,'Реестр'!C:AC,27,0)," ")</f>
        <v>Смарт-Сэйл</v>
      </c>
      <c r="C354" s="43" t="s">
        <v>5296</v>
      </c>
      <c r="D354" s="22" t="str">
        <f>IFERROR(VLOOKUP(C354,'Лист4'!D:P,13,0)," ")</f>
        <v>CPA</v>
      </c>
      <c r="E354" s="22" t="str">
        <f>IF(OR(ISERROR(VLOOKUP(C354,'Актуальность'!A:B,2,0)), VLOOKUP(C354,'Актуальность'!A:B,2,0)=""), "Актуальный", VLOOKUP(C354,'Актуальность'!A:B,2,0))</f>
        <v>Актуальный</v>
      </c>
      <c r="F354" s="43" t="str">
        <f>IFERROR(VLOOKUP(C354,'Актуальность'!A:C,3,0)," ")</f>
        <v/>
      </c>
      <c r="G354" s="43"/>
      <c r="H354" s="22"/>
      <c r="I354" s="22"/>
      <c r="J354" s="43"/>
      <c r="K354" s="43"/>
      <c r="L354" s="22" t="b">
        <f t="shared" ref="L354:R354" si="350">T354&lt;&gt;""</f>
        <v>1</v>
      </c>
      <c r="M354" s="22" t="b">
        <f t="shared" si="350"/>
        <v>1</v>
      </c>
      <c r="N354" s="22" t="b">
        <f t="shared" si="350"/>
        <v>1</v>
      </c>
      <c r="O354" s="22" t="b">
        <f t="shared" si="350"/>
        <v>1</v>
      </c>
      <c r="P354" s="22" t="b">
        <f t="shared" si="350"/>
        <v>0</v>
      </c>
      <c r="Q354" s="22" t="b">
        <f t="shared" si="350"/>
        <v>0</v>
      </c>
      <c r="R354" s="22" t="b">
        <f t="shared" si="350"/>
        <v>0</v>
      </c>
      <c r="S354" s="43"/>
      <c r="T354" s="43" t="str">
        <f>IFERROR(VLOOKUP( C354,'1С'!A:B,2,0)," ")</f>
        <v>CC101100443</v>
      </c>
      <c r="U354" s="22" t="str">
        <f>IFERROR(VLOOKUP(T354,'Лист4'!C:I,3,0)," ")</f>
        <v>sustalit</v>
      </c>
      <c r="V354" s="22" t="str">
        <f>IFERROR(VLOOKUP(T354,'Лист4'!C:I,4,0)," ")</f>
        <v>sustalit</v>
      </c>
      <c r="W354" s="22" t="str">
        <f>IFERROR(VLOOKUP(T354,'Лист4'!C:I,5,0)," ")</f>
        <v>sustalit</v>
      </c>
      <c r="X354" s="43" t="str">
        <f>IFERROR(VLOOKUP(T354,'Лист4'!C:I,7,0)," ")</f>
        <v/>
      </c>
      <c r="Y354" s="43" t="str">
        <f>IFERROR(VLOOKUP(T354,'Лист4'!C:I,6,0)," ")</f>
        <v/>
      </c>
      <c r="Z354" s="43"/>
      <c r="AA354" s="43"/>
      <c r="AB354" s="22">
        <v>1.09014186E8</v>
      </c>
      <c r="AC354" s="22">
        <v>7.43548429E8</v>
      </c>
      <c r="AD354" s="22">
        <v>1.03340884504E11</v>
      </c>
      <c r="AE354" s="22"/>
      <c r="AF354" s="22"/>
      <c r="AG354" s="43"/>
      <c r="AH354" s="43"/>
      <c r="AI354" s="43" t="str">
        <f>IFERROR(VLOOKUP(T354,'1С'!B:C,2,0)," ")</f>
        <v>Мазь для суставов Сусталит , CPA, 30 мл</v>
      </c>
      <c r="AJ354" s="22" t="s">
        <v>5299</v>
      </c>
      <c r="AK354" s="22" t="s">
        <v>5300</v>
      </c>
      <c r="AL354" s="22" t="s">
        <v>5301</v>
      </c>
      <c r="AM354" s="43"/>
      <c r="AN354" s="43"/>
      <c r="AO354" s="43"/>
      <c r="AP354" s="43"/>
      <c r="AQ354" s="46" t="s">
        <v>5302</v>
      </c>
      <c r="AR354" s="46" t="s">
        <v>5303</v>
      </c>
      <c r="AS354" s="46" t="s">
        <v>5304</v>
      </c>
      <c r="AT354" s="43"/>
      <c r="AU354" s="43"/>
      <c r="AV354" s="43"/>
      <c r="AW354" s="43"/>
      <c r="AX354" s="22" t="s">
        <v>594</v>
      </c>
      <c r="AY354" s="22" t="s">
        <v>5300</v>
      </c>
      <c r="AZ354" s="22" t="s">
        <v>2672</v>
      </c>
      <c r="BA354" s="43"/>
      <c r="BB354" s="43"/>
      <c r="BC354" s="43"/>
      <c r="BD354" s="43"/>
      <c r="BE354" s="43"/>
      <c r="BF354" s="22">
        <f>IFERROR(VLOOKUP(C354,'спецификация'!B:D,3,0)," ")</f>
        <v>4640012268409</v>
      </c>
      <c r="BG354" s="22">
        <v>3.30499E9</v>
      </c>
      <c r="BH354" s="22" t="str">
        <f>IFERROR(VLOOKUP(C354,'спецификация'!B:AA,5,0)," ")</f>
        <v>ЕАЭС N RU Д-RU.РА06.В.20033/22 от 12.09.2022 по 04.09.2027</v>
      </c>
      <c r="BI354" s="22"/>
      <c r="BJ354" s="22" t="str">
        <f>IFERROR(VLOOKUP(C354,'спецификация'!B:AA,6,0)," ")</f>
        <v/>
      </c>
      <c r="BK354" s="43"/>
      <c r="BL354" s="43"/>
      <c r="BM354" s="22" t="str">
        <f>IFERROR(VLOOKUP(BF354,'спецификация'!D:H,5,0)," ")</f>
        <v>вытяжка из пантов алтайского марала, экстракт конского каштана, экстракт сабельника, экстракт чёрного тмина, экстракт ягеля, экстракт босвеллии (ладана), глюкозамина сульфат, хондроитина сульфат, витамин Д3, желчь.</v>
      </c>
      <c r="BN354" s="43"/>
      <c r="BO354" s="22" t="str">
        <f>IFERROR(VLOOKUP(C354,'спецификация'!B:AA,10,0)," ")</f>
        <v/>
      </c>
      <c r="BP354" s="43" t="str">
        <f>IFERROR(VLOOKUP(C354,'спецификация'!B:AA,11,0)," ")</f>
        <v>не рекомендуется использовать во время беременности и детям.
Гипоаллергенно. Возможна индивидуальная непереносимость компонентов.
</v>
      </c>
      <c r="BQ354" s="22" t="str">
        <f>IFERROR(VLOOKUP(C354,'спецификация'!B:AA,12,0)," ")</f>
        <v>хранить при температуре до 25°C, избегая попадания прямых солнечных лучей.
</v>
      </c>
      <c r="BR354" s="22">
        <v>30.0</v>
      </c>
      <c r="BS354" s="22" t="s">
        <v>139</v>
      </c>
      <c r="BT354" s="22"/>
      <c r="BU354" s="22"/>
      <c r="BV354" s="22"/>
      <c r="BW354" s="44" t="str">
        <f>IFERROR(VLOOKUP(C354,'спецификация'!B:AA,16,0)," ")</f>
        <v>https://drive.google.com/drive/folders/1KHPhOeLNDS-nl8lTKKj5_YfkghstNVSm</v>
      </c>
      <c r="BX354" s="43"/>
      <c r="BY354" s="43"/>
      <c r="BZ354" s="45" t="str">
        <f>IFERROR(VLOOKUP(BF354,'спецификация'!D:Y,22,0)," ")</f>
        <v/>
      </c>
      <c r="CA354" s="43"/>
      <c r="CB354" s="43"/>
      <c r="CC354" s="43"/>
      <c r="CD354" s="43"/>
      <c r="CE354" s="43"/>
      <c r="CF354" s="43"/>
      <c r="CG354" s="49">
        <f>IFERROR(VLOOKUP(C354,CC!A:D,4,0)," ")</f>
        <v>125.88</v>
      </c>
      <c r="CH354" s="22" t="str">
        <f>IFERROR(VLOOKUP(C354,'спецификация'!B:AA,19,0)," ")</f>
        <v>ООО «Восток Плюс», 107113, г. Москва, Сокольническая пл., дом 4а, этаж 3, пом.IV, комн.09</v>
      </c>
      <c r="CI354" s="22"/>
      <c r="CJ354" s="43"/>
      <c r="CK354" s="22" t="str">
        <f>IFERROR(VLOOKUP(C354,CC!K:M,3,0)," ")</f>
        <v> </v>
      </c>
      <c r="CL354" s="43"/>
      <c r="CM354" s="43"/>
      <c r="CN354" s="43"/>
      <c r="CO354" s="43"/>
      <c r="CP354" s="43"/>
      <c r="CQ354" s="43"/>
      <c r="CR354" s="43"/>
      <c r="CS354" s="43" t="b">
        <v>0</v>
      </c>
      <c r="CT354" s="43" t="b">
        <v>0</v>
      </c>
      <c r="CU354" s="43" t="b">
        <v>0</v>
      </c>
      <c r="CV354" s="43" t="b">
        <v>0</v>
      </c>
      <c r="CW354" s="43"/>
      <c r="CX354" s="43"/>
      <c r="CY354" s="43"/>
      <c r="CZ354" s="43"/>
      <c r="DA354" s="43"/>
      <c r="DB354" s="43"/>
      <c r="DC354" s="43"/>
      <c r="DD354" s="22">
        <f>IFERROR(VLOOKUP($C354,'Лист4'!$D:$AI,27,0)," ")</f>
        <v>10</v>
      </c>
      <c r="DE354" s="22">
        <f>IFERROR(VLOOKUP($C354,'Лист4'!$D:$AI,28,0)," ")</f>
        <v>3</v>
      </c>
      <c r="DF354" s="22">
        <f>IFERROR(VLOOKUP($C354,'Лист4'!$D:$AI,29,0)," ")</f>
        <v>10</v>
      </c>
      <c r="DG354" s="22">
        <f t="shared" si="3"/>
        <v>300</v>
      </c>
      <c r="DH354" s="22">
        <f>IFERROR(VLOOKUP($C354,'Лист4'!$D:$AI,32,0)," ")</f>
        <v>0.06</v>
      </c>
      <c r="DI354" s="22"/>
      <c r="DJ354" s="22"/>
      <c r="DK354" s="22"/>
      <c r="DL354" s="22"/>
      <c r="DM354" s="22"/>
      <c r="DN354" s="22"/>
      <c r="DO354" s="22"/>
      <c r="DP354" s="22"/>
      <c r="DQ354" s="22"/>
      <c r="DR354" s="22"/>
      <c r="DS354" s="22"/>
      <c r="DT354" s="22"/>
      <c r="DU354" s="22"/>
      <c r="DV354" s="22"/>
      <c r="DW354" s="22"/>
      <c r="DX354" s="22"/>
      <c r="DY354" s="22"/>
      <c r="DZ354" s="22"/>
      <c r="EA354" s="22"/>
      <c r="EB354" s="22"/>
      <c r="EC354" s="22"/>
      <c r="ED354" s="22"/>
      <c r="EE354" s="22"/>
      <c r="EF354" s="22"/>
      <c r="EG354" s="22"/>
      <c r="EH354" s="22"/>
      <c r="EI354" s="22"/>
      <c r="EJ354" s="22"/>
      <c r="EK354" s="22"/>
      <c r="EL354" s="22"/>
      <c r="EM354" s="43"/>
      <c r="EN354" s="43"/>
      <c r="EO354" s="43"/>
      <c r="EP354" s="43"/>
      <c r="EQ354" s="43"/>
      <c r="ER354" s="43"/>
      <c r="ES354" s="43"/>
      <c r="ET354" s="43"/>
      <c r="EU354" s="43"/>
      <c r="EV354" s="43"/>
      <c r="EW354" s="43"/>
      <c r="EX354" s="43"/>
      <c r="EY354" s="43"/>
      <c r="EZ354" s="43"/>
      <c r="FA354" s="43"/>
      <c r="FB354" s="43"/>
      <c r="FC354" s="43"/>
    </row>
    <row r="355" ht="18.0" customHeight="1">
      <c r="A355" s="2"/>
      <c r="B355" s="22" t="str">
        <f>IFERROR(VLOOKUP(C355,'Реестр'!C:AC,27,0)," ")</f>
        <v>Смарт-Сэйл</v>
      </c>
      <c r="C355" s="43" t="s">
        <v>5310</v>
      </c>
      <c r="D355" s="22" t="str">
        <f>IFERROR(VLOOKUP(C355,'Лист4'!D:P,13,0)," ")</f>
        <v>CPA</v>
      </c>
      <c r="E355" s="22" t="str">
        <f>IF(OR(ISERROR(VLOOKUP(C355,'Актуальность'!A:B,2,0)), VLOOKUP(C355,'Актуальность'!A:B,2,0)=""), "Актуальный", VLOOKUP(C355,'Актуальность'!A:B,2,0))</f>
        <v>Актуальный</v>
      </c>
      <c r="F355" s="43" t="str">
        <f>IFERROR(VLOOKUP(C355,'Актуальность'!A:C,3,0)," ")</f>
        <v/>
      </c>
      <c r="G355" s="43"/>
      <c r="H355" s="22"/>
      <c r="I355" s="22"/>
      <c r="J355" s="43"/>
      <c r="K355" s="43"/>
      <c r="L355" s="22" t="b">
        <f t="shared" ref="L355:R355" si="351">T355&lt;&gt;""</f>
        <v>1</v>
      </c>
      <c r="M355" s="22" t="b">
        <f t="shared" si="351"/>
        <v>1</v>
      </c>
      <c r="N355" s="22" t="b">
        <f t="shared" si="351"/>
        <v>1</v>
      </c>
      <c r="O355" s="22" t="b">
        <f t="shared" si="351"/>
        <v>0</v>
      </c>
      <c r="P355" s="22" t="b">
        <f t="shared" si="351"/>
        <v>0</v>
      </c>
      <c r="Q355" s="22" t="b">
        <f t="shared" si="351"/>
        <v>0</v>
      </c>
      <c r="R355" s="22" t="b">
        <f t="shared" si="351"/>
        <v>0</v>
      </c>
      <c r="S355" s="43"/>
      <c r="T355" s="43" t="str">
        <f>IFERROR(VLOOKUP( C355,'1С'!A:B,2,0)," ")</f>
        <v>CC101100444</v>
      </c>
      <c r="U355" s="22" t="str">
        <f>IFERROR(VLOOKUP(T355,'Лист4'!C:I,3,0)," ")</f>
        <v>visitCREAMamarant</v>
      </c>
      <c r="V355" s="22" t="str">
        <f>IFERROR(VLOOKUP(T355,'Лист4'!C:I,4,0)," ")</f>
        <v>visitCREAMamarant</v>
      </c>
      <c r="W355" s="22" t="str">
        <f>IFERROR(VLOOKUP(T355,'Лист4'!C:I,5,0)," ")</f>
        <v/>
      </c>
      <c r="X355" s="43" t="str">
        <f>IFERROR(VLOOKUP(T355,'Лист4'!C:I,7,0)," ")</f>
        <v/>
      </c>
      <c r="Y355" s="43" t="str">
        <f>IFERROR(VLOOKUP(T355,'Лист4'!C:I,6,0)," ")</f>
        <v/>
      </c>
      <c r="Z355" s="43"/>
      <c r="AA355" s="43"/>
      <c r="AB355" s="22">
        <v>1.81469548E8</v>
      </c>
      <c r="AC355" s="22">
        <v>1.235751364E9</v>
      </c>
      <c r="AD355" s="22"/>
      <c r="AE355" s="22"/>
      <c r="AF355" s="22"/>
      <c r="AG355" s="43"/>
      <c r="AH355" s="43"/>
      <c r="AI355" s="43" t="str">
        <f>IFERROR(VLOOKUP(T355,'1С'!B:C,2,0)," ")</f>
        <v>Крем для рук Амарант, CPA, 30 мл</v>
      </c>
      <c r="AJ355" s="22" t="s">
        <v>5313</v>
      </c>
      <c r="AK355" s="22" t="s">
        <v>5314</v>
      </c>
      <c r="AL355" s="43"/>
      <c r="AM355" s="43"/>
      <c r="AN355" s="43"/>
      <c r="AO355" s="43"/>
      <c r="AP355" s="43"/>
      <c r="AQ355" s="46" t="s">
        <v>5315</v>
      </c>
      <c r="AR355" s="46" t="s">
        <v>5316</v>
      </c>
      <c r="AS355" s="43"/>
      <c r="AT355" s="43"/>
      <c r="AU355" s="43"/>
      <c r="AV355" s="43"/>
      <c r="AW355" s="43"/>
      <c r="AX355" s="22" t="s">
        <v>594</v>
      </c>
      <c r="AY355" s="22" t="s">
        <v>5314</v>
      </c>
      <c r="AZ355" s="43"/>
      <c r="BA355" s="43"/>
      <c r="BB355" s="43"/>
      <c r="BC355" s="43"/>
      <c r="BD355" s="43"/>
      <c r="BE355" s="43"/>
      <c r="BF355" s="22">
        <f>IFERROR(VLOOKUP(C355,'спецификация'!B:D,3,0)," ")</f>
        <v>4670017991798</v>
      </c>
      <c r="BG355" s="22">
        <v>3.30499E9</v>
      </c>
      <c r="BH355" s="22" t="str">
        <f>IFERROR(VLOOKUP(C355,'спецификация'!B:AA,5,0)," ")</f>
        <v/>
      </c>
      <c r="BI355" s="22"/>
      <c r="BJ355" s="22" t="str">
        <f>IFERROR(VLOOKUP(C355,'спецификация'!B:AA,6,0)," ")</f>
        <v>нет</v>
      </c>
      <c r="BK355" s="43"/>
      <c r="BL355" s="43"/>
      <c r="BM355" s="22" t="str">
        <f>IFERROR(VLOOKUP(BF355,'спецификация'!D:H,5,0)," ")</f>
        <v>вода, этилгексилкокоат, цетил стеарил полиглюкозид, цетеарил глюкозид, цетеариловый спирт, цетил стеариловый спирт, масло амаранта, масло миндаля,масло ши, масло какао, парфюмерная композиция, циклометикон,феноксиэтанол, метилизотиазолинон, метилхлоризотиазолинон, полиакрилат натрия, карбомер натрия</v>
      </c>
      <c r="BN355" s="43"/>
      <c r="BO355" s="22" t="str">
        <f>IFERROR(VLOOKUP(C355,'спецификация'!B:AA,10,0)," ")</f>
        <v>Нанести на чистую и сухую кожу рук массажными движениями</v>
      </c>
      <c r="BP355" s="43" t="str">
        <f>IFERROR(VLOOKUP(C355,'спецификация'!B:AA,11,0)," ")</f>
        <v/>
      </c>
      <c r="BQ355" s="22" t="str">
        <f>IFERROR(VLOOKUP(C355,'спецификация'!B:AA,12,0)," ")</f>
        <v>Хранить при температуре от +5 до +25 и относительной влажности воздуха не более 70%</v>
      </c>
      <c r="BR355" s="22">
        <v>75.0</v>
      </c>
      <c r="BS355" s="22" t="s">
        <v>139</v>
      </c>
      <c r="BT355" s="22"/>
      <c r="BU355" s="22"/>
      <c r="BV355" s="22" t="s">
        <v>727</v>
      </c>
      <c r="BW355" s="44" t="str">
        <f>IFERROR(VLOOKUP(C355,'спецификация'!B:AA,16,0)," ")</f>
        <v>https://drive.google.com/drive/u/2/folders/1B2krPcTeVp0y2ay8BfvnjLUaeeVOYv3q</v>
      </c>
      <c r="BX355" s="43"/>
      <c r="BY355" s="43"/>
      <c r="BZ355" s="45" t="str">
        <f>IFERROR(VLOOKUP(BF355,'спецификация'!D:Y,22,0)," ")</f>
        <v/>
      </c>
      <c r="CA355" s="43"/>
      <c r="CB355" s="43"/>
      <c r="CC355" s="43"/>
      <c r="CD355" s="43"/>
      <c r="CE355" s="43"/>
      <c r="CF355" s="43"/>
      <c r="CG355" s="49">
        <f>IFERROR(VLOOKUP(C355,CC!A:D,4,0)," ")</f>
        <v>280</v>
      </c>
      <c r="CH355" s="22" t="str">
        <f>IFERROR(VLOOKUP(C355,'спецификация'!B:AA,19,0)," ")</f>
        <v>ООО "САНАТА"</v>
      </c>
      <c r="CI355" s="22"/>
      <c r="CJ355" s="43"/>
      <c r="CK355" s="22">
        <f>IFERROR(VLOOKUP(C355,CC!K:M,3,0)," ")</f>
        <v>90</v>
      </c>
      <c r="CL355" s="43"/>
      <c r="CM355" s="43"/>
      <c r="CN355" s="43"/>
      <c r="CO355" s="43"/>
      <c r="CP355" s="43"/>
      <c r="CQ355" s="43"/>
      <c r="CR355" s="43"/>
      <c r="CS355" s="43" t="b">
        <v>0</v>
      </c>
      <c r="CT355" s="43" t="b">
        <v>0</v>
      </c>
      <c r="CU355" s="43" t="b">
        <v>0</v>
      </c>
      <c r="CV355" s="43" t="b">
        <v>0</v>
      </c>
      <c r="CW355" s="43"/>
      <c r="CX355" s="43"/>
      <c r="CY355" s="43"/>
      <c r="CZ355" s="43"/>
      <c r="DA355" s="43"/>
      <c r="DB355" s="43"/>
      <c r="DC355" s="43"/>
      <c r="DD355" s="22">
        <f>IFERROR(VLOOKUP($C355,'Лист4'!$D:$AI,27,0)," ")</f>
        <v>14</v>
      </c>
      <c r="DE355" s="22">
        <f>IFERROR(VLOOKUP($C355,'Лист4'!$D:$AI,28,0)," ")</f>
        <v>14</v>
      </c>
      <c r="DF355" s="22">
        <f>IFERROR(VLOOKUP($C355,'Лист4'!$D:$AI,29,0)," ")</f>
        <v>14</v>
      </c>
      <c r="DG355" s="22">
        <f t="shared" si="3"/>
        <v>2744</v>
      </c>
      <c r="DH355" s="22">
        <f>IFERROR(VLOOKUP($C355,'Лист4'!$D:$AI,32,0)," ")</f>
        <v>0.055</v>
      </c>
      <c r="DI355" s="22"/>
      <c r="DJ355" s="22"/>
      <c r="DK355" s="22"/>
      <c r="DL355" s="22"/>
      <c r="DM355" s="22"/>
      <c r="DN355" s="22"/>
      <c r="DO355" s="22"/>
      <c r="DP355" s="22"/>
      <c r="DQ355" s="22"/>
      <c r="DR355" s="22"/>
      <c r="DS355" s="22"/>
      <c r="DT355" s="22"/>
      <c r="DU355" s="22"/>
      <c r="DV355" s="22"/>
      <c r="DW355" s="22"/>
      <c r="DX355" s="22"/>
      <c r="DY355" s="22"/>
      <c r="DZ355" s="22"/>
      <c r="EA355" s="22"/>
      <c r="EB355" s="22"/>
      <c r="EC355" s="22"/>
      <c r="ED355" s="22"/>
      <c r="EE355" s="22"/>
      <c r="EF355" s="22"/>
      <c r="EG355" s="22"/>
      <c r="EH355" s="22"/>
      <c r="EI355" s="22"/>
      <c r="EJ355" s="22"/>
      <c r="EK355" s="22"/>
      <c r="EL355" s="22"/>
      <c r="EM355" s="43"/>
      <c r="EN355" s="43"/>
      <c r="EO355" s="43"/>
      <c r="EP355" s="43"/>
      <c r="EQ355" s="43"/>
      <c r="ER355" s="43"/>
      <c r="ES355" s="43"/>
      <c r="ET355" s="43"/>
      <c r="EU355" s="43"/>
      <c r="EV355" s="43"/>
      <c r="EW355" s="43"/>
      <c r="EX355" s="43"/>
      <c r="EY355" s="43"/>
      <c r="EZ355" s="43"/>
      <c r="FA355" s="43"/>
      <c r="FB355" s="43"/>
      <c r="FC355" s="43"/>
    </row>
    <row r="356" ht="18.0" customHeight="1">
      <c r="A356" s="2"/>
      <c r="B356" s="22" t="str">
        <f>IFERROR(VLOOKUP(C356,'Реестр'!C:AC,27,0)," ")</f>
        <v>Смарт-Сэйл</v>
      </c>
      <c r="C356" s="43" t="s">
        <v>5323</v>
      </c>
      <c r="D356" s="22" t="str">
        <f>IFERROR(VLOOKUP(C356,'Лист4'!D:P,13,0)," ")</f>
        <v>CPA</v>
      </c>
      <c r="E356" s="22" t="str">
        <f>IF(OR(ISERROR(VLOOKUP(C356,'Актуальность'!A:B,2,0)), VLOOKUP(C356,'Актуальность'!A:B,2,0)=""), "Актуальный", VLOOKUP(C356,'Актуальность'!A:B,2,0))</f>
        <v>Актуальный</v>
      </c>
      <c r="F356" s="43" t="str">
        <f>IFERROR(VLOOKUP(C356,'Актуальность'!A:C,3,0)," ")</f>
        <v/>
      </c>
      <c r="G356" s="43"/>
      <c r="H356" s="22"/>
      <c r="I356" s="22"/>
      <c r="J356" s="43"/>
      <c r="K356" s="43"/>
      <c r="L356" s="22" t="b">
        <f t="shared" ref="L356:R356" si="352">T356&lt;&gt;""</f>
        <v>1</v>
      </c>
      <c r="M356" s="22" t="b">
        <f t="shared" si="352"/>
        <v>1</v>
      </c>
      <c r="N356" s="22" t="b">
        <f t="shared" si="352"/>
        <v>1</v>
      </c>
      <c r="O356" s="22" t="b">
        <f t="shared" si="352"/>
        <v>1</v>
      </c>
      <c r="P356" s="22" t="b">
        <f t="shared" si="352"/>
        <v>0</v>
      </c>
      <c r="Q356" s="22" t="b">
        <f t="shared" si="352"/>
        <v>0</v>
      </c>
      <c r="R356" s="22" t="b">
        <f t="shared" si="352"/>
        <v>0</v>
      </c>
      <c r="S356" s="43"/>
      <c r="T356" s="43" t="str">
        <f>IFERROR(VLOOKUP( C356,'1С'!A:B,2,0)," ")</f>
        <v>CB101100404</v>
      </c>
      <c r="U356" s="22" t="str">
        <f>IFERROR(VLOOKUP(T356,'Лист4'!C:I,3,0)," ")</f>
        <v>sanaсin_BAD_60caps</v>
      </c>
      <c r="V356" s="22" t="str">
        <f>IFERROR(VLOOKUP(T356,'Лист4'!C:I,4,0)," ")</f>
        <v>sanaсin_BAD_60caps</v>
      </c>
      <c r="W356" s="22" t="str">
        <f>IFERROR(VLOOKUP(T356,'Лист4'!C:I,5,0)," ")</f>
        <v>sanaсin_BAD_60caps</v>
      </c>
      <c r="X356" s="43" t="str">
        <f>IFERROR(VLOOKUP(T356,'Лист4'!C:I,7,0)," ")</f>
        <v/>
      </c>
      <c r="Y356" s="43" t="str">
        <f>IFERROR(VLOOKUP(T356,'Лист4'!C:I,6,0)," ")</f>
        <v/>
      </c>
      <c r="Z356" s="43"/>
      <c r="AA356" s="43"/>
      <c r="AB356" s="22">
        <v>1.86787859E8</v>
      </c>
      <c r="AC356" s="22">
        <v>1.271264152E9</v>
      </c>
      <c r="AD356" s="22">
        <v>1.03340888401E11</v>
      </c>
      <c r="AE356" s="22"/>
      <c r="AF356" s="22"/>
      <c r="AG356" s="43"/>
      <c r="AH356" s="43"/>
      <c r="AI356" s="43" t="str">
        <f>IFERROR(VLOOKUP(T356,'1С'!B:C,2,0)," ")</f>
        <v>БАД Санацин, CPA, 60 капсул</v>
      </c>
      <c r="AJ356" s="22" t="s">
        <v>5326</v>
      </c>
      <c r="AK356" s="22" t="s">
        <v>5327</v>
      </c>
      <c r="AL356" s="22" t="s">
        <v>5327</v>
      </c>
      <c r="AM356" s="43"/>
      <c r="AN356" s="43"/>
      <c r="AO356" s="43"/>
      <c r="AP356" s="43"/>
      <c r="AQ356" s="46" t="s">
        <v>5328</v>
      </c>
      <c r="AR356" s="46" t="s">
        <v>5329</v>
      </c>
      <c r="AS356" s="46" t="s">
        <v>5330</v>
      </c>
      <c r="AT356" s="43"/>
      <c r="AU356" s="43"/>
      <c r="AV356" s="43"/>
      <c r="AW356" s="43"/>
      <c r="AX356" s="22" t="s">
        <v>361</v>
      </c>
      <c r="AY356" s="22" t="s">
        <v>5327</v>
      </c>
      <c r="AZ356" s="22" t="s">
        <v>2692</v>
      </c>
      <c r="BA356" s="43"/>
      <c r="BB356" s="43"/>
      <c r="BC356" s="43"/>
      <c r="BD356" s="43"/>
      <c r="BE356" s="43"/>
      <c r="BF356" s="22">
        <f>IFERROR(VLOOKUP(C356,'спецификация'!B:D,3,0)," ")</f>
        <v>4620153905647</v>
      </c>
      <c r="BG356" s="22">
        <v>2.106909808E9</v>
      </c>
      <c r="BH356" s="22" t="str">
        <f>IFERROR(VLOOKUP(C356,'спецификация'!B:AA,5,0)," ")</f>
        <v>AM.01.06.01.003.R.000231.11.21 от 22.11.2021</v>
      </c>
      <c r="BI356" s="22"/>
      <c r="BJ356" s="22" t="str">
        <f>IFERROR(VLOOKUP(C356,'спецификация'!B:AA,6,0)," ")</f>
        <v>да</v>
      </c>
      <c r="BK356" s="43"/>
      <c r="BL356" s="43"/>
      <c r="BM356" s="22" t="str">
        <f>IFERROR(VLOOKUP(BF356,'спецификация'!D:H,5,0)," ")</f>
        <v>биомасса бактерий селективная сухая серии «Панбиом» («Panbiom»)» (Bifidobacterium bifidum, Bifidobacterium longum, Bifidobacterium adolescentis), биомасса гидролизованная сухая «Ультрализат пептидный» (Bifidobacterium bifidum, Bifidobacterium longum, Bifidobacterium adolescentis), лактулоза, манноза. Вспомогательные вещества: инулин (носитель), капсула желатиновая (желатин (носитель), глицерин (влагоудерживающий агент)), антислеживатели: кремния диоксид, кальция стеарат.</v>
      </c>
      <c r="BN356" s="43"/>
      <c r="BO356" s="22" t="str">
        <f>IFERROR(VLOOKUP(C356,'спецификация'!B:AA,10,0)," ")</f>
        <v>Взрослым по 1 капсуле 1 - 3 раза в день во время еды.</v>
      </c>
      <c r="BP356" s="43" t="str">
        <f>IFERROR(VLOOKUP(C356,'спецификация'!B:AA,11,0),"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v>
      </c>
      <c r="BQ356" s="22" t="str">
        <f>IFERROR(VLOOKUP(C356,'спецификация'!B:AA,12,0)," ")</f>
        <v>хранить в недоступном для детей месте, при температуре не выше 25 ºС и относительной влажности воздуха не более 60%.</v>
      </c>
      <c r="BR356" s="22">
        <v>60.0</v>
      </c>
      <c r="BS356" s="22" t="s">
        <v>492</v>
      </c>
      <c r="BT356" s="22"/>
      <c r="BU356" s="22"/>
      <c r="BV356" s="22" t="s">
        <v>165</v>
      </c>
      <c r="BW356" s="44" t="str">
        <f>IFERROR(VLOOKUP(C356,'спецификация'!B:AA,16,0)," ")</f>
        <v>https://docs.google.com/document/d/15jRkt5CacCJg4zkp4SkzNLsqLdsVkxq-/edit?usp=drive_web&amp;ouid=104241417680089502627&amp;rtpof=true</v>
      </c>
      <c r="BX356" s="43"/>
      <c r="BY356" s="43"/>
      <c r="BZ356" s="45" t="str">
        <f>IFERROR(VLOOKUP(BF356,'спецификация'!D:Y,22,0)," ")</f>
        <v/>
      </c>
      <c r="CA356" s="43"/>
      <c r="CB356" s="43"/>
      <c r="CC356" s="43"/>
      <c r="CD356" s="43"/>
      <c r="CE356" s="43"/>
      <c r="CF356" s="43"/>
      <c r="CG356" s="49">
        <f>IFERROR(VLOOKUP(C356,CC!A:D,4,0)," ")</f>
        <v>162.47</v>
      </c>
      <c r="CH356" s="22" t="str">
        <f>IFERROR(VLOOKUP(C356,'спецификация'!B:AA,19,0)," ")</f>
        <v>ООО "Сибфармконтракт"</v>
      </c>
      <c r="CI356" s="22"/>
      <c r="CJ356" s="22" t="s">
        <v>5336</v>
      </c>
      <c r="CK356" s="22">
        <f>IFERROR(VLOOKUP(C356,CC!K:M,3,0)," ")</f>
        <v>90</v>
      </c>
      <c r="CL356" s="43"/>
      <c r="CM356" s="43"/>
      <c r="CN356" s="43"/>
      <c r="CO356" s="43"/>
      <c r="CP356" s="43"/>
      <c r="CQ356" s="43"/>
      <c r="CR356" s="43"/>
      <c r="CS356" s="43" t="b">
        <v>0</v>
      </c>
      <c r="CT356" s="43" t="b">
        <v>0</v>
      </c>
      <c r="CU356" s="43" t="b">
        <v>0</v>
      </c>
      <c r="CV356" s="43" t="b">
        <v>0</v>
      </c>
      <c r="CW356" s="43"/>
      <c r="CX356" s="43"/>
      <c r="CY356" s="43"/>
      <c r="CZ356" s="43"/>
      <c r="DA356" s="43"/>
      <c r="DB356" s="43"/>
      <c r="DC356" s="43"/>
      <c r="DD356" s="22">
        <f>IFERROR(VLOOKUP($C356,'Лист4'!$D:$AI,27,0)," ")</f>
        <v>6</v>
      </c>
      <c r="DE356" s="22">
        <f>IFERROR(VLOOKUP($C356,'Лист4'!$D:$AI,28,0)," ")</f>
        <v>10</v>
      </c>
      <c r="DF356" s="22">
        <f>IFERROR(VLOOKUP($C356,'Лист4'!$D:$AI,29,0)," ")</f>
        <v>6</v>
      </c>
      <c r="DG356" s="22">
        <f t="shared" si="3"/>
        <v>360</v>
      </c>
      <c r="DH356" s="22">
        <f>IFERROR(VLOOKUP($C356,'Лист4'!$D:$AI,32,0)," ")</f>
        <v>0.065</v>
      </c>
      <c r="DI356" s="22"/>
      <c r="DJ356" s="22"/>
      <c r="DK356" s="22"/>
      <c r="DL356" s="22"/>
      <c r="DM356" s="22"/>
      <c r="DN356" s="22"/>
      <c r="DO356" s="22"/>
      <c r="DP356" s="22"/>
      <c r="DQ356" s="22"/>
      <c r="DR356" s="22"/>
      <c r="DS356" s="22"/>
      <c r="DT356" s="22"/>
      <c r="DU356" s="22"/>
      <c r="DV356" s="22"/>
      <c r="DW356" s="22"/>
      <c r="DX356" s="22"/>
      <c r="DY356" s="22"/>
      <c r="DZ356" s="22"/>
      <c r="EA356" s="22"/>
      <c r="EB356" s="22"/>
      <c r="EC356" s="22"/>
      <c r="ED356" s="22"/>
      <c r="EE356" s="22"/>
      <c r="EF356" s="22"/>
      <c r="EG356" s="22"/>
      <c r="EH356" s="22"/>
      <c r="EI356" s="22"/>
      <c r="EJ356" s="22"/>
      <c r="EK356" s="22"/>
      <c r="EL356" s="22"/>
      <c r="EM356" s="43"/>
      <c r="EN356" s="43"/>
      <c r="EO356" s="43"/>
      <c r="EP356" s="43"/>
      <c r="EQ356" s="43"/>
      <c r="ER356" s="43"/>
      <c r="ES356" s="43"/>
      <c r="ET356" s="43"/>
      <c r="EU356" s="43"/>
      <c r="EV356" s="43"/>
      <c r="EW356" s="43"/>
      <c r="EX356" s="43"/>
      <c r="EY356" s="43"/>
      <c r="EZ356" s="43"/>
      <c r="FA356" s="43"/>
      <c r="FB356" s="43"/>
      <c r="FC356" s="43"/>
    </row>
    <row r="357" ht="18.0" customHeight="1">
      <c r="A357" s="2"/>
      <c r="B357" s="22" t="str">
        <f>IFERROR(VLOOKUP(C357,'Реестр'!C:AC,27,0)," ")</f>
        <v>Смарт-Сэйл</v>
      </c>
      <c r="C357" s="43" t="s">
        <v>5337</v>
      </c>
      <c r="D357" s="22" t="str">
        <f>IFERROR(VLOOKUP(C357,'Лист4'!D:P,13,0)," ")</f>
        <v>CPA</v>
      </c>
      <c r="E357" s="22" t="str">
        <f>IF(OR(ISERROR(VLOOKUP(C357,'Актуальность'!A:B,2,0)), VLOOKUP(C357,'Актуальность'!A:B,2,0)=""), "Актуальный", VLOOKUP(C357,'Актуальность'!A:B,2,0))</f>
        <v>Актуальный</v>
      </c>
      <c r="F357" s="43" t="str">
        <f>IFERROR(VLOOKUP(C357,'Актуальность'!A:C,3,0)," ")</f>
        <v/>
      </c>
      <c r="G357" s="43"/>
      <c r="H357" s="22"/>
      <c r="I357" s="22"/>
      <c r="J357" s="43"/>
      <c r="K357" s="43"/>
      <c r="L357" s="22" t="b">
        <f t="shared" ref="L357:R357" si="353">T357&lt;&gt;""</f>
        <v>1</v>
      </c>
      <c r="M357" s="22" t="b">
        <f t="shared" si="353"/>
        <v>1</v>
      </c>
      <c r="N357" s="22" t="b">
        <f t="shared" si="353"/>
        <v>1</v>
      </c>
      <c r="O357" s="22" t="b">
        <f t="shared" si="353"/>
        <v>1</v>
      </c>
      <c r="P357" s="22" t="b">
        <f t="shared" si="353"/>
        <v>0</v>
      </c>
      <c r="Q357" s="22" t="b">
        <f t="shared" si="353"/>
        <v>0</v>
      </c>
      <c r="R357" s="22" t="b">
        <f t="shared" si="353"/>
        <v>0</v>
      </c>
      <c r="S357" s="43"/>
      <c r="T357" s="43" t="str">
        <f>IFERROR(VLOOKUP( C357,'1С'!A:B,2,0)," ")</f>
        <v>CO101100460</v>
      </c>
      <c r="U357" s="22" t="str">
        <f>IFERROR(VLOOKUP(T357,'Лист4'!C:I,3,0)," ")</f>
        <v>mikardin plus_BAD_60 caps</v>
      </c>
      <c r="V357" s="22" t="str">
        <f>IFERROR(VLOOKUP(T357,'Лист4'!C:I,4,0)," ")</f>
        <v>mikardin plus_BAD_60 caps</v>
      </c>
      <c r="W357" s="22" t="str">
        <f>IFERROR(VLOOKUP(T357,'Лист4'!C:I,5,0)," ")</f>
        <v>mikardin plus_BAD_60 caps</v>
      </c>
      <c r="X357" s="43" t="str">
        <f>IFERROR(VLOOKUP(T357,'Лист4'!C:I,7,0)," ")</f>
        <v/>
      </c>
      <c r="Y357" s="43" t="str">
        <f>IFERROR(VLOOKUP(T357,'Лист4'!C:I,6,0)," ")</f>
        <v/>
      </c>
      <c r="Z357" s="43"/>
      <c r="AA357" s="43"/>
      <c r="AB357" s="22">
        <v>1.88613392E8</v>
      </c>
      <c r="AC357" s="22">
        <v>1.283151299E9</v>
      </c>
      <c r="AD357" s="22">
        <v>1.03515434782E11</v>
      </c>
      <c r="AE357" s="22"/>
      <c r="AF357" s="22"/>
      <c r="AG357" s="43"/>
      <c r="AH357" s="43"/>
      <c r="AI357" s="43" t="str">
        <f>IFERROR(VLOOKUP(T357,'1С'!B:C,2,0)," ")</f>
        <v>БАД Микардин Плюс, CPA, 60 капсул</v>
      </c>
      <c r="AJ357" s="22" t="s">
        <v>5340</v>
      </c>
      <c r="AK357" s="22" t="s">
        <v>5341</v>
      </c>
      <c r="AL357" s="22" t="s">
        <v>5341</v>
      </c>
      <c r="AM357" s="43"/>
      <c r="AN357" s="43"/>
      <c r="AO357" s="43"/>
      <c r="AP357" s="43"/>
      <c r="AQ357" s="46" t="s">
        <v>5342</v>
      </c>
      <c r="AR357" s="46" t="s">
        <v>5343</v>
      </c>
      <c r="AS357" s="46" t="s">
        <v>5344</v>
      </c>
      <c r="AT357" s="43"/>
      <c r="AU357" s="43"/>
      <c r="AV357" s="43"/>
      <c r="AW357" s="43"/>
      <c r="AX357" s="22" t="s">
        <v>361</v>
      </c>
      <c r="AY357" s="22" t="s">
        <v>5341</v>
      </c>
      <c r="AZ357" s="22" t="s">
        <v>372</v>
      </c>
      <c r="BA357" s="43"/>
      <c r="BB357" s="43"/>
      <c r="BC357" s="43"/>
      <c r="BD357" s="43"/>
      <c r="BE357" s="43"/>
      <c r="BF357" s="22" t="str">
        <f>IFERROR(VLOOKUP(C357,'спецификация'!B:D,3,0)," ")</f>
        <v> </v>
      </c>
      <c r="BG357" s="22"/>
      <c r="BH357" s="22" t="str">
        <f>IFERROR(VLOOKUP(C357,'спецификация'!B:AA,5,0)," ")</f>
        <v> </v>
      </c>
      <c r="BI357" s="22"/>
      <c r="BJ357" s="22" t="str">
        <f>IFERROR(VLOOKUP(C357,'спецификация'!B:AA,6,0)," ")</f>
        <v> </v>
      </c>
      <c r="BK357" s="43"/>
      <c r="BL357" s="43"/>
      <c r="BM357" s="22" t="str">
        <f>IFERROR(VLOOKUP(BF357,'спецификация'!D:H,5,0)," ")</f>
        <v> </v>
      </c>
      <c r="BN357" s="43"/>
      <c r="BO357" s="22" t="str">
        <f>IFERROR(VLOOKUP(C357,'спецификация'!B:AA,10,0)," ")</f>
        <v> </v>
      </c>
      <c r="BP357" s="43" t="str">
        <f>IFERROR(VLOOKUP(C357,'спецификация'!B:AA,11,0)," ")</f>
        <v> </v>
      </c>
      <c r="BQ357" s="22" t="str">
        <f>IFERROR(VLOOKUP(C357,'спецификация'!B:AA,12,0)," ")</f>
        <v> </v>
      </c>
      <c r="BR357" s="22"/>
      <c r="BS357" s="43"/>
      <c r="BT357" s="43"/>
      <c r="BU357" s="22"/>
      <c r="BV357" s="22" t="s">
        <v>401</v>
      </c>
      <c r="BW357" s="45" t="str">
        <f>IFERROR(VLOOKUP(C357,'спецификация'!B:AA,16,0)," ")</f>
        <v> </v>
      </c>
      <c r="BX357" s="43"/>
      <c r="BY357" s="43"/>
      <c r="BZ357" s="45" t="str">
        <f>IFERROR(VLOOKUP(BF357,'спецификация'!D:Y,22,0)," ")</f>
        <v> </v>
      </c>
      <c r="CA357" s="43"/>
      <c r="CB357" s="43"/>
      <c r="CC357" s="43"/>
      <c r="CD357" s="43"/>
      <c r="CE357" s="43"/>
      <c r="CF357" s="43"/>
      <c r="CG357" s="49">
        <f>IFERROR(VLOOKUP(C357,CC!A:D,4,0)," ")</f>
        <v>217.72</v>
      </c>
      <c r="CH357" s="22" t="str">
        <f>IFERROR(VLOOKUP(C357,'спецификация'!B:AA,19,0)," ")</f>
        <v> </v>
      </c>
      <c r="CI357" s="22"/>
      <c r="CJ357" s="43"/>
      <c r="CK357" s="22" t="str">
        <f>IFERROR(VLOOKUP(C357,CC!K:M,3,0)," ")</f>
        <v> </v>
      </c>
      <c r="CL357" s="43"/>
      <c r="CM357" s="43"/>
      <c r="CN357" s="43"/>
      <c r="CO357" s="43"/>
      <c r="CP357" s="43"/>
      <c r="CQ357" s="43"/>
      <c r="CR357" s="43"/>
      <c r="CS357" s="43" t="b">
        <v>0</v>
      </c>
      <c r="CT357" s="43" t="b">
        <v>0</v>
      </c>
      <c r="CU357" s="43" t="b">
        <v>0</v>
      </c>
      <c r="CV357" s="43" t="b">
        <v>0</v>
      </c>
      <c r="CW357" s="43"/>
      <c r="CX357" s="43"/>
      <c r="CY357" s="43"/>
      <c r="CZ357" s="43"/>
      <c r="DA357" s="43"/>
      <c r="DB357" s="43"/>
      <c r="DC357" s="43"/>
      <c r="DD357" s="22">
        <f>IFERROR(VLOOKUP($C357,'Лист4'!$D:$AI,27,0)," ")</f>
        <v>4</v>
      </c>
      <c r="DE357" s="22">
        <f>IFERROR(VLOOKUP($C357,'Лист4'!$D:$AI,28,0)," ")</f>
        <v>9</v>
      </c>
      <c r="DF357" s="22">
        <f>IFERROR(VLOOKUP($C357,'Лист4'!$D:$AI,29,0)," ")</f>
        <v>4</v>
      </c>
      <c r="DG357" s="22">
        <f t="shared" si="3"/>
        <v>144</v>
      </c>
      <c r="DH357" s="22">
        <f>IFERROR(VLOOKUP($C357,'Лист4'!$D:$AI,32,0)," ")</f>
        <v>0.068</v>
      </c>
      <c r="DI357" s="22"/>
      <c r="DJ357" s="22"/>
      <c r="DK357" s="22"/>
      <c r="DL357" s="22"/>
      <c r="DM357" s="22"/>
      <c r="DN357" s="22"/>
      <c r="DO357" s="22"/>
      <c r="DP357" s="22"/>
      <c r="DQ357" s="22"/>
      <c r="DR357" s="22"/>
      <c r="DS357" s="22"/>
      <c r="DT357" s="22"/>
      <c r="DU357" s="22"/>
      <c r="DV357" s="22"/>
      <c r="DW357" s="22"/>
      <c r="DX357" s="22"/>
      <c r="DY357" s="22"/>
      <c r="DZ357" s="22"/>
      <c r="EA357" s="22"/>
      <c r="EB357" s="22"/>
      <c r="EC357" s="22"/>
      <c r="ED357" s="22"/>
      <c r="EE357" s="22"/>
      <c r="EF357" s="22"/>
      <c r="EG357" s="22"/>
      <c r="EH357" s="22"/>
      <c r="EI357" s="22"/>
      <c r="EJ357" s="22"/>
      <c r="EK357" s="22"/>
      <c r="EL357" s="22"/>
      <c r="EM357" s="43"/>
      <c r="EN357" s="43"/>
      <c r="EO357" s="43"/>
      <c r="EP357" s="43"/>
      <c r="EQ357" s="43"/>
      <c r="ER357" s="43"/>
      <c r="ES357" s="43"/>
      <c r="ET357" s="43"/>
      <c r="EU357" s="43"/>
      <c r="EV357" s="43"/>
      <c r="EW357" s="43"/>
      <c r="EX357" s="43"/>
      <c r="EY357" s="43"/>
      <c r="EZ357" s="43"/>
      <c r="FA357" s="43"/>
      <c r="FB357" s="43"/>
      <c r="FC357" s="43"/>
    </row>
    <row r="358" ht="18.0" customHeight="1">
      <c r="A358" s="2"/>
      <c r="B358" s="22" t="str">
        <f>IFERROR(VLOOKUP(C358,'Реестр'!C:AC,27,0)," ")</f>
        <v>Смарт-Сэйл</v>
      </c>
      <c r="C358" s="43" t="s">
        <v>5346</v>
      </c>
      <c r="D358" s="22" t="str">
        <f>IFERROR(VLOOKUP(C358,'Лист4'!D:P,13,0)," ")</f>
        <v> </v>
      </c>
      <c r="E358" s="22" t="str">
        <f>IF(OR(ISERROR(VLOOKUP(C358,'Актуальность'!A:B,2,0)), VLOOKUP(C358,'Актуальность'!A:B,2,0)=""), "Актуальный", VLOOKUP(C358,'Актуальность'!A:B,2,0))</f>
        <v>Вывод</v>
      </c>
      <c r="F358" s="43" t="str">
        <f>IFERROR(VLOOKUP(C358,'Актуальность'!A:C,3,0)," ")</f>
        <v>Старый товар</v>
      </c>
      <c r="G358" s="43"/>
      <c r="H358" s="22"/>
      <c r="I358" s="22"/>
      <c r="J358" s="43"/>
      <c r="K358" s="43"/>
      <c r="L358" s="22" t="b">
        <f t="shared" ref="L358:R358" si="354">T358&lt;&gt;""</f>
        <v>1</v>
      </c>
      <c r="M358" s="22" t="b">
        <f t="shared" si="354"/>
        <v>1</v>
      </c>
      <c r="N358" s="22" t="b">
        <f t="shared" si="354"/>
        <v>1</v>
      </c>
      <c r="O358" s="22" t="b">
        <f t="shared" si="354"/>
        <v>1</v>
      </c>
      <c r="P358" s="22" t="b">
        <f t="shared" si="354"/>
        <v>1</v>
      </c>
      <c r="Q358" s="22" t="b">
        <f t="shared" si="354"/>
        <v>1</v>
      </c>
      <c r="R358" s="22" t="b">
        <f t="shared" si="354"/>
        <v>0</v>
      </c>
      <c r="S358" s="43"/>
      <c r="T358" s="43" t="str">
        <f>IFERROR(VLOOKUP( C358,'1С'!A:B,2,0)," ")</f>
        <v> </v>
      </c>
      <c r="U358" s="22" t="str">
        <f>IFERROR(VLOOKUP(T358,'Лист4'!C:I,3,0)," ")</f>
        <v> </v>
      </c>
      <c r="V358" s="22" t="s">
        <v>5346</v>
      </c>
      <c r="W358" s="22" t="str">
        <f>IFERROR(VLOOKUP(T358,'Лист4'!C:I,5,0)," ")</f>
        <v> </v>
      </c>
      <c r="X358" s="43" t="str">
        <f>IFERROR(VLOOKUP(T358,'Лист4'!C:I,7,0)," ")</f>
        <v> </v>
      </c>
      <c r="Y358" s="43" t="str">
        <f>IFERROR(VLOOKUP(T358,'Лист4'!C:I,6,0)," ")</f>
        <v> </v>
      </c>
      <c r="Z358" s="43"/>
      <c r="AA358" s="43"/>
      <c r="AB358" s="22"/>
      <c r="AC358" s="22">
        <v>1.32499107E9</v>
      </c>
      <c r="AD358" s="22"/>
      <c r="AE358" s="22"/>
      <c r="AF358" s="22"/>
      <c r="AG358" s="43"/>
      <c r="AH358" s="43"/>
      <c r="AI358" s="43" t="str">
        <f>IFERROR(VLOOKUP(T358,'1С'!B:C,2,0)," ")</f>
        <v> </v>
      </c>
      <c r="AJ358" s="43"/>
      <c r="AK358" s="22" t="s">
        <v>5348</v>
      </c>
      <c r="AL358" s="43"/>
      <c r="AM358" s="43"/>
      <c r="AN358" s="43"/>
      <c r="AO358" s="43"/>
      <c r="AP358" s="43"/>
      <c r="AQ358" s="43"/>
      <c r="AR358" s="43"/>
      <c r="AS358" s="43"/>
      <c r="AT358" s="43"/>
      <c r="AU358" s="43"/>
      <c r="AV358" s="43"/>
      <c r="AW358" s="43"/>
      <c r="AX358" s="22"/>
      <c r="AY358" s="22" t="s">
        <v>5348</v>
      </c>
      <c r="AZ358" s="43"/>
      <c r="BA358" s="43"/>
      <c r="BB358" s="43"/>
      <c r="BC358" s="43"/>
      <c r="BD358" s="43"/>
      <c r="BE358" s="43"/>
      <c r="BF358" s="22" t="str">
        <f>IFERROR(VLOOKUP(C358,'спецификация'!B:D,3,0)," ")</f>
        <v> </v>
      </c>
      <c r="BG358" s="22"/>
      <c r="BH358" s="22" t="str">
        <f>IFERROR(VLOOKUP(C358,'спецификация'!B:AA,5,0)," ")</f>
        <v> </v>
      </c>
      <c r="BI358" s="22"/>
      <c r="BJ358" s="22" t="str">
        <f>IFERROR(VLOOKUP(C358,'спецификация'!B:AA,6,0)," ")</f>
        <v> </v>
      </c>
      <c r="BK358" s="43"/>
      <c r="BL358" s="43"/>
      <c r="BM358" s="22" t="str">
        <f>IFERROR(VLOOKUP(BF358,'спецификация'!D:H,5,0)," ")</f>
        <v> </v>
      </c>
      <c r="BN358" s="43"/>
      <c r="BO358" s="22" t="str">
        <f>IFERROR(VLOOKUP(C358,'спецификация'!B:AA,10,0)," ")</f>
        <v> </v>
      </c>
      <c r="BP358" s="43" t="str">
        <f>IFERROR(VLOOKUP(C358,'спецификация'!B:AA,11,0)," ")</f>
        <v> </v>
      </c>
      <c r="BQ358" s="22" t="str">
        <f>IFERROR(VLOOKUP(C358,'спецификация'!B:AA,12,0)," ")</f>
        <v> </v>
      </c>
      <c r="BR358" s="22"/>
      <c r="BS358" s="43"/>
      <c r="BT358" s="43"/>
      <c r="BU358" s="22"/>
      <c r="BV358" s="22" t="s">
        <v>401</v>
      </c>
      <c r="BW358" s="45" t="str">
        <f>IFERROR(VLOOKUP(C358,'спецификация'!B:AA,16,0)," ")</f>
        <v> </v>
      </c>
      <c r="BX358" s="43"/>
      <c r="BY358" s="43"/>
      <c r="BZ358" s="45" t="str">
        <f>IFERROR(VLOOKUP(BF358,'спецификация'!D:Y,22,0)," ")</f>
        <v> </v>
      </c>
      <c r="CA358" s="43"/>
      <c r="CB358" s="43"/>
      <c r="CC358" s="43"/>
      <c r="CD358" s="43"/>
      <c r="CE358" s="43"/>
      <c r="CF358" s="43"/>
      <c r="CG358" s="49">
        <f>IFERROR(VLOOKUP(C358,CC!A:D,4,0)," ")</f>
        <v>115.8</v>
      </c>
      <c r="CH358" s="22" t="str">
        <f>IFERROR(VLOOKUP(C358,'спецификация'!B:AA,19,0)," ")</f>
        <v> </v>
      </c>
      <c r="CI358" s="22"/>
      <c r="CJ358" s="43"/>
      <c r="CK358" s="22">
        <f>IFERROR(VLOOKUP(C358,CC!K:M,3,0)," ")</f>
        <v>30</v>
      </c>
      <c r="CL358" s="43"/>
      <c r="CM358" s="43"/>
      <c r="CN358" s="43"/>
      <c r="CO358" s="43"/>
      <c r="CP358" s="43"/>
      <c r="CQ358" s="43"/>
      <c r="CR358" s="43"/>
      <c r="CS358" s="43" t="b">
        <v>0</v>
      </c>
      <c r="CT358" s="43" t="b">
        <v>0</v>
      </c>
      <c r="CU358" s="43" t="b">
        <v>0</v>
      </c>
      <c r="CV358" s="43" t="b">
        <v>0</v>
      </c>
      <c r="CW358" s="43"/>
      <c r="CX358" s="43"/>
      <c r="CY358" s="43"/>
      <c r="CZ358" s="43"/>
      <c r="DA358" s="43"/>
      <c r="DB358" s="43"/>
      <c r="DC358" s="43"/>
      <c r="DD358" s="22" t="str">
        <f>IFERROR(VLOOKUP($C358,'Лист4'!$D:$AI,27,0)," ")</f>
        <v> </v>
      </c>
      <c r="DE358" s="22" t="str">
        <f>IFERROR(VLOOKUP($C358,'Лист4'!$D:$AI,28,0)," ")</f>
        <v> </v>
      </c>
      <c r="DF358" s="22" t="str">
        <f>IFERROR(VLOOKUP($C358,'Лист4'!$D:$AI,29,0)," ")</f>
        <v> </v>
      </c>
      <c r="DG358" s="22" t="str">
        <f t="shared" si="3"/>
        <v> </v>
      </c>
      <c r="DH358" s="22" t="str">
        <f>IFERROR(VLOOKUP($C358,'Лист4'!$D:$AI,32,0)," ")</f>
        <v> </v>
      </c>
      <c r="DI358" s="22"/>
      <c r="DJ358" s="22"/>
      <c r="DK358" s="22"/>
      <c r="DL358" s="22"/>
      <c r="DM358" s="22"/>
      <c r="DN358" s="22"/>
      <c r="DO358" s="22"/>
      <c r="DP358" s="22"/>
      <c r="DQ358" s="22"/>
      <c r="DR358" s="22"/>
      <c r="DS358" s="22"/>
      <c r="DT358" s="22"/>
      <c r="DU358" s="22"/>
      <c r="DV358" s="22"/>
      <c r="DW358" s="22"/>
      <c r="DX358" s="22"/>
      <c r="DY358" s="22"/>
      <c r="DZ358" s="22"/>
      <c r="EA358" s="22"/>
      <c r="EB358" s="22"/>
      <c r="EC358" s="22"/>
      <c r="ED358" s="22"/>
      <c r="EE358" s="22"/>
      <c r="EF358" s="22"/>
      <c r="EG358" s="22"/>
      <c r="EH358" s="22"/>
      <c r="EI358" s="22"/>
      <c r="EJ358" s="22"/>
      <c r="EK358" s="22"/>
      <c r="EL358" s="22"/>
      <c r="EM358" s="43"/>
      <c r="EN358" s="43"/>
      <c r="EO358" s="43"/>
      <c r="EP358" s="43"/>
      <c r="EQ358" s="43"/>
      <c r="ER358" s="43"/>
      <c r="ES358" s="43"/>
      <c r="ET358" s="43"/>
      <c r="EU358" s="43"/>
      <c r="EV358" s="43"/>
      <c r="EW358" s="43"/>
      <c r="EX358" s="43"/>
      <c r="EY358" s="43"/>
      <c r="EZ358" s="43"/>
      <c r="FA358" s="43"/>
      <c r="FB358" s="43"/>
      <c r="FC358" s="43"/>
    </row>
    <row r="359" ht="18.0" customHeight="1">
      <c r="A359" s="2"/>
      <c r="B359" s="22" t="str">
        <f>IFERROR(VLOOKUP(C359,'Реестр'!C:AC,27,0)," ")</f>
        <v>Смарт-Сэйл</v>
      </c>
      <c r="C359" s="43" t="s">
        <v>5349</v>
      </c>
      <c r="D359" s="22" t="str">
        <f>IFERROR(VLOOKUP(C359,'Лист4'!D:P,13,0)," ")</f>
        <v>Алтея</v>
      </c>
      <c r="E359" s="22" t="str">
        <f>IF(OR(ISERROR(VLOOKUP(C359,'Актуальность'!A:B,2,0)), VLOOKUP(C359,'Актуальность'!A:B,2,0)=""), "Актуальный", VLOOKUP(C359,'Актуальность'!A:B,2,0))</f>
        <v>Вывод</v>
      </c>
      <c r="F359" s="43" t="str">
        <f>IFERROR(VLOOKUP(C359,'Актуальность'!A:C,3,0)," ")</f>
        <v>Перезавели новый объем</v>
      </c>
      <c r="G359" s="43"/>
      <c r="H359" s="22"/>
      <c r="I359" s="22"/>
      <c r="J359" s="43"/>
      <c r="K359" s="43"/>
      <c r="L359" s="22" t="b">
        <f t="shared" ref="L359:R359" si="355">T359&lt;&gt;""</f>
        <v>1</v>
      </c>
      <c r="M359" s="22" t="b">
        <f t="shared" si="355"/>
        <v>1</v>
      </c>
      <c r="N359" s="22" t="b">
        <f t="shared" si="355"/>
        <v>1</v>
      </c>
      <c r="O359" s="22" t="b">
        <f t="shared" si="355"/>
        <v>1</v>
      </c>
      <c r="P359" s="22" t="b">
        <f t="shared" si="355"/>
        <v>0</v>
      </c>
      <c r="Q359" s="22" t="b">
        <f t="shared" si="355"/>
        <v>1</v>
      </c>
      <c r="R359" s="22" t="b">
        <f t="shared" si="355"/>
        <v>0</v>
      </c>
      <c r="S359" s="43"/>
      <c r="T359" s="43" t="str">
        <f>IFERROR(VLOOKUP( C359,'1С'!A:B,2,0)," ")</f>
        <v>AC101100454</v>
      </c>
      <c r="U359" s="22" t="str">
        <f>IFERROR(VLOOKUP(T359,'Лист4'!C:I,3,0)," ")</f>
        <v>intimvita_200ml</v>
      </c>
      <c r="V359" s="22" t="str">
        <f>IFERROR(VLOOKUP(T359,'Лист4'!C:I,4,0)," ")</f>
        <v>intimvita_200ml</v>
      </c>
      <c r="W359" s="22" t="str">
        <f>IFERROR(VLOOKUP(T359,'Лист4'!C:I,5,0)," ")</f>
        <v>intimvita_200ml</v>
      </c>
      <c r="X359" s="43" t="str">
        <f>IFERROR(VLOOKUP(T359,'Лист4'!C:I,7,0)," ")</f>
        <v/>
      </c>
      <c r="Y359" s="72" t="s">
        <v>5349</v>
      </c>
      <c r="Z359" s="43"/>
      <c r="AA359" s="43"/>
      <c r="AB359" s="22">
        <v>2.32481242E8</v>
      </c>
      <c r="AC359" s="22">
        <v>1.581991716E9</v>
      </c>
      <c r="AD359" s="22">
        <v>1.03515446782E11</v>
      </c>
      <c r="AE359" s="22"/>
      <c r="AF359" s="72" t="s">
        <v>5353</v>
      </c>
      <c r="AG359" s="43"/>
      <c r="AH359" s="43"/>
      <c r="AI359" s="43" t="str">
        <f>IFERROR(VLOOKUP(T359,'1С'!B:C,2,0)," ")</f>
        <v>Гель для интимной гигиены Интимвита, Алтея, 200 мл</v>
      </c>
      <c r="AJ359" s="22" t="s">
        <v>3512</v>
      </c>
      <c r="AK359" s="22" t="s">
        <v>5354</v>
      </c>
      <c r="AL359" s="22" t="s">
        <v>5354</v>
      </c>
      <c r="AM359" s="43"/>
      <c r="AN359" s="22" t="s">
        <v>5355</v>
      </c>
      <c r="AO359" s="43"/>
      <c r="AP359" s="43"/>
      <c r="AQ359" s="46" t="s">
        <v>5356</v>
      </c>
      <c r="AR359" s="46" t="s">
        <v>5357</v>
      </c>
      <c r="AS359" s="46" t="s">
        <v>5358</v>
      </c>
      <c r="AT359" s="43"/>
      <c r="AU359" s="46" t="s">
        <v>5359</v>
      </c>
      <c r="AV359" s="43"/>
      <c r="AW359" s="43"/>
      <c r="AX359" s="22" t="s">
        <v>1832</v>
      </c>
      <c r="AY359" s="22" t="s">
        <v>5354</v>
      </c>
      <c r="AZ359" s="22" t="s">
        <v>3524</v>
      </c>
      <c r="BA359" s="43"/>
      <c r="BB359" s="22" t="s">
        <v>3526</v>
      </c>
      <c r="BC359" s="43"/>
      <c r="BD359" s="43"/>
      <c r="BE359" s="43"/>
      <c r="BF359" s="22" t="str">
        <f>IFERROR(VLOOKUP(C359,'спецификация'!B:D,3,0)," ")</f>
        <v> </v>
      </c>
      <c r="BG359" s="22"/>
      <c r="BH359" s="22" t="str">
        <f>IFERROR(VLOOKUP(C359,'спецификация'!B:AA,5,0)," ")</f>
        <v> </v>
      </c>
      <c r="BI359" s="22"/>
      <c r="BJ359" s="22" t="str">
        <f>IFERROR(VLOOKUP(C359,'спецификация'!B:AA,6,0)," ")</f>
        <v> </v>
      </c>
      <c r="BK359" s="43"/>
      <c r="BL359" s="43"/>
      <c r="BM359" s="22" t="str">
        <f>IFERROR(VLOOKUP(BF359,'спецификация'!D:H,5,0)," ")</f>
        <v> </v>
      </c>
      <c r="BN359" s="43"/>
      <c r="BO359" s="22" t="str">
        <f>IFERROR(VLOOKUP(C359,'спецификация'!B:AA,10,0)," ")</f>
        <v> </v>
      </c>
      <c r="BP359" s="43" t="str">
        <f>IFERROR(VLOOKUP(C359,'спецификация'!B:AA,11,0)," ")</f>
        <v> </v>
      </c>
      <c r="BQ359" s="22" t="str">
        <f>IFERROR(VLOOKUP(C359,'спецификация'!B:AA,12,0)," ")</f>
        <v> </v>
      </c>
      <c r="BR359" s="22"/>
      <c r="BS359" s="43"/>
      <c r="BT359" s="43"/>
      <c r="BU359" s="22"/>
      <c r="BV359" s="22" t="s">
        <v>401</v>
      </c>
      <c r="BW359" s="45" t="str">
        <f>IFERROR(VLOOKUP(C359,'спецификация'!B:AA,16,0)," ")</f>
        <v> </v>
      </c>
      <c r="BX359" s="43"/>
      <c r="BY359" s="43"/>
      <c r="BZ359" s="45" t="str">
        <f>IFERROR(VLOOKUP(BF359,'спецификация'!D:Y,22,0)," ")</f>
        <v> </v>
      </c>
      <c r="CA359" s="43"/>
      <c r="CB359" s="43"/>
      <c r="CC359" s="43"/>
      <c r="CD359" s="43"/>
      <c r="CE359" s="43"/>
      <c r="CF359" s="43"/>
      <c r="CG359" s="49">
        <f>IFERROR(VLOOKUP(C359,CC!A:D,4,0)," ")</f>
        <v>87.5</v>
      </c>
      <c r="CH359" s="22" t="str">
        <f>IFERROR(VLOOKUP(C359,'спецификация'!B:AA,19,0)," ")</f>
        <v> </v>
      </c>
      <c r="CI359" s="22"/>
      <c r="CJ359" s="43"/>
      <c r="CK359" s="22">
        <f>IFERROR(VLOOKUP(C359,CC!K:M,3,0)," ")</f>
        <v>90</v>
      </c>
      <c r="CL359" s="43"/>
      <c r="CM359" s="43"/>
      <c r="CN359" s="43"/>
      <c r="CO359" s="43"/>
      <c r="CP359" s="43"/>
      <c r="CQ359" s="43"/>
      <c r="CR359" s="43"/>
      <c r="CS359" s="43" t="b">
        <v>0</v>
      </c>
      <c r="CT359" s="43" t="b">
        <v>0</v>
      </c>
      <c r="CU359" s="43" t="b">
        <v>0</v>
      </c>
      <c r="CV359" s="43" t="b">
        <v>0</v>
      </c>
      <c r="CW359" s="43"/>
      <c r="CX359" s="43"/>
      <c r="CY359" s="43"/>
      <c r="CZ359" s="43"/>
      <c r="DA359" s="43"/>
      <c r="DB359" s="43"/>
      <c r="DC359" s="43"/>
      <c r="DD359" s="22">
        <f>IFERROR(VLOOKUP($C359,'Лист4'!$D:$AI,27,0)," ")</f>
        <v>7</v>
      </c>
      <c r="DE359" s="22">
        <f>IFERROR(VLOOKUP($C359,'Лист4'!$D:$AI,28,0)," ")</f>
        <v>4</v>
      </c>
      <c r="DF359" s="22">
        <f>IFERROR(VLOOKUP($C359,'Лист4'!$D:$AI,29,0)," ")</f>
        <v>7</v>
      </c>
      <c r="DG359" s="22">
        <f t="shared" si="3"/>
        <v>196</v>
      </c>
      <c r="DH359" s="22">
        <f>IFERROR(VLOOKUP($C359,'Лист4'!$D:$AI,32,0)," ")</f>
        <v>0.24</v>
      </c>
      <c r="DI359" s="22"/>
      <c r="DJ359" s="22"/>
      <c r="DK359" s="22"/>
      <c r="DL359" s="22"/>
      <c r="DM359" s="22"/>
      <c r="DN359" s="22"/>
      <c r="DO359" s="22"/>
      <c r="DP359" s="22"/>
      <c r="DQ359" s="22"/>
      <c r="DR359" s="22"/>
      <c r="DS359" s="22"/>
      <c r="DT359" s="22"/>
      <c r="DU359" s="22"/>
      <c r="DV359" s="22"/>
      <c r="DW359" s="22"/>
      <c r="DX359" s="22"/>
      <c r="DY359" s="22"/>
      <c r="DZ359" s="22"/>
      <c r="EA359" s="22"/>
      <c r="EB359" s="22"/>
      <c r="EC359" s="22"/>
      <c r="ED359" s="22"/>
      <c r="EE359" s="22"/>
      <c r="EF359" s="22"/>
      <c r="EG359" s="22"/>
      <c r="EH359" s="22"/>
      <c r="EI359" s="22"/>
      <c r="EJ359" s="22"/>
      <c r="EK359" s="22"/>
      <c r="EL359" s="22"/>
      <c r="EM359" s="43"/>
      <c r="EN359" s="43"/>
      <c r="EO359" s="43"/>
      <c r="EP359" s="43"/>
      <c r="EQ359" s="43"/>
      <c r="ER359" s="43"/>
      <c r="ES359" s="43"/>
      <c r="ET359" s="43"/>
      <c r="EU359" s="43"/>
      <c r="EV359" s="43"/>
      <c r="EW359" s="43"/>
      <c r="EX359" s="43"/>
      <c r="EY359" s="43"/>
      <c r="EZ359" s="43"/>
      <c r="FA359" s="43"/>
      <c r="FB359" s="43"/>
      <c r="FC359" s="43"/>
    </row>
    <row r="360" ht="18.0" customHeight="1">
      <c r="A360" s="2"/>
      <c r="B360" s="22" t="s">
        <v>2659</v>
      </c>
      <c r="C360" s="22" t="s">
        <v>5364</v>
      </c>
      <c r="D360" s="22" t="str">
        <f>IFERROR(VLOOKUP(C360,'Лист4'!D:P,13,0)," ")</f>
        <v> </v>
      </c>
      <c r="E360" s="22" t="str">
        <f>IF(OR(ISERROR(VLOOKUP(C360,'Актуальность'!A:B,2,0)), VLOOKUP(C360,'Актуальность'!A:B,2,0)=""), "Актуальный", VLOOKUP(C360,'Актуальность'!A:B,2,0))</f>
        <v>Вывод</v>
      </c>
      <c r="F360" s="43" t="str">
        <f>IFERROR(VLOOKUP(C360,'Актуальность'!A:C,3,0)," ")</f>
        <v>Тестовый SKU</v>
      </c>
      <c r="G360" s="43"/>
      <c r="H360" s="22" t="s">
        <v>401</v>
      </c>
      <c r="I360" s="22" t="s">
        <v>401</v>
      </c>
      <c r="J360" s="43"/>
      <c r="K360" s="43"/>
      <c r="L360" s="22" t="b">
        <f t="shared" ref="L360:R360" si="356">T360&lt;&gt;""</f>
        <v>1</v>
      </c>
      <c r="M360" s="22" t="b">
        <f t="shared" si="356"/>
        <v>1</v>
      </c>
      <c r="N360" s="22" t="b">
        <f t="shared" si="356"/>
        <v>1</v>
      </c>
      <c r="O360" s="22" t="b">
        <f t="shared" si="356"/>
        <v>1</v>
      </c>
      <c r="P360" s="22" t="b">
        <f t="shared" si="356"/>
        <v>1</v>
      </c>
      <c r="Q360" s="22" t="b">
        <f t="shared" si="356"/>
        <v>1</v>
      </c>
      <c r="R360" s="22" t="b">
        <f t="shared" si="356"/>
        <v>0</v>
      </c>
      <c r="S360" s="43"/>
      <c r="T360" s="43" t="str">
        <f>IFERROR(VLOOKUP( C360,'1С'!A:B,2,0)," ")</f>
        <v> </v>
      </c>
      <c r="U360" s="22" t="str">
        <f>IFERROR(VLOOKUP(T360,'Лист4'!C:I,3,0)," ")</f>
        <v> </v>
      </c>
      <c r="V360" s="22" t="s">
        <v>5364</v>
      </c>
      <c r="W360" s="22" t="str">
        <f>IFERROR(VLOOKUP(T360,'Лист4'!C:I,5,0)," ")</f>
        <v> </v>
      </c>
      <c r="X360" s="43" t="str">
        <f>IFERROR(VLOOKUP(T360,'Лист4'!C:I,7,0)," ")</f>
        <v> </v>
      </c>
      <c r="Y360" s="43" t="str">
        <f>IFERROR(VLOOKUP(T360,'Лист4'!C:I,6,0)," ")</f>
        <v> </v>
      </c>
      <c r="Z360" s="43"/>
      <c r="AA360" s="43"/>
      <c r="AB360" s="22"/>
      <c r="AC360" s="22">
        <v>3.098935949E9</v>
      </c>
      <c r="AD360" s="22"/>
      <c r="AE360" s="22"/>
      <c r="AF360" s="22"/>
      <c r="AG360" s="43"/>
      <c r="AH360" s="43"/>
      <c r="AI360" s="43" t="str">
        <f>IFERROR(VLOOKUP(T360,'1С'!B:C,2,0)," ")</f>
        <v> </v>
      </c>
      <c r="AJ360" s="43"/>
      <c r="AK360" s="22" t="s">
        <v>4973</v>
      </c>
      <c r="AL360" s="43"/>
      <c r="AM360" s="43"/>
      <c r="AN360" s="43"/>
      <c r="AO360" s="43"/>
      <c r="AP360" s="43"/>
      <c r="AQ360" s="43"/>
      <c r="AR360" s="43"/>
      <c r="AS360" s="43"/>
      <c r="AT360" s="43"/>
      <c r="AU360" s="43"/>
      <c r="AV360" s="43"/>
      <c r="AW360" s="43"/>
      <c r="AX360" s="22"/>
      <c r="AY360" s="22" t="s">
        <v>4973</v>
      </c>
      <c r="AZ360" s="43"/>
      <c r="BA360" s="43"/>
      <c r="BB360" s="43"/>
      <c r="BC360" s="43"/>
      <c r="BD360" s="43"/>
      <c r="BE360" s="43"/>
      <c r="BF360" s="22" t="str">
        <f>IFERROR(VLOOKUP(C360,'спецификация'!B:D,3,0)," ")</f>
        <v> </v>
      </c>
      <c r="BG360" s="22"/>
      <c r="BH360" s="22" t="str">
        <f>IFERROR(VLOOKUP(C360,'спецификация'!B:AA,5,0)," ")</f>
        <v> </v>
      </c>
      <c r="BI360" s="22"/>
      <c r="BJ360" s="22" t="str">
        <f>IFERROR(VLOOKUP(C360,'спецификация'!B:AA,6,0)," ")</f>
        <v> </v>
      </c>
      <c r="BK360" s="43"/>
      <c r="BL360" s="43"/>
      <c r="BM360" s="22" t="str">
        <f>IFERROR(VLOOKUP(BF360,'спецификация'!D:H,5,0)," ")</f>
        <v> </v>
      </c>
      <c r="BN360" s="43"/>
      <c r="BO360" s="22" t="str">
        <f>IFERROR(VLOOKUP(C360,'спецификация'!B:AA,10,0)," ")</f>
        <v> </v>
      </c>
      <c r="BP360" s="43" t="str">
        <f>IFERROR(VLOOKUP(C360,'спецификация'!B:AA,11,0)," ")</f>
        <v> </v>
      </c>
      <c r="BQ360" s="22" t="str">
        <f>IFERROR(VLOOKUP(C360,'спецификация'!B:AA,12,0)," ")</f>
        <v> </v>
      </c>
      <c r="BR360" s="22"/>
      <c r="BS360" s="43"/>
      <c r="BT360" s="43"/>
      <c r="BU360" s="22"/>
      <c r="BV360" s="22" t="s">
        <v>401</v>
      </c>
      <c r="BW360" s="45" t="str">
        <f>IFERROR(VLOOKUP(C360,'спецификация'!B:AA,16,0)," ")</f>
        <v> </v>
      </c>
      <c r="BX360" s="43"/>
      <c r="BY360" s="43"/>
      <c r="BZ360" s="45" t="str">
        <f>IFERROR(VLOOKUP(BF360,'спецификация'!D:Y,22,0)," ")</f>
        <v> </v>
      </c>
      <c r="CA360" s="43"/>
      <c r="CB360" s="43"/>
      <c r="CC360" s="43"/>
      <c r="CD360" s="43"/>
      <c r="CE360" s="43"/>
      <c r="CF360" s="43"/>
      <c r="CG360" s="49" t="str">
        <f>IFERROR(VLOOKUP(C360,CC!A:D,4,0)," ")</f>
        <v> </v>
      </c>
      <c r="CH360" s="22" t="str">
        <f>IFERROR(VLOOKUP(C360,'спецификация'!B:AA,19,0)," ")</f>
        <v> </v>
      </c>
      <c r="CI360" s="22"/>
      <c r="CJ360" s="43"/>
      <c r="CK360" s="22" t="str">
        <f>IFERROR(VLOOKUP(C360,CC!K:M,3,0)," ")</f>
        <v> </v>
      </c>
      <c r="CL360" s="43"/>
      <c r="CM360" s="43"/>
      <c r="CN360" s="43"/>
      <c r="CO360" s="43"/>
      <c r="CP360" s="43"/>
      <c r="CQ360" s="43"/>
      <c r="CR360" s="43"/>
      <c r="CS360" s="43" t="b">
        <v>0</v>
      </c>
      <c r="CT360" s="43" t="b">
        <v>0</v>
      </c>
      <c r="CU360" s="43" t="b">
        <v>0</v>
      </c>
      <c r="CV360" s="43" t="b">
        <v>0</v>
      </c>
      <c r="CW360" s="43"/>
      <c r="CX360" s="43"/>
      <c r="CY360" s="43"/>
      <c r="CZ360" s="43"/>
      <c r="DA360" s="43"/>
      <c r="DB360" s="43"/>
      <c r="DC360" s="43"/>
      <c r="DD360" s="22" t="str">
        <f>IFERROR(VLOOKUP($C360,'Лист4'!$D:$AI,27,0)," ")</f>
        <v> </v>
      </c>
      <c r="DE360" s="22" t="str">
        <f>IFERROR(VLOOKUP($C360,'Лист4'!$D:$AI,28,0)," ")</f>
        <v> </v>
      </c>
      <c r="DF360" s="22" t="str">
        <f>IFERROR(VLOOKUP($C360,'Лист4'!$D:$AI,29,0)," ")</f>
        <v> </v>
      </c>
      <c r="DG360" s="22" t="str">
        <f t="shared" si="3"/>
        <v> </v>
      </c>
      <c r="DH360" s="22" t="str">
        <f>IFERROR(VLOOKUP($C360,'Лист4'!$D:$AI,32,0)," ")</f>
        <v> </v>
      </c>
      <c r="DI360" s="22"/>
      <c r="DJ360" s="22"/>
      <c r="DK360" s="22"/>
      <c r="DL360" s="22"/>
      <c r="DM360" s="22"/>
      <c r="DN360" s="22"/>
      <c r="DO360" s="22"/>
      <c r="DP360" s="22"/>
      <c r="DQ360" s="22"/>
      <c r="DR360" s="22"/>
      <c r="DS360" s="22"/>
      <c r="DT360" s="22"/>
      <c r="DU360" s="22"/>
      <c r="DV360" s="22"/>
      <c r="DW360" s="22"/>
      <c r="DX360" s="22"/>
      <c r="DY360" s="22"/>
      <c r="DZ360" s="22"/>
      <c r="EA360" s="22"/>
      <c r="EB360" s="22"/>
      <c r="EC360" s="22"/>
      <c r="ED360" s="22"/>
      <c r="EE360" s="22"/>
      <c r="EF360" s="22"/>
      <c r="EG360" s="22"/>
      <c r="EH360" s="22"/>
      <c r="EI360" s="22"/>
      <c r="EJ360" s="22"/>
      <c r="EK360" s="22"/>
      <c r="EL360" s="22"/>
      <c r="EM360" s="43"/>
      <c r="EN360" s="43"/>
      <c r="EO360" s="43"/>
      <c r="EP360" s="43"/>
      <c r="EQ360" s="43"/>
      <c r="ER360" s="43"/>
      <c r="ES360" s="43"/>
      <c r="ET360" s="43"/>
      <c r="EU360" s="43"/>
      <c r="EV360" s="43"/>
      <c r="EW360" s="43"/>
      <c r="EX360" s="43"/>
      <c r="EY360" s="43"/>
      <c r="EZ360" s="43"/>
      <c r="FA360" s="43"/>
      <c r="FB360" s="43"/>
      <c r="FC360" s="43"/>
    </row>
    <row r="361" ht="18.0" customHeight="1">
      <c r="A361" s="2"/>
      <c r="B361" s="22" t="s">
        <v>2659</v>
      </c>
      <c r="C361" s="22" t="s">
        <v>5366</v>
      </c>
      <c r="D361" s="22" t="str">
        <f>IFERROR(VLOOKUP(C361,'Лист4'!D:P,13,0)," ")</f>
        <v> </v>
      </c>
      <c r="E361" s="22" t="str">
        <f>IF(OR(ISERROR(VLOOKUP(C361,'Актуальность'!A:B,2,0)), VLOOKUP(C361,'Актуальность'!A:B,2,0)=""), "Актуальный", VLOOKUP(C361,'Актуальность'!A:B,2,0))</f>
        <v>Актуальный</v>
      </c>
      <c r="F361" s="43" t="str">
        <f>IFERROR(VLOOKUP(C361,'Актуальность'!A:C,3,0)," ")</f>
        <v/>
      </c>
      <c r="G361" s="43"/>
      <c r="H361" s="22" t="s">
        <v>401</v>
      </c>
      <c r="I361" s="22" t="s">
        <v>401</v>
      </c>
      <c r="J361" s="43"/>
      <c r="K361" s="43"/>
      <c r="L361" s="22" t="b">
        <f t="shared" ref="L361:R361" si="357">T361&lt;&gt;""</f>
        <v>1</v>
      </c>
      <c r="M361" s="22" t="b">
        <f t="shared" si="357"/>
        <v>1</v>
      </c>
      <c r="N361" s="22" t="b">
        <f t="shared" si="357"/>
        <v>1</v>
      </c>
      <c r="O361" s="22" t="b">
        <f t="shared" si="357"/>
        <v>1</v>
      </c>
      <c r="P361" s="22" t="b">
        <f t="shared" si="357"/>
        <v>1</v>
      </c>
      <c r="Q361" s="22" t="b">
        <f t="shared" si="357"/>
        <v>1</v>
      </c>
      <c r="R361" s="22" t="b">
        <f t="shared" si="357"/>
        <v>0</v>
      </c>
      <c r="S361" s="43"/>
      <c r="T361" s="43" t="str">
        <f>IFERROR(VLOOKUP( C361,'1С'!A:B,2,0)," ")</f>
        <v> </v>
      </c>
      <c r="U361" s="64" t="s">
        <v>5366</v>
      </c>
      <c r="V361" s="22" t="s">
        <v>5366</v>
      </c>
      <c r="W361" s="55" t="s">
        <v>5366</v>
      </c>
      <c r="X361" s="43" t="str">
        <f>IFERROR(VLOOKUP(T361,'Лист4'!C:I,7,0)," ")</f>
        <v> </v>
      </c>
      <c r="Y361" s="43" t="str">
        <f>IFERROR(VLOOKUP(T361,'Лист4'!C:I,6,0)," ")</f>
        <v> </v>
      </c>
      <c r="Z361" s="43"/>
      <c r="AA361" s="43"/>
      <c r="AB361" s="22">
        <v>7.16103412E8</v>
      </c>
      <c r="AC361" s="22">
        <v>3.276605917E9</v>
      </c>
      <c r="AD361" s="22">
        <v>4.914680343E9</v>
      </c>
      <c r="AE361" s="22"/>
      <c r="AF361" s="22"/>
      <c r="AG361" s="43"/>
      <c r="AH361" s="43"/>
      <c r="AI361" s="43" t="str">
        <f>IFERROR(VLOOKUP(T361,'1С'!B:C,2,0)," ")</f>
        <v> </v>
      </c>
      <c r="AJ361" s="22" t="s">
        <v>5368</v>
      </c>
      <c r="AK361" s="22" t="s">
        <v>5368</v>
      </c>
      <c r="AL361" s="22" t="s">
        <v>5369</v>
      </c>
      <c r="AM361" s="43"/>
      <c r="AN361" s="43"/>
      <c r="AO361" s="43"/>
      <c r="AP361" s="43"/>
      <c r="AQ361" s="46" t="s">
        <v>5370</v>
      </c>
      <c r="AR361" s="43"/>
      <c r="AS361" s="46" t="s">
        <v>5371</v>
      </c>
      <c r="AT361" s="43"/>
      <c r="AU361" s="43"/>
      <c r="AV361" s="43"/>
      <c r="AW361" s="43"/>
      <c r="AX361" s="22" t="s">
        <v>594</v>
      </c>
      <c r="AY361" s="22" t="s">
        <v>5368</v>
      </c>
      <c r="AZ361" s="22" t="s">
        <v>3361</v>
      </c>
      <c r="BA361" s="43"/>
      <c r="BB361" s="43"/>
      <c r="BC361" s="43"/>
      <c r="BD361" s="43"/>
      <c r="BE361" s="43"/>
      <c r="BF361" s="22" t="str">
        <f>IFERROR(VLOOKUP(C361,'спецификация'!B:D,3,0)," ")</f>
        <v> </v>
      </c>
      <c r="BG361" s="22"/>
      <c r="BH361" s="22" t="str">
        <f>IFERROR(VLOOKUP(C361,'спецификация'!B:AA,5,0)," ")</f>
        <v> </v>
      </c>
      <c r="BI361" s="22"/>
      <c r="BJ361" s="22" t="str">
        <f>IFERROR(VLOOKUP(C361,'спецификация'!B:AA,6,0)," ")</f>
        <v> </v>
      </c>
      <c r="BK361" s="43"/>
      <c r="BL361" s="43"/>
      <c r="BM361" s="22" t="str">
        <f>IFERROR(VLOOKUP(BF361,'спецификация'!D:H,5,0)," ")</f>
        <v> </v>
      </c>
      <c r="BN361" s="43"/>
      <c r="BO361" s="22" t="str">
        <f>IFERROR(VLOOKUP(C361,'спецификация'!B:AA,10,0)," ")</f>
        <v> </v>
      </c>
      <c r="BP361" s="43" t="str">
        <f>IFERROR(VLOOKUP(C361,'спецификация'!B:AA,11,0)," ")</f>
        <v> </v>
      </c>
      <c r="BQ361" s="22" t="str">
        <f>IFERROR(VLOOKUP(C361,'спецификация'!B:AA,12,0)," ")</f>
        <v> </v>
      </c>
      <c r="BR361" s="22"/>
      <c r="BS361" s="43"/>
      <c r="BT361" s="43"/>
      <c r="BU361" s="22"/>
      <c r="BV361" s="22" t="s">
        <v>401</v>
      </c>
      <c r="BW361" s="45" t="str">
        <f>IFERROR(VLOOKUP(C361,'спецификация'!B:AA,16,0)," ")</f>
        <v> </v>
      </c>
      <c r="BX361" s="43"/>
      <c r="BY361" s="43"/>
      <c r="BZ361" s="45" t="str">
        <f>IFERROR(VLOOKUP(BF361,'спецификация'!D:Y,22,0)," ")</f>
        <v> </v>
      </c>
      <c r="CA361" s="43"/>
      <c r="CB361" s="43"/>
      <c r="CC361" s="43"/>
      <c r="CD361" s="43"/>
      <c r="CE361" s="43"/>
      <c r="CF361" s="43"/>
      <c r="CG361" s="49">
        <f>IFERROR(VLOOKUP(C361,CC!A:D,4,0)," ")</f>
        <v>157.1</v>
      </c>
      <c r="CH361" s="22" t="str">
        <f>IFERROR(VLOOKUP(C361,'спецификация'!B:AA,19,0)," ")</f>
        <v> </v>
      </c>
      <c r="CI361" s="22"/>
      <c r="CJ361" s="43"/>
      <c r="CK361" s="22">
        <f>IFERROR(VLOOKUP(C361,CC!K:M,3,0)," ")</f>
        <v>90</v>
      </c>
      <c r="CL361" s="43"/>
      <c r="CM361" s="43"/>
      <c r="CN361" s="43"/>
      <c r="CO361" s="43"/>
      <c r="CP361" s="43"/>
      <c r="CQ361" s="43"/>
      <c r="CR361" s="43"/>
      <c r="CS361" s="43" t="b">
        <v>0</v>
      </c>
      <c r="CT361" s="43" t="b">
        <v>0</v>
      </c>
      <c r="CU361" s="43" t="b">
        <v>0</v>
      </c>
      <c r="CV361" s="43" t="b">
        <v>0</v>
      </c>
      <c r="CW361" s="43"/>
      <c r="CX361" s="43"/>
      <c r="CY361" s="43"/>
      <c r="CZ361" s="43"/>
      <c r="DA361" s="43"/>
      <c r="DB361" s="43"/>
      <c r="DC361" s="43"/>
      <c r="DD361" s="22" t="str">
        <f>IFERROR(VLOOKUP($C361,'Лист4'!$D:$AI,27,0)," ")</f>
        <v> </v>
      </c>
      <c r="DE361" s="22" t="str">
        <f>IFERROR(VLOOKUP($C361,'Лист4'!$D:$AI,28,0)," ")</f>
        <v> </v>
      </c>
      <c r="DF361" s="22" t="str">
        <f>IFERROR(VLOOKUP($C361,'Лист4'!$D:$AI,29,0)," ")</f>
        <v> </v>
      </c>
      <c r="DG361" s="22" t="str">
        <f t="shared" si="3"/>
        <v> </v>
      </c>
      <c r="DH361" s="22" t="str">
        <f>IFERROR(VLOOKUP($C361,'Лист4'!$D:$AI,32,0)," ")</f>
        <v> </v>
      </c>
      <c r="DI361" s="22"/>
      <c r="DJ361" s="22"/>
      <c r="DK361" s="22"/>
      <c r="DL361" s="22"/>
      <c r="DM361" s="22"/>
      <c r="DN361" s="22"/>
      <c r="DO361" s="22"/>
      <c r="DP361" s="22"/>
      <c r="DQ361" s="22"/>
      <c r="DR361" s="22"/>
      <c r="DS361" s="22"/>
      <c r="DT361" s="22"/>
      <c r="DU361" s="22"/>
      <c r="DV361" s="22"/>
      <c r="DW361" s="22"/>
      <c r="DX361" s="22"/>
      <c r="DY361" s="22"/>
      <c r="DZ361" s="22"/>
      <c r="EA361" s="22"/>
      <c r="EB361" s="22"/>
      <c r="EC361" s="22"/>
      <c r="ED361" s="22"/>
      <c r="EE361" s="22"/>
      <c r="EF361" s="22"/>
      <c r="EG361" s="22"/>
      <c r="EH361" s="22"/>
      <c r="EI361" s="22"/>
      <c r="EJ361" s="22"/>
      <c r="EK361" s="22"/>
      <c r="EL361" s="22"/>
      <c r="EM361" s="43"/>
      <c r="EN361" s="43"/>
      <c r="EO361" s="43"/>
      <c r="EP361" s="43"/>
      <c r="EQ361" s="43"/>
      <c r="ER361" s="43"/>
      <c r="ES361" s="43"/>
      <c r="ET361" s="43"/>
      <c r="EU361" s="43"/>
      <c r="EV361" s="43"/>
      <c r="EW361" s="43"/>
      <c r="EX361" s="43"/>
      <c r="EY361" s="43"/>
      <c r="EZ361" s="43"/>
      <c r="FA361" s="43"/>
      <c r="FB361" s="43"/>
      <c r="FC361" s="43"/>
    </row>
    <row r="362" ht="18.0" customHeight="1">
      <c r="A362" s="2"/>
      <c r="B362" s="22" t="s">
        <v>2659</v>
      </c>
      <c r="C362" s="22" t="s">
        <v>5374</v>
      </c>
      <c r="D362" s="22" t="str">
        <f>IFERROR(VLOOKUP(C362,'Лист4'!D:P,13,0)," ")</f>
        <v> </v>
      </c>
      <c r="E362" s="22" t="str">
        <f>IF(OR(ISERROR(VLOOKUP(C362,'Актуальность'!A:B,2,0)), VLOOKUP(C362,'Актуальность'!A:B,2,0)=""), "Актуальный", VLOOKUP(C362,'Актуальность'!A:B,2,0))</f>
        <v>Актуальный</v>
      </c>
      <c r="F362" s="43" t="str">
        <f>IFERROR(VLOOKUP(C362,'Актуальность'!A:C,3,0)," ")</f>
        <v/>
      </c>
      <c r="G362" s="43"/>
      <c r="H362" s="22" t="s">
        <v>401</v>
      </c>
      <c r="I362" s="22" t="s">
        <v>401</v>
      </c>
      <c r="J362" s="43"/>
      <c r="K362" s="43"/>
      <c r="L362" s="22" t="b">
        <f t="shared" ref="L362:R362" si="358">T362&lt;&gt;""</f>
        <v>1</v>
      </c>
      <c r="M362" s="22" t="b">
        <f t="shared" si="358"/>
        <v>1</v>
      </c>
      <c r="N362" s="22" t="b">
        <f t="shared" si="358"/>
        <v>1</v>
      </c>
      <c r="O362" s="22" t="b">
        <f t="shared" si="358"/>
        <v>1</v>
      </c>
      <c r="P362" s="22" t="b">
        <f t="shared" si="358"/>
        <v>1</v>
      </c>
      <c r="Q362" s="22" t="b">
        <f t="shared" si="358"/>
        <v>1</v>
      </c>
      <c r="R362" s="22" t="b">
        <f t="shared" si="358"/>
        <v>0</v>
      </c>
      <c r="S362" s="43"/>
      <c r="T362" s="43" t="str">
        <f>IFERROR(VLOOKUP( C362,'1С'!A:B,2,0)," ")</f>
        <v> </v>
      </c>
      <c r="U362" s="64" t="s">
        <v>5374</v>
      </c>
      <c r="V362" s="22" t="s">
        <v>5374</v>
      </c>
      <c r="W362" s="55" t="s">
        <v>5374</v>
      </c>
      <c r="X362" s="43" t="str">
        <f>IFERROR(VLOOKUP(T362,'Лист4'!C:I,7,0)," ")</f>
        <v> </v>
      </c>
      <c r="Y362" s="43" t="str">
        <f>IFERROR(VLOOKUP(T362,'Лист4'!C:I,6,0)," ")</f>
        <v> </v>
      </c>
      <c r="Z362" s="43"/>
      <c r="AA362" s="43"/>
      <c r="AB362" s="22">
        <v>7.23135494E8</v>
      </c>
      <c r="AC362" s="22">
        <v>3.276896413E9</v>
      </c>
      <c r="AD362" s="22">
        <v>4.914700613E9</v>
      </c>
      <c r="AE362" s="22"/>
      <c r="AF362" s="22"/>
      <c r="AG362" s="43"/>
      <c r="AH362" s="43"/>
      <c r="AI362" s="43" t="str">
        <f>IFERROR(VLOOKUP(T362,'1С'!B:C,2,0)," ")</f>
        <v> </v>
      </c>
      <c r="AJ362" s="22" t="s">
        <v>5375</v>
      </c>
      <c r="AK362" s="22" t="s">
        <v>5375</v>
      </c>
      <c r="AL362" s="22" t="s">
        <v>5375</v>
      </c>
      <c r="AM362" s="43"/>
      <c r="AN362" s="43"/>
      <c r="AO362" s="43"/>
      <c r="AP362" s="43"/>
      <c r="AQ362" s="46" t="s">
        <v>5376</v>
      </c>
      <c r="AR362" s="43"/>
      <c r="AS362" s="46" t="s">
        <v>5377</v>
      </c>
      <c r="AT362" s="43"/>
      <c r="AU362" s="43"/>
      <c r="AV362" s="43"/>
      <c r="AW362" s="43"/>
      <c r="AX362" s="22" t="s">
        <v>361</v>
      </c>
      <c r="AY362" s="22" t="s">
        <v>5375</v>
      </c>
      <c r="AZ362" s="22" t="s">
        <v>372</v>
      </c>
      <c r="BA362" s="43"/>
      <c r="BB362" s="43"/>
      <c r="BC362" s="43"/>
      <c r="BD362" s="43"/>
      <c r="BE362" s="43"/>
      <c r="BF362" s="22" t="str">
        <f>IFERROR(VLOOKUP(C362,'спецификация'!B:D,3,0)," ")</f>
        <v> </v>
      </c>
      <c r="BG362" s="22"/>
      <c r="BH362" s="22" t="str">
        <f>IFERROR(VLOOKUP(C362,'спецификация'!B:AA,5,0)," ")</f>
        <v> </v>
      </c>
      <c r="BI362" s="22"/>
      <c r="BJ362" s="22" t="str">
        <f>IFERROR(VLOOKUP(C362,'спецификация'!B:AA,6,0)," ")</f>
        <v> </v>
      </c>
      <c r="BK362" s="43"/>
      <c r="BL362" s="43"/>
      <c r="BM362" s="22" t="str">
        <f>IFERROR(VLOOKUP(BF362,'спецификация'!D:H,5,0)," ")</f>
        <v> </v>
      </c>
      <c r="BN362" s="43"/>
      <c r="BO362" s="22" t="str">
        <f>IFERROR(VLOOKUP(C362,'спецификация'!B:AA,10,0)," ")</f>
        <v> </v>
      </c>
      <c r="BP362" s="43" t="str">
        <f>IFERROR(VLOOKUP(C362,'спецификация'!B:AA,11,0)," ")</f>
        <v> </v>
      </c>
      <c r="BQ362" s="22" t="str">
        <f>IFERROR(VLOOKUP(C362,'спецификация'!B:AA,12,0)," ")</f>
        <v> </v>
      </c>
      <c r="BR362" s="22"/>
      <c r="BS362" s="43"/>
      <c r="BT362" s="43"/>
      <c r="BU362" s="22"/>
      <c r="BV362" s="22" t="s">
        <v>401</v>
      </c>
      <c r="BW362" s="45" t="str">
        <f>IFERROR(VLOOKUP(C362,'спецификация'!B:AA,16,0)," ")</f>
        <v> </v>
      </c>
      <c r="BX362" s="43"/>
      <c r="BY362" s="43"/>
      <c r="BZ362" s="45" t="str">
        <f>IFERROR(VLOOKUP(BF362,'спецификация'!D:Y,22,0)," ")</f>
        <v> </v>
      </c>
      <c r="CA362" s="43"/>
      <c r="CB362" s="43"/>
      <c r="CC362" s="43"/>
      <c r="CD362" s="43"/>
      <c r="CE362" s="43"/>
      <c r="CF362" s="43"/>
      <c r="CG362" s="49" t="str">
        <f>IFERROR(VLOOKUP(C362,CC!A:D,4,0)," ")</f>
        <v> </v>
      </c>
      <c r="CH362" s="22" t="str">
        <f>IFERROR(VLOOKUP(C362,'спецификация'!B:AA,19,0)," ")</f>
        <v> </v>
      </c>
      <c r="CI362" s="22"/>
      <c r="CJ362" s="43"/>
      <c r="CK362" s="22" t="str">
        <f>IFERROR(VLOOKUP(C362,CC!K:M,3,0)," ")</f>
        <v> </v>
      </c>
      <c r="CL362" s="43"/>
      <c r="CM362" s="43"/>
      <c r="CN362" s="43"/>
      <c r="CO362" s="43"/>
      <c r="CP362" s="43"/>
      <c r="CQ362" s="43"/>
      <c r="CR362" s="43"/>
      <c r="CS362" s="43" t="b">
        <v>0</v>
      </c>
      <c r="CT362" s="43" t="b">
        <v>0</v>
      </c>
      <c r="CU362" s="43" t="b">
        <v>0</v>
      </c>
      <c r="CV362" s="43" t="b">
        <v>0</v>
      </c>
      <c r="CW362" s="43"/>
      <c r="CX362" s="43"/>
      <c r="CY362" s="43"/>
      <c r="CZ362" s="43"/>
      <c r="DA362" s="43"/>
      <c r="DB362" s="43"/>
      <c r="DC362" s="43"/>
      <c r="DD362" s="22" t="str">
        <f>IFERROR(VLOOKUP($C362,'Лист4'!$D:$AI,27,0)," ")</f>
        <v> </v>
      </c>
      <c r="DE362" s="22" t="str">
        <f>IFERROR(VLOOKUP($C362,'Лист4'!$D:$AI,28,0)," ")</f>
        <v> </v>
      </c>
      <c r="DF362" s="22" t="str">
        <f>IFERROR(VLOOKUP($C362,'Лист4'!$D:$AI,29,0)," ")</f>
        <v> </v>
      </c>
      <c r="DG362" s="22" t="str">
        <f t="shared" si="3"/>
        <v> </v>
      </c>
      <c r="DH362" s="22" t="str">
        <f>IFERROR(VLOOKUP($C362,'Лист4'!$D:$AI,32,0)," ")</f>
        <v> </v>
      </c>
      <c r="DI362" s="22"/>
      <c r="DJ362" s="22"/>
      <c r="DK362" s="22"/>
      <c r="DL362" s="22"/>
      <c r="DM362" s="22"/>
      <c r="DN362" s="22"/>
      <c r="DO362" s="22"/>
      <c r="DP362" s="22"/>
      <c r="DQ362" s="22"/>
      <c r="DR362" s="22"/>
      <c r="DS362" s="22"/>
      <c r="DT362" s="22"/>
      <c r="DU362" s="22"/>
      <c r="DV362" s="22"/>
      <c r="DW362" s="22"/>
      <c r="DX362" s="22"/>
      <c r="DY362" s="22"/>
      <c r="DZ362" s="22"/>
      <c r="EA362" s="22"/>
      <c r="EB362" s="22"/>
      <c r="EC362" s="22"/>
      <c r="ED362" s="22"/>
      <c r="EE362" s="22"/>
      <c r="EF362" s="22"/>
      <c r="EG362" s="22"/>
      <c r="EH362" s="22"/>
      <c r="EI362" s="22"/>
      <c r="EJ362" s="22"/>
      <c r="EK362" s="22"/>
      <c r="EL362" s="22"/>
      <c r="EM362" s="43"/>
      <c r="EN362" s="43"/>
      <c r="EO362" s="43"/>
      <c r="EP362" s="43"/>
      <c r="EQ362" s="43"/>
      <c r="ER362" s="43"/>
      <c r="ES362" s="43"/>
      <c r="ET362" s="43"/>
      <c r="EU362" s="43"/>
      <c r="EV362" s="43"/>
      <c r="EW362" s="43"/>
      <c r="EX362" s="43"/>
      <c r="EY362" s="43"/>
      <c r="EZ362" s="43"/>
      <c r="FA362" s="43"/>
      <c r="FB362" s="43"/>
      <c r="FC362" s="43"/>
    </row>
    <row r="363" ht="18.0" customHeight="1">
      <c r="A363" s="2"/>
      <c r="B363" s="22" t="s">
        <v>2659</v>
      </c>
      <c r="C363" s="22" t="s">
        <v>5378</v>
      </c>
      <c r="D363" s="22" t="str">
        <f>IFERROR(VLOOKUP(C363,'Лист4'!D:P,13,0)," ")</f>
        <v> </v>
      </c>
      <c r="E363" s="22" t="str">
        <f>IF(OR(ISERROR(VLOOKUP(C363,'Актуальность'!A:B,2,0)), VLOOKUP(C363,'Актуальность'!A:B,2,0)=""), "Актуальный", VLOOKUP(C363,'Актуальность'!A:B,2,0))</f>
        <v>Актуальный</v>
      </c>
      <c r="F363" s="43" t="str">
        <f>IFERROR(VLOOKUP(C363,'Актуальность'!A:C,3,0)," ")</f>
        <v/>
      </c>
      <c r="G363" s="43"/>
      <c r="H363" s="22" t="s">
        <v>401</v>
      </c>
      <c r="I363" s="22" t="s">
        <v>401</v>
      </c>
      <c r="J363" s="43"/>
      <c r="K363" s="43"/>
      <c r="L363" s="22" t="b">
        <f t="shared" ref="L363:R363" si="359">T363&lt;&gt;""</f>
        <v>1</v>
      </c>
      <c r="M363" s="22" t="b">
        <f t="shared" si="359"/>
        <v>1</v>
      </c>
      <c r="N363" s="22" t="b">
        <f t="shared" si="359"/>
        <v>1</v>
      </c>
      <c r="O363" s="22" t="b">
        <f t="shared" si="359"/>
        <v>1</v>
      </c>
      <c r="P363" s="22" t="b">
        <f t="shared" si="359"/>
        <v>1</v>
      </c>
      <c r="Q363" s="22" t="b">
        <f t="shared" si="359"/>
        <v>1</v>
      </c>
      <c r="R363" s="22" t="b">
        <f t="shared" si="359"/>
        <v>0</v>
      </c>
      <c r="S363" s="43"/>
      <c r="T363" s="43" t="str">
        <f>IFERROR(VLOOKUP( C363,'1С'!A:B,2,0)," ")</f>
        <v> </v>
      </c>
      <c r="U363" s="64" t="s">
        <v>5378</v>
      </c>
      <c r="V363" s="22" t="s">
        <v>5378</v>
      </c>
      <c r="W363" s="55" t="s">
        <v>5378</v>
      </c>
      <c r="X363" s="43" t="str">
        <f>IFERROR(VLOOKUP(T363,'Лист4'!C:I,7,0)," ")</f>
        <v> </v>
      </c>
      <c r="Y363" s="43" t="str">
        <f>IFERROR(VLOOKUP(T363,'Лист4'!C:I,6,0)," ")</f>
        <v> </v>
      </c>
      <c r="Z363" s="43"/>
      <c r="AA363" s="43"/>
      <c r="AB363" s="22">
        <v>7.23220708E8</v>
      </c>
      <c r="AC363" s="22">
        <v>3.277309599E9</v>
      </c>
      <c r="AD363" s="22">
        <v>4.914676196E9</v>
      </c>
      <c r="AE363" s="22"/>
      <c r="AF363" s="22"/>
      <c r="AG363" s="43"/>
      <c r="AH363" s="43"/>
      <c r="AI363" s="43" t="str">
        <f>IFERROR(VLOOKUP(T363,'1С'!B:C,2,0)," ")</f>
        <v> </v>
      </c>
      <c r="AJ363" s="22" t="s">
        <v>5379</v>
      </c>
      <c r="AK363" s="22" t="s">
        <v>5379</v>
      </c>
      <c r="AL363" s="22" t="s">
        <v>5379</v>
      </c>
      <c r="AM363" s="43"/>
      <c r="AN363" s="43"/>
      <c r="AO363" s="43"/>
      <c r="AP363" s="43"/>
      <c r="AQ363" s="46" t="s">
        <v>5380</v>
      </c>
      <c r="AR363" s="43"/>
      <c r="AS363" s="46" t="s">
        <v>5381</v>
      </c>
      <c r="AT363" s="43"/>
      <c r="AU363" s="43"/>
      <c r="AV363" s="43"/>
      <c r="AW363" s="43"/>
      <c r="AX363" s="22" t="s">
        <v>361</v>
      </c>
      <c r="AY363" s="22" t="s">
        <v>5379</v>
      </c>
      <c r="AZ363" s="22" t="s">
        <v>372</v>
      </c>
      <c r="BA363" s="43"/>
      <c r="BB363" s="43"/>
      <c r="BC363" s="43"/>
      <c r="BD363" s="43"/>
      <c r="BE363" s="43"/>
      <c r="BF363" s="22" t="str">
        <f>IFERROR(VLOOKUP(C363,'спецификация'!B:D,3,0)," ")</f>
        <v> </v>
      </c>
      <c r="BG363" s="22"/>
      <c r="BH363" s="22" t="str">
        <f>IFERROR(VLOOKUP(C363,'спецификация'!B:AA,5,0)," ")</f>
        <v> </v>
      </c>
      <c r="BI363" s="22"/>
      <c r="BJ363" s="22" t="str">
        <f>IFERROR(VLOOKUP(C363,'спецификация'!B:AA,6,0)," ")</f>
        <v> </v>
      </c>
      <c r="BK363" s="43"/>
      <c r="BL363" s="43"/>
      <c r="BM363" s="22" t="str">
        <f>IFERROR(VLOOKUP(BF363,'спецификация'!D:H,5,0)," ")</f>
        <v> </v>
      </c>
      <c r="BN363" s="43"/>
      <c r="BO363" s="22" t="str">
        <f>IFERROR(VLOOKUP(C363,'спецификация'!B:AA,10,0)," ")</f>
        <v> </v>
      </c>
      <c r="BP363" s="43" t="str">
        <f>IFERROR(VLOOKUP(C363,'спецификация'!B:AA,11,0)," ")</f>
        <v> </v>
      </c>
      <c r="BQ363" s="22" t="str">
        <f>IFERROR(VLOOKUP(C363,'спецификация'!B:AA,12,0)," ")</f>
        <v> </v>
      </c>
      <c r="BR363" s="22"/>
      <c r="BS363" s="43"/>
      <c r="BT363" s="43"/>
      <c r="BU363" s="22"/>
      <c r="BV363" s="22" t="s">
        <v>401</v>
      </c>
      <c r="BW363" s="45" t="str">
        <f>IFERROR(VLOOKUP(C363,'спецификация'!B:AA,16,0)," ")</f>
        <v> </v>
      </c>
      <c r="BX363" s="43"/>
      <c r="BY363" s="43"/>
      <c r="BZ363" s="45" t="str">
        <f>IFERROR(VLOOKUP(BF363,'спецификация'!D:Y,22,0)," ")</f>
        <v> </v>
      </c>
      <c r="CA363" s="43"/>
      <c r="CB363" s="43"/>
      <c r="CC363" s="43"/>
      <c r="CD363" s="43"/>
      <c r="CE363" s="43"/>
      <c r="CF363" s="43"/>
      <c r="CG363" s="49" t="str">
        <f>IFERROR(VLOOKUP(C363,CC!A:D,4,0)," ")</f>
        <v> </v>
      </c>
      <c r="CH363" s="22" t="str">
        <f>IFERROR(VLOOKUP(C363,'спецификация'!B:AA,19,0)," ")</f>
        <v> </v>
      </c>
      <c r="CI363" s="22"/>
      <c r="CJ363" s="43"/>
      <c r="CK363" s="22" t="str">
        <f>IFERROR(VLOOKUP(C363,CC!K:M,3,0)," ")</f>
        <v> </v>
      </c>
      <c r="CL363" s="43"/>
      <c r="CM363" s="43"/>
      <c r="CN363" s="43"/>
      <c r="CO363" s="43"/>
      <c r="CP363" s="43"/>
      <c r="CQ363" s="43"/>
      <c r="CR363" s="43"/>
      <c r="CS363" s="43" t="b">
        <v>0</v>
      </c>
      <c r="CT363" s="43" t="b">
        <v>0</v>
      </c>
      <c r="CU363" s="43" t="b">
        <v>0</v>
      </c>
      <c r="CV363" s="43" t="b">
        <v>0</v>
      </c>
      <c r="CW363" s="43"/>
      <c r="CX363" s="43"/>
      <c r="CY363" s="43"/>
      <c r="CZ363" s="43"/>
      <c r="DA363" s="43"/>
      <c r="DB363" s="43"/>
      <c r="DC363" s="43"/>
      <c r="DD363" s="22" t="str">
        <f>IFERROR(VLOOKUP($C363,'Лист4'!$D:$AI,27,0)," ")</f>
        <v> </v>
      </c>
      <c r="DE363" s="22" t="str">
        <f>IFERROR(VLOOKUP($C363,'Лист4'!$D:$AI,28,0)," ")</f>
        <v> </v>
      </c>
      <c r="DF363" s="22" t="str">
        <f>IFERROR(VLOOKUP($C363,'Лист4'!$D:$AI,29,0)," ")</f>
        <v> </v>
      </c>
      <c r="DG363" s="22" t="str">
        <f t="shared" si="3"/>
        <v> </v>
      </c>
      <c r="DH363" s="22" t="str">
        <f>IFERROR(VLOOKUP($C363,'Лист4'!$D:$AI,32,0)," ")</f>
        <v> </v>
      </c>
      <c r="DI363" s="22"/>
      <c r="DJ363" s="22"/>
      <c r="DK363" s="22"/>
      <c r="DL363" s="22"/>
      <c r="DM363" s="22"/>
      <c r="DN363" s="22"/>
      <c r="DO363" s="22"/>
      <c r="DP363" s="22"/>
      <c r="DQ363" s="22"/>
      <c r="DR363" s="22"/>
      <c r="DS363" s="22"/>
      <c r="DT363" s="22"/>
      <c r="DU363" s="22"/>
      <c r="DV363" s="22"/>
      <c r="DW363" s="22"/>
      <c r="DX363" s="22"/>
      <c r="DY363" s="22"/>
      <c r="DZ363" s="22"/>
      <c r="EA363" s="22"/>
      <c r="EB363" s="22"/>
      <c r="EC363" s="22"/>
      <c r="ED363" s="22"/>
      <c r="EE363" s="22"/>
      <c r="EF363" s="22"/>
      <c r="EG363" s="22"/>
      <c r="EH363" s="22"/>
      <c r="EI363" s="22"/>
      <c r="EJ363" s="22"/>
      <c r="EK363" s="22"/>
      <c r="EL363" s="22"/>
      <c r="EM363" s="43"/>
      <c r="EN363" s="43"/>
      <c r="EO363" s="43"/>
      <c r="EP363" s="43"/>
      <c r="EQ363" s="43"/>
      <c r="ER363" s="43"/>
      <c r="ES363" s="43"/>
      <c r="ET363" s="43"/>
      <c r="EU363" s="43"/>
      <c r="EV363" s="43"/>
      <c r="EW363" s="43"/>
      <c r="EX363" s="43"/>
      <c r="EY363" s="43"/>
      <c r="EZ363" s="43"/>
      <c r="FA363" s="43"/>
      <c r="FB363" s="43"/>
      <c r="FC363" s="43"/>
    </row>
    <row r="364" ht="18.0" customHeight="1">
      <c r="A364" s="2"/>
      <c r="B364" s="22" t="s">
        <v>2659</v>
      </c>
      <c r="C364" s="22" t="s">
        <v>5382</v>
      </c>
      <c r="D364" s="22" t="str">
        <f>IFERROR(VLOOKUP(C364,'Лист4'!D:P,13,0)," ")</f>
        <v> </v>
      </c>
      <c r="E364" s="22" t="str">
        <f>IF(OR(ISERROR(VLOOKUP(C364,'Актуальность'!A:B,2,0)), VLOOKUP(C364,'Актуальность'!A:B,2,0)=""), "Актуальный", VLOOKUP(C364,'Актуальность'!A:B,2,0))</f>
        <v>Актуальный</v>
      </c>
      <c r="F364" s="43" t="str">
        <f>IFERROR(VLOOKUP(C364,'Актуальность'!A:C,3,0)," ")</f>
        <v/>
      </c>
      <c r="G364" s="43"/>
      <c r="H364" s="22" t="s">
        <v>401</v>
      </c>
      <c r="I364" s="22" t="s">
        <v>401</v>
      </c>
      <c r="J364" s="43"/>
      <c r="K364" s="43"/>
      <c r="L364" s="22" t="b">
        <f t="shared" ref="L364:R364" si="360">T364&lt;&gt;""</f>
        <v>1</v>
      </c>
      <c r="M364" s="22" t="b">
        <f t="shared" si="360"/>
        <v>1</v>
      </c>
      <c r="N364" s="22" t="b">
        <f t="shared" si="360"/>
        <v>1</v>
      </c>
      <c r="O364" s="22" t="b">
        <f t="shared" si="360"/>
        <v>1</v>
      </c>
      <c r="P364" s="22" t="b">
        <f t="shared" si="360"/>
        <v>1</v>
      </c>
      <c r="Q364" s="22" t="b">
        <f t="shared" si="360"/>
        <v>1</v>
      </c>
      <c r="R364" s="22" t="b">
        <f t="shared" si="360"/>
        <v>0</v>
      </c>
      <c r="S364" s="43"/>
      <c r="T364" s="43" t="str">
        <f>IFERROR(VLOOKUP( C364,'1С'!A:B,2,0)," ")</f>
        <v> </v>
      </c>
      <c r="U364" s="64" t="s">
        <v>5382</v>
      </c>
      <c r="V364" s="22" t="s">
        <v>5382</v>
      </c>
      <c r="W364" s="55" t="s">
        <v>5382</v>
      </c>
      <c r="X364" s="43" t="str">
        <f>IFERROR(VLOOKUP(T364,'Лист4'!C:I,7,0)," ")</f>
        <v> </v>
      </c>
      <c r="Y364" s="43" t="str">
        <f>IFERROR(VLOOKUP(T364,'Лист4'!C:I,6,0)," ")</f>
        <v> </v>
      </c>
      <c r="Z364" s="43"/>
      <c r="AA364" s="43"/>
      <c r="AB364" s="22">
        <v>7.23490719E8</v>
      </c>
      <c r="AC364" s="22">
        <v>3.277342774E9</v>
      </c>
      <c r="AD364" s="22">
        <v>4.914732726E9</v>
      </c>
      <c r="AE364" s="22"/>
      <c r="AF364" s="22"/>
      <c r="AG364" s="43"/>
      <c r="AH364" s="43"/>
      <c r="AI364" s="43" t="str">
        <f>IFERROR(VLOOKUP(T364,'1С'!B:C,2,0)," ")</f>
        <v> </v>
      </c>
      <c r="AJ364" s="22" t="s">
        <v>5383</v>
      </c>
      <c r="AK364" s="22" t="s">
        <v>5383</v>
      </c>
      <c r="AL364" s="22" t="s">
        <v>5383</v>
      </c>
      <c r="AM364" s="43"/>
      <c r="AN364" s="43"/>
      <c r="AO364" s="43"/>
      <c r="AP364" s="43"/>
      <c r="AQ364" s="46" t="s">
        <v>5384</v>
      </c>
      <c r="AR364" s="43"/>
      <c r="AS364" s="46" t="s">
        <v>5385</v>
      </c>
      <c r="AT364" s="43"/>
      <c r="AU364" s="43"/>
      <c r="AV364" s="43"/>
      <c r="AW364" s="43"/>
      <c r="AX364" s="22" t="s">
        <v>361</v>
      </c>
      <c r="AY364" s="22" t="s">
        <v>5383</v>
      </c>
      <c r="AZ364" s="22" t="s">
        <v>372</v>
      </c>
      <c r="BA364" s="43"/>
      <c r="BB364" s="43"/>
      <c r="BC364" s="43"/>
      <c r="BD364" s="43"/>
      <c r="BE364" s="43"/>
      <c r="BF364" s="22" t="str">
        <f>IFERROR(VLOOKUP(C364,'спецификация'!B:D,3,0)," ")</f>
        <v> </v>
      </c>
      <c r="BG364" s="22"/>
      <c r="BH364" s="22" t="str">
        <f>IFERROR(VLOOKUP(C364,'спецификация'!B:AA,5,0)," ")</f>
        <v> </v>
      </c>
      <c r="BI364" s="22"/>
      <c r="BJ364" s="22" t="str">
        <f>IFERROR(VLOOKUP(C364,'спецификация'!B:AA,6,0)," ")</f>
        <v> </v>
      </c>
      <c r="BK364" s="43"/>
      <c r="BL364" s="43"/>
      <c r="BM364" s="22" t="str">
        <f>IFERROR(VLOOKUP(BF364,'спецификация'!D:H,5,0)," ")</f>
        <v> </v>
      </c>
      <c r="BN364" s="43"/>
      <c r="BO364" s="22" t="str">
        <f>IFERROR(VLOOKUP(C364,'спецификация'!B:AA,10,0)," ")</f>
        <v> </v>
      </c>
      <c r="BP364" s="43" t="str">
        <f>IFERROR(VLOOKUP(C364,'спецификация'!B:AA,11,0)," ")</f>
        <v> </v>
      </c>
      <c r="BQ364" s="22" t="str">
        <f>IFERROR(VLOOKUP(C364,'спецификация'!B:AA,12,0)," ")</f>
        <v> </v>
      </c>
      <c r="BR364" s="22"/>
      <c r="BS364" s="43"/>
      <c r="BT364" s="43"/>
      <c r="BU364" s="22"/>
      <c r="BV364" s="22" t="s">
        <v>401</v>
      </c>
      <c r="BW364" s="45" t="str">
        <f>IFERROR(VLOOKUP(C364,'спецификация'!B:AA,16,0)," ")</f>
        <v> </v>
      </c>
      <c r="BX364" s="43"/>
      <c r="BY364" s="43"/>
      <c r="BZ364" s="45" t="str">
        <f>IFERROR(VLOOKUP(BF364,'спецификация'!D:Y,22,0)," ")</f>
        <v> </v>
      </c>
      <c r="CA364" s="43"/>
      <c r="CB364" s="43"/>
      <c r="CC364" s="43"/>
      <c r="CD364" s="43"/>
      <c r="CE364" s="43"/>
      <c r="CF364" s="43"/>
      <c r="CG364" s="49" t="str">
        <f>IFERROR(VLOOKUP(C364,CC!A:D,4,0)," ")</f>
        <v> </v>
      </c>
      <c r="CH364" s="22" t="str">
        <f>IFERROR(VLOOKUP(C364,'спецификация'!B:AA,19,0)," ")</f>
        <v> </v>
      </c>
      <c r="CI364" s="22"/>
      <c r="CJ364" s="43"/>
      <c r="CK364" s="22" t="str">
        <f>IFERROR(VLOOKUP(C364,CC!K:M,3,0)," ")</f>
        <v> </v>
      </c>
      <c r="CL364" s="43"/>
      <c r="CM364" s="43"/>
      <c r="CN364" s="43"/>
      <c r="CO364" s="43"/>
      <c r="CP364" s="43"/>
      <c r="CQ364" s="43"/>
      <c r="CR364" s="43"/>
      <c r="CS364" s="43" t="b">
        <v>0</v>
      </c>
      <c r="CT364" s="43" t="b">
        <v>0</v>
      </c>
      <c r="CU364" s="43" t="b">
        <v>0</v>
      </c>
      <c r="CV364" s="43" t="b">
        <v>0</v>
      </c>
      <c r="CW364" s="43"/>
      <c r="CX364" s="43"/>
      <c r="CY364" s="43"/>
      <c r="CZ364" s="43"/>
      <c r="DA364" s="43"/>
      <c r="DB364" s="43"/>
      <c r="DC364" s="43"/>
      <c r="DD364" s="22" t="str">
        <f>IFERROR(VLOOKUP($C364,'Лист4'!$D:$AI,27,0)," ")</f>
        <v> </v>
      </c>
      <c r="DE364" s="22" t="str">
        <f>IFERROR(VLOOKUP($C364,'Лист4'!$D:$AI,28,0)," ")</f>
        <v> </v>
      </c>
      <c r="DF364" s="22" t="str">
        <f>IFERROR(VLOOKUP($C364,'Лист4'!$D:$AI,29,0)," ")</f>
        <v> </v>
      </c>
      <c r="DG364" s="22" t="str">
        <f t="shared" si="3"/>
        <v> </v>
      </c>
      <c r="DH364" s="22" t="str">
        <f>IFERROR(VLOOKUP($C364,'Лист4'!$D:$AI,32,0)," ")</f>
        <v> </v>
      </c>
      <c r="DI364" s="22"/>
      <c r="DJ364" s="22"/>
      <c r="DK364" s="22"/>
      <c r="DL364" s="22"/>
      <c r="DM364" s="22"/>
      <c r="DN364" s="22"/>
      <c r="DO364" s="22"/>
      <c r="DP364" s="22"/>
      <c r="DQ364" s="22"/>
      <c r="DR364" s="22"/>
      <c r="DS364" s="22"/>
      <c r="DT364" s="22"/>
      <c r="DU364" s="22"/>
      <c r="DV364" s="22"/>
      <c r="DW364" s="22"/>
      <c r="DX364" s="22"/>
      <c r="DY364" s="22"/>
      <c r="DZ364" s="22"/>
      <c r="EA364" s="22"/>
      <c r="EB364" s="22"/>
      <c r="EC364" s="22"/>
      <c r="ED364" s="22"/>
      <c r="EE364" s="22"/>
      <c r="EF364" s="22"/>
      <c r="EG364" s="22"/>
      <c r="EH364" s="22"/>
      <c r="EI364" s="22"/>
      <c r="EJ364" s="22"/>
      <c r="EK364" s="22"/>
      <c r="EL364" s="22"/>
      <c r="EM364" s="43"/>
      <c r="EN364" s="43"/>
      <c r="EO364" s="43"/>
      <c r="EP364" s="43"/>
      <c r="EQ364" s="43"/>
      <c r="ER364" s="43"/>
      <c r="ES364" s="43"/>
      <c r="ET364" s="43"/>
      <c r="EU364" s="43"/>
      <c r="EV364" s="43"/>
      <c r="EW364" s="43"/>
      <c r="EX364" s="43"/>
      <c r="EY364" s="43"/>
      <c r="EZ364" s="43"/>
      <c r="FA364" s="43"/>
      <c r="FB364" s="43"/>
      <c r="FC364" s="43"/>
    </row>
    <row r="365" ht="18.0" customHeight="1">
      <c r="A365" s="2"/>
      <c r="B365" s="22" t="s">
        <v>2659</v>
      </c>
      <c r="C365" s="22" t="s">
        <v>5386</v>
      </c>
      <c r="D365" s="22" t="str">
        <f>IFERROR(VLOOKUP(C365,'Лист4'!D:P,13,0)," ")</f>
        <v/>
      </c>
      <c r="E365" s="22" t="str">
        <f>IF(OR(ISERROR(VLOOKUP(C365,'Актуальность'!A:B,2,0)), VLOOKUP(C365,'Актуальность'!A:B,2,0)=""), "Актуальный", VLOOKUP(C365,'Актуальность'!A:B,2,0))</f>
        <v>Вывод</v>
      </c>
      <c r="F365" s="43" t="str">
        <f>IFERROR(VLOOKUP(C365,'Актуальность'!A:C,3,0)," ")</f>
        <v>Старый товар</v>
      </c>
      <c r="G365" s="43"/>
      <c r="H365" s="22" t="s">
        <v>401</v>
      </c>
      <c r="I365" s="22" t="s">
        <v>401</v>
      </c>
      <c r="J365" s="43"/>
      <c r="K365" s="43"/>
      <c r="L365" s="22" t="b">
        <f t="shared" ref="L365:R365" si="361">T365&lt;&gt;""</f>
        <v>1</v>
      </c>
      <c r="M365" s="22" t="b">
        <f t="shared" si="361"/>
        <v>1</v>
      </c>
      <c r="N365" s="22" t="b">
        <f t="shared" si="361"/>
        <v>0</v>
      </c>
      <c r="O365" s="22" t="b">
        <f t="shared" si="361"/>
        <v>1</v>
      </c>
      <c r="P365" s="22" t="b">
        <f t="shared" si="361"/>
        <v>1</v>
      </c>
      <c r="Q365" s="22" t="b">
        <f t="shared" si="361"/>
        <v>1</v>
      </c>
      <c r="R365" s="22" t="b">
        <f t="shared" si="361"/>
        <v>0</v>
      </c>
      <c r="S365" s="43"/>
      <c r="T365" s="43" t="str">
        <f>IFERROR(VLOOKUP( C365,'1С'!A:B,2,0)," ")</f>
        <v> </v>
      </c>
      <c r="U365" s="64" t="s">
        <v>5386</v>
      </c>
      <c r="V365" s="22"/>
      <c r="W365" s="55" t="s">
        <v>5387</v>
      </c>
      <c r="X365" s="43" t="str">
        <f>IFERROR(VLOOKUP(T365,'Лист4'!C:I,7,0)," ")</f>
        <v> </v>
      </c>
      <c r="Y365" s="43" t="str">
        <f>IFERROR(VLOOKUP(T365,'Лист4'!C:I,6,0)," ")</f>
        <v> </v>
      </c>
      <c r="Z365" s="43"/>
      <c r="AA365" s="43"/>
      <c r="AB365" s="22">
        <v>2.1422127E8</v>
      </c>
      <c r="AC365" s="22"/>
      <c r="AD365" s="22">
        <v>1.01453487277E11</v>
      </c>
      <c r="AE365" s="22"/>
      <c r="AF365" s="22"/>
      <c r="AG365" s="43"/>
      <c r="AH365" s="43"/>
      <c r="AI365" s="43" t="str">
        <f>IFERROR(VLOOKUP(T365,'1С'!B:C,2,0)," ")</f>
        <v> </v>
      </c>
      <c r="AJ365" s="22" t="s">
        <v>5275</v>
      </c>
      <c r="AK365" s="43"/>
      <c r="AL365" s="22" t="s">
        <v>5388</v>
      </c>
      <c r="AM365" s="43"/>
      <c r="AN365" s="43"/>
      <c r="AO365" s="43"/>
      <c r="AP365" s="43"/>
      <c r="AQ365" s="46" t="s">
        <v>5389</v>
      </c>
      <c r="AR365" s="43"/>
      <c r="AS365" s="43"/>
      <c r="AT365" s="43"/>
      <c r="AU365" s="43"/>
      <c r="AV365" s="43"/>
      <c r="AW365" s="43"/>
      <c r="AX365" s="22" t="s">
        <v>5390</v>
      </c>
      <c r="AY365" s="22"/>
      <c r="AZ365" s="22" t="s">
        <v>5391</v>
      </c>
      <c r="BA365" s="43"/>
      <c r="BB365" s="43"/>
      <c r="BC365" s="43"/>
      <c r="BD365" s="43"/>
      <c r="BE365" s="43"/>
      <c r="BF365" s="22">
        <f>IFERROR(VLOOKUP(C365,'спецификация'!B:D,3,0)," ")</f>
        <v>2252096556260</v>
      </c>
      <c r="BG365" s="22"/>
      <c r="BH365" s="22" t="str">
        <f>IFERROR(VLOOKUP(C365,'спецификация'!B:AA,5,0)," ")</f>
        <v>ЕАЭС N RU Д-RU.РА09.В.60972/24 от 18.10.2024 действует до 17.10.2029</v>
      </c>
      <c r="BI365" s="22"/>
      <c r="BJ365" s="22" t="str">
        <f>IFERROR(VLOOKUP(C365,'спецификация'!B:AA,6,0)," ")</f>
        <v/>
      </c>
      <c r="BK365" s="43"/>
      <c r="BL365" s="43"/>
      <c r="BM365" s="22" t="str">
        <f>IFERROR(VLOOKUP(BF365,'спецификация'!D:H,5,0)," ")</f>
        <v>Состав геля: вода, глицерин, экстракт трибуллуса, экстракт аралии маньчжурской, экстракт панакса радикса, масло лещины, гидроксиэтилцеллюлоза, полигликоль 400, аллантоин, экстракт ромашки, консервант. Состав тренажера: пластик, медицинский силикон.</v>
      </c>
      <c r="BN365" s="43"/>
      <c r="BO365" s="22" t="str">
        <f>IFERROR(VLOOKUP(C365,'спецификация'!B:AA,10,0)," ")</f>
        <v/>
      </c>
      <c r="BP365" s="43" t="str">
        <f>IFERROR(VLOOKUP(C365,'спецификация'!B:AA,11,0),"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65" s="22" t="str">
        <f>IFERROR(VLOOKUP(C365,'спецификация'!B:AA,12,0)," ")</f>
        <v>в сухом, защищенном от света месте при температуре от +5°С до +25°С.
</v>
      </c>
      <c r="BR365" s="22"/>
      <c r="BS365" s="43"/>
      <c r="BT365" s="43"/>
      <c r="BU365" s="22"/>
      <c r="BV365" s="22" t="s">
        <v>401</v>
      </c>
      <c r="BW365" s="44" t="str">
        <f>IFERROR(VLOOKUP(C365,'спецификация'!B:AA,16,0)," ")</f>
        <v>https://docs.google.com/document/d/1rK79ueSXwFLmuL3ulnvb9aN0ZA8JY1gLSbRsjbVMr80/edit</v>
      </c>
      <c r="BX365" s="43"/>
      <c r="BY365" s="43"/>
      <c r="BZ365" s="45" t="str">
        <f>IFERROR(VLOOKUP(BF365,'спецификация'!D:Y,22,0)," ")</f>
        <v/>
      </c>
      <c r="CA365" s="43"/>
      <c r="CB365" s="43"/>
      <c r="CC365" s="43"/>
      <c r="CD365" s="43"/>
      <c r="CE365" s="43"/>
      <c r="CF365" s="43"/>
      <c r="CG365" s="49" t="str">
        <f>IFERROR(VLOOKUP(C365,CC!A:D,4,0)," ")</f>
        <v/>
      </c>
      <c r="CH365" s="22" t="str">
        <f>IFERROR(VLOOKUP(C365,'спецификация'!B:AA,19,0)," ")</f>
        <v/>
      </c>
      <c r="CI365" s="22"/>
      <c r="CJ365" s="43"/>
      <c r="CK365" s="22">
        <f>IFERROR(VLOOKUP(C365,CC!K:M,3,0)," ")</f>
        <v>45</v>
      </c>
      <c r="CL365" s="43"/>
      <c r="CM365" s="43"/>
      <c r="CN365" s="43"/>
      <c r="CO365" s="43"/>
      <c r="CP365" s="43"/>
      <c r="CQ365" s="43"/>
      <c r="CR365" s="43"/>
      <c r="CS365" s="43" t="b">
        <v>0</v>
      </c>
      <c r="CT365" s="43" t="b">
        <v>0</v>
      </c>
      <c r="CU365" s="43" t="b">
        <v>0</v>
      </c>
      <c r="CV365" s="43" t="b">
        <v>0</v>
      </c>
      <c r="CW365" s="43"/>
      <c r="CX365" s="43"/>
      <c r="CY365" s="43"/>
      <c r="CZ365" s="43"/>
      <c r="DA365" s="43"/>
      <c r="DB365" s="43"/>
      <c r="DC365" s="43"/>
      <c r="DD365" s="22">
        <f>IFERROR(VLOOKUP($C365,'Лист4'!$D:$AI,27,0)," ")</f>
        <v>1</v>
      </c>
      <c r="DE365" s="22">
        <f>IFERROR(VLOOKUP($C365,'Лист4'!$D:$AI,28,0)," ")</f>
        <v>1</v>
      </c>
      <c r="DF365" s="22">
        <f>IFERROR(VLOOKUP($C365,'Лист4'!$D:$AI,29,0)," ")</f>
        <v>1</v>
      </c>
      <c r="DG365" s="22">
        <f t="shared" si="3"/>
        <v>1</v>
      </c>
      <c r="DH365" s="22">
        <f>IFERROR(VLOOKUP($C365,'Лист4'!$D:$AI,32,0)," ")</f>
        <v>1</v>
      </c>
      <c r="DI365" s="22"/>
      <c r="DJ365" s="22"/>
      <c r="DK365" s="22"/>
      <c r="DL365" s="22"/>
      <c r="DM365" s="22"/>
      <c r="DN365" s="22"/>
      <c r="DO365" s="22"/>
      <c r="DP365" s="22"/>
      <c r="DQ365" s="22"/>
      <c r="DR365" s="22"/>
      <c r="DS365" s="22"/>
      <c r="DT365" s="22"/>
      <c r="DU365" s="22"/>
      <c r="DV365" s="22"/>
      <c r="DW365" s="22"/>
      <c r="DX365" s="22"/>
      <c r="DY365" s="22"/>
      <c r="DZ365" s="22"/>
      <c r="EA365" s="22"/>
      <c r="EB365" s="22"/>
      <c r="EC365" s="22"/>
      <c r="ED365" s="22"/>
      <c r="EE365" s="22"/>
      <c r="EF365" s="22"/>
      <c r="EG365" s="22"/>
      <c r="EH365" s="22"/>
      <c r="EI365" s="22"/>
      <c r="EJ365" s="22"/>
      <c r="EK365" s="22"/>
      <c r="EL365" s="22"/>
      <c r="EM365" s="43"/>
      <c r="EN365" s="43"/>
      <c r="EO365" s="43"/>
      <c r="EP365" s="43"/>
      <c r="EQ365" s="43"/>
      <c r="ER365" s="43"/>
      <c r="ES365" s="43"/>
      <c r="ET365" s="43"/>
      <c r="EU365" s="43"/>
      <c r="EV365" s="43"/>
      <c r="EW365" s="43"/>
      <c r="EX365" s="43"/>
      <c r="EY365" s="43"/>
      <c r="EZ365" s="43"/>
      <c r="FA365" s="43"/>
      <c r="FB365" s="43"/>
      <c r="FC365" s="43"/>
    </row>
    <row r="366" ht="18.0" customHeight="1">
      <c r="A366" s="2"/>
      <c r="B366" s="22" t="s">
        <v>2659</v>
      </c>
      <c r="C366" s="22" t="s">
        <v>5392</v>
      </c>
      <c r="D366" s="22" t="str">
        <f>IFERROR(VLOOKUP(C366,'Лист4'!D:P,13,0)," ")</f>
        <v>CPA</v>
      </c>
      <c r="E366" s="22" t="str">
        <f>IF(OR(ISERROR(VLOOKUP(C366,'Актуальность'!A:B,2,0)), VLOOKUP(C366,'Актуальность'!A:B,2,0)=""), "Актуальный", VLOOKUP(C366,'Актуальность'!A:B,2,0))</f>
        <v>Актуальный</v>
      </c>
      <c r="F366" s="43" t="str">
        <f>IFERROR(VLOOKUP(C366,'Актуальность'!A:C,3,0)," ")</f>
        <v/>
      </c>
      <c r="G366" s="43"/>
      <c r="H366" s="22" t="s">
        <v>401</v>
      </c>
      <c r="I366" s="22" t="s">
        <v>401</v>
      </c>
      <c r="J366" s="43"/>
      <c r="K366" s="43"/>
      <c r="L366" s="22" t="b">
        <f t="shared" ref="L366:R366" si="362">T366&lt;&gt;""</f>
        <v>1</v>
      </c>
      <c r="M366" s="22" t="b">
        <f t="shared" si="362"/>
        <v>1</v>
      </c>
      <c r="N366" s="22" t="b">
        <f t="shared" si="362"/>
        <v>0</v>
      </c>
      <c r="O366" s="22" t="b">
        <f t="shared" si="362"/>
        <v>0</v>
      </c>
      <c r="P366" s="22" t="b">
        <f t="shared" si="362"/>
        <v>0</v>
      </c>
      <c r="Q366" s="22" t="b">
        <f t="shared" si="362"/>
        <v>0</v>
      </c>
      <c r="R366" s="22" t="b">
        <f t="shared" si="362"/>
        <v>0</v>
      </c>
      <c r="S366" s="43"/>
      <c r="T366" s="43" t="str">
        <f>IFERROR(VLOOKUP( C366,'1С'!A:B,2,0)," ")</f>
        <v>CC101100447</v>
      </c>
      <c r="U366" s="64" t="s">
        <v>5392</v>
      </c>
      <c r="V366" s="22"/>
      <c r="W366" s="22" t="str">
        <f>IFERROR(VLOOKUP(T366,'Лист4'!C:I,5,0)," ")</f>
        <v/>
      </c>
      <c r="X366" s="43" t="str">
        <f>IFERROR(VLOOKUP(T366,'Лист4'!C:I,7,0)," ")</f>
        <v/>
      </c>
      <c r="Y366" s="43" t="str">
        <f>IFERROR(VLOOKUP(T366,'Лист4'!C:I,6,0)," ")</f>
        <v/>
      </c>
      <c r="Z366" s="43"/>
      <c r="AA366" s="43"/>
      <c r="AB366" s="22">
        <v>3.18415062E8</v>
      </c>
      <c r="AC366" s="22"/>
      <c r="AD366" s="22"/>
      <c r="AE366" s="22"/>
      <c r="AF366" s="22"/>
      <c r="AG366" s="43"/>
      <c r="AH366" s="43"/>
      <c r="AI366" s="43" t="str">
        <f>IFERROR(VLOOKUP(T366,'1С'!B:C,2,0)," ")</f>
        <v>Мазь для суставов Сусталит , CPA, 30 мл</v>
      </c>
      <c r="AJ366" s="22" t="s">
        <v>5299</v>
      </c>
      <c r="AK366" s="43"/>
      <c r="AL366" s="43"/>
      <c r="AM366" s="43"/>
      <c r="AN366" s="43"/>
      <c r="AO366" s="43"/>
      <c r="AP366" s="43"/>
      <c r="AQ366" s="46" t="s">
        <v>5394</v>
      </c>
      <c r="AR366" s="43"/>
      <c r="AS366" s="43"/>
      <c r="AT366" s="43"/>
      <c r="AU366" s="43"/>
      <c r="AV366" s="43"/>
      <c r="AW366" s="43"/>
      <c r="AX366" s="22" t="s">
        <v>594</v>
      </c>
      <c r="AY366" s="22"/>
      <c r="AZ366" s="43"/>
      <c r="BA366" s="43"/>
      <c r="BB366" s="43"/>
      <c r="BC366" s="43"/>
      <c r="BD366" s="43"/>
      <c r="BE366" s="43"/>
      <c r="BF366" s="22">
        <f>IFERROR(VLOOKUP(C366,'спецификация'!B:D,3,0)," ")</f>
        <v>2042608334598</v>
      </c>
      <c r="BG366" s="22"/>
      <c r="BH366" s="22" t="str">
        <f>IFERROR(VLOOKUP(C366,'спецификация'!B:AA,5,0)," ")</f>
        <v/>
      </c>
      <c r="BI366" s="22"/>
      <c r="BJ366" s="22" t="str">
        <f>IFERROR(VLOOKUP(C366,'спецификация'!B:AA,6,0)," ")</f>
        <v/>
      </c>
      <c r="BK366" s="43"/>
      <c r="BL366" s="43"/>
      <c r="BM366" s="22" t="str">
        <f>IFERROR(VLOOKUP(BF366,'спецификация'!D:H,5,0)," ")</f>
        <v/>
      </c>
      <c r="BN366" s="43"/>
      <c r="BO366" s="22" t="str">
        <f>IFERROR(VLOOKUP(C366,'спецификация'!B:AA,10,0)," ")</f>
        <v/>
      </c>
      <c r="BP366" s="43" t="str">
        <f>IFERROR(VLOOKUP(C366,'спецификация'!B:AA,11,0)," ")</f>
        <v/>
      </c>
      <c r="BQ366" s="22" t="str">
        <f>IFERROR(VLOOKUP(C366,'спецификация'!B:AA,12,0)," ")</f>
        <v/>
      </c>
      <c r="BR366" s="22">
        <v>30.0</v>
      </c>
      <c r="BS366" s="58" t="s">
        <v>5012</v>
      </c>
      <c r="BT366" s="58"/>
      <c r="BU366" s="22"/>
      <c r="BV366" s="22"/>
      <c r="BW366" s="45" t="str">
        <f>IFERROR(VLOOKUP(C366,'спецификация'!B:AA,16,0)," ")</f>
        <v/>
      </c>
      <c r="BX366" s="43"/>
      <c r="BY366" s="43"/>
      <c r="BZ366" s="45" t="str">
        <f>IFERROR(VLOOKUP(BF366,'спецификация'!D:Y,22,0)," ")</f>
        <v/>
      </c>
      <c r="CA366" s="43"/>
      <c r="CB366" s="43"/>
      <c r="CC366" s="43"/>
      <c r="CD366" s="43"/>
      <c r="CE366" s="43"/>
      <c r="CF366" s="43"/>
      <c r="CG366" s="49">
        <f>IFERROR(VLOOKUP(C366,CC!A:D,4,0)," ")</f>
        <v>251.76</v>
      </c>
      <c r="CH366" s="22" t="str">
        <f>IFERROR(VLOOKUP(C366,'спецификация'!B:AA,19,0)," ")</f>
        <v/>
      </c>
      <c r="CI366" s="22"/>
      <c r="CJ366" s="43"/>
      <c r="CK366" s="22">
        <f>IFERROR(VLOOKUP(C366,CC!K:M,3,0)," ")</f>
        <v>45</v>
      </c>
      <c r="CL366" s="43"/>
      <c r="CM366" s="43"/>
      <c r="CN366" s="43"/>
      <c r="CO366" s="43"/>
      <c r="CP366" s="43"/>
      <c r="CQ366" s="43"/>
      <c r="CR366" s="43"/>
      <c r="CS366" s="43" t="b">
        <v>0</v>
      </c>
      <c r="CT366" s="43" t="b">
        <v>0</v>
      </c>
      <c r="CU366" s="43" t="b">
        <v>0</v>
      </c>
      <c r="CV366" s="43" t="b">
        <v>0</v>
      </c>
      <c r="CW366" s="43"/>
      <c r="CX366" s="43"/>
      <c r="CY366" s="43"/>
      <c r="CZ366" s="43"/>
      <c r="DA366" s="43"/>
      <c r="DB366" s="43"/>
      <c r="DC366" s="43"/>
      <c r="DD366" s="22">
        <f>IFERROR(VLOOKUP($C366,'Лист4'!$D:$AI,27,0)," ")</f>
        <v>9</v>
      </c>
      <c r="DE366" s="22">
        <f>IFERROR(VLOOKUP($C366,'Лист4'!$D:$AI,28,0)," ")</f>
        <v>15</v>
      </c>
      <c r="DF366" s="22">
        <f>IFERROR(VLOOKUP($C366,'Лист4'!$D:$AI,29,0)," ")</f>
        <v>9</v>
      </c>
      <c r="DG366" s="22">
        <f t="shared" si="3"/>
        <v>1215</v>
      </c>
      <c r="DH366" s="22">
        <f>IFERROR(VLOOKUP($C366,'Лист4'!$D:$AI,32,0)," ")</f>
        <v>0.121</v>
      </c>
      <c r="DI366" s="22"/>
      <c r="DJ366" s="22"/>
      <c r="DK366" s="22"/>
      <c r="DL366" s="22"/>
      <c r="DM366" s="22"/>
      <c r="DN366" s="22"/>
      <c r="DO366" s="22"/>
      <c r="DP366" s="22"/>
      <c r="DQ366" s="22"/>
      <c r="DR366" s="22"/>
      <c r="DS366" s="22"/>
      <c r="DT366" s="22"/>
      <c r="DU366" s="22"/>
      <c r="DV366" s="22"/>
      <c r="DW366" s="22"/>
      <c r="DX366" s="22"/>
      <c r="DY366" s="22"/>
      <c r="DZ366" s="22"/>
      <c r="EA366" s="22"/>
      <c r="EB366" s="22"/>
      <c r="EC366" s="22"/>
      <c r="ED366" s="22"/>
      <c r="EE366" s="22"/>
      <c r="EF366" s="22"/>
      <c r="EG366" s="22"/>
      <c r="EH366" s="22"/>
      <c r="EI366" s="22"/>
      <c r="EJ366" s="22"/>
      <c r="EK366" s="22"/>
      <c r="EL366" s="22"/>
      <c r="EM366" s="43"/>
      <c r="EN366" s="43"/>
      <c r="EO366" s="43"/>
      <c r="EP366" s="43"/>
      <c r="EQ366" s="43"/>
      <c r="ER366" s="43"/>
      <c r="ES366" s="43"/>
      <c r="ET366" s="43"/>
      <c r="EU366" s="43"/>
      <c r="EV366" s="43"/>
      <c r="EW366" s="43"/>
      <c r="EX366" s="43"/>
      <c r="EY366" s="43"/>
      <c r="EZ366" s="43"/>
      <c r="FA366" s="43"/>
      <c r="FB366" s="43"/>
      <c r="FC366" s="43"/>
    </row>
    <row r="367" ht="18.0" customHeight="1">
      <c r="A367" s="2"/>
      <c r="B367" s="22" t="s">
        <v>2659</v>
      </c>
      <c r="C367" s="22" t="s">
        <v>5397</v>
      </c>
      <c r="D367" s="22" t="str">
        <f>IFERROR(VLOOKUP(C367,'Лист4'!D:P,13,0)," ")</f>
        <v>CPA</v>
      </c>
      <c r="E367" s="22" t="str">
        <f>IF(OR(ISERROR(VLOOKUP(C367,'Актуальность'!A:B,2,0)), VLOOKUP(C367,'Актуальность'!A:B,2,0)=""), "Актуальный", VLOOKUP(C367,'Актуальность'!A:B,2,0))</f>
        <v>Актуальный</v>
      </c>
      <c r="F367" s="43" t="str">
        <f>IFERROR(VLOOKUP(C367,'Актуальность'!A:C,3,0)," ")</f>
        <v/>
      </c>
      <c r="G367" s="43"/>
      <c r="H367" s="22" t="s">
        <v>401</v>
      </c>
      <c r="I367" s="22" t="s">
        <v>401</v>
      </c>
      <c r="J367" s="43"/>
      <c r="K367" s="43"/>
      <c r="L367" s="22" t="b">
        <f t="shared" ref="L367:R367" si="363">T367&lt;&gt;""</f>
        <v>1</v>
      </c>
      <c r="M367" s="22" t="b">
        <f t="shared" si="363"/>
        <v>1</v>
      </c>
      <c r="N367" s="22" t="b">
        <f t="shared" si="363"/>
        <v>0</v>
      </c>
      <c r="O367" s="22" t="b">
        <f t="shared" si="363"/>
        <v>0</v>
      </c>
      <c r="P367" s="22" t="b">
        <f t="shared" si="363"/>
        <v>0</v>
      </c>
      <c r="Q367" s="22" t="b">
        <f t="shared" si="363"/>
        <v>0</v>
      </c>
      <c r="R367" s="22" t="b">
        <f t="shared" si="363"/>
        <v>0</v>
      </c>
      <c r="S367" s="43"/>
      <c r="T367" s="43" t="str">
        <f>IFERROR(VLOOKUP( C367,'1С'!A:B,2,0)," ")</f>
        <v>CO101100430</v>
      </c>
      <c r="U367" s="64" t="s">
        <v>5397</v>
      </c>
      <c r="V367" s="22"/>
      <c r="W367" s="22"/>
      <c r="X367" s="43" t="str">
        <f>IFERROR(VLOOKUP(T367,'Лист4'!C:I,7,0)," ")</f>
        <v/>
      </c>
      <c r="Y367" s="43" t="str">
        <f>IFERROR(VLOOKUP(T367,'Лист4'!C:I,6,0)," ")</f>
        <v/>
      </c>
      <c r="Z367" s="43"/>
      <c r="AA367" s="43"/>
      <c r="AB367" s="22">
        <v>5.2533687E8</v>
      </c>
      <c r="AC367" s="22"/>
      <c r="AD367" s="22"/>
      <c r="AE367" s="22"/>
      <c r="AF367" s="22"/>
      <c r="AG367" s="43"/>
      <c r="AH367" s="43"/>
      <c r="AI367" s="43" t="str">
        <f>IFERROR(VLOOKUP(T367,'1С'!B:C,2,0)," ")</f>
        <v>Пищевая добавка Трезвин, CPA, 20 капсул</v>
      </c>
      <c r="AJ367" s="22" t="s">
        <v>4025</v>
      </c>
      <c r="AK367" s="43"/>
      <c r="AL367" s="43"/>
      <c r="AM367" s="43"/>
      <c r="AN367" s="43"/>
      <c r="AO367" s="43"/>
      <c r="AP367" s="43"/>
      <c r="AQ367" s="46" t="s">
        <v>5399</v>
      </c>
      <c r="AR367" s="43"/>
      <c r="AS367" s="43"/>
      <c r="AT367" s="43"/>
      <c r="AU367" s="43"/>
      <c r="AV367" s="43"/>
      <c r="AW367" s="43"/>
      <c r="AX367" s="22" t="s">
        <v>649</v>
      </c>
      <c r="AY367" s="22"/>
      <c r="AZ367" s="43"/>
      <c r="BA367" s="43"/>
      <c r="BB367" s="43"/>
      <c r="BC367" s="43"/>
      <c r="BD367" s="43"/>
      <c r="BE367" s="43"/>
      <c r="BF367" s="22">
        <f>IFERROR(VLOOKUP(C367,'спецификация'!B:D,3,0)," ")</f>
        <v>4683857637894</v>
      </c>
      <c r="BG367" s="22"/>
      <c r="BH367" s="22" t="str">
        <f>IFERROR(VLOOKUP(C367,'спецификация'!B:AA,5,0)," ")</f>
        <v/>
      </c>
      <c r="BI367" s="22"/>
      <c r="BJ367" s="22" t="str">
        <f>IFERROR(VLOOKUP(C367,'спецификация'!B:AA,6,0)," ")</f>
        <v/>
      </c>
      <c r="BK367" s="43"/>
      <c r="BL367" s="43"/>
      <c r="BM367" s="22" t="str">
        <f>IFERROR(VLOOKUP(BF367,'спецификация'!D:H,5,0)," ")</f>
        <v/>
      </c>
      <c r="BN367" s="43"/>
      <c r="BO367" s="22" t="str">
        <f>IFERROR(VLOOKUP(C367,'спецификация'!B:AA,10,0)," ")</f>
        <v/>
      </c>
      <c r="BP367" s="43" t="str">
        <f>IFERROR(VLOOKUP(C367,'спецификация'!B:AA,11,0)," ")</f>
        <v/>
      </c>
      <c r="BQ367" s="22" t="str">
        <f>IFERROR(VLOOKUP(C367,'спецификация'!B:AA,12,0)," ")</f>
        <v/>
      </c>
      <c r="BR367" s="22"/>
      <c r="BS367" s="43"/>
      <c r="BT367" s="43"/>
      <c r="BU367" s="22"/>
      <c r="BV367" s="22"/>
      <c r="BW367" s="45" t="str">
        <f>IFERROR(VLOOKUP(C367,'спецификация'!B:AA,16,0)," ")</f>
        <v/>
      </c>
      <c r="BX367" s="43"/>
      <c r="BY367" s="43"/>
      <c r="BZ367" s="45" t="str">
        <f>IFERROR(VLOOKUP(BF367,'спецификация'!D:Y,22,0)," ")</f>
        <v/>
      </c>
      <c r="CA367" s="43"/>
      <c r="CB367" s="43"/>
      <c r="CC367" s="43"/>
      <c r="CD367" s="43"/>
      <c r="CE367" s="43"/>
      <c r="CF367" s="43"/>
      <c r="CG367" s="49">
        <f>IFERROR(VLOOKUP(C367,CC!A:D,4,0)," ")</f>
        <v>234.64</v>
      </c>
      <c r="CH367" s="22" t="str">
        <f>IFERROR(VLOOKUP(C367,'спецификация'!B:AA,19,0)," ")</f>
        <v/>
      </c>
      <c r="CI367" s="22"/>
      <c r="CJ367" s="22" t="s">
        <v>5400</v>
      </c>
      <c r="CK367" s="22">
        <f>IFERROR(VLOOKUP(C367,CC!K:M,3,0)," ")</f>
        <v>45</v>
      </c>
      <c r="CL367" s="43"/>
      <c r="CM367" s="43"/>
      <c r="CN367" s="43"/>
      <c r="CO367" s="43"/>
      <c r="CP367" s="43"/>
      <c r="CQ367" s="43"/>
      <c r="CR367" s="43"/>
      <c r="CS367" s="43" t="b">
        <v>0</v>
      </c>
      <c r="CT367" s="43" t="b">
        <v>0</v>
      </c>
      <c r="CU367" s="43" t="b">
        <v>0</v>
      </c>
      <c r="CV367" s="43" t="b">
        <v>0</v>
      </c>
      <c r="CW367" s="43"/>
      <c r="CX367" s="43"/>
      <c r="CY367" s="43"/>
      <c r="CZ367" s="43"/>
      <c r="DA367" s="43"/>
      <c r="DB367" s="43"/>
      <c r="DC367" s="43"/>
      <c r="DD367" s="22">
        <f>IFERROR(VLOOKUP($C367,'Лист4'!$D:$AI,27,0)," ")</f>
        <v>1</v>
      </c>
      <c r="DE367" s="22">
        <f>IFERROR(VLOOKUP($C367,'Лист4'!$D:$AI,28,0)," ")</f>
        <v>1</v>
      </c>
      <c r="DF367" s="22">
        <f>IFERROR(VLOOKUP($C367,'Лист4'!$D:$AI,29,0)," ")</f>
        <v>1</v>
      </c>
      <c r="DG367" s="22">
        <f t="shared" si="3"/>
        <v>1</v>
      </c>
      <c r="DH367" s="22">
        <f>IFERROR(VLOOKUP($C367,'Лист4'!$D:$AI,32,0)," ")</f>
        <v>1</v>
      </c>
      <c r="DI367" s="22"/>
      <c r="DJ367" s="22"/>
      <c r="DK367" s="22"/>
      <c r="DL367" s="22"/>
      <c r="DM367" s="22"/>
      <c r="DN367" s="22"/>
      <c r="DO367" s="22"/>
      <c r="DP367" s="22"/>
      <c r="DQ367" s="22"/>
      <c r="DR367" s="22"/>
      <c r="DS367" s="22"/>
      <c r="DT367" s="22"/>
      <c r="DU367" s="22"/>
      <c r="DV367" s="22"/>
      <c r="DW367" s="22"/>
      <c r="DX367" s="22"/>
      <c r="DY367" s="22"/>
      <c r="DZ367" s="22"/>
      <c r="EA367" s="22"/>
      <c r="EB367" s="22"/>
      <c r="EC367" s="22"/>
      <c r="ED367" s="22"/>
      <c r="EE367" s="22"/>
      <c r="EF367" s="22"/>
      <c r="EG367" s="22"/>
      <c r="EH367" s="22"/>
      <c r="EI367" s="22"/>
      <c r="EJ367" s="22"/>
      <c r="EK367" s="22"/>
      <c r="EL367" s="22"/>
      <c r="EM367" s="43"/>
      <c r="EN367" s="43"/>
      <c r="EO367" s="43"/>
      <c r="EP367" s="43"/>
      <c r="EQ367" s="43"/>
      <c r="ER367" s="43"/>
      <c r="ES367" s="43"/>
      <c r="ET367" s="43"/>
      <c r="EU367" s="43"/>
      <c r="EV367" s="43"/>
      <c r="EW367" s="43"/>
      <c r="EX367" s="43"/>
      <c r="EY367" s="43"/>
      <c r="EZ367" s="43"/>
      <c r="FA367" s="43"/>
      <c r="FB367" s="43"/>
      <c r="FC367" s="43"/>
    </row>
    <row r="368" ht="18.0" customHeight="1">
      <c r="A368" s="2"/>
      <c r="B368" s="22" t="s">
        <v>2659</v>
      </c>
      <c r="C368" s="22" t="s">
        <v>5401</v>
      </c>
      <c r="D368" s="22" t="str">
        <f>IFERROR(VLOOKUP(C368,'Лист4'!D:P,13,0)," ")</f>
        <v>qeep</v>
      </c>
      <c r="E368" s="22" t="str">
        <f>IF(OR(ISERROR(VLOOKUP(C368,'Актуальность'!A:B,2,0)), VLOOKUP(C368,'Актуальность'!A:B,2,0)=""), "Актуальный", VLOOKUP(C368,'Актуальность'!A:B,2,0))</f>
        <v>Актуальный</v>
      </c>
      <c r="F368" s="43" t="str">
        <f>IFERROR(VLOOKUP(C368,'Актуальность'!A:C,3,0)," ")</f>
        <v/>
      </c>
      <c r="G368" s="43"/>
      <c r="H368" s="22" t="s">
        <v>401</v>
      </c>
      <c r="I368" s="22" t="s">
        <v>401</v>
      </c>
      <c r="J368" s="43"/>
      <c r="K368" s="43"/>
      <c r="L368" s="22" t="b">
        <f t="shared" ref="L368:R368" si="364">T368&lt;&gt;""</f>
        <v>1</v>
      </c>
      <c r="M368" s="22" t="b">
        <f t="shared" si="364"/>
        <v>1</v>
      </c>
      <c r="N368" s="22" t="b">
        <f t="shared" si="364"/>
        <v>0</v>
      </c>
      <c r="O368" s="22" t="b">
        <f t="shared" si="364"/>
        <v>0</v>
      </c>
      <c r="P368" s="22" t="b">
        <f t="shared" si="364"/>
        <v>0</v>
      </c>
      <c r="Q368" s="22" t="b">
        <f t="shared" si="364"/>
        <v>0</v>
      </c>
      <c r="R368" s="22" t="b">
        <f t="shared" si="364"/>
        <v>0</v>
      </c>
      <c r="S368" s="43"/>
      <c r="T368" s="43" t="str">
        <f>IFERROR(VLOOKUP( C368,'1С'!A:B,2,0)," ")</f>
        <v>QB101100527</v>
      </c>
      <c r="U368" s="64" t="s">
        <v>5401</v>
      </c>
      <c r="V368" s="22"/>
      <c r="W368" s="22"/>
      <c r="X368" s="43" t="str">
        <f>IFERROR(VLOOKUP(T368,'Лист4'!C:I,7,0)," ")</f>
        <v/>
      </c>
      <c r="Y368" s="43" t="str">
        <f>IFERROR(VLOOKUP(T368,'Лист4'!C:I,6,0)," ")</f>
        <v/>
      </c>
      <c r="Z368" s="43"/>
      <c r="AA368" s="43"/>
      <c r="AB368" s="22">
        <v>1.72647498E8</v>
      </c>
      <c r="AC368" s="22"/>
      <c r="AD368" s="22"/>
      <c r="AE368" s="22"/>
      <c r="AF368" s="22"/>
      <c r="AG368" s="43"/>
      <c r="AH368" s="43"/>
      <c r="AI368" s="43" t="str">
        <f>IFERROR(VLOOKUP(T368,'1С'!B:C,2,0)," ")</f>
        <v>БАД Набор пробиотики и пребиотики</v>
      </c>
      <c r="AJ368" s="22" t="s">
        <v>2339</v>
      </c>
      <c r="AK368" s="43"/>
      <c r="AL368" s="43"/>
      <c r="AM368" s="43"/>
      <c r="AN368" s="43"/>
      <c r="AO368" s="43"/>
      <c r="AP368" s="43"/>
      <c r="AQ368" s="46" t="s">
        <v>5404</v>
      </c>
      <c r="AR368" s="43"/>
      <c r="AS368" s="43"/>
      <c r="AT368" s="43"/>
      <c r="AU368" s="43"/>
      <c r="AV368" s="43"/>
      <c r="AW368" s="43"/>
      <c r="AX368" s="22" t="s">
        <v>361</v>
      </c>
      <c r="AY368" s="22"/>
      <c r="AZ368" s="43"/>
      <c r="BA368" s="43"/>
      <c r="BB368" s="43"/>
      <c r="BC368" s="43"/>
      <c r="BD368" s="43"/>
      <c r="BE368" s="43"/>
      <c r="BF368" s="22" t="str">
        <f>IFERROR(VLOOKUP(C368,'спецификация'!B:D,3,0)," ")</f>
        <v>2038323133011</v>
      </c>
      <c r="BG368" s="22">
        <v>2.106909808E9</v>
      </c>
      <c r="BH368" s="22" t="str">
        <f>IFERROR(VLOOKUP(C368,'спецификация'!B:AA,5,0)," ")</f>
        <v/>
      </c>
      <c r="BI368" s="22"/>
      <c r="BJ368" s="22" t="str">
        <f>IFERROR(VLOOKUP(C368,'спецификация'!B:AA,6,0)," ")</f>
        <v>ЧЗ</v>
      </c>
      <c r="BK368" s="43"/>
      <c r="BL368" s="43"/>
      <c r="BM368" s="22" t="str">
        <f>IFERROR(VLOOKUP(BF368,'спецификация'!D:H,5,0)," ")</f>
        <v/>
      </c>
      <c r="BN368" s="43"/>
      <c r="BO368" s="22" t="str">
        <f>IFERROR(VLOOKUP(C368,'спецификация'!B:AA,10,0)," ")</f>
        <v/>
      </c>
      <c r="BP368" s="43" t="str">
        <f>IFERROR(VLOOKUP(C368,'спецификация'!B:AA,11,0)," ")</f>
        <v/>
      </c>
      <c r="BQ368" s="22" t="str">
        <f>IFERROR(VLOOKUP(C368,'спецификация'!B:AA,12,0)," ")</f>
        <v/>
      </c>
      <c r="BR368" s="22"/>
      <c r="BS368" s="43"/>
      <c r="BT368" s="43"/>
      <c r="BU368" s="22"/>
      <c r="BV368" s="22"/>
      <c r="BW368" s="45" t="str">
        <f>IFERROR(VLOOKUP(C368,'спецификация'!B:AA,16,0)," ")</f>
        <v/>
      </c>
      <c r="BX368" s="43"/>
      <c r="BY368" s="43"/>
      <c r="BZ368" s="45" t="str">
        <f>IFERROR(VLOOKUP(BF368,'спецификация'!D:Y,22,0)," ")</f>
        <v/>
      </c>
      <c r="CA368" s="43"/>
      <c r="CB368" s="43"/>
      <c r="CC368" s="43"/>
      <c r="CD368" s="43"/>
      <c r="CE368" s="43"/>
      <c r="CF368" s="43"/>
      <c r="CG368" s="49" t="str">
        <f>IFERROR(VLOOKUP(C368,CC!A:D,4,0)," ")</f>
        <v> </v>
      </c>
      <c r="CH368" s="22" t="str">
        <f>IFERROR(VLOOKUP(C368,'спецификация'!B:AA,19,0)," ")</f>
        <v/>
      </c>
      <c r="CI368" s="22"/>
      <c r="CJ368" s="43"/>
      <c r="CK368" s="22">
        <f>IFERROR(VLOOKUP(C368,CC!K:M,3,0)," ")</f>
        <v>90</v>
      </c>
      <c r="CL368" s="43"/>
      <c r="CM368" s="43"/>
      <c r="CN368" s="43"/>
      <c r="CO368" s="43"/>
      <c r="CP368" s="43"/>
      <c r="CQ368" s="43"/>
      <c r="CR368" s="43"/>
      <c r="CS368" s="43" t="b">
        <v>0</v>
      </c>
      <c r="CT368" s="43" t="b">
        <v>0</v>
      </c>
      <c r="CU368" s="43" t="b">
        <v>0</v>
      </c>
      <c r="CV368" s="43" t="b">
        <v>0</v>
      </c>
      <c r="CW368" s="43"/>
      <c r="CX368" s="43"/>
      <c r="CY368" s="43"/>
      <c r="CZ368" s="43"/>
      <c r="DA368" s="43"/>
      <c r="DB368" s="43"/>
      <c r="DC368" s="43"/>
      <c r="DD368" s="22" t="str">
        <f>IFERROR(VLOOKUP($C368,'Лист4'!$D:$AI,27,0)," ")</f>
        <v/>
      </c>
      <c r="DE368" s="22" t="str">
        <f>IFERROR(VLOOKUP($C368,'Лист4'!$D:$AI,28,0)," ")</f>
        <v/>
      </c>
      <c r="DF368" s="22" t="str">
        <f>IFERROR(VLOOKUP($C368,'Лист4'!$D:$AI,29,0)," ")</f>
        <v/>
      </c>
      <c r="DG368" s="22">
        <f t="shared" si="3"/>
        <v>0</v>
      </c>
      <c r="DH368" s="22" t="str">
        <f>IFERROR(VLOOKUP($C368,'Лист4'!$D:$AI,32,0)," ")</f>
        <v/>
      </c>
      <c r="DI368" s="22"/>
      <c r="DJ368" s="22"/>
      <c r="DK368" s="22"/>
      <c r="DL368" s="22"/>
      <c r="DM368" s="22"/>
      <c r="DN368" s="22"/>
      <c r="DO368" s="22"/>
      <c r="DP368" s="22"/>
      <c r="DQ368" s="22"/>
      <c r="DR368" s="22"/>
      <c r="DS368" s="22"/>
      <c r="DT368" s="22"/>
      <c r="DU368" s="22"/>
      <c r="DV368" s="22"/>
      <c r="DW368" s="22"/>
      <c r="DX368" s="22"/>
      <c r="DY368" s="22"/>
      <c r="DZ368" s="22"/>
      <c r="EA368" s="22"/>
      <c r="EB368" s="22"/>
      <c r="EC368" s="22"/>
      <c r="ED368" s="22"/>
      <c r="EE368" s="22"/>
      <c r="EF368" s="22"/>
      <c r="EG368" s="22"/>
      <c r="EH368" s="22"/>
      <c r="EI368" s="22"/>
      <c r="EJ368" s="22"/>
      <c r="EK368" s="22"/>
      <c r="EL368" s="22"/>
      <c r="EM368" s="43"/>
      <c r="EN368" s="43"/>
      <c r="EO368" s="43"/>
      <c r="EP368" s="43"/>
      <c r="EQ368" s="43"/>
      <c r="ER368" s="43"/>
      <c r="ES368" s="43"/>
      <c r="ET368" s="43"/>
      <c r="EU368" s="43"/>
      <c r="EV368" s="43"/>
      <c r="EW368" s="43"/>
      <c r="EX368" s="43"/>
      <c r="EY368" s="43"/>
      <c r="EZ368" s="43"/>
      <c r="FA368" s="43"/>
      <c r="FB368" s="43"/>
      <c r="FC368" s="43"/>
    </row>
    <row r="369" ht="18.0" customHeight="1">
      <c r="A369" s="2"/>
      <c r="B369" s="22" t="s">
        <v>2659</v>
      </c>
      <c r="C369" s="22" t="s">
        <v>5406</v>
      </c>
      <c r="D369" s="22" t="str">
        <f>IFERROR(VLOOKUP(C369,'Лист4'!D:P,13,0)," ")</f>
        <v>qeep</v>
      </c>
      <c r="E369" s="22" t="str">
        <f>IF(OR(ISERROR(VLOOKUP(C369,'Актуальность'!A:B,2,0)), VLOOKUP(C369,'Актуальность'!A:B,2,0)=""), "Актуальный", VLOOKUP(C369,'Актуальность'!A:B,2,0))</f>
        <v>Актуальный</v>
      </c>
      <c r="F369" s="43" t="str">
        <f>IFERROR(VLOOKUP(C369,'Актуальность'!A:C,3,0)," ")</f>
        <v/>
      </c>
      <c r="G369" s="43"/>
      <c r="H369" s="22" t="s">
        <v>401</v>
      </c>
      <c r="I369" s="22" t="s">
        <v>401</v>
      </c>
      <c r="J369" s="43"/>
      <c r="K369" s="43"/>
      <c r="L369" s="22" t="b">
        <f t="shared" ref="L369:R369" si="365">T369&lt;&gt;""</f>
        <v>1</v>
      </c>
      <c r="M369" s="22" t="b">
        <f t="shared" si="365"/>
        <v>1</v>
      </c>
      <c r="N369" s="22" t="b">
        <f t="shared" si="365"/>
        <v>0</v>
      </c>
      <c r="O369" s="22" t="b">
        <f t="shared" si="365"/>
        <v>0</v>
      </c>
      <c r="P369" s="22" t="b">
        <f t="shared" si="365"/>
        <v>0</v>
      </c>
      <c r="Q369" s="22" t="b">
        <f t="shared" si="365"/>
        <v>0</v>
      </c>
      <c r="R369" s="22" t="b">
        <f t="shared" si="365"/>
        <v>0</v>
      </c>
      <c r="S369" s="43"/>
      <c r="T369" s="43" t="str">
        <f>IFERROR(VLOOKUP( C369,'1С'!A:B,2,0)," ")</f>
        <v>QB101100529</v>
      </c>
      <c r="U369" s="64" t="s">
        <v>5406</v>
      </c>
      <c r="V369" s="22"/>
      <c r="W369" s="22"/>
      <c r="X369" s="43" t="str">
        <f>IFERROR(VLOOKUP(T369,'Лист4'!C:I,7,0)," ")</f>
        <v/>
      </c>
      <c r="Y369" s="43" t="str">
        <f>IFERROR(VLOOKUP(T369,'Лист4'!C:I,6,0)," ")</f>
        <v/>
      </c>
      <c r="Z369" s="43"/>
      <c r="AA369" s="43"/>
      <c r="AB369" s="22">
        <v>1.72647794E8</v>
      </c>
      <c r="AC369" s="22"/>
      <c r="AD369" s="22"/>
      <c r="AE369" s="22"/>
      <c r="AF369" s="22"/>
      <c r="AG369" s="43"/>
      <c r="AH369" s="43"/>
      <c r="AI369" s="43" t="str">
        <f>IFERROR(VLOOKUP(T369,'1С'!B:C,2,0)," ")</f>
        <v>БАД Набор омега для взрослых и детей</v>
      </c>
      <c r="AJ369" s="22" t="s">
        <v>5409</v>
      </c>
      <c r="AK369" s="43"/>
      <c r="AL369" s="43"/>
      <c r="AM369" s="43"/>
      <c r="AN369" s="43"/>
      <c r="AO369" s="43"/>
      <c r="AP369" s="43"/>
      <c r="AQ369" s="46" t="s">
        <v>5410</v>
      </c>
      <c r="AR369" s="43"/>
      <c r="AS369" s="43"/>
      <c r="AT369" s="43"/>
      <c r="AU369" s="43"/>
      <c r="AV369" s="43"/>
      <c r="AW369" s="43"/>
      <c r="AX369" s="22" t="s">
        <v>361</v>
      </c>
      <c r="AY369" s="22"/>
      <c r="AZ369" s="43"/>
      <c r="BA369" s="43"/>
      <c r="BB369" s="43"/>
      <c r="BC369" s="43"/>
      <c r="BD369" s="43"/>
      <c r="BE369" s="43"/>
      <c r="BF369" s="22" t="str">
        <f>IFERROR(VLOOKUP(C369,'спецификация'!B:D,3,0)," ")</f>
        <v>2038323178135</v>
      </c>
      <c r="BG369" s="22">
        <v>2.106909808E9</v>
      </c>
      <c r="BH369" s="22" t="str">
        <f>IFERROR(VLOOKUP(C369,'спецификация'!B:AA,5,0)," ")</f>
        <v/>
      </c>
      <c r="BI369" s="22"/>
      <c r="BJ369" s="22" t="str">
        <f>IFERROR(VLOOKUP(C369,'спецификация'!B:AA,6,0)," ")</f>
        <v>ЧЗ</v>
      </c>
      <c r="BK369" s="43"/>
      <c r="BL369" s="43"/>
      <c r="BM369" s="22" t="str">
        <f>IFERROR(VLOOKUP(BF369,'спецификация'!D:H,5,0)," ")</f>
        <v/>
      </c>
      <c r="BN369" s="43"/>
      <c r="BO369" s="22" t="str">
        <f>IFERROR(VLOOKUP(C369,'спецификация'!B:AA,10,0)," ")</f>
        <v/>
      </c>
      <c r="BP369" s="43" t="str">
        <f>IFERROR(VLOOKUP(C369,'спецификация'!B:AA,11,0)," ")</f>
        <v/>
      </c>
      <c r="BQ369" s="22" t="str">
        <f>IFERROR(VLOOKUP(C369,'спецификация'!B:AA,12,0)," ")</f>
        <v/>
      </c>
      <c r="BR369" s="22"/>
      <c r="BS369" s="43"/>
      <c r="BT369" s="43"/>
      <c r="BU369" s="22"/>
      <c r="BV369" s="22"/>
      <c r="BW369" s="45" t="str">
        <f>IFERROR(VLOOKUP(C369,'спецификация'!B:AA,16,0)," ")</f>
        <v/>
      </c>
      <c r="BX369" s="43"/>
      <c r="BY369" s="43"/>
      <c r="BZ369" s="45" t="str">
        <f>IFERROR(VLOOKUP(BF369,'спецификация'!D:Y,22,0)," ")</f>
        <v/>
      </c>
      <c r="CA369" s="43"/>
      <c r="CB369" s="43"/>
      <c r="CC369" s="43"/>
      <c r="CD369" s="43"/>
      <c r="CE369" s="43"/>
      <c r="CF369" s="43"/>
      <c r="CG369" s="49" t="str">
        <f>IFERROR(VLOOKUP(C369,CC!A:D,4,0)," ")</f>
        <v> </v>
      </c>
      <c r="CH369" s="22" t="str">
        <f>IFERROR(VLOOKUP(C369,'спецификация'!B:AA,19,0)," ")</f>
        <v/>
      </c>
      <c r="CI369" s="22"/>
      <c r="CJ369" s="43"/>
      <c r="CK369" s="22">
        <f>IFERROR(VLOOKUP(C369,CC!K:M,3,0)," ")</f>
        <v>90</v>
      </c>
      <c r="CL369" s="43"/>
      <c r="CM369" s="43"/>
      <c r="CN369" s="43"/>
      <c r="CO369" s="43"/>
      <c r="CP369" s="43"/>
      <c r="CQ369" s="43"/>
      <c r="CR369" s="43"/>
      <c r="CS369" s="43" t="b">
        <v>0</v>
      </c>
      <c r="CT369" s="43" t="b">
        <v>0</v>
      </c>
      <c r="CU369" s="43" t="b">
        <v>0</v>
      </c>
      <c r="CV369" s="43" t="b">
        <v>0</v>
      </c>
      <c r="CW369" s="43"/>
      <c r="CX369" s="43"/>
      <c r="CY369" s="43"/>
      <c r="CZ369" s="43"/>
      <c r="DA369" s="43"/>
      <c r="DB369" s="43"/>
      <c r="DC369" s="43"/>
      <c r="DD369" s="22" t="str">
        <f>IFERROR(VLOOKUP($C369,'Лист4'!$D:$AI,27,0)," ")</f>
        <v/>
      </c>
      <c r="DE369" s="22" t="str">
        <f>IFERROR(VLOOKUP($C369,'Лист4'!$D:$AI,28,0)," ")</f>
        <v/>
      </c>
      <c r="DF369" s="22" t="str">
        <f>IFERROR(VLOOKUP($C369,'Лист4'!$D:$AI,29,0)," ")</f>
        <v/>
      </c>
      <c r="DG369" s="22">
        <f t="shared" si="3"/>
        <v>0</v>
      </c>
      <c r="DH369" s="22" t="str">
        <f>IFERROR(VLOOKUP($C369,'Лист4'!$D:$AI,32,0)," ")</f>
        <v/>
      </c>
      <c r="DI369" s="22"/>
      <c r="DJ369" s="22"/>
      <c r="DK369" s="22"/>
      <c r="DL369" s="22"/>
      <c r="DM369" s="22"/>
      <c r="DN369" s="22"/>
      <c r="DO369" s="22"/>
      <c r="DP369" s="22"/>
      <c r="DQ369" s="22"/>
      <c r="DR369" s="22"/>
      <c r="DS369" s="22"/>
      <c r="DT369" s="22"/>
      <c r="DU369" s="22"/>
      <c r="DV369" s="22"/>
      <c r="DW369" s="22"/>
      <c r="DX369" s="22"/>
      <c r="DY369" s="22"/>
      <c r="DZ369" s="22"/>
      <c r="EA369" s="22"/>
      <c r="EB369" s="22"/>
      <c r="EC369" s="22"/>
      <c r="ED369" s="22"/>
      <c r="EE369" s="22"/>
      <c r="EF369" s="22"/>
      <c r="EG369" s="22"/>
      <c r="EH369" s="22"/>
      <c r="EI369" s="22"/>
      <c r="EJ369" s="22"/>
      <c r="EK369" s="22"/>
      <c r="EL369" s="22"/>
      <c r="EM369" s="43"/>
      <c r="EN369" s="43"/>
      <c r="EO369" s="43"/>
      <c r="EP369" s="43"/>
      <c r="EQ369" s="43"/>
      <c r="ER369" s="43"/>
      <c r="ES369" s="43"/>
      <c r="ET369" s="43"/>
      <c r="EU369" s="43"/>
      <c r="EV369" s="43"/>
      <c r="EW369" s="43"/>
      <c r="EX369" s="43"/>
      <c r="EY369" s="43"/>
      <c r="EZ369" s="43"/>
      <c r="FA369" s="43"/>
      <c r="FB369" s="43"/>
      <c r="FC369" s="43"/>
    </row>
    <row r="370" ht="18.0" customHeight="1">
      <c r="A370" s="2"/>
      <c r="B370" s="22" t="s">
        <v>2659</v>
      </c>
      <c r="C370" s="22" t="s">
        <v>5412</v>
      </c>
      <c r="D370" s="22" t="str">
        <f>IFERROR(VLOOKUP(C370,'Лист4'!D:P,13,0)," ")</f>
        <v>qeep</v>
      </c>
      <c r="E370" s="22" t="str">
        <f>IF(OR(ISERROR(VLOOKUP(C370,'Актуальность'!A:B,2,0)), VLOOKUP(C370,'Актуальность'!A:B,2,0)=""), "Актуальный", VLOOKUP(C370,'Актуальность'!A:B,2,0))</f>
        <v>Актуальный</v>
      </c>
      <c r="F370" s="43" t="str">
        <f>IFERROR(VLOOKUP(C370,'Актуальность'!A:C,3,0)," ")</f>
        <v/>
      </c>
      <c r="G370" s="43"/>
      <c r="H370" s="22" t="s">
        <v>401</v>
      </c>
      <c r="I370" s="22" t="s">
        <v>401</v>
      </c>
      <c r="J370" s="43"/>
      <c r="K370" s="43"/>
      <c r="L370" s="22" t="b">
        <f t="shared" ref="L370:R370" si="366">T370&lt;&gt;""</f>
        <v>1</v>
      </c>
      <c r="M370" s="22" t="b">
        <f t="shared" si="366"/>
        <v>1</v>
      </c>
      <c r="N370" s="22" t="b">
        <f t="shared" si="366"/>
        <v>0</v>
      </c>
      <c r="O370" s="22" t="b">
        <f t="shared" si="366"/>
        <v>0</v>
      </c>
      <c r="P370" s="22" t="b">
        <f t="shared" si="366"/>
        <v>0</v>
      </c>
      <c r="Q370" s="22" t="b">
        <f t="shared" si="366"/>
        <v>0</v>
      </c>
      <c r="R370" s="22" t="b">
        <f t="shared" si="366"/>
        <v>0</v>
      </c>
      <c r="S370" s="43"/>
      <c r="T370" s="43" t="str">
        <f>IFERROR(VLOOKUP( C370,'1С'!A:B,2,0)," ")</f>
        <v>QB101100528</v>
      </c>
      <c r="U370" s="64" t="s">
        <v>5412</v>
      </c>
      <c r="V370" s="22" t="str">
        <f>IFERROR(VLOOKUP(T370,'Лист4'!C:I,4,0)," ")</f>
        <v/>
      </c>
      <c r="W370" s="22" t="str">
        <f>IFERROR(VLOOKUP(T370,'Лист4'!C:I,5,0)," ")</f>
        <v/>
      </c>
      <c r="X370" s="43" t="str">
        <f>IFERROR(VLOOKUP(T370,'Лист4'!C:I,7,0)," ")</f>
        <v/>
      </c>
      <c r="Y370" s="43" t="str">
        <f>IFERROR(VLOOKUP(T370,'Лист4'!C:I,6,0)," ")</f>
        <v/>
      </c>
      <c r="Z370" s="43"/>
      <c r="AA370" s="43"/>
      <c r="AB370" s="22">
        <v>1.7264828E8</v>
      </c>
      <c r="AC370" s="22"/>
      <c r="AD370" s="22"/>
      <c r="AE370" s="22"/>
      <c r="AF370" s="22"/>
      <c r="AG370" s="43"/>
      <c r="AH370" s="43"/>
      <c r="AI370" s="43" t="str">
        <f>IFERROR(VLOOKUP(T370,'1С'!B:C,2,0)," ")</f>
        <v>БАД Набор коэнзим биотин</v>
      </c>
      <c r="AJ370" s="22" t="s">
        <v>5415</v>
      </c>
      <c r="AK370" s="43"/>
      <c r="AL370" s="43"/>
      <c r="AM370" s="43"/>
      <c r="AN370" s="43"/>
      <c r="AO370" s="43"/>
      <c r="AP370" s="43"/>
      <c r="AQ370" s="46" t="s">
        <v>5416</v>
      </c>
      <c r="AR370" s="43"/>
      <c r="AS370" s="43"/>
      <c r="AT370" s="43"/>
      <c r="AU370" s="43"/>
      <c r="AV370" s="43"/>
      <c r="AW370" s="43"/>
      <c r="AX370" s="22" t="s">
        <v>361</v>
      </c>
      <c r="AY370" s="22" t="str">
        <f>IFERROR(VLOOKUP(C370,'спецификация'!B:AA,25,0)," ")</f>
        <v/>
      </c>
      <c r="AZ370" s="43"/>
      <c r="BA370" s="43"/>
      <c r="BB370" s="43"/>
      <c r="BC370" s="43"/>
      <c r="BD370" s="43"/>
      <c r="BE370" s="43"/>
      <c r="BF370" s="22" t="str">
        <f>IFERROR(VLOOKUP(C370,'спецификация'!B:D,3,0)," ")</f>
        <v>2038323211221</v>
      </c>
      <c r="BG370" s="22">
        <v>2.106909808E9</v>
      </c>
      <c r="BH370" s="22" t="str">
        <f>IFERROR(VLOOKUP(C370,'спецификация'!B:AA,5,0)," ")</f>
        <v/>
      </c>
      <c r="BI370" s="22"/>
      <c r="BJ370" s="22" t="str">
        <f>IFERROR(VLOOKUP(C370,'спецификация'!B:AA,6,0)," ")</f>
        <v>ЧЗ</v>
      </c>
      <c r="BK370" s="43"/>
      <c r="BL370" s="43"/>
      <c r="BM370" s="22" t="str">
        <f>IFERROR(VLOOKUP(BF370,'спецификация'!D:H,5,0)," ")</f>
        <v>оливковое масло нерафинированное, витамин В3 (никотинамид), кверцетин, коэнзим Q10, витамин В5 (пантотенат кальция), витамин В6 (пиридоксина гидрохлорид), витамин В1 (тиамина мононитрат), витамин В2 (рибофлавин), витамин В9 (фолиевая кислота), витамин Н (биотин), витамин В12 (цианокобаламин). Вспомогательные вещества: капсула желатиновая (желатин, глицерин агент влагоудерживающий, сорбит агент влагоудерживающий), кремния диоксид (носитель), антиокислитель гриндокс (аскорбилпальмитат, натуральный концентрат смеси токоферолов, лецитин, рапсовое масло).
</v>
      </c>
      <c r="BN370" s="43"/>
      <c r="BO370" s="22" t="str">
        <f>IFERROR(VLOOKUP(C370,'спецификация'!B:AA,10,0)," ")</f>
        <v> взрослым по 1 капсуле 1-2 раза в день во время еды. Продолжительность приёма 1 месяц.
</v>
      </c>
      <c r="BP370" s="43" t="str">
        <f>IFERROR(VLOOKUP(C370,'спецификация'!B:AA,11,0),"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 </v>
      </c>
      <c r="BQ370" s="22" t="str">
        <f>IFERROR(VLOOKUP(C370,'спецификация'!B:AA,12,0)," ")</f>
        <v>в недоступном для детей месте, при температуре от +15 до +25ºС и относительной влажности воздуха не более 60%.
</v>
      </c>
      <c r="BR370" s="22"/>
      <c r="BS370" s="43"/>
      <c r="BT370" s="43"/>
      <c r="BU370" s="22"/>
      <c r="BV370" s="22"/>
      <c r="BW370" s="45" t="str">
        <f>IFERROR(VLOOKUP(C370,'спецификация'!B:AA,16,0)," ")</f>
        <v/>
      </c>
      <c r="BX370" s="43"/>
      <c r="BY370" s="43"/>
      <c r="BZ370" s="44" t="str">
        <f>IFERROR(VLOOKUP(BF370,'спецификация'!D:Y,22,0)," ")</f>
        <v>https://drive.google.com/drive/u/0/folders/1xTYWZ7bYXSRSlW4kuRn83L9-D20CJ21r</v>
      </c>
      <c r="CA370" s="43"/>
      <c r="CB370" s="43"/>
      <c r="CC370" s="43"/>
      <c r="CD370" s="43"/>
      <c r="CE370" s="43"/>
      <c r="CF370" s="43"/>
      <c r="CG370" s="49" t="str">
        <f>IFERROR(VLOOKUP(C370,CC!A:D,4,0)," ")</f>
        <v> </v>
      </c>
      <c r="CH370" s="22" t="str">
        <f>IFERROR(VLOOKUP(C370,'спецификация'!B:AA,19,0)," ")</f>
        <v/>
      </c>
      <c r="CI370" s="22"/>
      <c r="CJ370" s="43"/>
      <c r="CK370" s="22">
        <f>IFERROR(VLOOKUP(C370,CC!K:M,3,0)," ")</f>
        <v>90</v>
      </c>
      <c r="CL370" s="43"/>
      <c r="CM370" s="43"/>
      <c r="CN370" s="43"/>
      <c r="CO370" s="43"/>
      <c r="CP370" s="43"/>
      <c r="CQ370" s="43"/>
      <c r="CR370" s="43"/>
      <c r="CS370" s="43" t="b">
        <v>0</v>
      </c>
      <c r="CT370" s="43" t="b">
        <v>0</v>
      </c>
      <c r="CU370" s="43" t="b">
        <v>0</v>
      </c>
      <c r="CV370" s="43" t="b">
        <v>0</v>
      </c>
      <c r="CW370" s="43"/>
      <c r="CX370" s="43"/>
      <c r="CY370" s="43"/>
      <c r="CZ370" s="43"/>
      <c r="DA370" s="43"/>
      <c r="DB370" s="43"/>
      <c r="DC370" s="43"/>
      <c r="DD370" s="22" t="str">
        <f>IFERROR(VLOOKUP($C370,'Лист4'!$D:$AI,27,0)," ")</f>
        <v/>
      </c>
      <c r="DE370" s="22" t="str">
        <f>IFERROR(VLOOKUP($C370,'Лист4'!$D:$AI,28,0)," ")</f>
        <v/>
      </c>
      <c r="DF370" s="22" t="str">
        <f>IFERROR(VLOOKUP($C370,'Лист4'!$D:$AI,29,0)," ")</f>
        <v/>
      </c>
      <c r="DG370" s="22">
        <f t="shared" si="3"/>
        <v>0</v>
      </c>
      <c r="DH370" s="22" t="str">
        <f>IFERROR(VLOOKUP($C370,'Лист4'!$D:$AI,32,0)," ")</f>
        <v/>
      </c>
      <c r="DI370" s="22"/>
      <c r="DJ370" s="22"/>
      <c r="DK370" s="22"/>
      <c r="DL370" s="22"/>
      <c r="DM370" s="22"/>
      <c r="DN370" s="22"/>
      <c r="DO370" s="22"/>
      <c r="DP370" s="22"/>
      <c r="DQ370" s="22"/>
      <c r="DR370" s="22"/>
      <c r="DS370" s="22"/>
      <c r="DT370" s="22"/>
      <c r="DU370" s="22"/>
      <c r="DV370" s="22"/>
      <c r="DW370" s="22"/>
      <c r="DX370" s="22"/>
      <c r="DY370" s="22"/>
      <c r="DZ370" s="22"/>
      <c r="EA370" s="22"/>
      <c r="EB370" s="22"/>
      <c r="EC370" s="22"/>
      <c r="ED370" s="22"/>
      <c r="EE370" s="22"/>
      <c r="EF370" s="22"/>
      <c r="EG370" s="22"/>
      <c r="EH370" s="22"/>
      <c r="EI370" s="22"/>
      <c r="EJ370" s="22"/>
      <c r="EK370" s="22"/>
      <c r="EL370" s="22"/>
      <c r="EM370" s="43"/>
      <c r="EN370" s="43"/>
      <c r="EO370" s="43"/>
      <c r="EP370" s="43"/>
      <c r="EQ370" s="43"/>
      <c r="ER370" s="43"/>
      <c r="ES370" s="43"/>
      <c r="ET370" s="43"/>
      <c r="EU370" s="43"/>
      <c r="EV370" s="43"/>
      <c r="EW370" s="43"/>
      <c r="EX370" s="43"/>
      <c r="EY370" s="43"/>
      <c r="EZ370" s="43"/>
      <c r="FA370" s="43"/>
      <c r="FB370" s="43"/>
      <c r="FC370" s="43"/>
    </row>
    <row r="371" ht="18.0" customHeight="1">
      <c r="A371" s="2"/>
      <c r="B371" s="22" t="s">
        <v>2659</v>
      </c>
      <c r="C371" s="22" t="s">
        <v>5420</v>
      </c>
      <c r="D371" s="22" t="str">
        <f>IFERROR(VLOOKUP(C371,'Лист4'!D:P,13,0)," ")</f>
        <v>qeep</v>
      </c>
      <c r="E371" s="22" t="str">
        <f>IF(OR(ISERROR(VLOOKUP(C371,'Актуальность'!A:B,2,0)), VLOOKUP(C371,'Актуальность'!A:B,2,0)=""), "Актуальный", VLOOKUP(C371,'Актуальность'!A:B,2,0))</f>
        <v>Актуальный</v>
      </c>
      <c r="F371" s="43" t="str">
        <f>IFERROR(VLOOKUP(C371,'Актуальность'!A:C,3,0)," ")</f>
        <v/>
      </c>
      <c r="G371" s="43"/>
      <c r="H371" s="22" t="s">
        <v>401</v>
      </c>
      <c r="I371" s="22" t="s">
        <v>401</v>
      </c>
      <c r="J371" s="43"/>
      <c r="K371" s="43"/>
      <c r="L371" s="22" t="b">
        <f t="shared" ref="L371:R371" si="367">T371&lt;&gt;""</f>
        <v>1</v>
      </c>
      <c r="M371" s="22" t="b">
        <f t="shared" si="367"/>
        <v>1</v>
      </c>
      <c r="N371" s="22" t="b">
        <f t="shared" si="367"/>
        <v>0</v>
      </c>
      <c r="O371" s="22" t="b">
        <f t="shared" si="367"/>
        <v>0</v>
      </c>
      <c r="P371" s="22" t="b">
        <f t="shared" si="367"/>
        <v>0</v>
      </c>
      <c r="Q371" s="22" t="b">
        <f t="shared" si="367"/>
        <v>0</v>
      </c>
      <c r="R371" s="22" t="b">
        <f t="shared" si="367"/>
        <v>0</v>
      </c>
      <c r="S371" s="43"/>
      <c r="T371" s="43" t="str">
        <f>IFERROR(VLOOKUP( C371,'1С'!A:B,2,0)," ")</f>
        <v>QB101100526</v>
      </c>
      <c r="U371" s="64" t="s">
        <v>5420</v>
      </c>
      <c r="V371" s="22" t="str">
        <f>IFERROR(VLOOKUP(T371,'Лист4'!C:I,4,0)," ")</f>
        <v/>
      </c>
      <c r="W371" s="22" t="str">
        <f>IFERROR(VLOOKUP(T371,'Лист4'!C:I,5,0)," ")</f>
        <v/>
      </c>
      <c r="X371" s="43" t="str">
        <f>IFERROR(VLOOKUP(T371,'Лист4'!C:I,7,0)," ")</f>
        <v/>
      </c>
      <c r="Y371" s="43" t="str">
        <f>IFERROR(VLOOKUP(T371,'Лист4'!C:I,6,0)," ")</f>
        <v/>
      </c>
      <c r="Z371" s="43"/>
      <c r="AA371" s="43"/>
      <c r="AB371" s="22">
        <v>1.7264847E8</v>
      </c>
      <c r="AC371" s="22"/>
      <c r="AD371" s="22"/>
      <c r="AE371" s="22"/>
      <c r="AF371" s="22"/>
      <c r="AG371" s="43"/>
      <c r="AH371" s="43"/>
      <c r="AI371" s="43" t="str">
        <f>IFERROR(VLOOKUP(T371,'1С'!B:C,2,0)," ")</f>
        <v>БАД Набор коэнзим и омега</v>
      </c>
      <c r="AJ371" s="22" t="s">
        <v>5423</v>
      </c>
      <c r="AK371" s="43"/>
      <c r="AL371" s="43"/>
      <c r="AM371" s="43"/>
      <c r="AN371" s="43"/>
      <c r="AO371" s="43"/>
      <c r="AP371" s="43"/>
      <c r="AQ371" s="46" t="s">
        <v>5424</v>
      </c>
      <c r="AR371" s="43"/>
      <c r="AS371" s="43"/>
      <c r="AT371" s="43"/>
      <c r="AU371" s="43"/>
      <c r="AV371" s="43"/>
      <c r="AW371" s="43"/>
      <c r="AX371" s="22" t="s">
        <v>361</v>
      </c>
      <c r="AY371" s="22" t="str">
        <f>IFERROR(VLOOKUP(C371,'спецификация'!B:AA,25,0)," ")</f>
        <v/>
      </c>
      <c r="AZ371" s="43"/>
      <c r="BA371" s="43"/>
      <c r="BB371" s="43"/>
      <c r="BC371" s="43"/>
      <c r="BD371" s="43"/>
      <c r="BE371" s="43"/>
      <c r="BF371" s="22" t="str">
        <f>IFERROR(VLOOKUP(C371,'спецификация'!B:D,3,0)," ")</f>
        <v>2038323241549</v>
      </c>
      <c r="BG371" s="22">
        <v>2.106909808E9</v>
      </c>
      <c r="BH371" s="22" t="str">
        <f>IFERROR(VLOOKUP(C371,'спецификация'!B:AA,5,0)," ")</f>
        <v/>
      </c>
      <c r="BI371" s="22"/>
      <c r="BJ371" s="22" t="str">
        <f>IFERROR(VLOOKUP(C371,'спецификация'!B:AA,6,0)," ")</f>
        <v>ЧЗ</v>
      </c>
      <c r="BK371" s="43"/>
      <c r="BL371" s="43"/>
      <c r="BM371" s="22" t="str">
        <f>IFERROR(VLOOKUP(BF371,'спецификация'!D:H,5,0)," ")</f>
        <v>оливковое масло нерафинированное, витамин В3 (никотинамид), кверцетин, коэнзим Q10, витамин В5 (пантотенат кальция), витамин В6 (пиридоксина гидрохлорид), витамин В1 (тиамина мононитрат), витамин В2 (рибофлавин), витамин В9 (фолиевая кислота), витамин Н (биотин), витамин В12 (цианокобаламин). Вспомогательные вещества: капсула желатиновая (желатин, глицерин агент влагоудерживающий, сорбит агент влагоудерживающий), кремния диоксид (носитель), антиокислитель гриндокс (аскорбилпальмитат, натуральный концентрат смеси токоферолов, лецитин, рапсовое масло).
</v>
      </c>
      <c r="BN371" s="43"/>
      <c r="BO371" s="22" t="str">
        <f>IFERROR(VLOOKUP(C371,'спецификация'!B:AA,10,0)," ")</f>
        <v> взрослым по 1 капсуле 1-2 раза в день во время еды. Продолжительность приёма 1 месяц.
</v>
      </c>
      <c r="BP371" s="43" t="str">
        <f>IFERROR(VLOOKUP(C371,'спецификация'!B:AA,11,0)," ")</f>
        <v>индивидуальная непереносимость компонентов, беременность и кормление грудью. Перед применением рекомендуется проконсультироваться с врачом. </v>
      </c>
      <c r="BQ371" s="22" t="str">
        <f>IFERROR(VLOOKUP(C371,'спецификация'!B:AA,12,0)," ")</f>
        <v>в недоступном для детей месте, при температуре от +15 до +25ºС и относительной влажности воздуха не более 60%.
</v>
      </c>
      <c r="BR371" s="22"/>
      <c r="BS371" s="43"/>
      <c r="BT371" s="43"/>
      <c r="BU371" s="22"/>
      <c r="BV371" s="22"/>
      <c r="BW371" s="45" t="str">
        <f>IFERROR(VLOOKUP(C371,'спецификация'!B:AA,16,0)," ")</f>
        <v/>
      </c>
      <c r="BX371" s="43"/>
      <c r="BY371" s="43"/>
      <c r="BZ371" s="45" t="str">
        <f>IFERROR(VLOOKUP(BF371,'спецификация'!D:Y,22,0)," ")</f>
        <v/>
      </c>
      <c r="CA371" s="43"/>
      <c r="CB371" s="43"/>
      <c r="CC371" s="43"/>
      <c r="CD371" s="43"/>
      <c r="CE371" s="43"/>
      <c r="CF371" s="43"/>
      <c r="CG371" s="49" t="str">
        <f>IFERROR(VLOOKUP(C371,CC!A:D,4,0)," ")</f>
        <v> </v>
      </c>
      <c r="CH371" s="22" t="str">
        <f>IFERROR(VLOOKUP(C371,'спецификация'!B:AA,19,0)," ")</f>
        <v/>
      </c>
      <c r="CI371" s="22"/>
      <c r="CJ371" s="43"/>
      <c r="CK371" s="22">
        <f>IFERROR(VLOOKUP(C371,CC!K:M,3,0)," ")</f>
        <v>90</v>
      </c>
      <c r="CL371" s="43"/>
      <c r="CM371" s="43"/>
      <c r="CN371" s="43"/>
      <c r="CO371" s="43"/>
      <c r="CP371" s="43"/>
      <c r="CQ371" s="43"/>
      <c r="CR371" s="43"/>
      <c r="CS371" s="43" t="b">
        <v>0</v>
      </c>
      <c r="CT371" s="43" t="b">
        <v>0</v>
      </c>
      <c r="CU371" s="43" t="b">
        <v>0</v>
      </c>
      <c r="CV371" s="43" t="b">
        <v>0</v>
      </c>
      <c r="CW371" s="43"/>
      <c r="CX371" s="43"/>
      <c r="CY371" s="43"/>
      <c r="CZ371" s="43"/>
      <c r="DA371" s="43"/>
      <c r="DB371" s="43"/>
      <c r="DC371" s="43"/>
      <c r="DD371" s="22" t="str">
        <f>IFERROR(VLOOKUP($C371,'Лист4'!$D:$AI,27,0)," ")</f>
        <v/>
      </c>
      <c r="DE371" s="22" t="str">
        <f>IFERROR(VLOOKUP($C371,'Лист4'!$D:$AI,28,0)," ")</f>
        <v/>
      </c>
      <c r="DF371" s="22" t="str">
        <f>IFERROR(VLOOKUP($C371,'Лист4'!$D:$AI,29,0)," ")</f>
        <v/>
      </c>
      <c r="DG371" s="22">
        <f t="shared" si="3"/>
        <v>0</v>
      </c>
      <c r="DH371" s="22" t="str">
        <f>IFERROR(VLOOKUP($C371,'Лист4'!$D:$AI,32,0)," ")</f>
        <v/>
      </c>
      <c r="DI371" s="22"/>
      <c r="DJ371" s="22"/>
      <c r="DK371" s="22"/>
      <c r="DL371" s="22"/>
      <c r="DM371" s="22"/>
      <c r="DN371" s="22"/>
      <c r="DO371" s="22"/>
      <c r="DP371" s="22"/>
      <c r="DQ371" s="22"/>
      <c r="DR371" s="22"/>
      <c r="DS371" s="22"/>
      <c r="DT371" s="22"/>
      <c r="DU371" s="22"/>
      <c r="DV371" s="22"/>
      <c r="DW371" s="22"/>
      <c r="DX371" s="22"/>
      <c r="DY371" s="22"/>
      <c r="DZ371" s="22"/>
      <c r="EA371" s="22"/>
      <c r="EB371" s="22"/>
      <c r="EC371" s="22"/>
      <c r="ED371" s="22"/>
      <c r="EE371" s="22"/>
      <c r="EF371" s="22"/>
      <c r="EG371" s="22"/>
      <c r="EH371" s="22"/>
      <c r="EI371" s="22"/>
      <c r="EJ371" s="22"/>
      <c r="EK371" s="22"/>
      <c r="EL371" s="22"/>
      <c r="EM371" s="43"/>
      <c r="EN371" s="43"/>
      <c r="EO371" s="43"/>
      <c r="EP371" s="43"/>
      <c r="EQ371" s="43"/>
      <c r="ER371" s="43"/>
      <c r="ES371" s="43"/>
      <c r="ET371" s="43"/>
      <c r="EU371" s="43"/>
      <c r="EV371" s="43"/>
      <c r="EW371" s="43"/>
      <c r="EX371" s="43"/>
      <c r="EY371" s="43"/>
      <c r="EZ371" s="43"/>
      <c r="FA371" s="43"/>
      <c r="FB371" s="43"/>
      <c r="FC371" s="43"/>
    </row>
    <row r="372" ht="18.0" customHeight="1">
      <c r="A372" s="2"/>
      <c r="B372" s="22" t="s">
        <v>2659</v>
      </c>
      <c r="C372" s="22" t="s">
        <v>5426</v>
      </c>
      <c r="D372" s="22" t="str">
        <f>IFERROR(VLOOKUP(C372,'Лист4'!D:P,13,0)," ")</f>
        <v>qeep</v>
      </c>
      <c r="E372" s="22" t="str">
        <f>IF(OR(ISERROR(VLOOKUP(C372,'Актуальность'!A:B,2,0)), VLOOKUP(C372,'Актуальность'!A:B,2,0)=""), "Актуальный", VLOOKUP(C372,'Актуальность'!A:B,2,0))</f>
        <v>Актуальный</v>
      </c>
      <c r="F372" s="43" t="str">
        <f>IFERROR(VLOOKUP(C372,'Актуальность'!A:C,3,0)," ")</f>
        <v/>
      </c>
      <c r="G372" s="43"/>
      <c r="H372" s="22" t="s">
        <v>401</v>
      </c>
      <c r="I372" s="22" t="s">
        <v>401</v>
      </c>
      <c r="J372" s="43"/>
      <c r="K372" s="43"/>
      <c r="L372" s="22" t="b">
        <f t="shared" ref="L372:R372" si="368">T372&lt;&gt;""</f>
        <v>1</v>
      </c>
      <c r="M372" s="22" t="b">
        <f t="shared" si="368"/>
        <v>1</v>
      </c>
      <c r="N372" s="22" t="b">
        <f t="shared" si="368"/>
        <v>0</v>
      </c>
      <c r="O372" s="22" t="b">
        <f t="shared" si="368"/>
        <v>0</v>
      </c>
      <c r="P372" s="22" t="b">
        <f t="shared" si="368"/>
        <v>0</v>
      </c>
      <c r="Q372" s="22" t="b">
        <f t="shared" si="368"/>
        <v>0</v>
      </c>
      <c r="R372" s="22" t="b">
        <f t="shared" si="368"/>
        <v>0</v>
      </c>
      <c r="S372" s="43"/>
      <c r="T372" s="43" t="str">
        <f>IFERROR(VLOOKUP( C372,'1С'!A:B,2,0)," ")</f>
        <v>QB101100516</v>
      </c>
      <c r="U372" s="64" t="s">
        <v>5426</v>
      </c>
      <c r="V372" s="22" t="str">
        <f>IFERROR(VLOOKUP(T372,'Лист4'!C:I,4,0)," ")</f>
        <v/>
      </c>
      <c r="W372" s="22" t="str">
        <f>IFERROR(VLOOKUP(T372,'Лист4'!C:I,5,0)," ")</f>
        <v/>
      </c>
      <c r="X372" s="43" t="str">
        <f>IFERROR(VLOOKUP(T372,'Лист4'!C:I,7,0)," ")</f>
        <v/>
      </c>
      <c r="Y372" s="43" t="str">
        <f>IFERROR(VLOOKUP(T372,'Лист4'!C:I,6,0)," ")</f>
        <v/>
      </c>
      <c r="Z372" s="43"/>
      <c r="AA372" s="43"/>
      <c r="AB372" s="22">
        <v>1.74090982E8</v>
      </c>
      <c r="AC372" s="22"/>
      <c r="AD372" s="22"/>
      <c r="AE372" s="22"/>
      <c r="AF372" s="22"/>
      <c r="AG372" s="43"/>
      <c r="AH372" s="43"/>
      <c r="AI372" s="43" t="str">
        <f>IFERROR(VLOOKUP(T372,'1С'!B:C,2,0)," ")</f>
        <v>БАД Таурин 90 капсул</v>
      </c>
      <c r="AJ372" s="22" t="s">
        <v>5429</v>
      </c>
      <c r="AK372" s="43"/>
      <c r="AL372" s="43"/>
      <c r="AM372" s="43"/>
      <c r="AN372" s="43"/>
      <c r="AO372" s="43"/>
      <c r="AP372" s="43"/>
      <c r="AQ372" s="46" t="s">
        <v>5430</v>
      </c>
      <c r="AR372" s="43"/>
      <c r="AS372" s="43"/>
      <c r="AT372" s="43"/>
      <c r="AU372" s="43"/>
      <c r="AV372" s="43"/>
      <c r="AW372" s="43"/>
      <c r="AX372" s="22" t="s">
        <v>669</v>
      </c>
      <c r="AY372" s="22" t="str">
        <f>IFERROR(VLOOKUP(C372,'спецификация'!B:AA,25,0)," ")</f>
        <v/>
      </c>
      <c r="AZ372" s="43"/>
      <c r="BA372" s="43"/>
      <c r="BB372" s="43"/>
      <c r="BC372" s="43"/>
      <c r="BD372" s="43"/>
      <c r="BE372" s="43"/>
      <c r="BF372" s="22" t="str">
        <f>IFERROR(VLOOKUP(C372,'спецификация'!B:D,3,0)," ")</f>
        <v>2038464322282</v>
      </c>
      <c r="BG372" s="22" t="str">
        <f>IFERROR(VLOOKUP(C372,'спецификация'!B:AA,4,0)," ")</f>
        <v/>
      </c>
      <c r="BH372" s="22" t="str">
        <f>IFERROR(VLOOKUP(C372,'спецификация'!B:AA,5,0)," ")</f>
        <v/>
      </c>
      <c r="BI372" s="22"/>
      <c r="BJ372" s="22" t="str">
        <f>IFERROR(VLOOKUP(C372,'спецификация'!B:AA,6,0)," ")</f>
        <v>ЧЗ</v>
      </c>
      <c r="BK372" s="43"/>
      <c r="BL372" s="43"/>
      <c r="BM372" s="22" t="str">
        <f>IFERROR(VLOOKUP(BF372,'спецификация'!D:H,5,0)," ")</f>
        <v>действующее вещество: L-таурин, твердая капсула (носитель: желатин пищевой, изготовленный из шкур крупного рогатого скота (или свиней), без добавления красителя (диоксида титана).</v>
      </c>
      <c r="BN372" s="43"/>
      <c r="BO372" s="22" t="str">
        <f>IFERROR(VLOOKUP(C372,'спецификация'!B:AA,10,0)," ")</f>
        <v> взрослым по 2 капсулы (массой 720мг) в день во время еды. Продолжительность приема 1 месяц. При необходимости, прием можно повторить
</v>
      </c>
      <c r="BP372" s="43" t="str">
        <f>IFERROR(VLOOKUP(C372,'спецификация'!B:AA,11,0)," ")</f>
        <v>индивидуальная непереносимость компонентов БАД к пище, беременность, кормление грудью. Перед применением рекомендуется проконсультироваться с врачом
</v>
      </c>
      <c r="BQ372" s="22" t="str">
        <f>IFERROR(VLOOKUP(C372,'спецификация'!B:AA,12,0)," ")</f>
        <v> хранить в  оригинальной упаковке, защищенном от попадания прямых солнечных лучей и недоступном для детей месте, при температуре не выше 25°С. После вскрытия упаковку хранить плотно закрытой при тех же условиях.
</v>
      </c>
      <c r="BR372" s="22"/>
      <c r="BS372" s="43"/>
      <c r="BT372" s="43"/>
      <c r="BU372" s="22"/>
      <c r="BV372" s="22" t="s">
        <v>307</v>
      </c>
      <c r="BW372" s="45" t="str">
        <f>IFERROR(VLOOKUP(C372,'спецификация'!B:AA,16,0)," ")</f>
        <v/>
      </c>
      <c r="BX372" s="43"/>
      <c r="BY372" s="43"/>
      <c r="BZ372" s="45" t="str">
        <f>IFERROR(VLOOKUP(BF372,'спецификация'!D:Y,22,0)," ")</f>
        <v/>
      </c>
      <c r="CA372" s="43"/>
      <c r="CB372" s="43"/>
      <c r="CC372" s="43"/>
      <c r="CD372" s="43"/>
      <c r="CE372" s="43"/>
      <c r="CF372" s="43"/>
      <c r="CG372" s="49">
        <f>IFERROR(VLOOKUP(C372,CC!A:D,4,0)," ")</f>
        <v>226</v>
      </c>
      <c r="CH372" s="22" t="str">
        <f>IFERROR(VLOOKUP(C372,'спецификация'!B:AA,19,0)," ")</f>
        <v> ООО Арсенал Атлета, 443535, Россия, Самарская область, Волжский муниципальный район, сельское поселение Лопатино, село Лопатино, улица Мира, здание 16/8, офис 1, тел.: +7 (902) 580 30 82,     e-mail: yozavod@gmail.com.
</v>
      </c>
      <c r="CI372" s="22"/>
      <c r="CJ372" s="43"/>
      <c r="CK372" s="22">
        <f>IFERROR(VLOOKUP(C372,CC!K:M,3,0)," ")</f>
        <v>60</v>
      </c>
      <c r="CL372" s="43"/>
      <c r="CM372" s="43"/>
      <c r="CN372" s="43"/>
      <c r="CO372" s="43"/>
      <c r="CP372" s="43"/>
      <c r="CQ372" s="43"/>
      <c r="CR372" s="43"/>
      <c r="CS372" s="43" t="b">
        <v>0</v>
      </c>
      <c r="CT372" s="43" t="b">
        <v>0</v>
      </c>
      <c r="CU372" s="43" t="b">
        <v>0</v>
      </c>
      <c r="CV372" s="43" t="b">
        <v>0</v>
      </c>
      <c r="CW372" s="43"/>
      <c r="CX372" s="43"/>
      <c r="CY372" s="43"/>
      <c r="CZ372" s="43"/>
      <c r="DA372" s="43"/>
      <c r="DB372" s="43"/>
      <c r="DC372" s="43"/>
      <c r="DD372" s="22">
        <f>IFERROR(VLOOKUP($C372,'Лист4'!$D:$AI,27,0)," ")</f>
        <v>7</v>
      </c>
      <c r="DE372" s="22">
        <f>IFERROR(VLOOKUP($C372,'Лист4'!$D:$AI,28,0)," ")</f>
        <v>12</v>
      </c>
      <c r="DF372" s="22">
        <f>IFERROR(VLOOKUP($C372,'Лист4'!$D:$AI,29,0)," ")</f>
        <v>7</v>
      </c>
      <c r="DG372" s="22">
        <f t="shared" si="3"/>
        <v>588</v>
      </c>
      <c r="DH372" s="22">
        <f>IFERROR(VLOOKUP($C372,'Лист4'!$D:$AI,32,0)," ")</f>
        <v>0.1</v>
      </c>
      <c r="DI372" s="22"/>
      <c r="DJ372" s="22"/>
      <c r="DK372" s="22"/>
      <c r="DL372" s="22"/>
      <c r="DM372" s="22"/>
      <c r="DN372" s="22"/>
      <c r="DO372" s="22"/>
      <c r="DP372" s="22"/>
      <c r="DQ372" s="22"/>
      <c r="DR372" s="22"/>
      <c r="DS372" s="22"/>
      <c r="DT372" s="22"/>
      <c r="DU372" s="22"/>
      <c r="DV372" s="22"/>
      <c r="DW372" s="22"/>
      <c r="DX372" s="22"/>
      <c r="DY372" s="22"/>
      <c r="DZ372" s="22"/>
      <c r="EA372" s="22"/>
      <c r="EB372" s="22"/>
      <c r="EC372" s="22"/>
      <c r="ED372" s="22"/>
      <c r="EE372" s="22"/>
      <c r="EF372" s="22"/>
      <c r="EG372" s="22"/>
      <c r="EH372" s="22"/>
      <c r="EI372" s="22"/>
      <c r="EJ372" s="22"/>
      <c r="EK372" s="22"/>
      <c r="EL372" s="22"/>
      <c r="EM372" s="43"/>
      <c r="EN372" s="43"/>
      <c r="EO372" s="43"/>
      <c r="EP372" s="43"/>
      <c r="EQ372" s="43"/>
      <c r="ER372" s="43"/>
      <c r="ES372" s="43"/>
      <c r="ET372" s="43"/>
      <c r="EU372" s="43"/>
      <c r="EV372" s="43"/>
      <c r="EW372" s="43"/>
      <c r="EX372" s="43"/>
      <c r="EY372" s="43"/>
      <c r="EZ372" s="43"/>
      <c r="FA372" s="43"/>
      <c r="FB372" s="43"/>
      <c r="FC372" s="43"/>
    </row>
    <row r="373" ht="18.0" customHeight="1">
      <c r="A373" s="2"/>
      <c r="B373" s="22" t="s">
        <v>2659</v>
      </c>
      <c r="C373" s="22" t="s">
        <v>5437</v>
      </c>
      <c r="D373" s="22" t="str">
        <f>IFERROR(VLOOKUP(C373,'Лист4'!D:P,13,0)," ")</f>
        <v>qeep</v>
      </c>
      <c r="E373" s="22" t="str">
        <f>IF(OR(ISERROR(VLOOKUP(C373,'Актуальность'!A:B,2,0)), VLOOKUP(C373,'Актуальность'!A:B,2,0)=""), "Актуальный", VLOOKUP(C373,'Актуальность'!A:B,2,0))</f>
        <v>Актуальный</v>
      </c>
      <c r="F373" s="43" t="str">
        <f>IFERROR(VLOOKUP(C373,'Актуальность'!A:C,3,0)," ")</f>
        <v/>
      </c>
      <c r="G373" s="43"/>
      <c r="H373" s="22" t="s">
        <v>401</v>
      </c>
      <c r="I373" s="22" t="s">
        <v>401</v>
      </c>
      <c r="J373" s="43"/>
      <c r="K373" s="43"/>
      <c r="L373" s="22" t="b">
        <f t="shared" ref="L373:R373" si="369">T373&lt;&gt;""</f>
        <v>1</v>
      </c>
      <c r="M373" s="22" t="b">
        <f t="shared" si="369"/>
        <v>1</v>
      </c>
      <c r="N373" s="22" t="b">
        <f t="shared" si="369"/>
        <v>0</v>
      </c>
      <c r="O373" s="22" t="b">
        <f t="shared" si="369"/>
        <v>0</v>
      </c>
      <c r="P373" s="22" t="b">
        <f t="shared" si="369"/>
        <v>0</v>
      </c>
      <c r="Q373" s="22" t="b">
        <f t="shared" si="369"/>
        <v>0</v>
      </c>
      <c r="R373" s="22" t="b">
        <f t="shared" si="369"/>
        <v>0</v>
      </c>
      <c r="S373" s="43"/>
      <c r="T373" s="43" t="str">
        <f>IFERROR(VLOOKUP( C373,'1С'!A:B,2,0)," ")</f>
        <v>QB101100522</v>
      </c>
      <c r="U373" s="64" t="s">
        <v>5437</v>
      </c>
      <c r="V373" s="22" t="str">
        <f>IFERROR(VLOOKUP(T373,'Лист4'!C:I,4,0)," ")</f>
        <v/>
      </c>
      <c r="W373" s="22" t="str">
        <f>IFERROR(VLOOKUP(T373,'Лист4'!C:I,5,0)," ")</f>
        <v/>
      </c>
      <c r="X373" s="43" t="str">
        <f>IFERROR(VLOOKUP(T373,'Лист4'!C:I,7,0)," ")</f>
        <v/>
      </c>
      <c r="Y373" s="43" t="str">
        <f>IFERROR(VLOOKUP(T373,'Лист4'!C:I,6,0)," ")</f>
        <v/>
      </c>
      <c r="Z373" s="43"/>
      <c r="AA373" s="43"/>
      <c r="AB373" s="22">
        <v>5.67074424E8</v>
      </c>
      <c r="AC373" s="22"/>
      <c r="AD373" s="22"/>
      <c r="AE373" s="22"/>
      <c r="AF373" s="22"/>
      <c r="AG373" s="43"/>
      <c r="AH373" s="43"/>
      <c r="AI373" s="43" t="str">
        <f>IFERROR(VLOOKUP(T373,'1С'!B:C,2,0)," ")</f>
        <v>БАД Трибустерон 60 капсул</v>
      </c>
      <c r="AJ373" s="22" t="s">
        <v>5440</v>
      </c>
      <c r="AK373" s="43"/>
      <c r="AL373" s="43"/>
      <c r="AM373" s="43"/>
      <c r="AN373" s="43"/>
      <c r="AO373" s="43"/>
      <c r="AP373" s="43"/>
      <c r="AQ373" s="46" t="s">
        <v>5441</v>
      </c>
      <c r="AR373" s="43"/>
      <c r="AS373" s="43"/>
      <c r="AT373" s="43"/>
      <c r="AU373" s="43"/>
      <c r="AV373" s="43"/>
      <c r="AW373" s="43"/>
      <c r="AX373" s="22" t="s">
        <v>669</v>
      </c>
      <c r="AY373" s="22" t="str">
        <f>IFERROR(VLOOKUP(C373,'спецификация'!B:AA,25,0)," ")</f>
        <v/>
      </c>
      <c r="AZ373" s="43"/>
      <c r="BA373" s="43"/>
      <c r="BB373" s="43"/>
      <c r="BC373" s="43"/>
      <c r="BD373" s="43"/>
      <c r="BE373" s="43"/>
      <c r="BF373" s="22">
        <f>IFERROR(VLOOKUP(C373,'спецификация'!B:D,3,0)," ")</f>
        <v>4670227419051</v>
      </c>
      <c r="BG373" s="22" t="str">
        <f>IFERROR(VLOOKUP(C373,'спецификация'!B:AA,4,0)," ")</f>
        <v/>
      </c>
      <c r="BH373" s="22" t="str">
        <f>IFERROR(VLOOKUP(C373,'спецификация'!B:AA,5,0)," ")</f>
        <v/>
      </c>
      <c r="BI373" s="22"/>
      <c r="BJ373" s="22" t="str">
        <f>IFERROR(VLOOKUP(C373,'спецификация'!B:AA,6,0)," ")</f>
        <v>без ЧЗ</v>
      </c>
      <c r="BK373" s="43"/>
      <c r="BL373" s="43"/>
      <c r="BM373" s="22" t="str">
        <f>IFERROR(VLOOKUP(BF373,'спецификация'!D:H,5,0)," ")</f>
        <v>D-аспарагиновая кислота, экстракт корня маки перуанской, цитрат цинка, экстракт чёрного перца (Bioperine®), экстракт трибулуса, экстракт корня радиолы розовой, экстракт корня эхинацеи, твердая желатиновая капсула.</v>
      </c>
      <c r="BN373" s="43"/>
      <c r="BO373" s="22" t="str">
        <f>IFERROR(VLOOKUP(C373,'спецификация'!B:AA,10,0)," ")</f>
        <v/>
      </c>
      <c r="BP373" s="43" t="str">
        <f>IFERROR(VLOOKUP(C373,'спецификация'!B:AA,11,0)," ")</f>
        <v/>
      </c>
      <c r="BQ373" s="22" t="str">
        <f>IFERROR(VLOOKUP(C373,'спецификация'!B:AA,12,0)," ")</f>
        <v/>
      </c>
      <c r="BR373" s="22">
        <v>60.0</v>
      </c>
      <c r="BS373" s="43"/>
      <c r="BT373" s="43"/>
      <c r="BU373" s="22"/>
      <c r="BV373" s="22" t="s">
        <v>307</v>
      </c>
      <c r="BW373" s="44" t="str">
        <f>IFERROR(VLOOKUP(C373,'спецификация'!B:AA,16,0)," ")</f>
        <v>https://docs.google.com/document/d/1gdLeErGHptRMKGEWx79XbZOtaNGA21D3eWALHFMJ-pA/edit?tab=t.0</v>
      </c>
      <c r="BX373" s="43"/>
      <c r="BY373" s="43"/>
      <c r="BZ373" s="45" t="str">
        <f>IFERROR(VLOOKUP(BF373,'спецификация'!D:Y,22,0)," ")</f>
        <v/>
      </c>
      <c r="CA373" s="43"/>
      <c r="CB373" s="43"/>
      <c r="CC373" s="43"/>
      <c r="CD373" s="43"/>
      <c r="CE373" s="43"/>
      <c r="CF373" s="43"/>
      <c r="CG373" s="49">
        <f>IFERROR(VLOOKUP(C373,CC!A:D,4,0)," ")</f>
        <v>0</v>
      </c>
      <c r="CH373" s="22" t="str">
        <f>IFERROR(VLOOKUP(C373,'спецификация'!B:AA,19,0)," ")</f>
        <v>ООО «Жива Продукт ПРО». 350062, Россия, Краснодарский край, город Краснодар, улица Казбекская, дом 17, кв. (оф.) 85</v>
      </c>
      <c r="CI373" s="22"/>
      <c r="CJ373" s="22" t="s">
        <v>495</v>
      </c>
      <c r="CK373" s="22" t="str">
        <f>IFERROR(VLOOKUP(C373,CC!K:M,3,0)," ")</f>
        <v/>
      </c>
      <c r="CL373" s="43"/>
      <c r="CM373" s="43"/>
      <c r="CN373" s="43"/>
      <c r="CO373" s="43"/>
      <c r="CP373" s="43"/>
      <c r="CQ373" s="43"/>
      <c r="CR373" s="43"/>
      <c r="CS373" s="43" t="b">
        <v>0</v>
      </c>
      <c r="CT373" s="43" t="b">
        <v>0</v>
      </c>
      <c r="CU373" s="43" t="b">
        <v>0</v>
      </c>
      <c r="CV373" s="43" t="b">
        <v>0</v>
      </c>
      <c r="CW373" s="43"/>
      <c r="CX373" s="43"/>
      <c r="CY373" s="43"/>
      <c r="CZ373" s="43"/>
      <c r="DA373" s="43"/>
      <c r="DB373" s="43"/>
      <c r="DC373" s="43"/>
      <c r="DD373" s="22">
        <f>IFERROR(VLOOKUP($C373,'Лист4'!$D:$AI,27,0)," ")</f>
        <v>6</v>
      </c>
      <c r="DE373" s="22">
        <f>IFERROR(VLOOKUP($C373,'Лист4'!$D:$AI,28,0)," ")</f>
        <v>12</v>
      </c>
      <c r="DF373" s="22">
        <f>IFERROR(VLOOKUP($C373,'Лист4'!$D:$AI,29,0)," ")</f>
        <v>6</v>
      </c>
      <c r="DG373" s="22">
        <f t="shared" si="3"/>
        <v>432</v>
      </c>
      <c r="DH373" s="22">
        <f>IFERROR(VLOOKUP($C373,'Лист4'!$D:$AI,32,0)," ")</f>
        <v>0.086</v>
      </c>
      <c r="DI373" s="22"/>
      <c r="DJ373" s="22"/>
      <c r="DK373" s="22"/>
      <c r="DL373" s="22"/>
      <c r="DM373" s="22"/>
      <c r="DN373" s="22"/>
      <c r="DO373" s="22"/>
      <c r="DP373" s="22"/>
      <c r="DQ373" s="22"/>
      <c r="DR373" s="22"/>
      <c r="DS373" s="22"/>
      <c r="DT373" s="22"/>
      <c r="DU373" s="22"/>
      <c r="DV373" s="22"/>
      <c r="DW373" s="22"/>
      <c r="DX373" s="22"/>
      <c r="DY373" s="22"/>
      <c r="DZ373" s="22"/>
      <c r="EA373" s="22"/>
      <c r="EB373" s="22"/>
      <c r="EC373" s="22"/>
      <c r="ED373" s="22"/>
      <c r="EE373" s="22"/>
      <c r="EF373" s="22"/>
      <c r="EG373" s="22"/>
      <c r="EH373" s="22"/>
      <c r="EI373" s="22"/>
      <c r="EJ373" s="22"/>
      <c r="EK373" s="22"/>
      <c r="EL373" s="22"/>
      <c r="EM373" s="43"/>
      <c r="EN373" s="43"/>
      <c r="EO373" s="43"/>
      <c r="EP373" s="43"/>
      <c r="EQ373" s="43"/>
      <c r="ER373" s="43"/>
      <c r="ES373" s="43"/>
      <c r="ET373" s="43"/>
      <c r="EU373" s="43"/>
      <c r="EV373" s="43"/>
      <c r="EW373" s="43"/>
      <c r="EX373" s="43"/>
      <c r="EY373" s="43"/>
      <c r="EZ373" s="43"/>
      <c r="FA373" s="43"/>
      <c r="FB373" s="43"/>
      <c r="FC373" s="43"/>
    </row>
    <row r="374" ht="18.0" customHeight="1">
      <c r="A374" s="2"/>
      <c r="B374" s="22" t="s">
        <v>2659</v>
      </c>
      <c r="C374" s="22" t="s">
        <v>5444</v>
      </c>
      <c r="D374" s="22" t="str">
        <f>IFERROR(VLOOKUP(C374,'Лист4'!D:P,13,0)," ")</f>
        <v> </v>
      </c>
      <c r="E374" s="22" t="str">
        <f>IF(OR(ISERROR(VLOOKUP(C374,'Актуальность'!A:B,2,0)), VLOOKUP(C374,'Актуальность'!A:B,2,0)=""), "Актуальный", VLOOKUP(C374,'Актуальность'!A:B,2,0))</f>
        <v>Актуальный</v>
      </c>
      <c r="F374" s="43" t="str">
        <f>IFERROR(VLOOKUP(C374,'Актуальность'!A:C,3,0)," ")</f>
        <v/>
      </c>
      <c r="G374" s="43"/>
      <c r="H374" s="22" t="s">
        <v>401</v>
      </c>
      <c r="I374" s="22" t="s">
        <v>401</v>
      </c>
      <c r="J374" s="43"/>
      <c r="K374" s="43"/>
      <c r="L374" s="22" t="b">
        <f t="shared" ref="L374:R374" si="370">T374&lt;&gt;""</f>
        <v>1</v>
      </c>
      <c r="M374" s="22" t="b">
        <f t="shared" si="370"/>
        <v>0</v>
      </c>
      <c r="N374" s="22" t="b">
        <f t="shared" si="370"/>
        <v>0</v>
      </c>
      <c r="O374" s="22" t="b">
        <f t="shared" si="370"/>
        <v>1</v>
      </c>
      <c r="P374" s="22" t="b">
        <f t="shared" si="370"/>
        <v>0</v>
      </c>
      <c r="Q374" s="22" t="b">
        <f t="shared" si="370"/>
        <v>0</v>
      </c>
      <c r="R374" s="22" t="b">
        <f t="shared" si="370"/>
        <v>0</v>
      </c>
      <c r="S374" s="43"/>
      <c r="T374" s="43" t="str">
        <f>IFERROR(VLOOKUP( C374,'1С'!A:B,2,0)," ")</f>
        <v> </v>
      </c>
      <c r="U374" s="64"/>
      <c r="V374" s="22"/>
      <c r="W374" s="55" t="s">
        <v>5444</v>
      </c>
      <c r="X374" s="43"/>
      <c r="Y374" s="43"/>
      <c r="Z374" s="43"/>
      <c r="AA374" s="43"/>
      <c r="AB374" s="22"/>
      <c r="AC374" s="22"/>
      <c r="AD374" s="22">
        <v>1.01864001748E11</v>
      </c>
      <c r="AE374" s="22"/>
      <c r="AF374" s="22"/>
      <c r="AG374" s="43"/>
      <c r="AH374" s="43"/>
      <c r="AI374" s="43" t="str">
        <f>IFERROR(VLOOKUP(T374,'1С'!B:C,2,0)," ")</f>
        <v> </v>
      </c>
      <c r="AJ374" s="43"/>
      <c r="AK374" s="43"/>
      <c r="AL374" s="22" t="s">
        <v>5445</v>
      </c>
      <c r="AM374" s="43"/>
      <c r="AN374" s="43"/>
      <c r="AO374" s="43"/>
      <c r="AP374" s="43"/>
      <c r="AQ374" s="43"/>
      <c r="AR374" s="43"/>
      <c r="AS374" s="46" t="s">
        <v>4895</v>
      </c>
      <c r="AT374" s="43"/>
      <c r="AU374" s="43"/>
      <c r="AV374" s="43"/>
      <c r="AW374" s="43"/>
      <c r="AX374" s="22"/>
      <c r="AY374" s="22" t="str">
        <f>IFERROR(VLOOKUP(C374,'спецификация'!B:AA,25,0)," ")</f>
        <v>Лечебное средство</v>
      </c>
      <c r="AZ374" s="22" t="s">
        <v>2672</v>
      </c>
      <c r="BA374" s="43"/>
      <c r="BB374" s="43"/>
      <c r="BC374" s="43"/>
      <c r="BD374" s="43"/>
      <c r="BE374" s="43"/>
      <c r="BF374" s="22">
        <f>IFERROR(VLOOKUP(C374,'спецификация'!B:D,3,0)," ")</f>
        <v>4631143681571</v>
      </c>
      <c r="BG374" s="22">
        <f>IFERROR(VLOOKUP(C374,'спецификация'!B:AA,4,0)," ")</f>
        <v>3304990000</v>
      </c>
      <c r="BH374" s="22" t="str">
        <f>IFERROR(VLOOKUP(C374,'спецификация'!B:AA,5,0)," ")</f>
        <v>ЕАЭС N RU Д-RU.PА01.B.28855/21 от15.06.2021 по 08.06.2026</v>
      </c>
      <c r="BI374" s="22"/>
      <c r="BJ374" s="22" t="str">
        <f>IFERROR(VLOOKUP(C374,'спецификация'!B:AA,6,0)," ")</f>
        <v/>
      </c>
      <c r="BK374" s="43"/>
      <c r="BL374" s="43"/>
      <c r="BM374" s="22" t="str">
        <f>IFERROR(VLOOKUP(BF374,'спецификация'!D:H,5,0)," ")</f>
        <v>экстракт коры дуба, коллаген, экстракт конского каштана, хондроитин, глюкозамин, змеиный яд, акулий жир, экстракт лютика желтого, экстракт адамова корня, экстракт маклюры, экстракт латука, экстракт моркови, экстракт мяты, экстракт лавра благородного, экстракт коры ивы, экстракт окопника, экстракт березы, экстракт крапивы двудомной, экстракт цветков бузины черной, экстракт морозника, экстракт лопуха, экстракт тысячелистника, экстракт фиалки, экстракт грыжника, экстракт девясила, экстракт пастушьей сумки, экстракт прополиса, экстракт золотого уса, экстракт подорожника, экстракт одуванчика, экстракт дьявольского когтя, экстракт крапивы, экстракт розмарина, экстракт семян горчицы, экстракт календулы, экстракт корня щавеля конского, экстракт первоцвета, экстракт лимона, экстракт хмеля, экстракт багульника, экстракт смородины, экстракт брусники, экстракт корня стальника, экстракт корней мыльнянки, экстракт полыни, экстракт черники, экстракт бедренца камнеломного, экстракт редьки, панты марала.</v>
      </c>
      <c r="BN374" s="43"/>
      <c r="BO374" s="22" t="str">
        <f>IFERROR(VLOOKUP(C374,'спецификация'!B:AA,10,0)," ")</f>
        <v/>
      </c>
      <c r="BP374" s="43" t="str">
        <f>IFERROR(VLOOKUP(C374,'спецификация'!B:AA,11,0),"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74" s="22" t="str">
        <f>IFERROR(VLOOKUP(C374,'спецификация'!B:AA,12,0)," ")</f>
        <v>хранить при температуре до 25°C, избегая попадания прямых солнечных лучей.
</v>
      </c>
      <c r="BR374" s="22"/>
      <c r="BS374" s="43"/>
      <c r="BT374" s="43"/>
      <c r="BU374" s="22"/>
      <c r="BV374" s="22" t="s">
        <v>401</v>
      </c>
      <c r="BW374" s="44" t="str">
        <f>IFERROR(VLOOKUP(C374,'спецификация'!B:AA,16,0)," ")</f>
        <v>https://docs.google.com/document/d/1J7Mb1fr2H2W4Ccar67YOzbsgfVH6WYUb7BARi8oiw0s/edit</v>
      </c>
      <c r="BX374" s="43"/>
      <c r="BY374" s="43"/>
      <c r="BZ374" s="45" t="str">
        <f>IFERROR(VLOOKUP(BF374,'спецификация'!D:Y,22,0)," ")</f>
        <v/>
      </c>
      <c r="CA374" s="43"/>
      <c r="CB374" s="43"/>
      <c r="CC374" s="43"/>
      <c r="CD374" s="43"/>
      <c r="CE374" s="43"/>
      <c r="CF374" s="43"/>
      <c r="CG374" s="49" t="str">
        <f>IFERROR(VLOOKUP(C374,CC!A:D,4,0)," ")</f>
        <v> </v>
      </c>
      <c r="CH374" s="22" t="str">
        <f>IFERROR(VLOOKUP(C374,'спецификация'!B:AA,19,0)," ")</f>
        <v/>
      </c>
      <c r="CI374" s="22"/>
      <c r="CJ374" s="43"/>
      <c r="CK374" s="22">
        <f>IFERROR(VLOOKUP(C374,CC!K:M,3,0)," ")</f>
        <v>45</v>
      </c>
      <c r="CL374" s="43"/>
      <c r="CM374" s="43"/>
      <c r="CN374" s="43"/>
      <c r="CO374" s="43"/>
      <c r="CP374" s="43"/>
      <c r="CQ374" s="43"/>
      <c r="CR374" s="43"/>
      <c r="CS374" s="43" t="b">
        <v>0</v>
      </c>
      <c r="CT374" s="43" t="b">
        <v>0</v>
      </c>
      <c r="CU374" s="43" t="b">
        <v>0</v>
      </c>
      <c r="CV374" s="43" t="b">
        <v>0</v>
      </c>
      <c r="CW374" s="43"/>
      <c r="CX374" s="43"/>
      <c r="CY374" s="43"/>
      <c r="CZ374" s="43"/>
      <c r="DA374" s="43"/>
      <c r="DB374" s="43"/>
      <c r="DC374" s="43"/>
      <c r="DD374" s="22" t="str">
        <f>IFERROR(VLOOKUP($C374,'Лист4'!$D:$AI,27,0)," ")</f>
        <v> </v>
      </c>
      <c r="DE374" s="22" t="str">
        <f>IFERROR(VLOOKUP($C374,'Лист4'!$D:$AI,28,0)," ")</f>
        <v> </v>
      </c>
      <c r="DF374" s="22" t="str">
        <f>IFERROR(VLOOKUP($C374,'Лист4'!$D:$AI,29,0)," ")</f>
        <v> </v>
      </c>
      <c r="DG374" s="22" t="str">
        <f t="shared" si="3"/>
        <v> </v>
      </c>
      <c r="DH374" s="22" t="str">
        <f>IFERROR(VLOOKUP($C374,'Лист4'!$D:$AI,32,0)," ")</f>
        <v> </v>
      </c>
      <c r="DI374" s="22"/>
      <c r="DJ374" s="22"/>
      <c r="DK374" s="22"/>
      <c r="DL374" s="22"/>
      <c r="DM374" s="22"/>
      <c r="DN374" s="22"/>
      <c r="DO374" s="22"/>
      <c r="DP374" s="22"/>
      <c r="DQ374" s="22"/>
      <c r="DR374" s="22"/>
      <c r="DS374" s="22"/>
      <c r="DT374" s="22"/>
      <c r="DU374" s="22"/>
      <c r="DV374" s="22"/>
      <c r="DW374" s="22"/>
      <c r="DX374" s="22"/>
      <c r="DY374" s="22"/>
      <c r="DZ374" s="22"/>
      <c r="EA374" s="22"/>
      <c r="EB374" s="22"/>
      <c r="EC374" s="22"/>
      <c r="ED374" s="22"/>
      <c r="EE374" s="22"/>
      <c r="EF374" s="22"/>
      <c r="EG374" s="22"/>
      <c r="EH374" s="22"/>
      <c r="EI374" s="22"/>
      <c r="EJ374" s="22"/>
      <c r="EK374" s="22"/>
      <c r="EL374" s="22"/>
      <c r="EM374" s="43"/>
      <c r="EN374" s="43"/>
      <c r="EO374" s="43"/>
      <c r="EP374" s="43"/>
      <c r="EQ374" s="43"/>
      <c r="ER374" s="43"/>
      <c r="ES374" s="43"/>
      <c r="ET374" s="43"/>
      <c r="EU374" s="43"/>
      <c r="EV374" s="43"/>
      <c r="EW374" s="43"/>
      <c r="EX374" s="43"/>
      <c r="EY374" s="43"/>
      <c r="EZ374" s="43"/>
      <c r="FA374" s="43"/>
      <c r="FB374" s="43"/>
      <c r="FC374" s="43"/>
    </row>
    <row r="375" ht="18.0" customHeight="1">
      <c r="A375" s="2"/>
      <c r="B375" s="22" t="s">
        <v>2659</v>
      </c>
      <c r="C375" s="22" t="s">
        <v>5447</v>
      </c>
      <c r="D375" s="22" t="str">
        <f>IFERROR(VLOOKUP(C375,'Лист4'!D:P,13,0)," ")</f>
        <v> </v>
      </c>
      <c r="E375" s="22" t="str">
        <f>IF(OR(ISERROR(VLOOKUP(C375,'Актуальность'!A:B,2,0)), VLOOKUP(C375,'Актуальность'!A:B,2,0)=""), "Актуальный", VLOOKUP(C375,'Актуальность'!A:B,2,0))</f>
        <v>Актуальный</v>
      </c>
      <c r="F375" s="43" t="str">
        <f>IFERROR(VLOOKUP(C375,'Актуальность'!A:C,3,0)," ")</f>
        <v/>
      </c>
      <c r="G375" s="43"/>
      <c r="H375" s="22" t="s">
        <v>401</v>
      </c>
      <c r="I375" s="22" t="s">
        <v>401</v>
      </c>
      <c r="J375" s="43"/>
      <c r="K375" s="43"/>
      <c r="L375" s="22" t="b">
        <f t="shared" ref="L375:R375" si="371">T375&lt;&gt;""</f>
        <v>1</v>
      </c>
      <c r="M375" s="22" t="b">
        <f t="shared" si="371"/>
        <v>0</v>
      </c>
      <c r="N375" s="22" t="b">
        <f t="shared" si="371"/>
        <v>0</v>
      </c>
      <c r="O375" s="22" t="b">
        <f t="shared" si="371"/>
        <v>1</v>
      </c>
      <c r="P375" s="22" t="b">
        <f t="shared" si="371"/>
        <v>0</v>
      </c>
      <c r="Q375" s="22" t="b">
        <f t="shared" si="371"/>
        <v>0</v>
      </c>
      <c r="R375" s="22" t="b">
        <f t="shared" si="371"/>
        <v>0</v>
      </c>
      <c r="S375" s="43"/>
      <c r="T375" s="43" t="str">
        <f>IFERROR(VLOOKUP( C375,'1С'!A:B,2,0)," ")</f>
        <v> </v>
      </c>
      <c r="U375" s="64"/>
      <c r="V375" s="22"/>
      <c r="W375" s="55" t="s">
        <v>5447</v>
      </c>
      <c r="X375" s="43"/>
      <c r="Y375" s="43"/>
      <c r="Z375" s="43"/>
      <c r="AA375" s="43"/>
      <c r="AB375" s="22"/>
      <c r="AC375" s="22"/>
      <c r="AD375" s="22">
        <v>1.03515429013E11</v>
      </c>
      <c r="AE375" s="22"/>
      <c r="AF375" s="22"/>
      <c r="AG375" s="43"/>
      <c r="AH375" s="43"/>
      <c r="AI375" s="43" t="str">
        <f>IFERROR(VLOOKUP(T375,'1С'!B:C,2,0)," ")</f>
        <v> </v>
      </c>
      <c r="AJ375" s="43"/>
      <c r="AK375" s="43"/>
      <c r="AL375" s="22" t="s">
        <v>5448</v>
      </c>
      <c r="AM375" s="43"/>
      <c r="AN375" s="43"/>
      <c r="AO375" s="43"/>
      <c r="AP375" s="43"/>
      <c r="AQ375" s="43"/>
      <c r="AR375" s="43"/>
      <c r="AS375" s="46" t="s">
        <v>5449</v>
      </c>
      <c r="AT375" s="43"/>
      <c r="AU375" s="43"/>
      <c r="AV375" s="43"/>
      <c r="AW375" s="43"/>
      <c r="AX375" s="22"/>
      <c r="AY375" s="22" t="str">
        <f>IFERROR(VLOOKUP(C375,'спецификация'!B:AA,25,0)," ")</f>
        <v> </v>
      </c>
      <c r="AZ375" s="22" t="s">
        <v>2534</v>
      </c>
      <c r="BA375" s="43"/>
      <c r="BB375" s="43"/>
      <c r="BC375" s="43"/>
      <c r="BD375" s="43"/>
      <c r="BE375" s="43"/>
      <c r="BF375" s="22" t="str">
        <f>IFERROR(VLOOKUP(C375,'спецификация'!B:D,3,0)," ")</f>
        <v> </v>
      </c>
      <c r="BG375" s="22" t="str">
        <f>IFERROR(VLOOKUP(C375,'спецификация'!B:AA,4,0)," ")</f>
        <v> </v>
      </c>
      <c r="BH375" s="22" t="str">
        <f>IFERROR(VLOOKUP(C375,'спецификация'!B:AA,5,0)," ")</f>
        <v> </v>
      </c>
      <c r="BI375" s="22"/>
      <c r="BJ375" s="22" t="str">
        <f>IFERROR(VLOOKUP(C375,'спецификация'!B:AA,6,0)," ")</f>
        <v> </v>
      </c>
      <c r="BK375" s="43"/>
      <c r="BL375" s="43"/>
      <c r="BM375" s="22" t="str">
        <f>IFERROR(VLOOKUP(BF375,'спецификация'!D:H,5,0)," ")</f>
        <v> </v>
      </c>
      <c r="BN375" s="43"/>
      <c r="BO375" s="22" t="str">
        <f>IFERROR(VLOOKUP(C375,'спецификация'!B:AA,10,0)," ")</f>
        <v> </v>
      </c>
      <c r="BP375" s="43" t="str">
        <f>IFERROR(VLOOKUP(C375,'спецификация'!B:AA,11,0)," ")</f>
        <v> </v>
      </c>
      <c r="BQ375" s="22" t="str">
        <f>IFERROR(VLOOKUP(C375,'спецификация'!B:AA,12,0)," ")</f>
        <v> </v>
      </c>
      <c r="BR375" s="22"/>
      <c r="BS375" s="43"/>
      <c r="BT375" s="43"/>
      <c r="BU375" s="22"/>
      <c r="BV375" s="22" t="s">
        <v>401</v>
      </c>
      <c r="BW375" s="45" t="str">
        <f>IFERROR(VLOOKUP(C375,'спецификация'!B:AA,16,0)," ")</f>
        <v> </v>
      </c>
      <c r="BX375" s="43"/>
      <c r="BY375" s="43"/>
      <c r="BZ375" s="45" t="str">
        <f>IFERROR(VLOOKUP(BF375,'спецификация'!D:Y,22,0)," ")</f>
        <v> </v>
      </c>
      <c r="CA375" s="43"/>
      <c r="CB375" s="43"/>
      <c r="CC375" s="43"/>
      <c r="CD375" s="43"/>
      <c r="CE375" s="43"/>
      <c r="CF375" s="43"/>
      <c r="CG375" s="49">
        <f>IFERROR(VLOOKUP(C375,CC!A:D,4,0)," ")</f>
        <v>256</v>
      </c>
      <c r="CH375" s="22" t="str">
        <f>IFERROR(VLOOKUP(C375,'спецификация'!B:AA,19,0)," ")</f>
        <v> </v>
      </c>
      <c r="CI375" s="22"/>
      <c r="CJ375" s="43"/>
      <c r="CK375" s="22">
        <f>IFERROR(VLOOKUP(C375,CC!K:M,3,0)," ")</f>
        <v>45</v>
      </c>
      <c r="CL375" s="43"/>
      <c r="CM375" s="43"/>
      <c r="CN375" s="43"/>
      <c r="CO375" s="43"/>
      <c r="CP375" s="43"/>
      <c r="CQ375" s="43"/>
      <c r="CR375" s="43"/>
      <c r="CS375" s="43" t="b">
        <v>0</v>
      </c>
      <c r="CT375" s="43" t="b">
        <v>0</v>
      </c>
      <c r="CU375" s="43" t="b">
        <v>0</v>
      </c>
      <c r="CV375" s="43" t="b">
        <v>0</v>
      </c>
      <c r="CW375" s="43"/>
      <c r="CX375" s="43"/>
      <c r="CY375" s="43"/>
      <c r="CZ375" s="43"/>
      <c r="DA375" s="43"/>
      <c r="DB375" s="43"/>
      <c r="DC375" s="43"/>
      <c r="DD375" s="22" t="str">
        <f>IFERROR(VLOOKUP($C375,'Лист4'!$D:$AI,27,0)," ")</f>
        <v> </v>
      </c>
      <c r="DE375" s="22" t="str">
        <f>IFERROR(VLOOKUP($C375,'Лист4'!$D:$AI,28,0)," ")</f>
        <v> </v>
      </c>
      <c r="DF375" s="22" t="str">
        <f>IFERROR(VLOOKUP($C375,'Лист4'!$D:$AI,29,0)," ")</f>
        <v> </v>
      </c>
      <c r="DG375" s="22" t="str">
        <f t="shared" si="3"/>
        <v> </v>
      </c>
      <c r="DH375" s="22" t="str">
        <f>IFERROR(VLOOKUP($C375,'Лист4'!$D:$AI,32,0)," ")</f>
        <v> </v>
      </c>
      <c r="DI375" s="22"/>
      <c r="DJ375" s="22"/>
      <c r="DK375" s="22"/>
      <c r="DL375" s="22"/>
      <c r="DM375" s="22"/>
      <c r="DN375" s="22"/>
      <c r="DO375" s="22"/>
      <c r="DP375" s="22"/>
      <c r="DQ375" s="22"/>
      <c r="DR375" s="22"/>
      <c r="DS375" s="22"/>
      <c r="DT375" s="22"/>
      <c r="DU375" s="22"/>
      <c r="DV375" s="22"/>
      <c r="DW375" s="22"/>
      <c r="DX375" s="22"/>
      <c r="DY375" s="22"/>
      <c r="DZ375" s="22"/>
      <c r="EA375" s="22"/>
      <c r="EB375" s="22"/>
      <c r="EC375" s="22"/>
      <c r="ED375" s="22"/>
      <c r="EE375" s="22"/>
      <c r="EF375" s="22"/>
      <c r="EG375" s="22"/>
      <c r="EH375" s="22"/>
      <c r="EI375" s="22"/>
      <c r="EJ375" s="22"/>
      <c r="EK375" s="22"/>
      <c r="EL375" s="22"/>
      <c r="EM375" s="43"/>
      <c r="EN375" s="43"/>
      <c r="EO375" s="43"/>
      <c r="EP375" s="43"/>
      <c r="EQ375" s="43"/>
      <c r="ER375" s="43"/>
      <c r="ES375" s="43"/>
      <c r="ET375" s="43"/>
      <c r="EU375" s="43"/>
      <c r="EV375" s="43"/>
      <c r="EW375" s="43"/>
      <c r="EX375" s="43"/>
      <c r="EY375" s="43"/>
      <c r="EZ375" s="43"/>
      <c r="FA375" s="43"/>
      <c r="FB375" s="43"/>
      <c r="FC375" s="43"/>
    </row>
    <row r="376" ht="18.0" customHeight="1">
      <c r="A376" s="2"/>
      <c r="B376" s="22" t="s">
        <v>2659</v>
      </c>
      <c r="C376" s="22" t="s">
        <v>5450</v>
      </c>
      <c r="D376" s="22" t="str">
        <f>IFERROR(VLOOKUP(C376,'Лист4'!D:P,13,0)," ")</f>
        <v> </v>
      </c>
      <c r="E376" s="22" t="str">
        <f>IF(OR(ISERROR(VLOOKUP(C376,'Актуальность'!A:B,2,0)), VLOOKUP(C376,'Актуальность'!A:B,2,0)=""), "Актуальный", VLOOKUP(C376,'Актуальность'!A:B,2,0))</f>
        <v>Вывод</v>
      </c>
      <c r="F376" s="43" t="str">
        <f>IFERROR(VLOOKUP(C376,'Актуальность'!A:C,3,0)," ")</f>
        <v>Старый товар</v>
      </c>
      <c r="G376" s="43"/>
      <c r="H376" s="22" t="s">
        <v>401</v>
      </c>
      <c r="I376" s="22" t="s">
        <v>401</v>
      </c>
      <c r="J376" s="43"/>
      <c r="K376" s="43"/>
      <c r="L376" s="22" t="b">
        <f t="shared" ref="L376:R376" si="372">T376&lt;&gt;""</f>
        <v>1</v>
      </c>
      <c r="M376" s="22" t="b">
        <f t="shared" si="372"/>
        <v>0</v>
      </c>
      <c r="N376" s="22" t="b">
        <f t="shared" si="372"/>
        <v>0</v>
      </c>
      <c r="O376" s="22" t="b">
        <f t="shared" si="372"/>
        <v>1</v>
      </c>
      <c r="P376" s="22" t="b">
        <f t="shared" si="372"/>
        <v>0</v>
      </c>
      <c r="Q376" s="22" t="b">
        <f t="shared" si="372"/>
        <v>0</v>
      </c>
      <c r="R376" s="22" t="b">
        <f t="shared" si="372"/>
        <v>0</v>
      </c>
      <c r="S376" s="43"/>
      <c r="T376" s="43" t="str">
        <f>IFERROR(VLOOKUP( C376,'1С'!A:B,2,0)," ")</f>
        <v> </v>
      </c>
      <c r="U376" s="64"/>
      <c r="V376" s="22"/>
      <c r="W376" s="55" t="s">
        <v>5450</v>
      </c>
      <c r="X376" s="43"/>
      <c r="Y376" s="43"/>
      <c r="Z376" s="43"/>
      <c r="AA376" s="43"/>
      <c r="AB376" s="22"/>
      <c r="AC376" s="22"/>
      <c r="AD376" s="22">
        <v>1.03632605064E11</v>
      </c>
      <c r="AE376" s="22"/>
      <c r="AF376" s="22"/>
      <c r="AG376" s="43"/>
      <c r="AH376" s="43"/>
      <c r="AI376" s="43" t="str">
        <f>IFERROR(VLOOKUP(T376,'1С'!B:C,2,0)," ")</f>
        <v> </v>
      </c>
      <c r="AJ376" s="43"/>
      <c r="AK376" s="43"/>
      <c r="AL376" s="22" t="s">
        <v>5451</v>
      </c>
      <c r="AM376" s="43"/>
      <c r="AN376" s="43"/>
      <c r="AO376" s="43"/>
      <c r="AP376" s="43"/>
      <c r="AQ376" s="43"/>
      <c r="AR376" s="43"/>
      <c r="AS376" s="46" t="s">
        <v>5452</v>
      </c>
      <c r="AT376" s="43"/>
      <c r="AU376" s="43"/>
      <c r="AV376" s="43"/>
      <c r="AW376" s="43"/>
      <c r="AX376" s="22"/>
      <c r="AY376" s="22" t="str">
        <f>IFERROR(VLOOKUP(C376,'спецификация'!B:AA,25,0)," ")</f>
        <v>Эрекционное кольцо</v>
      </c>
      <c r="AZ376" s="22" t="s">
        <v>4668</v>
      </c>
      <c r="BA376" s="43"/>
      <c r="BB376" s="43"/>
      <c r="BC376" s="43"/>
      <c r="BD376" s="43"/>
      <c r="BE376" s="43"/>
      <c r="BF376" s="22">
        <f>IFERROR(VLOOKUP(C376,'спецификация'!B:D,3,0)," ")</f>
        <v>4631146952975</v>
      </c>
      <c r="BG376" s="22" t="str">
        <f>IFERROR(VLOOKUP(C376,'спецификация'!B:AA,4,0)," ")</f>
        <v/>
      </c>
      <c r="BH376" s="22" t="str">
        <f>IFERROR(VLOOKUP(C376,'спецификация'!B:AA,5,0)," ")</f>
        <v>ЕАЭС N RU Д-RU.PД04.B.03319/19 от11.10.2019 по 10.10.2024</v>
      </c>
      <c r="BI376" s="22"/>
      <c r="BJ376" s="22" t="str">
        <f>IFERROR(VLOOKUP(C376,'спецификация'!B:AA,6,0)," ")</f>
        <v/>
      </c>
      <c r="BK376" s="43"/>
      <c r="BL376" s="43"/>
      <c r="BM376" s="22" t="str">
        <f>IFERROR(VLOOKUP(BF376,'спецификация'!D:H,5,0)," ")</f>
        <v>пластик, медицинский силикон</v>
      </c>
      <c r="BN376" s="43"/>
      <c r="BO376" s="22" t="str">
        <f>IFERROR(VLOOKUP(C376,'спецификация'!B:AA,10,0)," ")</f>
        <v/>
      </c>
      <c r="BP376" s="43" t="str">
        <f>IFERROR(VLOOKUP(C376,'спецификация'!B:AA,11,0)," ")</f>
        <v>индивидуальная непереносимость ингредиентов.</v>
      </c>
      <c r="BQ376" s="22" t="str">
        <f>IFERROR(VLOOKUP(C376,'спецификация'!B:AA,12,0)," ")</f>
        <v>в сухом, защищенном от света месте при температуре от +5°С до +25°С.
</v>
      </c>
      <c r="BR376" s="22"/>
      <c r="BS376" s="43"/>
      <c r="BT376" s="43"/>
      <c r="BU376" s="22"/>
      <c r="BV376" s="22" t="s">
        <v>401</v>
      </c>
      <c r="BW376" s="44" t="str">
        <f>IFERROR(VLOOKUP(C376,'спецификация'!B:AA,16,0)," ")</f>
        <v>https://docs.google.com/document/d/1rK79ueSXwFLmuL3ulnvb9aN0ZA8JY1gLSbRsjbVMr80/edit</v>
      </c>
      <c r="BX376" s="43"/>
      <c r="BY376" s="43"/>
      <c r="BZ376" s="45" t="str">
        <f>IFERROR(VLOOKUP(BF376,'спецификация'!D:Y,22,0)," ")</f>
        <v/>
      </c>
      <c r="CA376" s="43"/>
      <c r="CB376" s="43"/>
      <c r="CC376" s="43"/>
      <c r="CD376" s="43"/>
      <c r="CE376" s="43"/>
      <c r="CF376" s="43"/>
      <c r="CG376" s="49" t="str">
        <f>IFERROR(VLOOKUP(C376,CC!A:D,4,0)," ")</f>
        <v> </v>
      </c>
      <c r="CH376" s="22" t="str">
        <f>IFERROR(VLOOKUP(C376,'спецификация'!B:AA,19,0)," ")</f>
        <v/>
      </c>
      <c r="CI376" s="22"/>
      <c r="CJ376" s="43"/>
      <c r="CK376" s="22">
        <f>IFERROR(VLOOKUP(C376,CC!K:M,3,0)," ")</f>
        <v>45</v>
      </c>
      <c r="CL376" s="43"/>
      <c r="CM376" s="43"/>
      <c r="CN376" s="43"/>
      <c r="CO376" s="43"/>
      <c r="CP376" s="43"/>
      <c r="CQ376" s="43"/>
      <c r="CR376" s="43"/>
      <c r="CS376" s="43" t="b">
        <v>0</v>
      </c>
      <c r="CT376" s="43" t="b">
        <v>0</v>
      </c>
      <c r="CU376" s="43" t="b">
        <v>0</v>
      </c>
      <c r="CV376" s="43" t="b">
        <v>0</v>
      </c>
      <c r="CW376" s="43"/>
      <c r="CX376" s="43"/>
      <c r="CY376" s="43"/>
      <c r="CZ376" s="43"/>
      <c r="DA376" s="43"/>
      <c r="DB376" s="43"/>
      <c r="DC376" s="43"/>
      <c r="DD376" s="22" t="str">
        <f>IFERROR(VLOOKUP($C376,'Лист4'!$D:$AI,27,0)," ")</f>
        <v> </v>
      </c>
      <c r="DE376" s="22" t="str">
        <f>IFERROR(VLOOKUP($C376,'Лист4'!$D:$AI,28,0)," ")</f>
        <v> </v>
      </c>
      <c r="DF376" s="22" t="str">
        <f>IFERROR(VLOOKUP($C376,'Лист4'!$D:$AI,29,0)," ")</f>
        <v> </v>
      </c>
      <c r="DG376" s="22" t="str">
        <f t="shared" si="3"/>
        <v> </v>
      </c>
      <c r="DH376" s="22" t="str">
        <f>IFERROR(VLOOKUP($C376,'Лист4'!$D:$AI,32,0)," ")</f>
        <v> </v>
      </c>
      <c r="DI376" s="22"/>
      <c r="DJ376" s="22"/>
      <c r="DK376" s="22"/>
      <c r="DL376" s="22"/>
      <c r="DM376" s="22"/>
      <c r="DN376" s="22"/>
      <c r="DO376" s="22"/>
      <c r="DP376" s="22"/>
      <c r="DQ376" s="22"/>
      <c r="DR376" s="22"/>
      <c r="DS376" s="22"/>
      <c r="DT376" s="22"/>
      <c r="DU376" s="22"/>
      <c r="DV376" s="22"/>
      <c r="DW376" s="22"/>
      <c r="DX376" s="22"/>
      <c r="DY376" s="22"/>
      <c r="DZ376" s="22"/>
      <c r="EA376" s="22"/>
      <c r="EB376" s="22"/>
      <c r="EC376" s="22"/>
      <c r="ED376" s="22"/>
      <c r="EE376" s="22"/>
      <c r="EF376" s="22"/>
      <c r="EG376" s="22"/>
      <c r="EH376" s="22"/>
      <c r="EI376" s="22"/>
      <c r="EJ376" s="22"/>
      <c r="EK376" s="22"/>
      <c r="EL376" s="22"/>
      <c r="EM376" s="43"/>
      <c r="EN376" s="43"/>
      <c r="EO376" s="43"/>
      <c r="EP376" s="43"/>
      <c r="EQ376" s="43"/>
      <c r="ER376" s="43"/>
      <c r="ES376" s="43"/>
      <c r="ET376" s="43"/>
      <c r="EU376" s="43"/>
      <c r="EV376" s="43"/>
      <c r="EW376" s="43"/>
      <c r="EX376" s="43"/>
      <c r="EY376" s="43"/>
      <c r="EZ376" s="43"/>
      <c r="FA376" s="43"/>
      <c r="FB376" s="43"/>
      <c r="FC376" s="43"/>
    </row>
    <row r="377" ht="18.0" customHeight="1">
      <c r="A377" s="2"/>
      <c r="B377" s="22" t="s">
        <v>2659</v>
      </c>
      <c r="C377" s="22" t="s">
        <v>5456</v>
      </c>
      <c r="D377" s="22" t="str">
        <f>IFERROR(VLOOKUP(C377,'Лист4'!D:P,13,0)," ")</f>
        <v> </v>
      </c>
      <c r="E377" s="22" t="str">
        <f>IF(OR(ISERROR(VLOOKUP(C377,'Актуальность'!A:B,2,0)), VLOOKUP(C377,'Актуальность'!A:B,2,0)=""), "Актуальный", VLOOKUP(C377,'Актуальность'!A:B,2,0))</f>
        <v>Актуальный</v>
      </c>
      <c r="F377" s="43" t="str">
        <f>IFERROR(VLOOKUP(C377,'Актуальность'!A:C,3,0)," ")</f>
        <v/>
      </c>
      <c r="G377" s="43"/>
      <c r="H377" s="22" t="s">
        <v>401</v>
      </c>
      <c r="I377" s="22" t="s">
        <v>401</v>
      </c>
      <c r="J377" s="43"/>
      <c r="K377" s="43"/>
      <c r="L377" s="22" t="b">
        <f t="shared" ref="L377:R377" si="373">T377&lt;&gt;""</f>
        <v>1</v>
      </c>
      <c r="M377" s="22" t="b">
        <f t="shared" si="373"/>
        <v>0</v>
      </c>
      <c r="N377" s="22" t="b">
        <f t="shared" si="373"/>
        <v>0</v>
      </c>
      <c r="O377" s="22" t="b">
        <f t="shared" si="373"/>
        <v>1</v>
      </c>
      <c r="P377" s="22" t="b">
        <f t="shared" si="373"/>
        <v>0</v>
      </c>
      <c r="Q377" s="22" t="b">
        <f t="shared" si="373"/>
        <v>0</v>
      </c>
      <c r="R377" s="22" t="b">
        <f t="shared" si="373"/>
        <v>0</v>
      </c>
      <c r="S377" s="43"/>
      <c r="T377" s="43" t="str">
        <f>IFERROR(VLOOKUP( C377,'1С'!A:B,2,0)," ")</f>
        <v> </v>
      </c>
      <c r="U377" s="64"/>
      <c r="V377" s="22"/>
      <c r="W377" s="55" t="s">
        <v>5456</v>
      </c>
      <c r="X377" s="43"/>
      <c r="Y377" s="43"/>
      <c r="Z377" s="43"/>
      <c r="AA377" s="43"/>
      <c r="AB377" s="22"/>
      <c r="AC377" s="22"/>
      <c r="AD377" s="22">
        <v>1.01862544762E11</v>
      </c>
      <c r="AE377" s="22"/>
      <c r="AF377" s="22"/>
      <c r="AG377" s="43"/>
      <c r="AH377" s="43"/>
      <c r="AI377" s="43" t="str">
        <f>IFERROR(VLOOKUP(T377,'1С'!B:C,2,0)," ")</f>
        <v> </v>
      </c>
      <c r="AJ377" s="43"/>
      <c r="AK377" s="43"/>
      <c r="AL377" s="22" t="s">
        <v>5457</v>
      </c>
      <c r="AM377" s="43"/>
      <c r="AN377" s="43"/>
      <c r="AO377" s="43"/>
      <c r="AP377" s="43"/>
      <c r="AQ377" s="43"/>
      <c r="AR377" s="43"/>
      <c r="AS377" s="46" t="s">
        <v>5458</v>
      </c>
      <c r="AT377" s="43"/>
      <c r="AU377" s="43"/>
      <c r="AV377" s="43"/>
      <c r="AW377" s="43"/>
      <c r="AX377" s="22"/>
      <c r="AY377" s="22" t="str">
        <f>IFERROR(VLOOKUP(C377,'спецификация'!B:AA,25,0)," ")</f>
        <v>БАД для ускорения обмена веществ</v>
      </c>
      <c r="AZ377" s="22" t="s">
        <v>372</v>
      </c>
      <c r="BA377" s="43"/>
      <c r="BB377" s="43"/>
      <c r="BC377" s="43"/>
      <c r="BD377" s="43"/>
      <c r="BE377" s="43"/>
      <c r="BF377" s="22">
        <f>IFERROR(VLOOKUP(C377,'спецификация'!B:D,3,0)," ")</f>
        <v>4631146328114</v>
      </c>
      <c r="BG377" s="22">
        <f>IFERROR(VLOOKUP(C377,'спецификация'!B:AA,4,0)," ")</f>
        <v>2103909009</v>
      </c>
      <c r="BH377" s="22" t="str">
        <f>IFERROR(VLOOKUP(C377,'спецификация'!B:AA,5,0)," ")</f>
        <v>ЕАЭС N RU Д-RU.РА03.В.97282/24 от 27.04.2024 по 25.04.2029</v>
      </c>
      <c r="BI377" s="22"/>
      <c r="BJ377" s="22" t="str">
        <f>IFERROR(VLOOKUP(C377,'спецификация'!B:AA,6,0)," ")</f>
        <v/>
      </c>
      <c r="BK377" s="43"/>
      <c r="BL377" s="43"/>
      <c r="BM377" s="22" t="str">
        <f>IFERROR(VLOOKUP(BF377,'спецификация'!D:H,5,0)," ")</f>
        <v>экстракты кордицепса, рейши, шиитаке, мейтаке, веселки, агарика бразильского, лисички белой.</v>
      </c>
      <c r="BN377" s="43"/>
      <c r="BO377" s="22" t="str">
        <f>IFERROR(VLOOKUP(C377,'спецификация'!B:AA,10,0)," ")</f>
        <v/>
      </c>
      <c r="BP377" s="43" t="str">
        <f>IFERROR(VLOOKUP(C377,'спецификация'!B:AA,11,0),"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77" s="22" t="str">
        <f>IFERROR(VLOOKUP(C377,'спецификация'!B:AA,12,0)," ")</f>
        <v>хранить при температуре до 25°C, избегая попадания прямых солнечных лучей.
</v>
      </c>
      <c r="BR377" s="22"/>
      <c r="BS377" s="43"/>
      <c r="BT377" s="43"/>
      <c r="BU377" s="22"/>
      <c r="BV377" s="22" t="s">
        <v>401</v>
      </c>
      <c r="BW377" s="44" t="str">
        <f>IFERROR(VLOOKUP(C377,'спецификация'!B:AA,16,0)," ")</f>
        <v>https://docs.google.com/document/d/1eBi8_UD83zerzVOpX5oin0JXKbhIoT-ulLFZbfDnBBM/edit</v>
      </c>
      <c r="BX377" s="43"/>
      <c r="BY377" s="43"/>
      <c r="BZ377" s="45" t="str">
        <f>IFERROR(VLOOKUP(BF377,'спецификация'!D:Y,22,0)," ")</f>
        <v/>
      </c>
      <c r="CA377" s="43"/>
      <c r="CB377" s="43"/>
      <c r="CC377" s="43"/>
      <c r="CD377" s="43"/>
      <c r="CE377" s="43"/>
      <c r="CF377" s="43"/>
      <c r="CG377" s="49" t="str">
        <f>IFERROR(VLOOKUP(C377,CC!A:D,4,0)," ")</f>
        <v> </v>
      </c>
      <c r="CH377" s="22" t="str">
        <f>IFERROR(VLOOKUP(C377,'спецификация'!B:AA,19,0)," ")</f>
        <v/>
      </c>
      <c r="CI377" s="22"/>
      <c r="CJ377" s="43"/>
      <c r="CK377" s="22" t="str">
        <f>IFERROR(VLOOKUP(C377,CC!K:M,3,0)," ")</f>
        <v> </v>
      </c>
      <c r="CL377" s="43"/>
      <c r="CM377" s="43"/>
      <c r="CN377" s="43"/>
      <c r="CO377" s="43"/>
      <c r="CP377" s="43"/>
      <c r="CQ377" s="43"/>
      <c r="CR377" s="43"/>
      <c r="CS377" s="43" t="b">
        <v>0</v>
      </c>
      <c r="CT377" s="43" t="b">
        <v>0</v>
      </c>
      <c r="CU377" s="43" t="b">
        <v>0</v>
      </c>
      <c r="CV377" s="43" t="b">
        <v>0</v>
      </c>
      <c r="CW377" s="43"/>
      <c r="CX377" s="43"/>
      <c r="CY377" s="43"/>
      <c r="CZ377" s="43"/>
      <c r="DA377" s="43"/>
      <c r="DB377" s="43"/>
      <c r="DC377" s="43"/>
      <c r="DD377" s="22" t="str">
        <f>IFERROR(VLOOKUP($C377,'Лист4'!$D:$AI,27,0)," ")</f>
        <v> </v>
      </c>
      <c r="DE377" s="22" t="str">
        <f>IFERROR(VLOOKUP($C377,'Лист4'!$D:$AI,28,0)," ")</f>
        <v> </v>
      </c>
      <c r="DF377" s="22" t="str">
        <f>IFERROR(VLOOKUP($C377,'Лист4'!$D:$AI,29,0)," ")</f>
        <v> </v>
      </c>
      <c r="DG377" s="22" t="str">
        <f t="shared" si="3"/>
        <v> </v>
      </c>
      <c r="DH377" s="22" t="str">
        <f>IFERROR(VLOOKUP($C377,'Лист4'!$D:$AI,32,0)," ")</f>
        <v> </v>
      </c>
      <c r="DI377" s="22"/>
      <c r="DJ377" s="22"/>
      <c r="DK377" s="22"/>
      <c r="DL377" s="22"/>
      <c r="DM377" s="22"/>
      <c r="DN377" s="22"/>
      <c r="DO377" s="22"/>
      <c r="DP377" s="22"/>
      <c r="DQ377" s="22"/>
      <c r="DR377" s="22"/>
      <c r="DS377" s="22"/>
      <c r="DT377" s="22"/>
      <c r="DU377" s="22"/>
      <c r="DV377" s="22"/>
      <c r="DW377" s="22"/>
      <c r="DX377" s="22"/>
      <c r="DY377" s="22"/>
      <c r="DZ377" s="22"/>
      <c r="EA377" s="22"/>
      <c r="EB377" s="22"/>
      <c r="EC377" s="22"/>
      <c r="ED377" s="22"/>
      <c r="EE377" s="22"/>
      <c r="EF377" s="22"/>
      <c r="EG377" s="22"/>
      <c r="EH377" s="22"/>
      <c r="EI377" s="22"/>
      <c r="EJ377" s="22"/>
      <c r="EK377" s="22"/>
      <c r="EL377" s="22"/>
      <c r="EM377" s="43"/>
      <c r="EN377" s="43"/>
      <c r="EO377" s="43"/>
      <c r="EP377" s="43"/>
      <c r="EQ377" s="43"/>
      <c r="ER377" s="43"/>
      <c r="ES377" s="43"/>
      <c r="ET377" s="43"/>
      <c r="EU377" s="43"/>
      <c r="EV377" s="43"/>
      <c r="EW377" s="43"/>
      <c r="EX377" s="43"/>
      <c r="EY377" s="43"/>
      <c r="EZ377" s="43"/>
      <c r="FA377" s="43"/>
      <c r="FB377" s="43"/>
      <c r="FC377" s="43"/>
    </row>
    <row r="378" ht="18.0" customHeight="1">
      <c r="A378" s="2"/>
      <c r="B378" s="22" t="s">
        <v>2659</v>
      </c>
      <c r="C378" s="22" t="s">
        <v>5460</v>
      </c>
      <c r="D378" s="22" t="str">
        <f>IFERROR(VLOOKUP(C378,'Лист4'!D:P,13,0)," ")</f>
        <v> </v>
      </c>
      <c r="E378" s="22" t="str">
        <f>IF(OR(ISERROR(VLOOKUP(C378,'Актуальность'!A:B,2,0)), VLOOKUP(C378,'Актуальность'!A:B,2,0)=""), "Актуальный", VLOOKUP(C378,'Актуальность'!A:B,2,0))</f>
        <v>Актуальный</v>
      </c>
      <c r="F378" s="43" t="str">
        <f>IFERROR(VLOOKUP(C378,'Актуальность'!A:C,3,0)," ")</f>
        <v/>
      </c>
      <c r="G378" s="43"/>
      <c r="H378" s="22" t="s">
        <v>401</v>
      </c>
      <c r="I378" s="22" t="s">
        <v>401</v>
      </c>
      <c r="J378" s="43"/>
      <c r="K378" s="43"/>
      <c r="L378" s="22" t="b">
        <f t="shared" ref="L378:R378" si="374">T378&lt;&gt;""</f>
        <v>1</v>
      </c>
      <c r="M378" s="22" t="b">
        <f t="shared" si="374"/>
        <v>0</v>
      </c>
      <c r="N378" s="22" t="b">
        <f t="shared" si="374"/>
        <v>0</v>
      </c>
      <c r="O378" s="22" t="b">
        <f t="shared" si="374"/>
        <v>1</v>
      </c>
      <c r="P378" s="22" t="b">
        <f t="shared" si="374"/>
        <v>0</v>
      </c>
      <c r="Q378" s="22" t="b">
        <f t="shared" si="374"/>
        <v>0</v>
      </c>
      <c r="R378" s="22" t="b">
        <f t="shared" si="374"/>
        <v>0</v>
      </c>
      <c r="S378" s="43"/>
      <c r="T378" s="43" t="str">
        <f>IFERROR(VLOOKUP( C378,'1С'!A:B,2,0)," ")</f>
        <v> </v>
      </c>
      <c r="U378" s="64"/>
      <c r="V378" s="22"/>
      <c r="W378" s="55" t="s">
        <v>5460</v>
      </c>
      <c r="X378" s="43"/>
      <c r="Y378" s="43"/>
      <c r="Z378" s="43"/>
      <c r="AA378" s="43"/>
      <c r="AB378" s="22"/>
      <c r="AC378" s="22"/>
      <c r="AD378" s="22">
        <v>1.01436838679E11</v>
      </c>
      <c r="AE378" s="22"/>
      <c r="AF378" s="22"/>
      <c r="AG378" s="43"/>
      <c r="AH378" s="43"/>
      <c r="AI378" s="43" t="str">
        <f>IFERROR(VLOOKUP(T378,'1С'!B:C,2,0)," ")</f>
        <v> </v>
      </c>
      <c r="AJ378" s="43"/>
      <c r="AK378" s="43"/>
      <c r="AL378" s="22" t="s">
        <v>5461</v>
      </c>
      <c r="AM378" s="43"/>
      <c r="AN378" s="43"/>
      <c r="AO378" s="43"/>
      <c r="AP378" s="43"/>
      <c r="AQ378" s="43"/>
      <c r="AR378" s="43"/>
      <c r="AS378" s="46" t="s">
        <v>5462</v>
      </c>
      <c r="AT378" s="43"/>
      <c r="AU378" s="43"/>
      <c r="AV378" s="43"/>
      <c r="AW378" s="43"/>
      <c r="AX378" s="22"/>
      <c r="AY378" s="22" t="str">
        <f>IFERROR(VLOOKUP(C378,'спецификация'!B:AA,25,0)," ")</f>
        <v>Витаминный комплекс</v>
      </c>
      <c r="AZ378" s="22" t="s">
        <v>372</v>
      </c>
      <c r="BA378" s="43"/>
      <c r="BB378" s="43"/>
      <c r="BC378" s="43"/>
      <c r="BD378" s="43"/>
      <c r="BE378" s="43"/>
      <c r="BF378" s="22" t="str">
        <f>IFERROR(VLOOKUP(C378,'спецификация'!B:D,3,0)," ")</f>
        <v>4627099781915, 4631136905394</v>
      </c>
      <c r="BG378" s="22">
        <f>IFERROR(VLOOKUP(C378,'спецификация'!B:AA,4,0)," ")</f>
        <v>2103909009</v>
      </c>
      <c r="BH378" s="22" t="str">
        <f>IFERROR(VLOOKUP(C378,'спецификация'!B:AA,5,0)," ")</f>
        <v>ЕАЭС N RU Д-RU.ЗЭ01.B. 00530/19 от 18.11.2019 до 17.11.2024</v>
      </c>
      <c r="BI378" s="22"/>
      <c r="BJ378" s="22" t="str">
        <f>IFERROR(VLOOKUP(C378,'спецификация'!B:AA,6,0)," ")</f>
        <v/>
      </c>
      <c r="BK378" s="43"/>
      <c r="BL378" s="43"/>
      <c r="BM378" s="22" t="str">
        <f>IFERROR(VLOOKUP(BF378,'спецификация'!D:H,5,0)," ")</f>
        <v>Состав синий ампулы: вода, регулятор кислотности лимонная кислота, растительные экстракты (плодов черники, плодов шиповника, листьев березы, андрографиса, фукуса), лютеин, витамин с, консервант калия сорбат, краситель.
Состав зеленой ампулы: вода, регулятор кислотности лимонная кислота, премикс витаминный (витамины: А, Д3, Е, С, В1, В2, В3, В5, В6, В9, В12, Н), консервант калия сорбат, краситель.
Состав оранжевой ампулы: вода, регулятор кислотности лимонная кислота, растительные экстракты (плодов черники, листьев крапивы, плодов черной смородины, гинкго билоба, колеус форсколии, дикого ямса), цинк, краситель. </v>
      </c>
      <c r="BN378" s="43"/>
      <c r="BO378" s="22" t="str">
        <f>IFERROR(VLOOKUP(C378,'спецификация'!B:AA,10,0)," ")</f>
        <v/>
      </c>
      <c r="BP378" s="43" t="str">
        <f>IFERROR(VLOOKUP(C378,'спецификация'!B:AA,11,0),"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78" s="22" t="str">
        <f>IFERROR(VLOOKUP(C378,'спецификация'!B:AA,12,0)," ")</f>
        <v>при температуре не выше 25°С. Допускается выпадение осадка растительного происхождения.
</v>
      </c>
      <c r="BR378" s="22"/>
      <c r="BS378" s="43"/>
      <c r="BT378" s="43"/>
      <c r="BU378" s="22"/>
      <c r="BV378" s="22" t="s">
        <v>401</v>
      </c>
      <c r="BW378" s="44" t="str">
        <f>IFERROR(VLOOKUP(C378,'спецификация'!B:AA,16,0)," ")</f>
        <v>https://docs.google.com/document/d/1vy0foGn1s9vERD3UtQuB0CBrmVAmgpIpwkKYHfysbo0/edit</v>
      </c>
      <c r="BX378" s="43"/>
      <c r="BY378" s="43"/>
      <c r="BZ378" s="45" t="str">
        <f>IFERROR(VLOOKUP(BF378,'спецификация'!D:Y,22,0)," ")</f>
        <v/>
      </c>
      <c r="CA378" s="43"/>
      <c r="CB378" s="43"/>
      <c r="CC378" s="43"/>
      <c r="CD378" s="43"/>
      <c r="CE378" s="43"/>
      <c r="CF378" s="43"/>
      <c r="CG378" s="49" t="str">
        <f>IFERROR(VLOOKUP(C378,CC!A:D,4,0)," ")</f>
        <v> </v>
      </c>
      <c r="CH378" s="22" t="str">
        <f>IFERROR(VLOOKUP(C378,'спецификация'!B:AA,19,0)," ")</f>
        <v>ООО «КАПИТАЛПРОДУКТ», 140060, Московская область, город Люберцы, рабочий поселок Октябрьский, улица 60 лет Победы, дом 5, этаж 1, помещение 1-8, нежилое помещение IV</v>
      </c>
      <c r="CI378" s="22"/>
      <c r="CJ378" s="43"/>
      <c r="CK378" s="22" t="str">
        <f>IFERROR(VLOOKUP(C378,CC!K:M,3,0)," ")</f>
        <v> </v>
      </c>
      <c r="CL378" s="43"/>
      <c r="CM378" s="43"/>
      <c r="CN378" s="43"/>
      <c r="CO378" s="43"/>
      <c r="CP378" s="43"/>
      <c r="CQ378" s="43"/>
      <c r="CR378" s="43"/>
      <c r="CS378" s="43" t="b">
        <v>0</v>
      </c>
      <c r="CT378" s="43" t="b">
        <v>0</v>
      </c>
      <c r="CU378" s="43" t="b">
        <v>0</v>
      </c>
      <c r="CV378" s="43" t="b">
        <v>0</v>
      </c>
      <c r="CW378" s="43"/>
      <c r="CX378" s="43"/>
      <c r="CY378" s="43"/>
      <c r="CZ378" s="43"/>
      <c r="DA378" s="43"/>
      <c r="DB378" s="43"/>
      <c r="DC378" s="43"/>
      <c r="DD378" s="22" t="str">
        <f>IFERROR(VLOOKUP($C378,'Лист4'!$D:$AI,27,0)," ")</f>
        <v> </v>
      </c>
      <c r="DE378" s="22" t="str">
        <f>IFERROR(VLOOKUP($C378,'Лист4'!$D:$AI,28,0)," ")</f>
        <v> </v>
      </c>
      <c r="DF378" s="22" t="str">
        <f>IFERROR(VLOOKUP($C378,'Лист4'!$D:$AI,29,0)," ")</f>
        <v> </v>
      </c>
      <c r="DG378" s="22" t="str">
        <f t="shared" si="3"/>
        <v> </v>
      </c>
      <c r="DH378" s="22" t="str">
        <f>IFERROR(VLOOKUP($C378,'Лист4'!$D:$AI,32,0)," ")</f>
        <v> </v>
      </c>
      <c r="DI378" s="22"/>
      <c r="DJ378" s="22"/>
      <c r="DK378" s="22"/>
      <c r="DL378" s="22"/>
      <c r="DM378" s="22"/>
      <c r="DN378" s="22"/>
      <c r="DO378" s="22"/>
      <c r="DP378" s="22"/>
      <c r="DQ378" s="22"/>
      <c r="DR378" s="22"/>
      <c r="DS378" s="22"/>
      <c r="DT378" s="22"/>
      <c r="DU378" s="22"/>
      <c r="DV378" s="22"/>
      <c r="DW378" s="22"/>
      <c r="DX378" s="22"/>
      <c r="DY378" s="22"/>
      <c r="DZ378" s="22"/>
      <c r="EA378" s="22"/>
      <c r="EB378" s="22"/>
      <c r="EC378" s="22"/>
      <c r="ED378" s="22"/>
      <c r="EE378" s="22"/>
      <c r="EF378" s="22"/>
      <c r="EG378" s="22"/>
      <c r="EH378" s="22"/>
      <c r="EI378" s="22"/>
      <c r="EJ378" s="22"/>
      <c r="EK378" s="22"/>
      <c r="EL378" s="22"/>
      <c r="EM378" s="43"/>
      <c r="EN378" s="43"/>
      <c r="EO378" s="43"/>
      <c r="EP378" s="43"/>
      <c r="EQ378" s="43"/>
      <c r="ER378" s="43"/>
      <c r="ES378" s="43"/>
      <c r="ET378" s="43"/>
      <c r="EU378" s="43"/>
      <c r="EV378" s="43"/>
      <c r="EW378" s="43"/>
      <c r="EX378" s="43"/>
      <c r="EY378" s="43"/>
      <c r="EZ378" s="43"/>
      <c r="FA378" s="43"/>
      <c r="FB378" s="43"/>
      <c r="FC378" s="43"/>
    </row>
    <row r="379" ht="18.0" customHeight="1">
      <c r="A379" s="2"/>
      <c r="B379" s="22" t="s">
        <v>2659</v>
      </c>
      <c r="C379" s="22" t="s">
        <v>5467</v>
      </c>
      <c r="D379" s="22" t="str">
        <f>IFERROR(VLOOKUP(C379,'Лист4'!D:P,13,0)," ")</f>
        <v> </v>
      </c>
      <c r="E379" s="22" t="str">
        <f>IF(OR(ISERROR(VLOOKUP(C379,'Актуальность'!A:B,2,0)), VLOOKUP(C379,'Актуальность'!A:B,2,0)=""), "Актуальный", VLOOKUP(C379,'Актуальность'!A:B,2,0))</f>
        <v>Вывод</v>
      </c>
      <c r="F379" s="43" t="str">
        <f>IFERROR(VLOOKUP(C379,'Актуальность'!A:C,3,0)," ")</f>
        <v>Старый товар</v>
      </c>
      <c r="G379" s="43"/>
      <c r="H379" s="22" t="s">
        <v>401</v>
      </c>
      <c r="I379" s="22" t="s">
        <v>401</v>
      </c>
      <c r="J379" s="43"/>
      <c r="K379" s="43"/>
      <c r="L379" s="22" t="b">
        <f t="shared" ref="L379:R379" si="375">T379&lt;&gt;""</f>
        <v>1</v>
      </c>
      <c r="M379" s="22" t="b">
        <f t="shared" si="375"/>
        <v>0</v>
      </c>
      <c r="N379" s="22" t="b">
        <f t="shared" si="375"/>
        <v>0</v>
      </c>
      <c r="O379" s="22" t="b">
        <f t="shared" si="375"/>
        <v>1</v>
      </c>
      <c r="P379" s="22" t="b">
        <f t="shared" si="375"/>
        <v>0</v>
      </c>
      <c r="Q379" s="22" t="b">
        <f t="shared" si="375"/>
        <v>0</v>
      </c>
      <c r="R379" s="22" t="b">
        <f t="shared" si="375"/>
        <v>0</v>
      </c>
      <c r="S379" s="43"/>
      <c r="T379" s="43" t="str">
        <f>IFERROR(VLOOKUP( C379,'1С'!A:B,2,0)," ")</f>
        <v> </v>
      </c>
      <c r="U379" s="64"/>
      <c r="V379" s="22"/>
      <c r="W379" s="55" t="s">
        <v>5467</v>
      </c>
      <c r="X379" s="43"/>
      <c r="Y379" s="43"/>
      <c r="Z379" s="43"/>
      <c r="AA379" s="43"/>
      <c r="AB379" s="22"/>
      <c r="AC379" s="22"/>
      <c r="AD379" s="22">
        <v>1.03745682453E11</v>
      </c>
      <c r="AE379" s="22"/>
      <c r="AF379" s="22"/>
      <c r="AG379" s="43"/>
      <c r="AH379" s="43"/>
      <c r="AI379" s="43" t="str">
        <f>IFERROR(VLOOKUP(T379,'1С'!B:C,2,0)," ")</f>
        <v> </v>
      </c>
      <c r="AJ379" s="43"/>
      <c r="AK379" s="43"/>
      <c r="AL379" s="22" t="s">
        <v>5468</v>
      </c>
      <c r="AM379" s="43"/>
      <c r="AN379" s="43"/>
      <c r="AO379" s="43"/>
      <c r="AP379" s="43"/>
      <c r="AQ379" s="43"/>
      <c r="AR379" s="43"/>
      <c r="AS379" s="46" t="s">
        <v>4622</v>
      </c>
      <c r="AT379" s="43"/>
      <c r="AU379" s="43"/>
      <c r="AV379" s="43"/>
      <c r="AW379" s="43"/>
      <c r="AX379" s="22"/>
      <c r="AY379" s="22" t="str">
        <f>IFERROR(VLOOKUP(C379,'спецификация'!B:AA,25,0)," ")</f>
        <v>Средство для удаления кутикулы</v>
      </c>
      <c r="AZ379" s="22" t="s">
        <v>1643</v>
      </c>
      <c r="BA379" s="43"/>
      <c r="BB379" s="43"/>
      <c r="BC379" s="43"/>
      <c r="BD379" s="43"/>
      <c r="BE379" s="43"/>
      <c r="BF379" s="22">
        <f>IFERROR(VLOOKUP(C379,'спецификация'!B:D,3,0)," ")</f>
        <v>4607050974747</v>
      </c>
      <c r="BG379" s="22" t="str">
        <f>IFERROR(VLOOKUP(C379,'спецификация'!B:AA,4,0)," ")</f>
        <v/>
      </c>
      <c r="BH379" s="22" t="str">
        <f>IFERROR(VLOOKUP(C379,'спецификация'!B:AA,5,0)," ")</f>
        <v/>
      </c>
      <c r="BI379" s="22"/>
      <c r="BJ379" s="22" t="str">
        <f>IFERROR(VLOOKUP(C379,'спецификация'!B:AA,6,0)," ")</f>
        <v>нет</v>
      </c>
      <c r="BK379" s="43"/>
      <c r="BL379" s="43"/>
      <c r="BM379" s="22" t="str">
        <f>IFERROR(VLOOKUP(BF379,'спецификация'!D:H,5,0)," ")</f>
        <v>вода деионизированная, гидроксид натрия, глицерин, Глицерет-8, лавандовое масло, экстракт листьев монарды дидимы, гидрогенизированное касторовое масло PEG-40, экстракт сока листьев Алоэ барбадосского, ксантановая камедь, превентол D7, парфюмерная отдушка.</v>
      </c>
      <c r="BN379" s="43"/>
      <c r="BO379" s="22" t="str">
        <f>IFERROR(VLOOKUP(C379,'спецификация'!B:AA,10,0)," ")</f>
        <v>•        Нанести гель на кутикулу.
•        Оставить на 30-60 секунд, но не более 2 минут.
•        Удалить размягченную кутикулу с помощью апельсиновой палочки или пушера.
•        Тщательно смыть средство теплой водой.
</v>
      </c>
      <c r="BP379" s="43" t="str">
        <f>IFERROR(VLOOKUP(C379,'спецификация'!B:AA,11,0)," ")</f>
        <v>Не применять при наличии открытых ранок, кровотечений на коже! Хранить в недоступном для детей месте, избегать попадания в глаза и на слизистые оболочки. При попадании – промыть большим количеством воды.</v>
      </c>
      <c r="BQ379" s="22" t="str">
        <f>IFERROR(VLOOKUP(C379,'спецификация'!B:AA,12,0)," ")</f>
        <v>Хранить при температуре от +5 до +25 °C, избегать попадания прямых солнечных лучей.</v>
      </c>
      <c r="BR379" s="22"/>
      <c r="BS379" s="43"/>
      <c r="BT379" s="43"/>
      <c r="BU379" s="22"/>
      <c r="BV379" s="22" t="s">
        <v>401</v>
      </c>
      <c r="BW379" s="44" t="str">
        <f>IFERROR(VLOOKUP(C379,'спецификация'!B:AA,16,0)," ")</f>
        <v>https://docs.google.com/document/d/1f64VlBJilOy3vMwZtW6ifrCU0Q7kK45I/edit?usp=drive_web&amp;ouid=104241417680089502627&amp;rtpof=true</v>
      </c>
      <c r="BX379" s="43"/>
      <c r="BY379" s="43"/>
      <c r="BZ379" s="45" t="str">
        <f>IFERROR(VLOOKUP(BF379,'спецификация'!D:Y,22,0)," ")</f>
        <v/>
      </c>
      <c r="CA379" s="43"/>
      <c r="CB379" s="43"/>
      <c r="CC379" s="43"/>
      <c r="CD379" s="43"/>
      <c r="CE379" s="43"/>
      <c r="CF379" s="43"/>
      <c r="CG379" s="49">
        <f>IFERROR(VLOOKUP(C379,CC!A:D,4,0)," ")</f>
        <v>49.5</v>
      </c>
      <c r="CH379" s="22" t="str">
        <f>IFERROR(VLOOKUP(C379,'спецификация'!B:AA,19,0)," ")</f>
        <v>ООО "СКЭМ"</v>
      </c>
      <c r="CI379" s="22"/>
      <c r="CJ379" s="43"/>
      <c r="CK379" s="22">
        <f>IFERROR(VLOOKUP(C379,CC!K:M,3,0)," ")</f>
        <v>30</v>
      </c>
      <c r="CL379" s="43"/>
      <c r="CM379" s="43"/>
      <c r="CN379" s="43"/>
      <c r="CO379" s="43"/>
      <c r="CP379" s="43"/>
      <c r="CQ379" s="43"/>
      <c r="CR379" s="43"/>
      <c r="CS379" s="43" t="b">
        <v>0</v>
      </c>
      <c r="CT379" s="43" t="b">
        <v>0</v>
      </c>
      <c r="CU379" s="43" t="b">
        <v>0</v>
      </c>
      <c r="CV379" s="43" t="b">
        <v>0</v>
      </c>
      <c r="CW379" s="43"/>
      <c r="CX379" s="43"/>
      <c r="CY379" s="43"/>
      <c r="CZ379" s="43"/>
      <c r="DA379" s="43"/>
      <c r="DB379" s="43"/>
      <c r="DC379" s="43"/>
      <c r="DD379" s="22" t="str">
        <f>IFERROR(VLOOKUP($C379,'Лист4'!$D:$AI,27,0)," ")</f>
        <v> </v>
      </c>
      <c r="DE379" s="22" t="str">
        <f>IFERROR(VLOOKUP($C379,'Лист4'!$D:$AI,28,0)," ")</f>
        <v> </v>
      </c>
      <c r="DF379" s="22" t="str">
        <f>IFERROR(VLOOKUP($C379,'Лист4'!$D:$AI,29,0)," ")</f>
        <v> </v>
      </c>
      <c r="DG379" s="22" t="str">
        <f t="shared" si="3"/>
        <v> </v>
      </c>
      <c r="DH379" s="22" t="str">
        <f>IFERROR(VLOOKUP($C379,'Лист4'!$D:$AI,32,0)," ")</f>
        <v> </v>
      </c>
      <c r="DI379" s="22"/>
      <c r="DJ379" s="22"/>
      <c r="DK379" s="22"/>
      <c r="DL379" s="22"/>
      <c r="DM379" s="22"/>
      <c r="DN379" s="22"/>
      <c r="DO379" s="22"/>
      <c r="DP379" s="22"/>
      <c r="DQ379" s="22"/>
      <c r="DR379" s="22"/>
      <c r="DS379" s="22"/>
      <c r="DT379" s="22"/>
      <c r="DU379" s="22"/>
      <c r="DV379" s="22"/>
      <c r="DW379" s="22"/>
      <c r="DX379" s="22"/>
      <c r="DY379" s="22"/>
      <c r="DZ379" s="22"/>
      <c r="EA379" s="22"/>
      <c r="EB379" s="22"/>
      <c r="EC379" s="22"/>
      <c r="ED379" s="22"/>
      <c r="EE379" s="22"/>
      <c r="EF379" s="22"/>
      <c r="EG379" s="22"/>
      <c r="EH379" s="22"/>
      <c r="EI379" s="22"/>
      <c r="EJ379" s="22"/>
      <c r="EK379" s="22"/>
      <c r="EL379" s="22"/>
      <c r="EM379" s="43"/>
      <c r="EN379" s="43"/>
      <c r="EO379" s="43"/>
      <c r="EP379" s="43"/>
      <c r="EQ379" s="43"/>
      <c r="ER379" s="43"/>
      <c r="ES379" s="43"/>
      <c r="ET379" s="43"/>
      <c r="EU379" s="43"/>
      <c r="EV379" s="43"/>
      <c r="EW379" s="43"/>
      <c r="EX379" s="43"/>
      <c r="EY379" s="43"/>
      <c r="EZ379" s="43"/>
      <c r="FA379" s="43"/>
      <c r="FB379" s="43"/>
      <c r="FC379" s="43"/>
    </row>
    <row r="380" ht="18.0" customHeight="1">
      <c r="A380" s="2"/>
      <c r="B380" s="22" t="s">
        <v>2659</v>
      </c>
      <c r="C380" s="22" t="s">
        <v>5470</v>
      </c>
      <c r="D380" s="22" t="str">
        <f>IFERROR(VLOOKUP(C380,'Лист4'!D:P,13,0)," ")</f>
        <v> </v>
      </c>
      <c r="E380" s="22" t="str">
        <f>IF(OR(ISERROR(VLOOKUP(C380,'Актуальность'!A:B,2,0)), VLOOKUP(C380,'Актуальность'!A:B,2,0)=""), "Актуальный", VLOOKUP(C380,'Актуальность'!A:B,2,0))</f>
        <v>Актуальный</v>
      </c>
      <c r="F380" s="43" t="str">
        <f>IFERROR(VLOOKUP(C380,'Актуальность'!A:C,3,0)," ")</f>
        <v/>
      </c>
      <c r="G380" s="43"/>
      <c r="H380" s="22" t="s">
        <v>401</v>
      </c>
      <c r="I380" s="22" t="s">
        <v>401</v>
      </c>
      <c r="J380" s="43"/>
      <c r="K380" s="43"/>
      <c r="L380" s="22" t="b">
        <f t="shared" ref="L380:R380" si="376">T380&lt;&gt;""</f>
        <v>1</v>
      </c>
      <c r="M380" s="22" t="b">
        <f t="shared" si="376"/>
        <v>0</v>
      </c>
      <c r="N380" s="22" t="b">
        <f t="shared" si="376"/>
        <v>0</v>
      </c>
      <c r="O380" s="22" t="b">
        <f t="shared" si="376"/>
        <v>1</v>
      </c>
      <c r="P380" s="22" t="b">
        <f t="shared" si="376"/>
        <v>0</v>
      </c>
      <c r="Q380" s="22" t="b">
        <f t="shared" si="376"/>
        <v>0</v>
      </c>
      <c r="R380" s="22" t="b">
        <f t="shared" si="376"/>
        <v>0</v>
      </c>
      <c r="S380" s="43"/>
      <c r="T380" s="43" t="str">
        <f>IFERROR(VLOOKUP( C380,'1С'!A:B,2,0)," ")</f>
        <v> </v>
      </c>
      <c r="U380" s="64"/>
      <c r="V380" s="22"/>
      <c r="W380" s="55" t="s">
        <v>5470</v>
      </c>
      <c r="X380" s="43"/>
      <c r="Y380" s="43"/>
      <c r="Z380" s="43"/>
      <c r="AA380" s="43"/>
      <c r="AB380" s="22"/>
      <c r="AC380" s="22"/>
      <c r="AD380" s="22">
        <v>1.0186400175E11</v>
      </c>
      <c r="AE380" s="22"/>
      <c r="AF380" s="22"/>
      <c r="AG380" s="43"/>
      <c r="AH380" s="43"/>
      <c r="AI380" s="43" t="str">
        <f>IFERROR(VLOOKUP(T380,'1С'!B:C,2,0)," ")</f>
        <v> </v>
      </c>
      <c r="AJ380" s="43"/>
      <c r="AK380" s="43"/>
      <c r="AL380" s="22" t="s">
        <v>5471</v>
      </c>
      <c r="AM380" s="43"/>
      <c r="AN380" s="43"/>
      <c r="AO380" s="43"/>
      <c r="AP380" s="43"/>
      <c r="AQ380" s="43"/>
      <c r="AR380" s="43"/>
      <c r="AS380" s="46" t="s">
        <v>5472</v>
      </c>
      <c r="AT380" s="43"/>
      <c r="AU380" s="43"/>
      <c r="AV380" s="43"/>
      <c r="AW380" s="43"/>
      <c r="AX380" s="22"/>
      <c r="AY380" s="22" t="str">
        <f>IFERROR(VLOOKUP(C380,'спецификация'!B:AA,25,0)," ")</f>
        <v>Лечебное средство</v>
      </c>
      <c r="AZ380" s="22" t="s">
        <v>2672</v>
      </c>
      <c r="BA380" s="43"/>
      <c r="BB380" s="43"/>
      <c r="BC380" s="43"/>
      <c r="BD380" s="43"/>
      <c r="BE380" s="43"/>
      <c r="BF380" s="22">
        <f>IFERROR(VLOOKUP(C380,'спецификация'!B:D,3,0)," ")</f>
        <v>4631151878550</v>
      </c>
      <c r="BG380" s="22">
        <f>IFERROR(VLOOKUP(C380,'спецификация'!B:AA,4,0)," ")</f>
        <v>3304990000</v>
      </c>
      <c r="BH380" s="22" t="str">
        <f>IFERROR(VLOOKUP(C380,'спецификация'!B:AA,5,0)," ")</f>
        <v>ЕАЭС N RU Д-RU.РА01.В.22855/21 от 15.06.2021 по 08.06.2026</v>
      </c>
      <c r="BI380" s="22"/>
      <c r="BJ380" s="22" t="str">
        <f>IFERROR(VLOOKUP(C380,'спецификация'!B:AA,6,0)," ")</f>
        <v/>
      </c>
      <c r="BK380" s="43"/>
      <c r="BL380" s="43"/>
      <c r="BM380" s="22" t="str">
        <f>IFERROR(VLOOKUP(BF380,'спецификация'!D:H,5,0)," ")</f>
        <v>яд пчелы, яд скорпиона, яд кобры, яд муравья, экстракт коры дуба, коллаген, экстракт конского каштана, прополис, экстракт улитки, экстракт коры ивы, экстракт багульника, экстракт хмеля, экстракт корня стальника, экстракт дьявольского когтя, хондроитин, глюкозамин, экстракт лютика жёлтого, экстракт адамова корня, метилникотинат, экстракт маклюры, эфирное масло эвкалипта.</v>
      </c>
      <c r="BN380" s="43"/>
      <c r="BO380" s="22" t="str">
        <f>IFERROR(VLOOKUP(C380,'спецификация'!B:AA,10,0)," ")</f>
        <v/>
      </c>
      <c r="BP380" s="43" t="str">
        <f>IFERROR(VLOOKUP(C380,'спецификация'!B:AA,11,0),"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80" s="22" t="str">
        <f>IFERROR(VLOOKUP(C380,'спецификация'!B:AA,12,0)," ")</f>
        <v>хранить при температуре до 25°C, избегая попадания прямых солнечных лучей.
</v>
      </c>
      <c r="BR380" s="22"/>
      <c r="BS380" s="43"/>
      <c r="BT380" s="43"/>
      <c r="BU380" s="22"/>
      <c r="BV380" s="22" t="s">
        <v>401</v>
      </c>
      <c r="BW380" s="44" t="str">
        <f>IFERROR(VLOOKUP(C380,'спецификация'!B:AA,16,0)," ")</f>
        <v>https://docs.google.com/document/d/1_zk9KuYPLukUxVNe67r7KqGVhAF5LBd40DishYwhKtw/edit</v>
      </c>
      <c r="BX380" s="43"/>
      <c r="BY380" s="43"/>
      <c r="BZ380" s="45" t="str">
        <f>IFERROR(VLOOKUP(BF380,'спецификация'!D:Y,22,0)," ")</f>
        <v/>
      </c>
      <c r="CA380" s="43"/>
      <c r="CB380" s="43"/>
      <c r="CC380" s="43"/>
      <c r="CD380" s="43"/>
      <c r="CE380" s="43"/>
      <c r="CF380" s="43"/>
      <c r="CG380" s="49" t="str">
        <f>IFERROR(VLOOKUP(C380,CC!A:D,4,0)," ")</f>
        <v> </v>
      </c>
      <c r="CH380" s="22" t="str">
        <f>IFERROR(VLOOKUP(C380,'спецификация'!B:AA,19,0)," ")</f>
        <v/>
      </c>
      <c r="CI380" s="22"/>
      <c r="CJ380" s="43"/>
      <c r="CK380" s="22">
        <f>IFERROR(VLOOKUP(C380,CC!K:M,3,0)," ")</f>
        <v>45</v>
      </c>
      <c r="CL380" s="43"/>
      <c r="CM380" s="43"/>
      <c r="CN380" s="43"/>
      <c r="CO380" s="43"/>
      <c r="CP380" s="43"/>
      <c r="CQ380" s="43"/>
      <c r="CR380" s="43"/>
      <c r="CS380" s="43" t="b">
        <v>0</v>
      </c>
      <c r="CT380" s="43" t="b">
        <v>0</v>
      </c>
      <c r="CU380" s="43" t="b">
        <v>0</v>
      </c>
      <c r="CV380" s="43" t="b">
        <v>0</v>
      </c>
      <c r="CW380" s="43"/>
      <c r="CX380" s="43"/>
      <c r="CY380" s="43"/>
      <c r="CZ380" s="43"/>
      <c r="DA380" s="43"/>
      <c r="DB380" s="43"/>
      <c r="DC380" s="43"/>
      <c r="DD380" s="22" t="str">
        <f>IFERROR(VLOOKUP($C380,'Лист4'!$D:$AI,27,0)," ")</f>
        <v> </v>
      </c>
      <c r="DE380" s="22" t="str">
        <f>IFERROR(VLOOKUP($C380,'Лист4'!$D:$AI,28,0)," ")</f>
        <v> </v>
      </c>
      <c r="DF380" s="22" t="str">
        <f>IFERROR(VLOOKUP($C380,'Лист4'!$D:$AI,29,0)," ")</f>
        <v> </v>
      </c>
      <c r="DG380" s="22" t="str">
        <f t="shared" si="3"/>
        <v> </v>
      </c>
      <c r="DH380" s="22" t="str">
        <f>IFERROR(VLOOKUP($C380,'Лист4'!$D:$AI,32,0)," ")</f>
        <v> </v>
      </c>
      <c r="DI380" s="22"/>
      <c r="DJ380" s="22"/>
      <c r="DK380" s="22"/>
      <c r="DL380" s="22"/>
      <c r="DM380" s="22"/>
      <c r="DN380" s="22"/>
      <c r="DO380" s="22"/>
      <c r="DP380" s="22"/>
      <c r="DQ380" s="22"/>
      <c r="DR380" s="22"/>
      <c r="DS380" s="22"/>
      <c r="DT380" s="22"/>
      <c r="DU380" s="22"/>
      <c r="DV380" s="22"/>
      <c r="DW380" s="22"/>
      <c r="DX380" s="22"/>
      <c r="DY380" s="22"/>
      <c r="DZ380" s="22"/>
      <c r="EA380" s="22"/>
      <c r="EB380" s="22"/>
      <c r="EC380" s="22"/>
      <c r="ED380" s="22"/>
      <c r="EE380" s="22"/>
      <c r="EF380" s="22"/>
      <c r="EG380" s="22"/>
      <c r="EH380" s="22"/>
      <c r="EI380" s="22"/>
      <c r="EJ380" s="22"/>
      <c r="EK380" s="22"/>
      <c r="EL380" s="22"/>
      <c r="EM380" s="43"/>
      <c r="EN380" s="43"/>
      <c r="EO380" s="43"/>
      <c r="EP380" s="43"/>
      <c r="EQ380" s="43"/>
      <c r="ER380" s="43"/>
      <c r="ES380" s="43"/>
      <c r="ET380" s="43"/>
      <c r="EU380" s="43"/>
      <c r="EV380" s="43"/>
      <c r="EW380" s="43"/>
      <c r="EX380" s="43"/>
      <c r="EY380" s="43"/>
      <c r="EZ380" s="43"/>
      <c r="FA380" s="43"/>
      <c r="FB380" s="43"/>
      <c r="FC380" s="43"/>
    </row>
    <row r="381" ht="18.0" customHeight="1">
      <c r="A381" s="2"/>
      <c r="B381" s="22" t="s">
        <v>2659</v>
      </c>
      <c r="C381" s="22" t="s">
        <v>5474</v>
      </c>
      <c r="D381" s="22" t="str">
        <f>IFERROR(VLOOKUP(C381,'Лист4'!D:P,13,0)," ")</f>
        <v> </v>
      </c>
      <c r="E381" s="22" t="str">
        <f>IF(OR(ISERROR(VLOOKUP(C381,'Актуальность'!A:B,2,0)), VLOOKUP(C381,'Актуальность'!A:B,2,0)=""), "Актуальный", VLOOKUP(C381,'Актуальность'!A:B,2,0))</f>
        <v>Актуальный</v>
      </c>
      <c r="F381" s="43" t="str">
        <f>IFERROR(VLOOKUP(C381,'Актуальность'!A:C,3,0)," ")</f>
        <v/>
      </c>
      <c r="G381" s="43"/>
      <c r="H381" s="22" t="s">
        <v>401</v>
      </c>
      <c r="I381" s="22" t="s">
        <v>401</v>
      </c>
      <c r="J381" s="43"/>
      <c r="K381" s="43"/>
      <c r="L381" s="22" t="b">
        <f t="shared" ref="L381:R381" si="377">T381&lt;&gt;""</f>
        <v>1</v>
      </c>
      <c r="M381" s="22" t="b">
        <f t="shared" si="377"/>
        <v>0</v>
      </c>
      <c r="N381" s="22" t="b">
        <f t="shared" si="377"/>
        <v>0</v>
      </c>
      <c r="O381" s="22" t="b">
        <f t="shared" si="377"/>
        <v>1</v>
      </c>
      <c r="P381" s="22" t="b">
        <f t="shared" si="377"/>
        <v>0</v>
      </c>
      <c r="Q381" s="22" t="b">
        <f t="shared" si="377"/>
        <v>0</v>
      </c>
      <c r="R381" s="22" t="b">
        <f t="shared" si="377"/>
        <v>0</v>
      </c>
      <c r="S381" s="43"/>
      <c r="T381" s="43" t="str">
        <f>IFERROR(VLOOKUP( C381,'1С'!A:B,2,0)," ")</f>
        <v> </v>
      </c>
      <c r="U381" s="22"/>
      <c r="V381" s="22"/>
      <c r="W381" s="55" t="s">
        <v>5474</v>
      </c>
      <c r="X381" s="43"/>
      <c r="Y381" s="43"/>
      <c r="Z381" s="43"/>
      <c r="AA381" s="43"/>
      <c r="AB381" s="22"/>
      <c r="AC381" s="22"/>
      <c r="AD381" s="22">
        <v>1.03543849805E11</v>
      </c>
      <c r="AE381" s="22"/>
      <c r="AF381" s="22"/>
      <c r="AG381" s="43"/>
      <c r="AH381" s="43"/>
      <c r="AI381" s="43" t="str">
        <f>IFERROR(VLOOKUP(T381,'1С'!B:C,2,0)," ")</f>
        <v> </v>
      </c>
      <c r="AJ381" s="43"/>
      <c r="AK381" s="43"/>
      <c r="AL381" s="22" t="s">
        <v>5475</v>
      </c>
      <c r="AM381" s="43"/>
      <c r="AN381" s="43"/>
      <c r="AO381" s="43"/>
      <c r="AP381" s="43"/>
      <c r="AQ381" s="43"/>
      <c r="AR381" s="43"/>
      <c r="AS381" s="46" t="s">
        <v>5476</v>
      </c>
      <c r="AT381" s="43"/>
      <c r="AU381" s="43"/>
      <c r="AV381" s="43"/>
      <c r="AW381" s="43"/>
      <c r="AX381" s="22"/>
      <c r="AY381" s="22" t="str">
        <f>IFERROR(VLOOKUP(C381,'спецификация'!B:AA,25,0)," ")</f>
        <v>Лечебное средство</v>
      </c>
      <c r="AZ381" s="22" t="s">
        <v>4360</v>
      </c>
      <c r="BA381" s="43"/>
      <c r="BB381" s="43"/>
      <c r="BC381" s="43"/>
      <c r="BD381" s="43"/>
      <c r="BE381" s="43"/>
      <c r="BF381" s="22">
        <f>IFERROR(VLOOKUP(C381,'спецификация'!B:D,3,0)," ")</f>
        <v>4631137125906</v>
      </c>
      <c r="BG381" s="22">
        <f>IFERROR(VLOOKUP(C381,'спецификация'!B:AA,4,0)," ")</f>
        <v>3304990000</v>
      </c>
      <c r="BH381" s="22" t="str">
        <f>IFERROR(VLOOKUP(C381,'спецификация'!B:AA,5,0)," ")</f>
        <v>ЕАЭС N RU Д-RU.РА09.В.60972/24 от 18.10.2024 действует до 17.10.2029</v>
      </c>
      <c r="BI381" s="22"/>
      <c r="BJ381" s="22" t="str">
        <f>IFERROR(VLOOKUP(C381,'спецификация'!B:AA,6,0)," ")</f>
        <v/>
      </c>
      <c r="BK381" s="43"/>
      <c r="BL381" s="43"/>
      <c r="BM381" s="22" t="str">
        <f>IFERROR(VLOOKUP(BF381,'спецификация'!D:H,5,0)," ")</f>
        <v>экстракт хмеля, экстракт крапивы, экстракт лабазника, экстракт манжетки, экстракт мать-и-мачехи, экстракт миндаля, экстракт адамова корня, экстракт полыни, экстракт чернобыльника, экстракт листа березы, экстракт ореха черного, экстракт ромашки, экстракт календулы, экстракт фиалки трехцветной, экстракт хвоща, экстракт тысячелистника, экстракт коры дуба, экстракт чеснока, экстракт имбиря, экстракт инжира, экстракт облепихи, экстракт клюквы, экстракт мускатного ореха, экстракт коры ивы, экстракт каштана конского, экстракт калины, прополис, экстракт лимона, экстракт маклюры, экстракт астрагала, экстракт исландского мха, экстракт корня багульника, экстракт паслена, экстракт грецкого ореха, экстракт ревеня, экстракт бессмертника, экстракт лопуха, экстракт мокрицы, вода, консервант, карбомер</v>
      </c>
      <c r="BN381" s="43"/>
      <c r="BO381" s="22" t="str">
        <f>IFERROR(VLOOKUP(C381,'спецификация'!B:AA,10,0)," ")</f>
        <v/>
      </c>
      <c r="BP381" s="43" t="str">
        <f>IFERROR(VLOOKUP(C381,'спецификация'!B:AA,11,0)," ")</f>
        <v>индивидуальная непереносимость одного или нескольких компонентов продукта. Не рекомендуется применять детям, беременным и кормящим матерям.</v>
      </c>
      <c r="BQ381" s="22" t="str">
        <f>IFERROR(VLOOKUP(C381,'спецификация'!B:AA,12,0)," ")</f>
        <v>хранить при температуре до 25 °C, избегая попадания прямых солнечных лучей. 
</v>
      </c>
      <c r="BR381" s="22"/>
      <c r="BS381" s="43"/>
      <c r="BT381" s="43"/>
      <c r="BU381" s="22"/>
      <c r="BV381" s="22" t="s">
        <v>401</v>
      </c>
      <c r="BW381" s="44" t="str">
        <f>IFERROR(VLOOKUP(C381,'спецификация'!B:AA,16,0)," ")</f>
        <v>https://docs.google.com/document/d/0B7-1wy6SJH2oWmNnTU9mdGgwTjA/edit?rtpof=true&amp;resourcekey=0-anWRMH8mm47pdMr2XxYS9Q</v>
      </c>
      <c r="BX381" s="43"/>
      <c r="BY381" s="43"/>
      <c r="BZ381" s="45" t="str">
        <f>IFERROR(VLOOKUP(BF381,'спецификация'!D:Y,22,0)," ")</f>
        <v/>
      </c>
      <c r="CA381" s="43"/>
      <c r="CB381" s="43"/>
      <c r="CC381" s="43"/>
      <c r="CD381" s="43"/>
      <c r="CE381" s="43"/>
      <c r="CF381" s="43"/>
      <c r="CG381" s="49" t="str">
        <f>IFERROR(VLOOKUP(C381,CC!A:D,4,0)," ")</f>
        <v> </v>
      </c>
      <c r="CH381" s="22" t="str">
        <f>IFERROR(VLOOKUP(C381,'спецификация'!B:AA,19,0)," ")</f>
        <v>ООО «Восток Плюс», 107113, г. Москва, Сокольническая пл., дом 4а, этаж 3, пом.IV, комн.11</v>
      </c>
      <c r="CI381" s="22"/>
      <c r="CJ381" s="43"/>
      <c r="CK381" s="22" t="str">
        <f>IFERROR(VLOOKUP(C381,CC!K:M,3,0)," ")</f>
        <v> </v>
      </c>
      <c r="CL381" s="43"/>
      <c r="CM381" s="43"/>
      <c r="CN381" s="43"/>
      <c r="CO381" s="43"/>
      <c r="CP381" s="43"/>
      <c r="CQ381" s="43"/>
      <c r="CR381" s="43"/>
      <c r="CS381" s="43" t="b">
        <v>0</v>
      </c>
      <c r="CT381" s="43" t="b">
        <v>0</v>
      </c>
      <c r="CU381" s="43" t="b">
        <v>0</v>
      </c>
      <c r="CV381" s="43" t="b">
        <v>0</v>
      </c>
      <c r="CW381" s="43"/>
      <c r="CX381" s="43"/>
      <c r="CY381" s="43"/>
      <c r="CZ381" s="43"/>
      <c r="DA381" s="43"/>
      <c r="DB381" s="43"/>
      <c r="DC381" s="43"/>
      <c r="DD381" s="22" t="str">
        <f>IFERROR(VLOOKUP($C381,'Лист4'!$D:$AI,27,0)," ")</f>
        <v> </v>
      </c>
      <c r="DE381" s="22" t="str">
        <f>IFERROR(VLOOKUP($C381,'Лист4'!$D:$AI,28,0)," ")</f>
        <v> </v>
      </c>
      <c r="DF381" s="22" t="str">
        <f>IFERROR(VLOOKUP($C381,'Лист4'!$D:$AI,29,0)," ")</f>
        <v> </v>
      </c>
      <c r="DG381" s="22" t="str">
        <f t="shared" si="3"/>
        <v> </v>
      </c>
      <c r="DH381" s="22" t="str">
        <f>IFERROR(VLOOKUP($C381,'Лист4'!$D:$AI,32,0)," ")</f>
        <v> </v>
      </c>
      <c r="DI381" s="22"/>
      <c r="DJ381" s="22"/>
      <c r="DK381" s="22"/>
      <c r="DL381" s="22"/>
      <c r="DM381" s="22"/>
      <c r="DN381" s="22"/>
      <c r="DO381" s="22"/>
      <c r="DP381" s="22"/>
      <c r="DQ381" s="22"/>
      <c r="DR381" s="22"/>
      <c r="DS381" s="22"/>
      <c r="DT381" s="22"/>
      <c r="DU381" s="22"/>
      <c r="DV381" s="22"/>
      <c r="DW381" s="22"/>
      <c r="DX381" s="22"/>
      <c r="DY381" s="22"/>
      <c r="DZ381" s="22"/>
      <c r="EA381" s="22"/>
      <c r="EB381" s="22"/>
      <c r="EC381" s="22"/>
      <c r="ED381" s="22"/>
      <c r="EE381" s="22"/>
      <c r="EF381" s="22"/>
      <c r="EG381" s="22"/>
      <c r="EH381" s="22"/>
      <c r="EI381" s="22"/>
      <c r="EJ381" s="22"/>
      <c r="EK381" s="22"/>
      <c r="EL381" s="22"/>
      <c r="EM381" s="43"/>
      <c r="EN381" s="43"/>
      <c r="EO381" s="43"/>
      <c r="EP381" s="43"/>
      <c r="EQ381" s="43"/>
      <c r="ER381" s="43"/>
      <c r="ES381" s="43"/>
      <c r="ET381" s="43"/>
      <c r="EU381" s="43"/>
      <c r="EV381" s="43"/>
      <c r="EW381" s="43"/>
      <c r="EX381" s="43"/>
      <c r="EY381" s="43"/>
      <c r="EZ381" s="43"/>
      <c r="FA381" s="43"/>
      <c r="FB381" s="43"/>
      <c r="FC381" s="43"/>
    </row>
    <row r="382" ht="18.0" customHeight="1">
      <c r="A382" s="2"/>
      <c r="B382" s="22" t="str">
        <f>IFERROR(VLOOKUP(C382,'Реестр'!C:AC,27,0)," ")</f>
        <v> </v>
      </c>
      <c r="C382" s="43"/>
      <c r="D382" s="22" t="str">
        <f>IFERROR(VLOOKUP(C382,'Лист4'!D:P,13,0)," ")</f>
        <v> </v>
      </c>
      <c r="E382" s="22"/>
      <c r="F382" s="43"/>
      <c r="G382" s="43"/>
      <c r="H382" s="22" t="s">
        <v>401</v>
      </c>
      <c r="I382" s="22" t="s">
        <v>401</v>
      </c>
      <c r="J382" s="43"/>
      <c r="K382" s="43"/>
      <c r="L382" s="22"/>
      <c r="M382" s="22"/>
      <c r="N382" s="22"/>
      <c r="O382" s="22"/>
      <c r="P382" s="22"/>
      <c r="Q382" s="22"/>
      <c r="R382" s="22"/>
      <c r="S382" s="43"/>
      <c r="T382" s="43"/>
      <c r="U382" s="22" t="str">
        <f>IFERROR(VLOOKUP(T382,'Лист4'!C:I,3,0)," ")</f>
        <v> </v>
      </c>
      <c r="V382" s="22" t="str">
        <f>IFERROR(VLOOKUP(T382,'Лист4'!C:I,4,0)," ")</f>
        <v> </v>
      </c>
      <c r="W382" s="55"/>
      <c r="X382" s="43" t="str">
        <f>IFERROR(VLOOKUP(T382,'Лист4'!C:I,7,0)," ")</f>
        <v> </v>
      </c>
      <c r="Y382" s="43" t="str">
        <f>IFERROR(VLOOKUP(T382,'Лист4'!C:I,6,0)," ")</f>
        <v> </v>
      </c>
      <c r="Z382" s="43"/>
      <c r="AA382" s="43"/>
      <c r="AB382" s="22"/>
      <c r="AC382" s="22"/>
      <c r="AD382" s="22"/>
      <c r="AE382" s="22"/>
      <c r="AF382" s="22"/>
      <c r="AG382" s="43"/>
      <c r="AH382" s="43"/>
      <c r="AI382" s="43" t="str">
        <f>IFERROR(VLOOKUP(T382,'1С'!B:C,2,0)," ")</f>
        <v> </v>
      </c>
      <c r="AJ382" s="43"/>
      <c r="AK382" s="43"/>
      <c r="AL382" s="43"/>
      <c r="AM382" s="43"/>
      <c r="AN382" s="43"/>
      <c r="AO382" s="43"/>
      <c r="AP382" s="43"/>
      <c r="AQ382" s="43"/>
      <c r="AR382" s="43"/>
      <c r="AS382" s="43"/>
      <c r="AT382" s="43"/>
      <c r="AU382" s="43"/>
      <c r="AV382" s="43"/>
      <c r="AW382" s="43"/>
      <c r="AX382" s="22"/>
      <c r="AY382" s="22" t="str">
        <f>IFERROR(VLOOKUP(C382,'спецификация'!B:AA,25,0)," ")</f>
        <v> </v>
      </c>
      <c r="AZ382" s="43"/>
      <c r="BA382" s="43"/>
      <c r="BB382" s="43"/>
      <c r="BC382" s="43"/>
      <c r="BD382" s="43"/>
      <c r="BE382" s="43"/>
      <c r="BF382" s="22" t="str">
        <f>IFERROR(VLOOKUP(C382,'спецификация'!B:D,3,0)," ")</f>
        <v> </v>
      </c>
      <c r="BG382" s="22" t="str">
        <f>IFERROR(VLOOKUP(C382,'спецификация'!B:AA,4,0)," ")</f>
        <v> </v>
      </c>
      <c r="BH382" s="22" t="str">
        <f>IFERROR(VLOOKUP(C382,'спецификация'!B:AA,5,0)," ")</f>
        <v> </v>
      </c>
      <c r="BI382" s="22"/>
      <c r="BJ382" s="22" t="str">
        <f>IFERROR(VLOOKUP(C382,'спецификация'!B:AA,6,0)," ")</f>
        <v> </v>
      </c>
      <c r="BK382" s="43"/>
      <c r="BL382" s="43"/>
      <c r="BM382" s="22" t="str">
        <f>IFERROR(VLOOKUP(C382,'спецификация'!B:AA,7,0)," ")</f>
        <v> </v>
      </c>
      <c r="BN382" s="43"/>
      <c r="BO382" s="22" t="str">
        <f>IFERROR(VLOOKUP(C382,'спецификация'!B:AA,10,0)," ")</f>
        <v> </v>
      </c>
      <c r="BP382" s="43" t="str">
        <f>IFERROR(VLOOKUP(C382,'спецификация'!B:AA,11,0)," ")</f>
        <v> </v>
      </c>
      <c r="BQ382" s="22" t="str">
        <f>IFERROR(VLOOKUP(C382,'спецификация'!B:AA,12,0)," ")</f>
        <v> </v>
      </c>
      <c r="BR382" s="22"/>
      <c r="BS382" s="43"/>
      <c r="BT382" s="43"/>
      <c r="BU382" s="22"/>
      <c r="BV382" s="22" t="s">
        <v>401</v>
      </c>
      <c r="BW382" s="45" t="str">
        <f>IFERROR(VLOOKUP(C382,'спецификация'!B:AA,16,0)," ")</f>
        <v> </v>
      </c>
      <c r="BX382" s="43"/>
      <c r="BY382" s="43"/>
      <c r="BZ382" s="45" t="str">
        <f>IFERROR(VLOOKUP(BF382,'спецификация'!D:Y,22,0)," ")</f>
        <v> </v>
      </c>
      <c r="CA382" s="43"/>
      <c r="CB382" s="43"/>
      <c r="CC382" s="43"/>
      <c r="CD382" s="43"/>
      <c r="CE382" s="43"/>
      <c r="CF382" s="43"/>
      <c r="CG382" s="49" t="str">
        <f>IFERROR(VLOOKUP(C382,CC!A:D,4,0)," ")</f>
        <v> </v>
      </c>
      <c r="CH382" s="22" t="str">
        <f>IFERROR(VLOOKUP(C382,'спецификация'!B:AA,19,0)," ")</f>
        <v> </v>
      </c>
      <c r="CI382" s="22"/>
      <c r="CJ382" s="43"/>
      <c r="CK382" s="22" t="str">
        <f>IFERROR(VLOOKUP(C382,CC!K:M,3,0)," ")</f>
        <v> </v>
      </c>
      <c r="CL382" s="43"/>
      <c r="CM382" s="43"/>
      <c r="CN382" s="43"/>
      <c r="CO382" s="43"/>
      <c r="CP382" s="43"/>
      <c r="CQ382" s="43"/>
      <c r="CR382" s="43"/>
      <c r="CS382" s="43" t="b">
        <v>0</v>
      </c>
      <c r="CT382" s="43" t="b">
        <v>0</v>
      </c>
      <c r="CU382" s="43" t="b">
        <v>0</v>
      </c>
      <c r="CV382" s="43" t="b">
        <v>0</v>
      </c>
      <c r="CW382" s="43"/>
      <c r="CX382" s="43"/>
      <c r="CY382" s="43"/>
      <c r="CZ382" s="43"/>
      <c r="DA382" s="43"/>
      <c r="DB382" s="43"/>
      <c r="DC382" s="43"/>
      <c r="DD382" s="22" t="str">
        <f>IFERROR(VLOOKUP($C382,'Лист4'!$D:$AI,27,0)," ")</f>
        <v> </v>
      </c>
      <c r="DE382" s="22" t="str">
        <f>IFERROR(VLOOKUP($C382,'Лист4'!$D:$AI,28,0)," ")</f>
        <v> </v>
      </c>
      <c r="DF382" s="22" t="str">
        <f>IFERROR(VLOOKUP($C382,'Лист4'!$D:$AI,29,0)," ")</f>
        <v> </v>
      </c>
      <c r="DG382" s="22" t="str">
        <f t="shared" si="3"/>
        <v> </v>
      </c>
      <c r="DH382" s="22" t="str">
        <f>IFERROR(VLOOKUP($C382,'Лист4'!$D:$AI,32,0)," ")</f>
        <v> </v>
      </c>
      <c r="DI382" s="22"/>
      <c r="DJ382" s="22"/>
      <c r="DK382" s="22"/>
      <c r="DL382" s="22"/>
      <c r="DM382" s="22"/>
      <c r="DN382" s="22"/>
      <c r="DO382" s="22"/>
      <c r="DP382" s="22"/>
      <c r="DQ382" s="22"/>
      <c r="DR382" s="22"/>
      <c r="DS382" s="22"/>
      <c r="DT382" s="22"/>
      <c r="DU382" s="22"/>
      <c r="DV382" s="22"/>
      <c r="DW382" s="22"/>
      <c r="DX382" s="22"/>
      <c r="DY382" s="22"/>
      <c r="DZ382" s="22"/>
      <c r="EA382" s="22"/>
      <c r="EB382" s="22"/>
      <c r="EC382" s="22"/>
      <c r="ED382" s="22"/>
      <c r="EE382" s="22"/>
      <c r="EF382" s="22"/>
      <c r="EG382" s="22"/>
      <c r="EH382" s="22"/>
      <c r="EI382" s="22"/>
      <c r="EJ382" s="22"/>
      <c r="EK382" s="22"/>
      <c r="EL382" s="22"/>
      <c r="EM382" s="43"/>
      <c r="EN382" s="43"/>
      <c r="EO382" s="43"/>
      <c r="EP382" s="43"/>
      <c r="EQ382" s="43"/>
      <c r="ER382" s="43"/>
      <c r="ES382" s="43"/>
      <c r="ET382" s="43"/>
      <c r="EU382" s="43"/>
      <c r="EV382" s="43"/>
      <c r="EW382" s="43"/>
      <c r="EX382" s="43"/>
      <c r="EY382" s="43"/>
      <c r="EZ382" s="43"/>
      <c r="FA382" s="43"/>
      <c r="FB382" s="43"/>
      <c r="FC382" s="43"/>
    </row>
    <row r="383" ht="18.0" customHeight="1">
      <c r="A383" s="2"/>
      <c r="B383" s="22" t="str">
        <f>IFERROR(VLOOKUP(C383,'Реестр'!C:AC,27,0)," ")</f>
        <v> </v>
      </c>
      <c r="C383" s="43"/>
      <c r="D383" s="22" t="str">
        <f>IFERROR(VLOOKUP(C383,'Лист4'!D:P,13,0)," ")</f>
        <v> </v>
      </c>
      <c r="E383" s="22"/>
      <c r="F383" s="43"/>
      <c r="G383" s="43"/>
      <c r="H383" s="22" t="s">
        <v>401</v>
      </c>
      <c r="I383" s="22" t="s">
        <v>401</v>
      </c>
      <c r="J383" s="43"/>
      <c r="K383" s="43"/>
      <c r="L383" s="22"/>
      <c r="M383" s="22"/>
      <c r="N383" s="22"/>
      <c r="O383" s="22"/>
      <c r="P383" s="22"/>
      <c r="Q383" s="22"/>
      <c r="R383" s="22"/>
      <c r="S383" s="43"/>
      <c r="T383" s="43"/>
      <c r="U383" s="22" t="str">
        <f>IFERROR(VLOOKUP(T383,'Лист4'!C:I,3,0)," ")</f>
        <v> </v>
      </c>
      <c r="V383" s="22" t="str">
        <f>IFERROR(VLOOKUP(T383,'Лист4'!C:I,4,0)," ")</f>
        <v> </v>
      </c>
      <c r="W383" s="55"/>
      <c r="X383" s="43" t="str">
        <f>IFERROR(VLOOKUP(T383,'Лист4'!C:I,7,0)," ")</f>
        <v> </v>
      </c>
      <c r="Y383" s="43" t="str">
        <f>IFERROR(VLOOKUP(T383,'Лист4'!C:I,6,0)," ")</f>
        <v> </v>
      </c>
      <c r="Z383" s="43"/>
      <c r="AA383" s="43"/>
      <c r="AB383" s="22"/>
      <c r="AC383" s="22"/>
      <c r="AD383" s="22"/>
      <c r="AE383" s="22"/>
      <c r="AF383" s="22"/>
      <c r="AG383" s="43"/>
      <c r="AH383" s="43"/>
      <c r="AI383" s="43" t="str">
        <f>IFERROR(VLOOKUP(T383,'1С'!B:C,2,0)," ")</f>
        <v> </v>
      </c>
      <c r="AJ383" s="43"/>
      <c r="AK383" s="43"/>
      <c r="AL383" s="43"/>
      <c r="AM383" s="43"/>
      <c r="AN383" s="43"/>
      <c r="AO383" s="43"/>
      <c r="AP383" s="43"/>
      <c r="AQ383" s="43"/>
      <c r="AR383" s="43"/>
      <c r="AS383" s="43"/>
      <c r="AT383" s="43"/>
      <c r="AU383" s="43"/>
      <c r="AV383" s="43"/>
      <c r="AW383" s="43"/>
      <c r="AX383" s="22"/>
      <c r="AY383" s="22" t="str">
        <f>IFERROR(VLOOKUP(C383,'спецификация'!B:AA,25,0)," ")</f>
        <v> </v>
      </c>
      <c r="AZ383" s="43"/>
      <c r="BA383" s="43"/>
      <c r="BB383" s="43"/>
      <c r="BC383" s="43"/>
      <c r="BD383" s="43"/>
      <c r="BE383" s="43"/>
      <c r="BF383" s="22" t="str">
        <f>IFERROR(VLOOKUP(C383,'спецификация'!B:D,3,0)," ")</f>
        <v> </v>
      </c>
      <c r="BG383" s="22" t="str">
        <f>IFERROR(VLOOKUP(C383,'спецификация'!B:AA,4,0)," ")</f>
        <v> </v>
      </c>
      <c r="BH383" s="22" t="str">
        <f>IFERROR(VLOOKUP(C383,'спецификация'!B:AA,5,0)," ")</f>
        <v> </v>
      </c>
      <c r="BI383" s="22"/>
      <c r="BJ383" s="22" t="str">
        <f>IFERROR(VLOOKUP(C383,'спецификация'!B:AA,6,0)," ")</f>
        <v> </v>
      </c>
      <c r="BK383" s="43"/>
      <c r="BL383" s="43"/>
      <c r="BM383" s="22" t="str">
        <f>IFERROR(VLOOKUP(C383,'спецификация'!B:AA,7,0)," ")</f>
        <v> </v>
      </c>
      <c r="BN383" s="43"/>
      <c r="BO383" s="22" t="str">
        <f>IFERROR(VLOOKUP(C383,'спецификация'!B:AA,10,0)," ")</f>
        <v> </v>
      </c>
      <c r="BP383" s="43" t="str">
        <f>IFERROR(VLOOKUP(C383,'спецификация'!B:AA,11,0)," ")</f>
        <v> </v>
      </c>
      <c r="BQ383" s="22" t="str">
        <f>IFERROR(VLOOKUP(C383,'спецификация'!B:AA,12,0)," ")</f>
        <v> </v>
      </c>
      <c r="BR383" s="22"/>
      <c r="BS383" s="43"/>
      <c r="BT383" s="43"/>
      <c r="BU383" s="22"/>
      <c r="BV383" s="22" t="s">
        <v>401</v>
      </c>
      <c r="BW383" s="45" t="str">
        <f>IFERROR(VLOOKUP(C383,'спецификация'!B:AA,16,0)," ")</f>
        <v> </v>
      </c>
      <c r="BX383" s="43"/>
      <c r="BY383" s="43"/>
      <c r="BZ383" s="45" t="str">
        <f>IFERROR(VLOOKUP(BF383,'спецификация'!D:Y,22,0)," ")</f>
        <v> </v>
      </c>
      <c r="CA383" s="43"/>
      <c r="CB383" s="43"/>
      <c r="CC383" s="43"/>
      <c r="CD383" s="43"/>
      <c r="CE383" s="43"/>
      <c r="CF383" s="43"/>
      <c r="CG383" s="49" t="str">
        <f>IFERROR(VLOOKUP(C383,CC!A:D,4,0)," ")</f>
        <v> </v>
      </c>
      <c r="CH383" s="22" t="str">
        <f>IFERROR(VLOOKUP(C383,'спецификация'!B:AA,19,0)," ")</f>
        <v> </v>
      </c>
      <c r="CI383" s="22"/>
      <c r="CJ383" s="43"/>
      <c r="CK383" s="22" t="str">
        <f>IFERROR(VLOOKUP(C383,CC!K:M,3,0)," ")</f>
        <v> </v>
      </c>
      <c r="CL383" s="43"/>
      <c r="CM383" s="43"/>
      <c r="CN383" s="43"/>
      <c r="CO383" s="43"/>
      <c r="CP383" s="43"/>
      <c r="CQ383" s="43"/>
      <c r="CR383" s="43"/>
      <c r="CS383" s="43" t="b">
        <v>0</v>
      </c>
      <c r="CT383" s="43" t="b">
        <v>0</v>
      </c>
      <c r="CU383" s="43" t="b">
        <v>0</v>
      </c>
      <c r="CV383" s="43" t="b">
        <v>0</v>
      </c>
      <c r="CW383" s="43"/>
      <c r="CX383" s="43"/>
      <c r="CY383" s="43"/>
      <c r="CZ383" s="43"/>
      <c r="DA383" s="43"/>
      <c r="DB383" s="43"/>
      <c r="DC383" s="43"/>
      <c r="DD383" s="22" t="str">
        <f>IFERROR(VLOOKUP($C383,'Лист4'!$D:$AI,27,0)," ")</f>
        <v> </v>
      </c>
      <c r="DE383" s="22" t="str">
        <f>IFERROR(VLOOKUP($C383,'Лист4'!$D:$AI,28,0)," ")</f>
        <v> </v>
      </c>
      <c r="DF383" s="22" t="str">
        <f>IFERROR(VLOOKUP($C383,'Лист4'!$D:$AI,29,0)," ")</f>
        <v> </v>
      </c>
      <c r="DG383" s="22" t="str">
        <f t="shared" si="3"/>
        <v> </v>
      </c>
      <c r="DH383" s="22" t="str">
        <f>IFERROR(VLOOKUP($C383,'Лист4'!$D:$AI,32,0)," ")</f>
        <v> </v>
      </c>
      <c r="DI383" s="22"/>
      <c r="DJ383" s="22"/>
      <c r="DK383" s="22"/>
      <c r="DL383" s="22"/>
      <c r="DM383" s="22"/>
      <c r="DN383" s="22"/>
      <c r="DO383" s="22"/>
      <c r="DP383" s="22"/>
      <c r="DQ383" s="22"/>
      <c r="DR383" s="22"/>
      <c r="DS383" s="22"/>
      <c r="DT383" s="22"/>
      <c r="DU383" s="22"/>
      <c r="DV383" s="22"/>
      <c r="DW383" s="22"/>
      <c r="DX383" s="22"/>
      <c r="DY383" s="22"/>
      <c r="DZ383" s="22"/>
      <c r="EA383" s="22"/>
      <c r="EB383" s="22"/>
      <c r="EC383" s="22"/>
      <c r="ED383" s="22"/>
      <c r="EE383" s="22"/>
      <c r="EF383" s="22"/>
      <c r="EG383" s="22"/>
      <c r="EH383" s="22"/>
      <c r="EI383" s="22"/>
      <c r="EJ383" s="22"/>
      <c r="EK383" s="22"/>
      <c r="EL383" s="22"/>
      <c r="EM383" s="43"/>
      <c r="EN383" s="43"/>
      <c r="EO383" s="43"/>
      <c r="EP383" s="43"/>
      <c r="EQ383" s="43"/>
      <c r="ER383" s="43"/>
      <c r="ES383" s="43"/>
      <c r="ET383" s="43"/>
      <c r="EU383" s="43"/>
      <c r="EV383" s="43"/>
      <c r="EW383" s="43"/>
      <c r="EX383" s="43"/>
      <c r="EY383" s="43"/>
      <c r="EZ383" s="43"/>
      <c r="FA383" s="43"/>
      <c r="FB383" s="43"/>
      <c r="FC383" s="43"/>
    </row>
    <row r="384" ht="18.0" customHeight="1">
      <c r="A384" s="2"/>
      <c r="B384" s="22" t="str">
        <f>IFERROR(VLOOKUP(C384,'Реестр'!C:AC,27,0)," ")</f>
        <v> </v>
      </c>
      <c r="C384" s="43"/>
      <c r="D384" s="22" t="str">
        <f>IFERROR(VLOOKUP(C384,'Лист4'!D:P,13,0)," ")</f>
        <v> </v>
      </c>
      <c r="E384" s="22"/>
      <c r="F384" s="43"/>
      <c r="G384" s="43"/>
      <c r="H384" s="22" t="s">
        <v>401</v>
      </c>
      <c r="I384" s="22" t="s">
        <v>401</v>
      </c>
      <c r="J384" s="43"/>
      <c r="K384" s="43"/>
      <c r="L384" s="22"/>
      <c r="M384" s="22"/>
      <c r="N384" s="22"/>
      <c r="O384" s="22"/>
      <c r="P384" s="22"/>
      <c r="Q384" s="22"/>
      <c r="R384" s="22"/>
      <c r="S384" s="43"/>
      <c r="T384" s="43"/>
      <c r="U384" s="22" t="str">
        <f>IFERROR(VLOOKUP(T384,'Лист4'!C:I,3,0)," ")</f>
        <v> </v>
      </c>
      <c r="V384" s="22" t="str">
        <f>IFERROR(VLOOKUP(T384,'Лист4'!C:I,4,0)," ")</f>
        <v> </v>
      </c>
      <c r="W384" s="55"/>
      <c r="X384" s="43" t="str">
        <f>IFERROR(VLOOKUP(T384,'Лист4'!C:I,7,0)," ")</f>
        <v> </v>
      </c>
      <c r="Y384" s="43" t="str">
        <f>IFERROR(VLOOKUP(T384,'Лист4'!C:I,6,0)," ")</f>
        <v> </v>
      </c>
      <c r="Z384" s="43"/>
      <c r="AA384" s="43"/>
      <c r="AB384" s="22"/>
      <c r="AC384" s="22"/>
      <c r="AD384" s="22"/>
      <c r="AE384" s="22"/>
      <c r="AF384" s="22"/>
      <c r="AG384" s="43"/>
      <c r="AH384" s="43"/>
      <c r="AI384" s="43" t="str">
        <f>IFERROR(VLOOKUP(T384,'1С'!B:C,2,0)," ")</f>
        <v> </v>
      </c>
      <c r="AJ384" s="43"/>
      <c r="AK384" s="43"/>
      <c r="AL384" s="43"/>
      <c r="AM384" s="43"/>
      <c r="AN384" s="43"/>
      <c r="AO384" s="43"/>
      <c r="AP384" s="43"/>
      <c r="AQ384" s="43"/>
      <c r="AR384" s="43"/>
      <c r="AS384" s="43"/>
      <c r="AT384" s="43"/>
      <c r="AU384" s="43"/>
      <c r="AV384" s="43"/>
      <c r="AW384" s="43"/>
      <c r="AX384" s="22"/>
      <c r="AY384" s="22" t="str">
        <f>IFERROR(VLOOKUP(C384,'спецификация'!B:AA,25,0)," ")</f>
        <v> </v>
      </c>
      <c r="AZ384" s="43"/>
      <c r="BA384" s="43"/>
      <c r="BB384" s="43"/>
      <c r="BC384" s="43"/>
      <c r="BD384" s="43"/>
      <c r="BE384" s="43"/>
      <c r="BF384" s="22" t="str">
        <f>IFERROR(VLOOKUP(C384,'спецификация'!B:D,3,0)," ")</f>
        <v> </v>
      </c>
      <c r="BG384" s="22" t="str">
        <f>IFERROR(VLOOKUP(C384,'спецификация'!B:AA,4,0)," ")</f>
        <v> </v>
      </c>
      <c r="BH384" s="22" t="str">
        <f>IFERROR(VLOOKUP(C384,'спецификация'!B:AA,5,0)," ")</f>
        <v> </v>
      </c>
      <c r="BI384" s="22"/>
      <c r="BJ384" s="22" t="str">
        <f>IFERROR(VLOOKUP(C384,'спецификация'!B:AA,6,0)," ")</f>
        <v> </v>
      </c>
      <c r="BK384" s="43"/>
      <c r="BL384" s="43"/>
      <c r="BM384" s="22" t="str">
        <f>IFERROR(VLOOKUP(C384,'спецификация'!B:AA,7,0)," ")</f>
        <v> </v>
      </c>
      <c r="BN384" s="43"/>
      <c r="BO384" s="22" t="str">
        <f>IFERROR(VLOOKUP(C384,'спецификация'!B:AA,10,0)," ")</f>
        <v> </v>
      </c>
      <c r="BP384" s="43" t="str">
        <f>IFERROR(VLOOKUP(C384,'спецификация'!B:AA,11,0)," ")</f>
        <v> </v>
      </c>
      <c r="BQ384" s="22" t="str">
        <f>IFERROR(VLOOKUP(C384,'спецификация'!B:AA,12,0)," ")</f>
        <v> </v>
      </c>
      <c r="BR384" s="22"/>
      <c r="BS384" s="43"/>
      <c r="BT384" s="43"/>
      <c r="BU384" s="22"/>
      <c r="BV384" s="22" t="s">
        <v>401</v>
      </c>
      <c r="BW384" s="45" t="str">
        <f>IFERROR(VLOOKUP(C384,'спецификация'!B:AA,16,0)," ")</f>
        <v> </v>
      </c>
      <c r="BX384" s="43"/>
      <c r="BY384" s="43"/>
      <c r="BZ384" s="45" t="str">
        <f>IFERROR(VLOOKUP(C384,'спецификация'!B:AA,24,0)," ")</f>
        <v> </v>
      </c>
      <c r="CA384" s="43"/>
      <c r="CB384" s="43"/>
      <c r="CC384" s="43"/>
      <c r="CD384" s="43"/>
      <c r="CE384" s="43"/>
      <c r="CF384" s="43"/>
      <c r="CG384" s="49" t="str">
        <f>IFERROR(VLOOKUP(C384,CC!A:D,4,0)," ")</f>
        <v> </v>
      </c>
      <c r="CH384" s="22" t="str">
        <f>IFERROR(VLOOKUP(C384,'спецификация'!B:AA,19,0)," ")</f>
        <v> </v>
      </c>
      <c r="CI384" s="22"/>
      <c r="CJ384" s="43"/>
      <c r="CK384" s="22" t="str">
        <f>IFERROR(VLOOKUP(C384,CC!K:M,3,0)," ")</f>
        <v> </v>
      </c>
      <c r="CL384" s="43"/>
      <c r="CM384" s="43"/>
      <c r="CN384" s="43"/>
      <c r="CO384" s="43"/>
      <c r="CP384" s="43"/>
      <c r="CQ384" s="43"/>
      <c r="CR384" s="43"/>
      <c r="CS384" s="43" t="b">
        <v>0</v>
      </c>
      <c r="CT384" s="43" t="b">
        <v>0</v>
      </c>
      <c r="CU384" s="43" t="b">
        <v>0</v>
      </c>
      <c r="CV384" s="43" t="b">
        <v>0</v>
      </c>
      <c r="CW384" s="43"/>
      <c r="CX384" s="43"/>
      <c r="CY384" s="43"/>
      <c r="CZ384" s="43"/>
      <c r="DA384" s="43"/>
      <c r="DB384" s="43"/>
      <c r="DC384" s="43"/>
      <c r="DD384" s="22" t="str">
        <f>IFERROR(VLOOKUP($C384,'Лист4'!$D:$AI,27,0)," ")</f>
        <v> </v>
      </c>
      <c r="DE384" s="22" t="str">
        <f>IFERROR(VLOOKUP($C384,'Лист4'!$D:$AI,28,0)," ")</f>
        <v> </v>
      </c>
      <c r="DF384" s="22" t="str">
        <f>IFERROR(VLOOKUP($C384,'Лист4'!$D:$AI,29,0)," ")</f>
        <v> </v>
      </c>
      <c r="DG384" s="22" t="str">
        <f t="shared" si="3"/>
        <v> </v>
      </c>
      <c r="DH384" s="22" t="str">
        <f>IFERROR(VLOOKUP($C384,'Лист4'!$D:$AI,32,0)," ")</f>
        <v> </v>
      </c>
      <c r="DI384" s="22"/>
      <c r="DJ384" s="22"/>
      <c r="DK384" s="22"/>
      <c r="DL384" s="22"/>
      <c r="DM384" s="22"/>
      <c r="DN384" s="22"/>
      <c r="DO384" s="22"/>
      <c r="DP384" s="22"/>
      <c r="DQ384" s="22"/>
      <c r="DR384" s="22"/>
      <c r="DS384" s="22"/>
      <c r="DT384" s="22"/>
      <c r="DU384" s="22"/>
      <c r="DV384" s="22"/>
      <c r="DW384" s="22"/>
      <c r="DX384" s="22"/>
      <c r="DY384" s="22"/>
      <c r="DZ384" s="22"/>
      <c r="EA384" s="22"/>
      <c r="EB384" s="22"/>
      <c r="EC384" s="22"/>
      <c r="ED384" s="22"/>
      <c r="EE384" s="22"/>
      <c r="EF384" s="22"/>
      <c r="EG384" s="22"/>
      <c r="EH384" s="22"/>
      <c r="EI384" s="22"/>
      <c r="EJ384" s="22"/>
      <c r="EK384" s="22"/>
      <c r="EL384" s="22"/>
      <c r="EM384" s="43"/>
      <c r="EN384" s="43"/>
      <c r="EO384" s="43"/>
      <c r="EP384" s="43"/>
      <c r="EQ384" s="43"/>
      <c r="ER384" s="43"/>
      <c r="ES384" s="43"/>
      <c r="ET384" s="43"/>
      <c r="EU384" s="43"/>
      <c r="EV384" s="43"/>
      <c r="EW384" s="43"/>
      <c r="EX384" s="43"/>
      <c r="EY384" s="43"/>
      <c r="EZ384" s="43"/>
      <c r="FA384" s="43"/>
      <c r="FB384" s="43"/>
      <c r="FC384" s="43"/>
    </row>
    <row r="385" ht="18.0" customHeight="1">
      <c r="A385" s="2"/>
      <c r="B385" s="22" t="str">
        <f>IFERROR(VLOOKUP(C385,'Реестр'!C:AC,27,0)," ")</f>
        <v> </v>
      </c>
      <c r="C385" s="43"/>
      <c r="D385" s="22" t="str">
        <f>IFERROR(VLOOKUP(C385,'Лист4'!D:P,13,0)," ")</f>
        <v> </v>
      </c>
      <c r="E385" s="22"/>
      <c r="F385" s="43"/>
      <c r="G385" s="43"/>
      <c r="H385" s="22" t="s">
        <v>401</v>
      </c>
      <c r="I385" s="22" t="s">
        <v>401</v>
      </c>
      <c r="J385" s="43"/>
      <c r="K385" s="43"/>
      <c r="L385" s="22"/>
      <c r="M385" s="22"/>
      <c r="N385" s="22"/>
      <c r="O385" s="22"/>
      <c r="P385" s="22"/>
      <c r="Q385" s="22"/>
      <c r="R385" s="22"/>
      <c r="S385" s="43"/>
      <c r="T385" s="43"/>
      <c r="U385" s="22" t="str">
        <f>IFERROR(VLOOKUP(T385,'Лист4'!C:I,3,0)," ")</f>
        <v> </v>
      </c>
      <c r="V385" s="22" t="str">
        <f>IFERROR(VLOOKUP(T385,'Лист4'!C:I,4,0)," ")</f>
        <v> </v>
      </c>
      <c r="W385" s="55"/>
      <c r="X385" s="55"/>
      <c r="Y385" s="43" t="str">
        <f>IFERROR(VLOOKUP(T385,'Лист4'!C:I,6,0)," ")</f>
        <v> </v>
      </c>
      <c r="Z385" s="43"/>
      <c r="AA385" s="43"/>
      <c r="AB385" s="22"/>
      <c r="AC385" s="22"/>
      <c r="AD385" s="22"/>
      <c r="AE385" s="22"/>
      <c r="AF385" s="22"/>
      <c r="AG385" s="43"/>
      <c r="AH385" s="43"/>
      <c r="AI385" s="43" t="str">
        <f>IFERROR(VLOOKUP(T385,'1С'!B:C,2,0)," ")</f>
        <v> </v>
      </c>
      <c r="AJ385" s="43"/>
      <c r="AK385" s="43"/>
      <c r="AL385" s="43"/>
      <c r="AM385" s="43"/>
      <c r="AN385" s="43"/>
      <c r="AO385" s="43"/>
      <c r="AP385" s="43"/>
      <c r="AQ385" s="43"/>
      <c r="AR385" s="43"/>
      <c r="AS385" s="43"/>
      <c r="AT385" s="43"/>
      <c r="AU385" s="43"/>
      <c r="AV385" s="43"/>
      <c r="AW385" s="43"/>
      <c r="AX385" s="22"/>
      <c r="AY385" s="22" t="str">
        <f>IFERROR(VLOOKUP(C385,'спецификация'!B:AA,25,0)," ")</f>
        <v> </v>
      </c>
      <c r="AZ385" s="43"/>
      <c r="BA385" s="43"/>
      <c r="BB385" s="43"/>
      <c r="BC385" s="43"/>
      <c r="BD385" s="43"/>
      <c r="BE385" s="43"/>
      <c r="BF385" s="22" t="str">
        <f>IFERROR(VLOOKUP(C385,'спецификация'!B:D,3,0)," ")</f>
        <v> </v>
      </c>
      <c r="BG385" s="22" t="str">
        <f>IFERROR(VLOOKUP(C385,'спецификация'!B:AA,4,0)," ")</f>
        <v> </v>
      </c>
      <c r="BH385" s="22" t="str">
        <f>IFERROR(VLOOKUP(C385,'спецификация'!B:AA,5,0)," ")</f>
        <v> </v>
      </c>
      <c r="BI385" s="22"/>
      <c r="BJ385" s="22" t="str">
        <f>IFERROR(VLOOKUP(C385,'спецификация'!B:AA,6,0)," ")</f>
        <v> </v>
      </c>
      <c r="BK385" s="43"/>
      <c r="BL385" s="43"/>
      <c r="BM385" s="22" t="str">
        <f>IFERROR(VLOOKUP(C385,'спецификация'!B:AA,7,0)," ")</f>
        <v> </v>
      </c>
      <c r="BN385" s="43"/>
      <c r="BO385" s="22" t="str">
        <f>IFERROR(VLOOKUP(C385,'спецификация'!B:AA,10,0)," ")</f>
        <v> </v>
      </c>
      <c r="BP385" s="43" t="str">
        <f>IFERROR(VLOOKUP(C385,'спецификация'!B:AA,11,0)," ")</f>
        <v> </v>
      </c>
      <c r="BQ385" s="22" t="str">
        <f>IFERROR(VLOOKUP(C385,'спецификация'!B:AA,12,0)," ")</f>
        <v> </v>
      </c>
      <c r="BR385" s="22"/>
      <c r="BS385" s="43"/>
      <c r="BT385" s="43"/>
      <c r="BU385" s="22"/>
      <c r="BV385" s="22" t="s">
        <v>401</v>
      </c>
      <c r="BW385" s="45" t="str">
        <f>IFERROR(VLOOKUP(C385,'спецификация'!B:AA,16,0)," ")</f>
        <v> </v>
      </c>
      <c r="BX385" s="43"/>
      <c r="BY385" s="43"/>
      <c r="BZ385" s="45" t="str">
        <f>IFERROR(VLOOKUP(C385,'спецификация'!B:AA,24,0)," ")</f>
        <v> </v>
      </c>
      <c r="CA385" s="43"/>
      <c r="CB385" s="43"/>
      <c r="CC385" s="43"/>
      <c r="CD385" s="43"/>
      <c r="CE385" s="43"/>
      <c r="CF385" s="43"/>
      <c r="CG385" s="49" t="str">
        <f>IFERROR(VLOOKUP(C385,CC!A:D,4,0)," ")</f>
        <v> </v>
      </c>
      <c r="CH385" s="22" t="str">
        <f>IFERROR(VLOOKUP(C385,'спецификация'!B:AA,19,0)," ")</f>
        <v> </v>
      </c>
      <c r="CI385" s="22"/>
      <c r="CJ385" s="43"/>
      <c r="CK385" s="22" t="str">
        <f>IFERROR(VLOOKUP(C385,CC!K:M,3,0)," ")</f>
        <v> </v>
      </c>
      <c r="CL385" s="43"/>
      <c r="CM385" s="43"/>
      <c r="CN385" s="43"/>
      <c r="CO385" s="43"/>
      <c r="CP385" s="43"/>
      <c r="CQ385" s="43"/>
      <c r="CR385" s="43"/>
      <c r="CS385" s="43" t="b">
        <v>0</v>
      </c>
      <c r="CT385" s="43" t="b">
        <v>0</v>
      </c>
      <c r="CU385" s="43" t="b">
        <v>0</v>
      </c>
      <c r="CV385" s="43" t="b">
        <v>0</v>
      </c>
      <c r="CW385" s="43"/>
      <c r="CX385" s="43"/>
      <c r="CY385" s="43"/>
      <c r="CZ385" s="43"/>
      <c r="DA385" s="43"/>
      <c r="DB385" s="43"/>
      <c r="DC385" s="43"/>
      <c r="DD385" s="22" t="str">
        <f>IFERROR(VLOOKUP($C385,'Лист4'!$D:$AI,27,0)," ")</f>
        <v> </v>
      </c>
      <c r="DE385" s="22" t="str">
        <f>IFERROR(VLOOKUP($C385,'Лист4'!$D:$AI,28,0)," ")</f>
        <v> </v>
      </c>
      <c r="DF385" s="22" t="str">
        <f>IFERROR(VLOOKUP($C385,'Лист4'!$D:$AI,29,0)," ")</f>
        <v> </v>
      </c>
      <c r="DG385" s="22" t="str">
        <f t="shared" si="3"/>
        <v> </v>
      </c>
      <c r="DH385" s="22" t="str">
        <f>IFERROR(VLOOKUP($C385,'Лист4'!$D:$AI,32,0)," ")</f>
        <v> </v>
      </c>
      <c r="DI385" s="22"/>
      <c r="DJ385" s="22"/>
      <c r="DK385" s="22"/>
      <c r="DL385" s="22"/>
      <c r="DM385" s="22"/>
      <c r="DN385" s="22"/>
      <c r="DO385" s="22"/>
      <c r="DP385" s="22"/>
      <c r="DQ385" s="22"/>
      <c r="DR385" s="22"/>
      <c r="DS385" s="22"/>
      <c r="DT385" s="22"/>
      <c r="DU385" s="22"/>
      <c r="DV385" s="22"/>
      <c r="DW385" s="22"/>
      <c r="DX385" s="22"/>
      <c r="DY385" s="22"/>
      <c r="DZ385" s="22"/>
      <c r="EA385" s="22"/>
      <c r="EB385" s="22"/>
      <c r="EC385" s="22"/>
      <c r="ED385" s="22"/>
      <c r="EE385" s="22"/>
      <c r="EF385" s="22"/>
      <c r="EG385" s="22"/>
      <c r="EH385" s="22"/>
      <c r="EI385" s="22"/>
      <c r="EJ385" s="22"/>
      <c r="EK385" s="22"/>
      <c r="EL385" s="22"/>
      <c r="EM385" s="43"/>
      <c r="EN385" s="43"/>
      <c r="EO385" s="43"/>
      <c r="EP385" s="43"/>
      <c r="EQ385" s="43"/>
      <c r="ER385" s="43"/>
      <c r="ES385" s="43"/>
      <c r="ET385" s="43"/>
      <c r="EU385" s="43"/>
      <c r="EV385" s="43"/>
      <c r="EW385" s="43"/>
      <c r="EX385" s="43"/>
      <c r="EY385" s="43"/>
      <c r="EZ385" s="43"/>
      <c r="FA385" s="43"/>
      <c r="FB385" s="43"/>
      <c r="FC385" s="43"/>
    </row>
    <row r="386" ht="18.0" customHeight="1">
      <c r="A386" s="2"/>
      <c r="B386" s="22" t="str">
        <f>IFERROR(VLOOKUP(C386,'Реестр'!C:AC,27,0)," ")</f>
        <v> </v>
      </c>
      <c r="C386" s="43"/>
      <c r="D386" s="22" t="str">
        <f>IFERROR(VLOOKUP(C386,'Лист4'!D:P,13,0)," ")</f>
        <v> </v>
      </c>
      <c r="E386" s="22"/>
      <c r="F386" s="43"/>
      <c r="G386" s="43"/>
      <c r="H386" s="22" t="s">
        <v>401</v>
      </c>
      <c r="I386" s="22" t="s">
        <v>401</v>
      </c>
      <c r="J386" s="43"/>
      <c r="K386" s="43"/>
      <c r="L386" s="22"/>
      <c r="M386" s="22"/>
      <c r="N386" s="22"/>
      <c r="O386" s="22"/>
      <c r="P386" s="22"/>
      <c r="Q386" s="22"/>
      <c r="R386" s="22"/>
      <c r="S386" s="43"/>
      <c r="T386" s="43"/>
      <c r="U386" s="22" t="str">
        <f>IFERROR(VLOOKUP(T386,'Лист4'!C:I,3,0)," ")</f>
        <v> </v>
      </c>
      <c r="V386" s="22" t="str">
        <f>IFERROR(VLOOKUP(T386,'Лист4'!C:I,4,0)," ")</f>
        <v> </v>
      </c>
      <c r="W386" s="55"/>
      <c r="X386" s="55"/>
      <c r="Y386" s="43" t="str">
        <f>IFERROR(VLOOKUP(T386,'Лист4'!C:I,6,0)," ")</f>
        <v> </v>
      </c>
      <c r="Z386" s="43"/>
      <c r="AA386" s="43"/>
      <c r="AB386" s="22"/>
      <c r="AC386" s="22"/>
      <c r="AD386" s="22"/>
      <c r="AE386" s="22"/>
      <c r="AF386" s="22"/>
      <c r="AG386" s="43"/>
      <c r="AH386" s="43"/>
      <c r="AI386" s="43" t="str">
        <f>IFERROR(VLOOKUP(T386,'1С'!B:C,2,0)," ")</f>
        <v> </v>
      </c>
      <c r="AJ386" s="43"/>
      <c r="AK386" s="43"/>
      <c r="AL386" s="43"/>
      <c r="AM386" s="43"/>
      <c r="AN386" s="43"/>
      <c r="AO386" s="43"/>
      <c r="AP386" s="43"/>
      <c r="AQ386" s="43"/>
      <c r="AR386" s="43"/>
      <c r="AS386" s="43"/>
      <c r="AT386" s="43"/>
      <c r="AU386" s="43"/>
      <c r="AV386" s="43"/>
      <c r="AW386" s="43"/>
      <c r="AX386" s="22"/>
      <c r="AY386" s="22" t="str">
        <f>IFERROR(VLOOKUP(C386,'спецификация'!B:AA,25,0)," ")</f>
        <v> </v>
      </c>
      <c r="AZ386" s="43"/>
      <c r="BA386" s="43"/>
      <c r="BB386" s="43"/>
      <c r="BC386" s="43"/>
      <c r="BD386" s="43"/>
      <c r="BE386" s="43"/>
      <c r="BF386" s="22" t="str">
        <f>IFERROR(VLOOKUP(C386,'спецификация'!B:D,3,0)," ")</f>
        <v> </v>
      </c>
      <c r="BG386" s="22" t="str">
        <f>IFERROR(VLOOKUP(C386,'спецификация'!B:AA,4,0)," ")</f>
        <v> </v>
      </c>
      <c r="BH386" s="22" t="str">
        <f>IFERROR(VLOOKUP(C386,'спецификация'!B:AA,5,0)," ")</f>
        <v> </v>
      </c>
      <c r="BI386" s="22"/>
      <c r="BJ386" s="22" t="str">
        <f>IFERROR(VLOOKUP(C386,'спецификация'!B:AA,6,0)," ")</f>
        <v> </v>
      </c>
      <c r="BK386" s="43"/>
      <c r="BL386" s="43"/>
      <c r="BM386" s="22" t="str">
        <f>IFERROR(VLOOKUP(C386,'спецификация'!B:AA,7,0)," ")</f>
        <v> </v>
      </c>
      <c r="BN386" s="43"/>
      <c r="BO386" s="22" t="str">
        <f>IFERROR(VLOOKUP(C386,'спецификация'!B:AA,10,0)," ")</f>
        <v> </v>
      </c>
      <c r="BP386" s="43" t="str">
        <f>IFERROR(VLOOKUP(C386,'спецификация'!B:AA,11,0)," ")</f>
        <v> </v>
      </c>
      <c r="BQ386" s="22" t="str">
        <f>IFERROR(VLOOKUP(C386,'спецификация'!B:AA,12,0)," ")</f>
        <v> </v>
      </c>
      <c r="BR386" s="22"/>
      <c r="BS386" s="43"/>
      <c r="BT386" s="43"/>
      <c r="BU386" s="22"/>
      <c r="BV386" s="22" t="s">
        <v>401</v>
      </c>
      <c r="BW386" s="45" t="str">
        <f>IFERROR(VLOOKUP(C386,'спецификация'!B:AA,16,0)," ")</f>
        <v> </v>
      </c>
      <c r="BX386" s="43"/>
      <c r="BY386" s="43"/>
      <c r="BZ386" s="45" t="str">
        <f>IFERROR(VLOOKUP(C386,'спецификация'!B:AA,24,0)," ")</f>
        <v> </v>
      </c>
      <c r="CA386" s="43"/>
      <c r="CB386" s="43"/>
      <c r="CC386" s="43"/>
      <c r="CD386" s="43"/>
      <c r="CE386" s="43"/>
      <c r="CF386" s="43"/>
      <c r="CG386" s="49" t="str">
        <f>IFERROR(VLOOKUP(C386,CC!A:D,4,0)," ")</f>
        <v> </v>
      </c>
      <c r="CH386" s="22" t="str">
        <f>IFERROR(VLOOKUP(C386,'спецификация'!B:AA,19,0)," ")</f>
        <v> </v>
      </c>
      <c r="CI386" s="22"/>
      <c r="CJ386" s="43"/>
      <c r="CK386" s="22" t="str">
        <f>IFERROR(VLOOKUP(C386,CC!K:M,3,0)," ")</f>
        <v> </v>
      </c>
      <c r="CL386" s="43"/>
      <c r="CM386" s="43"/>
      <c r="CN386" s="43"/>
      <c r="CO386" s="43"/>
      <c r="CP386" s="43"/>
      <c r="CQ386" s="43"/>
      <c r="CR386" s="43"/>
      <c r="CS386" s="43" t="b">
        <v>0</v>
      </c>
      <c r="CT386" s="43" t="b">
        <v>0</v>
      </c>
      <c r="CU386" s="43" t="b">
        <v>0</v>
      </c>
      <c r="CV386" s="43" t="b">
        <v>0</v>
      </c>
      <c r="CW386" s="43"/>
      <c r="CX386" s="43"/>
      <c r="CY386" s="43"/>
      <c r="CZ386" s="43"/>
      <c r="DA386" s="43"/>
      <c r="DB386" s="43"/>
      <c r="DC386" s="43"/>
      <c r="DD386" s="22" t="str">
        <f>IFERROR(VLOOKUP($C386,'Лист4'!$D:$AI,27,0)," ")</f>
        <v> </v>
      </c>
      <c r="DE386" s="22" t="str">
        <f>IFERROR(VLOOKUP($C386,'Лист4'!$D:$AI,28,0)," ")</f>
        <v> </v>
      </c>
      <c r="DF386" s="22" t="str">
        <f>IFERROR(VLOOKUP($C386,'Лист4'!$D:$AI,29,0)," ")</f>
        <v> </v>
      </c>
      <c r="DG386" s="22" t="str">
        <f t="shared" si="3"/>
        <v> </v>
      </c>
      <c r="DH386" s="22" t="str">
        <f>IFERROR(VLOOKUP($C386,'Лист4'!$D:$AI,32,0)," ")</f>
        <v> </v>
      </c>
      <c r="DI386" s="22"/>
      <c r="DJ386" s="22"/>
      <c r="DK386" s="22"/>
      <c r="DL386" s="22"/>
      <c r="DM386" s="22"/>
      <c r="DN386" s="22"/>
      <c r="DO386" s="22"/>
      <c r="DP386" s="22"/>
      <c r="DQ386" s="22"/>
      <c r="DR386" s="22"/>
      <c r="DS386" s="22"/>
      <c r="DT386" s="22"/>
      <c r="DU386" s="22"/>
      <c r="DV386" s="22"/>
      <c r="DW386" s="22"/>
      <c r="DX386" s="22"/>
      <c r="DY386" s="22"/>
      <c r="DZ386" s="22"/>
      <c r="EA386" s="22"/>
      <c r="EB386" s="22"/>
      <c r="EC386" s="22"/>
      <c r="ED386" s="22"/>
      <c r="EE386" s="22"/>
      <c r="EF386" s="22"/>
      <c r="EG386" s="22"/>
      <c r="EH386" s="22"/>
      <c r="EI386" s="22"/>
      <c r="EJ386" s="22"/>
      <c r="EK386" s="22"/>
      <c r="EL386" s="22"/>
      <c r="EM386" s="43"/>
      <c r="EN386" s="43"/>
      <c r="EO386" s="43"/>
      <c r="EP386" s="43"/>
      <c r="EQ386" s="43"/>
      <c r="ER386" s="43"/>
      <c r="ES386" s="43"/>
      <c r="ET386" s="43"/>
      <c r="EU386" s="43"/>
      <c r="EV386" s="43"/>
      <c r="EW386" s="43"/>
      <c r="EX386" s="43"/>
      <c r="EY386" s="43"/>
      <c r="EZ386" s="43"/>
      <c r="FA386" s="43"/>
      <c r="FB386" s="43"/>
      <c r="FC386" s="43"/>
    </row>
    <row r="387" ht="18.0" customHeight="1">
      <c r="A387" s="2"/>
      <c r="B387" s="22" t="str">
        <f>IFERROR(VLOOKUP(C387,'Реестр'!C:AC,27,0)," ")</f>
        <v> </v>
      </c>
      <c r="C387" s="43"/>
      <c r="D387" s="22" t="str">
        <f>IFERROR(VLOOKUP(C387,'Лист4'!D:P,13,0)," ")</f>
        <v> </v>
      </c>
      <c r="E387" s="22"/>
      <c r="F387" s="43"/>
      <c r="G387" s="43"/>
      <c r="H387" s="22" t="s">
        <v>401</v>
      </c>
      <c r="I387" s="22" t="s">
        <v>401</v>
      </c>
      <c r="J387" s="43"/>
      <c r="K387" s="43"/>
      <c r="L387" s="22"/>
      <c r="M387" s="22"/>
      <c r="N387" s="22"/>
      <c r="O387" s="22"/>
      <c r="P387" s="22"/>
      <c r="Q387" s="22"/>
      <c r="R387" s="22"/>
      <c r="S387" s="43"/>
      <c r="T387" s="43"/>
      <c r="U387" s="22" t="str">
        <f>IFERROR(VLOOKUP(T387,'Лист4'!C:I,3,0)," ")</f>
        <v> </v>
      </c>
      <c r="V387" s="22" t="str">
        <f>IFERROR(VLOOKUP(T387,'Лист4'!C:I,4,0)," ")</f>
        <v> </v>
      </c>
      <c r="W387" s="55"/>
      <c r="X387" s="55"/>
      <c r="Y387" s="43" t="str">
        <f>IFERROR(VLOOKUP(T387,'Лист4'!C:I,6,0)," ")</f>
        <v> </v>
      </c>
      <c r="Z387" s="43"/>
      <c r="AA387" s="43"/>
      <c r="AB387" s="22"/>
      <c r="AC387" s="22"/>
      <c r="AD387" s="22"/>
      <c r="AE387" s="22"/>
      <c r="AF387" s="22"/>
      <c r="AG387" s="43"/>
      <c r="AH387" s="43"/>
      <c r="AI387" s="43"/>
      <c r="AJ387" s="43"/>
      <c r="AK387" s="43"/>
      <c r="AL387" s="43"/>
      <c r="AM387" s="43"/>
      <c r="AN387" s="43"/>
      <c r="AO387" s="43"/>
      <c r="AP387" s="43"/>
      <c r="AQ387" s="43"/>
      <c r="AR387" s="43"/>
      <c r="AS387" s="43"/>
      <c r="AT387" s="43"/>
      <c r="AU387" s="43"/>
      <c r="AV387" s="43"/>
      <c r="AW387" s="43"/>
      <c r="AX387" s="22"/>
      <c r="AY387" s="22" t="str">
        <f>IFERROR(VLOOKUP(C387,'спецификация'!B:AA,25,0)," ")</f>
        <v> </v>
      </c>
      <c r="AZ387" s="43"/>
      <c r="BA387" s="43"/>
      <c r="BB387" s="43"/>
      <c r="BC387" s="43"/>
      <c r="BD387" s="43"/>
      <c r="BE387" s="43"/>
      <c r="BF387" s="22" t="str">
        <f>IFERROR(VLOOKUP(C387,'спецификация'!B:D,3,0)," ")</f>
        <v> </v>
      </c>
      <c r="BG387" s="22" t="str">
        <f>IFERROR(VLOOKUP(C387,'спецификация'!B:AA,4,0)," ")</f>
        <v> </v>
      </c>
      <c r="BH387" s="22" t="str">
        <f>IFERROR(VLOOKUP(C387,'спецификация'!B:AA,5,0)," ")</f>
        <v> </v>
      </c>
      <c r="BI387" s="22"/>
      <c r="BJ387" s="22" t="str">
        <f>IFERROR(VLOOKUP(C387,'спецификация'!B:AA,6,0)," ")</f>
        <v> </v>
      </c>
      <c r="BK387" s="43"/>
      <c r="BL387" s="43"/>
      <c r="BM387" s="22" t="str">
        <f>IFERROR(VLOOKUP(C387,'спецификация'!B:AA,7,0)," ")</f>
        <v> </v>
      </c>
      <c r="BN387" s="43"/>
      <c r="BO387" s="22" t="str">
        <f>IFERROR(VLOOKUP(C387,'спецификация'!B:AA,10,0)," ")</f>
        <v> </v>
      </c>
      <c r="BP387" s="43" t="str">
        <f>IFERROR(VLOOKUP(C387,'спецификация'!B:AA,11,0)," ")</f>
        <v> </v>
      </c>
      <c r="BQ387" s="22" t="str">
        <f>IFERROR(VLOOKUP(C387,'спецификация'!B:AA,12,0)," ")</f>
        <v> </v>
      </c>
      <c r="BR387" s="22"/>
      <c r="BS387" s="43"/>
      <c r="BT387" s="43"/>
      <c r="BU387" s="22"/>
      <c r="BV387" s="22" t="s">
        <v>401</v>
      </c>
      <c r="BW387" s="45" t="str">
        <f>IFERROR(VLOOKUP(C387,'спецификация'!B:AA,16,0)," ")</f>
        <v> </v>
      </c>
      <c r="BX387" s="43"/>
      <c r="BY387" s="43"/>
      <c r="BZ387" s="45" t="str">
        <f>IFERROR(VLOOKUP(C387,'спецификация'!B:AA,24,0)," ")</f>
        <v> </v>
      </c>
      <c r="CA387" s="43"/>
      <c r="CB387" s="43"/>
      <c r="CC387" s="43"/>
      <c r="CD387" s="43"/>
      <c r="CE387" s="43"/>
      <c r="CF387" s="43"/>
      <c r="CG387" s="49" t="str">
        <f>IFERROR(VLOOKUP(C387,CC!A:D,4,0)," ")</f>
        <v> </v>
      </c>
      <c r="CH387" s="22" t="str">
        <f>IFERROR(VLOOKUP(C387,'спецификация'!B:AA,19,0)," ")</f>
        <v> </v>
      </c>
      <c r="CI387" s="22"/>
      <c r="CJ387" s="43"/>
      <c r="CK387" s="22" t="str">
        <f>IFERROR(VLOOKUP(C387,CC!K:M,3,0)," ")</f>
        <v> </v>
      </c>
      <c r="CL387" s="43"/>
      <c r="CM387" s="43"/>
      <c r="CN387" s="43"/>
      <c r="CO387" s="43"/>
      <c r="CP387" s="43"/>
      <c r="CQ387" s="43"/>
      <c r="CR387" s="43"/>
      <c r="CS387" s="43" t="b">
        <v>0</v>
      </c>
      <c r="CT387" s="43" t="b">
        <v>0</v>
      </c>
      <c r="CU387" s="43" t="b">
        <v>0</v>
      </c>
      <c r="CV387" s="43" t="b">
        <v>0</v>
      </c>
      <c r="CW387" s="43"/>
      <c r="CX387" s="43"/>
      <c r="CY387" s="43"/>
      <c r="CZ387" s="43"/>
      <c r="DA387" s="43"/>
      <c r="DB387" s="43"/>
      <c r="DC387" s="43"/>
      <c r="DD387" s="22" t="str">
        <f>IFERROR(VLOOKUP($C387,'Лист4'!$D:$AI,27,0)," ")</f>
        <v> </v>
      </c>
      <c r="DE387" s="22" t="str">
        <f>IFERROR(VLOOKUP($C387,'Лист4'!$D:$AI,28,0)," ")</f>
        <v> </v>
      </c>
      <c r="DF387" s="22" t="str">
        <f>IFERROR(VLOOKUP($C387,'Лист4'!$D:$AI,29,0)," ")</f>
        <v> </v>
      </c>
      <c r="DG387" s="22" t="str">
        <f t="shared" si="3"/>
        <v> </v>
      </c>
      <c r="DH387" s="22" t="str">
        <f>IFERROR(VLOOKUP($C387,'Лист4'!$D:$AI,32,0)," ")</f>
        <v> </v>
      </c>
      <c r="DI387" s="22"/>
      <c r="DJ387" s="22"/>
      <c r="DK387" s="22"/>
      <c r="DL387" s="22"/>
      <c r="DM387" s="22"/>
      <c r="DN387" s="22"/>
      <c r="DO387" s="22"/>
      <c r="DP387" s="22"/>
      <c r="DQ387" s="22"/>
      <c r="DR387" s="22"/>
      <c r="DS387" s="22"/>
      <c r="DT387" s="22"/>
      <c r="DU387" s="22"/>
      <c r="DV387" s="22"/>
      <c r="DW387" s="22"/>
      <c r="DX387" s="22"/>
      <c r="DY387" s="22"/>
      <c r="DZ387" s="22"/>
      <c r="EA387" s="22"/>
      <c r="EB387" s="22"/>
      <c r="EC387" s="22"/>
      <c r="ED387" s="22"/>
      <c r="EE387" s="22"/>
      <c r="EF387" s="22"/>
      <c r="EG387" s="22"/>
      <c r="EH387" s="22"/>
      <c r="EI387" s="22"/>
      <c r="EJ387" s="22"/>
      <c r="EK387" s="22"/>
      <c r="EL387" s="22"/>
      <c r="EM387" s="43"/>
      <c r="EN387" s="43"/>
      <c r="EO387" s="43"/>
      <c r="EP387" s="43"/>
      <c r="EQ387" s="43"/>
      <c r="ER387" s="43"/>
      <c r="ES387" s="43"/>
      <c r="ET387" s="43"/>
      <c r="EU387" s="43"/>
      <c r="EV387" s="43"/>
      <c r="EW387" s="43"/>
      <c r="EX387" s="43"/>
      <c r="EY387" s="43"/>
      <c r="EZ387" s="43"/>
      <c r="FA387" s="43"/>
      <c r="FB387" s="43"/>
      <c r="FC387" s="43"/>
    </row>
    <row r="388" ht="18.0" customHeight="1">
      <c r="A388" s="2"/>
      <c r="B388" s="22" t="str">
        <f>IFERROR(VLOOKUP(C388,'Реестр'!C:AC,27,0)," ")</f>
        <v> </v>
      </c>
      <c r="C388" s="43"/>
      <c r="D388" s="22" t="str">
        <f>IFERROR(VLOOKUP(C388,'Лист4'!D:P,13,0)," ")</f>
        <v> </v>
      </c>
      <c r="E388" s="22"/>
      <c r="F388" s="43"/>
      <c r="G388" s="43"/>
      <c r="H388" s="22" t="s">
        <v>401</v>
      </c>
      <c r="I388" s="22" t="s">
        <v>401</v>
      </c>
      <c r="J388" s="43"/>
      <c r="K388" s="43"/>
      <c r="L388" s="22"/>
      <c r="M388" s="22"/>
      <c r="N388" s="22"/>
      <c r="O388" s="22"/>
      <c r="P388" s="22"/>
      <c r="Q388" s="22"/>
      <c r="R388" s="22"/>
      <c r="S388" s="43"/>
      <c r="T388" s="43"/>
      <c r="U388" s="22" t="str">
        <f>IFERROR(VLOOKUP(T388,'Лист4'!C:I,3,0)," ")</f>
        <v> </v>
      </c>
      <c r="V388" s="22" t="str">
        <f>IFERROR(VLOOKUP(T388,'Лист4'!C:I,4,0)," ")</f>
        <v> </v>
      </c>
      <c r="W388" s="55"/>
      <c r="X388" s="55"/>
      <c r="Y388" s="43" t="str">
        <f>IFERROR(VLOOKUP(T388,'Лист4'!C:I,6,0)," ")</f>
        <v> </v>
      </c>
      <c r="Z388" s="43"/>
      <c r="AA388" s="43"/>
      <c r="AB388" s="22"/>
      <c r="AC388" s="22"/>
      <c r="AD388" s="22"/>
      <c r="AE388" s="22"/>
      <c r="AF388" s="22"/>
      <c r="AG388" s="43"/>
      <c r="AH388" s="43"/>
      <c r="AI388" s="43"/>
      <c r="AJ388" s="43"/>
      <c r="AK388" s="43"/>
      <c r="AL388" s="43"/>
      <c r="AM388" s="43"/>
      <c r="AN388" s="43"/>
      <c r="AO388" s="43"/>
      <c r="AP388" s="43"/>
      <c r="AQ388" s="43"/>
      <c r="AR388" s="43"/>
      <c r="AS388" s="43"/>
      <c r="AT388" s="43"/>
      <c r="AU388" s="43"/>
      <c r="AV388" s="43"/>
      <c r="AW388" s="43"/>
      <c r="AX388" s="22"/>
      <c r="AY388" s="22" t="str">
        <f>IFERROR(VLOOKUP(C388,'спецификация'!B:AA,25,0)," ")</f>
        <v> </v>
      </c>
      <c r="AZ388" s="43"/>
      <c r="BA388" s="43"/>
      <c r="BB388" s="43"/>
      <c r="BC388" s="43"/>
      <c r="BD388" s="43"/>
      <c r="BE388" s="43"/>
      <c r="BF388" s="22" t="str">
        <f>IFERROR(VLOOKUP(C388,'спецификация'!B:D,3,0)," ")</f>
        <v> </v>
      </c>
      <c r="BG388" s="22" t="str">
        <f>IFERROR(VLOOKUP(C388,'спецификация'!B:AA,4,0)," ")</f>
        <v> </v>
      </c>
      <c r="BH388" s="22" t="str">
        <f>IFERROR(VLOOKUP(C388,'спецификация'!B:AA,5,0)," ")</f>
        <v> </v>
      </c>
      <c r="BI388" s="22"/>
      <c r="BJ388" s="22" t="str">
        <f>IFERROR(VLOOKUP(C388,'спецификация'!B:AA,6,0)," ")</f>
        <v> </v>
      </c>
      <c r="BK388" s="43"/>
      <c r="BL388" s="43"/>
      <c r="BM388" s="22" t="str">
        <f>IFERROR(VLOOKUP(C388,'спецификация'!B:AA,7,0)," ")</f>
        <v> </v>
      </c>
      <c r="BN388" s="43"/>
      <c r="BO388" s="22" t="str">
        <f>IFERROR(VLOOKUP(C388,'спецификация'!B:AA,10,0)," ")</f>
        <v> </v>
      </c>
      <c r="BP388" s="43" t="str">
        <f>IFERROR(VLOOKUP(C388,'спецификация'!B:AA,11,0)," ")</f>
        <v> </v>
      </c>
      <c r="BQ388" s="22" t="str">
        <f>IFERROR(VLOOKUP(C388,'спецификация'!B:AA,12,0)," ")</f>
        <v> </v>
      </c>
      <c r="BR388" s="22"/>
      <c r="BS388" s="43"/>
      <c r="BT388" s="43"/>
      <c r="BU388" s="22"/>
      <c r="BV388" s="22" t="s">
        <v>401</v>
      </c>
      <c r="BW388" s="45" t="str">
        <f>IFERROR(VLOOKUP(C388,'спецификация'!B:AA,16,0)," ")</f>
        <v> </v>
      </c>
      <c r="BX388" s="43"/>
      <c r="BY388" s="43"/>
      <c r="BZ388" s="45" t="str">
        <f>IFERROR(VLOOKUP(C388,'спецификация'!B:AA,24,0)," ")</f>
        <v> </v>
      </c>
      <c r="CA388" s="43"/>
      <c r="CB388" s="43"/>
      <c r="CC388" s="43"/>
      <c r="CD388" s="43"/>
      <c r="CE388" s="43"/>
      <c r="CF388" s="43"/>
      <c r="CG388" s="49" t="str">
        <f>IFERROR(VLOOKUP(C388,CC!A:D,4,0)," ")</f>
        <v> </v>
      </c>
      <c r="CH388" s="22" t="str">
        <f>IFERROR(VLOOKUP(C388,'спецификация'!B:AA,19,0)," ")</f>
        <v> </v>
      </c>
      <c r="CI388" s="22"/>
      <c r="CJ388" s="43"/>
      <c r="CK388" s="22" t="str">
        <f>IFERROR(VLOOKUP(C388,CC!K:M,3,0)," ")</f>
        <v> </v>
      </c>
      <c r="CL388" s="43"/>
      <c r="CM388" s="43"/>
      <c r="CN388" s="43"/>
      <c r="CO388" s="43"/>
      <c r="CP388" s="43"/>
      <c r="CQ388" s="43"/>
      <c r="CR388" s="43"/>
      <c r="CS388" s="43" t="b">
        <v>0</v>
      </c>
      <c r="CT388" s="43" t="b">
        <v>0</v>
      </c>
      <c r="CU388" s="43" t="b">
        <v>0</v>
      </c>
      <c r="CV388" s="43" t="b">
        <v>0</v>
      </c>
      <c r="CW388" s="43"/>
      <c r="CX388" s="43"/>
      <c r="CY388" s="43"/>
      <c r="CZ388" s="43"/>
      <c r="DA388" s="43"/>
      <c r="DB388" s="43"/>
      <c r="DC388" s="43"/>
      <c r="DD388" s="22" t="str">
        <f>IFERROR(VLOOKUP($C388,'Лист4'!$D:$AI,27,0)," ")</f>
        <v> </v>
      </c>
      <c r="DE388" s="22" t="str">
        <f>IFERROR(VLOOKUP($C388,'Лист4'!$D:$AI,28,0)," ")</f>
        <v> </v>
      </c>
      <c r="DF388" s="22" t="str">
        <f>IFERROR(VLOOKUP($C388,'Лист4'!$D:$AI,29,0)," ")</f>
        <v> </v>
      </c>
      <c r="DG388" s="22" t="str">
        <f t="shared" si="3"/>
        <v> </v>
      </c>
      <c r="DH388" s="22" t="str">
        <f>IFERROR(VLOOKUP($C388,'Лист4'!$D:$AI,32,0)," ")</f>
        <v> </v>
      </c>
      <c r="DI388" s="22"/>
      <c r="DJ388" s="22"/>
      <c r="DK388" s="22"/>
      <c r="DL388" s="22"/>
      <c r="DM388" s="22"/>
      <c r="DN388" s="22"/>
      <c r="DO388" s="22"/>
      <c r="DP388" s="22"/>
      <c r="DQ388" s="22"/>
      <c r="DR388" s="22"/>
      <c r="DS388" s="22"/>
      <c r="DT388" s="22"/>
      <c r="DU388" s="22"/>
      <c r="DV388" s="22"/>
      <c r="DW388" s="22"/>
      <c r="DX388" s="22"/>
      <c r="DY388" s="22"/>
      <c r="DZ388" s="22"/>
      <c r="EA388" s="22"/>
      <c r="EB388" s="22"/>
      <c r="EC388" s="22"/>
      <c r="ED388" s="22"/>
      <c r="EE388" s="22"/>
      <c r="EF388" s="22"/>
      <c r="EG388" s="22"/>
      <c r="EH388" s="22"/>
      <c r="EI388" s="22"/>
      <c r="EJ388" s="22"/>
      <c r="EK388" s="22"/>
      <c r="EL388" s="22"/>
      <c r="EM388" s="43"/>
      <c r="EN388" s="43"/>
      <c r="EO388" s="43"/>
      <c r="EP388" s="43"/>
      <c r="EQ388" s="43"/>
      <c r="ER388" s="43"/>
      <c r="ES388" s="43"/>
      <c r="ET388" s="43"/>
      <c r="EU388" s="43"/>
      <c r="EV388" s="43"/>
      <c r="EW388" s="43"/>
      <c r="EX388" s="43"/>
      <c r="EY388" s="43"/>
      <c r="EZ388" s="43"/>
      <c r="FA388" s="43"/>
      <c r="FB388" s="43"/>
      <c r="FC388" s="43"/>
    </row>
    <row r="389" ht="18.0" customHeight="1">
      <c r="A389" s="2"/>
      <c r="B389" s="22" t="str">
        <f>IFERROR(VLOOKUP(C389,'Реестр'!C:AC,27,0)," ")</f>
        <v> </v>
      </c>
      <c r="C389" s="43"/>
      <c r="D389" s="22" t="str">
        <f>IFERROR(VLOOKUP(C389,'Лист4'!D:P,13,0)," ")</f>
        <v> </v>
      </c>
      <c r="E389" s="22"/>
      <c r="F389" s="43"/>
      <c r="G389" s="43"/>
      <c r="H389" s="22" t="s">
        <v>401</v>
      </c>
      <c r="I389" s="22" t="s">
        <v>401</v>
      </c>
      <c r="J389" s="43"/>
      <c r="K389" s="43"/>
      <c r="L389" s="22"/>
      <c r="M389" s="22"/>
      <c r="N389" s="22"/>
      <c r="O389" s="22"/>
      <c r="P389" s="22"/>
      <c r="Q389" s="22"/>
      <c r="R389" s="22"/>
      <c r="S389" s="43"/>
      <c r="T389" s="43"/>
      <c r="U389" s="22" t="str">
        <f>IFERROR(VLOOKUP(T389,'Лист4'!C:I,3,0)," ")</f>
        <v> </v>
      </c>
      <c r="V389" s="22" t="str">
        <f>IFERROR(VLOOKUP(T389,'Лист4'!C:I,4,0)," ")</f>
        <v> </v>
      </c>
      <c r="W389" s="55"/>
      <c r="X389" s="73"/>
      <c r="Y389" s="43" t="str">
        <f>IFERROR(VLOOKUP(T389,'Лист4'!C:I,6,0)," ")</f>
        <v> </v>
      </c>
      <c r="Z389" s="43"/>
      <c r="AA389" s="43"/>
      <c r="AB389" s="22"/>
      <c r="AC389" s="22"/>
      <c r="AD389" s="22"/>
      <c r="AE389" s="22"/>
      <c r="AF389" s="22"/>
      <c r="AG389" s="43"/>
      <c r="AH389" s="43"/>
      <c r="AI389" s="43"/>
      <c r="AJ389" s="43"/>
      <c r="AK389" s="43"/>
      <c r="AL389" s="43"/>
      <c r="AM389" s="43"/>
      <c r="AN389" s="43"/>
      <c r="AO389" s="43"/>
      <c r="AP389" s="43"/>
      <c r="AQ389" s="43"/>
      <c r="AR389" s="43"/>
      <c r="AS389" s="43"/>
      <c r="AT389" s="43"/>
      <c r="AU389" s="43"/>
      <c r="AV389" s="43"/>
      <c r="AW389" s="43"/>
      <c r="AX389" s="22"/>
      <c r="AY389" s="22" t="str">
        <f>IFERROR(VLOOKUP(C389,'спецификация'!B:AA,25,0)," ")</f>
        <v> </v>
      </c>
      <c r="AZ389" s="43"/>
      <c r="BA389" s="43"/>
      <c r="BB389" s="43"/>
      <c r="BC389" s="43"/>
      <c r="BD389" s="43"/>
      <c r="BE389" s="43"/>
      <c r="BF389" s="22" t="str">
        <f>IFERROR(VLOOKUP(C389,'спецификация'!B:D,3,0)," ")</f>
        <v> </v>
      </c>
      <c r="BG389" s="22" t="str">
        <f>IFERROR(VLOOKUP(C389,'спецификация'!B:AA,4,0)," ")</f>
        <v> </v>
      </c>
      <c r="BH389" s="22" t="str">
        <f>IFERROR(VLOOKUP(C389,'спецификация'!B:AA,5,0)," ")</f>
        <v> </v>
      </c>
      <c r="BI389" s="22"/>
      <c r="BJ389" s="22" t="str">
        <f>IFERROR(VLOOKUP(C389,'спецификация'!B:AA,6,0)," ")</f>
        <v> </v>
      </c>
      <c r="BK389" s="43"/>
      <c r="BL389" s="43"/>
      <c r="BM389" s="22" t="str">
        <f>IFERROR(VLOOKUP(C389,'спецификация'!B:AA,7,0)," ")</f>
        <v> </v>
      </c>
      <c r="BN389" s="43"/>
      <c r="BO389" s="22" t="str">
        <f>IFERROR(VLOOKUP(C389,'спецификация'!B:AA,10,0)," ")</f>
        <v> </v>
      </c>
      <c r="BP389" s="43" t="str">
        <f>IFERROR(VLOOKUP(C389,'спецификация'!B:AA,11,0)," ")</f>
        <v> </v>
      </c>
      <c r="BQ389" s="22" t="str">
        <f>IFERROR(VLOOKUP(C389,'спецификация'!B:AA,12,0)," ")</f>
        <v> </v>
      </c>
      <c r="BR389" s="22"/>
      <c r="BS389" s="43"/>
      <c r="BT389" s="43"/>
      <c r="BU389" s="22"/>
      <c r="BV389" s="22" t="s">
        <v>401</v>
      </c>
      <c r="BW389" s="45" t="str">
        <f>IFERROR(VLOOKUP(C389,'спецификация'!B:AA,16,0)," ")</f>
        <v> </v>
      </c>
      <c r="BX389" s="43"/>
      <c r="BY389" s="43"/>
      <c r="BZ389" s="45" t="str">
        <f>IFERROR(VLOOKUP(C389,'спецификация'!B:AA,24,0)," ")</f>
        <v> </v>
      </c>
      <c r="CA389" s="43"/>
      <c r="CB389" s="43"/>
      <c r="CC389" s="43"/>
      <c r="CD389" s="43"/>
      <c r="CE389" s="43"/>
      <c r="CF389" s="43"/>
      <c r="CG389" s="49" t="str">
        <f>IFERROR(VLOOKUP(C389,CC!A:D,4,0)," ")</f>
        <v> </v>
      </c>
      <c r="CH389" s="22" t="str">
        <f>IFERROR(VLOOKUP(C389,'спецификация'!B:AA,19,0)," ")</f>
        <v> </v>
      </c>
      <c r="CI389" s="22"/>
      <c r="CJ389" s="43"/>
      <c r="CK389" s="22" t="str">
        <f>IFERROR(VLOOKUP(C389,CC!K:M,3,0)," ")</f>
        <v> </v>
      </c>
      <c r="CL389" s="43"/>
      <c r="CM389" s="43"/>
      <c r="CN389" s="43"/>
      <c r="CO389" s="43"/>
      <c r="CP389" s="43"/>
      <c r="CQ389" s="43"/>
      <c r="CR389" s="43"/>
      <c r="CS389" s="43" t="b">
        <v>0</v>
      </c>
      <c r="CT389" s="43" t="b">
        <v>0</v>
      </c>
      <c r="CU389" s="43" t="b">
        <v>0</v>
      </c>
      <c r="CV389" s="43" t="b">
        <v>0</v>
      </c>
      <c r="CW389" s="43"/>
      <c r="CX389" s="43"/>
      <c r="CY389" s="43"/>
      <c r="CZ389" s="43"/>
      <c r="DA389" s="43"/>
      <c r="DB389" s="43"/>
      <c r="DC389" s="43"/>
      <c r="DD389" s="22" t="str">
        <f>IFERROR(VLOOKUP($C389,'Лист4'!$D:$AI,27,0)," ")</f>
        <v> </v>
      </c>
      <c r="DE389" s="22" t="str">
        <f>IFERROR(VLOOKUP($C389,'Лист4'!$D:$AI,28,0)," ")</f>
        <v> </v>
      </c>
      <c r="DF389" s="22" t="str">
        <f>IFERROR(VLOOKUP($C389,'Лист4'!$D:$AI,29,0)," ")</f>
        <v> </v>
      </c>
      <c r="DG389" s="22" t="str">
        <f t="shared" si="3"/>
        <v> </v>
      </c>
      <c r="DH389" s="22" t="str">
        <f>IFERROR(VLOOKUP($C389,'Лист4'!$D:$AI,32,0)," ")</f>
        <v> </v>
      </c>
      <c r="DI389" s="22"/>
      <c r="DJ389" s="22"/>
      <c r="DK389" s="22"/>
      <c r="DL389" s="22"/>
      <c r="DM389" s="22"/>
      <c r="DN389" s="22"/>
      <c r="DO389" s="22"/>
      <c r="DP389" s="22"/>
      <c r="DQ389" s="22"/>
      <c r="DR389" s="22"/>
      <c r="DS389" s="22"/>
      <c r="DT389" s="22"/>
      <c r="DU389" s="22"/>
      <c r="DV389" s="22"/>
      <c r="DW389" s="22"/>
      <c r="DX389" s="22"/>
      <c r="DY389" s="22"/>
      <c r="DZ389" s="22"/>
      <c r="EA389" s="22"/>
      <c r="EB389" s="22"/>
      <c r="EC389" s="22"/>
      <c r="ED389" s="22"/>
      <c r="EE389" s="22"/>
      <c r="EF389" s="22"/>
      <c r="EG389" s="22"/>
      <c r="EH389" s="22"/>
      <c r="EI389" s="22"/>
      <c r="EJ389" s="22"/>
      <c r="EK389" s="22"/>
      <c r="EL389" s="22"/>
      <c r="EM389" s="43"/>
      <c r="EN389" s="43"/>
      <c r="EO389" s="43"/>
      <c r="EP389" s="43"/>
      <c r="EQ389" s="43"/>
      <c r="ER389" s="43"/>
      <c r="ES389" s="43"/>
      <c r="ET389" s="43"/>
      <c r="EU389" s="43"/>
      <c r="EV389" s="43"/>
      <c r="EW389" s="43"/>
      <c r="EX389" s="43"/>
      <c r="EY389" s="43"/>
      <c r="EZ389" s="43"/>
      <c r="FA389" s="43"/>
      <c r="FB389" s="43"/>
      <c r="FC389" s="43"/>
    </row>
    <row r="390" ht="18.0" customHeight="1">
      <c r="A390" s="2"/>
      <c r="B390" s="22" t="str">
        <f>IFERROR(VLOOKUP(C390,'Реестр'!C:AC,27,0)," ")</f>
        <v> </v>
      </c>
      <c r="C390" s="43"/>
      <c r="D390" s="22" t="str">
        <f>IFERROR(VLOOKUP(C390,'Лист4'!D:P,13,0)," ")</f>
        <v> </v>
      </c>
      <c r="E390" s="22"/>
      <c r="F390" s="43"/>
      <c r="G390" s="43"/>
      <c r="H390" s="22" t="s">
        <v>401</v>
      </c>
      <c r="I390" s="22" t="s">
        <v>401</v>
      </c>
      <c r="J390" s="43"/>
      <c r="K390" s="43"/>
      <c r="L390" s="22"/>
      <c r="M390" s="22"/>
      <c r="N390" s="22"/>
      <c r="O390" s="22"/>
      <c r="P390" s="22"/>
      <c r="Q390" s="22"/>
      <c r="R390" s="22"/>
      <c r="S390" s="43"/>
      <c r="T390" s="43"/>
      <c r="U390" s="22" t="str">
        <f>IFERROR(VLOOKUP(T390,'Лист4'!C:I,3,0)," ")</f>
        <v> </v>
      </c>
      <c r="V390" s="22" t="str">
        <f>IFERROR(VLOOKUP(T390,'Лист4'!C:I,4,0)," ")</f>
        <v> </v>
      </c>
      <c r="W390" s="55"/>
      <c r="X390" s="73"/>
      <c r="Y390" s="43" t="str">
        <f>IFERROR(VLOOKUP(T390,'Лист4'!C:I,6,0)," ")</f>
        <v> </v>
      </c>
      <c r="Z390" s="43"/>
      <c r="AA390" s="43"/>
      <c r="AB390" s="22"/>
      <c r="AC390" s="22"/>
      <c r="AD390" s="22"/>
      <c r="AE390" s="22"/>
      <c r="AF390" s="22"/>
      <c r="AG390" s="43"/>
      <c r="AH390" s="43"/>
      <c r="AI390" s="43"/>
      <c r="AJ390" s="43"/>
      <c r="AK390" s="43"/>
      <c r="AL390" s="43"/>
      <c r="AM390" s="43"/>
      <c r="AN390" s="43"/>
      <c r="AO390" s="43"/>
      <c r="AP390" s="43"/>
      <c r="AQ390" s="43"/>
      <c r="AR390" s="43"/>
      <c r="AS390" s="43"/>
      <c r="AT390" s="43"/>
      <c r="AU390" s="43"/>
      <c r="AV390" s="43"/>
      <c r="AW390" s="43"/>
      <c r="AX390" s="22"/>
      <c r="AY390" s="22" t="str">
        <f>IFERROR(VLOOKUP(C390,'спецификация'!B:AA,25,0)," ")</f>
        <v> </v>
      </c>
      <c r="AZ390" s="43"/>
      <c r="BA390" s="43"/>
      <c r="BB390" s="43"/>
      <c r="BC390" s="43"/>
      <c r="BD390" s="43"/>
      <c r="BE390" s="43"/>
      <c r="BF390" s="22" t="str">
        <f>IFERROR(VLOOKUP(C390,'спецификация'!B:D,3,0)," ")</f>
        <v> </v>
      </c>
      <c r="BG390" s="22" t="str">
        <f>IFERROR(VLOOKUP(C390,'спецификация'!B:AA,4,0)," ")</f>
        <v> </v>
      </c>
      <c r="BH390" s="22" t="str">
        <f>IFERROR(VLOOKUP(C390,'спецификация'!B:AA,5,0)," ")</f>
        <v> </v>
      </c>
      <c r="BI390" s="22"/>
      <c r="BJ390" s="22" t="str">
        <f>IFERROR(VLOOKUP(C390,'спецификация'!B:AA,6,0)," ")</f>
        <v> </v>
      </c>
      <c r="BK390" s="43"/>
      <c r="BL390" s="43"/>
      <c r="BM390" s="22" t="str">
        <f>IFERROR(VLOOKUP(C390,'спецификация'!B:AA,7,0)," ")</f>
        <v> </v>
      </c>
      <c r="BN390" s="43"/>
      <c r="BO390" s="22" t="str">
        <f>IFERROR(VLOOKUP(C390,'спецификация'!B:AA,10,0)," ")</f>
        <v> </v>
      </c>
      <c r="BP390" s="43" t="str">
        <f>IFERROR(VLOOKUP(C390,'спецификация'!B:AA,11,0)," ")</f>
        <v> </v>
      </c>
      <c r="BQ390" s="22" t="str">
        <f>IFERROR(VLOOKUP(C390,'спецификация'!B:AA,12,0)," ")</f>
        <v> </v>
      </c>
      <c r="BR390" s="22"/>
      <c r="BS390" s="43"/>
      <c r="BT390" s="43"/>
      <c r="BU390" s="22"/>
      <c r="BV390" s="22" t="s">
        <v>401</v>
      </c>
      <c r="BW390" s="45" t="str">
        <f>IFERROR(VLOOKUP(C390,'спецификация'!B:AA,16,0)," ")</f>
        <v> </v>
      </c>
      <c r="BX390" s="43"/>
      <c r="BY390" s="43"/>
      <c r="BZ390" s="45" t="str">
        <f>IFERROR(VLOOKUP(C390,'спецификация'!B:AA,24,0)," ")</f>
        <v> </v>
      </c>
      <c r="CA390" s="43"/>
      <c r="CB390" s="43"/>
      <c r="CC390" s="43"/>
      <c r="CD390" s="43"/>
      <c r="CE390" s="43"/>
      <c r="CF390" s="43"/>
      <c r="CG390" s="49" t="str">
        <f>IFERROR(VLOOKUP(C390,CC!A:D,4,0)," ")</f>
        <v> </v>
      </c>
      <c r="CH390" s="22" t="str">
        <f>IFERROR(VLOOKUP(C390,'спецификация'!B:AA,19,0)," ")</f>
        <v> </v>
      </c>
      <c r="CI390" s="22"/>
      <c r="CJ390" s="43"/>
      <c r="CK390" s="22" t="str">
        <f>IFERROR(VLOOKUP(C390,CC!K:M,3,0)," ")</f>
        <v> </v>
      </c>
      <c r="CL390" s="43"/>
      <c r="CM390" s="43"/>
      <c r="CN390" s="43"/>
      <c r="CO390" s="43"/>
      <c r="CP390" s="43"/>
      <c r="CQ390" s="43"/>
      <c r="CR390" s="43"/>
      <c r="CS390" s="43" t="b">
        <v>0</v>
      </c>
      <c r="CT390" s="43" t="b">
        <v>0</v>
      </c>
      <c r="CU390" s="43" t="b">
        <v>0</v>
      </c>
      <c r="CV390" s="43" t="b">
        <v>0</v>
      </c>
      <c r="CW390" s="43"/>
      <c r="CX390" s="43"/>
      <c r="CY390" s="43"/>
      <c r="CZ390" s="43"/>
      <c r="DA390" s="43"/>
      <c r="DB390" s="43"/>
      <c r="DC390" s="43"/>
      <c r="DD390" s="22" t="str">
        <f>IFERROR(VLOOKUP($C390,'Лист4'!$D:$AI,27,0)," ")</f>
        <v> </v>
      </c>
      <c r="DE390" s="22" t="str">
        <f>IFERROR(VLOOKUP($C390,'Лист4'!$D:$AI,28,0)," ")</f>
        <v> </v>
      </c>
      <c r="DF390" s="22" t="str">
        <f>IFERROR(VLOOKUP($C390,'Лист4'!$D:$AI,29,0)," ")</f>
        <v> </v>
      </c>
      <c r="DG390" s="22" t="str">
        <f t="shared" si="3"/>
        <v> </v>
      </c>
      <c r="DH390" s="22" t="str">
        <f>IFERROR(VLOOKUP($C390,'Лист4'!$D:$AI,32,0)," ")</f>
        <v> </v>
      </c>
      <c r="DI390" s="22"/>
      <c r="DJ390" s="22"/>
      <c r="DK390" s="22"/>
      <c r="DL390" s="22"/>
      <c r="DM390" s="22"/>
      <c r="DN390" s="22"/>
      <c r="DO390" s="22"/>
      <c r="DP390" s="22"/>
      <c r="DQ390" s="22"/>
      <c r="DR390" s="22"/>
      <c r="DS390" s="22"/>
      <c r="DT390" s="22"/>
      <c r="DU390" s="22"/>
      <c r="DV390" s="22"/>
      <c r="DW390" s="22"/>
      <c r="DX390" s="22"/>
      <c r="DY390" s="22"/>
      <c r="DZ390" s="22"/>
      <c r="EA390" s="22"/>
      <c r="EB390" s="22"/>
      <c r="EC390" s="22"/>
      <c r="ED390" s="22"/>
      <c r="EE390" s="22"/>
      <c r="EF390" s="22"/>
      <c r="EG390" s="22"/>
      <c r="EH390" s="22"/>
      <c r="EI390" s="22"/>
      <c r="EJ390" s="22"/>
      <c r="EK390" s="22"/>
      <c r="EL390" s="22"/>
      <c r="EM390" s="43"/>
      <c r="EN390" s="43"/>
      <c r="EO390" s="43"/>
      <c r="EP390" s="43"/>
      <c r="EQ390" s="43"/>
      <c r="ER390" s="43"/>
      <c r="ES390" s="43"/>
      <c r="ET390" s="43"/>
      <c r="EU390" s="43"/>
      <c r="EV390" s="43"/>
      <c r="EW390" s="43"/>
      <c r="EX390" s="43"/>
      <c r="EY390" s="43"/>
      <c r="EZ390" s="43"/>
      <c r="FA390" s="43"/>
      <c r="FB390" s="43"/>
      <c r="FC390" s="43"/>
    </row>
    <row r="391" ht="18.0" customHeight="1">
      <c r="A391" s="2"/>
      <c r="B391" s="22" t="str">
        <f>IFERROR(VLOOKUP(C391,'Реестр'!C:AC,27,0)," ")</f>
        <v> </v>
      </c>
      <c r="C391" s="43"/>
      <c r="D391" s="22" t="str">
        <f>IFERROR(VLOOKUP(C391,'Лист4'!D:P,13,0)," ")</f>
        <v> </v>
      </c>
      <c r="E391" s="22"/>
      <c r="F391" s="43"/>
      <c r="G391" s="43"/>
      <c r="H391" s="22" t="s">
        <v>401</v>
      </c>
      <c r="I391" s="22" t="s">
        <v>401</v>
      </c>
      <c r="J391" s="43"/>
      <c r="K391" s="43"/>
      <c r="L391" s="22"/>
      <c r="M391" s="22"/>
      <c r="N391" s="22"/>
      <c r="O391" s="22"/>
      <c r="P391" s="22"/>
      <c r="Q391" s="22"/>
      <c r="R391" s="22"/>
      <c r="S391" s="43"/>
      <c r="T391" s="43"/>
      <c r="U391" s="22" t="str">
        <f>IFERROR(VLOOKUP(T391,'Лист4'!C:I,3,0)," ")</f>
        <v> </v>
      </c>
      <c r="V391" s="22" t="str">
        <f>IFERROR(VLOOKUP(T391,'Лист4'!C:I,4,0)," ")</f>
        <v> </v>
      </c>
      <c r="W391" s="55"/>
      <c r="X391" s="73"/>
      <c r="Y391" s="43" t="str">
        <f>IFERROR(VLOOKUP(T391,'Лист4'!C:I,6,0)," ")</f>
        <v> </v>
      </c>
      <c r="Z391" s="43"/>
      <c r="AA391" s="43"/>
      <c r="AB391" s="22"/>
      <c r="AC391" s="22"/>
      <c r="AD391" s="22"/>
      <c r="AE391" s="22"/>
      <c r="AF391" s="22"/>
      <c r="AG391" s="43"/>
      <c r="AH391" s="43"/>
      <c r="AI391" s="43"/>
      <c r="AJ391" s="43"/>
      <c r="AK391" s="43"/>
      <c r="AL391" s="43"/>
      <c r="AM391" s="43"/>
      <c r="AN391" s="43"/>
      <c r="AO391" s="43"/>
      <c r="AP391" s="43"/>
      <c r="AQ391" s="43"/>
      <c r="AR391" s="43"/>
      <c r="AS391" s="43"/>
      <c r="AT391" s="43"/>
      <c r="AU391" s="43"/>
      <c r="AV391" s="43"/>
      <c r="AW391" s="43"/>
      <c r="AX391" s="22"/>
      <c r="AY391" s="22" t="str">
        <f>IFERROR(VLOOKUP(C391,'спецификация'!B:AA,25,0)," ")</f>
        <v> </v>
      </c>
      <c r="AZ391" s="43"/>
      <c r="BA391" s="43"/>
      <c r="BB391" s="43"/>
      <c r="BC391" s="43"/>
      <c r="BD391" s="43"/>
      <c r="BE391" s="43"/>
      <c r="BF391" s="22" t="str">
        <f>IFERROR(VLOOKUP(C391,'спецификация'!B:D,3,0)," ")</f>
        <v> </v>
      </c>
      <c r="BG391" s="22" t="str">
        <f>IFERROR(VLOOKUP(C391,'спецификация'!B:AA,4,0)," ")</f>
        <v> </v>
      </c>
      <c r="BH391" s="22" t="str">
        <f>IFERROR(VLOOKUP(C391,'спецификация'!B:AA,5,0)," ")</f>
        <v> </v>
      </c>
      <c r="BI391" s="22"/>
      <c r="BJ391" s="22" t="str">
        <f>IFERROR(VLOOKUP(C391,'спецификация'!B:AA,6,0)," ")</f>
        <v> </v>
      </c>
      <c r="BK391" s="43"/>
      <c r="BL391" s="43"/>
      <c r="BM391" s="22" t="str">
        <f>IFERROR(VLOOKUP(C391,'спецификация'!B:AA,7,0)," ")</f>
        <v> </v>
      </c>
      <c r="BN391" s="43"/>
      <c r="BO391" s="22" t="str">
        <f>IFERROR(VLOOKUP(C391,'спецификация'!B:AA,10,0)," ")</f>
        <v> </v>
      </c>
      <c r="BP391" s="43" t="str">
        <f>IFERROR(VLOOKUP(C391,'спецификация'!B:AA,11,0)," ")</f>
        <v> </v>
      </c>
      <c r="BQ391" s="22" t="str">
        <f>IFERROR(VLOOKUP(C391,'спецификация'!B:AA,12,0)," ")</f>
        <v> </v>
      </c>
      <c r="BR391" s="22"/>
      <c r="BS391" s="43"/>
      <c r="BT391" s="43"/>
      <c r="BU391" s="22"/>
      <c r="BV391" s="22" t="s">
        <v>401</v>
      </c>
      <c r="BW391" s="45" t="str">
        <f>IFERROR(VLOOKUP(C391,'спецификация'!B:AA,16,0)," ")</f>
        <v> </v>
      </c>
      <c r="BX391" s="43"/>
      <c r="BY391" s="43"/>
      <c r="BZ391" s="45" t="str">
        <f>IFERROR(VLOOKUP(C391,'спецификация'!B:AA,24,0)," ")</f>
        <v> </v>
      </c>
      <c r="CA391" s="43"/>
      <c r="CB391" s="43"/>
      <c r="CC391" s="43"/>
      <c r="CD391" s="43"/>
      <c r="CE391" s="43"/>
      <c r="CF391" s="43"/>
      <c r="CG391" s="49" t="str">
        <f>IFERROR(VLOOKUP(C391,CC!A:D,4,0)," ")</f>
        <v> </v>
      </c>
      <c r="CH391" s="22" t="str">
        <f>IFERROR(VLOOKUP(C391,'спецификация'!B:AA,19,0)," ")</f>
        <v> </v>
      </c>
      <c r="CI391" s="22"/>
      <c r="CJ391" s="43"/>
      <c r="CK391" s="22" t="str">
        <f>IFERROR(VLOOKUP(C391,CC!K:M,3,0)," ")</f>
        <v> </v>
      </c>
      <c r="CL391" s="43"/>
      <c r="CM391" s="43"/>
      <c r="CN391" s="43"/>
      <c r="CO391" s="43"/>
      <c r="CP391" s="43"/>
      <c r="CQ391" s="43"/>
      <c r="CR391" s="43"/>
      <c r="CS391" s="43" t="b">
        <v>0</v>
      </c>
      <c r="CT391" s="43" t="b">
        <v>0</v>
      </c>
      <c r="CU391" s="43" t="b">
        <v>0</v>
      </c>
      <c r="CV391" s="43" t="b">
        <v>0</v>
      </c>
      <c r="CW391" s="43"/>
      <c r="CX391" s="43"/>
      <c r="CY391" s="43"/>
      <c r="CZ391" s="43"/>
      <c r="DA391" s="43"/>
      <c r="DB391" s="43"/>
      <c r="DC391" s="43"/>
      <c r="DD391" s="22" t="str">
        <f>IFERROR(VLOOKUP($C391,'Лист4'!$D:$AI,27,0)," ")</f>
        <v> </v>
      </c>
      <c r="DE391" s="22" t="str">
        <f>IFERROR(VLOOKUP($C391,'Лист4'!$D:$AI,28,0)," ")</f>
        <v> </v>
      </c>
      <c r="DF391" s="22" t="str">
        <f>IFERROR(VLOOKUP($C391,'Лист4'!$D:$AI,29,0)," ")</f>
        <v> </v>
      </c>
      <c r="DG391" s="22" t="str">
        <f t="shared" si="3"/>
        <v> </v>
      </c>
      <c r="DH391" s="22" t="str">
        <f>IFERROR(VLOOKUP($C391,'Лист4'!$D:$AI,32,0)," ")</f>
        <v> </v>
      </c>
      <c r="DI391" s="22"/>
      <c r="DJ391" s="22"/>
      <c r="DK391" s="22"/>
      <c r="DL391" s="22"/>
      <c r="DM391" s="22"/>
      <c r="DN391" s="22"/>
      <c r="DO391" s="22"/>
      <c r="DP391" s="22"/>
      <c r="DQ391" s="22"/>
      <c r="DR391" s="22"/>
      <c r="DS391" s="22"/>
      <c r="DT391" s="22"/>
      <c r="DU391" s="22"/>
      <c r="DV391" s="22"/>
      <c r="DW391" s="22"/>
      <c r="DX391" s="22"/>
      <c r="DY391" s="22"/>
      <c r="DZ391" s="22"/>
      <c r="EA391" s="22"/>
      <c r="EB391" s="22"/>
      <c r="EC391" s="22"/>
      <c r="ED391" s="22"/>
      <c r="EE391" s="22"/>
      <c r="EF391" s="22"/>
      <c r="EG391" s="22"/>
      <c r="EH391" s="22"/>
      <c r="EI391" s="22"/>
      <c r="EJ391" s="22"/>
      <c r="EK391" s="22"/>
      <c r="EL391" s="22"/>
      <c r="EM391" s="43"/>
      <c r="EN391" s="43"/>
      <c r="EO391" s="43"/>
      <c r="EP391" s="43"/>
      <c r="EQ391" s="43"/>
      <c r="ER391" s="43"/>
      <c r="ES391" s="43"/>
      <c r="ET391" s="43"/>
      <c r="EU391" s="43"/>
      <c r="EV391" s="43"/>
      <c r="EW391" s="43"/>
      <c r="EX391" s="43"/>
      <c r="EY391" s="43"/>
      <c r="EZ391" s="43"/>
      <c r="FA391" s="43"/>
      <c r="FB391" s="43"/>
      <c r="FC391" s="43"/>
    </row>
    <row r="392" ht="18.0" customHeight="1">
      <c r="A392" s="2"/>
      <c r="B392" s="22" t="str">
        <f>IFERROR(VLOOKUP(C392,'Реестр'!C:AC,27,0)," ")</f>
        <v> </v>
      </c>
      <c r="C392" s="43"/>
      <c r="D392" s="22" t="str">
        <f>IFERROR(VLOOKUP(C392,'Лист4'!D:P,13,0)," ")</f>
        <v> </v>
      </c>
      <c r="E392" s="22"/>
      <c r="F392" s="43"/>
      <c r="G392" s="43"/>
      <c r="H392" s="22" t="s">
        <v>401</v>
      </c>
      <c r="I392" s="22" t="s">
        <v>401</v>
      </c>
      <c r="J392" s="43"/>
      <c r="K392" s="43"/>
      <c r="L392" s="22"/>
      <c r="M392" s="22"/>
      <c r="N392" s="22"/>
      <c r="O392" s="22"/>
      <c r="P392" s="22"/>
      <c r="Q392" s="22"/>
      <c r="R392" s="22"/>
      <c r="S392" s="43"/>
      <c r="T392" s="43"/>
      <c r="U392" s="22" t="str">
        <f>IFERROR(VLOOKUP(T392,'Лист4'!C:I,3,0)," ")</f>
        <v> </v>
      </c>
      <c r="V392" s="22" t="str">
        <f>IFERROR(VLOOKUP(T392,'Лист4'!C:I,4,0)," ")</f>
        <v> </v>
      </c>
      <c r="W392" s="55"/>
      <c r="X392" s="73"/>
      <c r="Y392" s="43" t="str">
        <f>IFERROR(VLOOKUP(T392,'Лист4'!C:I,6,0)," ")</f>
        <v> </v>
      </c>
      <c r="Z392" s="43"/>
      <c r="AA392" s="43"/>
      <c r="AB392" s="22"/>
      <c r="AC392" s="22"/>
      <c r="AD392" s="22"/>
      <c r="AE392" s="22"/>
      <c r="AF392" s="22"/>
      <c r="AG392" s="43"/>
      <c r="AH392" s="43"/>
      <c r="AI392" s="43"/>
      <c r="AJ392" s="43"/>
      <c r="AK392" s="43"/>
      <c r="AL392" s="43"/>
      <c r="AM392" s="43"/>
      <c r="AN392" s="43"/>
      <c r="AO392" s="43"/>
      <c r="AP392" s="43"/>
      <c r="AQ392" s="43"/>
      <c r="AR392" s="43"/>
      <c r="AS392" s="43"/>
      <c r="AT392" s="43"/>
      <c r="AU392" s="43"/>
      <c r="AV392" s="43"/>
      <c r="AW392" s="43"/>
      <c r="AX392" s="22"/>
      <c r="AY392" s="22" t="str">
        <f>IFERROR(VLOOKUP(C392,'спецификация'!B:AA,25,0)," ")</f>
        <v> </v>
      </c>
      <c r="AZ392" s="43"/>
      <c r="BA392" s="43"/>
      <c r="BB392" s="43"/>
      <c r="BC392" s="43"/>
      <c r="BD392" s="43"/>
      <c r="BE392" s="43"/>
      <c r="BF392" s="22" t="str">
        <f>IFERROR(VLOOKUP(C392,'спецификация'!B:D,3,0)," ")</f>
        <v> </v>
      </c>
      <c r="BG392" s="22" t="str">
        <f>IFERROR(VLOOKUP(C392,'спецификация'!B:AA,4,0)," ")</f>
        <v> </v>
      </c>
      <c r="BH392" s="22" t="str">
        <f>IFERROR(VLOOKUP(C392,'спецификация'!B:AA,5,0)," ")</f>
        <v> </v>
      </c>
      <c r="BI392" s="22"/>
      <c r="BJ392" s="22" t="str">
        <f>IFERROR(VLOOKUP(C392,'спецификация'!B:AA,6,0)," ")</f>
        <v> </v>
      </c>
      <c r="BK392" s="43"/>
      <c r="BL392" s="43"/>
      <c r="BM392" s="22" t="str">
        <f>IFERROR(VLOOKUP(C392,'спецификация'!B:AA,7,0)," ")</f>
        <v> </v>
      </c>
      <c r="BN392" s="43"/>
      <c r="BO392" s="22" t="str">
        <f>IFERROR(VLOOKUP(C392,'спецификация'!B:AA,10,0)," ")</f>
        <v> </v>
      </c>
      <c r="BP392" s="43" t="str">
        <f>IFERROR(VLOOKUP(C392,'спецификация'!B:AA,11,0)," ")</f>
        <v> </v>
      </c>
      <c r="BQ392" s="22" t="str">
        <f>IFERROR(VLOOKUP(C392,'спецификация'!B:AA,12,0)," ")</f>
        <v> </v>
      </c>
      <c r="BR392" s="22"/>
      <c r="BS392" s="43"/>
      <c r="BT392" s="43"/>
      <c r="BU392" s="22"/>
      <c r="BV392" s="22" t="s">
        <v>401</v>
      </c>
      <c r="BW392" s="45" t="str">
        <f>IFERROR(VLOOKUP(C392,'спецификация'!B:AA,16,0)," ")</f>
        <v> </v>
      </c>
      <c r="BX392" s="43"/>
      <c r="BY392" s="43"/>
      <c r="BZ392" s="45" t="str">
        <f>IFERROR(VLOOKUP(C392,'спецификация'!B:AA,24,0)," ")</f>
        <v> </v>
      </c>
      <c r="CA392" s="43"/>
      <c r="CB392" s="43"/>
      <c r="CC392" s="43"/>
      <c r="CD392" s="43"/>
      <c r="CE392" s="43"/>
      <c r="CF392" s="43"/>
      <c r="CG392" s="49" t="str">
        <f>IFERROR(VLOOKUP(C392,CC!A:D,4,0)," ")</f>
        <v> </v>
      </c>
      <c r="CH392" s="22" t="str">
        <f>IFERROR(VLOOKUP(C392,'спецификация'!B:AA,19,0)," ")</f>
        <v> </v>
      </c>
      <c r="CI392" s="22"/>
      <c r="CJ392" s="43"/>
      <c r="CK392" s="22" t="str">
        <f>IFERROR(VLOOKUP(C392,CC!K:M,3,0)," ")</f>
        <v> </v>
      </c>
      <c r="CL392" s="43"/>
      <c r="CM392" s="43"/>
      <c r="CN392" s="43"/>
      <c r="CO392" s="43"/>
      <c r="CP392" s="43"/>
      <c r="CQ392" s="43"/>
      <c r="CR392" s="43"/>
      <c r="CS392" s="43" t="b">
        <v>0</v>
      </c>
      <c r="CT392" s="43" t="b">
        <v>0</v>
      </c>
      <c r="CU392" s="43" t="b">
        <v>0</v>
      </c>
      <c r="CV392" s="43" t="b">
        <v>0</v>
      </c>
      <c r="CW392" s="43"/>
      <c r="CX392" s="43"/>
      <c r="CY392" s="43"/>
      <c r="CZ392" s="43"/>
      <c r="DA392" s="43"/>
      <c r="DB392" s="43"/>
      <c r="DC392" s="43"/>
      <c r="DD392" s="22" t="str">
        <f>IFERROR(VLOOKUP($C392,'Лист4'!$D:$AI,27,0)," ")</f>
        <v> </v>
      </c>
      <c r="DE392" s="22" t="str">
        <f>IFERROR(VLOOKUP($C392,'Лист4'!$D:$AI,28,0)," ")</f>
        <v> </v>
      </c>
      <c r="DF392" s="22" t="str">
        <f>IFERROR(VLOOKUP($C392,'Лист4'!$D:$AI,29,0)," ")</f>
        <v> </v>
      </c>
      <c r="DG392" s="22" t="str">
        <f t="shared" si="3"/>
        <v> </v>
      </c>
      <c r="DH392" s="22" t="str">
        <f>IFERROR(VLOOKUP($C392,'Лист4'!$D:$AI,32,0)," ")</f>
        <v> </v>
      </c>
      <c r="DI392" s="22"/>
      <c r="DJ392" s="22"/>
      <c r="DK392" s="22"/>
      <c r="DL392" s="22"/>
      <c r="DM392" s="22"/>
      <c r="DN392" s="22"/>
      <c r="DO392" s="22"/>
      <c r="DP392" s="22"/>
      <c r="DQ392" s="22"/>
      <c r="DR392" s="22"/>
      <c r="DS392" s="22"/>
      <c r="DT392" s="22"/>
      <c r="DU392" s="22"/>
      <c r="DV392" s="22"/>
      <c r="DW392" s="22"/>
      <c r="DX392" s="22"/>
      <c r="DY392" s="22"/>
      <c r="DZ392" s="22"/>
      <c r="EA392" s="22"/>
      <c r="EB392" s="22"/>
      <c r="EC392" s="22"/>
      <c r="ED392" s="22"/>
      <c r="EE392" s="22"/>
      <c r="EF392" s="22"/>
      <c r="EG392" s="22"/>
      <c r="EH392" s="22"/>
      <c r="EI392" s="22"/>
      <c r="EJ392" s="22"/>
      <c r="EK392" s="22"/>
      <c r="EL392" s="22"/>
      <c r="EM392" s="43"/>
      <c r="EN392" s="43"/>
      <c r="EO392" s="43"/>
      <c r="EP392" s="43"/>
      <c r="EQ392" s="43"/>
      <c r="ER392" s="43"/>
      <c r="ES392" s="43"/>
      <c r="ET392" s="43"/>
      <c r="EU392" s="43"/>
      <c r="EV392" s="43"/>
      <c r="EW392" s="43"/>
      <c r="EX392" s="43"/>
      <c r="EY392" s="43"/>
      <c r="EZ392" s="43"/>
      <c r="FA392" s="43"/>
      <c r="FB392" s="43"/>
      <c r="FC392" s="43"/>
    </row>
    <row r="393" ht="18.0" customHeight="1">
      <c r="A393" s="2"/>
      <c r="B393" s="22" t="str">
        <f>IFERROR(VLOOKUP(C393,'Реестр'!C:AC,27,0)," ")</f>
        <v> </v>
      </c>
      <c r="C393" s="43"/>
      <c r="D393" s="22" t="str">
        <f>IFERROR(VLOOKUP(C393,'Лист4'!D:P,13,0)," ")</f>
        <v> </v>
      </c>
      <c r="E393" s="22"/>
      <c r="F393" s="43"/>
      <c r="G393" s="43"/>
      <c r="H393" s="22" t="s">
        <v>401</v>
      </c>
      <c r="I393" s="22" t="s">
        <v>401</v>
      </c>
      <c r="J393" s="43"/>
      <c r="K393" s="43"/>
      <c r="L393" s="22"/>
      <c r="M393" s="22"/>
      <c r="N393" s="22"/>
      <c r="O393" s="22"/>
      <c r="P393" s="22"/>
      <c r="Q393" s="22"/>
      <c r="R393" s="22"/>
      <c r="S393" s="43"/>
      <c r="T393" s="43"/>
      <c r="U393" s="22" t="str">
        <f>IFERROR(VLOOKUP(T393,'Лист4'!C:I,3,0)," ")</f>
        <v> </v>
      </c>
      <c r="V393" s="22" t="str">
        <f>IFERROR(VLOOKUP(T393,'Лист4'!C:I,4,0)," ")</f>
        <v> </v>
      </c>
      <c r="W393" s="55"/>
      <c r="X393" s="73"/>
      <c r="Y393" s="43" t="str">
        <f>IFERROR(VLOOKUP(T393,'Лист4'!C:I,6,0)," ")</f>
        <v> </v>
      </c>
      <c r="Z393" s="43"/>
      <c r="AA393" s="43"/>
      <c r="AB393" s="22"/>
      <c r="AC393" s="22"/>
      <c r="AD393" s="22"/>
      <c r="AE393" s="22"/>
      <c r="AF393" s="22"/>
      <c r="AG393" s="43"/>
      <c r="AH393" s="43"/>
      <c r="AI393" s="43"/>
      <c r="AJ393" s="43"/>
      <c r="AK393" s="43"/>
      <c r="AL393" s="43"/>
      <c r="AM393" s="43"/>
      <c r="AN393" s="43"/>
      <c r="AO393" s="43"/>
      <c r="AP393" s="43"/>
      <c r="AQ393" s="43"/>
      <c r="AR393" s="43"/>
      <c r="AS393" s="43"/>
      <c r="AT393" s="43"/>
      <c r="AU393" s="43"/>
      <c r="AV393" s="43"/>
      <c r="AW393" s="43"/>
      <c r="AX393" s="22"/>
      <c r="AY393" s="22" t="str">
        <f>IFERROR(VLOOKUP(C393,'спецификация'!B:AA,25,0)," ")</f>
        <v> </v>
      </c>
      <c r="AZ393" s="43"/>
      <c r="BA393" s="43"/>
      <c r="BB393" s="43"/>
      <c r="BC393" s="43"/>
      <c r="BD393" s="43"/>
      <c r="BE393" s="43"/>
      <c r="BF393" s="22" t="str">
        <f>IFERROR(VLOOKUP(C393,'спецификация'!B:D,3,0)," ")</f>
        <v> </v>
      </c>
      <c r="BG393" s="22" t="str">
        <f>IFERROR(VLOOKUP(C393,'спецификация'!B:AA,4,0)," ")</f>
        <v> </v>
      </c>
      <c r="BH393" s="22" t="str">
        <f>IFERROR(VLOOKUP(C393,'спецификация'!B:AA,5,0)," ")</f>
        <v> </v>
      </c>
      <c r="BI393" s="22"/>
      <c r="BJ393" s="22" t="str">
        <f>IFERROR(VLOOKUP(C393,'спецификация'!B:AA,6,0)," ")</f>
        <v> </v>
      </c>
      <c r="BK393" s="43"/>
      <c r="BL393" s="43"/>
      <c r="BM393" s="22" t="str">
        <f>IFERROR(VLOOKUP(C393,'спецификация'!B:AA,7,0)," ")</f>
        <v> </v>
      </c>
      <c r="BN393" s="43"/>
      <c r="BO393" s="22" t="str">
        <f>IFERROR(VLOOKUP(C393,'спецификация'!B:AA,10,0)," ")</f>
        <v> </v>
      </c>
      <c r="BP393" s="43" t="str">
        <f>IFERROR(VLOOKUP(C393,'спецификация'!B:AA,11,0)," ")</f>
        <v> </v>
      </c>
      <c r="BQ393" s="22" t="str">
        <f>IFERROR(VLOOKUP(C393,'спецификация'!B:AA,12,0)," ")</f>
        <v> </v>
      </c>
      <c r="BR393" s="22"/>
      <c r="BS393" s="43"/>
      <c r="BT393" s="43"/>
      <c r="BU393" s="22"/>
      <c r="BV393" s="22" t="s">
        <v>401</v>
      </c>
      <c r="BW393" s="45" t="str">
        <f>IFERROR(VLOOKUP(C393,'спецификация'!B:AA,16,0)," ")</f>
        <v> </v>
      </c>
      <c r="BX393" s="43"/>
      <c r="BY393" s="43"/>
      <c r="BZ393" s="45" t="str">
        <f>IFERROR(VLOOKUP(C393,'спецификация'!B:AA,24,0)," ")</f>
        <v> </v>
      </c>
      <c r="CA393" s="43"/>
      <c r="CB393" s="43"/>
      <c r="CC393" s="43"/>
      <c r="CD393" s="43"/>
      <c r="CE393" s="43"/>
      <c r="CF393" s="43"/>
      <c r="CG393" s="49" t="str">
        <f>IFERROR(VLOOKUP(C393,CC!A:D,4,0)," ")</f>
        <v> </v>
      </c>
      <c r="CH393" s="22" t="str">
        <f>IFERROR(VLOOKUP(C393,'спецификация'!B:AA,19,0)," ")</f>
        <v> </v>
      </c>
      <c r="CI393" s="22"/>
      <c r="CJ393" s="43"/>
      <c r="CK393" s="22" t="str">
        <f>IFERROR(VLOOKUP(C393,CC!K:M,3,0)," ")</f>
        <v> </v>
      </c>
      <c r="CL393" s="43"/>
      <c r="CM393" s="43"/>
      <c r="CN393" s="43"/>
      <c r="CO393" s="43"/>
      <c r="CP393" s="43"/>
      <c r="CQ393" s="43"/>
      <c r="CR393" s="43"/>
      <c r="CS393" s="43" t="b">
        <v>0</v>
      </c>
      <c r="CT393" s="43" t="b">
        <v>0</v>
      </c>
      <c r="CU393" s="43" t="b">
        <v>0</v>
      </c>
      <c r="CV393" s="43" t="b">
        <v>0</v>
      </c>
      <c r="CW393" s="43"/>
      <c r="CX393" s="43"/>
      <c r="CY393" s="43"/>
      <c r="CZ393" s="43"/>
      <c r="DA393" s="43"/>
      <c r="DB393" s="43"/>
      <c r="DC393" s="43"/>
      <c r="DD393" s="22" t="str">
        <f>IFERROR(VLOOKUP($C393,'Лист4'!$D:$AI,27,0)," ")</f>
        <v> </v>
      </c>
      <c r="DE393" s="22" t="str">
        <f>IFERROR(VLOOKUP($C393,'Лист4'!$D:$AI,28,0)," ")</f>
        <v> </v>
      </c>
      <c r="DF393" s="22" t="str">
        <f>IFERROR(VLOOKUP($C393,'Лист4'!$D:$AI,29,0)," ")</f>
        <v> </v>
      </c>
      <c r="DG393" s="22" t="str">
        <f t="shared" si="3"/>
        <v> </v>
      </c>
      <c r="DH393" s="22" t="str">
        <f>IFERROR(VLOOKUP($C393,'Лист4'!$D:$AI,32,0)," ")</f>
        <v> </v>
      </c>
      <c r="DI393" s="22"/>
      <c r="DJ393" s="22"/>
      <c r="DK393" s="22"/>
      <c r="DL393" s="22"/>
      <c r="DM393" s="22"/>
      <c r="DN393" s="22"/>
      <c r="DO393" s="22"/>
      <c r="DP393" s="22"/>
      <c r="DQ393" s="22"/>
      <c r="DR393" s="22"/>
      <c r="DS393" s="22"/>
      <c r="DT393" s="22"/>
      <c r="DU393" s="22"/>
      <c r="DV393" s="22"/>
      <c r="DW393" s="22"/>
      <c r="DX393" s="22"/>
      <c r="DY393" s="22"/>
      <c r="DZ393" s="22"/>
      <c r="EA393" s="22"/>
      <c r="EB393" s="22"/>
      <c r="EC393" s="22"/>
      <c r="ED393" s="22"/>
      <c r="EE393" s="22"/>
      <c r="EF393" s="22"/>
      <c r="EG393" s="22"/>
      <c r="EH393" s="22"/>
      <c r="EI393" s="22"/>
      <c r="EJ393" s="22"/>
      <c r="EK393" s="22"/>
      <c r="EL393" s="22"/>
      <c r="EM393" s="43"/>
      <c r="EN393" s="43"/>
      <c r="EO393" s="43"/>
      <c r="EP393" s="43"/>
      <c r="EQ393" s="43"/>
      <c r="ER393" s="43"/>
      <c r="ES393" s="43"/>
      <c r="ET393" s="43"/>
      <c r="EU393" s="43"/>
      <c r="EV393" s="43"/>
      <c r="EW393" s="43"/>
      <c r="EX393" s="43"/>
      <c r="EY393" s="43"/>
      <c r="EZ393" s="43"/>
      <c r="FA393" s="43"/>
      <c r="FB393" s="43"/>
      <c r="FC393" s="43"/>
    </row>
    <row r="394" ht="18.0" customHeight="1">
      <c r="A394" s="2"/>
      <c r="B394" s="22" t="str">
        <f>IFERROR(VLOOKUP(C394,'Реестр'!C:AC,27,0)," ")</f>
        <v> </v>
      </c>
      <c r="C394" s="43"/>
      <c r="D394" s="22" t="str">
        <f>IFERROR(VLOOKUP(C394,'Лист4'!D:P,13,0)," ")</f>
        <v> </v>
      </c>
      <c r="E394" s="22"/>
      <c r="F394" s="43"/>
      <c r="G394" s="43"/>
      <c r="H394" s="22" t="s">
        <v>401</v>
      </c>
      <c r="I394" s="22" t="s">
        <v>401</v>
      </c>
      <c r="J394" s="43"/>
      <c r="K394" s="43"/>
      <c r="L394" s="22"/>
      <c r="M394" s="22"/>
      <c r="N394" s="22"/>
      <c r="O394" s="22"/>
      <c r="P394" s="22"/>
      <c r="Q394" s="22"/>
      <c r="R394" s="22"/>
      <c r="S394" s="43"/>
      <c r="T394" s="43"/>
      <c r="U394" s="22" t="str">
        <f>IFERROR(VLOOKUP(T394,'Лист4'!C:I,3,0)," ")</f>
        <v> </v>
      </c>
      <c r="V394" s="22" t="str">
        <f>IFERROR(VLOOKUP(T394,'Лист4'!C:I,4,0)," ")</f>
        <v> </v>
      </c>
      <c r="W394" s="55"/>
      <c r="X394" s="43"/>
      <c r="Y394" s="43" t="str">
        <f>IFERROR(VLOOKUP(T394,'Лист4'!C:I,6,0)," ")</f>
        <v> </v>
      </c>
      <c r="Z394" s="43"/>
      <c r="AA394" s="43"/>
      <c r="AB394" s="22"/>
      <c r="AC394" s="22"/>
      <c r="AD394" s="22"/>
      <c r="AE394" s="22"/>
      <c r="AF394" s="22"/>
      <c r="AG394" s="43"/>
      <c r="AH394" s="43"/>
      <c r="AI394" s="43"/>
      <c r="AJ394" s="43"/>
      <c r="AK394" s="43"/>
      <c r="AL394" s="43"/>
      <c r="AM394" s="43"/>
      <c r="AN394" s="43"/>
      <c r="AO394" s="43"/>
      <c r="AP394" s="43"/>
      <c r="AQ394" s="43"/>
      <c r="AR394" s="43"/>
      <c r="AS394" s="43"/>
      <c r="AT394" s="43"/>
      <c r="AU394" s="43"/>
      <c r="AV394" s="43"/>
      <c r="AW394" s="43"/>
      <c r="AX394" s="22"/>
      <c r="AY394" s="22" t="str">
        <f>IFERROR(VLOOKUP(C394,'спецификация'!B:AA,25,0)," ")</f>
        <v> </v>
      </c>
      <c r="AZ394" s="43"/>
      <c r="BA394" s="43"/>
      <c r="BB394" s="43"/>
      <c r="BC394" s="43"/>
      <c r="BD394" s="43"/>
      <c r="BE394" s="43"/>
      <c r="BF394" s="22" t="str">
        <f>IFERROR(VLOOKUP(C394,'спецификация'!B:D,3,0)," ")</f>
        <v> </v>
      </c>
      <c r="BG394" s="22" t="str">
        <f>IFERROR(VLOOKUP(C394,'спецификация'!B:AA,4,0)," ")</f>
        <v> </v>
      </c>
      <c r="BH394" s="22" t="str">
        <f>IFERROR(VLOOKUP(C394,'спецификация'!B:AA,5,0)," ")</f>
        <v> </v>
      </c>
      <c r="BI394" s="22"/>
      <c r="BJ394" s="22" t="str">
        <f>IFERROR(VLOOKUP(C394,'спецификация'!B:AA,6,0)," ")</f>
        <v> </v>
      </c>
      <c r="BK394" s="43"/>
      <c r="BL394" s="43"/>
      <c r="BM394" s="22" t="str">
        <f>IFERROR(VLOOKUP(C394,'спецификация'!B:AA,7,0)," ")</f>
        <v> </v>
      </c>
      <c r="BN394" s="43"/>
      <c r="BO394" s="22" t="str">
        <f>IFERROR(VLOOKUP(C394,'спецификация'!B:AA,10,0)," ")</f>
        <v> </v>
      </c>
      <c r="BP394" s="43" t="str">
        <f>IFERROR(VLOOKUP(C394,'спецификация'!B:AA,11,0)," ")</f>
        <v> </v>
      </c>
      <c r="BQ394" s="22" t="str">
        <f>IFERROR(VLOOKUP(C394,'спецификация'!B:AA,12,0)," ")</f>
        <v> </v>
      </c>
      <c r="BR394" s="22"/>
      <c r="BS394" s="43"/>
      <c r="BT394" s="43"/>
      <c r="BU394" s="22"/>
      <c r="BV394" s="22" t="s">
        <v>401</v>
      </c>
      <c r="BW394" s="45" t="str">
        <f>IFERROR(VLOOKUP(C394,'спецификация'!B:AA,16,0)," ")</f>
        <v> </v>
      </c>
      <c r="BX394" s="43"/>
      <c r="BY394" s="43"/>
      <c r="BZ394" s="45" t="str">
        <f>IFERROR(VLOOKUP(C394,'спецификация'!B:AA,24,0)," ")</f>
        <v> </v>
      </c>
      <c r="CA394" s="43"/>
      <c r="CB394" s="43"/>
      <c r="CC394" s="43"/>
      <c r="CD394" s="43"/>
      <c r="CE394" s="43"/>
      <c r="CF394" s="43"/>
      <c r="CG394" s="49" t="str">
        <f>IFERROR(VLOOKUP(C394,CC!A:D,4,0)," ")</f>
        <v> </v>
      </c>
      <c r="CH394" s="22" t="str">
        <f>IFERROR(VLOOKUP(C394,'спецификация'!B:AA,19,0)," ")</f>
        <v> </v>
      </c>
      <c r="CI394" s="22"/>
      <c r="CJ394" s="43"/>
      <c r="CK394" s="22" t="str">
        <f>IFERROR(VLOOKUP(C394,CC!K:M,3,0)," ")</f>
        <v> </v>
      </c>
      <c r="CL394" s="43"/>
      <c r="CM394" s="43"/>
      <c r="CN394" s="43"/>
      <c r="CO394" s="43"/>
      <c r="CP394" s="43"/>
      <c r="CQ394" s="43"/>
      <c r="CR394" s="43"/>
      <c r="CS394" s="43" t="b">
        <v>0</v>
      </c>
      <c r="CT394" s="43" t="b">
        <v>0</v>
      </c>
      <c r="CU394" s="43" t="b">
        <v>0</v>
      </c>
      <c r="CV394" s="43" t="b">
        <v>0</v>
      </c>
      <c r="CW394" s="43"/>
      <c r="CX394" s="43"/>
      <c r="CY394" s="43"/>
      <c r="CZ394" s="43"/>
      <c r="DA394" s="43"/>
      <c r="DB394" s="43"/>
      <c r="DC394" s="43"/>
      <c r="DD394" s="22" t="str">
        <f>IFERROR(VLOOKUP($C394,'Лист4'!$D:$AI,27,0)," ")</f>
        <v> </v>
      </c>
      <c r="DE394" s="22" t="str">
        <f>IFERROR(VLOOKUP($C394,'Лист4'!$D:$AI,28,0)," ")</f>
        <v> </v>
      </c>
      <c r="DF394" s="22" t="str">
        <f>IFERROR(VLOOKUP($C394,'Лист4'!$D:$AI,29,0)," ")</f>
        <v> </v>
      </c>
      <c r="DG394" s="22" t="str">
        <f t="shared" si="3"/>
        <v> </v>
      </c>
      <c r="DH394" s="22" t="str">
        <f>IFERROR(VLOOKUP($C394,'Лист4'!$D:$AI,32,0)," ")</f>
        <v> </v>
      </c>
      <c r="DI394" s="22"/>
      <c r="DJ394" s="22"/>
      <c r="DK394" s="22"/>
      <c r="DL394" s="22"/>
      <c r="DM394" s="22"/>
      <c r="DN394" s="22"/>
      <c r="DO394" s="22"/>
      <c r="DP394" s="22"/>
      <c r="DQ394" s="22"/>
      <c r="DR394" s="22"/>
      <c r="DS394" s="22"/>
      <c r="DT394" s="22"/>
      <c r="DU394" s="22"/>
      <c r="DV394" s="22"/>
      <c r="DW394" s="22"/>
      <c r="DX394" s="22"/>
      <c r="DY394" s="22"/>
      <c r="DZ394" s="22"/>
      <c r="EA394" s="22"/>
      <c r="EB394" s="22"/>
      <c r="EC394" s="22"/>
      <c r="ED394" s="22"/>
      <c r="EE394" s="22"/>
      <c r="EF394" s="22"/>
      <c r="EG394" s="22"/>
      <c r="EH394" s="22"/>
      <c r="EI394" s="22"/>
      <c r="EJ394" s="22"/>
      <c r="EK394" s="22"/>
      <c r="EL394" s="22"/>
      <c r="EM394" s="43"/>
      <c r="EN394" s="43"/>
      <c r="EO394" s="43"/>
      <c r="EP394" s="43"/>
      <c r="EQ394" s="43"/>
      <c r="ER394" s="43"/>
      <c r="ES394" s="43"/>
      <c r="ET394" s="43"/>
      <c r="EU394" s="43"/>
      <c r="EV394" s="43"/>
      <c r="EW394" s="43"/>
      <c r="EX394" s="43"/>
      <c r="EY394" s="43"/>
      <c r="EZ394" s="43"/>
      <c r="FA394" s="43"/>
      <c r="FB394" s="43"/>
      <c r="FC394" s="43"/>
    </row>
    <row r="395" ht="18.0" customHeight="1">
      <c r="A395" s="2"/>
      <c r="B395" s="22" t="str">
        <f>IFERROR(VLOOKUP(C395,'Реестр'!C:AC,27,0)," ")</f>
        <v> </v>
      </c>
      <c r="C395" s="43"/>
      <c r="D395" s="22" t="str">
        <f>IFERROR(VLOOKUP(C395,'Лист4'!D:P,13,0)," ")</f>
        <v> </v>
      </c>
      <c r="E395" s="22"/>
      <c r="F395" s="43"/>
      <c r="G395" s="43"/>
      <c r="H395" s="22" t="s">
        <v>401</v>
      </c>
      <c r="I395" s="22" t="s">
        <v>401</v>
      </c>
      <c r="J395" s="43"/>
      <c r="K395" s="43"/>
      <c r="L395" s="22"/>
      <c r="M395" s="22"/>
      <c r="N395" s="22"/>
      <c r="O395" s="22"/>
      <c r="P395" s="22"/>
      <c r="Q395" s="22"/>
      <c r="R395" s="22"/>
      <c r="S395" s="43"/>
      <c r="T395" s="43"/>
      <c r="U395" s="22" t="str">
        <f>IFERROR(VLOOKUP(T395,'Лист4'!C:I,3,0)," ")</f>
        <v> </v>
      </c>
      <c r="V395" s="22" t="str">
        <f>IFERROR(VLOOKUP(T395,'Лист4'!C:I,4,0)," ")</f>
        <v> </v>
      </c>
      <c r="W395" s="55"/>
      <c r="X395" s="43"/>
      <c r="Y395" s="43" t="str">
        <f>IFERROR(VLOOKUP(T395,'Лист4'!C:I,6,0)," ")</f>
        <v> </v>
      </c>
      <c r="Z395" s="43"/>
      <c r="AA395" s="43"/>
      <c r="AB395" s="22"/>
      <c r="AC395" s="22"/>
      <c r="AD395" s="22"/>
      <c r="AE395" s="22"/>
      <c r="AF395" s="22"/>
      <c r="AG395" s="43"/>
      <c r="AH395" s="43"/>
      <c r="AI395" s="43"/>
      <c r="AJ395" s="43"/>
      <c r="AK395" s="43"/>
      <c r="AL395" s="43"/>
      <c r="AM395" s="43"/>
      <c r="AN395" s="43"/>
      <c r="AO395" s="43"/>
      <c r="AP395" s="43"/>
      <c r="AQ395" s="43"/>
      <c r="AR395" s="43"/>
      <c r="AS395" s="43"/>
      <c r="AT395" s="43"/>
      <c r="AU395" s="43"/>
      <c r="AV395" s="43"/>
      <c r="AW395" s="43"/>
      <c r="AX395" s="22"/>
      <c r="AY395" s="22" t="str">
        <f>IFERROR(VLOOKUP(C395,'спецификация'!B:AA,25,0)," ")</f>
        <v> </v>
      </c>
      <c r="AZ395" s="43"/>
      <c r="BA395" s="43"/>
      <c r="BB395" s="43"/>
      <c r="BC395" s="43"/>
      <c r="BD395" s="43"/>
      <c r="BE395" s="43"/>
      <c r="BF395" s="22" t="str">
        <f>IFERROR(VLOOKUP(C395,'спецификация'!B:D,3,0)," ")</f>
        <v> </v>
      </c>
      <c r="BG395" s="22" t="str">
        <f>IFERROR(VLOOKUP(C395,'спецификация'!B:AA,4,0)," ")</f>
        <v> </v>
      </c>
      <c r="BH395" s="22" t="str">
        <f>IFERROR(VLOOKUP(C395,'спецификация'!B:AA,5,0)," ")</f>
        <v> </v>
      </c>
      <c r="BI395" s="22"/>
      <c r="BJ395" s="22" t="str">
        <f>IFERROR(VLOOKUP(C395,'спецификация'!B:AA,6,0)," ")</f>
        <v> </v>
      </c>
      <c r="BK395" s="43"/>
      <c r="BL395" s="43"/>
      <c r="BM395" s="22" t="str">
        <f>IFERROR(VLOOKUP(C395,'спецификация'!B:AA,7,0)," ")</f>
        <v> </v>
      </c>
      <c r="BN395" s="43"/>
      <c r="BO395" s="22" t="str">
        <f>IFERROR(VLOOKUP(C395,'спецификация'!B:AA,10,0)," ")</f>
        <v> </v>
      </c>
      <c r="BP395" s="43" t="str">
        <f>IFERROR(VLOOKUP(C395,'спецификация'!B:AA,11,0)," ")</f>
        <v> </v>
      </c>
      <c r="BQ395" s="22" t="str">
        <f>IFERROR(VLOOKUP(C395,'спецификация'!B:AA,12,0)," ")</f>
        <v> </v>
      </c>
      <c r="BR395" s="22"/>
      <c r="BS395" s="43"/>
      <c r="BT395" s="43"/>
      <c r="BU395" s="22"/>
      <c r="BV395" s="22" t="s">
        <v>401</v>
      </c>
      <c r="BW395" s="45" t="str">
        <f>IFERROR(VLOOKUP(C395,'спецификация'!B:AA,16,0)," ")</f>
        <v> </v>
      </c>
      <c r="BX395" s="43"/>
      <c r="BY395" s="43"/>
      <c r="BZ395" s="45" t="str">
        <f>IFERROR(VLOOKUP(C395,'спецификация'!B:AA,24,0)," ")</f>
        <v> </v>
      </c>
      <c r="CA395" s="43"/>
      <c r="CB395" s="43"/>
      <c r="CC395" s="43"/>
      <c r="CD395" s="43"/>
      <c r="CE395" s="43"/>
      <c r="CF395" s="43"/>
      <c r="CG395" s="49" t="str">
        <f>IFERROR(VLOOKUP(C395,CC!A:D,4,0)," ")</f>
        <v> </v>
      </c>
      <c r="CH395" s="22" t="str">
        <f>IFERROR(VLOOKUP(C395,'спецификация'!B:AA,19,0)," ")</f>
        <v> </v>
      </c>
      <c r="CI395" s="22"/>
      <c r="CJ395" s="43"/>
      <c r="CK395" s="22" t="str">
        <f>IFERROR(VLOOKUP(C395,CC!K:M,3,0)," ")</f>
        <v> </v>
      </c>
      <c r="CL395" s="43"/>
      <c r="CM395" s="43"/>
      <c r="CN395" s="43"/>
      <c r="CO395" s="43"/>
      <c r="CP395" s="43"/>
      <c r="CQ395" s="43"/>
      <c r="CR395" s="43"/>
      <c r="CS395" s="43" t="b">
        <v>0</v>
      </c>
      <c r="CT395" s="43" t="b">
        <v>0</v>
      </c>
      <c r="CU395" s="43" t="b">
        <v>0</v>
      </c>
      <c r="CV395" s="43" t="b">
        <v>0</v>
      </c>
      <c r="CW395" s="43"/>
      <c r="CX395" s="43"/>
      <c r="CY395" s="43"/>
      <c r="CZ395" s="43"/>
      <c r="DA395" s="43"/>
      <c r="DB395" s="43"/>
      <c r="DC395" s="43"/>
      <c r="DD395" s="22" t="str">
        <f>IFERROR(VLOOKUP($C395,'Лист4'!$D:$AI,27,0)," ")</f>
        <v> </v>
      </c>
      <c r="DE395" s="22" t="str">
        <f>IFERROR(VLOOKUP($C395,'Лист4'!$D:$AI,28,0)," ")</f>
        <v> </v>
      </c>
      <c r="DF395" s="22" t="str">
        <f>IFERROR(VLOOKUP($C395,'Лист4'!$D:$AI,29,0)," ")</f>
        <v> </v>
      </c>
      <c r="DG395" s="22" t="str">
        <f t="shared" si="3"/>
        <v> </v>
      </c>
      <c r="DH395" s="22" t="str">
        <f>IFERROR(VLOOKUP($C395,'Лист4'!$D:$AI,32,0)," ")</f>
        <v> </v>
      </c>
      <c r="DI395" s="22"/>
      <c r="DJ395" s="22"/>
      <c r="DK395" s="22"/>
      <c r="DL395" s="22"/>
      <c r="DM395" s="22"/>
      <c r="DN395" s="22"/>
      <c r="DO395" s="22"/>
      <c r="DP395" s="22"/>
      <c r="DQ395" s="22"/>
      <c r="DR395" s="22"/>
      <c r="DS395" s="22"/>
      <c r="DT395" s="22"/>
      <c r="DU395" s="22"/>
      <c r="DV395" s="22"/>
      <c r="DW395" s="22"/>
      <c r="DX395" s="22"/>
      <c r="DY395" s="22"/>
      <c r="DZ395" s="22"/>
      <c r="EA395" s="22"/>
      <c r="EB395" s="22"/>
      <c r="EC395" s="22"/>
      <c r="ED395" s="22"/>
      <c r="EE395" s="22"/>
      <c r="EF395" s="22"/>
      <c r="EG395" s="22"/>
      <c r="EH395" s="22"/>
      <c r="EI395" s="22"/>
      <c r="EJ395" s="22"/>
      <c r="EK395" s="22"/>
      <c r="EL395" s="22"/>
      <c r="EM395" s="43"/>
      <c r="EN395" s="43"/>
      <c r="EO395" s="43"/>
      <c r="EP395" s="43"/>
      <c r="EQ395" s="43"/>
      <c r="ER395" s="43"/>
      <c r="ES395" s="43"/>
      <c r="ET395" s="43"/>
      <c r="EU395" s="43"/>
      <c r="EV395" s="43"/>
      <c r="EW395" s="43"/>
      <c r="EX395" s="43"/>
      <c r="EY395" s="43"/>
      <c r="EZ395" s="43"/>
      <c r="FA395" s="43"/>
      <c r="FB395" s="43"/>
      <c r="FC395" s="43"/>
    </row>
    <row r="396" ht="18.0" customHeight="1">
      <c r="A396" s="2"/>
      <c r="B396" s="22" t="str">
        <f>IFERROR(VLOOKUP(C396,'Реестр'!C:AC,27,0)," ")</f>
        <v> </v>
      </c>
      <c r="C396" s="43"/>
      <c r="D396" s="22" t="str">
        <f>IFERROR(VLOOKUP(C396,'Лист4'!D:P,13,0)," ")</f>
        <v> </v>
      </c>
      <c r="E396" s="22"/>
      <c r="F396" s="43"/>
      <c r="G396" s="43"/>
      <c r="H396" s="22" t="s">
        <v>401</v>
      </c>
      <c r="I396" s="22" t="s">
        <v>401</v>
      </c>
      <c r="J396" s="43"/>
      <c r="K396" s="43"/>
      <c r="L396" s="22"/>
      <c r="M396" s="22"/>
      <c r="N396" s="22"/>
      <c r="O396" s="22"/>
      <c r="P396" s="22"/>
      <c r="Q396" s="22"/>
      <c r="R396" s="22"/>
      <c r="S396" s="43"/>
      <c r="T396" s="43"/>
      <c r="U396" s="22" t="str">
        <f>IFERROR(VLOOKUP(T396,'Лист4'!C:I,3,0)," ")</f>
        <v> </v>
      </c>
      <c r="V396" s="22" t="str">
        <f>IFERROR(VLOOKUP(T396,'Лист4'!C:I,4,0)," ")</f>
        <v> </v>
      </c>
      <c r="W396" s="55"/>
      <c r="X396" s="43"/>
      <c r="Y396" s="43" t="str">
        <f>IFERROR(VLOOKUP(T396,'Лист4'!C:I,6,0)," ")</f>
        <v> </v>
      </c>
      <c r="Z396" s="43"/>
      <c r="AA396" s="43"/>
      <c r="AB396" s="22"/>
      <c r="AC396" s="22"/>
      <c r="AD396" s="22"/>
      <c r="AE396" s="22"/>
      <c r="AF396" s="22"/>
      <c r="AG396" s="43"/>
      <c r="AH396" s="43"/>
      <c r="AI396" s="43"/>
      <c r="AJ396" s="43"/>
      <c r="AK396" s="43"/>
      <c r="AL396" s="43"/>
      <c r="AM396" s="43"/>
      <c r="AN396" s="43"/>
      <c r="AO396" s="43"/>
      <c r="AP396" s="43"/>
      <c r="AQ396" s="43"/>
      <c r="AR396" s="43"/>
      <c r="AS396" s="43"/>
      <c r="AT396" s="43"/>
      <c r="AU396" s="43"/>
      <c r="AV396" s="43"/>
      <c r="AW396" s="43"/>
      <c r="AX396" s="22"/>
      <c r="AY396" s="22" t="str">
        <f>IFERROR(VLOOKUP(C396,'спецификация'!B:AA,25,0)," ")</f>
        <v> </v>
      </c>
      <c r="AZ396" s="43"/>
      <c r="BA396" s="43"/>
      <c r="BB396" s="43"/>
      <c r="BC396" s="43"/>
      <c r="BD396" s="43"/>
      <c r="BE396" s="43"/>
      <c r="BF396" s="22" t="str">
        <f>IFERROR(VLOOKUP(C396,'спецификация'!B:D,3,0)," ")</f>
        <v> </v>
      </c>
      <c r="BG396" s="22" t="str">
        <f>IFERROR(VLOOKUP(C396,'спецификация'!B:AA,4,0)," ")</f>
        <v> </v>
      </c>
      <c r="BH396" s="22" t="str">
        <f>IFERROR(VLOOKUP(C396,'спецификация'!B:AA,5,0)," ")</f>
        <v> </v>
      </c>
      <c r="BI396" s="22"/>
      <c r="BJ396" s="22" t="str">
        <f>IFERROR(VLOOKUP(C396,'спецификация'!B:AA,6,0)," ")</f>
        <v> </v>
      </c>
      <c r="BK396" s="43"/>
      <c r="BL396" s="43"/>
      <c r="BM396" s="22" t="str">
        <f>IFERROR(VLOOKUP(C396,'спецификация'!B:AA,7,0)," ")</f>
        <v> </v>
      </c>
      <c r="BN396" s="43"/>
      <c r="BO396" s="22" t="str">
        <f>IFERROR(VLOOKUP(C396,'спецификация'!B:AA,10,0)," ")</f>
        <v> </v>
      </c>
      <c r="BP396" s="43" t="str">
        <f>IFERROR(VLOOKUP(C396,'спецификация'!B:AA,11,0)," ")</f>
        <v> </v>
      </c>
      <c r="BQ396" s="22" t="str">
        <f>IFERROR(VLOOKUP(C396,'спецификация'!B:AA,12,0)," ")</f>
        <v> </v>
      </c>
      <c r="BR396" s="22"/>
      <c r="BS396" s="43"/>
      <c r="BT396" s="43"/>
      <c r="BU396" s="22"/>
      <c r="BV396" s="22" t="s">
        <v>401</v>
      </c>
      <c r="BW396" s="45" t="str">
        <f>IFERROR(VLOOKUP(C396,'спецификация'!B:AA,16,0)," ")</f>
        <v> </v>
      </c>
      <c r="BX396" s="43"/>
      <c r="BY396" s="43"/>
      <c r="BZ396" s="45" t="str">
        <f>IFERROR(VLOOKUP(C396,'спецификация'!B:AA,24,0)," ")</f>
        <v> </v>
      </c>
      <c r="CA396" s="43"/>
      <c r="CB396" s="43"/>
      <c r="CC396" s="43"/>
      <c r="CD396" s="43"/>
      <c r="CE396" s="43"/>
      <c r="CF396" s="43"/>
      <c r="CG396" s="49" t="str">
        <f>IFERROR(VLOOKUP(C396,CC!A:D,4,0)," ")</f>
        <v> </v>
      </c>
      <c r="CH396" s="22" t="str">
        <f>IFERROR(VLOOKUP(C396,'спецификация'!B:AA,19,0)," ")</f>
        <v> </v>
      </c>
      <c r="CI396" s="22"/>
      <c r="CJ396" s="43"/>
      <c r="CK396" s="22" t="str">
        <f>IFERROR(VLOOKUP(C396,CC!K:M,3,0)," ")</f>
        <v> </v>
      </c>
      <c r="CL396" s="43"/>
      <c r="CM396" s="43"/>
      <c r="CN396" s="43"/>
      <c r="CO396" s="43"/>
      <c r="CP396" s="43"/>
      <c r="CQ396" s="43"/>
      <c r="CR396" s="43"/>
      <c r="CS396" s="43" t="b">
        <v>0</v>
      </c>
      <c r="CT396" s="43" t="b">
        <v>0</v>
      </c>
      <c r="CU396" s="43" t="b">
        <v>0</v>
      </c>
      <c r="CV396" s="43" t="b">
        <v>0</v>
      </c>
      <c r="CW396" s="43"/>
      <c r="CX396" s="43"/>
      <c r="CY396" s="43"/>
      <c r="CZ396" s="43"/>
      <c r="DA396" s="43"/>
      <c r="DB396" s="43"/>
      <c r="DC396" s="43"/>
      <c r="DD396" s="22" t="str">
        <f>IFERROR(VLOOKUP($C396,'Лист4'!$D:$AI,27,0)," ")</f>
        <v> </v>
      </c>
      <c r="DE396" s="22" t="str">
        <f>IFERROR(VLOOKUP($C396,'Лист4'!$D:$AI,28,0)," ")</f>
        <v> </v>
      </c>
      <c r="DF396" s="22" t="str">
        <f>IFERROR(VLOOKUP($C396,'Лист4'!$D:$AI,29,0)," ")</f>
        <v> </v>
      </c>
      <c r="DG396" s="22" t="str">
        <f t="shared" si="3"/>
        <v> </v>
      </c>
      <c r="DH396" s="22" t="str">
        <f>IFERROR(VLOOKUP($C396,'Лист4'!$D:$AI,32,0)," ")</f>
        <v> </v>
      </c>
      <c r="DI396" s="22"/>
      <c r="DJ396" s="22"/>
      <c r="DK396" s="22"/>
      <c r="DL396" s="22"/>
      <c r="DM396" s="22"/>
      <c r="DN396" s="22"/>
      <c r="DO396" s="22"/>
      <c r="DP396" s="22"/>
      <c r="DQ396" s="22"/>
      <c r="DR396" s="22"/>
      <c r="DS396" s="22"/>
      <c r="DT396" s="22"/>
      <c r="DU396" s="22"/>
      <c r="DV396" s="22"/>
      <c r="DW396" s="22"/>
      <c r="DX396" s="22"/>
      <c r="DY396" s="22"/>
      <c r="DZ396" s="22"/>
      <c r="EA396" s="22"/>
      <c r="EB396" s="22"/>
      <c r="EC396" s="22"/>
      <c r="ED396" s="22"/>
      <c r="EE396" s="22"/>
      <c r="EF396" s="22"/>
      <c r="EG396" s="22"/>
      <c r="EH396" s="22"/>
      <c r="EI396" s="22"/>
      <c r="EJ396" s="22"/>
      <c r="EK396" s="22"/>
      <c r="EL396" s="22"/>
      <c r="EM396" s="43"/>
      <c r="EN396" s="43"/>
      <c r="EO396" s="43"/>
      <c r="EP396" s="43"/>
      <c r="EQ396" s="43"/>
      <c r="ER396" s="43"/>
      <c r="ES396" s="43"/>
      <c r="ET396" s="43"/>
      <c r="EU396" s="43"/>
      <c r="EV396" s="43"/>
      <c r="EW396" s="43"/>
      <c r="EX396" s="43"/>
      <c r="EY396" s="43"/>
      <c r="EZ396" s="43"/>
      <c r="FA396" s="43"/>
      <c r="FB396" s="43"/>
      <c r="FC396" s="43"/>
    </row>
    <row r="397" ht="18.0" customHeight="1">
      <c r="A397" s="2"/>
      <c r="B397" s="22" t="str">
        <f>IFERROR(VLOOKUP(C397,'Реестр'!C:AC,27,0)," ")</f>
        <v> </v>
      </c>
      <c r="C397" s="43"/>
      <c r="D397" s="22" t="str">
        <f>IFERROR(VLOOKUP(C397,'Лист4'!D:P,13,0)," ")</f>
        <v> </v>
      </c>
      <c r="E397" s="22"/>
      <c r="F397" s="43"/>
      <c r="G397" s="43"/>
      <c r="H397" s="22" t="s">
        <v>401</v>
      </c>
      <c r="I397" s="22" t="s">
        <v>401</v>
      </c>
      <c r="J397" s="43"/>
      <c r="K397" s="43"/>
      <c r="L397" s="22"/>
      <c r="M397" s="22"/>
      <c r="N397" s="22"/>
      <c r="O397" s="22"/>
      <c r="P397" s="22"/>
      <c r="Q397" s="22"/>
      <c r="R397" s="22"/>
      <c r="S397" s="43"/>
      <c r="T397" s="43"/>
      <c r="U397" s="22" t="str">
        <f>IFERROR(VLOOKUP(T397,'Лист4'!C:I,3,0)," ")</f>
        <v> </v>
      </c>
      <c r="V397" s="22" t="str">
        <f>IFERROR(VLOOKUP(T397,'Лист4'!C:I,4,0)," ")</f>
        <v> </v>
      </c>
      <c r="W397" s="55"/>
      <c r="X397" s="43" t="str">
        <f>IFERROR(VLOOKUP(T397,'Лист4'!C:I,7,0)," ")</f>
        <v> </v>
      </c>
      <c r="Y397" s="43" t="str">
        <f>IFERROR(VLOOKUP(T397,'Лист4'!C:I,6,0)," ")</f>
        <v> </v>
      </c>
      <c r="Z397" s="43"/>
      <c r="AA397" s="43"/>
      <c r="AB397" s="22"/>
      <c r="AC397" s="22"/>
      <c r="AD397" s="22"/>
      <c r="AE397" s="22"/>
      <c r="AF397" s="22"/>
      <c r="AG397" s="43"/>
      <c r="AH397" s="43"/>
      <c r="AI397" s="43"/>
      <c r="AJ397" s="43"/>
      <c r="AK397" s="43"/>
      <c r="AL397" s="43"/>
      <c r="AM397" s="43"/>
      <c r="AN397" s="43"/>
      <c r="AO397" s="43"/>
      <c r="AP397" s="43"/>
      <c r="AQ397" s="43"/>
      <c r="AR397" s="43"/>
      <c r="AS397" s="43"/>
      <c r="AT397" s="43"/>
      <c r="AU397" s="43"/>
      <c r="AV397" s="43"/>
      <c r="AW397" s="43"/>
      <c r="AX397" s="22"/>
      <c r="AY397" s="22" t="str">
        <f>IFERROR(VLOOKUP(C397,'спецификация'!B:AA,25,0)," ")</f>
        <v> </v>
      </c>
      <c r="AZ397" s="43"/>
      <c r="BA397" s="43"/>
      <c r="BB397" s="43"/>
      <c r="BC397" s="43"/>
      <c r="BD397" s="43"/>
      <c r="BE397" s="43"/>
      <c r="BF397" s="22" t="str">
        <f>IFERROR(VLOOKUP(C397,'спецификация'!B:D,3,0)," ")</f>
        <v> </v>
      </c>
      <c r="BG397" s="22" t="str">
        <f>IFERROR(VLOOKUP(C397,'спецификация'!B:AA,4,0)," ")</f>
        <v> </v>
      </c>
      <c r="BH397" s="22" t="str">
        <f>IFERROR(VLOOKUP(C397,'спецификация'!B:AA,5,0)," ")</f>
        <v> </v>
      </c>
      <c r="BI397" s="22"/>
      <c r="BJ397" s="22" t="str">
        <f>IFERROR(VLOOKUP(C397,'спецификация'!B:AA,6,0)," ")</f>
        <v> </v>
      </c>
      <c r="BK397" s="43"/>
      <c r="BL397" s="43"/>
      <c r="BM397" s="22" t="str">
        <f>IFERROR(VLOOKUP(C397,'спецификация'!B:AA,7,0)," ")</f>
        <v> </v>
      </c>
      <c r="BN397" s="43"/>
      <c r="BO397" s="22" t="str">
        <f>IFERROR(VLOOKUP(C397,'спецификация'!B:AA,10,0)," ")</f>
        <v> </v>
      </c>
      <c r="BP397" s="43" t="str">
        <f>IFERROR(VLOOKUP(C397,'спецификация'!B:AA,11,0)," ")</f>
        <v> </v>
      </c>
      <c r="BQ397" s="22" t="str">
        <f>IFERROR(VLOOKUP(C397,'спецификация'!B:AA,12,0)," ")</f>
        <v> </v>
      </c>
      <c r="BR397" s="22"/>
      <c r="BS397" s="43"/>
      <c r="BT397" s="43"/>
      <c r="BU397" s="22"/>
      <c r="BV397" s="22" t="s">
        <v>401</v>
      </c>
      <c r="BW397" s="45" t="str">
        <f>IFERROR(VLOOKUP(C397,'спецификация'!B:AA,16,0)," ")</f>
        <v> </v>
      </c>
      <c r="BX397" s="43"/>
      <c r="BY397" s="43"/>
      <c r="BZ397" s="45" t="str">
        <f>IFERROR(VLOOKUP(C397,'спецификация'!B:AA,24,0)," ")</f>
        <v> </v>
      </c>
      <c r="CA397" s="43"/>
      <c r="CB397" s="43"/>
      <c r="CC397" s="43"/>
      <c r="CD397" s="43"/>
      <c r="CE397" s="43"/>
      <c r="CF397" s="43"/>
      <c r="CG397" s="49" t="str">
        <f>IFERROR(VLOOKUP(C397,CC!A:D,4,0)," ")</f>
        <v> </v>
      </c>
      <c r="CH397" s="22" t="str">
        <f>IFERROR(VLOOKUP(C397,'спецификация'!B:AA,19,0)," ")</f>
        <v> </v>
      </c>
      <c r="CI397" s="22"/>
      <c r="CJ397" s="43"/>
      <c r="CK397" s="22" t="str">
        <f>IFERROR(VLOOKUP(C397,CC!K:M,3,0)," ")</f>
        <v> </v>
      </c>
      <c r="CL397" s="43"/>
      <c r="CM397" s="43"/>
      <c r="CN397" s="43"/>
      <c r="CO397" s="43"/>
      <c r="CP397" s="43"/>
      <c r="CQ397" s="43"/>
      <c r="CR397" s="43"/>
      <c r="CS397" s="43" t="b">
        <v>0</v>
      </c>
      <c r="CT397" s="43" t="b">
        <v>0</v>
      </c>
      <c r="CU397" s="43" t="b">
        <v>0</v>
      </c>
      <c r="CV397" s="43" t="b">
        <v>0</v>
      </c>
      <c r="CW397" s="43"/>
      <c r="CX397" s="43"/>
      <c r="CY397" s="43"/>
      <c r="CZ397" s="43"/>
      <c r="DA397" s="43"/>
      <c r="DB397" s="43"/>
      <c r="DC397" s="43"/>
      <c r="DD397" s="22" t="str">
        <f>IFERROR(VLOOKUP($C397,'Лист4'!$D:$AI,27,0)," ")</f>
        <v> </v>
      </c>
      <c r="DE397" s="22" t="str">
        <f>IFERROR(VLOOKUP($C397,'Лист4'!$D:$AI,28,0)," ")</f>
        <v> </v>
      </c>
      <c r="DF397" s="22" t="str">
        <f>IFERROR(VLOOKUP($C397,'Лист4'!$D:$AI,29,0)," ")</f>
        <v> </v>
      </c>
      <c r="DG397" s="22" t="str">
        <f t="shared" si="3"/>
        <v> </v>
      </c>
      <c r="DH397" s="22" t="str">
        <f>IFERROR(VLOOKUP($C397,'Лист4'!$D:$AI,32,0)," ")</f>
        <v> </v>
      </c>
      <c r="DI397" s="22"/>
      <c r="DJ397" s="22"/>
      <c r="DK397" s="22"/>
      <c r="DL397" s="22"/>
      <c r="DM397" s="22"/>
      <c r="DN397" s="22"/>
      <c r="DO397" s="22"/>
      <c r="DP397" s="22"/>
      <c r="DQ397" s="22"/>
      <c r="DR397" s="22"/>
      <c r="DS397" s="22"/>
      <c r="DT397" s="22"/>
      <c r="DU397" s="22"/>
      <c r="DV397" s="22"/>
      <c r="DW397" s="22"/>
      <c r="DX397" s="22"/>
      <c r="DY397" s="22"/>
      <c r="DZ397" s="22"/>
      <c r="EA397" s="22"/>
      <c r="EB397" s="22"/>
      <c r="EC397" s="22"/>
      <c r="ED397" s="22"/>
      <c r="EE397" s="22"/>
      <c r="EF397" s="22"/>
      <c r="EG397" s="22"/>
      <c r="EH397" s="22"/>
      <c r="EI397" s="22"/>
      <c r="EJ397" s="22"/>
      <c r="EK397" s="22"/>
      <c r="EL397" s="22"/>
      <c r="EM397" s="43"/>
      <c r="EN397" s="43"/>
      <c r="EO397" s="43"/>
      <c r="EP397" s="43"/>
      <c r="EQ397" s="43"/>
      <c r="ER397" s="43"/>
      <c r="ES397" s="43"/>
      <c r="ET397" s="43"/>
      <c r="EU397" s="43"/>
      <c r="EV397" s="43"/>
      <c r="EW397" s="43"/>
      <c r="EX397" s="43"/>
      <c r="EY397" s="43"/>
      <c r="EZ397" s="43"/>
      <c r="FA397" s="43"/>
      <c r="FB397" s="43"/>
      <c r="FC397" s="43"/>
    </row>
    <row r="398" ht="18.0" customHeight="1">
      <c r="A398" s="2"/>
      <c r="B398" s="22" t="str">
        <f>IFERROR(VLOOKUP(C398,'Реестр'!C:AC,27,0)," ")</f>
        <v> </v>
      </c>
      <c r="C398" s="43"/>
      <c r="D398" s="22" t="str">
        <f>IFERROR(VLOOKUP(C398,'Лист4'!D:P,13,0)," ")</f>
        <v> </v>
      </c>
      <c r="E398" s="22"/>
      <c r="F398" s="43"/>
      <c r="G398" s="43"/>
      <c r="H398" s="22" t="s">
        <v>401</v>
      </c>
      <c r="I398" s="22" t="s">
        <v>401</v>
      </c>
      <c r="J398" s="43"/>
      <c r="K398" s="43"/>
      <c r="L398" s="22"/>
      <c r="M398" s="22"/>
      <c r="N398" s="22"/>
      <c r="O398" s="22"/>
      <c r="P398" s="22"/>
      <c r="Q398" s="22"/>
      <c r="R398" s="22"/>
      <c r="S398" s="43"/>
      <c r="T398" s="43"/>
      <c r="U398" s="22" t="str">
        <f>IFERROR(VLOOKUP(T398,'Лист4'!C:I,3,0)," ")</f>
        <v> </v>
      </c>
      <c r="V398" s="22" t="str">
        <f>IFERROR(VLOOKUP(T398,'Лист4'!C:I,4,0)," ")</f>
        <v> </v>
      </c>
      <c r="W398" s="55"/>
      <c r="X398" s="43" t="str">
        <f>IFERROR(VLOOKUP(T398,'Лист4'!C:I,7,0)," ")</f>
        <v> </v>
      </c>
      <c r="Y398" s="43" t="str">
        <f>IFERROR(VLOOKUP(T398,'Лист4'!C:I,6,0)," ")</f>
        <v> </v>
      </c>
      <c r="Z398" s="43"/>
      <c r="AA398" s="43"/>
      <c r="AB398" s="22"/>
      <c r="AC398" s="22"/>
      <c r="AD398" s="22"/>
      <c r="AE398" s="22"/>
      <c r="AF398" s="22"/>
      <c r="AG398" s="43"/>
      <c r="AH398" s="43"/>
      <c r="AI398" s="43"/>
      <c r="AJ398" s="43"/>
      <c r="AK398" s="43"/>
      <c r="AL398" s="43"/>
      <c r="AM398" s="43"/>
      <c r="AN398" s="43"/>
      <c r="AO398" s="43"/>
      <c r="AP398" s="43"/>
      <c r="AQ398" s="43"/>
      <c r="AR398" s="43"/>
      <c r="AS398" s="43"/>
      <c r="AT398" s="43"/>
      <c r="AU398" s="43"/>
      <c r="AV398" s="43"/>
      <c r="AW398" s="43"/>
      <c r="AX398" s="22"/>
      <c r="AY398" s="22" t="str">
        <f>IFERROR(VLOOKUP(C398,'спецификация'!B:AA,25,0)," ")</f>
        <v> </v>
      </c>
      <c r="AZ398" s="43"/>
      <c r="BA398" s="43"/>
      <c r="BB398" s="43"/>
      <c r="BC398" s="43"/>
      <c r="BD398" s="43"/>
      <c r="BE398" s="43"/>
      <c r="BF398" s="22" t="str">
        <f>IFERROR(VLOOKUP(C398,'спецификация'!B:D,3,0)," ")</f>
        <v> </v>
      </c>
      <c r="BG398" s="22" t="str">
        <f>IFERROR(VLOOKUP(C398,'спецификация'!B:AA,4,0)," ")</f>
        <v> </v>
      </c>
      <c r="BH398" s="22" t="str">
        <f>IFERROR(VLOOKUP(C398,'спецификация'!B:AA,5,0)," ")</f>
        <v> </v>
      </c>
      <c r="BI398" s="22"/>
      <c r="BJ398" s="22" t="str">
        <f>IFERROR(VLOOKUP(C398,'спецификация'!B:AA,6,0)," ")</f>
        <v> </v>
      </c>
      <c r="BK398" s="43"/>
      <c r="BL398" s="43"/>
      <c r="BM398" s="22" t="str">
        <f>IFERROR(VLOOKUP(C398,'спецификация'!B:AA,7,0)," ")</f>
        <v> </v>
      </c>
      <c r="BN398" s="43"/>
      <c r="BO398" s="22" t="str">
        <f>IFERROR(VLOOKUP(C398,'спецификация'!B:AA,10,0)," ")</f>
        <v> </v>
      </c>
      <c r="BP398" s="43" t="str">
        <f>IFERROR(VLOOKUP(C398,'спецификация'!B:AA,11,0)," ")</f>
        <v> </v>
      </c>
      <c r="BQ398" s="22" t="str">
        <f>IFERROR(VLOOKUP(C398,'спецификация'!B:AA,12,0)," ")</f>
        <v> </v>
      </c>
      <c r="BR398" s="22"/>
      <c r="BS398" s="43"/>
      <c r="BT398" s="43"/>
      <c r="BU398" s="22"/>
      <c r="BV398" s="22" t="s">
        <v>401</v>
      </c>
      <c r="BW398" s="45" t="str">
        <f>IFERROR(VLOOKUP(C398,'спецификация'!B:AA,16,0)," ")</f>
        <v> </v>
      </c>
      <c r="BX398" s="43"/>
      <c r="BY398" s="43"/>
      <c r="BZ398" s="45" t="str">
        <f>IFERROR(VLOOKUP(C398,'спецификация'!B:AA,24,0)," ")</f>
        <v> </v>
      </c>
      <c r="CA398" s="43"/>
      <c r="CB398" s="43"/>
      <c r="CC398" s="43"/>
      <c r="CD398" s="43"/>
      <c r="CE398" s="43"/>
      <c r="CF398" s="43"/>
      <c r="CG398" s="49" t="str">
        <f>IFERROR(VLOOKUP(C398,CC!A:D,4,0)," ")</f>
        <v> </v>
      </c>
      <c r="CH398" s="22" t="str">
        <f>IFERROR(VLOOKUP(C398,'спецификация'!B:AA,19,0)," ")</f>
        <v> </v>
      </c>
      <c r="CI398" s="22"/>
      <c r="CJ398" s="43"/>
      <c r="CK398" s="22" t="str">
        <f>IFERROR(VLOOKUP(C398,CC!K:M,3,0)," ")</f>
        <v> </v>
      </c>
      <c r="CL398" s="43"/>
      <c r="CM398" s="43"/>
      <c r="CN398" s="43"/>
      <c r="CO398" s="43"/>
      <c r="CP398" s="43"/>
      <c r="CQ398" s="43"/>
      <c r="CR398" s="43"/>
      <c r="CS398" s="43" t="b">
        <v>0</v>
      </c>
      <c r="CT398" s="43" t="b">
        <v>0</v>
      </c>
      <c r="CU398" s="43" t="b">
        <v>0</v>
      </c>
      <c r="CV398" s="43" t="b">
        <v>0</v>
      </c>
      <c r="CW398" s="43"/>
      <c r="CX398" s="43"/>
      <c r="CY398" s="43"/>
      <c r="CZ398" s="43"/>
      <c r="DA398" s="43"/>
      <c r="DB398" s="43"/>
      <c r="DC398" s="43"/>
      <c r="DD398" s="22" t="str">
        <f>IFERROR(VLOOKUP($C398,'Лист4'!$D:$AI,27,0)," ")</f>
        <v> </v>
      </c>
      <c r="DE398" s="22" t="str">
        <f>IFERROR(VLOOKUP($C398,'Лист4'!$D:$AI,28,0)," ")</f>
        <v> </v>
      </c>
      <c r="DF398" s="22" t="str">
        <f>IFERROR(VLOOKUP($C398,'Лист4'!$D:$AI,29,0)," ")</f>
        <v> </v>
      </c>
      <c r="DG398" s="22" t="str">
        <f t="shared" si="3"/>
        <v> </v>
      </c>
      <c r="DH398" s="22" t="str">
        <f>IFERROR(VLOOKUP($C398,'Лист4'!$D:$AI,32,0)," ")</f>
        <v> </v>
      </c>
      <c r="DI398" s="22"/>
      <c r="DJ398" s="22"/>
      <c r="DK398" s="22"/>
      <c r="DL398" s="22"/>
      <c r="DM398" s="22"/>
      <c r="DN398" s="22"/>
      <c r="DO398" s="22"/>
      <c r="DP398" s="22"/>
      <c r="DQ398" s="22"/>
      <c r="DR398" s="22"/>
      <c r="DS398" s="22"/>
      <c r="DT398" s="22"/>
      <c r="DU398" s="22"/>
      <c r="DV398" s="22"/>
      <c r="DW398" s="22"/>
      <c r="DX398" s="22"/>
      <c r="DY398" s="22"/>
      <c r="DZ398" s="22"/>
      <c r="EA398" s="22"/>
      <c r="EB398" s="22"/>
      <c r="EC398" s="22"/>
      <c r="ED398" s="22"/>
      <c r="EE398" s="22"/>
      <c r="EF398" s="22"/>
      <c r="EG398" s="22"/>
      <c r="EH398" s="22"/>
      <c r="EI398" s="22"/>
      <c r="EJ398" s="22"/>
      <c r="EK398" s="22"/>
      <c r="EL398" s="22"/>
      <c r="EM398" s="43"/>
      <c r="EN398" s="43"/>
      <c r="EO398" s="43"/>
      <c r="EP398" s="43"/>
      <c r="EQ398" s="43"/>
      <c r="ER398" s="43"/>
      <c r="ES398" s="43"/>
      <c r="ET398" s="43"/>
      <c r="EU398" s="43"/>
      <c r="EV398" s="43"/>
      <c r="EW398" s="43"/>
      <c r="EX398" s="43"/>
      <c r="EY398" s="43"/>
      <c r="EZ398" s="43"/>
      <c r="FA398" s="43"/>
      <c r="FB398" s="43"/>
      <c r="FC398" s="43"/>
    </row>
    <row r="399" ht="18.0" customHeight="1">
      <c r="A399" s="2"/>
      <c r="B399" s="22" t="str">
        <f>IFERROR(VLOOKUP(C399,'Реестр'!C:AC,27,0)," ")</f>
        <v> </v>
      </c>
      <c r="C399" s="43"/>
      <c r="D399" s="22" t="str">
        <f>IFERROR(VLOOKUP(C399,'Лист4'!D:P,13,0)," ")</f>
        <v> </v>
      </c>
      <c r="E399" s="22"/>
      <c r="F399" s="43"/>
      <c r="G399" s="43"/>
      <c r="H399" s="22" t="s">
        <v>401</v>
      </c>
      <c r="I399" s="22" t="s">
        <v>401</v>
      </c>
      <c r="J399" s="43"/>
      <c r="K399" s="43"/>
      <c r="L399" s="22"/>
      <c r="M399" s="22"/>
      <c r="N399" s="22"/>
      <c r="O399" s="22"/>
      <c r="P399" s="22"/>
      <c r="Q399" s="22"/>
      <c r="R399" s="22"/>
      <c r="S399" s="43"/>
      <c r="T399" s="43"/>
      <c r="U399" s="22" t="str">
        <f>IFERROR(VLOOKUP(T399,'Лист4'!C:I,3,0)," ")</f>
        <v> </v>
      </c>
      <c r="V399" s="22" t="str">
        <f>IFERROR(VLOOKUP(T399,'Лист4'!C:I,4,0)," ")</f>
        <v> </v>
      </c>
      <c r="W399" s="55"/>
      <c r="X399" s="43" t="str">
        <f>IFERROR(VLOOKUP(T399,'Лист4'!C:I,7,0)," ")</f>
        <v> </v>
      </c>
      <c r="Y399" s="43" t="str">
        <f>IFERROR(VLOOKUP(T399,'Лист4'!C:I,6,0)," ")</f>
        <v> </v>
      </c>
      <c r="Z399" s="43"/>
      <c r="AA399" s="43"/>
      <c r="AB399" s="22"/>
      <c r="AC399" s="22"/>
      <c r="AD399" s="22"/>
      <c r="AE399" s="22"/>
      <c r="AF399" s="22"/>
      <c r="AG399" s="43"/>
      <c r="AH399" s="43"/>
      <c r="AI399" s="43"/>
      <c r="AJ399" s="43"/>
      <c r="AK399" s="43"/>
      <c r="AL399" s="43"/>
      <c r="AM399" s="43"/>
      <c r="AN399" s="43"/>
      <c r="AO399" s="43"/>
      <c r="AP399" s="43"/>
      <c r="AQ399" s="43"/>
      <c r="AR399" s="43"/>
      <c r="AS399" s="43"/>
      <c r="AT399" s="43"/>
      <c r="AU399" s="43"/>
      <c r="AV399" s="43"/>
      <c r="AW399" s="43"/>
      <c r="AX399" s="22"/>
      <c r="AY399" s="22" t="str">
        <f>IFERROR(VLOOKUP(C399,'спецификация'!B:AA,25,0)," ")</f>
        <v> </v>
      </c>
      <c r="AZ399" s="43"/>
      <c r="BA399" s="43"/>
      <c r="BB399" s="43"/>
      <c r="BC399" s="43"/>
      <c r="BD399" s="43"/>
      <c r="BE399" s="43"/>
      <c r="BF399" s="22" t="str">
        <f>IFERROR(VLOOKUP(C399,'спецификация'!B:D,3,0)," ")</f>
        <v> </v>
      </c>
      <c r="BG399" s="22" t="str">
        <f>IFERROR(VLOOKUP(C399,'спецификация'!B:AA,4,0)," ")</f>
        <v> </v>
      </c>
      <c r="BH399" s="22" t="str">
        <f>IFERROR(VLOOKUP(C399,'спецификация'!B:AA,5,0)," ")</f>
        <v> </v>
      </c>
      <c r="BI399" s="22"/>
      <c r="BJ399" s="22" t="str">
        <f>IFERROR(VLOOKUP(C399,'спецификация'!B:AA,6,0)," ")</f>
        <v> </v>
      </c>
      <c r="BK399" s="43"/>
      <c r="BL399" s="43"/>
      <c r="BM399" s="22" t="str">
        <f>IFERROR(VLOOKUP(C399,'спецификация'!B:AA,7,0)," ")</f>
        <v> </v>
      </c>
      <c r="BN399" s="43"/>
      <c r="BO399" s="22" t="str">
        <f>IFERROR(VLOOKUP(C399,'спецификация'!B:AA,10,0)," ")</f>
        <v> </v>
      </c>
      <c r="BP399" s="43" t="str">
        <f>IFERROR(VLOOKUP(C399,'спецификация'!B:AA,11,0)," ")</f>
        <v> </v>
      </c>
      <c r="BQ399" s="22" t="str">
        <f>IFERROR(VLOOKUP(C399,'спецификация'!B:AA,12,0)," ")</f>
        <v> </v>
      </c>
      <c r="BR399" s="22"/>
      <c r="BS399" s="43"/>
      <c r="BT399" s="43"/>
      <c r="BU399" s="22"/>
      <c r="BV399" s="22" t="s">
        <v>401</v>
      </c>
      <c r="BW399" s="45" t="str">
        <f>IFERROR(VLOOKUP(C399,'спецификация'!B:AA,16,0)," ")</f>
        <v> </v>
      </c>
      <c r="BX399" s="43"/>
      <c r="BY399" s="43"/>
      <c r="BZ399" s="45" t="str">
        <f>IFERROR(VLOOKUP(C399,'спецификация'!B:AA,24,0)," ")</f>
        <v> </v>
      </c>
      <c r="CA399" s="43"/>
      <c r="CB399" s="43"/>
      <c r="CC399" s="43"/>
      <c r="CD399" s="43"/>
      <c r="CE399" s="43"/>
      <c r="CF399" s="43"/>
      <c r="CG399" s="49" t="str">
        <f>IFERROR(VLOOKUP(C399,CC!A:D,4,0)," ")</f>
        <v> </v>
      </c>
      <c r="CH399" s="22" t="str">
        <f>IFERROR(VLOOKUP(C399,'спецификация'!B:AA,19,0)," ")</f>
        <v> </v>
      </c>
      <c r="CI399" s="22"/>
      <c r="CJ399" s="43"/>
      <c r="CK399" s="22" t="str">
        <f>IFERROR(VLOOKUP(C399,CC!K:M,3,0)," ")</f>
        <v> </v>
      </c>
      <c r="CL399" s="43"/>
      <c r="CM399" s="43"/>
      <c r="CN399" s="43"/>
      <c r="CO399" s="43"/>
      <c r="CP399" s="43"/>
      <c r="CQ399" s="43"/>
      <c r="CR399" s="43"/>
      <c r="CS399" s="43" t="b">
        <v>0</v>
      </c>
      <c r="CT399" s="43" t="b">
        <v>0</v>
      </c>
      <c r="CU399" s="43" t="b">
        <v>0</v>
      </c>
      <c r="CV399" s="43" t="b">
        <v>0</v>
      </c>
      <c r="CW399" s="43"/>
      <c r="CX399" s="43"/>
      <c r="CY399" s="43"/>
      <c r="CZ399" s="43"/>
      <c r="DA399" s="43"/>
      <c r="DB399" s="43"/>
      <c r="DC399" s="43"/>
      <c r="DD399" s="22" t="str">
        <f>IFERROR(VLOOKUP($C399,'Лист4'!$D:$AI,27,0)," ")</f>
        <v> </v>
      </c>
      <c r="DE399" s="22" t="str">
        <f>IFERROR(VLOOKUP($C399,'Лист4'!$D:$AI,28,0)," ")</f>
        <v> </v>
      </c>
      <c r="DF399" s="22" t="str">
        <f>IFERROR(VLOOKUP($C399,'Лист4'!$D:$AI,29,0)," ")</f>
        <v> </v>
      </c>
      <c r="DG399" s="22" t="str">
        <f t="shared" si="3"/>
        <v> </v>
      </c>
      <c r="DH399" s="22" t="str">
        <f>IFERROR(VLOOKUP($C399,'Лист4'!$D:$AI,32,0)," ")</f>
        <v> </v>
      </c>
      <c r="DI399" s="22"/>
      <c r="DJ399" s="22"/>
      <c r="DK399" s="22"/>
      <c r="DL399" s="22"/>
      <c r="DM399" s="22"/>
      <c r="DN399" s="22"/>
      <c r="DO399" s="22"/>
      <c r="DP399" s="22"/>
      <c r="DQ399" s="22"/>
      <c r="DR399" s="22"/>
      <c r="DS399" s="22"/>
      <c r="DT399" s="22"/>
      <c r="DU399" s="22"/>
      <c r="DV399" s="22"/>
      <c r="DW399" s="22"/>
      <c r="DX399" s="22"/>
      <c r="DY399" s="22"/>
      <c r="DZ399" s="22"/>
      <c r="EA399" s="22"/>
      <c r="EB399" s="22"/>
      <c r="EC399" s="22"/>
      <c r="ED399" s="22"/>
      <c r="EE399" s="22"/>
      <c r="EF399" s="22"/>
      <c r="EG399" s="22"/>
      <c r="EH399" s="22"/>
      <c r="EI399" s="22"/>
      <c r="EJ399" s="22"/>
      <c r="EK399" s="22"/>
      <c r="EL399" s="22"/>
      <c r="EM399" s="43"/>
      <c r="EN399" s="43"/>
      <c r="EO399" s="43"/>
      <c r="EP399" s="43"/>
      <c r="EQ399" s="43"/>
      <c r="ER399" s="43"/>
      <c r="ES399" s="43"/>
      <c r="ET399" s="43"/>
      <c r="EU399" s="43"/>
      <c r="EV399" s="43"/>
      <c r="EW399" s="43"/>
      <c r="EX399" s="43"/>
      <c r="EY399" s="43"/>
      <c r="EZ399" s="43"/>
      <c r="FA399" s="43"/>
      <c r="FB399" s="43"/>
      <c r="FC399" s="43"/>
    </row>
    <row r="400" ht="18.0" customHeight="1">
      <c r="A400" s="2"/>
      <c r="B400" s="22" t="str">
        <f>IFERROR(VLOOKUP(C400,'Реестр'!C:AC,27,0)," ")</f>
        <v> </v>
      </c>
      <c r="C400" s="43"/>
      <c r="D400" s="22" t="str">
        <f>IFERROR(VLOOKUP(C400,'Лист4'!D:P,13,0)," ")</f>
        <v> </v>
      </c>
      <c r="E400" s="22"/>
      <c r="F400" s="43"/>
      <c r="G400" s="43"/>
      <c r="H400" s="22" t="s">
        <v>401</v>
      </c>
      <c r="I400" s="22" t="s">
        <v>401</v>
      </c>
      <c r="J400" s="43"/>
      <c r="K400" s="43"/>
      <c r="L400" s="22"/>
      <c r="M400" s="22"/>
      <c r="N400" s="22"/>
      <c r="O400" s="22"/>
      <c r="P400" s="22"/>
      <c r="Q400" s="22"/>
      <c r="R400" s="22"/>
      <c r="S400" s="43"/>
      <c r="T400" s="43"/>
      <c r="U400" s="22" t="str">
        <f>IFERROR(VLOOKUP(T400,'Лист4'!C:I,3,0)," ")</f>
        <v> </v>
      </c>
      <c r="V400" s="22" t="str">
        <f>IFERROR(VLOOKUP(T400,'Лист4'!C:I,4,0)," ")</f>
        <v> </v>
      </c>
      <c r="W400" s="55"/>
      <c r="X400" s="43" t="str">
        <f>IFERROR(VLOOKUP(T400,'Лист4'!C:I,7,0)," ")</f>
        <v> </v>
      </c>
      <c r="Y400" s="43" t="str">
        <f>IFERROR(VLOOKUP(T400,'Лист4'!C:I,6,0)," ")</f>
        <v> </v>
      </c>
      <c r="Z400" s="43"/>
      <c r="AA400" s="43"/>
      <c r="AB400" s="22"/>
      <c r="AC400" s="22"/>
      <c r="AD400" s="22"/>
      <c r="AE400" s="22"/>
      <c r="AF400" s="22"/>
      <c r="AG400" s="43"/>
      <c r="AH400" s="43"/>
      <c r="AI400" s="43"/>
      <c r="AJ400" s="43"/>
      <c r="AK400" s="43"/>
      <c r="AL400" s="43"/>
      <c r="AM400" s="43"/>
      <c r="AN400" s="43"/>
      <c r="AO400" s="43"/>
      <c r="AP400" s="43"/>
      <c r="AQ400" s="43"/>
      <c r="AR400" s="43"/>
      <c r="AS400" s="43"/>
      <c r="AT400" s="43"/>
      <c r="AU400" s="43"/>
      <c r="AV400" s="43"/>
      <c r="AW400" s="43"/>
      <c r="AX400" s="22"/>
      <c r="AY400" s="22" t="str">
        <f>IFERROR(VLOOKUP(C400,'спецификация'!B:AA,25,0)," ")</f>
        <v> </v>
      </c>
      <c r="AZ400" s="43"/>
      <c r="BA400" s="43"/>
      <c r="BB400" s="43"/>
      <c r="BC400" s="43"/>
      <c r="BD400" s="43"/>
      <c r="BE400" s="43"/>
      <c r="BF400" s="22" t="str">
        <f>IFERROR(VLOOKUP(C400,'спецификация'!B:D,3,0)," ")</f>
        <v> </v>
      </c>
      <c r="BG400" s="22" t="str">
        <f>IFERROR(VLOOKUP(C400,'спецификация'!B:AA,4,0)," ")</f>
        <v> </v>
      </c>
      <c r="BH400" s="22" t="str">
        <f>IFERROR(VLOOKUP(C400,'спецификация'!B:AA,5,0)," ")</f>
        <v> </v>
      </c>
      <c r="BI400" s="22"/>
      <c r="BJ400" s="22" t="str">
        <f>IFERROR(VLOOKUP(C400,'спецификация'!B:AA,6,0)," ")</f>
        <v> </v>
      </c>
      <c r="BK400" s="43"/>
      <c r="BL400" s="43"/>
      <c r="BM400" s="22" t="str">
        <f>IFERROR(VLOOKUP(C400,'спецификация'!B:AA,7,0)," ")</f>
        <v> </v>
      </c>
      <c r="BN400" s="43"/>
      <c r="BO400" s="22" t="str">
        <f>IFERROR(VLOOKUP(C400,'спецификация'!B:AA,10,0)," ")</f>
        <v> </v>
      </c>
      <c r="BP400" s="43" t="str">
        <f>IFERROR(VLOOKUP(C400,'спецификация'!B:AA,11,0)," ")</f>
        <v> </v>
      </c>
      <c r="BQ400" s="22" t="str">
        <f>IFERROR(VLOOKUP(C400,'спецификация'!B:AA,12,0)," ")</f>
        <v> </v>
      </c>
      <c r="BR400" s="22"/>
      <c r="BS400" s="43"/>
      <c r="BT400" s="43"/>
      <c r="BU400" s="22"/>
      <c r="BV400" s="22" t="s">
        <v>401</v>
      </c>
      <c r="BW400" s="45" t="str">
        <f>IFERROR(VLOOKUP(C400,'спецификация'!B:AA,16,0)," ")</f>
        <v> </v>
      </c>
      <c r="BX400" s="43"/>
      <c r="BY400" s="43"/>
      <c r="BZ400" s="45" t="str">
        <f>IFERROR(VLOOKUP(C400,'спецификация'!B:AA,24,0)," ")</f>
        <v> </v>
      </c>
      <c r="CA400" s="43"/>
      <c r="CB400" s="43"/>
      <c r="CC400" s="43"/>
      <c r="CD400" s="43"/>
      <c r="CE400" s="43"/>
      <c r="CF400" s="43"/>
      <c r="CG400" s="49" t="str">
        <f>IFERROR(VLOOKUP(C400,CC!A:D,4,0)," ")</f>
        <v> </v>
      </c>
      <c r="CH400" s="22" t="str">
        <f>IFERROR(VLOOKUP(C400,'спецификация'!B:AA,19,0)," ")</f>
        <v> </v>
      </c>
      <c r="CI400" s="22"/>
      <c r="CJ400" s="43"/>
      <c r="CK400" s="22" t="str">
        <f>IFERROR(VLOOKUP(C400,CC!K:M,3,0)," ")</f>
        <v> </v>
      </c>
      <c r="CL400" s="43"/>
      <c r="CM400" s="43"/>
      <c r="CN400" s="43"/>
      <c r="CO400" s="43"/>
      <c r="CP400" s="43"/>
      <c r="CQ400" s="43"/>
      <c r="CR400" s="43"/>
      <c r="CS400" s="43" t="b">
        <v>0</v>
      </c>
      <c r="CT400" s="43" t="b">
        <v>0</v>
      </c>
      <c r="CU400" s="43" t="b">
        <v>0</v>
      </c>
      <c r="CV400" s="43" t="b">
        <v>0</v>
      </c>
      <c r="CW400" s="43"/>
      <c r="CX400" s="43"/>
      <c r="CY400" s="43"/>
      <c r="CZ400" s="43"/>
      <c r="DA400" s="43"/>
      <c r="DB400" s="43"/>
      <c r="DC400" s="43"/>
      <c r="DD400" s="22" t="str">
        <f>IFERROR(VLOOKUP($C400,'Лист4'!$D:$AI,27,0)," ")</f>
        <v> </v>
      </c>
      <c r="DE400" s="22" t="str">
        <f>IFERROR(VLOOKUP($C400,'Лист4'!$D:$AI,28,0)," ")</f>
        <v> </v>
      </c>
      <c r="DF400" s="22" t="str">
        <f>IFERROR(VLOOKUP($C400,'Лист4'!$D:$AI,29,0)," ")</f>
        <v> </v>
      </c>
      <c r="DG400" s="22" t="str">
        <f t="shared" si="3"/>
        <v> </v>
      </c>
      <c r="DH400" s="22" t="str">
        <f>IFERROR(VLOOKUP($C400,'Лист4'!$D:$AI,32,0)," ")</f>
        <v> </v>
      </c>
      <c r="DI400" s="22"/>
      <c r="DJ400" s="22"/>
      <c r="DK400" s="22"/>
      <c r="DL400" s="22"/>
      <c r="DM400" s="22"/>
      <c r="DN400" s="22"/>
      <c r="DO400" s="22"/>
      <c r="DP400" s="22"/>
      <c r="DQ400" s="22"/>
      <c r="DR400" s="22"/>
      <c r="DS400" s="22"/>
      <c r="DT400" s="22"/>
      <c r="DU400" s="22"/>
      <c r="DV400" s="22"/>
      <c r="DW400" s="22"/>
      <c r="DX400" s="22"/>
      <c r="DY400" s="22"/>
      <c r="DZ400" s="22"/>
      <c r="EA400" s="22"/>
      <c r="EB400" s="22"/>
      <c r="EC400" s="22"/>
      <c r="ED400" s="22"/>
      <c r="EE400" s="22"/>
      <c r="EF400" s="22"/>
      <c r="EG400" s="22"/>
      <c r="EH400" s="22"/>
      <c r="EI400" s="22"/>
      <c r="EJ400" s="22"/>
      <c r="EK400" s="22"/>
      <c r="EL400" s="22"/>
      <c r="EM400" s="43"/>
      <c r="EN400" s="43"/>
      <c r="EO400" s="43"/>
      <c r="EP400" s="43"/>
      <c r="EQ400" s="43"/>
      <c r="ER400" s="43"/>
      <c r="ES400" s="43"/>
      <c r="ET400" s="43"/>
      <c r="EU400" s="43"/>
      <c r="EV400" s="43"/>
      <c r="EW400" s="43"/>
      <c r="EX400" s="43"/>
      <c r="EY400" s="43"/>
      <c r="EZ400" s="43"/>
      <c r="FA400" s="43"/>
      <c r="FB400" s="43"/>
      <c r="FC400" s="43"/>
    </row>
    <row r="401" ht="18.0" customHeight="1">
      <c r="A401" s="2"/>
      <c r="B401" s="22" t="str">
        <f>IFERROR(VLOOKUP(C401,'Реестр'!C:AC,27,0)," ")</f>
        <v> </v>
      </c>
      <c r="C401" s="43"/>
      <c r="D401" s="22" t="str">
        <f>IFERROR(VLOOKUP(C401,'Лист4'!D:P,13,0)," ")</f>
        <v> </v>
      </c>
      <c r="E401" s="22"/>
      <c r="F401" s="43"/>
      <c r="G401" s="43"/>
      <c r="H401" s="22" t="s">
        <v>401</v>
      </c>
      <c r="I401" s="22" t="s">
        <v>401</v>
      </c>
      <c r="J401" s="43"/>
      <c r="K401" s="43"/>
      <c r="L401" s="22"/>
      <c r="M401" s="22"/>
      <c r="N401" s="22"/>
      <c r="O401" s="22"/>
      <c r="P401" s="22"/>
      <c r="Q401" s="22"/>
      <c r="R401" s="22"/>
      <c r="S401" s="43"/>
      <c r="T401" s="43"/>
      <c r="U401" s="22" t="str">
        <f>IFERROR(VLOOKUP(T401,'Лист4'!C:I,3,0)," ")</f>
        <v> </v>
      </c>
      <c r="V401" s="22" t="str">
        <f>IFERROR(VLOOKUP(T401,'Лист4'!C:I,4,0)," ")</f>
        <v> </v>
      </c>
      <c r="W401" s="22"/>
      <c r="X401" s="43" t="str">
        <f>IFERROR(VLOOKUP(T401,'Лист4'!C:I,7,0)," ")</f>
        <v> </v>
      </c>
      <c r="Y401" s="43" t="str">
        <f>IFERROR(VLOOKUP(T401,'Лист4'!C:I,6,0)," ")</f>
        <v> </v>
      </c>
      <c r="Z401" s="43"/>
      <c r="AA401" s="43"/>
      <c r="AB401" s="22"/>
      <c r="AC401" s="22"/>
      <c r="AD401" s="22"/>
      <c r="AE401" s="22"/>
      <c r="AF401" s="22"/>
      <c r="AG401" s="43"/>
      <c r="AH401" s="43"/>
      <c r="AI401" s="43"/>
      <c r="AJ401" s="43"/>
      <c r="AK401" s="43"/>
      <c r="AL401" s="43"/>
      <c r="AM401" s="43"/>
      <c r="AN401" s="43"/>
      <c r="AO401" s="43"/>
      <c r="AP401" s="43"/>
      <c r="AQ401" s="43"/>
      <c r="AR401" s="43"/>
      <c r="AS401" s="43"/>
      <c r="AT401" s="43"/>
      <c r="AU401" s="43"/>
      <c r="AV401" s="43"/>
      <c r="AW401" s="43"/>
      <c r="AX401" s="22"/>
      <c r="AY401" s="22" t="str">
        <f>IFERROR(VLOOKUP(C401,'спецификация'!B:AA,25,0)," ")</f>
        <v> </v>
      </c>
      <c r="AZ401" s="43"/>
      <c r="BA401" s="43"/>
      <c r="BB401" s="43"/>
      <c r="BC401" s="43"/>
      <c r="BD401" s="43"/>
      <c r="BE401" s="43"/>
      <c r="BF401" s="22" t="str">
        <f>IFERROR(VLOOKUP(C401,'спецификация'!B:D,3,0)," ")</f>
        <v> </v>
      </c>
      <c r="BG401" s="22" t="str">
        <f>IFERROR(VLOOKUP(C401,'спецификация'!B:AA,4,0)," ")</f>
        <v> </v>
      </c>
      <c r="BH401" s="22" t="str">
        <f>IFERROR(VLOOKUP(C401,'спецификация'!B:AA,5,0)," ")</f>
        <v> </v>
      </c>
      <c r="BI401" s="22"/>
      <c r="BJ401" s="22" t="str">
        <f>IFERROR(VLOOKUP(C401,'спецификация'!B:AA,6,0)," ")</f>
        <v> </v>
      </c>
      <c r="BK401" s="43"/>
      <c r="BL401" s="43"/>
      <c r="BM401" s="22" t="str">
        <f>IFERROR(VLOOKUP(C401,'спецификация'!B:AA,7,0)," ")</f>
        <v> </v>
      </c>
      <c r="BN401" s="43"/>
      <c r="BO401" s="22" t="str">
        <f>IFERROR(VLOOKUP(C401,'спецификация'!B:AA,10,0)," ")</f>
        <v> </v>
      </c>
      <c r="BP401" s="43" t="str">
        <f>IFERROR(VLOOKUP(C401,'спецификация'!B:AA,11,0)," ")</f>
        <v> </v>
      </c>
      <c r="BQ401" s="22" t="str">
        <f>IFERROR(VLOOKUP(C401,'спецификация'!B:AA,12,0)," ")</f>
        <v> </v>
      </c>
      <c r="BR401" s="22"/>
      <c r="BS401" s="43"/>
      <c r="BT401" s="43"/>
      <c r="BU401" s="22"/>
      <c r="BV401" s="22" t="s">
        <v>401</v>
      </c>
      <c r="BW401" s="45" t="str">
        <f>IFERROR(VLOOKUP(C401,'спецификация'!B:AA,16,0)," ")</f>
        <v> </v>
      </c>
      <c r="BX401" s="43"/>
      <c r="BY401" s="43"/>
      <c r="BZ401" s="45" t="str">
        <f>IFERROR(VLOOKUP(C401,'спецификация'!B:AA,24,0)," ")</f>
        <v> </v>
      </c>
      <c r="CA401" s="43"/>
      <c r="CB401" s="43"/>
      <c r="CC401" s="43"/>
      <c r="CD401" s="43"/>
      <c r="CE401" s="43"/>
      <c r="CF401" s="43"/>
      <c r="CG401" s="49" t="str">
        <f>IFERROR(VLOOKUP(C401,CC!A:D,4,0)," ")</f>
        <v> </v>
      </c>
      <c r="CH401" s="22" t="str">
        <f>IFERROR(VLOOKUP(C401,'спецификация'!B:AA,19,0)," ")</f>
        <v> </v>
      </c>
      <c r="CI401" s="22"/>
      <c r="CJ401" s="43"/>
      <c r="CK401" s="22" t="str">
        <f>IFERROR(VLOOKUP(C401,CC!K:M,3,0)," ")</f>
        <v> </v>
      </c>
      <c r="CL401" s="43"/>
      <c r="CM401" s="43"/>
      <c r="CN401" s="43"/>
      <c r="CO401" s="43"/>
      <c r="CP401" s="43"/>
      <c r="CQ401" s="43"/>
      <c r="CR401" s="43"/>
      <c r="CS401" s="43" t="b">
        <v>0</v>
      </c>
      <c r="CT401" s="43" t="b">
        <v>0</v>
      </c>
      <c r="CU401" s="43" t="b">
        <v>0</v>
      </c>
      <c r="CV401" s="43" t="b">
        <v>0</v>
      </c>
      <c r="CW401" s="43"/>
      <c r="CX401" s="43"/>
      <c r="CY401" s="43"/>
      <c r="CZ401" s="43"/>
      <c r="DA401" s="43"/>
      <c r="DB401" s="43"/>
      <c r="DC401" s="43"/>
      <c r="DD401" s="22" t="str">
        <f>IFERROR(VLOOKUP($C401,'Лист4'!$D:$AI,27,0)," ")</f>
        <v> </v>
      </c>
      <c r="DE401" s="22" t="str">
        <f>IFERROR(VLOOKUP($C401,'Лист4'!$D:$AI,28,0)," ")</f>
        <v> </v>
      </c>
      <c r="DF401" s="22" t="str">
        <f>IFERROR(VLOOKUP($C401,'Лист4'!$D:$AI,29,0)," ")</f>
        <v> </v>
      </c>
      <c r="DG401" s="22" t="str">
        <f t="shared" si="3"/>
        <v> </v>
      </c>
      <c r="DH401" s="22" t="str">
        <f>IFERROR(VLOOKUP($C401,'Лист4'!$D:$AI,32,0)," ")</f>
        <v> </v>
      </c>
      <c r="DI401" s="22"/>
      <c r="DJ401" s="22"/>
      <c r="DK401" s="22"/>
      <c r="DL401" s="22"/>
      <c r="DM401" s="22"/>
      <c r="DN401" s="22"/>
      <c r="DO401" s="22"/>
      <c r="DP401" s="22"/>
      <c r="DQ401" s="22"/>
      <c r="DR401" s="22"/>
      <c r="DS401" s="22"/>
      <c r="DT401" s="22"/>
      <c r="DU401" s="22"/>
      <c r="DV401" s="22"/>
      <c r="DW401" s="22"/>
      <c r="DX401" s="22"/>
      <c r="DY401" s="22"/>
      <c r="DZ401" s="22"/>
      <c r="EA401" s="22"/>
      <c r="EB401" s="22"/>
      <c r="EC401" s="22"/>
      <c r="ED401" s="22"/>
      <c r="EE401" s="22"/>
      <c r="EF401" s="22"/>
      <c r="EG401" s="22"/>
      <c r="EH401" s="22"/>
      <c r="EI401" s="22"/>
      <c r="EJ401" s="22"/>
      <c r="EK401" s="22"/>
      <c r="EL401" s="22"/>
      <c r="EM401" s="43"/>
      <c r="EN401" s="43"/>
      <c r="EO401" s="43"/>
      <c r="EP401" s="43"/>
      <c r="EQ401" s="43"/>
      <c r="ER401" s="43"/>
      <c r="ES401" s="43"/>
      <c r="ET401" s="43"/>
      <c r="EU401" s="43"/>
      <c r="EV401" s="43"/>
      <c r="EW401" s="43"/>
      <c r="EX401" s="43"/>
      <c r="EY401" s="43"/>
      <c r="EZ401" s="43"/>
      <c r="FA401" s="43"/>
      <c r="FB401" s="43"/>
      <c r="FC401" s="43"/>
    </row>
    <row r="402" ht="18.0" customHeight="1">
      <c r="A402" s="2"/>
      <c r="B402" s="22" t="str">
        <f>IFERROR(VLOOKUP(C402,'Реестр'!C:AC,27,0)," ")</f>
        <v> </v>
      </c>
      <c r="C402" s="43"/>
      <c r="D402" s="22" t="str">
        <f>IFERROR(VLOOKUP(C402,'Лист4'!D:P,13,0)," ")</f>
        <v> </v>
      </c>
      <c r="E402" s="22"/>
      <c r="F402" s="43"/>
      <c r="G402" s="43"/>
      <c r="H402" s="22" t="s">
        <v>401</v>
      </c>
      <c r="I402" s="22" t="s">
        <v>401</v>
      </c>
      <c r="J402" s="43"/>
      <c r="K402" s="43"/>
      <c r="L402" s="22"/>
      <c r="M402" s="22"/>
      <c r="N402" s="22"/>
      <c r="O402" s="22"/>
      <c r="P402" s="22"/>
      <c r="Q402" s="22"/>
      <c r="R402" s="22"/>
      <c r="S402" s="43"/>
      <c r="T402" s="43"/>
      <c r="U402" s="22" t="str">
        <f>IFERROR(VLOOKUP(T402,'Лист4'!C:I,3,0)," ")</f>
        <v> </v>
      </c>
      <c r="V402" s="22" t="str">
        <f>IFERROR(VLOOKUP(T402,'Лист4'!C:I,4,0)," ")</f>
        <v> </v>
      </c>
      <c r="W402" s="22" t="str">
        <f>IFERROR(VLOOKUP(T402,'Лист4'!C:I,5,0)," ")</f>
        <v> </v>
      </c>
      <c r="X402" s="43" t="str">
        <f>IFERROR(VLOOKUP(T402,'Лист4'!C:I,7,0)," ")</f>
        <v> </v>
      </c>
      <c r="Y402" s="43" t="str">
        <f>IFERROR(VLOOKUP(T402,'Лист4'!C:I,6,0)," ")</f>
        <v> </v>
      </c>
      <c r="Z402" s="43"/>
      <c r="AA402" s="43"/>
      <c r="AB402" s="22"/>
      <c r="AC402" s="22"/>
      <c r="AD402" s="22"/>
      <c r="AE402" s="22"/>
      <c r="AF402" s="22"/>
      <c r="AG402" s="43"/>
      <c r="AH402" s="43"/>
      <c r="AI402" s="43"/>
      <c r="AJ402" s="43"/>
      <c r="AK402" s="43"/>
      <c r="AL402" s="43"/>
      <c r="AM402" s="43"/>
      <c r="AN402" s="43"/>
      <c r="AO402" s="43"/>
      <c r="AP402" s="43"/>
      <c r="AQ402" s="43"/>
      <c r="AR402" s="43"/>
      <c r="AS402" s="43"/>
      <c r="AT402" s="43"/>
      <c r="AU402" s="43"/>
      <c r="AV402" s="43"/>
      <c r="AW402" s="43"/>
      <c r="AX402" s="22"/>
      <c r="AY402" s="22" t="str">
        <f>IFERROR(VLOOKUP(C402,'спецификация'!B:AA,25,0)," ")</f>
        <v> </v>
      </c>
      <c r="AZ402" s="43"/>
      <c r="BA402" s="43"/>
      <c r="BB402" s="43"/>
      <c r="BC402" s="43"/>
      <c r="BD402" s="43"/>
      <c r="BE402" s="43"/>
      <c r="BF402" s="22" t="str">
        <f>IFERROR(VLOOKUP(C402,'спецификация'!B:D,3,0)," ")</f>
        <v> </v>
      </c>
      <c r="BG402" s="22" t="str">
        <f>IFERROR(VLOOKUP(C402,'спецификация'!B:AA,4,0)," ")</f>
        <v> </v>
      </c>
      <c r="BH402" s="22" t="str">
        <f>IFERROR(VLOOKUP(C402,'спецификация'!B:AA,5,0)," ")</f>
        <v> </v>
      </c>
      <c r="BI402" s="22"/>
      <c r="BJ402" s="22" t="str">
        <f>IFERROR(VLOOKUP(C402,'спецификация'!B:AA,6,0)," ")</f>
        <v> </v>
      </c>
      <c r="BK402" s="43"/>
      <c r="BL402" s="43"/>
      <c r="BM402" s="22" t="str">
        <f>IFERROR(VLOOKUP(C402,'спецификация'!B:AA,7,0)," ")</f>
        <v> </v>
      </c>
      <c r="BN402" s="43"/>
      <c r="BO402" s="22" t="str">
        <f>IFERROR(VLOOKUP(C402,'спецификация'!B:AA,10,0)," ")</f>
        <v> </v>
      </c>
      <c r="BP402" s="43" t="str">
        <f>IFERROR(VLOOKUP(C402,'спецификация'!B:AA,11,0)," ")</f>
        <v> </v>
      </c>
      <c r="BQ402" s="22" t="str">
        <f>IFERROR(VLOOKUP(C402,'спецификация'!B:AA,12,0)," ")</f>
        <v> </v>
      </c>
      <c r="BR402" s="22"/>
      <c r="BS402" s="43"/>
      <c r="BT402" s="43"/>
      <c r="BU402" s="22"/>
      <c r="BV402" s="22" t="s">
        <v>401</v>
      </c>
      <c r="BW402" s="45" t="str">
        <f>IFERROR(VLOOKUP(C402,'спецификация'!B:AA,16,0)," ")</f>
        <v> </v>
      </c>
      <c r="BX402" s="43"/>
      <c r="BY402" s="43"/>
      <c r="BZ402" s="45" t="str">
        <f>IFERROR(VLOOKUP(C402,'спецификация'!B:AA,24,0)," ")</f>
        <v> </v>
      </c>
      <c r="CA402" s="43"/>
      <c r="CB402" s="43"/>
      <c r="CC402" s="43"/>
      <c r="CD402" s="43"/>
      <c r="CE402" s="43"/>
      <c r="CF402" s="43"/>
      <c r="CG402" s="49" t="str">
        <f>IFERROR(VLOOKUP(C402,CC!A:D,4,0)," ")</f>
        <v> </v>
      </c>
      <c r="CH402" s="22" t="str">
        <f>IFERROR(VLOOKUP(C402,'спецификация'!B:AA,19,0)," ")</f>
        <v> </v>
      </c>
      <c r="CI402" s="22"/>
      <c r="CJ402" s="43"/>
      <c r="CK402" s="22" t="str">
        <f>IFERROR(VLOOKUP(C402,CC!K:M,3,0)," ")</f>
        <v> </v>
      </c>
      <c r="CL402" s="43"/>
      <c r="CM402" s="43"/>
      <c r="CN402" s="43"/>
      <c r="CO402" s="43"/>
      <c r="CP402" s="43"/>
      <c r="CQ402" s="43"/>
      <c r="CR402" s="43"/>
      <c r="CS402" s="43" t="b">
        <v>0</v>
      </c>
      <c r="CT402" s="43" t="b">
        <v>0</v>
      </c>
      <c r="CU402" s="43" t="b">
        <v>0</v>
      </c>
      <c r="CV402" s="43" t="b">
        <v>0</v>
      </c>
      <c r="CW402" s="43"/>
      <c r="CX402" s="43"/>
      <c r="CY402" s="43"/>
      <c r="CZ402" s="43"/>
      <c r="DA402" s="43"/>
      <c r="DB402" s="43"/>
      <c r="DC402" s="43"/>
      <c r="DD402" s="22" t="str">
        <f>IFERROR(VLOOKUP($C402,'Лист4'!$D:$AI,27,0)," ")</f>
        <v> </v>
      </c>
      <c r="DE402" s="22" t="str">
        <f>IFERROR(VLOOKUP($C402,'Лист4'!$D:$AI,28,0)," ")</f>
        <v> </v>
      </c>
      <c r="DF402" s="22" t="str">
        <f>IFERROR(VLOOKUP($C402,'Лист4'!$D:$AI,29,0)," ")</f>
        <v> </v>
      </c>
      <c r="DG402" s="22" t="str">
        <f t="shared" si="3"/>
        <v> </v>
      </c>
      <c r="DH402" s="22" t="str">
        <f>IFERROR(VLOOKUP($C402,'Лист4'!$D:$AI,32,0)," ")</f>
        <v> </v>
      </c>
      <c r="DI402" s="22"/>
      <c r="DJ402" s="22"/>
      <c r="DK402" s="22"/>
      <c r="DL402" s="22"/>
      <c r="DM402" s="22"/>
      <c r="DN402" s="22"/>
      <c r="DO402" s="22"/>
      <c r="DP402" s="22"/>
      <c r="DQ402" s="22"/>
      <c r="DR402" s="22"/>
      <c r="DS402" s="22"/>
      <c r="DT402" s="22"/>
      <c r="DU402" s="22"/>
      <c r="DV402" s="22"/>
      <c r="DW402" s="22"/>
      <c r="DX402" s="22"/>
      <c r="DY402" s="22"/>
      <c r="DZ402" s="22"/>
      <c r="EA402" s="22"/>
      <c r="EB402" s="22"/>
      <c r="EC402" s="22"/>
      <c r="ED402" s="22"/>
      <c r="EE402" s="22"/>
      <c r="EF402" s="22"/>
      <c r="EG402" s="22"/>
      <c r="EH402" s="22"/>
      <c r="EI402" s="22"/>
      <c r="EJ402" s="22"/>
      <c r="EK402" s="22"/>
      <c r="EL402" s="22"/>
      <c r="EM402" s="43"/>
      <c r="EN402" s="43"/>
      <c r="EO402" s="43"/>
      <c r="EP402" s="43"/>
      <c r="EQ402" s="43"/>
      <c r="ER402" s="43"/>
      <c r="ES402" s="43"/>
      <c r="ET402" s="43"/>
      <c r="EU402" s="43"/>
      <c r="EV402" s="43"/>
      <c r="EW402" s="43"/>
      <c r="EX402" s="43"/>
      <c r="EY402" s="43"/>
      <c r="EZ402" s="43"/>
      <c r="FA402" s="43"/>
      <c r="FB402" s="43"/>
      <c r="FC402" s="43"/>
    </row>
    <row r="403" ht="18.0" customHeight="1">
      <c r="A403" s="2"/>
      <c r="B403" s="22" t="str">
        <f>IFERROR(VLOOKUP(C403,'Реестр'!C:AC,27,0)," ")</f>
        <v> </v>
      </c>
      <c r="C403" s="43"/>
      <c r="D403" s="22" t="str">
        <f>IFERROR(VLOOKUP(C403,'Лист4'!D:P,13,0)," ")</f>
        <v> </v>
      </c>
      <c r="E403" s="22"/>
      <c r="F403" s="43"/>
      <c r="G403" s="43"/>
      <c r="H403" s="22" t="s">
        <v>401</v>
      </c>
      <c r="I403" s="22" t="s">
        <v>401</v>
      </c>
      <c r="J403" s="43"/>
      <c r="K403" s="43"/>
      <c r="L403" s="22"/>
      <c r="M403" s="22"/>
      <c r="N403" s="22"/>
      <c r="O403" s="22"/>
      <c r="P403" s="22"/>
      <c r="Q403" s="22"/>
      <c r="R403" s="22"/>
      <c r="S403" s="43"/>
      <c r="T403" s="43"/>
      <c r="U403" s="22" t="str">
        <f>IFERROR(VLOOKUP(T403,'Лист4'!C:I,3,0)," ")</f>
        <v> </v>
      </c>
      <c r="V403" s="22" t="str">
        <f>IFERROR(VLOOKUP(T403,'Лист4'!C:I,4,0)," ")</f>
        <v> </v>
      </c>
      <c r="W403" s="22" t="str">
        <f>IFERROR(VLOOKUP(T403,'Лист4'!C:I,5,0)," ")</f>
        <v> </v>
      </c>
      <c r="X403" s="43" t="str">
        <f>IFERROR(VLOOKUP(T403,'Лист4'!C:I,7,0)," ")</f>
        <v> </v>
      </c>
      <c r="Y403" s="43" t="str">
        <f>IFERROR(VLOOKUP(T403,'Лист4'!C:I,6,0)," ")</f>
        <v> </v>
      </c>
      <c r="Z403" s="43"/>
      <c r="AA403" s="43"/>
      <c r="AB403" s="22"/>
      <c r="AC403" s="22"/>
      <c r="AD403" s="22"/>
      <c r="AE403" s="22"/>
      <c r="AF403" s="22"/>
      <c r="AG403" s="43"/>
      <c r="AH403" s="43"/>
      <c r="AI403" s="43"/>
      <c r="AJ403" s="43"/>
      <c r="AK403" s="43"/>
      <c r="AL403" s="43"/>
      <c r="AM403" s="43"/>
      <c r="AN403" s="43"/>
      <c r="AO403" s="43"/>
      <c r="AP403" s="43"/>
      <c r="AQ403" s="43"/>
      <c r="AR403" s="43"/>
      <c r="AS403" s="43"/>
      <c r="AT403" s="43"/>
      <c r="AU403" s="43"/>
      <c r="AV403" s="43"/>
      <c r="AW403" s="43"/>
      <c r="AX403" s="22"/>
      <c r="AY403" s="22" t="str">
        <f>IFERROR(VLOOKUP(C403,'спецификация'!B:AA,25,0)," ")</f>
        <v> </v>
      </c>
      <c r="AZ403" s="43"/>
      <c r="BA403" s="43"/>
      <c r="BB403" s="43"/>
      <c r="BC403" s="43"/>
      <c r="BD403" s="43"/>
      <c r="BE403" s="43"/>
      <c r="BF403" s="22" t="str">
        <f>IFERROR(VLOOKUP(C403,'спецификация'!B:D,3,0)," ")</f>
        <v> </v>
      </c>
      <c r="BG403" s="22" t="str">
        <f>IFERROR(VLOOKUP(C403,'спецификация'!B:AA,4,0)," ")</f>
        <v> </v>
      </c>
      <c r="BH403" s="22" t="str">
        <f>IFERROR(VLOOKUP(C403,'спецификация'!B:AA,5,0)," ")</f>
        <v> </v>
      </c>
      <c r="BI403" s="22"/>
      <c r="BJ403" s="22" t="str">
        <f>IFERROR(VLOOKUP(C403,'спецификация'!B:AA,6,0)," ")</f>
        <v> </v>
      </c>
      <c r="BK403" s="43"/>
      <c r="BL403" s="43"/>
      <c r="BM403" s="22" t="str">
        <f>IFERROR(VLOOKUP(C403,'спецификация'!B:AA,7,0)," ")</f>
        <v> </v>
      </c>
      <c r="BN403" s="43"/>
      <c r="BO403" s="22" t="str">
        <f>IFERROR(VLOOKUP(C403,'спецификация'!B:AA,10,0)," ")</f>
        <v> </v>
      </c>
      <c r="BP403" s="43" t="str">
        <f>IFERROR(VLOOKUP(C403,'спецификация'!B:AA,11,0)," ")</f>
        <v> </v>
      </c>
      <c r="BQ403" s="22" t="str">
        <f>IFERROR(VLOOKUP(C403,'спецификация'!B:AA,12,0)," ")</f>
        <v> </v>
      </c>
      <c r="BR403" s="22"/>
      <c r="BS403" s="43"/>
      <c r="BT403" s="43"/>
      <c r="BU403" s="22"/>
      <c r="BV403" s="22" t="s">
        <v>401</v>
      </c>
      <c r="BW403" s="45" t="str">
        <f>IFERROR(VLOOKUP(C403,'спецификация'!B:AA,16,0)," ")</f>
        <v> </v>
      </c>
      <c r="BX403" s="43"/>
      <c r="BY403" s="43"/>
      <c r="BZ403" s="45" t="str">
        <f>IFERROR(VLOOKUP(C403,'спецификация'!B:AA,24,0)," ")</f>
        <v> </v>
      </c>
      <c r="CA403" s="43"/>
      <c r="CB403" s="43"/>
      <c r="CC403" s="43"/>
      <c r="CD403" s="43"/>
      <c r="CE403" s="43"/>
      <c r="CF403" s="43"/>
      <c r="CG403" s="49" t="str">
        <f>IFERROR(VLOOKUP(C403,CC!A:D,4,0)," ")</f>
        <v> </v>
      </c>
      <c r="CH403" s="22" t="str">
        <f>IFERROR(VLOOKUP(C403,'спецификация'!B:AA,19,0)," ")</f>
        <v> </v>
      </c>
      <c r="CI403" s="22"/>
      <c r="CJ403" s="43"/>
      <c r="CK403" s="22" t="str">
        <f>IFERROR(VLOOKUP(C403,CC!K:M,3,0)," ")</f>
        <v> </v>
      </c>
      <c r="CL403" s="43"/>
      <c r="CM403" s="43"/>
      <c r="CN403" s="43"/>
      <c r="CO403" s="43"/>
      <c r="CP403" s="43"/>
      <c r="CQ403" s="43"/>
      <c r="CR403" s="43"/>
      <c r="CS403" s="43" t="b">
        <v>0</v>
      </c>
      <c r="CT403" s="43" t="b">
        <v>0</v>
      </c>
      <c r="CU403" s="43" t="b">
        <v>0</v>
      </c>
      <c r="CV403" s="43" t="b">
        <v>0</v>
      </c>
      <c r="CW403" s="43"/>
      <c r="CX403" s="43"/>
      <c r="CY403" s="43"/>
      <c r="CZ403" s="43"/>
      <c r="DA403" s="43"/>
      <c r="DB403" s="43"/>
      <c r="DC403" s="43"/>
      <c r="DD403" s="22" t="str">
        <f>IFERROR(VLOOKUP($C403,'Лист4'!$D:$AI,27,0)," ")</f>
        <v> </v>
      </c>
      <c r="DE403" s="22" t="str">
        <f>IFERROR(VLOOKUP($C403,'Лист4'!$D:$AI,28,0)," ")</f>
        <v> </v>
      </c>
      <c r="DF403" s="22" t="str">
        <f>IFERROR(VLOOKUP($C403,'Лист4'!$D:$AI,29,0)," ")</f>
        <v> </v>
      </c>
      <c r="DG403" s="22" t="str">
        <f t="shared" si="3"/>
        <v> </v>
      </c>
      <c r="DH403" s="22" t="str">
        <f>IFERROR(VLOOKUP($C403,'Лист4'!$D:$AI,32,0)," ")</f>
        <v> </v>
      </c>
      <c r="DI403" s="22"/>
      <c r="DJ403" s="22"/>
      <c r="DK403" s="22"/>
      <c r="DL403" s="22"/>
      <c r="DM403" s="22"/>
      <c r="DN403" s="22"/>
      <c r="DO403" s="22"/>
      <c r="DP403" s="22"/>
      <c r="DQ403" s="22"/>
      <c r="DR403" s="22"/>
      <c r="DS403" s="22"/>
      <c r="DT403" s="22"/>
      <c r="DU403" s="22"/>
      <c r="DV403" s="22"/>
      <c r="DW403" s="22"/>
      <c r="DX403" s="22"/>
      <c r="DY403" s="22"/>
      <c r="DZ403" s="22"/>
      <c r="EA403" s="22"/>
      <c r="EB403" s="22"/>
      <c r="EC403" s="22"/>
      <c r="ED403" s="22"/>
      <c r="EE403" s="22"/>
      <c r="EF403" s="22"/>
      <c r="EG403" s="22"/>
      <c r="EH403" s="22"/>
      <c r="EI403" s="22"/>
      <c r="EJ403" s="22"/>
      <c r="EK403" s="22"/>
      <c r="EL403" s="22"/>
      <c r="EM403" s="43"/>
      <c r="EN403" s="43"/>
      <c r="EO403" s="43"/>
      <c r="EP403" s="43"/>
      <c r="EQ403" s="43"/>
      <c r="ER403" s="43"/>
      <c r="ES403" s="43"/>
      <c r="ET403" s="43"/>
      <c r="EU403" s="43"/>
      <c r="EV403" s="43"/>
      <c r="EW403" s="43"/>
      <c r="EX403" s="43"/>
      <c r="EY403" s="43"/>
      <c r="EZ403" s="43"/>
      <c r="FA403" s="43"/>
      <c r="FB403" s="43"/>
      <c r="FC403" s="43"/>
    </row>
    <row r="404" ht="18.0" customHeight="1">
      <c r="A404" s="2"/>
      <c r="B404" s="22" t="str">
        <f>IFERROR(VLOOKUP(C404,'Реестр'!C:AC,27,0)," ")</f>
        <v> </v>
      </c>
      <c r="C404" s="43"/>
      <c r="D404" s="22" t="str">
        <f>IFERROR(VLOOKUP(C404,'Лист4'!D:P,13,0)," ")</f>
        <v> </v>
      </c>
      <c r="E404" s="22"/>
      <c r="F404" s="43"/>
      <c r="G404" s="43"/>
      <c r="H404" s="22" t="s">
        <v>401</v>
      </c>
      <c r="I404" s="22" t="s">
        <v>401</v>
      </c>
      <c r="J404" s="43"/>
      <c r="K404" s="43"/>
      <c r="L404" s="22"/>
      <c r="M404" s="22"/>
      <c r="N404" s="22"/>
      <c r="O404" s="22"/>
      <c r="P404" s="22"/>
      <c r="Q404" s="22"/>
      <c r="R404" s="22"/>
      <c r="S404" s="43"/>
      <c r="T404" s="43"/>
      <c r="U404" s="22" t="str">
        <f>IFERROR(VLOOKUP(T404,'Лист4'!C:I,3,0)," ")</f>
        <v> </v>
      </c>
      <c r="V404" s="22" t="str">
        <f>IFERROR(VLOOKUP(T404,'Лист4'!C:I,4,0)," ")</f>
        <v> </v>
      </c>
      <c r="W404" s="22" t="str">
        <f>IFERROR(VLOOKUP(T404,'Лист4'!C:I,5,0)," ")</f>
        <v> </v>
      </c>
      <c r="X404" s="43" t="str">
        <f>IFERROR(VLOOKUP(T404,'Лист4'!C:I,7,0)," ")</f>
        <v> </v>
      </c>
      <c r="Y404" s="43" t="str">
        <f>IFERROR(VLOOKUP(T404,'Лист4'!C:I,6,0)," ")</f>
        <v> </v>
      </c>
      <c r="Z404" s="43"/>
      <c r="AA404" s="43"/>
      <c r="AB404" s="22"/>
      <c r="AC404" s="22" t="str">
        <f>IFERROR(VLOOKUP(V404,'Лист4'!F:O,6,0)," ")</f>
        <v> </v>
      </c>
      <c r="AD404" s="22"/>
      <c r="AE404" s="22"/>
      <c r="AF404" s="22"/>
      <c r="AG404" s="43"/>
      <c r="AH404" s="43"/>
      <c r="AI404" s="43"/>
      <c r="AJ404" s="43"/>
      <c r="AK404" s="43"/>
      <c r="AL404" s="43"/>
      <c r="AM404" s="43"/>
      <c r="AN404" s="43"/>
      <c r="AO404" s="43"/>
      <c r="AP404" s="43"/>
      <c r="AQ404" s="43"/>
      <c r="AR404" s="43"/>
      <c r="AS404" s="43"/>
      <c r="AT404" s="43"/>
      <c r="AU404" s="43"/>
      <c r="AV404" s="43"/>
      <c r="AW404" s="43"/>
      <c r="AX404" s="22"/>
      <c r="AY404" s="22" t="str">
        <f>IFERROR(VLOOKUP(C404,'спецификация'!B:AA,25,0)," ")</f>
        <v> </v>
      </c>
      <c r="AZ404" s="43"/>
      <c r="BA404" s="43"/>
      <c r="BB404" s="43"/>
      <c r="BC404" s="43"/>
      <c r="BD404" s="43"/>
      <c r="BE404" s="43"/>
      <c r="BF404" s="22" t="str">
        <f>IFERROR(VLOOKUP(C404,'спецификация'!B:D,3,0)," ")</f>
        <v> </v>
      </c>
      <c r="BG404" s="22" t="str">
        <f>IFERROR(VLOOKUP(C404,'спецификация'!B:AA,4,0)," ")</f>
        <v> </v>
      </c>
      <c r="BH404" s="22" t="str">
        <f>IFERROR(VLOOKUP(C404,'спецификация'!B:AA,5,0)," ")</f>
        <v> </v>
      </c>
      <c r="BI404" s="22"/>
      <c r="BJ404" s="22" t="str">
        <f>IFERROR(VLOOKUP(C404,'спецификация'!B:AA,6,0)," ")</f>
        <v> </v>
      </c>
      <c r="BK404" s="43"/>
      <c r="BL404" s="43"/>
      <c r="BM404" s="22" t="str">
        <f>IFERROR(VLOOKUP(C404,'спецификация'!B:AA,7,0)," ")</f>
        <v> </v>
      </c>
      <c r="BN404" s="43"/>
      <c r="BO404" s="22" t="str">
        <f>IFERROR(VLOOKUP(C404,'спецификация'!B:AA,10,0)," ")</f>
        <v> </v>
      </c>
      <c r="BP404" s="43" t="str">
        <f>IFERROR(VLOOKUP(C404,'спецификация'!B:AA,11,0)," ")</f>
        <v> </v>
      </c>
      <c r="BQ404" s="22" t="str">
        <f>IFERROR(VLOOKUP(C404,'спецификация'!B:AA,12,0)," ")</f>
        <v> </v>
      </c>
      <c r="BR404" s="22"/>
      <c r="BS404" s="43"/>
      <c r="BT404" s="43"/>
      <c r="BU404" s="22"/>
      <c r="BV404" s="22" t="s">
        <v>401</v>
      </c>
      <c r="BW404" s="45" t="str">
        <f>IFERROR(VLOOKUP(C404,'спецификация'!B:AA,16,0)," ")</f>
        <v> </v>
      </c>
      <c r="BX404" s="43"/>
      <c r="BY404" s="43"/>
      <c r="BZ404" s="45" t="str">
        <f>IFERROR(VLOOKUP(C404,'спецификация'!B:AA,24,0)," ")</f>
        <v> </v>
      </c>
      <c r="CA404" s="43"/>
      <c r="CB404" s="43"/>
      <c r="CC404" s="43"/>
      <c r="CD404" s="43"/>
      <c r="CE404" s="43"/>
      <c r="CF404" s="43"/>
      <c r="CG404" s="49" t="str">
        <f>IFERROR(VLOOKUP(C404,CC!A:D,4,0)," ")</f>
        <v> </v>
      </c>
      <c r="CH404" s="22" t="str">
        <f>IFERROR(VLOOKUP(C404,'спецификация'!B:AA,19,0)," ")</f>
        <v> </v>
      </c>
      <c r="CI404" s="22"/>
      <c r="CJ404" s="43"/>
      <c r="CK404" s="22" t="str">
        <f>IFERROR(VLOOKUP(C404,CC!K:M,3,0)," ")</f>
        <v> </v>
      </c>
      <c r="CL404" s="43"/>
      <c r="CM404" s="43"/>
      <c r="CN404" s="43"/>
      <c r="CO404" s="43"/>
      <c r="CP404" s="43"/>
      <c r="CQ404" s="43"/>
      <c r="CR404" s="43"/>
      <c r="CS404" s="43" t="b">
        <v>0</v>
      </c>
      <c r="CT404" s="43" t="b">
        <v>0</v>
      </c>
      <c r="CU404" s="43" t="b">
        <v>0</v>
      </c>
      <c r="CV404" s="43" t="b">
        <v>0</v>
      </c>
      <c r="CW404" s="43"/>
      <c r="CX404" s="43"/>
      <c r="CY404" s="43"/>
      <c r="CZ404" s="43"/>
      <c r="DA404" s="43"/>
      <c r="DB404" s="43"/>
      <c r="DC404" s="43"/>
      <c r="DD404" s="22" t="str">
        <f>IFERROR(VLOOKUP($C404,'Лист4'!$D:$AI,27,0)," ")</f>
        <v> </v>
      </c>
      <c r="DE404" s="22" t="str">
        <f>IFERROR(VLOOKUP($C404,'Лист4'!$D:$AI,28,0)," ")</f>
        <v> </v>
      </c>
      <c r="DF404" s="22" t="str">
        <f>IFERROR(VLOOKUP($C404,'Лист4'!$D:$AI,29,0)," ")</f>
        <v> </v>
      </c>
      <c r="DG404" s="22" t="str">
        <f t="shared" si="3"/>
        <v> </v>
      </c>
      <c r="DH404" s="22" t="str">
        <f>IFERROR(VLOOKUP($C404,'Лист4'!$D:$AI,32,0)," ")</f>
        <v> </v>
      </c>
      <c r="DI404" s="22"/>
      <c r="DJ404" s="22"/>
      <c r="DK404" s="22"/>
      <c r="DL404" s="22"/>
      <c r="DM404" s="22"/>
      <c r="DN404" s="22"/>
      <c r="DO404" s="22"/>
      <c r="DP404" s="22"/>
      <c r="DQ404" s="22"/>
      <c r="DR404" s="22"/>
      <c r="DS404" s="22"/>
      <c r="DT404" s="22"/>
      <c r="DU404" s="22"/>
      <c r="DV404" s="22"/>
      <c r="DW404" s="22"/>
      <c r="DX404" s="22"/>
      <c r="DY404" s="22"/>
      <c r="DZ404" s="22"/>
      <c r="EA404" s="22"/>
      <c r="EB404" s="22"/>
      <c r="EC404" s="22"/>
      <c r="ED404" s="22"/>
      <c r="EE404" s="22"/>
      <c r="EF404" s="22"/>
      <c r="EG404" s="22"/>
      <c r="EH404" s="22"/>
      <c r="EI404" s="22"/>
      <c r="EJ404" s="22"/>
      <c r="EK404" s="22"/>
      <c r="EL404" s="22"/>
      <c r="EM404" s="43"/>
      <c r="EN404" s="43"/>
      <c r="EO404" s="43"/>
      <c r="EP404" s="43"/>
      <c r="EQ404" s="43"/>
      <c r="ER404" s="43"/>
      <c r="ES404" s="43"/>
      <c r="ET404" s="43"/>
      <c r="EU404" s="43"/>
      <c r="EV404" s="43"/>
      <c r="EW404" s="43"/>
      <c r="EX404" s="43"/>
      <c r="EY404" s="43"/>
      <c r="EZ404" s="43"/>
      <c r="FA404" s="43"/>
      <c r="FB404" s="43"/>
      <c r="FC404" s="43"/>
    </row>
    <row r="405" ht="18.0" customHeight="1">
      <c r="A405" s="2"/>
      <c r="B405" s="22" t="str">
        <f>IFERROR(VLOOKUP(C405,'Реестр'!C:AC,27,0)," ")</f>
        <v> </v>
      </c>
      <c r="C405" s="43"/>
      <c r="D405" s="22" t="str">
        <f>IFERROR(VLOOKUP(C405,'Лист4'!D:P,13,0)," ")</f>
        <v> </v>
      </c>
      <c r="E405" s="22"/>
      <c r="F405" s="43"/>
      <c r="G405" s="43"/>
      <c r="H405" s="22" t="s">
        <v>401</v>
      </c>
      <c r="I405" s="22" t="s">
        <v>401</v>
      </c>
      <c r="J405" s="43"/>
      <c r="K405" s="43"/>
      <c r="L405" s="22"/>
      <c r="M405" s="22"/>
      <c r="N405" s="22"/>
      <c r="O405" s="22"/>
      <c r="P405" s="22"/>
      <c r="Q405" s="22"/>
      <c r="R405" s="22"/>
      <c r="S405" s="43"/>
      <c r="T405" s="43"/>
      <c r="U405" s="22" t="str">
        <f>IFERROR(VLOOKUP(T405,'Лист4'!C:I,3,0)," ")</f>
        <v> </v>
      </c>
      <c r="V405" s="22" t="str">
        <f>IFERROR(VLOOKUP(T405,'Лист4'!C:I,4,0)," ")</f>
        <v> </v>
      </c>
      <c r="W405" s="22" t="str">
        <f>IFERROR(VLOOKUP(T405,'Лист4'!C:I,5,0)," ")</f>
        <v> </v>
      </c>
      <c r="X405" s="43" t="str">
        <f>IFERROR(VLOOKUP(T405,'Лист4'!C:I,7,0)," ")</f>
        <v> </v>
      </c>
      <c r="Y405" s="43" t="str">
        <f>IFERROR(VLOOKUP(T405,'Лист4'!C:I,6,0)," ")</f>
        <v> </v>
      </c>
      <c r="Z405" s="43"/>
      <c r="AA405" s="43"/>
      <c r="AB405" s="22"/>
      <c r="AC405" s="22" t="str">
        <f>IFERROR(VLOOKUP(V405,'Лист4'!F:O,6,0)," ")</f>
        <v> </v>
      </c>
      <c r="AD405" s="22"/>
      <c r="AE405" s="22"/>
      <c r="AF405" s="22"/>
      <c r="AG405" s="43"/>
      <c r="AH405" s="43"/>
      <c r="AI405" s="43"/>
      <c r="AJ405" s="43"/>
      <c r="AK405" s="43"/>
      <c r="AL405" s="43"/>
      <c r="AM405" s="43"/>
      <c r="AN405" s="43"/>
      <c r="AO405" s="43"/>
      <c r="AP405" s="43"/>
      <c r="AQ405" s="43"/>
      <c r="AR405" s="43"/>
      <c r="AS405" s="43"/>
      <c r="AT405" s="43"/>
      <c r="AU405" s="43"/>
      <c r="AV405" s="43"/>
      <c r="AW405" s="43"/>
      <c r="AX405" s="22"/>
      <c r="AY405" s="22" t="str">
        <f>IFERROR(VLOOKUP(C405,'спецификация'!B:AA,25,0)," ")</f>
        <v> </v>
      </c>
      <c r="AZ405" s="43"/>
      <c r="BA405" s="43"/>
      <c r="BB405" s="43"/>
      <c r="BC405" s="43"/>
      <c r="BD405" s="43"/>
      <c r="BE405" s="43"/>
      <c r="BF405" s="22" t="str">
        <f>IFERROR(VLOOKUP(C405,'спецификация'!B:D,3,0)," ")</f>
        <v> </v>
      </c>
      <c r="BG405" s="22" t="str">
        <f>IFERROR(VLOOKUP(C405,'спецификация'!B:AA,4,0)," ")</f>
        <v> </v>
      </c>
      <c r="BH405" s="22" t="str">
        <f>IFERROR(VLOOKUP(C405,'спецификация'!B:AA,5,0)," ")</f>
        <v> </v>
      </c>
      <c r="BI405" s="22"/>
      <c r="BJ405" s="22" t="str">
        <f>IFERROR(VLOOKUP(C405,'спецификация'!B:AA,6,0)," ")</f>
        <v> </v>
      </c>
      <c r="BK405" s="43"/>
      <c r="BL405" s="43"/>
      <c r="BM405" s="22" t="str">
        <f>IFERROR(VLOOKUP(C405,'спецификация'!B:AA,7,0)," ")</f>
        <v> </v>
      </c>
      <c r="BN405" s="43"/>
      <c r="BO405" s="22" t="str">
        <f>IFERROR(VLOOKUP(C405,'спецификация'!B:AA,10,0)," ")</f>
        <v> </v>
      </c>
      <c r="BP405" s="43" t="str">
        <f>IFERROR(VLOOKUP(C405,'спецификация'!B:AA,11,0)," ")</f>
        <v> </v>
      </c>
      <c r="BQ405" s="22" t="str">
        <f>IFERROR(VLOOKUP(C405,'спецификация'!B:AA,12,0)," ")</f>
        <v> </v>
      </c>
      <c r="BR405" s="22"/>
      <c r="BS405" s="43"/>
      <c r="BT405" s="43"/>
      <c r="BU405" s="22"/>
      <c r="BV405" s="22" t="s">
        <v>401</v>
      </c>
      <c r="BW405" s="45" t="str">
        <f>IFERROR(VLOOKUP(C405,'спецификация'!B:AA,16,0)," ")</f>
        <v> </v>
      </c>
      <c r="BX405" s="43"/>
      <c r="BY405" s="43"/>
      <c r="BZ405" s="45" t="str">
        <f>IFERROR(VLOOKUP(C405,'спецификация'!B:AA,24,0)," ")</f>
        <v> </v>
      </c>
      <c r="CA405" s="43"/>
      <c r="CB405" s="43"/>
      <c r="CC405" s="43"/>
      <c r="CD405" s="43"/>
      <c r="CE405" s="43"/>
      <c r="CF405" s="43"/>
      <c r="CG405" s="49" t="str">
        <f>IFERROR(VLOOKUP(C405,CC!A:D,4,0)," ")</f>
        <v> </v>
      </c>
      <c r="CH405" s="22" t="str">
        <f>IFERROR(VLOOKUP(C405,'спецификация'!B:AA,19,0)," ")</f>
        <v> </v>
      </c>
      <c r="CI405" s="22"/>
      <c r="CJ405" s="43"/>
      <c r="CK405" s="22" t="str">
        <f>IFERROR(VLOOKUP(C405,CC!K:M,3,0)," ")</f>
        <v> </v>
      </c>
      <c r="CL405" s="43"/>
      <c r="CM405" s="43"/>
      <c r="CN405" s="43"/>
      <c r="CO405" s="43"/>
      <c r="CP405" s="43"/>
      <c r="CQ405" s="43"/>
      <c r="CR405" s="43"/>
      <c r="CS405" s="43" t="b">
        <v>0</v>
      </c>
      <c r="CT405" s="43" t="b">
        <v>0</v>
      </c>
      <c r="CU405" s="43" t="b">
        <v>0</v>
      </c>
      <c r="CV405" s="43" t="b">
        <v>0</v>
      </c>
      <c r="CW405" s="43"/>
      <c r="CX405" s="43"/>
      <c r="CY405" s="43"/>
      <c r="CZ405" s="43"/>
      <c r="DA405" s="43"/>
      <c r="DB405" s="43"/>
      <c r="DC405" s="43"/>
      <c r="DD405" s="22" t="str">
        <f>IFERROR(VLOOKUP($C405,'Лист4'!$D:$AI,27,0)," ")</f>
        <v> </v>
      </c>
      <c r="DE405" s="22" t="str">
        <f>IFERROR(VLOOKUP($C405,'Лист4'!$D:$AI,28,0)," ")</f>
        <v> </v>
      </c>
      <c r="DF405" s="22" t="str">
        <f>IFERROR(VLOOKUP($C405,'Лист4'!$D:$AI,29,0)," ")</f>
        <v> </v>
      </c>
      <c r="DG405" s="22" t="str">
        <f t="shared" si="3"/>
        <v> </v>
      </c>
      <c r="DH405" s="22" t="str">
        <f>IFERROR(VLOOKUP($C405,'Лист4'!$D:$AI,32,0)," ")</f>
        <v> </v>
      </c>
      <c r="DI405" s="22"/>
      <c r="DJ405" s="22"/>
      <c r="DK405" s="22"/>
      <c r="DL405" s="22"/>
      <c r="DM405" s="22"/>
      <c r="DN405" s="22"/>
      <c r="DO405" s="22"/>
      <c r="DP405" s="22"/>
      <c r="DQ405" s="22"/>
      <c r="DR405" s="22"/>
      <c r="DS405" s="22"/>
      <c r="DT405" s="22"/>
      <c r="DU405" s="22"/>
      <c r="DV405" s="22"/>
      <c r="DW405" s="22"/>
      <c r="DX405" s="22"/>
      <c r="DY405" s="22"/>
      <c r="DZ405" s="22"/>
      <c r="EA405" s="22"/>
      <c r="EB405" s="22"/>
      <c r="EC405" s="22"/>
      <c r="ED405" s="22"/>
      <c r="EE405" s="22"/>
      <c r="EF405" s="22"/>
      <c r="EG405" s="22"/>
      <c r="EH405" s="22"/>
      <c r="EI405" s="22"/>
      <c r="EJ405" s="22"/>
      <c r="EK405" s="22"/>
      <c r="EL405" s="22"/>
      <c r="EM405" s="43"/>
      <c r="EN405" s="43"/>
      <c r="EO405" s="43"/>
      <c r="EP405" s="43"/>
      <c r="EQ405" s="43"/>
      <c r="ER405" s="43"/>
      <c r="ES405" s="43"/>
      <c r="ET405" s="43"/>
      <c r="EU405" s="43"/>
      <c r="EV405" s="43"/>
      <c r="EW405" s="43"/>
      <c r="EX405" s="43"/>
      <c r="EY405" s="43"/>
      <c r="EZ405" s="43"/>
      <c r="FA405" s="43"/>
      <c r="FB405" s="43"/>
      <c r="FC405" s="43"/>
    </row>
    <row r="406" ht="18.0" customHeight="1">
      <c r="A406" s="2"/>
      <c r="B406" s="22" t="str">
        <f>IFERROR(VLOOKUP(C406,'Реестр'!C:AC,27,0)," ")</f>
        <v> </v>
      </c>
      <c r="C406" s="43"/>
      <c r="D406" s="22" t="str">
        <f>IFERROR(VLOOKUP(C406,'Лист4'!D:P,13,0)," ")</f>
        <v> </v>
      </c>
      <c r="E406" s="22"/>
      <c r="F406" s="43"/>
      <c r="G406" s="43"/>
      <c r="H406" s="22" t="s">
        <v>401</v>
      </c>
      <c r="I406" s="22" t="s">
        <v>401</v>
      </c>
      <c r="J406" s="43"/>
      <c r="K406" s="43"/>
      <c r="L406" s="22"/>
      <c r="M406" s="22"/>
      <c r="N406" s="22"/>
      <c r="O406" s="22"/>
      <c r="P406" s="22"/>
      <c r="Q406" s="22"/>
      <c r="R406" s="22"/>
      <c r="S406" s="43"/>
      <c r="T406" s="43"/>
      <c r="U406" s="22" t="str">
        <f>IFERROR(VLOOKUP(T406,'Лист4'!C:I,3,0)," ")</f>
        <v> </v>
      </c>
      <c r="V406" s="22" t="str">
        <f>IFERROR(VLOOKUP(T406,'Лист4'!C:I,4,0)," ")</f>
        <v> </v>
      </c>
      <c r="W406" s="22" t="str">
        <f>IFERROR(VLOOKUP(T406,'Лист4'!C:I,5,0)," ")</f>
        <v> </v>
      </c>
      <c r="X406" s="43" t="str">
        <f>IFERROR(VLOOKUP(T406,'Лист4'!C:I,7,0)," ")</f>
        <v> </v>
      </c>
      <c r="Y406" s="43" t="str">
        <f>IFERROR(VLOOKUP(T406,'Лист4'!C:I,6,0)," ")</f>
        <v> </v>
      </c>
      <c r="Z406" s="43"/>
      <c r="AA406" s="43"/>
      <c r="AB406" s="22"/>
      <c r="AC406" s="22" t="str">
        <f>IFERROR(VLOOKUP(V406,'Лист4'!F:O,6,0)," ")</f>
        <v> </v>
      </c>
      <c r="AD406" s="22"/>
      <c r="AE406" s="22"/>
      <c r="AF406" s="22"/>
      <c r="AG406" s="43"/>
      <c r="AH406" s="43"/>
      <c r="AI406" s="43"/>
      <c r="AJ406" s="43"/>
      <c r="AK406" s="43"/>
      <c r="AL406" s="43"/>
      <c r="AM406" s="43"/>
      <c r="AN406" s="43"/>
      <c r="AO406" s="43"/>
      <c r="AP406" s="43"/>
      <c r="AQ406" s="43"/>
      <c r="AR406" s="43"/>
      <c r="AS406" s="43"/>
      <c r="AT406" s="43"/>
      <c r="AU406" s="43"/>
      <c r="AV406" s="43"/>
      <c r="AW406" s="43"/>
      <c r="AX406" s="22"/>
      <c r="AY406" s="22" t="str">
        <f>IFERROR(VLOOKUP(C406,'спецификация'!B:AA,25,0)," ")</f>
        <v> </v>
      </c>
      <c r="AZ406" s="43"/>
      <c r="BA406" s="43"/>
      <c r="BB406" s="43"/>
      <c r="BC406" s="43"/>
      <c r="BD406" s="43"/>
      <c r="BE406" s="43"/>
      <c r="BF406" s="22" t="str">
        <f>IFERROR(VLOOKUP(C406,'спецификация'!B:D,3,0)," ")</f>
        <v> </v>
      </c>
      <c r="BG406" s="22" t="str">
        <f>IFERROR(VLOOKUP(C406,'спецификация'!B:AA,4,0)," ")</f>
        <v> </v>
      </c>
      <c r="BH406" s="22" t="str">
        <f>IFERROR(VLOOKUP(C406,'спецификация'!B:AA,5,0)," ")</f>
        <v> </v>
      </c>
      <c r="BI406" s="22"/>
      <c r="BJ406" s="22" t="str">
        <f>IFERROR(VLOOKUP(C406,'спецификация'!B:AA,6,0)," ")</f>
        <v> </v>
      </c>
      <c r="BK406" s="43"/>
      <c r="BL406" s="43"/>
      <c r="BM406" s="22" t="str">
        <f>IFERROR(VLOOKUP(C406,'спецификация'!B:AA,7,0)," ")</f>
        <v> </v>
      </c>
      <c r="BN406" s="43"/>
      <c r="BO406" s="22" t="str">
        <f>IFERROR(VLOOKUP(C406,'спецификация'!B:AA,10,0)," ")</f>
        <v> </v>
      </c>
      <c r="BP406" s="43" t="str">
        <f>IFERROR(VLOOKUP(C406,'спецификация'!B:AA,11,0)," ")</f>
        <v> </v>
      </c>
      <c r="BQ406" s="22" t="str">
        <f>IFERROR(VLOOKUP(C406,'спецификация'!B:AA,12,0)," ")</f>
        <v> </v>
      </c>
      <c r="BR406" s="22"/>
      <c r="BS406" s="43"/>
      <c r="BT406" s="43"/>
      <c r="BU406" s="22"/>
      <c r="BV406" s="22" t="s">
        <v>401</v>
      </c>
      <c r="BW406" s="45" t="str">
        <f>IFERROR(VLOOKUP(C406,'спецификация'!B:AA,16,0)," ")</f>
        <v> </v>
      </c>
      <c r="BX406" s="43"/>
      <c r="BY406" s="43"/>
      <c r="BZ406" s="45" t="str">
        <f>IFERROR(VLOOKUP(C406,'спецификация'!B:AA,24,0)," ")</f>
        <v> </v>
      </c>
      <c r="CA406" s="43"/>
      <c r="CB406" s="43"/>
      <c r="CC406" s="43"/>
      <c r="CD406" s="43"/>
      <c r="CE406" s="43"/>
      <c r="CF406" s="43"/>
      <c r="CG406" s="49" t="str">
        <f>IFERROR(VLOOKUP(C406,CC!A:D,4,0)," ")</f>
        <v> </v>
      </c>
      <c r="CH406" s="22" t="str">
        <f>IFERROR(VLOOKUP(C406,'спецификация'!B:AA,19,0)," ")</f>
        <v> </v>
      </c>
      <c r="CI406" s="22"/>
      <c r="CJ406" s="43"/>
      <c r="CK406" s="22" t="str">
        <f>IFERROR(VLOOKUP(C406,CC!K:M,3,0)," ")</f>
        <v> </v>
      </c>
      <c r="CL406" s="43"/>
      <c r="CM406" s="43"/>
      <c r="CN406" s="43"/>
      <c r="CO406" s="43"/>
      <c r="CP406" s="43"/>
      <c r="CQ406" s="43"/>
      <c r="CR406" s="43"/>
      <c r="CS406" s="43" t="b">
        <v>0</v>
      </c>
      <c r="CT406" s="43" t="b">
        <v>0</v>
      </c>
      <c r="CU406" s="43" t="b">
        <v>0</v>
      </c>
      <c r="CV406" s="43" t="b">
        <v>0</v>
      </c>
      <c r="CW406" s="43"/>
      <c r="CX406" s="43"/>
      <c r="CY406" s="43"/>
      <c r="CZ406" s="43"/>
      <c r="DA406" s="43"/>
      <c r="DB406" s="43"/>
      <c r="DC406" s="43"/>
      <c r="DD406" s="22" t="str">
        <f>IFERROR(VLOOKUP($C406,'Лист4'!$D:$AI,27,0)," ")</f>
        <v> </v>
      </c>
      <c r="DE406" s="22" t="str">
        <f>IFERROR(VLOOKUP($C406,'Лист4'!$D:$AI,28,0)," ")</f>
        <v> </v>
      </c>
      <c r="DF406" s="22" t="str">
        <f>IFERROR(VLOOKUP($C406,'Лист4'!$D:$AI,29,0)," ")</f>
        <v> </v>
      </c>
      <c r="DG406" s="22" t="str">
        <f t="shared" si="3"/>
        <v> </v>
      </c>
      <c r="DH406" s="22" t="str">
        <f>IFERROR(VLOOKUP($C406,'Лист4'!$D:$AI,32,0)," ")</f>
        <v> </v>
      </c>
      <c r="DI406" s="22"/>
      <c r="DJ406" s="22"/>
      <c r="DK406" s="22"/>
      <c r="DL406" s="22"/>
      <c r="DM406" s="22"/>
      <c r="DN406" s="22"/>
      <c r="DO406" s="22"/>
      <c r="DP406" s="22"/>
      <c r="DQ406" s="22"/>
      <c r="DR406" s="22"/>
      <c r="DS406" s="22"/>
      <c r="DT406" s="22"/>
      <c r="DU406" s="22"/>
      <c r="DV406" s="22"/>
      <c r="DW406" s="22"/>
      <c r="DX406" s="22"/>
      <c r="DY406" s="22"/>
      <c r="DZ406" s="22"/>
      <c r="EA406" s="22"/>
      <c r="EB406" s="22"/>
      <c r="EC406" s="22"/>
      <c r="ED406" s="22"/>
      <c r="EE406" s="22"/>
      <c r="EF406" s="22"/>
      <c r="EG406" s="22"/>
      <c r="EH406" s="22"/>
      <c r="EI406" s="22"/>
      <c r="EJ406" s="22"/>
      <c r="EK406" s="22"/>
      <c r="EL406" s="22"/>
      <c r="EM406" s="43"/>
      <c r="EN406" s="43"/>
      <c r="EO406" s="43"/>
      <c r="EP406" s="43"/>
      <c r="EQ406" s="43"/>
      <c r="ER406" s="43"/>
      <c r="ES406" s="43"/>
      <c r="ET406" s="43"/>
      <c r="EU406" s="43"/>
      <c r="EV406" s="43"/>
      <c r="EW406" s="43"/>
      <c r="EX406" s="43"/>
      <c r="EY406" s="43"/>
      <c r="EZ406" s="43"/>
      <c r="FA406" s="43"/>
      <c r="FB406" s="43"/>
      <c r="FC406" s="43"/>
    </row>
    <row r="407" ht="18.0" customHeight="1">
      <c r="A407" s="2"/>
      <c r="B407" s="22" t="str">
        <f>IFERROR(VLOOKUP(C407,'Реестр'!C:AC,27,0)," ")</f>
        <v> </v>
      </c>
      <c r="C407" s="43"/>
      <c r="D407" s="22" t="str">
        <f>IFERROR(VLOOKUP(C407,'Лист4'!D:P,13,0)," ")</f>
        <v> </v>
      </c>
      <c r="E407" s="22"/>
      <c r="F407" s="43"/>
      <c r="G407" s="43"/>
      <c r="H407" s="22" t="s">
        <v>401</v>
      </c>
      <c r="I407" s="22" t="s">
        <v>401</v>
      </c>
      <c r="J407" s="43"/>
      <c r="K407" s="43"/>
      <c r="L407" s="22"/>
      <c r="M407" s="22"/>
      <c r="N407" s="22"/>
      <c r="O407" s="22"/>
      <c r="P407" s="22"/>
      <c r="Q407" s="22"/>
      <c r="R407" s="22"/>
      <c r="S407" s="43"/>
      <c r="T407" s="43"/>
      <c r="U407" s="22" t="str">
        <f>IFERROR(VLOOKUP(T407,'Лист4'!C:I,3,0)," ")</f>
        <v> </v>
      </c>
      <c r="V407" s="22" t="str">
        <f>IFERROR(VLOOKUP(T407,'Лист4'!C:I,4,0)," ")</f>
        <v> </v>
      </c>
      <c r="W407" s="22" t="str">
        <f>IFERROR(VLOOKUP(T407,'Лист4'!C:I,5,0)," ")</f>
        <v> </v>
      </c>
      <c r="X407" s="43" t="str">
        <f>IFERROR(VLOOKUP(T407,'Лист4'!C:I,7,0)," ")</f>
        <v> </v>
      </c>
      <c r="Y407" s="43" t="str">
        <f>IFERROR(VLOOKUP(T407,'Лист4'!C:I,6,0)," ")</f>
        <v> </v>
      </c>
      <c r="Z407" s="43"/>
      <c r="AA407" s="43"/>
      <c r="AB407" s="22"/>
      <c r="AC407" s="22" t="str">
        <f>IFERROR(VLOOKUP(V407,'Лист4'!F:O,6,0)," ")</f>
        <v> </v>
      </c>
      <c r="AD407" s="22"/>
      <c r="AE407" s="22"/>
      <c r="AF407" s="22"/>
      <c r="AG407" s="43"/>
      <c r="AH407" s="43"/>
      <c r="AI407" s="43"/>
      <c r="AJ407" s="43"/>
      <c r="AK407" s="43"/>
      <c r="AL407" s="43"/>
      <c r="AM407" s="43"/>
      <c r="AN407" s="43"/>
      <c r="AO407" s="43"/>
      <c r="AP407" s="43"/>
      <c r="AQ407" s="43"/>
      <c r="AR407" s="43"/>
      <c r="AS407" s="43"/>
      <c r="AT407" s="43"/>
      <c r="AU407" s="43"/>
      <c r="AV407" s="43"/>
      <c r="AW407" s="43"/>
      <c r="AX407" s="22"/>
      <c r="AY407" s="22" t="str">
        <f>IFERROR(VLOOKUP(C407,'спецификация'!B:AA,25,0)," ")</f>
        <v> </v>
      </c>
      <c r="AZ407" s="43"/>
      <c r="BA407" s="43"/>
      <c r="BB407" s="43"/>
      <c r="BC407" s="43"/>
      <c r="BD407" s="43"/>
      <c r="BE407" s="43"/>
      <c r="BF407" s="22" t="str">
        <f>IFERROR(VLOOKUP(C407,'спецификация'!B:D,3,0)," ")</f>
        <v> </v>
      </c>
      <c r="BG407" s="22" t="str">
        <f>IFERROR(VLOOKUP(C407,'спецификация'!B:AA,4,0)," ")</f>
        <v> </v>
      </c>
      <c r="BH407" s="22" t="str">
        <f>IFERROR(VLOOKUP(C407,'спецификация'!B:AA,5,0)," ")</f>
        <v> </v>
      </c>
      <c r="BI407" s="22"/>
      <c r="BJ407" s="22" t="str">
        <f>IFERROR(VLOOKUP(C407,'спецификация'!B:AA,6,0)," ")</f>
        <v> </v>
      </c>
      <c r="BK407" s="43"/>
      <c r="BL407" s="43"/>
      <c r="BM407" s="22" t="str">
        <f>IFERROR(VLOOKUP(C407,'спецификация'!B:AA,7,0)," ")</f>
        <v> </v>
      </c>
      <c r="BN407" s="43"/>
      <c r="BO407" s="22" t="str">
        <f>IFERROR(VLOOKUP(C407,'спецификация'!B:AA,10,0)," ")</f>
        <v> </v>
      </c>
      <c r="BP407" s="43" t="str">
        <f>IFERROR(VLOOKUP(C407,'спецификация'!B:AA,11,0)," ")</f>
        <v> </v>
      </c>
      <c r="BQ407" s="22" t="str">
        <f>IFERROR(VLOOKUP(C407,'спецификация'!B:AA,12,0)," ")</f>
        <v> </v>
      </c>
      <c r="BR407" s="22"/>
      <c r="BS407" s="43"/>
      <c r="BT407" s="43"/>
      <c r="BU407" s="22"/>
      <c r="BV407" s="22" t="s">
        <v>401</v>
      </c>
      <c r="BW407" s="45" t="str">
        <f>IFERROR(VLOOKUP(C407,'спецификация'!B:AA,16,0)," ")</f>
        <v> </v>
      </c>
      <c r="BX407" s="43"/>
      <c r="BY407" s="43"/>
      <c r="BZ407" s="45" t="str">
        <f>IFERROR(VLOOKUP(C407,'спецификация'!B:AA,24,0)," ")</f>
        <v> </v>
      </c>
      <c r="CA407" s="43"/>
      <c r="CB407" s="43"/>
      <c r="CC407" s="43"/>
      <c r="CD407" s="43"/>
      <c r="CE407" s="43"/>
      <c r="CF407" s="43"/>
      <c r="CG407" s="49" t="str">
        <f>IFERROR(VLOOKUP(C407,CC!A:D,4,0)," ")</f>
        <v> </v>
      </c>
      <c r="CH407" s="22" t="str">
        <f>IFERROR(VLOOKUP(C407,'спецификация'!B:AA,19,0)," ")</f>
        <v> </v>
      </c>
      <c r="CI407" s="22"/>
      <c r="CJ407" s="43"/>
      <c r="CK407" s="22" t="str">
        <f>IFERROR(VLOOKUP(C407,CC!K:M,3,0)," ")</f>
        <v> </v>
      </c>
      <c r="CL407" s="43"/>
      <c r="CM407" s="43"/>
      <c r="CN407" s="43"/>
      <c r="CO407" s="43"/>
      <c r="CP407" s="43"/>
      <c r="CQ407" s="43"/>
      <c r="CR407" s="43"/>
      <c r="CS407" s="43" t="b">
        <v>0</v>
      </c>
      <c r="CT407" s="43" t="b">
        <v>0</v>
      </c>
      <c r="CU407" s="43" t="b">
        <v>0</v>
      </c>
      <c r="CV407" s="43" t="b">
        <v>0</v>
      </c>
      <c r="CW407" s="43"/>
      <c r="CX407" s="43"/>
      <c r="CY407" s="43"/>
      <c r="CZ407" s="43"/>
      <c r="DA407" s="43"/>
      <c r="DB407" s="43"/>
      <c r="DC407" s="43"/>
      <c r="DD407" s="22" t="str">
        <f>IFERROR(VLOOKUP($C407,'Лист4'!$D:$AI,27,0)," ")</f>
        <v> </v>
      </c>
      <c r="DE407" s="22" t="str">
        <f>IFERROR(VLOOKUP($C407,'Лист4'!$D:$AI,28,0)," ")</f>
        <v> </v>
      </c>
      <c r="DF407" s="22" t="str">
        <f>IFERROR(VLOOKUP($C407,'Лист4'!$D:$AI,29,0)," ")</f>
        <v> </v>
      </c>
      <c r="DG407" s="22" t="str">
        <f t="shared" si="3"/>
        <v> </v>
      </c>
      <c r="DH407" s="22" t="str">
        <f>IFERROR(VLOOKUP($C407,'Лист4'!$D:$AI,32,0)," ")</f>
        <v> </v>
      </c>
      <c r="DI407" s="22"/>
      <c r="DJ407" s="22"/>
      <c r="DK407" s="22"/>
      <c r="DL407" s="22"/>
      <c r="DM407" s="22"/>
      <c r="DN407" s="22"/>
      <c r="DO407" s="22"/>
      <c r="DP407" s="22"/>
      <c r="DQ407" s="22"/>
      <c r="DR407" s="22"/>
      <c r="DS407" s="22"/>
      <c r="DT407" s="22"/>
      <c r="DU407" s="22"/>
      <c r="DV407" s="22"/>
      <c r="DW407" s="22"/>
      <c r="DX407" s="22"/>
      <c r="DY407" s="22"/>
      <c r="DZ407" s="22"/>
      <c r="EA407" s="22"/>
      <c r="EB407" s="22"/>
      <c r="EC407" s="22"/>
      <c r="ED407" s="22"/>
      <c r="EE407" s="22"/>
      <c r="EF407" s="22"/>
      <c r="EG407" s="22"/>
      <c r="EH407" s="22"/>
      <c r="EI407" s="22"/>
      <c r="EJ407" s="22"/>
      <c r="EK407" s="22"/>
      <c r="EL407" s="22"/>
      <c r="EM407" s="43"/>
      <c r="EN407" s="43"/>
      <c r="EO407" s="43"/>
      <c r="EP407" s="43"/>
      <c r="EQ407" s="43"/>
      <c r="ER407" s="43"/>
      <c r="ES407" s="43"/>
      <c r="ET407" s="43"/>
      <c r="EU407" s="43"/>
      <c r="EV407" s="43"/>
      <c r="EW407" s="43"/>
      <c r="EX407" s="43"/>
      <c r="EY407" s="43"/>
      <c r="EZ407" s="43"/>
      <c r="FA407" s="43"/>
      <c r="FB407" s="43"/>
      <c r="FC407" s="43"/>
    </row>
    <row r="408" ht="18.0" customHeight="1">
      <c r="A408" s="2"/>
      <c r="B408" s="22" t="str">
        <f>IFERROR(VLOOKUP(C408,'Реестр'!C:AC,27,0)," ")</f>
        <v> </v>
      </c>
      <c r="C408" s="43"/>
      <c r="D408" s="22" t="str">
        <f>IFERROR(VLOOKUP(C408,'Лист4'!D:P,13,0)," ")</f>
        <v> </v>
      </c>
      <c r="E408" s="22"/>
      <c r="F408" s="43"/>
      <c r="G408" s="43"/>
      <c r="H408" s="22" t="s">
        <v>401</v>
      </c>
      <c r="I408" s="22" t="s">
        <v>401</v>
      </c>
      <c r="J408" s="43"/>
      <c r="K408" s="43"/>
      <c r="L408" s="22"/>
      <c r="M408" s="22"/>
      <c r="N408" s="22"/>
      <c r="O408" s="22"/>
      <c r="P408" s="22"/>
      <c r="Q408" s="22"/>
      <c r="R408" s="22"/>
      <c r="S408" s="43"/>
      <c r="T408" s="43"/>
      <c r="U408" s="22" t="str">
        <f>IFERROR(VLOOKUP(T408,'Лист4'!C:I,3,0)," ")</f>
        <v> </v>
      </c>
      <c r="V408" s="22" t="str">
        <f>IFERROR(VLOOKUP(T408,'Лист4'!C:I,4,0)," ")</f>
        <v> </v>
      </c>
      <c r="W408" s="22" t="str">
        <f>IFERROR(VLOOKUP(T408,'Лист4'!C:I,5,0)," ")</f>
        <v> </v>
      </c>
      <c r="X408" s="43" t="str">
        <f>IFERROR(VLOOKUP(T408,'Лист4'!C:I,7,0)," ")</f>
        <v> </v>
      </c>
      <c r="Y408" s="43" t="str">
        <f>IFERROR(VLOOKUP(T408,'Лист4'!C:I,6,0)," ")</f>
        <v> </v>
      </c>
      <c r="Z408" s="43"/>
      <c r="AA408" s="43"/>
      <c r="AB408" s="22"/>
      <c r="AC408" s="22" t="str">
        <f>IFERROR(VLOOKUP(V408,'Лист4'!F:O,6,0)," ")</f>
        <v> </v>
      </c>
      <c r="AD408" s="22"/>
      <c r="AE408" s="22"/>
      <c r="AF408" s="22"/>
      <c r="AG408" s="43"/>
      <c r="AH408" s="43"/>
      <c r="AI408" s="43"/>
      <c r="AJ408" s="43"/>
      <c r="AK408" s="43"/>
      <c r="AL408" s="43"/>
      <c r="AM408" s="43"/>
      <c r="AN408" s="43"/>
      <c r="AO408" s="43"/>
      <c r="AP408" s="43"/>
      <c r="AQ408" s="43"/>
      <c r="AR408" s="43"/>
      <c r="AS408" s="43"/>
      <c r="AT408" s="43"/>
      <c r="AU408" s="43"/>
      <c r="AV408" s="43"/>
      <c r="AW408" s="43"/>
      <c r="AX408" s="22"/>
      <c r="AY408" s="22" t="str">
        <f>IFERROR(VLOOKUP(C408,'спецификация'!B:AA,25,0)," ")</f>
        <v> </v>
      </c>
      <c r="AZ408" s="43"/>
      <c r="BA408" s="43"/>
      <c r="BB408" s="43"/>
      <c r="BC408" s="43"/>
      <c r="BD408" s="43"/>
      <c r="BE408" s="43"/>
      <c r="BF408" s="22" t="str">
        <f>IFERROR(VLOOKUP(C408,'спецификация'!B:D,3,0)," ")</f>
        <v> </v>
      </c>
      <c r="BG408" s="22" t="str">
        <f>IFERROR(VLOOKUP(C408,'спецификация'!B:AA,4,0)," ")</f>
        <v> </v>
      </c>
      <c r="BH408" s="22" t="str">
        <f>IFERROR(VLOOKUP(C408,'спецификация'!B:AA,5,0)," ")</f>
        <v> </v>
      </c>
      <c r="BI408" s="22"/>
      <c r="BJ408" s="22" t="str">
        <f>IFERROR(VLOOKUP(C408,'спецификация'!B:AA,6,0)," ")</f>
        <v> </v>
      </c>
      <c r="BK408" s="43"/>
      <c r="BL408" s="43"/>
      <c r="BM408" s="22" t="str">
        <f>IFERROR(VLOOKUP(C408,'спецификация'!B:AA,7,0)," ")</f>
        <v> </v>
      </c>
      <c r="BN408" s="43"/>
      <c r="BO408" s="22" t="str">
        <f>IFERROR(VLOOKUP(C408,'спецификация'!B:AA,10,0)," ")</f>
        <v> </v>
      </c>
      <c r="BP408" s="43" t="str">
        <f>IFERROR(VLOOKUP(C408,'спецификация'!B:AA,11,0)," ")</f>
        <v> </v>
      </c>
      <c r="BQ408" s="22" t="str">
        <f>IFERROR(VLOOKUP(C408,'спецификация'!B:AA,12,0)," ")</f>
        <v> </v>
      </c>
      <c r="BR408" s="22"/>
      <c r="BS408" s="43"/>
      <c r="BT408" s="43"/>
      <c r="BU408" s="22"/>
      <c r="BV408" s="22" t="s">
        <v>401</v>
      </c>
      <c r="BW408" s="45" t="str">
        <f>IFERROR(VLOOKUP(C408,'спецификация'!B:AA,16,0)," ")</f>
        <v> </v>
      </c>
      <c r="BX408" s="43"/>
      <c r="BY408" s="43"/>
      <c r="BZ408" s="45" t="str">
        <f>IFERROR(VLOOKUP(C408,'спецификация'!B:AA,24,0)," ")</f>
        <v> </v>
      </c>
      <c r="CA408" s="43"/>
      <c r="CB408" s="43"/>
      <c r="CC408" s="43"/>
      <c r="CD408" s="43"/>
      <c r="CE408" s="43"/>
      <c r="CF408" s="43"/>
      <c r="CG408" s="49" t="str">
        <f>IFERROR(VLOOKUP(C408,CC!A:D,4,0)," ")</f>
        <v> </v>
      </c>
      <c r="CH408" s="22" t="str">
        <f>IFERROR(VLOOKUP(C408,'спецификация'!B:AA,19,0)," ")</f>
        <v> </v>
      </c>
      <c r="CI408" s="22"/>
      <c r="CJ408" s="43"/>
      <c r="CK408" s="22" t="str">
        <f>IFERROR(VLOOKUP(C408,CC!K:M,3,0)," ")</f>
        <v> </v>
      </c>
      <c r="CL408" s="43"/>
      <c r="CM408" s="43"/>
      <c r="CN408" s="43"/>
      <c r="CO408" s="43"/>
      <c r="CP408" s="43"/>
      <c r="CQ408" s="43"/>
      <c r="CR408" s="43"/>
      <c r="CS408" s="43" t="b">
        <v>0</v>
      </c>
      <c r="CT408" s="43" t="b">
        <v>0</v>
      </c>
      <c r="CU408" s="43" t="b">
        <v>0</v>
      </c>
      <c r="CV408" s="43" t="b">
        <v>0</v>
      </c>
      <c r="CW408" s="43"/>
      <c r="CX408" s="43"/>
      <c r="CY408" s="43"/>
      <c r="CZ408" s="43"/>
      <c r="DA408" s="43"/>
      <c r="DB408" s="43"/>
      <c r="DC408" s="43"/>
      <c r="DD408" s="22" t="str">
        <f>IFERROR(VLOOKUP($C408,'Лист4'!$D:$AI,27,0)," ")</f>
        <v> </v>
      </c>
      <c r="DE408" s="22" t="str">
        <f>IFERROR(VLOOKUP($C408,'Лист4'!$D:$AI,28,0)," ")</f>
        <v> </v>
      </c>
      <c r="DF408" s="22" t="str">
        <f>IFERROR(VLOOKUP($C408,'Лист4'!$D:$AI,29,0)," ")</f>
        <v> </v>
      </c>
      <c r="DG408" s="22" t="str">
        <f t="shared" si="3"/>
        <v> </v>
      </c>
      <c r="DH408" s="22" t="str">
        <f>IFERROR(VLOOKUP($C408,'Лист4'!$D:$AI,32,0)," ")</f>
        <v> </v>
      </c>
      <c r="DI408" s="22"/>
      <c r="DJ408" s="22"/>
      <c r="DK408" s="22"/>
      <c r="DL408" s="22"/>
      <c r="DM408" s="22"/>
      <c r="DN408" s="22"/>
      <c r="DO408" s="22"/>
      <c r="DP408" s="22"/>
      <c r="DQ408" s="22"/>
      <c r="DR408" s="22"/>
      <c r="DS408" s="22"/>
      <c r="DT408" s="22"/>
      <c r="DU408" s="22"/>
      <c r="DV408" s="22"/>
      <c r="DW408" s="22"/>
      <c r="DX408" s="22"/>
      <c r="DY408" s="22"/>
      <c r="DZ408" s="22"/>
      <c r="EA408" s="22"/>
      <c r="EB408" s="22"/>
      <c r="EC408" s="22"/>
      <c r="ED408" s="22"/>
      <c r="EE408" s="22"/>
      <c r="EF408" s="22"/>
      <c r="EG408" s="22"/>
      <c r="EH408" s="22"/>
      <c r="EI408" s="22"/>
      <c r="EJ408" s="22"/>
      <c r="EK408" s="22"/>
      <c r="EL408" s="22"/>
      <c r="EM408" s="43"/>
      <c r="EN408" s="43"/>
      <c r="EO408" s="43"/>
      <c r="EP408" s="43"/>
      <c r="EQ408" s="43"/>
      <c r="ER408" s="43"/>
      <c r="ES408" s="43"/>
      <c r="ET408" s="43"/>
      <c r="EU408" s="43"/>
      <c r="EV408" s="43"/>
      <c r="EW408" s="43"/>
      <c r="EX408" s="43"/>
      <c r="EY408" s="43"/>
      <c r="EZ408" s="43"/>
      <c r="FA408" s="43"/>
      <c r="FB408" s="43"/>
      <c r="FC408" s="43"/>
    </row>
    <row r="409" ht="18.0" customHeight="1">
      <c r="A409" s="2"/>
      <c r="B409" s="22" t="str">
        <f>IFERROR(VLOOKUP(C409,'Реестр'!C:AC,27,0)," ")</f>
        <v> </v>
      </c>
      <c r="C409" s="43"/>
      <c r="D409" s="22" t="str">
        <f>IFERROR(VLOOKUP(C409,'Лист4'!D:P,13,0)," ")</f>
        <v> </v>
      </c>
      <c r="E409" s="22"/>
      <c r="F409" s="43"/>
      <c r="G409" s="43"/>
      <c r="H409" s="22" t="s">
        <v>401</v>
      </c>
      <c r="I409" s="22" t="s">
        <v>401</v>
      </c>
      <c r="J409" s="43"/>
      <c r="K409" s="43"/>
      <c r="L409" s="22"/>
      <c r="M409" s="22"/>
      <c r="N409" s="22"/>
      <c r="O409" s="22"/>
      <c r="P409" s="22"/>
      <c r="Q409" s="22"/>
      <c r="R409" s="22"/>
      <c r="S409" s="43"/>
      <c r="T409" s="43"/>
      <c r="U409" s="22" t="str">
        <f>IFERROR(VLOOKUP(T409,'Лист4'!C:I,3,0)," ")</f>
        <v> </v>
      </c>
      <c r="V409" s="22" t="str">
        <f>IFERROR(VLOOKUP(T409,'Лист4'!C:I,4,0)," ")</f>
        <v> </v>
      </c>
      <c r="W409" s="22" t="str">
        <f>IFERROR(VLOOKUP(T409,'Лист4'!C:I,5,0)," ")</f>
        <v> </v>
      </c>
      <c r="X409" s="43" t="str">
        <f>IFERROR(VLOOKUP(T409,'Лист4'!C:I,7,0)," ")</f>
        <v> </v>
      </c>
      <c r="Y409" s="43" t="str">
        <f>IFERROR(VLOOKUP(T409,'Лист4'!C:I,6,0)," ")</f>
        <v> </v>
      </c>
      <c r="Z409" s="43"/>
      <c r="AA409" s="43"/>
      <c r="AB409" s="22"/>
      <c r="AC409" s="22" t="str">
        <f>IFERROR(VLOOKUP(V409,'Лист4'!F:O,6,0)," ")</f>
        <v> </v>
      </c>
      <c r="AD409" s="22"/>
      <c r="AE409" s="22"/>
      <c r="AF409" s="22"/>
      <c r="AG409" s="43"/>
      <c r="AH409" s="43"/>
      <c r="AI409" s="43"/>
      <c r="AJ409" s="43"/>
      <c r="AK409" s="43"/>
      <c r="AL409" s="43"/>
      <c r="AM409" s="43"/>
      <c r="AN409" s="43"/>
      <c r="AO409" s="43"/>
      <c r="AP409" s="43"/>
      <c r="AQ409" s="43"/>
      <c r="AR409" s="43"/>
      <c r="AS409" s="43"/>
      <c r="AT409" s="43"/>
      <c r="AU409" s="43"/>
      <c r="AV409" s="43"/>
      <c r="AW409" s="43"/>
      <c r="AX409" s="22"/>
      <c r="AY409" s="22" t="str">
        <f>IFERROR(VLOOKUP(C409,'спецификация'!B:AA,25,0)," ")</f>
        <v> </v>
      </c>
      <c r="AZ409" s="43"/>
      <c r="BA409" s="43"/>
      <c r="BB409" s="43"/>
      <c r="BC409" s="43"/>
      <c r="BD409" s="43"/>
      <c r="BE409" s="43"/>
      <c r="BF409" s="22" t="str">
        <f>IFERROR(VLOOKUP(C409,'спецификация'!B:D,3,0)," ")</f>
        <v> </v>
      </c>
      <c r="BG409" s="22" t="str">
        <f>IFERROR(VLOOKUP(C409,'спецификация'!B:AA,4,0)," ")</f>
        <v> </v>
      </c>
      <c r="BH409" s="22" t="str">
        <f>IFERROR(VLOOKUP(C409,'спецификация'!B:AA,5,0)," ")</f>
        <v> </v>
      </c>
      <c r="BI409" s="22"/>
      <c r="BJ409" s="22" t="str">
        <f>IFERROR(VLOOKUP(C409,'спецификация'!B:AA,6,0)," ")</f>
        <v> </v>
      </c>
      <c r="BK409" s="43"/>
      <c r="BL409" s="43"/>
      <c r="BM409" s="22" t="str">
        <f>IFERROR(VLOOKUP(C409,'спецификация'!B:AA,7,0)," ")</f>
        <v> </v>
      </c>
      <c r="BN409" s="43"/>
      <c r="BO409" s="22" t="str">
        <f>IFERROR(VLOOKUP(C409,'спецификация'!B:AA,10,0)," ")</f>
        <v> </v>
      </c>
      <c r="BP409" s="43" t="str">
        <f>IFERROR(VLOOKUP(C409,'спецификация'!B:AA,11,0)," ")</f>
        <v> </v>
      </c>
      <c r="BQ409" s="22" t="str">
        <f>IFERROR(VLOOKUP(C409,'спецификация'!B:AA,12,0)," ")</f>
        <v> </v>
      </c>
      <c r="BR409" s="22"/>
      <c r="BS409" s="43"/>
      <c r="BT409" s="43"/>
      <c r="BU409" s="22"/>
      <c r="BV409" s="22" t="s">
        <v>401</v>
      </c>
      <c r="BW409" s="45" t="str">
        <f>IFERROR(VLOOKUP(C409,'спецификация'!B:AA,16,0)," ")</f>
        <v> </v>
      </c>
      <c r="BX409" s="43"/>
      <c r="BY409" s="43"/>
      <c r="BZ409" s="45" t="str">
        <f>IFERROR(VLOOKUP(C409,'спецификация'!B:AA,24,0)," ")</f>
        <v> </v>
      </c>
      <c r="CA409" s="43"/>
      <c r="CB409" s="43"/>
      <c r="CC409" s="43"/>
      <c r="CD409" s="43"/>
      <c r="CE409" s="43"/>
      <c r="CF409" s="43"/>
      <c r="CG409" s="49" t="str">
        <f>IFERROR(VLOOKUP(C409,CC!A:D,4,0)," ")</f>
        <v> </v>
      </c>
      <c r="CH409" s="22" t="str">
        <f>IFERROR(VLOOKUP(C409,'спецификация'!B:AA,19,0)," ")</f>
        <v> </v>
      </c>
      <c r="CI409" s="22"/>
      <c r="CJ409" s="43"/>
      <c r="CK409" s="22" t="str">
        <f>IFERROR(VLOOKUP(C409,CC!K:M,3,0)," ")</f>
        <v> </v>
      </c>
      <c r="CL409" s="43"/>
      <c r="CM409" s="43"/>
      <c r="CN409" s="43"/>
      <c r="CO409" s="43"/>
      <c r="CP409" s="43"/>
      <c r="CQ409" s="43"/>
      <c r="CR409" s="43"/>
      <c r="CS409" s="43" t="b">
        <v>0</v>
      </c>
      <c r="CT409" s="43" t="b">
        <v>0</v>
      </c>
      <c r="CU409" s="43" t="b">
        <v>0</v>
      </c>
      <c r="CV409" s="43" t="b">
        <v>0</v>
      </c>
      <c r="CW409" s="43"/>
      <c r="CX409" s="43"/>
      <c r="CY409" s="43"/>
      <c r="CZ409" s="43"/>
      <c r="DA409" s="43"/>
      <c r="DB409" s="43"/>
      <c r="DC409" s="43"/>
      <c r="DD409" s="22" t="str">
        <f>IFERROR(VLOOKUP($C409,'Лист4'!$D:$AI,27,0)," ")</f>
        <v> </v>
      </c>
      <c r="DE409" s="22" t="str">
        <f>IFERROR(VLOOKUP($C409,'Лист4'!$D:$AI,28,0)," ")</f>
        <v> </v>
      </c>
      <c r="DF409" s="22" t="str">
        <f>IFERROR(VLOOKUP($C409,'Лист4'!$D:$AI,29,0)," ")</f>
        <v> </v>
      </c>
      <c r="DG409" s="22" t="str">
        <f t="shared" si="3"/>
        <v> </v>
      </c>
      <c r="DH409" s="22" t="str">
        <f>IFERROR(VLOOKUP($C409,'Лист4'!$D:$AI,32,0)," ")</f>
        <v> </v>
      </c>
      <c r="DI409" s="22"/>
      <c r="DJ409" s="22"/>
      <c r="DK409" s="22"/>
      <c r="DL409" s="22"/>
      <c r="DM409" s="22"/>
      <c r="DN409" s="22"/>
      <c r="DO409" s="22"/>
      <c r="DP409" s="22"/>
      <c r="DQ409" s="22"/>
      <c r="DR409" s="22"/>
      <c r="DS409" s="22"/>
      <c r="DT409" s="22"/>
      <c r="DU409" s="22"/>
      <c r="DV409" s="22"/>
      <c r="DW409" s="22"/>
      <c r="DX409" s="22"/>
      <c r="DY409" s="22"/>
      <c r="DZ409" s="22"/>
      <c r="EA409" s="22"/>
      <c r="EB409" s="22"/>
      <c r="EC409" s="22"/>
      <c r="ED409" s="22"/>
      <c r="EE409" s="22"/>
      <c r="EF409" s="22"/>
      <c r="EG409" s="22"/>
      <c r="EH409" s="22"/>
      <c r="EI409" s="22"/>
      <c r="EJ409" s="22"/>
      <c r="EK409" s="22"/>
      <c r="EL409" s="22"/>
      <c r="EM409" s="43"/>
      <c r="EN409" s="43"/>
      <c r="EO409" s="43"/>
      <c r="EP409" s="43"/>
      <c r="EQ409" s="43"/>
      <c r="ER409" s="43"/>
      <c r="ES409" s="43"/>
      <c r="ET409" s="43"/>
      <c r="EU409" s="43"/>
      <c r="EV409" s="43"/>
      <c r="EW409" s="43"/>
      <c r="EX409" s="43"/>
      <c r="EY409" s="43"/>
      <c r="EZ409" s="43"/>
      <c r="FA409" s="43"/>
      <c r="FB409" s="43"/>
      <c r="FC409" s="43"/>
    </row>
    <row r="410" ht="18.0" customHeight="1">
      <c r="A410" s="2"/>
      <c r="B410" s="22" t="str">
        <f>IFERROR(VLOOKUP(C410,'Реестр'!C:AC,27,0)," ")</f>
        <v> </v>
      </c>
      <c r="C410" s="43"/>
      <c r="D410" s="22" t="str">
        <f>IFERROR(VLOOKUP(C410,'Лист4'!D:P,13,0)," ")</f>
        <v> </v>
      </c>
      <c r="E410" s="22"/>
      <c r="F410" s="43"/>
      <c r="G410" s="43"/>
      <c r="H410" s="22" t="s">
        <v>401</v>
      </c>
      <c r="I410" s="22" t="s">
        <v>401</v>
      </c>
      <c r="J410" s="43"/>
      <c r="K410" s="43"/>
      <c r="L410" s="22"/>
      <c r="M410" s="22"/>
      <c r="N410" s="22"/>
      <c r="O410" s="22"/>
      <c r="P410" s="22"/>
      <c r="Q410" s="22"/>
      <c r="R410" s="22"/>
      <c r="S410" s="43"/>
      <c r="T410" s="43"/>
      <c r="U410" s="22" t="str">
        <f>IFERROR(VLOOKUP(T410,'Лист4'!C:I,3,0)," ")</f>
        <v> </v>
      </c>
      <c r="V410" s="22" t="str">
        <f>IFERROR(VLOOKUP(T410,'Лист4'!C:I,4,0)," ")</f>
        <v> </v>
      </c>
      <c r="W410" s="22" t="str">
        <f>IFERROR(VLOOKUP(T410,'Лист4'!C:I,5,0)," ")</f>
        <v> </v>
      </c>
      <c r="X410" s="43" t="str">
        <f>IFERROR(VLOOKUP(T410,'Лист4'!C:I,7,0)," ")</f>
        <v> </v>
      </c>
      <c r="Y410" s="43" t="str">
        <f>IFERROR(VLOOKUP(T410,'Лист4'!C:I,6,0)," ")</f>
        <v> </v>
      </c>
      <c r="Z410" s="43"/>
      <c r="AA410" s="43"/>
      <c r="AB410" s="22"/>
      <c r="AC410" s="22" t="str">
        <f>IFERROR(VLOOKUP(V410,'Лист4'!F:O,6,0)," ")</f>
        <v> </v>
      </c>
      <c r="AD410" s="22"/>
      <c r="AE410" s="22"/>
      <c r="AF410" s="22"/>
      <c r="AG410" s="43"/>
      <c r="AH410" s="43"/>
      <c r="AI410" s="43"/>
      <c r="AJ410" s="43"/>
      <c r="AK410" s="43"/>
      <c r="AL410" s="43"/>
      <c r="AM410" s="43"/>
      <c r="AN410" s="43"/>
      <c r="AO410" s="43"/>
      <c r="AP410" s="43"/>
      <c r="AQ410" s="43"/>
      <c r="AR410" s="43"/>
      <c r="AS410" s="43"/>
      <c r="AT410" s="43"/>
      <c r="AU410" s="43"/>
      <c r="AV410" s="43"/>
      <c r="AW410" s="43"/>
      <c r="AX410" s="22"/>
      <c r="AY410" s="22" t="str">
        <f>IFERROR(VLOOKUP(C410,'спецификация'!B:AA,25,0)," ")</f>
        <v> </v>
      </c>
      <c r="AZ410" s="43"/>
      <c r="BA410" s="43"/>
      <c r="BB410" s="43"/>
      <c r="BC410" s="43"/>
      <c r="BD410" s="43"/>
      <c r="BE410" s="43"/>
      <c r="BF410" s="22" t="str">
        <f>IFERROR(VLOOKUP(C410,'спецификация'!B:D,3,0)," ")</f>
        <v> </v>
      </c>
      <c r="BG410" s="22" t="str">
        <f>IFERROR(VLOOKUP(C410,'спецификация'!B:AA,4,0)," ")</f>
        <v> </v>
      </c>
      <c r="BH410" s="22" t="str">
        <f>IFERROR(VLOOKUP(C410,'спецификация'!B:AA,5,0)," ")</f>
        <v> </v>
      </c>
      <c r="BI410" s="22"/>
      <c r="BJ410" s="22" t="str">
        <f>IFERROR(VLOOKUP(C410,'спецификация'!B:AA,6,0)," ")</f>
        <v> </v>
      </c>
      <c r="BK410" s="43"/>
      <c r="BL410" s="43"/>
      <c r="BM410" s="22" t="str">
        <f>IFERROR(VLOOKUP(C410,'спецификация'!B:AA,7,0)," ")</f>
        <v> </v>
      </c>
      <c r="BN410" s="43"/>
      <c r="BO410" s="22" t="str">
        <f>IFERROR(VLOOKUP(C410,'спецификация'!B:AA,10,0)," ")</f>
        <v> </v>
      </c>
      <c r="BP410" s="43" t="str">
        <f>IFERROR(VLOOKUP(C410,'спецификация'!B:AA,11,0)," ")</f>
        <v> </v>
      </c>
      <c r="BQ410" s="22" t="str">
        <f>IFERROR(VLOOKUP(C410,'спецификация'!B:AA,12,0)," ")</f>
        <v> </v>
      </c>
      <c r="BR410" s="22"/>
      <c r="BS410" s="43"/>
      <c r="BT410" s="43"/>
      <c r="BU410" s="22"/>
      <c r="BV410" s="22" t="s">
        <v>401</v>
      </c>
      <c r="BW410" s="45" t="str">
        <f>IFERROR(VLOOKUP(C410,'спецификация'!B:AA,16,0)," ")</f>
        <v> </v>
      </c>
      <c r="BX410" s="43"/>
      <c r="BY410" s="43"/>
      <c r="BZ410" s="45" t="str">
        <f>IFERROR(VLOOKUP(C410,'спецификация'!B:AA,24,0)," ")</f>
        <v> </v>
      </c>
      <c r="CA410" s="43"/>
      <c r="CB410" s="43"/>
      <c r="CC410" s="43"/>
      <c r="CD410" s="43"/>
      <c r="CE410" s="43"/>
      <c r="CF410" s="43"/>
      <c r="CG410" s="49" t="str">
        <f>IFERROR(VLOOKUP(C410,CC!A:D,4,0)," ")</f>
        <v> </v>
      </c>
      <c r="CH410" s="22" t="str">
        <f>IFERROR(VLOOKUP(C410,'спецификация'!B:AA,19,0)," ")</f>
        <v> </v>
      </c>
      <c r="CI410" s="22"/>
      <c r="CJ410" s="43"/>
      <c r="CK410" s="22" t="str">
        <f>IFERROR(VLOOKUP(C410,CC!K:M,3,0)," ")</f>
        <v> </v>
      </c>
      <c r="CL410" s="43"/>
      <c r="CM410" s="43"/>
      <c r="CN410" s="43"/>
      <c r="CO410" s="43"/>
      <c r="CP410" s="43"/>
      <c r="CQ410" s="43"/>
      <c r="CR410" s="43"/>
      <c r="CS410" s="43" t="b">
        <v>0</v>
      </c>
      <c r="CT410" s="43" t="b">
        <v>0</v>
      </c>
      <c r="CU410" s="43" t="b">
        <v>0</v>
      </c>
      <c r="CV410" s="43" t="b">
        <v>0</v>
      </c>
      <c r="CW410" s="43"/>
      <c r="CX410" s="43"/>
      <c r="CY410" s="43"/>
      <c r="CZ410" s="43"/>
      <c r="DA410" s="43"/>
      <c r="DB410" s="43"/>
      <c r="DC410" s="43"/>
      <c r="DD410" s="22" t="str">
        <f>IFERROR(VLOOKUP($C410,'Лист4'!$D:$AI,27,0)," ")</f>
        <v> </v>
      </c>
      <c r="DE410" s="22" t="str">
        <f>IFERROR(VLOOKUP($C410,'Лист4'!$D:$AI,28,0)," ")</f>
        <v> </v>
      </c>
      <c r="DF410" s="22" t="str">
        <f>IFERROR(VLOOKUP($C410,'Лист4'!$D:$AI,29,0)," ")</f>
        <v> </v>
      </c>
      <c r="DG410" s="22" t="str">
        <f t="shared" si="3"/>
        <v> </v>
      </c>
      <c r="DH410" s="22" t="str">
        <f>IFERROR(VLOOKUP($C410,'Лист4'!$D:$AI,32,0)," ")</f>
        <v> </v>
      </c>
      <c r="DI410" s="22"/>
      <c r="DJ410" s="22"/>
      <c r="DK410" s="22"/>
      <c r="DL410" s="22"/>
      <c r="DM410" s="22"/>
      <c r="DN410" s="22"/>
      <c r="DO410" s="22"/>
      <c r="DP410" s="22"/>
      <c r="DQ410" s="22"/>
      <c r="DR410" s="22"/>
      <c r="DS410" s="22"/>
      <c r="DT410" s="22"/>
      <c r="DU410" s="22"/>
      <c r="DV410" s="22"/>
      <c r="DW410" s="22"/>
      <c r="DX410" s="22"/>
      <c r="DY410" s="22"/>
      <c r="DZ410" s="22"/>
      <c r="EA410" s="22"/>
      <c r="EB410" s="22"/>
      <c r="EC410" s="22"/>
      <c r="ED410" s="22"/>
      <c r="EE410" s="22"/>
      <c r="EF410" s="22"/>
      <c r="EG410" s="22"/>
      <c r="EH410" s="22"/>
      <c r="EI410" s="22"/>
      <c r="EJ410" s="22"/>
      <c r="EK410" s="22"/>
      <c r="EL410" s="22"/>
      <c r="EM410" s="43"/>
      <c r="EN410" s="43"/>
      <c r="EO410" s="43"/>
      <c r="EP410" s="43"/>
      <c r="EQ410" s="43"/>
      <c r="ER410" s="43"/>
      <c r="ES410" s="43"/>
      <c r="ET410" s="43"/>
      <c r="EU410" s="43"/>
      <c r="EV410" s="43"/>
      <c r="EW410" s="43"/>
      <c r="EX410" s="43"/>
      <c r="EY410" s="43"/>
      <c r="EZ410" s="43"/>
      <c r="FA410" s="43"/>
      <c r="FB410" s="43"/>
      <c r="FC410" s="43"/>
    </row>
    <row r="411" ht="18.0" customHeight="1">
      <c r="A411" s="2"/>
      <c r="B411" s="22" t="str">
        <f>IFERROR(VLOOKUP(C411,'Реестр'!C:AC,27,0)," ")</f>
        <v> </v>
      </c>
      <c r="C411" s="43"/>
      <c r="D411" s="22" t="str">
        <f>IFERROR(VLOOKUP(C411,'Лист4'!D:P,13,0)," ")</f>
        <v> </v>
      </c>
      <c r="E411" s="22"/>
      <c r="F411" s="43"/>
      <c r="G411" s="43"/>
      <c r="H411" s="22" t="s">
        <v>401</v>
      </c>
      <c r="I411" s="22" t="s">
        <v>401</v>
      </c>
      <c r="J411" s="43"/>
      <c r="K411" s="43"/>
      <c r="L411" s="22"/>
      <c r="M411" s="22"/>
      <c r="N411" s="22"/>
      <c r="O411" s="22"/>
      <c r="P411" s="22"/>
      <c r="Q411" s="22"/>
      <c r="R411" s="22"/>
      <c r="S411" s="43"/>
      <c r="T411" s="43"/>
      <c r="U411" s="22" t="str">
        <f>IFERROR(VLOOKUP(T411,'Лист4'!C:I,3,0)," ")</f>
        <v> </v>
      </c>
      <c r="V411" s="22" t="str">
        <f>IFERROR(VLOOKUP(T411,'Лист4'!C:I,4,0)," ")</f>
        <v> </v>
      </c>
      <c r="W411" s="22" t="str">
        <f>IFERROR(VLOOKUP(T411,'Лист4'!C:I,5,0)," ")</f>
        <v> </v>
      </c>
      <c r="X411" s="43" t="str">
        <f>IFERROR(VLOOKUP(T411,'Лист4'!C:I,7,0)," ")</f>
        <v> </v>
      </c>
      <c r="Y411" s="43" t="str">
        <f>IFERROR(VLOOKUP(T411,'Лист4'!C:I,6,0)," ")</f>
        <v> </v>
      </c>
      <c r="Z411" s="43"/>
      <c r="AA411" s="43"/>
      <c r="AB411" s="22"/>
      <c r="AC411" s="22" t="str">
        <f>IFERROR(VLOOKUP(V411,'Лист4'!F:O,6,0)," ")</f>
        <v> </v>
      </c>
      <c r="AD411" s="22"/>
      <c r="AE411" s="22"/>
      <c r="AF411" s="22"/>
      <c r="AG411" s="43"/>
      <c r="AH411" s="43"/>
      <c r="AI411" s="43"/>
      <c r="AJ411" s="43"/>
      <c r="AK411" s="43"/>
      <c r="AL411" s="43"/>
      <c r="AM411" s="43"/>
      <c r="AN411" s="43"/>
      <c r="AO411" s="43"/>
      <c r="AP411" s="43"/>
      <c r="AQ411" s="43"/>
      <c r="AR411" s="43"/>
      <c r="AS411" s="43"/>
      <c r="AT411" s="43"/>
      <c r="AU411" s="43"/>
      <c r="AV411" s="43"/>
      <c r="AW411" s="43"/>
      <c r="AX411" s="22"/>
      <c r="AY411" s="22" t="str">
        <f>IFERROR(VLOOKUP(C411,'спецификация'!B:AA,25,0)," ")</f>
        <v> </v>
      </c>
      <c r="AZ411" s="43"/>
      <c r="BA411" s="43"/>
      <c r="BB411" s="43"/>
      <c r="BC411" s="43"/>
      <c r="BD411" s="43"/>
      <c r="BE411" s="43"/>
      <c r="BF411" s="22" t="str">
        <f>IFERROR(VLOOKUP(C411,'спецификация'!B:D,3,0)," ")</f>
        <v> </v>
      </c>
      <c r="BG411" s="22" t="str">
        <f>IFERROR(VLOOKUP(C411,'спецификация'!B:AA,4,0)," ")</f>
        <v> </v>
      </c>
      <c r="BH411" s="22" t="str">
        <f>IFERROR(VLOOKUP(C411,'спецификация'!B:AA,5,0)," ")</f>
        <v> </v>
      </c>
      <c r="BI411" s="22"/>
      <c r="BJ411" s="22" t="str">
        <f>IFERROR(VLOOKUP(C411,'спецификация'!B:AA,6,0)," ")</f>
        <v> </v>
      </c>
      <c r="BK411" s="43"/>
      <c r="BL411" s="43"/>
      <c r="BM411" s="22" t="str">
        <f>IFERROR(VLOOKUP(C411,'спецификация'!B:AA,7,0)," ")</f>
        <v> </v>
      </c>
      <c r="BN411" s="43"/>
      <c r="BO411" s="22" t="str">
        <f>IFERROR(VLOOKUP(C411,'спецификация'!B:AA,10,0)," ")</f>
        <v> </v>
      </c>
      <c r="BP411" s="43" t="str">
        <f>IFERROR(VLOOKUP(C411,'спецификация'!B:AA,11,0)," ")</f>
        <v> </v>
      </c>
      <c r="BQ411" s="22" t="str">
        <f>IFERROR(VLOOKUP(C411,'спецификация'!B:AA,12,0)," ")</f>
        <v> </v>
      </c>
      <c r="BR411" s="22"/>
      <c r="BS411" s="43"/>
      <c r="BT411" s="43"/>
      <c r="BU411" s="22"/>
      <c r="BV411" s="22" t="s">
        <v>401</v>
      </c>
      <c r="BW411" s="45" t="str">
        <f>IFERROR(VLOOKUP(C411,'спецификация'!B:AA,16,0)," ")</f>
        <v> </v>
      </c>
      <c r="BX411" s="43"/>
      <c r="BY411" s="43"/>
      <c r="BZ411" s="45" t="str">
        <f>IFERROR(VLOOKUP(C411,'спецификация'!B:AA,24,0)," ")</f>
        <v> </v>
      </c>
      <c r="CA411" s="43"/>
      <c r="CB411" s="43"/>
      <c r="CC411" s="43"/>
      <c r="CD411" s="43"/>
      <c r="CE411" s="43"/>
      <c r="CF411" s="43"/>
      <c r="CG411" s="49" t="str">
        <f>IFERROR(VLOOKUP(C411,CC!A:D,4,0)," ")</f>
        <v> </v>
      </c>
      <c r="CH411" s="22" t="str">
        <f>IFERROR(VLOOKUP(C411,'спецификация'!B:AA,19,0)," ")</f>
        <v> </v>
      </c>
      <c r="CI411" s="22"/>
      <c r="CJ411" s="43"/>
      <c r="CK411" s="22" t="str">
        <f>IFERROR(VLOOKUP(C411,CC!K:M,3,0)," ")</f>
        <v> </v>
      </c>
      <c r="CL411" s="43"/>
      <c r="CM411" s="43"/>
      <c r="CN411" s="43"/>
      <c r="CO411" s="43"/>
      <c r="CP411" s="43"/>
      <c r="CQ411" s="43"/>
      <c r="CR411" s="43"/>
      <c r="CS411" s="43" t="b">
        <v>0</v>
      </c>
      <c r="CT411" s="43" t="b">
        <v>0</v>
      </c>
      <c r="CU411" s="43" t="b">
        <v>0</v>
      </c>
      <c r="CV411" s="43" t="b">
        <v>0</v>
      </c>
      <c r="CW411" s="43"/>
      <c r="CX411" s="43"/>
      <c r="CY411" s="43"/>
      <c r="CZ411" s="43"/>
      <c r="DA411" s="43"/>
      <c r="DB411" s="43"/>
      <c r="DC411" s="43"/>
      <c r="DD411" s="22" t="str">
        <f>IFERROR(VLOOKUP($C411,'Лист4'!$D:$AI,27,0)," ")</f>
        <v> </v>
      </c>
      <c r="DE411" s="22" t="str">
        <f>IFERROR(VLOOKUP($C411,'Лист4'!$D:$AI,28,0)," ")</f>
        <v> </v>
      </c>
      <c r="DF411" s="22" t="str">
        <f>IFERROR(VLOOKUP($C411,'Лист4'!$D:$AI,29,0)," ")</f>
        <v> </v>
      </c>
      <c r="DG411" s="22" t="str">
        <f t="shared" si="3"/>
        <v> </v>
      </c>
      <c r="DH411" s="22" t="str">
        <f>IFERROR(VLOOKUP($C411,'Лист4'!$D:$AI,32,0)," ")</f>
        <v> </v>
      </c>
      <c r="DI411" s="22"/>
      <c r="DJ411" s="22"/>
      <c r="DK411" s="22"/>
      <c r="DL411" s="22"/>
      <c r="DM411" s="22"/>
      <c r="DN411" s="22"/>
      <c r="DO411" s="22"/>
      <c r="DP411" s="22"/>
      <c r="DQ411" s="22"/>
      <c r="DR411" s="22"/>
      <c r="DS411" s="22"/>
      <c r="DT411" s="22"/>
      <c r="DU411" s="22"/>
      <c r="DV411" s="22"/>
      <c r="DW411" s="22"/>
      <c r="DX411" s="22"/>
      <c r="DY411" s="22"/>
      <c r="DZ411" s="22"/>
      <c r="EA411" s="22"/>
      <c r="EB411" s="22"/>
      <c r="EC411" s="22"/>
      <c r="ED411" s="22"/>
      <c r="EE411" s="22"/>
      <c r="EF411" s="22"/>
      <c r="EG411" s="22"/>
      <c r="EH411" s="22"/>
      <c r="EI411" s="22"/>
      <c r="EJ411" s="22"/>
      <c r="EK411" s="22"/>
      <c r="EL411" s="22"/>
      <c r="EM411" s="43"/>
      <c r="EN411" s="43"/>
      <c r="EO411" s="43"/>
      <c r="EP411" s="43"/>
      <c r="EQ411" s="43"/>
      <c r="ER411" s="43"/>
      <c r="ES411" s="43"/>
      <c r="ET411" s="43"/>
      <c r="EU411" s="43"/>
      <c r="EV411" s="43"/>
      <c r="EW411" s="43"/>
      <c r="EX411" s="43"/>
      <c r="EY411" s="43"/>
      <c r="EZ411" s="43"/>
      <c r="FA411" s="43"/>
      <c r="FB411" s="43"/>
      <c r="FC411" s="43"/>
    </row>
    <row r="412" ht="18.0" customHeight="1">
      <c r="A412" s="2"/>
      <c r="B412" s="22" t="str">
        <f>IFERROR(VLOOKUP(C412,'Реестр'!C:AC,27,0)," ")</f>
        <v> </v>
      </c>
      <c r="C412" s="43"/>
      <c r="D412" s="22" t="str">
        <f>IFERROR(VLOOKUP(C412,'Лист4'!D:P,13,0)," ")</f>
        <v> </v>
      </c>
      <c r="E412" s="22"/>
      <c r="F412" s="43"/>
      <c r="G412" s="43"/>
      <c r="H412" s="22" t="s">
        <v>401</v>
      </c>
      <c r="I412" s="22" t="s">
        <v>401</v>
      </c>
      <c r="J412" s="43"/>
      <c r="K412" s="43"/>
      <c r="L412" s="22"/>
      <c r="M412" s="22"/>
      <c r="N412" s="22"/>
      <c r="O412" s="22"/>
      <c r="P412" s="22"/>
      <c r="Q412" s="22"/>
      <c r="R412" s="22"/>
      <c r="S412" s="43"/>
      <c r="T412" s="43"/>
      <c r="U412" s="22" t="str">
        <f>IFERROR(VLOOKUP(T412,'Лист4'!C:I,3,0)," ")</f>
        <v> </v>
      </c>
      <c r="V412" s="22" t="str">
        <f>IFERROR(VLOOKUP(T412,'Лист4'!C:I,4,0)," ")</f>
        <v> </v>
      </c>
      <c r="W412" s="22" t="str">
        <f>IFERROR(VLOOKUP(T412,'Лист4'!C:I,5,0)," ")</f>
        <v> </v>
      </c>
      <c r="X412" s="43" t="str">
        <f>IFERROR(VLOOKUP(T412,'Лист4'!C:I,7,0)," ")</f>
        <v> </v>
      </c>
      <c r="Y412" s="43" t="str">
        <f>IFERROR(VLOOKUP(T412,'Лист4'!C:I,6,0)," ")</f>
        <v> </v>
      </c>
      <c r="Z412" s="43"/>
      <c r="AA412" s="43"/>
      <c r="AB412" s="22"/>
      <c r="AC412" s="22" t="str">
        <f>IFERROR(VLOOKUP(V412,'Лист4'!F:O,6,0)," ")</f>
        <v> </v>
      </c>
      <c r="AD412" s="22"/>
      <c r="AE412" s="22"/>
      <c r="AF412" s="22"/>
      <c r="AG412" s="43"/>
      <c r="AH412" s="43"/>
      <c r="AI412" s="43"/>
      <c r="AJ412" s="43"/>
      <c r="AK412" s="43"/>
      <c r="AL412" s="43"/>
      <c r="AM412" s="43"/>
      <c r="AN412" s="43"/>
      <c r="AO412" s="43"/>
      <c r="AP412" s="43"/>
      <c r="AQ412" s="43"/>
      <c r="AR412" s="43"/>
      <c r="AS412" s="43"/>
      <c r="AT412" s="43"/>
      <c r="AU412" s="43"/>
      <c r="AV412" s="43"/>
      <c r="AW412" s="43"/>
      <c r="AX412" s="22"/>
      <c r="AY412" s="22" t="str">
        <f>IFERROR(VLOOKUP(C412,'спецификация'!B:AA,25,0)," ")</f>
        <v> </v>
      </c>
      <c r="AZ412" s="43"/>
      <c r="BA412" s="43"/>
      <c r="BB412" s="43"/>
      <c r="BC412" s="43"/>
      <c r="BD412" s="43"/>
      <c r="BE412" s="43"/>
      <c r="BF412" s="22" t="str">
        <f>IFERROR(VLOOKUP(C412,'спецификация'!B:D,3,0)," ")</f>
        <v> </v>
      </c>
      <c r="BG412" s="22" t="str">
        <f>IFERROR(VLOOKUP(C412,'спецификация'!B:AA,4,0)," ")</f>
        <v> </v>
      </c>
      <c r="BH412" s="22" t="str">
        <f>IFERROR(VLOOKUP(C412,'спецификация'!B:AA,5,0)," ")</f>
        <v> </v>
      </c>
      <c r="BI412" s="22"/>
      <c r="BJ412" s="22" t="str">
        <f>IFERROR(VLOOKUP(C412,'спецификация'!B:AA,6,0)," ")</f>
        <v> </v>
      </c>
      <c r="BK412" s="43"/>
      <c r="BL412" s="43"/>
      <c r="BM412" s="22" t="str">
        <f>IFERROR(VLOOKUP(C412,'спецификация'!B:AA,7,0)," ")</f>
        <v> </v>
      </c>
      <c r="BN412" s="43"/>
      <c r="BO412" s="22" t="str">
        <f>IFERROR(VLOOKUP(C412,'спецификация'!B:AA,10,0)," ")</f>
        <v> </v>
      </c>
      <c r="BP412" s="43" t="str">
        <f>IFERROR(VLOOKUP(C412,'спецификация'!B:AA,11,0)," ")</f>
        <v> </v>
      </c>
      <c r="BQ412" s="22" t="str">
        <f>IFERROR(VLOOKUP(C412,'спецификация'!B:AA,12,0)," ")</f>
        <v> </v>
      </c>
      <c r="BR412" s="22"/>
      <c r="BS412" s="43"/>
      <c r="BT412" s="43"/>
      <c r="BU412" s="22"/>
      <c r="BV412" s="22" t="s">
        <v>401</v>
      </c>
      <c r="BW412" s="45" t="str">
        <f>IFERROR(VLOOKUP(C412,'спецификация'!B:AA,16,0)," ")</f>
        <v> </v>
      </c>
      <c r="BX412" s="43"/>
      <c r="BY412" s="43"/>
      <c r="BZ412" s="45" t="str">
        <f>IFERROR(VLOOKUP(C412,'спецификация'!B:AA,24,0)," ")</f>
        <v> </v>
      </c>
      <c r="CA412" s="43"/>
      <c r="CB412" s="43"/>
      <c r="CC412" s="43"/>
      <c r="CD412" s="43"/>
      <c r="CE412" s="43"/>
      <c r="CF412" s="43"/>
      <c r="CG412" s="49" t="str">
        <f>IFERROR(VLOOKUP(C412,CC!A:D,4,0)," ")</f>
        <v> </v>
      </c>
      <c r="CH412" s="22" t="str">
        <f>IFERROR(VLOOKUP(C412,'спецификация'!B:AA,19,0)," ")</f>
        <v> </v>
      </c>
      <c r="CI412" s="22"/>
      <c r="CJ412" s="43"/>
      <c r="CK412" s="22" t="str">
        <f>IFERROR(VLOOKUP(C412,CC!K:M,3,0)," ")</f>
        <v> </v>
      </c>
      <c r="CL412" s="43"/>
      <c r="CM412" s="43"/>
      <c r="CN412" s="43"/>
      <c r="CO412" s="43"/>
      <c r="CP412" s="43"/>
      <c r="CQ412" s="43"/>
      <c r="CR412" s="43"/>
      <c r="CS412" s="43" t="b">
        <v>0</v>
      </c>
      <c r="CT412" s="43" t="b">
        <v>0</v>
      </c>
      <c r="CU412" s="43" t="b">
        <v>0</v>
      </c>
      <c r="CV412" s="43" t="b">
        <v>0</v>
      </c>
      <c r="CW412" s="43"/>
      <c r="CX412" s="43"/>
      <c r="CY412" s="43"/>
      <c r="CZ412" s="43"/>
      <c r="DA412" s="43"/>
      <c r="DB412" s="43"/>
      <c r="DC412" s="43"/>
      <c r="DD412" s="22" t="str">
        <f>IFERROR(VLOOKUP($C412,'Лист4'!$D:$AI,27,0)," ")</f>
        <v> </v>
      </c>
      <c r="DE412" s="22" t="str">
        <f>IFERROR(VLOOKUP($C412,'Лист4'!$D:$AI,28,0)," ")</f>
        <v> </v>
      </c>
      <c r="DF412" s="22" t="str">
        <f>IFERROR(VLOOKUP($C412,'Лист4'!$D:$AI,29,0)," ")</f>
        <v> </v>
      </c>
      <c r="DG412" s="22" t="str">
        <f t="shared" si="3"/>
        <v> </v>
      </c>
      <c r="DH412" s="22" t="str">
        <f>IFERROR(VLOOKUP($C412,'Лист4'!$D:$AI,32,0)," ")</f>
        <v> </v>
      </c>
      <c r="DI412" s="22"/>
      <c r="DJ412" s="22"/>
      <c r="DK412" s="22"/>
      <c r="DL412" s="22"/>
      <c r="DM412" s="22"/>
      <c r="DN412" s="22"/>
      <c r="DO412" s="22"/>
      <c r="DP412" s="22"/>
      <c r="DQ412" s="22"/>
      <c r="DR412" s="22"/>
      <c r="DS412" s="22"/>
      <c r="DT412" s="22"/>
      <c r="DU412" s="22"/>
      <c r="DV412" s="22"/>
      <c r="DW412" s="22"/>
      <c r="DX412" s="22"/>
      <c r="DY412" s="22"/>
      <c r="DZ412" s="22"/>
      <c r="EA412" s="22"/>
      <c r="EB412" s="22"/>
      <c r="EC412" s="22"/>
      <c r="ED412" s="22"/>
      <c r="EE412" s="22"/>
      <c r="EF412" s="22"/>
      <c r="EG412" s="22"/>
      <c r="EH412" s="22"/>
      <c r="EI412" s="22"/>
      <c r="EJ412" s="22"/>
      <c r="EK412" s="22"/>
      <c r="EL412" s="22"/>
      <c r="EM412" s="43"/>
      <c r="EN412" s="43"/>
      <c r="EO412" s="43"/>
      <c r="EP412" s="43"/>
      <c r="EQ412" s="43"/>
      <c r="ER412" s="43"/>
      <c r="ES412" s="43"/>
      <c r="ET412" s="43"/>
      <c r="EU412" s="43"/>
      <c r="EV412" s="43"/>
      <c r="EW412" s="43"/>
      <c r="EX412" s="43"/>
      <c r="EY412" s="43"/>
      <c r="EZ412" s="43"/>
      <c r="FA412" s="43"/>
      <c r="FB412" s="43"/>
      <c r="FC412" s="43"/>
    </row>
    <row r="413" ht="18.0" customHeight="1">
      <c r="A413" s="2"/>
      <c r="B413" s="22" t="str">
        <f>IFERROR(VLOOKUP(C413,'Реестр'!C:AC,27,0)," ")</f>
        <v> </v>
      </c>
      <c r="C413" s="43"/>
      <c r="D413" s="22" t="str">
        <f>IFERROR(VLOOKUP(C413,'Лист4'!D:P,13,0)," ")</f>
        <v> </v>
      </c>
      <c r="E413" s="22"/>
      <c r="F413" s="43"/>
      <c r="G413" s="43"/>
      <c r="H413" s="22" t="s">
        <v>401</v>
      </c>
      <c r="I413" s="22" t="s">
        <v>401</v>
      </c>
      <c r="J413" s="43"/>
      <c r="K413" s="43"/>
      <c r="L413" s="22"/>
      <c r="M413" s="22"/>
      <c r="N413" s="22"/>
      <c r="O413" s="22"/>
      <c r="P413" s="22"/>
      <c r="Q413" s="22"/>
      <c r="R413" s="22"/>
      <c r="S413" s="43"/>
      <c r="T413" s="43"/>
      <c r="U413" s="22" t="str">
        <f>IFERROR(VLOOKUP(T413,'Лист4'!C:I,3,0)," ")</f>
        <v> </v>
      </c>
      <c r="V413" s="22" t="str">
        <f>IFERROR(VLOOKUP(T413,'Лист4'!C:I,4,0)," ")</f>
        <v> </v>
      </c>
      <c r="W413" s="22" t="str">
        <f>IFERROR(VLOOKUP(T413,'Лист4'!C:I,5,0)," ")</f>
        <v> </v>
      </c>
      <c r="X413" s="43" t="str">
        <f>IFERROR(VLOOKUP(T413,'Лист4'!C:I,7,0)," ")</f>
        <v> </v>
      </c>
      <c r="Y413" s="43" t="str">
        <f>IFERROR(VLOOKUP(T413,'Лист4'!C:I,6,0)," ")</f>
        <v> </v>
      </c>
      <c r="Z413" s="43"/>
      <c r="AA413" s="43"/>
      <c r="AB413" s="22"/>
      <c r="AC413" s="22" t="str">
        <f>IFERROR(VLOOKUP(V413,'Лист4'!F:O,6,0)," ")</f>
        <v> </v>
      </c>
      <c r="AD413" s="22"/>
      <c r="AE413" s="22"/>
      <c r="AF413" s="22"/>
      <c r="AG413" s="43"/>
      <c r="AH413" s="43"/>
      <c r="AI413" s="43"/>
      <c r="AJ413" s="43"/>
      <c r="AK413" s="43"/>
      <c r="AL413" s="43"/>
      <c r="AM413" s="43"/>
      <c r="AN413" s="43"/>
      <c r="AO413" s="43"/>
      <c r="AP413" s="43"/>
      <c r="AQ413" s="43"/>
      <c r="AR413" s="43"/>
      <c r="AS413" s="43"/>
      <c r="AT413" s="43"/>
      <c r="AU413" s="43"/>
      <c r="AV413" s="43"/>
      <c r="AW413" s="43"/>
      <c r="AX413" s="22"/>
      <c r="AY413" s="22" t="str">
        <f>IFERROR(VLOOKUP(C413,'спецификация'!B:AA,25,0)," ")</f>
        <v> </v>
      </c>
      <c r="AZ413" s="43"/>
      <c r="BA413" s="43"/>
      <c r="BB413" s="43"/>
      <c r="BC413" s="43"/>
      <c r="BD413" s="43"/>
      <c r="BE413" s="43"/>
      <c r="BF413" s="22" t="str">
        <f>IFERROR(VLOOKUP(C413,'спецификация'!B:D,3,0)," ")</f>
        <v> </v>
      </c>
      <c r="BG413" s="22" t="str">
        <f>IFERROR(VLOOKUP(C413,'спецификация'!B:AA,4,0)," ")</f>
        <v> </v>
      </c>
      <c r="BH413" s="22" t="str">
        <f>IFERROR(VLOOKUP(C413,'спецификация'!B:AA,5,0)," ")</f>
        <v> </v>
      </c>
      <c r="BI413" s="22"/>
      <c r="BJ413" s="22" t="str">
        <f>IFERROR(VLOOKUP(C413,'спецификация'!B:AA,6,0)," ")</f>
        <v> </v>
      </c>
      <c r="BK413" s="43"/>
      <c r="BL413" s="43"/>
      <c r="BM413" s="22" t="str">
        <f>IFERROR(VLOOKUP(C413,'спецификация'!B:AA,7,0)," ")</f>
        <v> </v>
      </c>
      <c r="BN413" s="43"/>
      <c r="BO413" s="22" t="str">
        <f>IFERROR(VLOOKUP(C413,'спецификация'!B:AA,10,0)," ")</f>
        <v> </v>
      </c>
      <c r="BP413" s="43" t="str">
        <f>IFERROR(VLOOKUP(C413,'спецификация'!B:AA,11,0)," ")</f>
        <v> </v>
      </c>
      <c r="BQ413" s="22" t="str">
        <f>IFERROR(VLOOKUP(C413,'спецификация'!B:AA,12,0)," ")</f>
        <v> </v>
      </c>
      <c r="BR413" s="22"/>
      <c r="BS413" s="43"/>
      <c r="BT413" s="43"/>
      <c r="BU413" s="22"/>
      <c r="BV413" s="22" t="s">
        <v>401</v>
      </c>
      <c r="BW413" s="45" t="str">
        <f>IFERROR(VLOOKUP(C413,'спецификация'!B:AA,16,0)," ")</f>
        <v> </v>
      </c>
      <c r="BX413" s="43"/>
      <c r="BY413" s="43"/>
      <c r="BZ413" s="45" t="str">
        <f>IFERROR(VLOOKUP(C413,'спецификация'!B:AA,24,0)," ")</f>
        <v> </v>
      </c>
      <c r="CA413" s="43"/>
      <c r="CB413" s="43"/>
      <c r="CC413" s="43"/>
      <c r="CD413" s="43"/>
      <c r="CE413" s="43"/>
      <c r="CF413" s="43"/>
      <c r="CG413" s="49" t="str">
        <f>IFERROR(VLOOKUP(C413,CC!A:D,4,0)," ")</f>
        <v> </v>
      </c>
      <c r="CH413" s="22" t="str">
        <f>IFERROR(VLOOKUP(C413,'спецификация'!B:AA,19,0)," ")</f>
        <v> </v>
      </c>
      <c r="CI413" s="22"/>
      <c r="CJ413" s="43"/>
      <c r="CK413" s="22" t="str">
        <f>IFERROR(VLOOKUP(C413,CC!K:M,3,0)," ")</f>
        <v> </v>
      </c>
      <c r="CL413" s="43"/>
      <c r="CM413" s="43"/>
      <c r="CN413" s="43"/>
      <c r="CO413" s="43"/>
      <c r="CP413" s="43"/>
      <c r="CQ413" s="43"/>
      <c r="CR413" s="43"/>
      <c r="CS413" s="43" t="b">
        <v>0</v>
      </c>
      <c r="CT413" s="43" t="b">
        <v>0</v>
      </c>
      <c r="CU413" s="43" t="b">
        <v>0</v>
      </c>
      <c r="CV413" s="43" t="b">
        <v>0</v>
      </c>
      <c r="CW413" s="43"/>
      <c r="CX413" s="43"/>
      <c r="CY413" s="43"/>
      <c r="CZ413" s="43"/>
      <c r="DA413" s="43"/>
      <c r="DB413" s="43"/>
      <c r="DC413" s="43"/>
      <c r="DD413" s="22" t="str">
        <f>IFERROR(VLOOKUP($C413,'Лист4'!$D:$AI,27,0)," ")</f>
        <v> </v>
      </c>
      <c r="DE413" s="22" t="str">
        <f>IFERROR(VLOOKUP($C413,'Лист4'!$D:$AI,28,0)," ")</f>
        <v> </v>
      </c>
      <c r="DF413" s="22" t="str">
        <f>IFERROR(VLOOKUP($C413,'Лист4'!$D:$AI,29,0)," ")</f>
        <v> </v>
      </c>
      <c r="DG413" s="22" t="str">
        <f t="shared" si="3"/>
        <v> </v>
      </c>
      <c r="DH413" s="22" t="str">
        <f>IFERROR(VLOOKUP($C413,'Лист4'!$D:$AI,32,0)," ")</f>
        <v> </v>
      </c>
      <c r="DI413" s="22"/>
      <c r="DJ413" s="22"/>
      <c r="DK413" s="22"/>
      <c r="DL413" s="22"/>
      <c r="DM413" s="22"/>
      <c r="DN413" s="22"/>
      <c r="DO413" s="22"/>
      <c r="DP413" s="22"/>
      <c r="DQ413" s="22"/>
      <c r="DR413" s="22"/>
      <c r="DS413" s="22"/>
      <c r="DT413" s="22"/>
      <c r="DU413" s="22"/>
      <c r="DV413" s="22"/>
      <c r="DW413" s="22"/>
      <c r="DX413" s="22"/>
      <c r="DY413" s="22"/>
      <c r="DZ413" s="22"/>
      <c r="EA413" s="22"/>
      <c r="EB413" s="22"/>
      <c r="EC413" s="22"/>
      <c r="ED413" s="22"/>
      <c r="EE413" s="22"/>
      <c r="EF413" s="22"/>
      <c r="EG413" s="22"/>
      <c r="EH413" s="22"/>
      <c r="EI413" s="22"/>
      <c r="EJ413" s="22"/>
      <c r="EK413" s="22"/>
      <c r="EL413" s="22"/>
      <c r="EM413" s="43"/>
      <c r="EN413" s="43"/>
      <c r="EO413" s="43"/>
      <c r="EP413" s="43"/>
      <c r="EQ413" s="43"/>
      <c r="ER413" s="43"/>
      <c r="ES413" s="43"/>
      <c r="ET413" s="43"/>
      <c r="EU413" s="43"/>
      <c r="EV413" s="43"/>
      <c r="EW413" s="43"/>
      <c r="EX413" s="43"/>
      <c r="EY413" s="43"/>
      <c r="EZ413" s="43"/>
      <c r="FA413" s="43"/>
      <c r="FB413" s="43"/>
      <c r="FC413" s="43"/>
    </row>
    <row r="414" ht="18.0" customHeight="1">
      <c r="A414" s="2"/>
      <c r="B414" s="22" t="str">
        <f>IFERROR(VLOOKUP(C414,'Реестр'!C:AC,27,0)," ")</f>
        <v> </v>
      </c>
      <c r="C414" s="43"/>
      <c r="D414" s="22" t="str">
        <f>IFERROR(VLOOKUP(C414,'Лист4'!D:P,13,0)," ")</f>
        <v> </v>
      </c>
      <c r="E414" s="22"/>
      <c r="F414" s="43"/>
      <c r="G414" s="43"/>
      <c r="H414" s="22" t="s">
        <v>401</v>
      </c>
      <c r="I414" s="22" t="s">
        <v>401</v>
      </c>
      <c r="J414" s="43"/>
      <c r="K414" s="43"/>
      <c r="L414" s="22"/>
      <c r="M414" s="22"/>
      <c r="N414" s="22"/>
      <c r="O414" s="22"/>
      <c r="P414" s="22"/>
      <c r="Q414" s="22"/>
      <c r="R414" s="22"/>
      <c r="S414" s="43"/>
      <c r="T414" s="43"/>
      <c r="U414" s="22" t="str">
        <f>IFERROR(VLOOKUP(T414,'Лист4'!C:I,3,0)," ")</f>
        <v> </v>
      </c>
      <c r="V414" s="22" t="str">
        <f>IFERROR(VLOOKUP(T414,'Лист4'!C:I,4,0)," ")</f>
        <v> </v>
      </c>
      <c r="W414" s="22" t="str">
        <f>IFERROR(VLOOKUP(T414,'Лист4'!C:I,5,0)," ")</f>
        <v> </v>
      </c>
      <c r="X414" s="43" t="str">
        <f>IFERROR(VLOOKUP(T414,'Лист4'!C:I,7,0)," ")</f>
        <v> </v>
      </c>
      <c r="Y414" s="43" t="str">
        <f>IFERROR(VLOOKUP(T414,'Лист4'!C:I,6,0)," ")</f>
        <v> </v>
      </c>
      <c r="Z414" s="43"/>
      <c r="AA414" s="43"/>
      <c r="AB414" s="22"/>
      <c r="AC414" s="22" t="str">
        <f>IFERROR(VLOOKUP(V414,'Лист4'!F:O,6,0)," ")</f>
        <v> </v>
      </c>
      <c r="AD414" s="22"/>
      <c r="AE414" s="22"/>
      <c r="AF414" s="22"/>
      <c r="AG414" s="43"/>
      <c r="AH414" s="43"/>
      <c r="AI414" s="43"/>
      <c r="AJ414" s="43"/>
      <c r="AK414" s="43"/>
      <c r="AL414" s="43"/>
      <c r="AM414" s="43"/>
      <c r="AN414" s="43"/>
      <c r="AO414" s="43"/>
      <c r="AP414" s="43"/>
      <c r="AQ414" s="43"/>
      <c r="AR414" s="43"/>
      <c r="AS414" s="43"/>
      <c r="AT414" s="43"/>
      <c r="AU414" s="43"/>
      <c r="AV414" s="43"/>
      <c r="AW414" s="43"/>
      <c r="AX414" s="22"/>
      <c r="AY414" s="22" t="str">
        <f>IFERROR(VLOOKUP(C414,'спецификация'!B:AA,25,0)," ")</f>
        <v> </v>
      </c>
      <c r="AZ414" s="43"/>
      <c r="BA414" s="43"/>
      <c r="BB414" s="43"/>
      <c r="BC414" s="43"/>
      <c r="BD414" s="43"/>
      <c r="BE414" s="43"/>
      <c r="BF414" s="22" t="str">
        <f>IFERROR(VLOOKUP(C414,'спецификация'!B:D,3,0)," ")</f>
        <v> </v>
      </c>
      <c r="BG414" s="22" t="str">
        <f>IFERROR(VLOOKUP(C414,'спецификация'!B:AA,4,0)," ")</f>
        <v> </v>
      </c>
      <c r="BH414" s="22" t="str">
        <f>IFERROR(VLOOKUP(C414,'спецификация'!B:AA,5,0)," ")</f>
        <v> </v>
      </c>
      <c r="BI414" s="22"/>
      <c r="BJ414" s="22" t="str">
        <f>IFERROR(VLOOKUP(C414,'спецификация'!B:AA,6,0)," ")</f>
        <v> </v>
      </c>
      <c r="BK414" s="43"/>
      <c r="BL414" s="43"/>
      <c r="BM414" s="22" t="str">
        <f>IFERROR(VLOOKUP(C414,'спецификация'!B:AA,7,0)," ")</f>
        <v> </v>
      </c>
      <c r="BN414" s="43"/>
      <c r="BO414" s="22" t="str">
        <f>IFERROR(VLOOKUP(C414,'спецификация'!B:AA,10,0)," ")</f>
        <v> </v>
      </c>
      <c r="BP414" s="43" t="str">
        <f>IFERROR(VLOOKUP(C414,'спецификация'!B:AA,11,0)," ")</f>
        <v> </v>
      </c>
      <c r="BQ414" s="22" t="str">
        <f>IFERROR(VLOOKUP(C414,'спецификация'!B:AA,12,0)," ")</f>
        <v> </v>
      </c>
      <c r="BR414" s="22"/>
      <c r="BS414" s="43"/>
      <c r="BT414" s="43"/>
      <c r="BU414" s="22"/>
      <c r="BV414" s="22" t="s">
        <v>401</v>
      </c>
      <c r="BW414" s="45" t="str">
        <f>IFERROR(VLOOKUP(C414,'спецификация'!B:AA,16,0)," ")</f>
        <v> </v>
      </c>
      <c r="BX414" s="43"/>
      <c r="BY414" s="43"/>
      <c r="BZ414" s="45" t="str">
        <f>IFERROR(VLOOKUP(C414,'спецификация'!B:AA,24,0)," ")</f>
        <v> </v>
      </c>
      <c r="CA414" s="43"/>
      <c r="CB414" s="43"/>
      <c r="CC414" s="43"/>
      <c r="CD414" s="43"/>
      <c r="CE414" s="43"/>
      <c r="CF414" s="43"/>
      <c r="CG414" s="49" t="str">
        <f>IFERROR(VLOOKUP(C414,CC!A:D,4,0)," ")</f>
        <v> </v>
      </c>
      <c r="CH414" s="22" t="str">
        <f>IFERROR(VLOOKUP(C414,'спецификация'!B:AA,19,0)," ")</f>
        <v> </v>
      </c>
      <c r="CI414" s="22"/>
      <c r="CJ414" s="43"/>
      <c r="CK414" s="22" t="str">
        <f>IFERROR(VLOOKUP(C414,CC!K:M,3,0)," ")</f>
        <v> </v>
      </c>
      <c r="CL414" s="43"/>
      <c r="CM414" s="43"/>
      <c r="CN414" s="43"/>
      <c r="CO414" s="43"/>
      <c r="CP414" s="43"/>
      <c r="CQ414" s="43"/>
      <c r="CR414" s="43"/>
      <c r="CS414" s="43" t="b">
        <v>0</v>
      </c>
      <c r="CT414" s="43" t="b">
        <v>0</v>
      </c>
      <c r="CU414" s="43" t="b">
        <v>0</v>
      </c>
      <c r="CV414" s="43" t="b">
        <v>0</v>
      </c>
      <c r="CW414" s="43"/>
      <c r="CX414" s="43"/>
      <c r="CY414" s="43"/>
      <c r="CZ414" s="43"/>
      <c r="DA414" s="43"/>
      <c r="DB414" s="43"/>
      <c r="DC414" s="43"/>
      <c r="DD414" s="22" t="str">
        <f>IFERROR(VLOOKUP($C414,'Лист4'!$D:$AI,27,0)," ")</f>
        <v> </v>
      </c>
      <c r="DE414" s="22" t="str">
        <f>IFERROR(VLOOKUP($C414,'Лист4'!$D:$AI,28,0)," ")</f>
        <v> </v>
      </c>
      <c r="DF414" s="22" t="str">
        <f>IFERROR(VLOOKUP($C414,'Лист4'!$D:$AI,29,0)," ")</f>
        <v> </v>
      </c>
      <c r="DG414" s="22" t="str">
        <f t="shared" si="3"/>
        <v> </v>
      </c>
      <c r="DH414" s="22" t="str">
        <f>IFERROR(VLOOKUP($C414,'Лист4'!$D:$AI,32,0)," ")</f>
        <v> </v>
      </c>
      <c r="DI414" s="22"/>
      <c r="DJ414" s="22"/>
      <c r="DK414" s="22"/>
      <c r="DL414" s="22"/>
      <c r="DM414" s="22"/>
      <c r="DN414" s="22"/>
      <c r="DO414" s="22"/>
      <c r="DP414" s="22"/>
      <c r="DQ414" s="22"/>
      <c r="DR414" s="22"/>
      <c r="DS414" s="22"/>
      <c r="DT414" s="22"/>
      <c r="DU414" s="22"/>
      <c r="DV414" s="22"/>
      <c r="DW414" s="22"/>
      <c r="DX414" s="22"/>
      <c r="DY414" s="22"/>
      <c r="DZ414" s="22"/>
      <c r="EA414" s="22"/>
      <c r="EB414" s="22"/>
      <c r="EC414" s="22"/>
      <c r="ED414" s="22"/>
      <c r="EE414" s="22"/>
      <c r="EF414" s="22"/>
      <c r="EG414" s="22"/>
      <c r="EH414" s="22"/>
      <c r="EI414" s="22"/>
      <c r="EJ414" s="22"/>
      <c r="EK414" s="22"/>
      <c r="EL414" s="22"/>
      <c r="EM414" s="43"/>
      <c r="EN414" s="43"/>
      <c r="EO414" s="43"/>
      <c r="EP414" s="43"/>
      <c r="EQ414" s="43"/>
      <c r="ER414" s="43"/>
      <c r="ES414" s="43"/>
      <c r="ET414" s="43"/>
      <c r="EU414" s="43"/>
      <c r="EV414" s="43"/>
      <c r="EW414" s="43"/>
      <c r="EX414" s="43"/>
      <c r="EY414" s="43"/>
      <c r="EZ414" s="43"/>
      <c r="FA414" s="43"/>
      <c r="FB414" s="43"/>
      <c r="FC414" s="43"/>
    </row>
    <row r="415" ht="18.0" customHeight="1">
      <c r="A415" s="2"/>
      <c r="B415" s="22" t="str">
        <f>IFERROR(VLOOKUP(C415,'Реестр'!C:AC,27,0)," ")</f>
        <v> </v>
      </c>
      <c r="C415" s="43"/>
      <c r="D415" s="22" t="str">
        <f>IFERROR(VLOOKUP(C415,'Лист4'!D:P,13,0)," ")</f>
        <v> </v>
      </c>
      <c r="E415" s="22"/>
      <c r="F415" s="43"/>
      <c r="G415" s="43"/>
      <c r="H415" s="22" t="s">
        <v>401</v>
      </c>
      <c r="I415" s="22" t="s">
        <v>401</v>
      </c>
      <c r="J415" s="43"/>
      <c r="K415" s="43"/>
      <c r="L415" s="22"/>
      <c r="M415" s="22"/>
      <c r="N415" s="22"/>
      <c r="O415" s="22"/>
      <c r="P415" s="22"/>
      <c r="Q415" s="22"/>
      <c r="R415" s="22"/>
      <c r="S415" s="43"/>
      <c r="T415" s="43"/>
      <c r="U415" s="22" t="str">
        <f>IFERROR(VLOOKUP(T415,'Лист4'!C:I,3,0)," ")</f>
        <v> </v>
      </c>
      <c r="V415" s="22" t="str">
        <f>IFERROR(VLOOKUP(T415,'Лист4'!C:I,4,0)," ")</f>
        <v> </v>
      </c>
      <c r="W415" s="22" t="str">
        <f>IFERROR(VLOOKUP(T415,'Лист4'!C:I,5,0)," ")</f>
        <v> </v>
      </c>
      <c r="X415" s="43" t="str">
        <f>IFERROR(VLOOKUP(T415,'Лист4'!C:I,7,0)," ")</f>
        <v> </v>
      </c>
      <c r="Y415" s="43" t="str">
        <f>IFERROR(VLOOKUP(T415,'Лист4'!C:I,6,0)," ")</f>
        <v> </v>
      </c>
      <c r="Z415" s="43"/>
      <c r="AA415" s="43"/>
      <c r="AB415" s="22"/>
      <c r="AC415" s="22" t="str">
        <f>IFERROR(VLOOKUP(V415,'Лист4'!F:O,6,0)," ")</f>
        <v> </v>
      </c>
      <c r="AD415" s="22"/>
      <c r="AE415" s="22"/>
      <c r="AF415" s="22"/>
      <c r="AG415" s="43"/>
      <c r="AH415" s="43"/>
      <c r="AI415" s="43"/>
      <c r="AJ415" s="43"/>
      <c r="AK415" s="43"/>
      <c r="AL415" s="43"/>
      <c r="AM415" s="43"/>
      <c r="AN415" s="43"/>
      <c r="AO415" s="43"/>
      <c r="AP415" s="43"/>
      <c r="AQ415" s="43"/>
      <c r="AR415" s="43"/>
      <c r="AS415" s="43"/>
      <c r="AT415" s="43"/>
      <c r="AU415" s="43"/>
      <c r="AV415" s="43"/>
      <c r="AW415" s="43"/>
      <c r="AX415" s="22"/>
      <c r="AY415" s="22" t="str">
        <f>IFERROR(VLOOKUP(C415,'спецификация'!B:AA,25,0)," ")</f>
        <v> </v>
      </c>
      <c r="AZ415" s="43"/>
      <c r="BA415" s="43"/>
      <c r="BB415" s="43"/>
      <c r="BC415" s="43"/>
      <c r="BD415" s="43"/>
      <c r="BE415" s="43"/>
      <c r="BF415" s="22" t="str">
        <f>IFERROR(VLOOKUP(C415,'спецификация'!B:D,3,0)," ")</f>
        <v> </v>
      </c>
      <c r="BG415" s="22" t="str">
        <f>IFERROR(VLOOKUP(C415,'спецификация'!B:AA,4,0)," ")</f>
        <v> </v>
      </c>
      <c r="BH415" s="22" t="str">
        <f>IFERROR(VLOOKUP(C415,'спецификация'!B:AA,5,0)," ")</f>
        <v> </v>
      </c>
      <c r="BI415" s="22"/>
      <c r="BJ415" s="22" t="str">
        <f>IFERROR(VLOOKUP(C415,'спецификация'!B:AA,6,0)," ")</f>
        <v> </v>
      </c>
      <c r="BK415" s="43"/>
      <c r="BL415" s="43"/>
      <c r="BM415" s="22" t="str">
        <f>IFERROR(VLOOKUP(C415,'спецификация'!B:AA,7,0)," ")</f>
        <v> </v>
      </c>
      <c r="BN415" s="43"/>
      <c r="BO415" s="22" t="str">
        <f>IFERROR(VLOOKUP(C415,'спецификация'!B:AA,10,0)," ")</f>
        <v> </v>
      </c>
      <c r="BP415" s="43" t="str">
        <f>IFERROR(VLOOKUP(C415,'спецификация'!B:AA,11,0)," ")</f>
        <v> </v>
      </c>
      <c r="BQ415" s="22" t="str">
        <f>IFERROR(VLOOKUP(C415,'спецификация'!B:AA,12,0)," ")</f>
        <v> </v>
      </c>
      <c r="BR415" s="22"/>
      <c r="BS415" s="43"/>
      <c r="BT415" s="43"/>
      <c r="BU415" s="22"/>
      <c r="BV415" s="22" t="s">
        <v>401</v>
      </c>
      <c r="BW415" s="45" t="str">
        <f>IFERROR(VLOOKUP(C415,'спецификация'!B:AA,16,0)," ")</f>
        <v> </v>
      </c>
      <c r="BX415" s="43"/>
      <c r="BY415" s="43"/>
      <c r="BZ415" s="45" t="str">
        <f>IFERROR(VLOOKUP(C415,'спецификация'!B:AA,24,0)," ")</f>
        <v> </v>
      </c>
      <c r="CA415" s="43"/>
      <c r="CB415" s="43"/>
      <c r="CC415" s="43"/>
      <c r="CD415" s="43"/>
      <c r="CE415" s="43"/>
      <c r="CF415" s="43"/>
      <c r="CG415" s="49" t="str">
        <f>IFERROR(VLOOKUP(C415,CC!A:D,4,0)," ")</f>
        <v> </v>
      </c>
      <c r="CH415" s="22" t="str">
        <f>IFERROR(VLOOKUP(C415,'спецификация'!B:AA,19,0)," ")</f>
        <v> </v>
      </c>
      <c r="CI415" s="22"/>
      <c r="CJ415" s="43"/>
      <c r="CK415" s="22" t="str">
        <f>IFERROR(VLOOKUP(C415,CC!K:M,3,0)," ")</f>
        <v> </v>
      </c>
      <c r="CL415" s="43"/>
      <c r="CM415" s="43"/>
      <c r="CN415" s="43"/>
      <c r="CO415" s="43"/>
      <c r="CP415" s="43"/>
      <c r="CQ415" s="43"/>
      <c r="CR415" s="43"/>
      <c r="CS415" s="43" t="b">
        <v>0</v>
      </c>
      <c r="CT415" s="43" t="b">
        <v>0</v>
      </c>
      <c r="CU415" s="43" t="b">
        <v>0</v>
      </c>
      <c r="CV415" s="43" t="b">
        <v>0</v>
      </c>
      <c r="CW415" s="43"/>
      <c r="CX415" s="43"/>
      <c r="CY415" s="43"/>
      <c r="CZ415" s="43"/>
      <c r="DA415" s="43"/>
      <c r="DB415" s="43"/>
      <c r="DC415" s="43"/>
      <c r="DD415" s="22" t="str">
        <f>IFERROR(VLOOKUP($C415,'Лист4'!$D:$AI,27,0)," ")</f>
        <v> </v>
      </c>
      <c r="DE415" s="22" t="str">
        <f>IFERROR(VLOOKUP($C415,'Лист4'!$D:$AI,28,0)," ")</f>
        <v> </v>
      </c>
      <c r="DF415" s="22" t="str">
        <f>IFERROR(VLOOKUP($C415,'Лист4'!$D:$AI,29,0)," ")</f>
        <v> </v>
      </c>
      <c r="DG415" s="22" t="str">
        <f t="shared" si="3"/>
        <v> </v>
      </c>
      <c r="DH415" s="22" t="str">
        <f>IFERROR(VLOOKUP($C415,'Лист4'!$D:$AI,32,0)," ")</f>
        <v> </v>
      </c>
      <c r="DI415" s="22"/>
      <c r="DJ415" s="22"/>
      <c r="DK415" s="22"/>
      <c r="DL415" s="22"/>
      <c r="DM415" s="22"/>
      <c r="DN415" s="22"/>
      <c r="DO415" s="22"/>
      <c r="DP415" s="22"/>
      <c r="DQ415" s="22"/>
      <c r="DR415" s="22"/>
      <c r="DS415" s="22"/>
      <c r="DT415" s="22"/>
      <c r="DU415" s="22"/>
      <c r="DV415" s="22"/>
      <c r="DW415" s="22"/>
      <c r="DX415" s="22"/>
      <c r="DY415" s="22"/>
      <c r="DZ415" s="22"/>
      <c r="EA415" s="22"/>
      <c r="EB415" s="22"/>
      <c r="EC415" s="22"/>
      <c r="ED415" s="22"/>
      <c r="EE415" s="22"/>
      <c r="EF415" s="22"/>
      <c r="EG415" s="22"/>
      <c r="EH415" s="22"/>
      <c r="EI415" s="22"/>
      <c r="EJ415" s="22"/>
      <c r="EK415" s="22"/>
      <c r="EL415" s="22"/>
      <c r="EM415" s="43"/>
      <c r="EN415" s="43"/>
      <c r="EO415" s="43"/>
      <c r="EP415" s="43"/>
      <c r="EQ415" s="43"/>
      <c r="ER415" s="43"/>
      <c r="ES415" s="43"/>
      <c r="ET415" s="43"/>
      <c r="EU415" s="43"/>
      <c r="EV415" s="43"/>
      <c r="EW415" s="43"/>
      <c r="EX415" s="43"/>
      <c r="EY415" s="43"/>
      <c r="EZ415" s="43"/>
      <c r="FA415" s="43"/>
      <c r="FB415" s="43"/>
      <c r="FC415" s="43"/>
    </row>
    <row r="416" ht="18.0" customHeight="1">
      <c r="A416" s="2"/>
      <c r="B416" s="22" t="str">
        <f>IFERROR(VLOOKUP(C416,'Реестр'!C:AC,27,0)," ")</f>
        <v> </v>
      </c>
      <c r="C416" s="43"/>
      <c r="D416" s="22" t="str">
        <f>IFERROR(VLOOKUP(C416,'Лист4'!D:P,13,0)," ")</f>
        <v> </v>
      </c>
      <c r="E416" s="22"/>
      <c r="F416" s="43"/>
      <c r="G416" s="43"/>
      <c r="H416" s="22" t="s">
        <v>401</v>
      </c>
      <c r="I416" s="22" t="s">
        <v>401</v>
      </c>
      <c r="J416" s="43"/>
      <c r="K416" s="43"/>
      <c r="L416" s="22"/>
      <c r="M416" s="22"/>
      <c r="N416" s="22"/>
      <c r="O416" s="22"/>
      <c r="P416" s="22"/>
      <c r="Q416" s="22"/>
      <c r="R416" s="22"/>
      <c r="S416" s="43"/>
      <c r="T416" s="43"/>
      <c r="U416" s="22" t="str">
        <f>IFERROR(VLOOKUP(T416,'Лист4'!C:I,3,0)," ")</f>
        <v> </v>
      </c>
      <c r="V416" s="22" t="str">
        <f>IFERROR(VLOOKUP(T416,'Лист4'!C:I,4,0)," ")</f>
        <v> </v>
      </c>
      <c r="W416" s="22" t="str">
        <f>IFERROR(VLOOKUP(T416,'Лист4'!C:I,5,0)," ")</f>
        <v> </v>
      </c>
      <c r="X416" s="43" t="str">
        <f>IFERROR(VLOOKUP(T416,'Лист4'!C:I,7,0)," ")</f>
        <v> </v>
      </c>
      <c r="Y416" s="43" t="str">
        <f>IFERROR(VLOOKUP(T416,'Лист4'!C:I,6,0)," ")</f>
        <v> </v>
      </c>
      <c r="Z416" s="43"/>
      <c r="AA416" s="43"/>
      <c r="AB416" s="22"/>
      <c r="AC416" s="22" t="str">
        <f>IFERROR(VLOOKUP(V416,'Лист4'!F:O,6,0)," ")</f>
        <v> </v>
      </c>
      <c r="AD416" s="22"/>
      <c r="AE416" s="22"/>
      <c r="AF416" s="22"/>
      <c r="AG416" s="43"/>
      <c r="AH416" s="43"/>
      <c r="AI416" s="43"/>
      <c r="AJ416" s="43"/>
      <c r="AK416" s="43"/>
      <c r="AL416" s="43"/>
      <c r="AM416" s="43"/>
      <c r="AN416" s="43"/>
      <c r="AO416" s="43"/>
      <c r="AP416" s="43"/>
      <c r="AQ416" s="43"/>
      <c r="AR416" s="43"/>
      <c r="AS416" s="43"/>
      <c r="AT416" s="43"/>
      <c r="AU416" s="43"/>
      <c r="AV416" s="43"/>
      <c r="AW416" s="43"/>
      <c r="AX416" s="22"/>
      <c r="AY416" s="22" t="str">
        <f>IFERROR(VLOOKUP(C416,'спецификация'!B:AA,25,0)," ")</f>
        <v> </v>
      </c>
      <c r="AZ416" s="43"/>
      <c r="BA416" s="43"/>
      <c r="BB416" s="43"/>
      <c r="BC416" s="43"/>
      <c r="BD416" s="43"/>
      <c r="BE416" s="43"/>
      <c r="BF416" s="22" t="str">
        <f>IFERROR(VLOOKUP(C416,'спецификация'!B:D,3,0)," ")</f>
        <v> </v>
      </c>
      <c r="BG416" s="22" t="str">
        <f>IFERROR(VLOOKUP(C416,'спецификация'!B:AA,4,0)," ")</f>
        <v> </v>
      </c>
      <c r="BH416" s="22" t="str">
        <f>IFERROR(VLOOKUP(C416,'спецификация'!B:AA,5,0)," ")</f>
        <v> </v>
      </c>
      <c r="BI416" s="22"/>
      <c r="BJ416" s="22" t="str">
        <f>IFERROR(VLOOKUP(C416,'спецификация'!B:AA,6,0)," ")</f>
        <v> </v>
      </c>
      <c r="BK416" s="43"/>
      <c r="BL416" s="43"/>
      <c r="BM416" s="22" t="str">
        <f>IFERROR(VLOOKUP(C416,'спецификация'!B:AA,7,0)," ")</f>
        <v> </v>
      </c>
      <c r="BN416" s="43"/>
      <c r="BO416" s="22" t="str">
        <f>IFERROR(VLOOKUP(C416,'спецификация'!B:AA,10,0)," ")</f>
        <v> </v>
      </c>
      <c r="BP416" s="43" t="str">
        <f>IFERROR(VLOOKUP(C416,'спецификация'!B:AA,11,0)," ")</f>
        <v> </v>
      </c>
      <c r="BQ416" s="22" t="str">
        <f>IFERROR(VLOOKUP(C416,'спецификация'!B:AA,12,0)," ")</f>
        <v> </v>
      </c>
      <c r="BR416" s="22"/>
      <c r="BS416" s="43"/>
      <c r="BT416" s="43"/>
      <c r="BU416" s="22"/>
      <c r="BV416" s="22" t="s">
        <v>401</v>
      </c>
      <c r="BW416" s="45" t="str">
        <f>IFERROR(VLOOKUP(C416,'спецификация'!B:AA,16,0)," ")</f>
        <v> </v>
      </c>
      <c r="BX416" s="43"/>
      <c r="BY416" s="43"/>
      <c r="BZ416" s="45" t="str">
        <f>IFERROR(VLOOKUP(C416,'спецификация'!B:AA,24,0)," ")</f>
        <v> </v>
      </c>
      <c r="CA416" s="43"/>
      <c r="CB416" s="43"/>
      <c r="CC416" s="43"/>
      <c r="CD416" s="43"/>
      <c r="CE416" s="43"/>
      <c r="CF416" s="43"/>
      <c r="CG416" s="49" t="str">
        <f>IFERROR(VLOOKUP(C416,CC!A:D,4,0)," ")</f>
        <v> </v>
      </c>
      <c r="CH416" s="22" t="str">
        <f>IFERROR(VLOOKUP(C416,'спецификация'!B:AA,19,0)," ")</f>
        <v> </v>
      </c>
      <c r="CI416" s="22"/>
      <c r="CJ416" s="43"/>
      <c r="CK416" s="22" t="str">
        <f>IFERROR(VLOOKUP(C416,CC!K:M,3,0)," ")</f>
        <v> </v>
      </c>
      <c r="CL416" s="43"/>
      <c r="CM416" s="43"/>
      <c r="CN416" s="43"/>
      <c r="CO416" s="43"/>
      <c r="CP416" s="43"/>
      <c r="CQ416" s="43"/>
      <c r="CR416" s="43"/>
      <c r="CS416" s="43" t="b">
        <v>0</v>
      </c>
      <c r="CT416" s="43" t="b">
        <v>0</v>
      </c>
      <c r="CU416" s="43" t="b">
        <v>0</v>
      </c>
      <c r="CV416" s="43" t="b">
        <v>0</v>
      </c>
      <c r="CW416" s="43"/>
      <c r="CX416" s="43"/>
      <c r="CY416" s="43"/>
      <c r="CZ416" s="43"/>
      <c r="DA416" s="43"/>
      <c r="DB416" s="43"/>
      <c r="DC416" s="43"/>
      <c r="DD416" s="22" t="str">
        <f>IFERROR(VLOOKUP($C416,'Лист4'!$D:$AI,27,0)," ")</f>
        <v> </v>
      </c>
      <c r="DE416" s="22" t="str">
        <f>IFERROR(VLOOKUP($C416,'Лист4'!$D:$AI,28,0)," ")</f>
        <v> </v>
      </c>
      <c r="DF416" s="22" t="str">
        <f>IFERROR(VLOOKUP($C416,'Лист4'!$D:$AI,29,0)," ")</f>
        <v> </v>
      </c>
      <c r="DG416" s="22" t="str">
        <f t="shared" si="3"/>
        <v> </v>
      </c>
      <c r="DH416" s="22" t="str">
        <f>IFERROR(VLOOKUP($C416,'Лист4'!$D:$AI,32,0)," ")</f>
        <v> </v>
      </c>
      <c r="DI416" s="22"/>
      <c r="DJ416" s="22"/>
      <c r="DK416" s="22"/>
      <c r="DL416" s="22"/>
      <c r="DM416" s="22"/>
      <c r="DN416" s="22"/>
      <c r="DO416" s="22"/>
      <c r="DP416" s="22"/>
      <c r="DQ416" s="22"/>
      <c r="DR416" s="22"/>
      <c r="DS416" s="22"/>
      <c r="DT416" s="22"/>
      <c r="DU416" s="22"/>
      <c r="DV416" s="22"/>
      <c r="DW416" s="22"/>
      <c r="DX416" s="22"/>
      <c r="DY416" s="22"/>
      <c r="DZ416" s="22"/>
      <c r="EA416" s="22"/>
      <c r="EB416" s="22"/>
      <c r="EC416" s="22"/>
      <c r="ED416" s="22"/>
      <c r="EE416" s="22"/>
      <c r="EF416" s="22"/>
      <c r="EG416" s="22"/>
      <c r="EH416" s="22"/>
      <c r="EI416" s="22"/>
      <c r="EJ416" s="22"/>
      <c r="EK416" s="22"/>
      <c r="EL416" s="22"/>
      <c r="EM416" s="43"/>
      <c r="EN416" s="43"/>
      <c r="EO416" s="43"/>
      <c r="EP416" s="43"/>
      <c r="EQ416" s="43"/>
      <c r="ER416" s="43"/>
      <c r="ES416" s="43"/>
      <c r="ET416" s="43"/>
      <c r="EU416" s="43"/>
      <c r="EV416" s="43"/>
      <c r="EW416" s="43"/>
      <c r="EX416" s="43"/>
      <c r="EY416" s="43"/>
      <c r="EZ416" s="43"/>
      <c r="FA416" s="43"/>
      <c r="FB416" s="43"/>
      <c r="FC416" s="43"/>
    </row>
    <row r="417" ht="18.0" customHeight="1">
      <c r="A417" s="2"/>
      <c r="B417" s="22" t="str">
        <f>IFERROR(VLOOKUP(C417,'Реестр'!C:AC,27,0)," ")</f>
        <v> </v>
      </c>
      <c r="C417" s="43"/>
      <c r="D417" s="22" t="str">
        <f>IFERROR(VLOOKUP(C417,'Лист4'!D:P,13,0)," ")</f>
        <v> </v>
      </c>
      <c r="E417" s="22"/>
      <c r="F417" s="43"/>
      <c r="G417" s="43"/>
      <c r="H417" s="22" t="s">
        <v>401</v>
      </c>
      <c r="I417" s="22" t="s">
        <v>401</v>
      </c>
      <c r="J417" s="43"/>
      <c r="K417" s="43"/>
      <c r="L417" s="22"/>
      <c r="M417" s="22"/>
      <c r="N417" s="22"/>
      <c r="O417" s="22"/>
      <c r="P417" s="22"/>
      <c r="Q417" s="22"/>
      <c r="R417" s="22"/>
      <c r="S417" s="43"/>
      <c r="T417" s="43"/>
      <c r="U417" s="22" t="str">
        <f>IFERROR(VLOOKUP(T417,'Лист4'!C:I,3,0)," ")</f>
        <v> </v>
      </c>
      <c r="V417" s="22" t="str">
        <f>IFERROR(VLOOKUP(T417,'Лист4'!C:I,4,0)," ")</f>
        <v> </v>
      </c>
      <c r="W417" s="22" t="str">
        <f>IFERROR(VLOOKUP(T417,'Лист4'!C:I,5,0)," ")</f>
        <v> </v>
      </c>
      <c r="X417" s="43" t="str">
        <f>IFERROR(VLOOKUP(T417,'Лист4'!C:I,7,0)," ")</f>
        <v> </v>
      </c>
      <c r="Y417" s="43" t="str">
        <f>IFERROR(VLOOKUP(T417,'Лист4'!C:I,6,0)," ")</f>
        <v> </v>
      </c>
      <c r="Z417" s="43"/>
      <c r="AA417" s="43"/>
      <c r="AB417" s="22"/>
      <c r="AC417" s="22" t="str">
        <f>IFERROR(VLOOKUP(V417,'Лист4'!F:O,6,0)," ")</f>
        <v> </v>
      </c>
      <c r="AD417" s="22"/>
      <c r="AE417" s="22"/>
      <c r="AF417" s="22"/>
      <c r="AG417" s="43"/>
      <c r="AH417" s="43"/>
      <c r="AI417" s="43"/>
      <c r="AJ417" s="43"/>
      <c r="AK417" s="43"/>
      <c r="AL417" s="43"/>
      <c r="AM417" s="43"/>
      <c r="AN417" s="43"/>
      <c r="AO417" s="43"/>
      <c r="AP417" s="43"/>
      <c r="AQ417" s="43"/>
      <c r="AR417" s="43"/>
      <c r="AS417" s="43"/>
      <c r="AT417" s="43"/>
      <c r="AU417" s="43"/>
      <c r="AV417" s="43"/>
      <c r="AW417" s="43"/>
      <c r="AX417" s="22"/>
      <c r="AY417" s="22" t="str">
        <f>IFERROR(VLOOKUP(C417,'спецификация'!B:AA,25,0)," ")</f>
        <v> </v>
      </c>
      <c r="AZ417" s="43"/>
      <c r="BA417" s="43"/>
      <c r="BB417" s="43"/>
      <c r="BC417" s="43"/>
      <c r="BD417" s="43"/>
      <c r="BE417" s="43"/>
      <c r="BF417" s="22" t="str">
        <f>IFERROR(VLOOKUP(C417,'спецификация'!B:D,3,0)," ")</f>
        <v> </v>
      </c>
      <c r="BG417" s="22" t="str">
        <f>IFERROR(VLOOKUP(C417,'спецификация'!B:AA,4,0)," ")</f>
        <v> </v>
      </c>
      <c r="BH417" s="22" t="str">
        <f>IFERROR(VLOOKUP(C417,'спецификация'!B:AA,5,0)," ")</f>
        <v> </v>
      </c>
      <c r="BI417" s="22"/>
      <c r="BJ417" s="22" t="str">
        <f>IFERROR(VLOOKUP(C417,'спецификация'!B:AA,6,0)," ")</f>
        <v> </v>
      </c>
      <c r="BK417" s="43"/>
      <c r="BL417" s="43"/>
      <c r="BM417" s="22" t="str">
        <f>IFERROR(VLOOKUP(C417,'спецификация'!B:AA,7,0)," ")</f>
        <v> </v>
      </c>
      <c r="BN417" s="43"/>
      <c r="BO417" s="22" t="str">
        <f>IFERROR(VLOOKUP(C417,'спецификация'!B:AA,10,0)," ")</f>
        <v> </v>
      </c>
      <c r="BP417" s="43" t="str">
        <f>IFERROR(VLOOKUP(C417,'спецификация'!B:AA,11,0)," ")</f>
        <v> </v>
      </c>
      <c r="BQ417" s="22" t="str">
        <f>IFERROR(VLOOKUP(C417,'спецификация'!B:AA,12,0)," ")</f>
        <v> </v>
      </c>
      <c r="BR417" s="22"/>
      <c r="BS417" s="43"/>
      <c r="BT417" s="43"/>
      <c r="BU417" s="22"/>
      <c r="BV417" s="22" t="s">
        <v>401</v>
      </c>
      <c r="BW417" s="45" t="str">
        <f>IFERROR(VLOOKUP(C417,'спецификация'!B:AA,16,0)," ")</f>
        <v> </v>
      </c>
      <c r="BX417" s="43"/>
      <c r="BY417" s="43"/>
      <c r="BZ417" s="45" t="str">
        <f>IFERROR(VLOOKUP(C417,'спецификация'!B:AA,24,0)," ")</f>
        <v> </v>
      </c>
      <c r="CA417" s="43"/>
      <c r="CB417" s="43"/>
      <c r="CC417" s="43"/>
      <c r="CD417" s="43"/>
      <c r="CE417" s="43"/>
      <c r="CF417" s="43"/>
      <c r="CG417" s="49" t="str">
        <f>IFERROR(VLOOKUP(C417,CC!A:D,4,0)," ")</f>
        <v> </v>
      </c>
      <c r="CH417" s="22" t="str">
        <f>IFERROR(VLOOKUP(C417,'спецификация'!B:AA,19,0)," ")</f>
        <v> </v>
      </c>
      <c r="CI417" s="22"/>
      <c r="CJ417" s="43"/>
      <c r="CK417" s="22" t="str">
        <f>IFERROR(VLOOKUP(C417,CC!K:M,3,0)," ")</f>
        <v> </v>
      </c>
      <c r="CL417" s="43"/>
      <c r="CM417" s="43"/>
      <c r="CN417" s="43"/>
      <c r="CO417" s="43"/>
      <c r="CP417" s="43"/>
      <c r="CQ417" s="43"/>
      <c r="CR417" s="43"/>
      <c r="CS417" s="43" t="b">
        <v>0</v>
      </c>
      <c r="CT417" s="43" t="b">
        <v>0</v>
      </c>
      <c r="CU417" s="43" t="b">
        <v>0</v>
      </c>
      <c r="CV417" s="43" t="b">
        <v>0</v>
      </c>
      <c r="CW417" s="43"/>
      <c r="CX417" s="43"/>
      <c r="CY417" s="43"/>
      <c r="CZ417" s="43"/>
      <c r="DA417" s="43"/>
      <c r="DB417" s="43"/>
      <c r="DC417" s="43"/>
      <c r="DD417" s="22" t="str">
        <f>IFERROR(VLOOKUP($C417,'Лист4'!$D:$AI,27,0)," ")</f>
        <v> </v>
      </c>
      <c r="DE417" s="22" t="str">
        <f>IFERROR(VLOOKUP($C417,'Лист4'!$D:$AI,28,0)," ")</f>
        <v> </v>
      </c>
      <c r="DF417" s="22" t="str">
        <f>IFERROR(VLOOKUP($C417,'Лист4'!$D:$AI,29,0)," ")</f>
        <v> </v>
      </c>
      <c r="DG417" s="22" t="str">
        <f t="shared" si="3"/>
        <v> </v>
      </c>
      <c r="DH417" s="22" t="str">
        <f>IFERROR(VLOOKUP($C417,'Лист4'!$D:$AI,32,0)," ")</f>
        <v> </v>
      </c>
      <c r="DI417" s="22"/>
      <c r="DJ417" s="22"/>
      <c r="DK417" s="22"/>
      <c r="DL417" s="22"/>
      <c r="DM417" s="22"/>
      <c r="DN417" s="22"/>
      <c r="DO417" s="22"/>
      <c r="DP417" s="22"/>
      <c r="DQ417" s="22"/>
      <c r="DR417" s="22"/>
      <c r="DS417" s="22"/>
      <c r="DT417" s="22"/>
      <c r="DU417" s="22"/>
      <c r="DV417" s="22"/>
      <c r="DW417" s="22"/>
      <c r="DX417" s="22"/>
      <c r="DY417" s="22"/>
      <c r="DZ417" s="22"/>
      <c r="EA417" s="22"/>
      <c r="EB417" s="22"/>
      <c r="EC417" s="22"/>
      <c r="ED417" s="22"/>
      <c r="EE417" s="22"/>
      <c r="EF417" s="22"/>
      <c r="EG417" s="22"/>
      <c r="EH417" s="22"/>
      <c r="EI417" s="22"/>
      <c r="EJ417" s="22"/>
      <c r="EK417" s="22"/>
      <c r="EL417" s="22"/>
      <c r="EM417" s="43"/>
      <c r="EN417" s="43"/>
      <c r="EO417" s="43"/>
      <c r="EP417" s="43"/>
      <c r="EQ417" s="43"/>
      <c r="ER417" s="43"/>
      <c r="ES417" s="43"/>
      <c r="ET417" s="43"/>
      <c r="EU417" s="43"/>
      <c r="EV417" s="43"/>
      <c r="EW417" s="43"/>
      <c r="EX417" s="43"/>
      <c r="EY417" s="43"/>
      <c r="EZ417" s="43"/>
      <c r="FA417" s="43"/>
      <c r="FB417" s="43"/>
      <c r="FC417" s="43"/>
    </row>
    <row r="418" ht="18.0" customHeight="1">
      <c r="A418" s="2"/>
      <c r="B418" s="22" t="str">
        <f>IFERROR(VLOOKUP(C418,'Реестр'!C:AC,27,0)," ")</f>
        <v> </v>
      </c>
      <c r="C418" s="43"/>
      <c r="D418" s="22" t="str">
        <f>IFERROR(VLOOKUP(C418,'Лист4'!D:P,13,0)," ")</f>
        <v> </v>
      </c>
      <c r="E418" s="22"/>
      <c r="F418" s="43"/>
      <c r="G418" s="43"/>
      <c r="H418" s="22" t="s">
        <v>401</v>
      </c>
      <c r="I418" s="22" t="s">
        <v>401</v>
      </c>
      <c r="J418" s="43"/>
      <c r="K418" s="43"/>
      <c r="L418" s="22"/>
      <c r="M418" s="22"/>
      <c r="N418" s="22"/>
      <c r="O418" s="22"/>
      <c r="P418" s="22"/>
      <c r="Q418" s="22"/>
      <c r="R418" s="22"/>
      <c r="S418" s="43"/>
      <c r="T418" s="43"/>
      <c r="U418" s="22" t="str">
        <f>IFERROR(VLOOKUP(T418,'Лист4'!C:I,3,0)," ")</f>
        <v> </v>
      </c>
      <c r="V418" s="22" t="str">
        <f>IFERROR(VLOOKUP(T418,'Лист4'!C:I,4,0)," ")</f>
        <v> </v>
      </c>
      <c r="W418" s="22" t="str">
        <f>IFERROR(VLOOKUP(T418,'Лист4'!C:I,5,0)," ")</f>
        <v> </v>
      </c>
      <c r="X418" s="43" t="str">
        <f>IFERROR(VLOOKUP(T418,'Лист4'!C:I,7,0)," ")</f>
        <v> </v>
      </c>
      <c r="Y418" s="43" t="str">
        <f>IFERROR(VLOOKUP(T418,'Лист4'!C:I,6,0)," ")</f>
        <v> </v>
      </c>
      <c r="Z418" s="43"/>
      <c r="AA418" s="43"/>
      <c r="AB418" s="22"/>
      <c r="AC418" s="22" t="str">
        <f>IFERROR(VLOOKUP(V418,'Лист4'!F:O,6,0)," ")</f>
        <v> </v>
      </c>
      <c r="AD418" s="22"/>
      <c r="AE418" s="22"/>
      <c r="AF418" s="22"/>
      <c r="AG418" s="43"/>
      <c r="AH418" s="43"/>
      <c r="AI418" s="43"/>
      <c r="AJ418" s="43"/>
      <c r="AK418" s="43"/>
      <c r="AL418" s="43"/>
      <c r="AM418" s="43"/>
      <c r="AN418" s="43"/>
      <c r="AO418" s="43"/>
      <c r="AP418" s="43"/>
      <c r="AQ418" s="43"/>
      <c r="AR418" s="43"/>
      <c r="AS418" s="43"/>
      <c r="AT418" s="43"/>
      <c r="AU418" s="43"/>
      <c r="AV418" s="43"/>
      <c r="AW418" s="43"/>
      <c r="AX418" s="22"/>
      <c r="AY418" s="22" t="str">
        <f>IFERROR(VLOOKUP(C418,'спецификация'!B:AA,25,0)," ")</f>
        <v> </v>
      </c>
      <c r="AZ418" s="43"/>
      <c r="BA418" s="43"/>
      <c r="BB418" s="43"/>
      <c r="BC418" s="43"/>
      <c r="BD418" s="43"/>
      <c r="BE418" s="43"/>
      <c r="BF418" s="22" t="str">
        <f>IFERROR(VLOOKUP(C418,'спецификация'!B:D,3,0)," ")</f>
        <v> </v>
      </c>
      <c r="BG418" s="22" t="str">
        <f>IFERROR(VLOOKUP(C418,'спецификация'!B:AA,4,0)," ")</f>
        <v> </v>
      </c>
      <c r="BH418" s="22" t="str">
        <f>IFERROR(VLOOKUP(C418,'спецификация'!B:AA,5,0)," ")</f>
        <v> </v>
      </c>
      <c r="BI418" s="22"/>
      <c r="BJ418" s="22" t="str">
        <f>IFERROR(VLOOKUP(C418,'спецификация'!B:AA,6,0)," ")</f>
        <v> </v>
      </c>
      <c r="BK418" s="43"/>
      <c r="BL418" s="43"/>
      <c r="BM418" s="22" t="str">
        <f>IFERROR(VLOOKUP(C418,'спецификация'!B:AA,7,0)," ")</f>
        <v> </v>
      </c>
      <c r="BN418" s="43"/>
      <c r="BO418" s="22" t="str">
        <f>IFERROR(VLOOKUP(C418,'спецификация'!B:AA,10,0)," ")</f>
        <v> </v>
      </c>
      <c r="BP418" s="43" t="str">
        <f>IFERROR(VLOOKUP(C418,'спецификация'!B:AA,11,0)," ")</f>
        <v> </v>
      </c>
      <c r="BQ418" s="22" t="str">
        <f>IFERROR(VLOOKUP(C418,'спецификация'!B:AA,12,0)," ")</f>
        <v> </v>
      </c>
      <c r="BR418" s="22"/>
      <c r="BS418" s="43"/>
      <c r="BT418" s="43"/>
      <c r="BU418" s="22"/>
      <c r="BV418" s="22" t="s">
        <v>401</v>
      </c>
      <c r="BW418" s="45" t="str">
        <f>IFERROR(VLOOKUP(C418,'спецификация'!B:AA,16,0)," ")</f>
        <v> </v>
      </c>
      <c r="BX418" s="43"/>
      <c r="BY418" s="43"/>
      <c r="BZ418" s="45" t="str">
        <f>IFERROR(VLOOKUP(C418,'спецификация'!B:AA,24,0)," ")</f>
        <v> </v>
      </c>
      <c r="CA418" s="43"/>
      <c r="CB418" s="43"/>
      <c r="CC418" s="43"/>
      <c r="CD418" s="43"/>
      <c r="CE418" s="43"/>
      <c r="CF418" s="43"/>
      <c r="CG418" s="49" t="str">
        <f>IFERROR(VLOOKUP(C418,CC!A:D,4,0)," ")</f>
        <v> </v>
      </c>
      <c r="CH418" s="22" t="str">
        <f>IFERROR(VLOOKUP(C418,'спецификация'!B:AA,19,0)," ")</f>
        <v> </v>
      </c>
      <c r="CI418" s="22"/>
      <c r="CJ418" s="43"/>
      <c r="CK418" s="22" t="str">
        <f>IFERROR(VLOOKUP(C418,CC!K:M,3,0)," ")</f>
        <v> </v>
      </c>
      <c r="CL418" s="43"/>
      <c r="CM418" s="43"/>
      <c r="CN418" s="43"/>
      <c r="CO418" s="43"/>
      <c r="CP418" s="43"/>
      <c r="CQ418" s="43"/>
      <c r="CR418" s="43"/>
      <c r="CS418" s="43" t="b">
        <v>0</v>
      </c>
      <c r="CT418" s="43" t="b">
        <v>0</v>
      </c>
      <c r="CU418" s="43" t="b">
        <v>0</v>
      </c>
      <c r="CV418" s="43" t="b">
        <v>0</v>
      </c>
      <c r="CW418" s="43"/>
      <c r="CX418" s="43"/>
      <c r="CY418" s="43"/>
      <c r="CZ418" s="43"/>
      <c r="DA418" s="43"/>
      <c r="DB418" s="43"/>
      <c r="DC418" s="43"/>
      <c r="DD418" s="22" t="str">
        <f>IFERROR(VLOOKUP($C418,'Лист4'!$D:$AI,27,0)," ")</f>
        <v> </v>
      </c>
      <c r="DE418" s="22" t="str">
        <f>IFERROR(VLOOKUP($C418,'Лист4'!$D:$AI,28,0)," ")</f>
        <v> </v>
      </c>
      <c r="DF418" s="22" t="str">
        <f>IFERROR(VLOOKUP($C418,'Лист4'!$D:$AI,29,0)," ")</f>
        <v> </v>
      </c>
      <c r="DG418" s="22" t="str">
        <f t="shared" si="3"/>
        <v> </v>
      </c>
      <c r="DH418" s="22" t="str">
        <f>IFERROR(VLOOKUP($C418,'Лист4'!$D:$AI,32,0)," ")</f>
        <v> </v>
      </c>
      <c r="DI418" s="22"/>
      <c r="DJ418" s="22"/>
      <c r="DK418" s="22"/>
      <c r="DL418" s="22"/>
      <c r="DM418" s="22"/>
      <c r="DN418" s="22"/>
      <c r="DO418" s="22"/>
      <c r="DP418" s="22"/>
      <c r="DQ418" s="22"/>
      <c r="DR418" s="22"/>
      <c r="DS418" s="22"/>
      <c r="DT418" s="22"/>
      <c r="DU418" s="22"/>
      <c r="DV418" s="22"/>
      <c r="DW418" s="22"/>
      <c r="DX418" s="22"/>
      <c r="DY418" s="22"/>
      <c r="DZ418" s="22"/>
      <c r="EA418" s="22"/>
      <c r="EB418" s="22"/>
      <c r="EC418" s="22"/>
      <c r="ED418" s="22"/>
      <c r="EE418" s="22"/>
      <c r="EF418" s="22"/>
      <c r="EG418" s="22"/>
      <c r="EH418" s="22"/>
      <c r="EI418" s="22"/>
      <c r="EJ418" s="22"/>
      <c r="EK418" s="22"/>
      <c r="EL418" s="22"/>
      <c r="EM418" s="43"/>
      <c r="EN418" s="43"/>
      <c r="EO418" s="43"/>
      <c r="EP418" s="43"/>
      <c r="EQ418" s="43"/>
      <c r="ER418" s="43"/>
      <c r="ES418" s="43"/>
      <c r="ET418" s="43"/>
      <c r="EU418" s="43"/>
      <c r="EV418" s="43"/>
      <c r="EW418" s="43"/>
      <c r="EX418" s="43"/>
      <c r="EY418" s="43"/>
      <c r="EZ418" s="43"/>
      <c r="FA418" s="43"/>
      <c r="FB418" s="43"/>
      <c r="FC418" s="43"/>
    </row>
    <row r="419" ht="18.0" customHeight="1">
      <c r="A419" s="2"/>
      <c r="B419" s="22" t="str">
        <f>IFERROR(VLOOKUP(C419,'Реестр'!C:AC,27,0)," ")</f>
        <v> </v>
      </c>
      <c r="C419" s="43"/>
      <c r="D419" s="22" t="str">
        <f>IFERROR(VLOOKUP(C419,'Лист4'!D:P,13,0)," ")</f>
        <v> </v>
      </c>
      <c r="E419" s="22"/>
      <c r="F419" s="43"/>
      <c r="G419" s="43"/>
      <c r="H419" s="22" t="s">
        <v>401</v>
      </c>
      <c r="I419" s="22" t="s">
        <v>401</v>
      </c>
      <c r="J419" s="43"/>
      <c r="K419" s="43"/>
      <c r="L419" s="22"/>
      <c r="M419" s="22"/>
      <c r="N419" s="22"/>
      <c r="O419" s="22"/>
      <c r="P419" s="22"/>
      <c r="Q419" s="22"/>
      <c r="R419" s="22"/>
      <c r="S419" s="43"/>
      <c r="T419" s="43"/>
      <c r="U419" s="22" t="str">
        <f>IFERROR(VLOOKUP(T419,'Лист4'!C:I,3,0)," ")</f>
        <v> </v>
      </c>
      <c r="V419" s="22" t="str">
        <f>IFERROR(VLOOKUP(T419,'Лист4'!C:I,4,0)," ")</f>
        <v> </v>
      </c>
      <c r="W419" s="22" t="str">
        <f>IFERROR(VLOOKUP(T419,'Лист4'!C:I,5,0)," ")</f>
        <v> </v>
      </c>
      <c r="X419" s="43" t="str">
        <f>IFERROR(VLOOKUP(T419,'Лист4'!C:I,7,0)," ")</f>
        <v> </v>
      </c>
      <c r="Y419" s="43" t="str">
        <f>IFERROR(VLOOKUP(T419,'Лист4'!C:I,6,0)," ")</f>
        <v> </v>
      </c>
      <c r="Z419" s="43"/>
      <c r="AA419" s="43"/>
      <c r="AB419" s="22"/>
      <c r="AC419" s="22" t="str">
        <f>IFERROR(VLOOKUP(V419,'Лист4'!F:O,6,0)," ")</f>
        <v> </v>
      </c>
      <c r="AD419" s="22"/>
      <c r="AE419" s="22"/>
      <c r="AF419" s="22"/>
      <c r="AG419" s="43"/>
      <c r="AH419" s="43"/>
      <c r="AI419" s="43"/>
      <c r="AJ419" s="43"/>
      <c r="AK419" s="43"/>
      <c r="AL419" s="43"/>
      <c r="AM419" s="43"/>
      <c r="AN419" s="43"/>
      <c r="AO419" s="43"/>
      <c r="AP419" s="43"/>
      <c r="AQ419" s="43"/>
      <c r="AR419" s="43"/>
      <c r="AS419" s="43"/>
      <c r="AT419" s="43"/>
      <c r="AU419" s="43"/>
      <c r="AV419" s="43"/>
      <c r="AW419" s="43"/>
      <c r="AX419" s="22"/>
      <c r="AY419" s="22" t="str">
        <f>IFERROR(VLOOKUP(C419,'спецификация'!B:AA,25,0)," ")</f>
        <v> </v>
      </c>
      <c r="AZ419" s="43"/>
      <c r="BA419" s="43"/>
      <c r="BB419" s="43"/>
      <c r="BC419" s="43"/>
      <c r="BD419" s="43"/>
      <c r="BE419" s="43"/>
      <c r="BF419" s="22" t="str">
        <f>IFERROR(VLOOKUP(C419,'спецификация'!B:D,3,0)," ")</f>
        <v> </v>
      </c>
      <c r="BG419" s="22" t="str">
        <f>IFERROR(VLOOKUP(C419,'спецификация'!B:AA,4,0)," ")</f>
        <v> </v>
      </c>
      <c r="BH419" s="22" t="str">
        <f>IFERROR(VLOOKUP(C419,'спецификация'!B:AA,5,0)," ")</f>
        <v> </v>
      </c>
      <c r="BI419" s="22"/>
      <c r="BJ419" s="22" t="str">
        <f>IFERROR(VLOOKUP(C419,'спецификация'!B:AA,6,0)," ")</f>
        <v> </v>
      </c>
      <c r="BK419" s="43"/>
      <c r="BL419" s="43"/>
      <c r="BM419" s="22" t="str">
        <f>IFERROR(VLOOKUP(C419,'спецификация'!B:AA,7,0)," ")</f>
        <v> </v>
      </c>
      <c r="BN419" s="43"/>
      <c r="BO419" s="22" t="str">
        <f>IFERROR(VLOOKUP(C419,'спецификация'!B:AA,10,0)," ")</f>
        <v> </v>
      </c>
      <c r="BP419" s="43" t="str">
        <f>IFERROR(VLOOKUP(C419,'спецификация'!B:AA,11,0)," ")</f>
        <v> </v>
      </c>
      <c r="BQ419" s="22" t="str">
        <f>IFERROR(VLOOKUP(C419,'спецификация'!B:AA,12,0)," ")</f>
        <v> </v>
      </c>
      <c r="BR419" s="22"/>
      <c r="BS419" s="43"/>
      <c r="BT419" s="43"/>
      <c r="BU419" s="22"/>
      <c r="BV419" s="22" t="s">
        <v>401</v>
      </c>
      <c r="BW419" s="45" t="str">
        <f>IFERROR(VLOOKUP(C419,'спецификация'!B:AA,16,0)," ")</f>
        <v> </v>
      </c>
      <c r="BX419" s="43"/>
      <c r="BY419" s="43"/>
      <c r="BZ419" s="45" t="str">
        <f>IFERROR(VLOOKUP(C419,'спецификация'!B:AA,24,0)," ")</f>
        <v> </v>
      </c>
      <c r="CA419" s="43"/>
      <c r="CB419" s="43"/>
      <c r="CC419" s="43"/>
      <c r="CD419" s="43"/>
      <c r="CE419" s="43"/>
      <c r="CF419" s="43"/>
      <c r="CG419" s="49" t="str">
        <f>IFERROR(VLOOKUP(C419,CC!A:D,4,0)," ")</f>
        <v> </v>
      </c>
      <c r="CH419" s="22" t="str">
        <f>IFERROR(VLOOKUP(C419,'спецификация'!B:AA,19,0)," ")</f>
        <v> </v>
      </c>
      <c r="CI419" s="22"/>
      <c r="CJ419" s="43"/>
      <c r="CK419" s="22" t="str">
        <f>IFERROR(VLOOKUP(C419,CC!K:M,3,0)," ")</f>
        <v> </v>
      </c>
      <c r="CL419" s="43"/>
      <c r="CM419" s="43"/>
      <c r="CN419" s="43"/>
      <c r="CO419" s="43"/>
      <c r="CP419" s="43"/>
      <c r="CQ419" s="43"/>
      <c r="CR419" s="43"/>
      <c r="CS419" s="43" t="b">
        <v>0</v>
      </c>
      <c r="CT419" s="43" t="b">
        <v>0</v>
      </c>
      <c r="CU419" s="43" t="b">
        <v>0</v>
      </c>
      <c r="CV419" s="43" t="b">
        <v>0</v>
      </c>
      <c r="CW419" s="43"/>
      <c r="CX419" s="43"/>
      <c r="CY419" s="43"/>
      <c r="CZ419" s="43"/>
      <c r="DA419" s="43"/>
      <c r="DB419" s="43"/>
      <c r="DC419" s="43"/>
      <c r="DD419" s="22" t="str">
        <f>IFERROR(VLOOKUP($C419,'Лист4'!$D:$AI,27,0)," ")</f>
        <v> </v>
      </c>
      <c r="DE419" s="22" t="str">
        <f>IFERROR(VLOOKUP($C419,'Лист4'!$D:$AI,28,0)," ")</f>
        <v> </v>
      </c>
      <c r="DF419" s="22" t="str">
        <f>IFERROR(VLOOKUP($C419,'Лист4'!$D:$AI,29,0)," ")</f>
        <v> </v>
      </c>
      <c r="DG419" s="22" t="str">
        <f t="shared" si="3"/>
        <v> </v>
      </c>
      <c r="DH419" s="22" t="str">
        <f>IFERROR(VLOOKUP($C419,'Лист4'!$D:$AI,32,0)," ")</f>
        <v> </v>
      </c>
      <c r="DI419" s="22"/>
      <c r="DJ419" s="22"/>
      <c r="DK419" s="22"/>
      <c r="DL419" s="22"/>
      <c r="DM419" s="22"/>
      <c r="DN419" s="22"/>
      <c r="DO419" s="22"/>
      <c r="DP419" s="22"/>
      <c r="DQ419" s="22"/>
      <c r="DR419" s="22"/>
      <c r="DS419" s="22"/>
      <c r="DT419" s="22"/>
      <c r="DU419" s="22"/>
      <c r="DV419" s="22"/>
      <c r="DW419" s="22"/>
      <c r="DX419" s="22"/>
      <c r="DY419" s="22"/>
      <c r="DZ419" s="22"/>
      <c r="EA419" s="22"/>
      <c r="EB419" s="22"/>
      <c r="EC419" s="22"/>
      <c r="ED419" s="22"/>
      <c r="EE419" s="22"/>
      <c r="EF419" s="22"/>
      <c r="EG419" s="22"/>
      <c r="EH419" s="22"/>
      <c r="EI419" s="22"/>
      <c r="EJ419" s="22"/>
      <c r="EK419" s="22"/>
      <c r="EL419" s="22"/>
      <c r="EM419" s="43"/>
      <c r="EN419" s="43"/>
      <c r="EO419" s="43"/>
      <c r="EP419" s="43"/>
      <c r="EQ419" s="43"/>
      <c r="ER419" s="43"/>
      <c r="ES419" s="43"/>
      <c r="ET419" s="43"/>
      <c r="EU419" s="43"/>
      <c r="EV419" s="43"/>
      <c r="EW419" s="43"/>
      <c r="EX419" s="43"/>
      <c r="EY419" s="43"/>
      <c r="EZ419" s="43"/>
      <c r="FA419" s="43"/>
      <c r="FB419" s="43"/>
      <c r="FC419" s="43"/>
    </row>
    <row r="420" ht="18.0" customHeight="1">
      <c r="A420" s="2"/>
      <c r="B420" s="22" t="str">
        <f>IFERROR(VLOOKUP(C420,'Реестр'!C:AC,27,0)," ")</f>
        <v> </v>
      </c>
      <c r="C420" s="43"/>
      <c r="D420" s="22" t="str">
        <f>IFERROR(VLOOKUP(C420,'Лист4'!D:P,13,0)," ")</f>
        <v> </v>
      </c>
      <c r="E420" s="22"/>
      <c r="F420" s="43"/>
      <c r="G420" s="43"/>
      <c r="H420" s="22" t="s">
        <v>401</v>
      </c>
      <c r="I420" s="22" t="s">
        <v>401</v>
      </c>
      <c r="J420" s="43"/>
      <c r="K420" s="43"/>
      <c r="L420" s="22"/>
      <c r="M420" s="22"/>
      <c r="N420" s="22"/>
      <c r="O420" s="22"/>
      <c r="P420" s="22"/>
      <c r="Q420" s="22"/>
      <c r="R420" s="22"/>
      <c r="S420" s="43"/>
      <c r="T420" s="43"/>
      <c r="U420" s="22" t="str">
        <f>IFERROR(VLOOKUP(T420,'Лист4'!C:I,3,0)," ")</f>
        <v> </v>
      </c>
      <c r="V420" s="22" t="str">
        <f>IFERROR(VLOOKUP(T420,'Лист4'!C:I,4,0)," ")</f>
        <v> </v>
      </c>
      <c r="W420" s="22" t="str">
        <f>IFERROR(VLOOKUP(T420,'Лист4'!C:I,5,0)," ")</f>
        <v> </v>
      </c>
      <c r="X420" s="43" t="str">
        <f>IFERROR(VLOOKUP(T420,'Лист4'!C:I,7,0)," ")</f>
        <v> </v>
      </c>
      <c r="Y420" s="43" t="str">
        <f>IFERROR(VLOOKUP(T420,'Лист4'!C:I,6,0)," ")</f>
        <v> </v>
      </c>
      <c r="Z420" s="43"/>
      <c r="AA420" s="43"/>
      <c r="AB420" s="22"/>
      <c r="AC420" s="22" t="str">
        <f>IFERROR(VLOOKUP(V420,'Лист4'!F:O,6,0)," ")</f>
        <v> </v>
      </c>
      <c r="AD420" s="22"/>
      <c r="AE420" s="22"/>
      <c r="AF420" s="22"/>
      <c r="AG420" s="43"/>
      <c r="AH420" s="43"/>
      <c r="AI420" s="43"/>
      <c r="AJ420" s="43"/>
      <c r="AK420" s="43"/>
      <c r="AL420" s="43"/>
      <c r="AM420" s="43"/>
      <c r="AN420" s="43"/>
      <c r="AO420" s="43"/>
      <c r="AP420" s="43"/>
      <c r="AQ420" s="43"/>
      <c r="AR420" s="43"/>
      <c r="AS420" s="43"/>
      <c r="AT420" s="43"/>
      <c r="AU420" s="43"/>
      <c r="AV420" s="43"/>
      <c r="AW420" s="43"/>
      <c r="AX420" s="22"/>
      <c r="AY420" s="22" t="str">
        <f>IFERROR(VLOOKUP(C420,'спецификация'!B:AA,25,0)," ")</f>
        <v> </v>
      </c>
      <c r="AZ420" s="43"/>
      <c r="BA420" s="43"/>
      <c r="BB420" s="43"/>
      <c r="BC420" s="43"/>
      <c r="BD420" s="43"/>
      <c r="BE420" s="43"/>
      <c r="BF420" s="22" t="str">
        <f>IFERROR(VLOOKUP(C420,'спецификация'!B:D,3,0)," ")</f>
        <v> </v>
      </c>
      <c r="BG420" s="22" t="str">
        <f>IFERROR(VLOOKUP(C420,'спецификация'!B:AA,4,0)," ")</f>
        <v> </v>
      </c>
      <c r="BH420" s="22" t="str">
        <f>IFERROR(VLOOKUP(C420,'спецификация'!B:AA,5,0)," ")</f>
        <v> </v>
      </c>
      <c r="BI420" s="22"/>
      <c r="BJ420" s="22" t="str">
        <f>IFERROR(VLOOKUP(C420,'спецификация'!B:AA,6,0)," ")</f>
        <v> </v>
      </c>
      <c r="BK420" s="43"/>
      <c r="BL420" s="43"/>
      <c r="BM420" s="22" t="str">
        <f>IFERROR(VLOOKUP(C420,'спецификация'!B:AA,7,0)," ")</f>
        <v> </v>
      </c>
      <c r="BN420" s="43"/>
      <c r="BO420" s="22" t="str">
        <f>IFERROR(VLOOKUP(C420,'спецификация'!B:AA,10,0)," ")</f>
        <v> </v>
      </c>
      <c r="BP420" s="43" t="str">
        <f>IFERROR(VLOOKUP(C420,'спецификация'!B:AA,11,0)," ")</f>
        <v> </v>
      </c>
      <c r="BQ420" s="22" t="str">
        <f>IFERROR(VLOOKUP(C420,'спецификация'!B:AA,12,0)," ")</f>
        <v> </v>
      </c>
      <c r="BR420" s="22"/>
      <c r="BS420" s="43"/>
      <c r="BT420" s="43"/>
      <c r="BU420" s="22"/>
      <c r="BV420" s="22" t="s">
        <v>401</v>
      </c>
      <c r="BW420" s="45" t="str">
        <f>IFERROR(VLOOKUP(C420,'спецификация'!B:AA,16,0)," ")</f>
        <v> </v>
      </c>
      <c r="BX420" s="43"/>
      <c r="BY420" s="43"/>
      <c r="BZ420" s="45" t="str">
        <f>IFERROR(VLOOKUP(C420,'спецификация'!B:AA,24,0)," ")</f>
        <v> </v>
      </c>
      <c r="CA420" s="43"/>
      <c r="CB420" s="43"/>
      <c r="CC420" s="43"/>
      <c r="CD420" s="43"/>
      <c r="CE420" s="43"/>
      <c r="CF420" s="43"/>
      <c r="CG420" s="49" t="str">
        <f>IFERROR(VLOOKUP(C420,CC!A:D,4,0)," ")</f>
        <v> </v>
      </c>
      <c r="CH420" s="22" t="str">
        <f>IFERROR(VLOOKUP(C420,'спецификация'!B:AA,19,0)," ")</f>
        <v> </v>
      </c>
      <c r="CI420" s="22"/>
      <c r="CJ420" s="43"/>
      <c r="CK420" s="22" t="str">
        <f>IFERROR(VLOOKUP(C420,CC!K:M,3,0)," ")</f>
        <v> </v>
      </c>
      <c r="CL420" s="43"/>
      <c r="CM420" s="43"/>
      <c r="CN420" s="43"/>
      <c r="CO420" s="43"/>
      <c r="CP420" s="43"/>
      <c r="CQ420" s="43"/>
      <c r="CR420" s="43"/>
      <c r="CS420" s="43" t="b">
        <v>0</v>
      </c>
      <c r="CT420" s="43" t="b">
        <v>0</v>
      </c>
      <c r="CU420" s="43" t="b">
        <v>0</v>
      </c>
      <c r="CV420" s="43" t="b">
        <v>0</v>
      </c>
      <c r="CW420" s="43"/>
      <c r="CX420" s="43"/>
      <c r="CY420" s="43"/>
      <c r="CZ420" s="43"/>
      <c r="DA420" s="43"/>
      <c r="DB420" s="43"/>
      <c r="DC420" s="43"/>
      <c r="DD420" s="22" t="str">
        <f>IFERROR(VLOOKUP($C420,'Лист4'!$D:$AI,27,0)," ")</f>
        <v> </v>
      </c>
      <c r="DE420" s="22" t="str">
        <f>IFERROR(VLOOKUP($C420,'Лист4'!$D:$AI,28,0)," ")</f>
        <v> </v>
      </c>
      <c r="DF420" s="22" t="str">
        <f>IFERROR(VLOOKUP($C420,'Лист4'!$D:$AI,29,0)," ")</f>
        <v> </v>
      </c>
      <c r="DG420" s="22" t="str">
        <f t="shared" si="3"/>
        <v> </v>
      </c>
      <c r="DH420" s="22" t="str">
        <f>IFERROR(VLOOKUP($C420,'Лист4'!$D:$AI,32,0)," ")</f>
        <v> </v>
      </c>
      <c r="DI420" s="22"/>
      <c r="DJ420" s="22"/>
      <c r="DK420" s="22"/>
      <c r="DL420" s="22"/>
      <c r="DM420" s="22"/>
      <c r="DN420" s="22"/>
      <c r="DO420" s="22"/>
      <c r="DP420" s="22"/>
      <c r="DQ420" s="22"/>
      <c r="DR420" s="22"/>
      <c r="DS420" s="22"/>
      <c r="DT420" s="22"/>
      <c r="DU420" s="22"/>
      <c r="DV420" s="22"/>
      <c r="DW420" s="22"/>
      <c r="DX420" s="22"/>
      <c r="DY420" s="22"/>
      <c r="DZ420" s="22"/>
      <c r="EA420" s="22"/>
      <c r="EB420" s="22"/>
      <c r="EC420" s="22"/>
      <c r="ED420" s="22"/>
      <c r="EE420" s="22"/>
      <c r="EF420" s="22"/>
      <c r="EG420" s="22"/>
      <c r="EH420" s="22"/>
      <c r="EI420" s="22"/>
      <c r="EJ420" s="22"/>
      <c r="EK420" s="22"/>
      <c r="EL420" s="22"/>
      <c r="EM420" s="43"/>
      <c r="EN420" s="43"/>
      <c r="EO420" s="43"/>
      <c r="EP420" s="43"/>
      <c r="EQ420" s="43"/>
      <c r="ER420" s="43"/>
      <c r="ES420" s="43"/>
      <c r="ET420" s="43"/>
      <c r="EU420" s="43"/>
      <c r="EV420" s="43"/>
      <c r="EW420" s="43"/>
      <c r="EX420" s="43"/>
      <c r="EY420" s="43"/>
      <c r="EZ420" s="43"/>
      <c r="FA420" s="43"/>
      <c r="FB420" s="43"/>
      <c r="FC420" s="43"/>
    </row>
    <row r="421" ht="18.0" customHeight="1">
      <c r="A421" s="2"/>
      <c r="B421" s="22" t="str">
        <f>IFERROR(VLOOKUP(C421,'Реестр'!C:AC,27,0)," ")</f>
        <v> </v>
      </c>
      <c r="C421" s="43"/>
      <c r="D421" s="22" t="str">
        <f>IFERROR(VLOOKUP(C421,'Лист4'!D:P,13,0)," ")</f>
        <v> </v>
      </c>
      <c r="E421" s="22"/>
      <c r="F421" s="43"/>
      <c r="G421" s="43"/>
      <c r="H421" s="22" t="s">
        <v>401</v>
      </c>
      <c r="I421" s="22" t="s">
        <v>401</v>
      </c>
      <c r="J421" s="43"/>
      <c r="K421" s="43"/>
      <c r="L421" s="22"/>
      <c r="M421" s="22"/>
      <c r="N421" s="22"/>
      <c r="O421" s="22"/>
      <c r="P421" s="22"/>
      <c r="Q421" s="22"/>
      <c r="R421" s="22"/>
      <c r="S421" s="43"/>
      <c r="T421" s="43"/>
      <c r="U421" s="22" t="str">
        <f>IFERROR(VLOOKUP(T421,'Лист4'!C:I,3,0)," ")</f>
        <v> </v>
      </c>
      <c r="V421" s="22" t="str">
        <f>IFERROR(VLOOKUP(T421,'Лист4'!C:I,4,0)," ")</f>
        <v> </v>
      </c>
      <c r="W421" s="22" t="str">
        <f>IFERROR(VLOOKUP(T421,'Лист4'!C:I,5,0)," ")</f>
        <v> </v>
      </c>
      <c r="X421" s="43" t="str">
        <f>IFERROR(VLOOKUP(T421,'Лист4'!C:I,7,0)," ")</f>
        <v> </v>
      </c>
      <c r="Y421" s="43" t="str">
        <f>IFERROR(VLOOKUP(T421,'Лист4'!C:I,6,0)," ")</f>
        <v> </v>
      </c>
      <c r="Z421" s="43"/>
      <c r="AA421" s="43"/>
      <c r="AB421" s="22"/>
      <c r="AC421" s="22" t="str">
        <f>IFERROR(VLOOKUP(V421,'Лист4'!F:O,6,0)," ")</f>
        <v> </v>
      </c>
      <c r="AD421" s="22"/>
      <c r="AE421" s="22"/>
      <c r="AF421" s="22"/>
      <c r="AG421" s="43"/>
      <c r="AH421" s="43"/>
      <c r="AI421" s="43"/>
      <c r="AJ421" s="43"/>
      <c r="AK421" s="43"/>
      <c r="AL421" s="43"/>
      <c r="AM421" s="43"/>
      <c r="AN421" s="43"/>
      <c r="AO421" s="43"/>
      <c r="AP421" s="43"/>
      <c r="AQ421" s="43"/>
      <c r="AR421" s="43"/>
      <c r="AS421" s="43"/>
      <c r="AT421" s="43"/>
      <c r="AU421" s="43"/>
      <c r="AV421" s="43"/>
      <c r="AW421" s="43"/>
      <c r="AX421" s="22"/>
      <c r="AY421" s="22" t="str">
        <f>IFERROR(VLOOKUP(C421,'спецификация'!B:AA,25,0)," ")</f>
        <v> </v>
      </c>
      <c r="AZ421" s="43"/>
      <c r="BA421" s="43"/>
      <c r="BB421" s="43"/>
      <c r="BC421" s="43"/>
      <c r="BD421" s="43"/>
      <c r="BE421" s="43"/>
      <c r="BF421" s="22" t="str">
        <f>IFERROR(VLOOKUP(C421,'спецификация'!B:D,3,0)," ")</f>
        <v> </v>
      </c>
      <c r="BG421" s="22" t="str">
        <f>IFERROR(VLOOKUP(C421,'спецификация'!B:AA,4,0)," ")</f>
        <v> </v>
      </c>
      <c r="BH421" s="22" t="str">
        <f>IFERROR(VLOOKUP(C421,'спецификация'!B:AA,5,0)," ")</f>
        <v> </v>
      </c>
      <c r="BI421" s="22"/>
      <c r="BJ421" s="22" t="str">
        <f>IFERROR(VLOOKUP(C421,'спецификация'!B:AA,6,0)," ")</f>
        <v> </v>
      </c>
      <c r="BK421" s="43"/>
      <c r="BL421" s="43"/>
      <c r="BM421" s="22" t="str">
        <f>IFERROR(VLOOKUP(C421,'спецификация'!B:AA,7,0)," ")</f>
        <v> </v>
      </c>
      <c r="BN421" s="43"/>
      <c r="BO421" s="22" t="str">
        <f>IFERROR(VLOOKUP(C421,'спецификация'!B:AA,10,0)," ")</f>
        <v> </v>
      </c>
      <c r="BP421" s="43" t="str">
        <f>IFERROR(VLOOKUP(C421,'спецификация'!B:AA,11,0)," ")</f>
        <v> </v>
      </c>
      <c r="BQ421" s="22" t="str">
        <f>IFERROR(VLOOKUP(C421,'спецификация'!B:AA,12,0)," ")</f>
        <v> </v>
      </c>
      <c r="BR421" s="22"/>
      <c r="BS421" s="43"/>
      <c r="BT421" s="43"/>
      <c r="BU421" s="22"/>
      <c r="BV421" s="22" t="s">
        <v>401</v>
      </c>
      <c r="BW421" s="45" t="str">
        <f>IFERROR(VLOOKUP(C421,'спецификация'!B:AA,16,0)," ")</f>
        <v> </v>
      </c>
      <c r="BX421" s="43"/>
      <c r="BY421" s="43"/>
      <c r="BZ421" s="45" t="str">
        <f>IFERROR(VLOOKUP(C421,'спецификация'!B:AA,24,0)," ")</f>
        <v> </v>
      </c>
      <c r="CA421" s="43"/>
      <c r="CB421" s="43"/>
      <c r="CC421" s="43"/>
      <c r="CD421" s="43"/>
      <c r="CE421" s="43"/>
      <c r="CF421" s="43"/>
      <c r="CG421" s="49" t="str">
        <f>IFERROR(VLOOKUP(C421,CC!A:D,4,0)," ")</f>
        <v> </v>
      </c>
      <c r="CH421" s="22" t="str">
        <f>IFERROR(VLOOKUP(C421,'спецификация'!B:AA,19,0)," ")</f>
        <v> </v>
      </c>
      <c r="CI421" s="22"/>
      <c r="CJ421" s="43"/>
      <c r="CK421" s="22" t="str">
        <f>IFERROR(VLOOKUP(C421,CC!K:M,3,0)," ")</f>
        <v> </v>
      </c>
      <c r="CL421" s="43"/>
      <c r="CM421" s="43"/>
      <c r="CN421" s="43"/>
      <c r="CO421" s="43"/>
      <c r="CP421" s="43"/>
      <c r="CQ421" s="43"/>
      <c r="CR421" s="43"/>
      <c r="CS421" s="43" t="b">
        <v>0</v>
      </c>
      <c r="CT421" s="43" t="b">
        <v>0</v>
      </c>
      <c r="CU421" s="43" t="b">
        <v>0</v>
      </c>
      <c r="CV421" s="43" t="b">
        <v>0</v>
      </c>
      <c r="CW421" s="43"/>
      <c r="CX421" s="43"/>
      <c r="CY421" s="43"/>
      <c r="CZ421" s="43"/>
      <c r="DA421" s="43"/>
      <c r="DB421" s="43"/>
      <c r="DC421" s="43"/>
      <c r="DD421" s="22" t="str">
        <f>IFERROR(VLOOKUP($C421,'Лист4'!$D:$AI,27,0)," ")</f>
        <v> </v>
      </c>
      <c r="DE421" s="22" t="str">
        <f>IFERROR(VLOOKUP($C421,'Лист4'!$D:$AI,28,0)," ")</f>
        <v> </v>
      </c>
      <c r="DF421" s="22" t="str">
        <f>IFERROR(VLOOKUP($C421,'Лист4'!$D:$AI,29,0)," ")</f>
        <v> </v>
      </c>
      <c r="DG421" s="22" t="str">
        <f t="shared" si="3"/>
        <v> </v>
      </c>
      <c r="DH421" s="22" t="str">
        <f>IFERROR(VLOOKUP($C421,'Лист4'!$D:$AI,32,0)," ")</f>
        <v> </v>
      </c>
      <c r="DI421" s="22"/>
      <c r="DJ421" s="22"/>
      <c r="DK421" s="22"/>
      <c r="DL421" s="22"/>
      <c r="DM421" s="22"/>
      <c r="DN421" s="22"/>
      <c r="DO421" s="22"/>
      <c r="DP421" s="22"/>
      <c r="DQ421" s="22"/>
      <c r="DR421" s="22"/>
      <c r="DS421" s="22"/>
      <c r="DT421" s="22"/>
      <c r="DU421" s="22"/>
      <c r="DV421" s="22"/>
      <c r="DW421" s="22"/>
      <c r="DX421" s="22"/>
      <c r="DY421" s="22"/>
      <c r="DZ421" s="22"/>
      <c r="EA421" s="22"/>
      <c r="EB421" s="22"/>
      <c r="EC421" s="22"/>
      <c r="ED421" s="22"/>
      <c r="EE421" s="22"/>
      <c r="EF421" s="22"/>
      <c r="EG421" s="22"/>
      <c r="EH421" s="22"/>
      <c r="EI421" s="22"/>
      <c r="EJ421" s="22"/>
      <c r="EK421" s="22"/>
      <c r="EL421" s="22"/>
      <c r="EM421" s="43"/>
      <c r="EN421" s="43"/>
      <c r="EO421" s="43"/>
      <c r="EP421" s="43"/>
      <c r="EQ421" s="43"/>
      <c r="ER421" s="43"/>
      <c r="ES421" s="43"/>
      <c r="ET421" s="43"/>
      <c r="EU421" s="43"/>
      <c r="EV421" s="43"/>
      <c r="EW421" s="43"/>
      <c r="EX421" s="43"/>
      <c r="EY421" s="43"/>
      <c r="EZ421" s="43"/>
      <c r="FA421" s="43"/>
      <c r="FB421" s="43"/>
      <c r="FC421" s="43"/>
    </row>
    <row r="422" ht="18.0" customHeight="1">
      <c r="A422" s="2"/>
      <c r="B422" s="22" t="str">
        <f>IFERROR(VLOOKUP(C422,'Реестр'!C:AC,27,0)," ")</f>
        <v> </v>
      </c>
      <c r="C422" s="43"/>
      <c r="D422" s="22" t="str">
        <f>IFERROR(VLOOKUP(C422,'Лист4'!D:P,13,0)," ")</f>
        <v> </v>
      </c>
      <c r="E422" s="22"/>
      <c r="F422" s="43"/>
      <c r="G422" s="43"/>
      <c r="H422" s="22" t="s">
        <v>401</v>
      </c>
      <c r="I422" s="22" t="s">
        <v>401</v>
      </c>
      <c r="J422" s="43"/>
      <c r="K422" s="43"/>
      <c r="L422" s="22"/>
      <c r="M422" s="22"/>
      <c r="N422" s="22"/>
      <c r="O422" s="22"/>
      <c r="P422" s="22"/>
      <c r="Q422" s="22"/>
      <c r="R422" s="22"/>
      <c r="S422" s="43"/>
      <c r="T422" s="43"/>
      <c r="U422" s="22" t="str">
        <f>IFERROR(VLOOKUP(T422,'Лист4'!C:I,3,0)," ")</f>
        <v> </v>
      </c>
      <c r="V422" s="22" t="str">
        <f>IFERROR(VLOOKUP(T422,'Лист4'!C:I,4,0)," ")</f>
        <v> </v>
      </c>
      <c r="W422" s="22" t="str">
        <f>IFERROR(VLOOKUP(T422,'Лист4'!C:I,5,0)," ")</f>
        <v> </v>
      </c>
      <c r="X422" s="43" t="str">
        <f>IFERROR(VLOOKUP(T422,'Лист4'!C:I,7,0)," ")</f>
        <v> </v>
      </c>
      <c r="Y422" s="43" t="str">
        <f>IFERROR(VLOOKUP(T422,'Лист4'!C:I,6,0)," ")</f>
        <v> </v>
      </c>
      <c r="Z422" s="43"/>
      <c r="AA422" s="43"/>
      <c r="AB422" s="22"/>
      <c r="AC422" s="22" t="str">
        <f>IFERROR(VLOOKUP(V422,'Лист4'!F:O,6,0)," ")</f>
        <v> </v>
      </c>
      <c r="AD422" s="22"/>
      <c r="AE422" s="22"/>
      <c r="AF422" s="22"/>
      <c r="AG422" s="43"/>
      <c r="AH422" s="43"/>
      <c r="AI422" s="43"/>
      <c r="AJ422" s="43"/>
      <c r="AK422" s="43"/>
      <c r="AL422" s="43"/>
      <c r="AM422" s="43"/>
      <c r="AN422" s="43"/>
      <c r="AO422" s="43"/>
      <c r="AP422" s="43"/>
      <c r="AQ422" s="43"/>
      <c r="AR422" s="43"/>
      <c r="AS422" s="43"/>
      <c r="AT422" s="43"/>
      <c r="AU422" s="43"/>
      <c r="AV422" s="43"/>
      <c r="AW422" s="43"/>
      <c r="AX422" s="22"/>
      <c r="AY422" s="22" t="str">
        <f>IFERROR(VLOOKUP(C422,'спецификация'!B:AA,25,0)," ")</f>
        <v> </v>
      </c>
      <c r="AZ422" s="43"/>
      <c r="BA422" s="43"/>
      <c r="BB422" s="43"/>
      <c r="BC422" s="43"/>
      <c r="BD422" s="43"/>
      <c r="BE422" s="43"/>
      <c r="BF422" s="22" t="str">
        <f>IFERROR(VLOOKUP(C422,'спецификация'!B:D,3,0)," ")</f>
        <v> </v>
      </c>
      <c r="BG422" s="22" t="str">
        <f>IFERROR(VLOOKUP(C422,'спецификация'!B:AA,4,0)," ")</f>
        <v> </v>
      </c>
      <c r="BH422" s="22" t="str">
        <f>IFERROR(VLOOKUP(C422,'спецификация'!B:AA,5,0)," ")</f>
        <v> </v>
      </c>
      <c r="BI422" s="22"/>
      <c r="BJ422" s="22" t="str">
        <f>IFERROR(VLOOKUP(C422,'спецификация'!B:AA,6,0)," ")</f>
        <v> </v>
      </c>
      <c r="BK422" s="43"/>
      <c r="BL422" s="43"/>
      <c r="BM422" s="22" t="str">
        <f>IFERROR(VLOOKUP(C422,'спецификация'!B:AA,7,0)," ")</f>
        <v> </v>
      </c>
      <c r="BN422" s="43"/>
      <c r="BO422" s="22" t="str">
        <f>IFERROR(VLOOKUP(C422,'спецификация'!B:AA,10,0)," ")</f>
        <v> </v>
      </c>
      <c r="BP422" s="43" t="str">
        <f>IFERROR(VLOOKUP(C422,'спецификация'!B:AA,11,0)," ")</f>
        <v> </v>
      </c>
      <c r="BQ422" s="22" t="str">
        <f>IFERROR(VLOOKUP(C422,'спецификация'!B:AA,12,0)," ")</f>
        <v> </v>
      </c>
      <c r="BR422" s="22"/>
      <c r="BS422" s="43"/>
      <c r="BT422" s="43"/>
      <c r="BU422" s="22"/>
      <c r="BV422" s="22" t="s">
        <v>401</v>
      </c>
      <c r="BW422" s="45" t="str">
        <f>IFERROR(VLOOKUP(C422,'спецификация'!B:AA,16,0)," ")</f>
        <v> </v>
      </c>
      <c r="BX422" s="43"/>
      <c r="BY422" s="43"/>
      <c r="BZ422" s="45" t="str">
        <f>IFERROR(VLOOKUP(C422,'спецификация'!B:AA,24,0)," ")</f>
        <v> </v>
      </c>
      <c r="CA422" s="43"/>
      <c r="CB422" s="43"/>
      <c r="CC422" s="43"/>
      <c r="CD422" s="43"/>
      <c r="CE422" s="43"/>
      <c r="CF422" s="43"/>
      <c r="CG422" s="49" t="str">
        <f>IFERROR(VLOOKUP(C422,CC!A:D,4,0)," ")</f>
        <v> </v>
      </c>
      <c r="CH422" s="22" t="str">
        <f>IFERROR(VLOOKUP(C422,'спецификация'!B:AA,19,0)," ")</f>
        <v> </v>
      </c>
      <c r="CI422" s="22"/>
      <c r="CJ422" s="43"/>
      <c r="CK422" s="22" t="str">
        <f>IFERROR(VLOOKUP(C422,CC!K:M,3,0)," ")</f>
        <v> </v>
      </c>
      <c r="CL422" s="43"/>
      <c r="CM422" s="43"/>
      <c r="CN422" s="43"/>
      <c r="CO422" s="43"/>
      <c r="CP422" s="43"/>
      <c r="CQ422" s="43"/>
      <c r="CR422" s="43"/>
      <c r="CS422" s="43" t="b">
        <v>0</v>
      </c>
      <c r="CT422" s="43" t="b">
        <v>0</v>
      </c>
      <c r="CU422" s="43" t="b">
        <v>0</v>
      </c>
      <c r="CV422" s="43" t="b">
        <v>0</v>
      </c>
      <c r="CW422" s="43"/>
      <c r="CX422" s="43"/>
      <c r="CY422" s="43"/>
      <c r="CZ422" s="43"/>
      <c r="DA422" s="43"/>
      <c r="DB422" s="43"/>
      <c r="DC422" s="43"/>
      <c r="DD422" s="22" t="str">
        <f>IFERROR(VLOOKUP($C422,'Лист4'!$D:$AI,27,0)," ")</f>
        <v> </v>
      </c>
      <c r="DE422" s="22" t="str">
        <f>IFERROR(VLOOKUP($C422,'Лист4'!$D:$AI,28,0)," ")</f>
        <v> </v>
      </c>
      <c r="DF422" s="22" t="str">
        <f>IFERROR(VLOOKUP($C422,'Лист4'!$D:$AI,29,0)," ")</f>
        <v> </v>
      </c>
      <c r="DG422" s="22" t="str">
        <f t="shared" si="3"/>
        <v> </v>
      </c>
      <c r="DH422" s="22" t="str">
        <f>IFERROR(VLOOKUP($C422,'Лист4'!$D:$AI,32,0)," ")</f>
        <v> </v>
      </c>
      <c r="DI422" s="22"/>
      <c r="DJ422" s="22"/>
      <c r="DK422" s="22"/>
      <c r="DL422" s="22"/>
      <c r="DM422" s="22"/>
      <c r="DN422" s="22"/>
      <c r="DO422" s="22"/>
      <c r="DP422" s="22"/>
      <c r="DQ422" s="22"/>
      <c r="DR422" s="22"/>
      <c r="DS422" s="22"/>
      <c r="DT422" s="22"/>
      <c r="DU422" s="22"/>
      <c r="DV422" s="22"/>
      <c r="DW422" s="22"/>
      <c r="DX422" s="22"/>
      <c r="DY422" s="22"/>
      <c r="DZ422" s="22"/>
      <c r="EA422" s="22"/>
      <c r="EB422" s="22"/>
      <c r="EC422" s="22"/>
      <c r="ED422" s="22"/>
      <c r="EE422" s="22"/>
      <c r="EF422" s="22"/>
      <c r="EG422" s="22"/>
      <c r="EH422" s="22"/>
      <c r="EI422" s="22"/>
      <c r="EJ422" s="22"/>
      <c r="EK422" s="22"/>
      <c r="EL422" s="22"/>
      <c r="EM422" s="43"/>
      <c r="EN422" s="43"/>
      <c r="EO422" s="43"/>
      <c r="EP422" s="43"/>
      <c r="EQ422" s="43"/>
      <c r="ER422" s="43"/>
      <c r="ES422" s="43"/>
      <c r="ET422" s="43"/>
      <c r="EU422" s="43"/>
      <c r="EV422" s="43"/>
      <c r="EW422" s="43"/>
      <c r="EX422" s="43"/>
      <c r="EY422" s="43"/>
      <c r="EZ422" s="43"/>
      <c r="FA422" s="43"/>
      <c r="FB422" s="43"/>
      <c r="FC422" s="43"/>
    </row>
    <row r="423" ht="18.0" customHeight="1">
      <c r="A423" s="2"/>
      <c r="B423" s="22" t="str">
        <f>IFERROR(VLOOKUP(C423,'Реестр'!C:AC,27,0)," ")</f>
        <v> </v>
      </c>
      <c r="C423" s="43"/>
      <c r="D423" s="22" t="str">
        <f>IFERROR(VLOOKUP(C423,'Лист4'!D:P,13,0)," ")</f>
        <v> </v>
      </c>
      <c r="E423" s="22"/>
      <c r="F423" s="43"/>
      <c r="G423" s="43"/>
      <c r="H423" s="22" t="s">
        <v>401</v>
      </c>
      <c r="I423" s="22" t="s">
        <v>401</v>
      </c>
      <c r="J423" s="43"/>
      <c r="K423" s="43"/>
      <c r="L423" s="22"/>
      <c r="M423" s="22"/>
      <c r="N423" s="22"/>
      <c r="O423" s="22"/>
      <c r="P423" s="22"/>
      <c r="Q423" s="22"/>
      <c r="R423" s="22"/>
      <c r="S423" s="43"/>
      <c r="T423" s="43"/>
      <c r="U423" s="22" t="str">
        <f>IFERROR(VLOOKUP(T423,'Лист4'!C:I,3,0)," ")</f>
        <v> </v>
      </c>
      <c r="V423" s="22" t="str">
        <f>IFERROR(VLOOKUP(T423,'Лист4'!C:I,4,0)," ")</f>
        <v> </v>
      </c>
      <c r="W423" s="22" t="str">
        <f>IFERROR(VLOOKUP(T423,'Лист4'!C:I,5,0)," ")</f>
        <v> </v>
      </c>
      <c r="X423" s="43" t="str">
        <f>IFERROR(VLOOKUP(T423,'Лист4'!C:I,7,0)," ")</f>
        <v> </v>
      </c>
      <c r="Y423" s="43" t="str">
        <f>IFERROR(VLOOKUP(T423,'Лист4'!C:I,6,0)," ")</f>
        <v> </v>
      </c>
      <c r="Z423" s="43"/>
      <c r="AA423" s="43"/>
      <c r="AB423" s="22"/>
      <c r="AC423" s="22" t="str">
        <f>IFERROR(VLOOKUP(V423,'Лист4'!F:O,6,0)," ")</f>
        <v> </v>
      </c>
      <c r="AD423" s="22"/>
      <c r="AE423" s="22"/>
      <c r="AF423" s="22"/>
      <c r="AG423" s="43"/>
      <c r="AH423" s="43"/>
      <c r="AI423" s="43"/>
      <c r="AJ423" s="43"/>
      <c r="AK423" s="43"/>
      <c r="AL423" s="43"/>
      <c r="AM423" s="43"/>
      <c r="AN423" s="43"/>
      <c r="AO423" s="43"/>
      <c r="AP423" s="43"/>
      <c r="AQ423" s="43"/>
      <c r="AR423" s="43"/>
      <c r="AS423" s="43"/>
      <c r="AT423" s="43"/>
      <c r="AU423" s="43"/>
      <c r="AV423" s="43"/>
      <c r="AW423" s="43"/>
      <c r="AX423" s="22"/>
      <c r="AY423" s="22" t="str">
        <f>IFERROR(VLOOKUP(C423,'спецификация'!B:AA,25,0)," ")</f>
        <v> </v>
      </c>
      <c r="AZ423" s="43"/>
      <c r="BA423" s="43"/>
      <c r="BB423" s="43"/>
      <c r="BC423" s="43"/>
      <c r="BD423" s="43"/>
      <c r="BE423" s="43"/>
      <c r="BF423" s="22" t="str">
        <f>IFERROR(VLOOKUP(C423,'спецификация'!B:D,3,0)," ")</f>
        <v> </v>
      </c>
      <c r="BG423" s="22" t="str">
        <f>IFERROR(VLOOKUP(C423,'спецификация'!B:AA,4,0)," ")</f>
        <v> </v>
      </c>
      <c r="BH423" s="22" t="str">
        <f>IFERROR(VLOOKUP(C423,'спецификация'!B:AA,5,0)," ")</f>
        <v> </v>
      </c>
      <c r="BI423" s="22"/>
      <c r="BJ423" s="22" t="str">
        <f>IFERROR(VLOOKUP(C423,'спецификация'!B:AA,6,0)," ")</f>
        <v> </v>
      </c>
      <c r="BK423" s="43"/>
      <c r="BL423" s="43"/>
      <c r="BM423" s="22" t="str">
        <f>IFERROR(VLOOKUP(C423,'спецификация'!B:AA,7,0)," ")</f>
        <v> </v>
      </c>
      <c r="BN423" s="43"/>
      <c r="BO423" s="22" t="str">
        <f>IFERROR(VLOOKUP(C423,'спецификация'!B:AA,10,0)," ")</f>
        <v> </v>
      </c>
      <c r="BP423" s="43" t="str">
        <f>IFERROR(VLOOKUP(C423,'спецификация'!B:AA,11,0)," ")</f>
        <v> </v>
      </c>
      <c r="BQ423" s="22" t="str">
        <f>IFERROR(VLOOKUP(C423,'спецификация'!B:AA,12,0)," ")</f>
        <v> </v>
      </c>
      <c r="BR423" s="22"/>
      <c r="BS423" s="43"/>
      <c r="BT423" s="43"/>
      <c r="BU423" s="22"/>
      <c r="BV423" s="22" t="s">
        <v>401</v>
      </c>
      <c r="BW423" s="45" t="str">
        <f>IFERROR(VLOOKUP(C423,'спецификация'!B:AA,16,0)," ")</f>
        <v> </v>
      </c>
      <c r="BX423" s="43"/>
      <c r="BY423" s="43"/>
      <c r="BZ423" s="45" t="str">
        <f>IFERROR(VLOOKUP(C423,'спецификация'!B:AA,24,0)," ")</f>
        <v> </v>
      </c>
      <c r="CA423" s="43"/>
      <c r="CB423" s="43"/>
      <c r="CC423" s="43"/>
      <c r="CD423" s="43"/>
      <c r="CE423" s="43"/>
      <c r="CF423" s="43"/>
      <c r="CG423" s="49" t="str">
        <f>IFERROR(VLOOKUP(C423,CC!A:D,4,0)," ")</f>
        <v> </v>
      </c>
      <c r="CH423" s="22" t="str">
        <f>IFERROR(VLOOKUP(C423,'спецификация'!B:AA,19,0)," ")</f>
        <v> </v>
      </c>
      <c r="CI423" s="22"/>
      <c r="CJ423" s="43"/>
      <c r="CK423" s="22" t="str">
        <f>IFERROR(VLOOKUP(C423,CC!K:M,3,0)," ")</f>
        <v> </v>
      </c>
      <c r="CL423" s="43"/>
      <c r="CM423" s="43"/>
      <c r="CN423" s="43"/>
      <c r="CO423" s="43"/>
      <c r="CP423" s="43"/>
      <c r="CQ423" s="43"/>
      <c r="CR423" s="43"/>
      <c r="CS423" s="43" t="b">
        <v>0</v>
      </c>
      <c r="CT423" s="43" t="b">
        <v>0</v>
      </c>
      <c r="CU423" s="43" t="b">
        <v>0</v>
      </c>
      <c r="CV423" s="43" t="b">
        <v>0</v>
      </c>
      <c r="CW423" s="43"/>
      <c r="CX423" s="43"/>
      <c r="CY423" s="43"/>
      <c r="CZ423" s="43"/>
      <c r="DA423" s="43"/>
      <c r="DB423" s="43"/>
      <c r="DC423" s="43"/>
      <c r="DD423" s="22" t="str">
        <f>IFERROR(VLOOKUP($C423,'Лист4'!$D:$AI,27,0)," ")</f>
        <v> </v>
      </c>
      <c r="DE423" s="22" t="str">
        <f>IFERROR(VLOOKUP($C423,'Лист4'!$D:$AI,28,0)," ")</f>
        <v> </v>
      </c>
      <c r="DF423" s="22" t="str">
        <f>IFERROR(VLOOKUP($C423,'Лист4'!$D:$AI,29,0)," ")</f>
        <v> </v>
      </c>
      <c r="DG423" s="22" t="str">
        <f t="shared" si="3"/>
        <v> </v>
      </c>
      <c r="DH423" s="22" t="str">
        <f>IFERROR(VLOOKUP($C423,'Лист4'!$D:$AI,32,0)," ")</f>
        <v> </v>
      </c>
      <c r="DI423" s="22"/>
      <c r="DJ423" s="22"/>
      <c r="DK423" s="22"/>
      <c r="DL423" s="22"/>
      <c r="DM423" s="22"/>
      <c r="DN423" s="22"/>
      <c r="DO423" s="22"/>
      <c r="DP423" s="22"/>
      <c r="DQ423" s="22"/>
      <c r="DR423" s="22"/>
      <c r="DS423" s="22"/>
      <c r="DT423" s="22"/>
      <c r="DU423" s="22"/>
      <c r="DV423" s="22"/>
      <c r="DW423" s="22"/>
      <c r="DX423" s="22"/>
      <c r="DY423" s="22"/>
      <c r="DZ423" s="22"/>
      <c r="EA423" s="22"/>
      <c r="EB423" s="22"/>
      <c r="EC423" s="22"/>
      <c r="ED423" s="22"/>
      <c r="EE423" s="22"/>
      <c r="EF423" s="22"/>
      <c r="EG423" s="22"/>
      <c r="EH423" s="22"/>
      <c r="EI423" s="22"/>
      <c r="EJ423" s="22"/>
      <c r="EK423" s="22"/>
      <c r="EL423" s="22"/>
      <c r="EM423" s="43"/>
      <c r="EN423" s="43"/>
      <c r="EO423" s="43"/>
      <c r="EP423" s="43"/>
      <c r="EQ423" s="43"/>
      <c r="ER423" s="43"/>
      <c r="ES423" s="43"/>
      <c r="ET423" s="43"/>
      <c r="EU423" s="43"/>
      <c r="EV423" s="43"/>
      <c r="EW423" s="43"/>
      <c r="EX423" s="43"/>
      <c r="EY423" s="43"/>
      <c r="EZ423" s="43"/>
      <c r="FA423" s="43"/>
      <c r="FB423" s="43"/>
      <c r="FC423" s="43"/>
    </row>
    <row r="424" ht="18.0" customHeight="1">
      <c r="A424" s="2"/>
      <c r="B424" s="22" t="str">
        <f>IFERROR(VLOOKUP(C424,'Реестр'!C:AC,27,0)," ")</f>
        <v> </v>
      </c>
      <c r="C424" s="43"/>
      <c r="D424" s="22" t="str">
        <f>IFERROR(VLOOKUP(C424,'Лист4'!D:P,13,0)," ")</f>
        <v> </v>
      </c>
      <c r="E424" s="22"/>
      <c r="F424" s="43"/>
      <c r="G424" s="43"/>
      <c r="H424" s="22" t="s">
        <v>401</v>
      </c>
      <c r="I424" s="22" t="s">
        <v>401</v>
      </c>
      <c r="J424" s="43"/>
      <c r="K424" s="43"/>
      <c r="L424" s="22"/>
      <c r="M424" s="22"/>
      <c r="N424" s="22"/>
      <c r="O424" s="22"/>
      <c r="P424" s="22"/>
      <c r="Q424" s="22"/>
      <c r="R424" s="22"/>
      <c r="S424" s="43"/>
      <c r="T424" s="43"/>
      <c r="U424" s="22" t="str">
        <f>IFERROR(VLOOKUP(T424,'Лист4'!C:I,3,0)," ")</f>
        <v> </v>
      </c>
      <c r="V424" s="22" t="str">
        <f>IFERROR(VLOOKUP(T424,'Лист4'!C:I,4,0)," ")</f>
        <v> </v>
      </c>
      <c r="W424" s="22" t="str">
        <f>IFERROR(VLOOKUP(T424,'Лист4'!C:I,5,0)," ")</f>
        <v> </v>
      </c>
      <c r="X424" s="43" t="str">
        <f>IFERROR(VLOOKUP(T424,'Лист4'!C:I,7,0)," ")</f>
        <v> </v>
      </c>
      <c r="Y424" s="43" t="str">
        <f>IFERROR(VLOOKUP(T424,'Лист4'!C:I,6,0)," ")</f>
        <v> </v>
      </c>
      <c r="Z424" s="43"/>
      <c r="AA424" s="43"/>
      <c r="AB424" s="22"/>
      <c r="AC424" s="22" t="str">
        <f>IFERROR(VLOOKUP(V424,'Лист4'!F:O,6,0)," ")</f>
        <v> </v>
      </c>
      <c r="AD424" s="22"/>
      <c r="AE424" s="22"/>
      <c r="AF424" s="22"/>
      <c r="AG424" s="43"/>
      <c r="AH424" s="43"/>
      <c r="AI424" s="43"/>
      <c r="AJ424" s="43"/>
      <c r="AK424" s="43"/>
      <c r="AL424" s="43"/>
      <c r="AM424" s="43"/>
      <c r="AN424" s="43"/>
      <c r="AO424" s="43"/>
      <c r="AP424" s="43"/>
      <c r="AQ424" s="43"/>
      <c r="AR424" s="43"/>
      <c r="AS424" s="43"/>
      <c r="AT424" s="43"/>
      <c r="AU424" s="43"/>
      <c r="AV424" s="43"/>
      <c r="AW424" s="43"/>
      <c r="AX424" s="22"/>
      <c r="AY424" s="22" t="str">
        <f>IFERROR(VLOOKUP(C424,'спецификация'!B:AA,25,0)," ")</f>
        <v> </v>
      </c>
      <c r="AZ424" s="43"/>
      <c r="BA424" s="43"/>
      <c r="BB424" s="43"/>
      <c r="BC424" s="43"/>
      <c r="BD424" s="43"/>
      <c r="BE424" s="43"/>
      <c r="BF424" s="22" t="str">
        <f>IFERROR(VLOOKUP(C424,'спецификация'!B:D,3,0)," ")</f>
        <v> </v>
      </c>
      <c r="BG424" s="22" t="str">
        <f>IFERROR(VLOOKUP(C424,'спецификация'!B:AA,4,0)," ")</f>
        <v> </v>
      </c>
      <c r="BH424" s="22" t="str">
        <f>IFERROR(VLOOKUP(C424,'спецификация'!B:AA,5,0)," ")</f>
        <v> </v>
      </c>
      <c r="BI424" s="22"/>
      <c r="BJ424" s="22" t="str">
        <f>IFERROR(VLOOKUP(C424,'спецификация'!B:AA,6,0)," ")</f>
        <v> </v>
      </c>
      <c r="BK424" s="43"/>
      <c r="BL424" s="43"/>
      <c r="BM424" s="22" t="str">
        <f>IFERROR(VLOOKUP(C424,'спецификация'!B:AA,7,0)," ")</f>
        <v> </v>
      </c>
      <c r="BN424" s="43"/>
      <c r="BO424" s="22" t="str">
        <f>IFERROR(VLOOKUP(C424,'спецификация'!B:AA,10,0)," ")</f>
        <v> </v>
      </c>
      <c r="BP424" s="43" t="str">
        <f>IFERROR(VLOOKUP(C424,'спецификация'!B:AA,11,0)," ")</f>
        <v> </v>
      </c>
      <c r="BQ424" s="22" t="str">
        <f>IFERROR(VLOOKUP(C424,'спецификация'!B:AA,12,0)," ")</f>
        <v> </v>
      </c>
      <c r="BR424" s="22"/>
      <c r="BS424" s="43"/>
      <c r="BT424" s="43"/>
      <c r="BU424" s="22"/>
      <c r="BV424" s="22" t="s">
        <v>401</v>
      </c>
      <c r="BW424" s="45" t="str">
        <f>IFERROR(VLOOKUP(C424,'спецификация'!B:AA,16,0)," ")</f>
        <v> </v>
      </c>
      <c r="BX424" s="43"/>
      <c r="BY424" s="43"/>
      <c r="BZ424" s="45" t="str">
        <f>IFERROR(VLOOKUP(C424,'спецификация'!B:AA,24,0)," ")</f>
        <v> </v>
      </c>
      <c r="CA424" s="43"/>
      <c r="CB424" s="43"/>
      <c r="CC424" s="43"/>
      <c r="CD424" s="43"/>
      <c r="CE424" s="43"/>
      <c r="CF424" s="43"/>
      <c r="CG424" s="49" t="str">
        <f>IFERROR(VLOOKUP(C424,CC!A:D,4,0)," ")</f>
        <v> </v>
      </c>
      <c r="CH424" s="22" t="str">
        <f>IFERROR(VLOOKUP(C424,'спецификация'!B:AA,19,0)," ")</f>
        <v> </v>
      </c>
      <c r="CI424" s="22"/>
      <c r="CJ424" s="43"/>
      <c r="CK424" s="22" t="str">
        <f>IFERROR(VLOOKUP(C424,CC!K:M,3,0)," ")</f>
        <v> </v>
      </c>
      <c r="CL424" s="43"/>
      <c r="CM424" s="43"/>
      <c r="CN424" s="43"/>
      <c r="CO424" s="43"/>
      <c r="CP424" s="43"/>
      <c r="CQ424" s="43"/>
      <c r="CR424" s="43"/>
      <c r="CS424" s="43" t="b">
        <v>0</v>
      </c>
      <c r="CT424" s="43" t="b">
        <v>0</v>
      </c>
      <c r="CU424" s="43" t="b">
        <v>0</v>
      </c>
      <c r="CV424" s="43" t="b">
        <v>0</v>
      </c>
      <c r="CW424" s="43"/>
      <c r="CX424" s="43"/>
      <c r="CY424" s="43"/>
      <c r="CZ424" s="43"/>
      <c r="DA424" s="43"/>
      <c r="DB424" s="43"/>
      <c r="DC424" s="43"/>
      <c r="DD424" s="22" t="str">
        <f>IFERROR(VLOOKUP($C424,'Лист4'!$D:$AI,27,0)," ")</f>
        <v> </v>
      </c>
      <c r="DE424" s="22" t="str">
        <f>IFERROR(VLOOKUP($C424,'Лист4'!$D:$AI,28,0)," ")</f>
        <v> </v>
      </c>
      <c r="DF424" s="22" t="str">
        <f>IFERROR(VLOOKUP($C424,'Лист4'!$D:$AI,29,0)," ")</f>
        <v> </v>
      </c>
      <c r="DG424" s="22" t="str">
        <f t="shared" si="3"/>
        <v> </v>
      </c>
      <c r="DH424" s="22" t="str">
        <f>IFERROR(VLOOKUP($C424,'Лист4'!$D:$AI,32,0)," ")</f>
        <v> </v>
      </c>
      <c r="DI424" s="22"/>
      <c r="DJ424" s="22"/>
      <c r="DK424" s="22"/>
      <c r="DL424" s="22"/>
      <c r="DM424" s="22"/>
      <c r="DN424" s="22"/>
      <c r="DO424" s="22"/>
      <c r="DP424" s="22"/>
      <c r="DQ424" s="22"/>
      <c r="DR424" s="22"/>
      <c r="DS424" s="22"/>
      <c r="DT424" s="22"/>
      <c r="DU424" s="22"/>
      <c r="DV424" s="22"/>
      <c r="DW424" s="22"/>
      <c r="DX424" s="22"/>
      <c r="DY424" s="22"/>
      <c r="DZ424" s="22"/>
      <c r="EA424" s="22"/>
      <c r="EB424" s="22"/>
      <c r="EC424" s="22"/>
      <c r="ED424" s="22"/>
      <c r="EE424" s="22"/>
      <c r="EF424" s="22"/>
      <c r="EG424" s="22"/>
      <c r="EH424" s="22"/>
      <c r="EI424" s="22"/>
      <c r="EJ424" s="22"/>
      <c r="EK424" s="22"/>
      <c r="EL424" s="22"/>
      <c r="EM424" s="43"/>
      <c r="EN424" s="43"/>
      <c r="EO424" s="43"/>
      <c r="EP424" s="43"/>
      <c r="EQ424" s="43"/>
      <c r="ER424" s="43"/>
      <c r="ES424" s="43"/>
      <c r="ET424" s="43"/>
      <c r="EU424" s="43"/>
      <c r="EV424" s="43"/>
      <c r="EW424" s="43"/>
      <c r="EX424" s="43"/>
      <c r="EY424" s="43"/>
      <c r="EZ424" s="43"/>
      <c r="FA424" s="43"/>
      <c r="FB424" s="43"/>
      <c r="FC424" s="43"/>
    </row>
    <row r="425" ht="18.0" customHeight="1">
      <c r="A425" s="2"/>
      <c r="B425" s="22" t="str">
        <f>IFERROR(VLOOKUP(C425,'Реестр'!C:AC,27,0)," ")</f>
        <v> </v>
      </c>
      <c r="C425" s="43"/>
      <c r="D425" s="22" t="str">
        <f>IFERROR(VLOOKUP(C425,'Лист4'!D:P,13,0)," ")</f>
        <v> </v>
      </c>
      <c r="E425" s="22"/>
      <c r="F425" s="43"/>
      <c r="G425" s="43"/>
      <c r="H425" s="22" t="s">
        <v>401</v>
      </c>
      <c r="I425" s="22" t="s">
        <v>401</v>
      </c>
      <c r="J425" s="43"/>
      <c r="K425" s="43"/>
      <c r="L425" s="22"/>
      <c r="M425" s="22"/>
      <c r="N425" s="22"/>
      <c r="O425" s="22"/>
      <c r="P425" s="22"/>
      <c r="Q425" s="22"/>
      <c r="R425" s="22"/>
      <c r="S425" s="43"/>
      <c r="T425" s="43"/>
      <c r="U425" s="22" t="str">
        <f>IFERROR(VLOOKUP(T425,'Лист4'!C:I,3,0)," ")</f>
        <v> </v>
      </c>
      <c r="V425" s="22" t="str">
        <f>IFERROR(VLOOKUP(T425,'Лист4'!C:I,4,0)," ")</f>
        <v> </v>
      </c>
      <c r="W425" s="22" t="str">
        <f>IFERROR(VLOOKUP(T425,'Лист4'!C:I,5,0)," ")</f>
        <v> </v>
      </c>
      <c r="X425" s="43" t="str">
        <f>IFERROR(VLOOKUP(T425,'Лист4'!C:I,7,0)," ")</f>
        <v> </v>
      </c>
      <c r="Y425" s="43" t="str">
        <f>IFERROR(VLOOKUP(T425,'Лист4'!C:I,6,0)," ")</f>
        <v> </v>
      </c>
      <c r="Z425" s="43"/>
      <c r="AA425" s="43"/>
      <c r="AB425" s="22"/>
      <c r="AC425" s="22" t="str">
        <f>IFERROR(VLOOKUP(V425,'Лист4'!F:O,6,0)," ")</f>
        <v> </v>
      </c>
      <c r="AD425" s="22"/>
      <c r="AE425" s="22"/>
      <c r="AF425" s="22"/>
      <c r="AG425" s="43"/>
      <c r="AH425" s="43"/>
      <c r="AI425" s="43"/>
      <c r="AJ425" s="43"/>
      <c r="AK425" s="43"/>
      <c r="AL425" s="43"/>
      <c r="AM425" s="43"/>
      <c r="AN425" s="43"/>
      <c r="AO425" s="43"/>
      <c r="AP425" s="43"/>
      <c r="AQ425" s="43"/>
      <c r="AR425" s="43"/>
      <c r="AS425" s="43"/>
      <c r="AT425" s="43"/>
      <c r="AU425" s="43"/>
      <c r="AV425" s="43"/>
      <c r="AW425" s="43"/>
      <c r="AX425" s="22"/>
      <c r="AY425" s="22" t="str">
        <f>IFERROR(VLOOKUP(C425,'спецификация'!B:AA,25,0)," ")</f>
        <v> </v>
      </c>
      <c r="AZ425" s="43"/>
      <c r="BA425" s="43"/>
      <c r="BB425" s="43"/>
      <c r="BC425" s="43"/>
      <c r="BD425" s="43"/>
      <c r="BE425" s="43"/>
      <c r="BF425" s="22" t="str">
        <f>IFERROR(VLOOKUP(C425,'спецификация'!B:D,3,0)," ")</f>
        <v> </v>
      </c>
      <c r="BG425" s="22" t="str">
        <f>IFERROR(VLOOKUP(C425,'спецификация'!B:AA,4,0)," ")</f>
        <v> </v>
      </c>
      <c r="BH425" s="22" t="str">
        <f>IFERROR(VLOOKUP(C425,'спецификация'!B:AA,5,0)," ")</f>
        <v> </v>
      </c>
      <c r="BI425" s="22"/>
      <c r="BJ425" s="22" t="str">
        <f>IFERROR(VLOOKUP(C425,'спецификация'!B:AA,6,0)," ")</f>
        <v> </v>
      </c>
      <c r="BK425" s="43"/>
      <c r="BL425" s="43"/>
      <c r="BM425" s="22" t="str">
        <f>IFERROR(VLOOKUP(C425,'спецификация'!B:AA,7,0)," ")</f>
        <v> </v>
      </c>
      <c r="BN425" s="43"/>
      <c r="BO425" s="22" t="str">
        <f>IFERROR(VLOOKUP(C425,'спецификация'!B:AA,10,0)," ")</f>
        <v> </v>
      </c>
      <c r="BP425" s="43" t="str">
        <f>IFERROR(VLOOKUP(C425,'спецификация'!B:AA,11,0)," ")</f>
        <v> </v>
      </c>
      <c r="BQ425" s="22" t="str">
        <f>IFERROR(VLOOKUP(C425,'спецификация'!B:AA,12,0)," ")</f>
        <v> </v>
      </c>
      <c r="BR425" s="22"/>
      <c r="BS425" s="43"/>
      <c r="BT425" s="43"/>
      <c r="BU425" s="22"/>
      <c r="BV425" s="22" t="s">
        <v>401</v>
      </c>
      <c r="BW425" s="45" t="str">
        <f>IFERROR(VLOOKUP(C425,'спецификация'!B:AA,16,0)," ")</f>
        <v> </v>
      </c>
      <c r="BX425" s="43"/>
      <c r="BY425" s="43"/>
      <c r="BZ425" s="45" t="str">
        <f>IFERROR(VLOOKUP(C425,'спецификация'!B:AA,24,0)," ")</f>
        <v> </v>
      </c>
      <c r="CA425" s="43"/>
      <c r="CB425" s="43"/>
      <c r="CC425" s="43"/>
      <c r="CD425" s="43"/>
      <c r="CE425" s="43"/>
      <c r="CF425" s="43"/>
      <c r="CG425" s="49" t="str">
        <f>IFERROR(VLOOKUP(C425,CC!A:D,4,0)," ")</f>
        <v> </v>
      </c>
      <c r="CH425" s="22" t="str">
        <f>IFERROR(VLOOKUP(C425,'спецификация'!B:AA,19,0)," ")</f>
        <v> </v>
      </c>
      <c r="CI425" s="22"/>
      <c r="CJ425" s="43"/>
      <c r="CK425" s="22" t="str">
        <f>IFERROR(VLOOKUP(C425,CC!K:M,3,0)," ")</f>
        <v> </v>
      </c>
      <c r="CL425" s="43"/>
      <c r="CM425" s="43"/>
      <c r="CN425" s="43"/>
      <c r="CO425" s="43"/>
      <c r="CP425" s="43"/>
      <c r="CQ425" s="43"/>
      <c r="CR425" s="43"/>
      <c r="CS425" s="43" t="b">
        <v>0</v>
      </c>
      <c r="CT425" s="43" t="b">
        <v>0</v>
      </c>
      <c r="CU425" s="43" t="b">
        <v>0</v>
      </c>
      <c r="CV425" s="43" t="b">
        <v>0</v>
      </c>
      <c r="CW425" s="43"/>
      <c r="CX425" s="43"/>
      <c r="CY425" s="43"/>
      <c r="CZ425" s="43"/>
      <c r="DA425" s="43"/>
      <c r="DB425" s="43"/>
      <c r="DC425" s="43"/>
      <c r="DD425" s="22" t="str">
        <f>IFERROR(VLOOKUP($C425,'Лист4'!$D:$AI,27,0)," ")</f>
        <v> </v>
      </c>
      <c r="DE425" s="22" t="str">
        <f>IFERROR(VLOOKUP($C425,'Лист4'!$D:$AI,28,0)," ")</f>
        <v> </v>
      </c>
      <c r="DF425" s="22" t="str">
        <f>IFERROR(VLOOKUP($C425,'Лист4'!$D:$AI,29,0)," ")</f>
        <v> </v>
      </c>
      <c r="DG425" s="22" t="str">
        <f t="shared" si="3"/>
        <v> </v>
      </c>
      <c r="DH425" s="22" t="str">
        <f>IFERROR(VLOOKUP($C425,'Лист4'!$D:$AI,32,0)," ")</f>
        <v> </v>
      </c>
      <c r="DI425" s="22"/>
      <c r="DJ425" s="22"/>
      <c r="DK425" s="22"/>
      <c r="DL425" s="22"/>
      <c r="DM425" s="22"/>
      <c r="DN425" s="22"/>
      <c r="DO425" s="22"/>
      <c r="DP425" s="22"/>
      <c r="DQ425" s="22"/>
      <c r="DR425" s="22"/>
      <c r="DS425" s="22"/>
      <c r="DT425" s="22"/>
      <c r="DU425" s="22"/>
      <c r="DV425" s="22"/>
      <c r="DW425" s="22"/>
      <c r="DX425" s="22"/>
      <c r="DY425" s="22"/>
      <c r="DZ425" s="22"/>
      <c r="EA425" s="22"/>
      <c r="EB425" s="22"/>
      <c r="EC425" s="22"/>
      <c r="ED425" s="22"/>
      <c r="EE425" s="22"/>
      <c r="EF425" s="22"/>
      <c r="EG425" s="22"/>
      <c r="EH425" s="22"/>
      <c r="EI425" s="22"/>
      <c r="EJ425" s="22"/>
      <c r="EK425" s="22"/>
      <c r="EL425" s="22"/>
      <c r="EM425" s="43"/>
      <c r="EN425" s="43"/>
      <c r="EO425" s="43"/>
      <c r="EP425" s="43"/>
      <c r="EQ425" s="43"/>
      <c r="ER425" s="43"/>
      <c r="ES425" s="43"/>
      <c r="ET425" s="43"/>
      <c r="EU425" s="43"/>
      <c r="EV425" s="43"/>
      <c r="EW425" s="43"/>
      <c r="EX425" s="43"/>
      <c r="EY425" s="43"/>
      <c r="EZ425" s="43"/>
      <c r="FA425" s="43"/>
      <c r="FB425" s="43"/>
      <c r="FC425" s="43"/>
    </row>
    <row r="426" ht="18.0" customHeight="1">
      <c r="A426" s="2"/>
      <c r="B426" s="22" t="str">
        <f>IFERROR(VLOOKUP(C426,'Реестр'!C:AC,27,0)," ")</f>
        <v> </v>
      </c>
      <c r="C426" s="43"/>
      <c r="D426" s="22" t="str">
        <f>IFERROR(VLOOKUP(C426,'Лист4'!D:P,13,0)," ")</f>
        <v> </v>
      </c>
      <c r="E426" s="22"/>
      <c r="F426" s="43"/>
      <c r="G426" s="43"/>
      <c r="H426" s="22" t="s">
        <v>401</v>
      </c>
      <c r="I426" s="22" t="s">
        <v>401</v>
      </c>
      <c r="J426" s="43"/>
      <c r="K426" s="43"/>
      <c r="L426" s="22"/>
      <c r="M426" s="22"/>
      <c r="N426" s="22"/>
      <c r="O426" s="22"/>
      <c r="P426" s="22"/>
      <c r="Q426" s="22"/>
      <c r="R426" s="22"/>
      <c r="S426" s="43"/>
      <c r="T426" s="43"/>
      <c r="U426" s="22" t="str">
        <f>IFERROR(VLOOKUP(T426,'Лист4'!C:I,3,0)," ")</f>
        <v> </v>
      </c>
      <c r="V426" s="22" t="str">
        <f>IFERROR(VLOOKUP(T426,'Лист4'!C:I,4,0)," ")</f>
        <v> </v>
      </c>
      <c r="W426" s="22" t="str">
        <f>IFERROR(VLOOKUP(T426,'Лист4'!C:I,5,0)," ")</f>
        <v> </v>
      </c>
      <c r="X426" s="43" t="str">
        <f>IFERROR(VLOOKUP(T426,'Лист4'!C:I,7,0)," ")</f>
        <v> </v>
      </c>
      <c r="Y426" s="43" t="str">
        <f>IFERROR(VLOOKUP(T426,'Лист4'!C:I,6,0)," ")</f>
        <v> </v>
      </c>
      <c r="Z426" s="43"/>
      <c r="AA426" s="43"/>
      <c r="AB426" s="22"/>
      <c r="AC426" s="22" t="str">
        <f>IFERROR(VLOOKUP(V426,'Лист4'!F:O,6,0)," ")</f>
        <v> </v>
      </c>
      <c r="AD426" s="22"/>
      <c r="AE426" s="22"/>
      <c r="AF426" s="22"/>
      <c r="AG426" s="43"/>
      <c r="AH426" s="43"/>
      <c r="AI426" s="43"/>
      <c r="AJ426" s="43"/>
      <c r="AK426" s="43"/>
      <c r="AL426" s="43"/>
      <c r="AM426" s="43"/>
      <c r="AN426" s="43"/>
      <c r="AO426" s="43"/>
      <c r="AP426" s="43"/>
      <c r="AQ426" s="43"/>
      <c r="AR426" s="43"/>
      <c r="AS426" s="43"/>
      <c r="AT426" s="43"/>
      <c r="AU426" s="43"/>
      <c r="AV426" s="43"/>
      <c r="AW426" s="43"/>
      <c r="AX426" s="22"/>
      <c r="AY426" s="22" t="str">
        <f>IFERROR(VLOOKUP(C426,'спецификация'!B:AA,25,0)," ")</f>
        <v> </v>
      </c>
      <c r="AZ426" s="43"/>
      <c r="BA426" s="43"/>
      <c r="BB426" s="43"/>
      <c r="BC426" s="43"/>
      <c r="BD426" s="43"/>
      <c r="BE426" s="43"/>
      <c r="BF426" s="22" t="str">
        <f>IFERROR(VLOOKUP(C426,'спецификация'!B:D,3,0)," ")</f>
        <v> </v>
      </c>
      <c r="BG426" s="22" t="str">
        <f>IFERROR(VLOOKUP(C426,'спецификация'!B:AA,4,0)," ")</f>
        <v> </v>
      </c>
      <c r="BH426" s="22" t="str">
        <f>IFERROR(VLOOKUP(C426,'спецификация'!B:AA,5,0)," ")</f>
        <v> </v>
      </c>
      <c r="BI426" s="22"/>
      <c r="BJ426" s="22" t="str">
        <f>IFERROR(VLOOKUP(C426,'спецификация'!B:AA,6,0)," ")</f>
        <v> </v>
      </c>
      <c r="BK426" s="43"/>
      <c r="BL426" s="43"/>
      <c r="BM426" s="22" t="str">
        <f>IFERROR(VLOOKUP(C426,'спецификация'!B:AA,7,0)," ")</f>
        <v> </v>
      </c>
      <c r="BN426" s="43"/>
      <c r="BO426" s="22" t="str">
        <f>IFERROR(VLOOKUP(C426,'спецификация'!B:AA,10,0)," ")</f>
        <v> </v>
      </c>
      <c r="BP426" s="43" t="str">
        <f>IFERROR(VLOOKUP(C426,'спецификация'!B:AA,11,0)," ")</f>
        <v> </v>
      </c>
      <c r="BQ426" s="22" t="str">
        <f>IFERROR(VLOOKUP(C426,'спецификация'!B:AA,12,0)," ")</f>
        <v> </v>
      </c>
      <c r="BR426" s="22"/>
      <c r="BS426" s="43"/>
      <c r="BT426" s="43"/>
      <c r="BU426" s="22"/>
      <c r="BV426" s="22" t="s">
        <v>401</v>
      </c>
      <c r="BW426" s="45" t="str">
        <f>IFERROR(VLOOKUP(C426,'спецификация'!B:AA,16,0)," ")</f>
        <v> </v>
      </c>
      <c r="BX426" s="43"/>
      <c r="BY426" s="43"/>
      <c r="BZ426" s="45" t="str">
        <f>IFERROR(VLOOKUP(C426,'спецификация'!B:AA,24,0)," ")</f>
        <v> </v>
      </c>
      <c r="CA426" s="43"/>
      <c r="CB426" s="43"/>
      <c r="CC426" s="43"/>
      <c r="CD426" s="43"/>
      <c r="CE426" s="43"/>
      <c r="CF426" s="43"/>
      <c r="CG426" s="49" t="str">
        <f>IFERROR(VLOOKUP(C426,CC!A:D,4,0)," ")</f>
        <v> </v>
      </c>
      <c r="CH426" s="22" t="str">
        <f>IFERROR(VLOOKUP(C426,'спецификация'!B:AA,19,0)," ")</f>
        <v> </v>
      </c>
      <c r="CI426" s="22"/>
      <c r="CJ426" s="43"/>
      <c r="CK426" s="22" t="str">
        <f>IFERROR(VLOOKUP(C426,CC!K:M,3,0)," ")</f>
        <v> </v>
      </c>
      <c r="CL426" s="43"/>
      <c r="CM426" s="43"/>
      <c r="CN426" s="43"/>
      <c r="CO426" s="43"/>
      <c r="CP426" s="43"/>
      <c r="CQ426" s="43"/>
      <c r="CR426" s="43"/>
      <c r="CS426" s="43" t="b">
        <v>0</v>
      </c>
      <c r="CT426" s="43" t="b">
        <v>0</v>
      </c>
      <c r="CU426" s="43" t="b">
        <v>0</v>
      </c>
      <c r="CV426" s="43" t="b">
        <v>0</v>
      </c>
      <c r="CW426" s="43"/>
      <c r="CX426" s="43"/>
      <c r="CY426" s="43"/>
      <c r="CZ426" s="43"/>
      <c r="DA426" s="43"/>
      <c r="DB426" s="43"/>
      <c r="DC426" s="43"/>
      <c r="DD426" s="22" t="str">
        <f>IFERROR(VLOOKUP($C426,'Лист4'!$D:$AI,27,0)," ")</f>
        <v> </v>
      </c>
      <c r="DE426" s="22" t="str">
        <f>IFERROR(VLOOKUP($C426,'Лист4'!$D:$AI,28,0)," ")</f>
        <v> </v>
      </c>
      <c r="DF426" s="22" t="str">
        <f>IFERROR(VLOOKUP($C426,'Лист4'!$D:$AI,29,0)," ")</f>
        <v> </v>
      </c>
      <c r="DG426" s="22" t="str">
        <f t="shared" si="3"/>
        <v> </v>
      </c>
      <c r="DH426" s="22" t="str">
        <f>IFERROR(VLOOKUP($C426,'Лист4'!$D:$AI,32,0)," ")</f>
        <v> </v>
      </c>
      <c r="DI426" s="22"/>
      <c r="DJ426" s="22"/>
      <c r="DK426" s="22"/>
      <c r="DL426" s="22"/>
      <c r="DM426" s="22"/>
      <c r="DN426" s="22"/>
      <c r="DO426" s="22"/>
      <c r="DP426" s="22"/>
      <c r="DQ426" s="22"/>
      <c r="DR426" s="22"/>
      <c r="DS426" s="22"/>
      <c r="DT426" s="22"/>
      <c r="DU426" s="22"/>
      <c r="DV426" s="22"/>
      <c r="DW426" s="22"/>
      <c r="DX426" s="22"/>
      <c r="DY426" s="22"/>
      <c r="DZ426" s="22"/>
      <c r="EA426" s="22"/>
      <c r="EB426" s="22"/>
      <c r="EC426" s="22"/>
      <c r="ED426" s="22"/>
      <c r="EE426" s="22"/>
      <c r="EF426" s="22"/>
      <c r="EG426" s="22"/>
      <c r="EH426" s="22"/>
      <c r="EI426" s="22"/>
      <c r="EJ426" s="22"/>
      <c r="EK426" s="22"/>
      <c r="EL426" s="22"/>
      <c r="EM426" s="43"/>
      <c r="EN426" s="43"/>
      <c r="EO426" s="43"/>
      <c r="EP426" s="43"/>
      <c r="EQ426" s="43"/>
      <c r="ER426" s="43"/>
      <c r="ES426" s="43"/>
      <c r="ET426" s="43"/>
      <c r="EU426" s="43"/>
      <c r="EV426" s="43"/>
      <c r="EW426" s="43"/>
      <c r="EX426" s="43"/>
      <c r="EY426" s="43"/>
      <c r="EZ426" s="43"/>
      <c r="FA426" s="43"/>
      <c r="FB426" s="43"/>
      <c r="FC426" s="43"/>
    </row>
    <row r="427" ht="18.0" customHeight="1">
      <c r="A427" s="2"/>
      <c r="B427" s="22" t="str">
        <f>IFERROR(VLOOKUP(C427,'Реестр'!C:AC,27,0)," ")</f>
        <v> </v>
      </c>
      <c r="C427" s="43"/>
      <c r="D427" s="22" t="str">
        <f>IFERROR(VLOOKUP(C427,'Лист4'!D:P,13,0)," ")</f>
        <v> </v>
      </c>
      <c r="E427" s="22"/>
      <c r="F427" s="43"/>
      <c r="G427" s="43"/>
      <c r="H427" s="22" t="s">
        <v>401</v>
      </c>
      <c r="I427" s="22" t="s">
        <v>401</v>
      </c>
      <c r="J427" s="43"/>
      <c r="K427" s="43"/>
      <c r="L427" s="22"/>
      <c r="M427" s="22"/>
      <c r="N427" s="22"/>
      <c r="O427" s="22"/>
      <c r="P427" s="22"/>
      <c r="Q427" s="22"/>
      <c r="R427" s="22"/>
      <c r="S427" s="43"/>
      <c r="T427" s="43"/>
      <c r="U427" s="22" t="str">
        <f>IFERROR(VLOOKUP(T427,'Лист4'!C:I,3,0)," ")</f>
        <v> </v>
      </c>
      <c r="V427" s="22" t="str">
        <f>IFERROR(VLOOKUP(T427,'Лист4'!C:I,4,0)," ")</f>
        <v> </v>
      </c>
      <c r="W427" s="22" t="str">
        <f>IFERROR(VLOOKUP(T427,'Лист4'!C:I,5,0)," ")</f>
        <v> </v>
      </c>
      <c r="X427" s="43" t="str">
        <f>IFERROR(VLOOKUP(T427,'Лист4'!C:I,7,0)," ")</f>
        <v> </v>
      </c>
      <c r="Y427" s="43" t="str">
        <f>IFERROR(VLOOKUP(T427,'Лист4'!C:I,6,0)," ")</f>
        <v> </v>
      </c>
      <c r="Z427" s="43"/>
      <c r="AA427" s="43"/>
      <c r="AB427" s="22"/>
      <c r="AC427" s="22" t="str">
        <f>IFERROR(VLOOKUP(V427,'Лист4'!F:O,6,0)," ")</f>
        <v> </v>
      </c>
      <c r="AD427" s="22"/>
      <c r="AE427" s="22"/>
      <c r="AF427" s="22"/>
      <c r="AG427" s="43"/>
      <c r="AH427" s="43"/>
      <c r="AI427" s="43"/>
      <c r="AJ427" s="43"/>
      <c r="AK427" s="43"/>
      <c r="AL427" s="43"/>
      <c r="AM427" s="43"/>
      <c r="AN427" s="43"/>
      <c r="AO427" s="43"/>
      <c r="AP427" s="43"/>
      <c r="AQ427" s="43"/>
      <c r="AR427" s="43"/>
      <c r="AS427" s="43"/>
      <c r="AT427" s="43"/>
      <c r="AU427" s="43"/>
      <c r="AV427" s="43"/>
      <c r="AW427" s="43"/>
      <c r="AX427" s="22"/>
      <c r="AY427" s="22" t="str">
        <f>IFERROR(VLOOKUP(C427,'спецификация'!B:AA,25,0)," ")</f>
        <v> </v>
      </c>
      <c r="AZ427" s="43"/>
      <c r="BA427" s="43"/>
      <c r="BB427" s="43"/>
      <c r="BC427" s="43"/>
      <c r="BD427" s="43"/>
      <c r="BE427" s="43"/>
      <c r="BF427" s="22" t="str">
        <f>IFERROR(VLOOKUP(C427,'спецификация'!B:D,3,0)," ")</f>
        <v> </v>
      </c>
      <c r="BG427" s="22" t="str">
        <f>IFERROR(VLOOKUP(C427,'спецификация'!B:AA,4,0)," ")</f>
        <v> </v>
      </c>
      <c r="BH427" s="22" t="str">
        <f>IFERROR(VLOOKUP(C427,'спецификация'!B:AA,5,0)," ")</f>
        <v> </v>
      </c>
      <c r="BI427" s="22"/>
      <c r="BJ427" s="22" t="str">
        <f>IFERROR(VLOOKUP(C427,'спецификация'!B:AA,6,0)," ")</f>
        <v> </v>
      </c>
      <c r="BK427" s="43"/>
      <c r="BL427" s="43"/>
      <c r="BM427" s="22" t="str">
        <f>IFERROR(VLOOKUP(C427,'спецификация'!B:AA,7,0)," ")</f>
        <v> </v>
      </c>
      <c r="BN427" s="43"/>
      <c r="BO427" s="22" t="str">
        <f>IFERROR(VLOOKUP(C427,'спецификация'!B:AA,10,0)," ")</f>
        <v> </v>
      </c>
      <c r="BP427" s="43" t="str">
        <f>IFERROR(VLOOKUP(C427,'спецификация'!B:AA,11,0)," ")</f>
        <v> </v>
      </c>
      <c r="BQ427" s="22" t="str">
        <f>IFERROR(VLOOKUP(C427,'спецификация'!B:AA,12,0)," ")</f>
        <v> </v>
      </c>
      <c r="BR427" s="22"/>
      <c r="BS427" s="43"/>
      <c r="BT427" s="43"/>
      <c r="BU427" s="22"/>
      <c r="BV427" s="22" t="s">
        <v>401</v>
      </c>
      <c r="BW427" s="45" t="str">
        <f>IFERROR(VLOOKUP(C427,'спецификация'!B:AA,16,0)," ")</f>
        <v> </v>
      </c>
      <c r="BX427" s="43"/>
      <c r="BY427" s="43"/>
      <c r="BZ427" s="45" t="str">
        <f>IFERROR(VLOOKUP(C427,'спецификация'!B:AA,24,0)," ")</f>
        <v> </v>
      </c>
      <c r="CA427" s="43"/>
      <c r="CB427" s="43"/>
      <c r="CC427" s="43"/>
      <c r="CD427" s="43"/>
      <c r="CE427" s="43"/>
      <c r="CF427" s="43"/>
      <c r="CG427" s="49" t="str">
        <f>IFERROR(VLOOKUP(C427,CC!A:D,4,0)," ")</f>
        <v> </v>
      </c>
      <c r="CH427" s="22" t="str">
        <f>IFERROR(VLOOKUP(C427,'спецификация'!B:AA,19,0)," ")</f>
        <v> </v>
      </c>
      <c r="CI427" s="22"/>
      <c r="CJ427" s="43"/>
      <c r="CK427" s="22" t="str">
        <f>IFERROR(VLOOKUP(C427,CC!K:M,3,0)," ")</f>
        <v> </v>
      </c>
      <c r="CL427" s="43"/>
      <c r="CM427" s="43"/>
      <c r="CN427" s="43"/>
      <c r="CO427" s="43"/>
      <c r="CP427" s="43"/>
      <c r="CQ427" s="43"/>
      <c r="CR427" s="43"/>
      <c r="CS427" s="43" t="b">
        <v>0</v>
      </c>
      <c r="CT427" s="43" t="b">
        <v>0</v>
      </c>
      <c r="CU427" s="43" t="b">
        <v>0</v>
      </c>
      <c r="CV427" s="43" t="b">
        <v>0</v>
      </c>
      <c r="CW427" s="43"/>
      <c r="CX427" s="43"/>
      <c r="CY427" s="43"/>
      <c r="CZ427" s="43"/>
      <c r="DA427" s="43"/>
      <c r="DB427" s="43"/>
      <c r="DC427" s="43"/>
      <c r="DD427" s="22" t="str">
        <f>IFERROR(VLOOKUP($C427,'Лист4'!$D:$AI,27,0)," ")</f>
        <v> </v>
      </c>
      <c r="DE427" s="22" t="str">
        <f>IFERROR(VLOOKUP($C427,'Лист4'!$D:$AI,28,0)," ")</f>
        <v> </v>
      </c>
      <c r="DF427" s="22" t="str">
        <f>IFERROR(VLOOKUP($C427,'Лист4'!$D:$AI,29,0)," ")</f>
        <v> </v>
      </c>
      <c r="DG427" s="22" t="str">
        <f t="shared" si="3"/>
        <v> </v>
      </c>
      <c r="DH427" s="22" t="str">
        <f>IFERROR(VLOOKUP($C427,'Лист4'!$D:$AI,32,0)," ")</f>
        <v> </v>
      </c>
      <c r="DI427" s="22"/>
      <c r="DJ427" s="22"/>
      <c r="DK427" s="22"/>
      <c r="DL427" s="22"/>
      <c r="DM427" s="22"/>
      <c r="DN427" s="22"/>
      <c r="DO427" s="22"/>
      <c r="DP427" s="22"/>
      <c r="DQ427" s="22"/>
      <c r="DR427" s="22"/>
      <c r="DS427" s="22"/>
      <c r="DT427" s="22"/>
      <c r="DU427" s="22"/>
      <c r="DV427" s="22"/>
      <c r="DW427" s="22"/>
      <c r="DX427" s="22"/>
      <c r="DY427" s="22"/>
      <c r="DZ427" s="22"/>
      <c r="EA427" s="22"/>
      <c r="EB427" s="22"/>
      <c r="EC427" s="22"/>
      <c r="ED427" s="22"/>
      <c r="EE427" s="22"/>
      <c r="EF427" s="22"/>
      <c r="EG427" s="22"/>
      <c r="EH427" s="22"/>
      <c r="EI427" s="22"/>
      <c r="EJ427" s="22"/>
      <c r="EK427" s="22"/>
      <c r="EL427" s="22"/>
      <c r="EM427" s="43"/>
      <c r="EN427" s="43"/>
      <c r="EO427" s="43"/>
      <c r="EP427" s="43"/>
      <c r="EQ427" s="43"/>
      <c r="ER427" s="43"/>
      <c r="ES427" s="43"/>
      <c r="ET427" s="43"/>
      <c r="EU427" s="43"/>
      <c r="EV427" s="43"/>
      <c r="EW427" s="43"/>
      <c r="EX427" s="43"/>
      <c r="EY427" s="43"/>
      <c r="EZ427" s="43"/>
      <c r="FA427" s="43"/>
      <c r="FB427" s="43"/>
      <c r="FC427" s="43"/>
    </row>
    <row r="428" ht="18.0" customHeight="1">
      <c r="A428" s="2"/>
      <c r="B428" s="22" t="str">
        <f>IFERROR(VLOOKUP(C428,'Реестр'!C:AC,27,0)," ")</f>
        <v> </v>
      </c>
      <c r="C428" s="43"/>
      <c r="D428" s="22" t="str">
        <f>IFERROR(VLOOKUP(C428,'Лист4'!D:P,13,0)," ")</f>
        <v> </v>
      </c>
      <c r="E428" s="22"/>
      <c r="F428" s="43"/>
      <c r="G428" s="43"/>
      <c r="H428" s="22" t="s">
        <v>401</v>
      </c>
      <c r="I428" s="22" t="s">
        <v>401</v>
      </c>
      <c r="J428" s="43"/>
      <c r="K428" s="43"/>
      <c r="L428" s="22"/>
      <c r="M428" s="22"/>
      <c r="N428" s="22"/>
      <c r="O428" s="22"/>
      <c r="P428" s="22"/>
      <c r="Q428" s="22"/>
      <c r="R428" s="22"/>
      <c r="S428" s="43"/>
      <c r="T428" s="43"/>
      <c r="U428" s="22" t="str">
        <f>IFERROR(VLOOKUP(T428,'Лист4'!C:I,3,0)," ")</f>
        <v> </v>
      </c>
      <c r="V428" s="22" t="str">
        <f>IFERROR(VLOOKUP(T428,'Лист4'!C:I,4,0)," ")</f>
        <v> </v>
      </c>
      <c r="W428" s="22" t="str">
        <f>IFERROR(VLOOKUP(T428,'Лист4'!C:I,5,0)," ")</f>
        <v> </v>
      </c>
      <c r="X428" s="43" t="str">
        <f>IFERROR(VLOOKUP(T428,'Лист4'!C:I,7,0)," ")</f>
        <v> </v>
      </c>
      <c r="Y428" s="43" t="str">
        <f>IFERROR(VLOOKUP(T428,'Лист4'!C:I,6,0)," ")</f>
        <v> </v>
      </c>
      <c r="Z428" s="43"/>
      <c r="AA428" s="43"/>
      <c r="AB428" s="22"/>
      <c r="AC428" s="22" t="str">
        <f>IFERROR(VLOOKUP(V428,'Лист4'!F:O,6,0)," ")</f>
        <v> </v>
      </c>
      <c r="AD428" s="22"/>
      <c r="AE428" s="22"/>
      <c r="AF428" s="22" t="str">
        <f>IFERROR(VLOOKUP(Y428,'Лист4'!H:N,6,0)," ")</f>
        <v> </v>
      </c>
      <c r="AG428" s="43"/>
      <c r="AH428" s="43"/>
      <c r="AI428" s="43"/>
      <c r="AJ428" s="43"/>
      <c r="AK428" s="43"/>
      <c r="AL428" s="43"/>
      <c r="AM428" s="43"/>
      <c r="AN428" s="43"/>
      <c r="AO428" s="43"/>
      <c r="AP428" s="43"/>
      <c r="AQ428" s="43"/>
      <c r="AR428" s="43"/>
      <c r="AS428" s="43"/>
      <c r="AT428" s="43"/>
      <c r="AU428" s="43"/>
      <c r="AV428" s="43"/>
      <c r="AW428" s="43"/>
      <c r="AX428" s="22"/>
      <c r="AY428" s="22" t="str">
        <f>IFERROR(VLOOKUP(C428,'спецификация'!B:AA,25,0)," ")</f>
        <v> </v>
      </c>
      <c r="AZ428" s="43"/>
      <c r="BA428" s="43"/>
      <c r="BB428" s="43"/>
      <c r="BC428" s="43"/>
      <c r="BD428" s="43"/>
      <c r="BE428" s="43"/>
      <c r="BF428" s="22" t="str">
        <f>IFERROR(VLOOKUP(C428,'спецификация'!B:D,3,0)," ")</f>
        <v> </v>
      </c>
      <c r="BG428" s="22" t="str">
        <f>IFERROR(VLOOKUP(C428,'спецификация'!B:AA,4,0)," ")</f>
        <v> </v>
      </c>
      <c r="BH428" s="22" t="str">
        <f>IFERROR(VLOOKUP(C428,'спецификация'!B:AA,5,0)," ")</f>
        <v> </v>
      </c>
      <c r="BI428" s="22"/>
      <c r="BJ428" s="22" t="str">
        <f>IFERROR(VLOOKUP(C428,'спецификация'!B:AA,6,0)," ")</f>
        <v> </v>
      </c>
      <c r="BK428" s="43"/>
      <c r="BL428" s="43"/>
      <c r="BM428" s="22" t="str">
        <f>IFERROR(VLOOKUP(C428,'спецификация'!B:AA,7,0)," ")</f>
        <v> </v>
      </c>
      <c r="BN428" s="43"/>
      <c r="BO428" s="22" t="str">
        <f>IFERROR(VLOOKUP(C428,'спецификация'!B:AA,10,0)," ")</f>
        <v> </v>
      </c>
      <c r="BP428" s="43" t="str">
        <f>IFERROR(VLOOKUP(C428,'спецификация'!B:AA,11,0)," ")</f>
        <v> </v>
      </c>
      <c r="BQ428" s="22" t="str">
        <f>IFERROR(VLOOKUP(C428,'спецификация'!B:AA,12,0)," ")</f>
        <v> </v>
      </c>
      <c r="BR428" s="22"/>
      <c r="BS428" s="43"/>
      <c r="BT428" s="43"/>
      <c r="BU428" s="22"/>
      <c r="BV428" s="22" t="s">
        <v>401</v>
      </c>
      <c r="BW428" s="45" t="str">
        <f>IFERROR(VLOOKUP(C428,'спецификация'!B:AA,16,0)," ")</f>
        <v> </v>
      </c>
      <c r="BX428" s="43"/>
      <c r="BY428" s="43"/>
      <c r="BZ428" s="45" t="str">
        <f>IFERROR(VLOOKUP(C428,'спецификация'!B:AA,24,0)," ")</f>
        <v> </v>
      </c>
      <c r="CA428" s="43"/>
      <c r="CB428" s="43"/>
      <c r="CC428" s="43"/>
      <c r="CD428" s="43"/>
      <c r="CE428" s="43"/>
      <c r="CF428" s="43"/>
      <c r="CG428" s="49" t="str">
        <f>IFERROR(VLOOKUP(C428,CC!A:D,4,0)," ")</f>
        <v> </v>
      </c>
      <c r="CH428" s="22" t="str">
        <f>IFERROR(VLOOKUP(C428,'спецификация'!B:AA,19,0)," ")</f>
        <v> </v>
      </c>
      <c r="CI428" s="22"/>
      <c r="CJ428" s="43"/>
      <c r="CK428" s="22" t="str">
        <f>IFERROR(VLOOKUP(C428,CC!K:M,3,0)," ")</f>
        <v> </v>
      </c>
      <c r="CL428" s="43"/>
      <c r="CM428" s="43"/>
      <c r="CN428" s="43"/>
      <c r="CO428" s="43"/>
      <c r="CP428" s="43"/>
      <c r="CQ428" s="43"/>
      <c r="CR428" s="43"/>
      <c r="CS428" s="43" t="b">
        <v>0</v>
      </c>
      <c r="CT428" s="43" t="b">
        <v>0</v>
      </c>
      <c r="CU428" s="43" t="b">
        <v>0</v>
      </c>
      <c r="CV428" s="43" t="b">
        <v>0</v>
      </c>
      <c r="CW428" s="43"/>
      <c r="CX428" s="43"/>
      <c r="CY428" s="43"/>
      <c r="CZ428" s="43"/>
      <c r="DA428" s="43"/>
      <c r="DB428" s="43"/>
      <c r="DC428" s="43"/>
      <c r="DD428" s="22" t="str">
        <f>IFERROR(VLOOKUP($C428,'Лист4'!$D:$AI,27,0)," ")</f>
        <v> </v>
      </c>
      <c r="DE428" s="22" t="str">
        <f>IFERROR(VLOOKUP($C428,'Лист4'!$D:$AI,28,0)," ")</f>
        <v> </v>
      </c>
      <c r="DF428" s="22" t="str">
        <f>IFERROR(VLOOKUP($C428,'Лист4'!$D:$AI,29,0)," ")</f>
        <v> </v>
      </c>
      <c r="DG428" s="22" t="str">
        <f t="shared" si="3"/>
        <v> </v>
      </c>
      <c r="DH428" s="22" t="str">
        <f>IFERROR(VLOOKUP($C428,'Лист4'!$D:$AI,32,0)," ")</f>
        <v> </v>
      </c>
      <c r="DI428" s="22"/>
      <c r="DJ428" s="22"/>
      <c r="DK428" s="22"/>
      <c r="DL428" s="22"/>
      <c r="DM428" s="22"/>
      <c r="DN428" s="22"/>
      <c r="DO428" s="22"/>
      <c r="DP428" s="22"/>
      <c r="DQ428" s="22"/>
      <c r="DR428" s="22"/>
      <c r="DS428" s="22"/>
      <c r="DT428" s="22"/>
      <c r="DU428" s="22"/>
      <c r="DV428" s="22"/>
      <c r="DW428" s="22"/>
      <c r="DX428" s="22"/>
      <c r="DY428" s="22"/>
      <c r="DZ428" s="22"/>
      <c r="EA428" s="22"/>
      <c r="EB428" s="22"/>
      <c r="EC428" s="22"/>
      <c r="ED428" s="22"/>
      <c r="EE428" s="22"/>
      <c r="EF428" s="22"/>
      <c r="EG428" s="22"/>
      <c r="EH428" s="22"/>
      <c r="EI428" s="22"/>
      <c r="EJ428" s="22"/>
      <c r="EK428" s="22"/>
      <c r="EL428" s="22"/>
      <c r="EM428" s="43"/>
      <c r="EN428" s="43"/>
      <c r="EO428" s="43"/>
      <c r="EP428" s="43"/>
      <c r="EQ428" s="43"/>
      <c r="ER428" s="43"/>
      <c r="ES428" s="43"/>
      <c r="ET428" s="43"/>
      <c r="EU428" s="43"/>
      <c r="EV428" s="43"/>
      <c r="EW428" s="43"/>
      <c r="EX428" s="43"/>
      <c r="EY428" s="43"/>
      <c r="EZ428" s="43"/>
      <c r="FA428" s="43"/>
      <c r="FB428" s="43"/>
      <c r="FC428" s="43"/>
    </row>
    <row r="429" ht="18.0" customHeight="1">
      <c r="A429" s="2"/>
      <c r="B429" s="22" t="str">
        <f>IFERROR(VLOOKUP(C429,'Реестр'!C:AC,27,0)," ")</f>
        <v> </v>
      </c>
      <c r="C429" s="43"/>
      <c r="D429" s="22" t="str">
        <f>IFERROR(VLOOKUP(C429,'Лист4'!D:P,13,0)," ")</f>
        <v> </v>
      </c>
      <c r="E429" s="22"/>
      <c r="F429" s="43"/>
      <c r="G429" s="43"/>
      <c r="H429" s="22" t="s">
        <v>401</v>
      </c>
      <c r="I429" s="22" t="s">
        <v>401</v>
      </c>
      <c r="J429" s="43"/>
      <c r="K429" s="43"/>
      <c r="L429" s="22"/>
      <c r="M429" s="22"/>
      <c r="N429" s="22"/>
      <c r="O429" s="22"/>
      <c r="P429" s="22"/>
      <c r="Q429" s="22"/>
      <c r="R429" s="22"/>
      <c r="S429" s="43"/>
      <c r="T429" s="43"/>
      <c r="U429" s="22" t="str">
        <f>IFERROR(VLOOKUP(T429,'Лист4'!C:I,3,0)," ")</f>
        <v> </v>
      </c>
      <c r="V429" s="22" t="str">
        <f>IFERROR(VLOOKUP(T429,'Лист4'!C:I,4,0)," ")</f>
        <v> </v>
      </c>
      <c r="W429" s="22" t="str">
        <f>IFERROR(VLOOKUP(T429,'Лист4'!C:I,5,0)," ")</f>
        <v> </v>
      </c>
      <c r="X429" s="43" t="str">
        <f>IFERROR(VLOOKUP(T429,'Лист4'!C:I,7,0)," ")</f>
        <v> </v>
      </c>
      <c r="Y429" s="43" t="str">
        <f>IFERROR(VLOOKUP(T429,'Лист4'!C:I,6,0)," ")</f>
        <v> </v>
      </c>
      <c r="Z429" s="43"/>
      <c r="AA429" s="43"/>
      <c r="AB429" s="22"/>
      <c r="AC429" s="22" t="str">
        <f>IFERROR(VLOOKUP(V429,'Лист4'!F:O,6,0)," ")</f>
        <v> </v>
      </c>
      <c r="AD429" s="22"/>
      <c r="AE429" s="22"/>
      <c r="AF429" s="22" t="str">
        <f>IFERROR(VLOOKUP(Y429,'Лист4'!H:N,6,0)," ")</f>
        <v> </v>
      </c>
      <c r="AG429" s="43"/>
      <c r="AH429" s="43"/>
      <c r="AI429" s="43"/>
      <c r="AJ429" s="43"/>
      <c r="AK429" s="43"/>
      <c r="AL429" s="43"/>
      <c r="AM429" s="43"/>
      <c r="AN429" s="43"/>
      <c r="AO429" s="43"/>
      <c r="AP429" s="43"/>
      <c r="AQ429" s="43"/>
      <c r="AR429" s="43"/>
      <c r="AS429" s="43"/>
      <c r="AT429" s="43"/>
      <c r="AU429" s="43"/>
      <c r="AV429" s="43"/>
      <c r="AW429" s="43"/>
      <c r="AX429" s="22"/>
      <c r="AY429" s="22" t="str">
        <f>IFERROR(VLOOKUP(C429,'спецификация'!B:AA,25,0)," ")</f>
        <v> </v>
      </c>
      <c r="AZ429" s="43"/>
      <c r="BA429" s="43"/>
      <c r="BB429" s="43"/>
      <c r="BC429" s="43"/>
      <c r="BD429" s="43"/>
      <c r="BE429" s="43"/>
      <c r="BF429" s="22" t="str">
        <f>IFERROR(VLOOKUP(C429,'спецификация'!B:D,3,0)," ")</f>
        <v> </v>
      </c>
      <c r="BG429" s="22" t="str">
        <f>IFERROR(VLOOKUP(C429,'спецификация'!B:AA,4,0)," ")</f>
        <v> </v>
      </c>
      <c r="BH429" s="22" t="str">
        <f>IFERROR(VLOOKUP(C429,'спецификация'!B:AA,5,0)," ")</f>
        <v> </v>
      </c>
      <c r="BI429" s="22"/>
      <c r="BJ429" s="22" t="str">
        <f>IFERROR(VLOOKUP(C429,'спецификация'!B:AA,6,0)," ")</f>
        <v> </v>
      </c>
      <c r="BK429" s="43"/>
      <c r="BL429" s="43"/>
      <c r="BM429" s="22" t="str">
        <f>IFERROR(VLOOKUP(C429,'спецификация'!B:AA,7,0)," ")</f>
        <v> </v>
      </c>
      <c r="BN429" s="43"/>
      <c r="BO429" s="22" t="str">
        <f>IFERROR(VLOOKUP(C429,'спецификация'!B:AA,10,0)," ")</f>
        <v> </v>
      </c>
      <c r="BP429" s="43" t="str">
        <f>IFERROR(VLOOKUP(C429,'спецификация'!B:AA,11,0)," ")</f>
        <v> </v>
      </c>
      <c r="BQ429" s="22" t="str">
        <f>IFERROR(VLOOKUP(C429,'спецификация'!B:AA,12,0)," ")</f>
        <v> </v>
      </c>
      <c r="BR429" s="22"/>
      <c r="BS429" s="43"/>
      <c r="BT429" s="43"/>
      <c r="BU429" s="22"/>
      <c r="BV429" s="22" t="s">
        <v>401</v>
      </c>
      <c r="BW429" s="45" t="str">
        <f>IFERROR(VLOOKUP(C429,'спецификация'!B:AA,16,0)," ")</f>
        <v> </v>
      </c>
      <c r="BX429" s="43"/>
      <c r="BY429" s="43"/>
      <c r="BZ429" s="45" t="str">
        <f>IFERROR(VLOOKUP(C429,'спецификация'!B:AA,24,0)," ")</f>
        <v> </v>
      </c>
      <c r="CA429" s="43"/>
      <c r="CB429" s="43"/>
      <c r="CC429" s="43"/>
      <c r="CD429" s="43"/>
      <c r="CE429" s="43"/>
      <c r="CF429" s="43"/>
      <c r="CG429" s="49" t="str">
        <f>IFERROR(VLOOKUP(C429,CC!A:D,4,0)," ")</f>
        <v> </v>
      </c>
      <c r="CH429" s="22" t="str">
        <f>IFERROR(VLOOKUP(C429,'спецификация'!B:AA,19,0)," ")</f>
        <v> </v>
      </c>
      <c r="CI429" s="22"/>
      <c r="CJ429" s="43"/>
      <c r="CK429" s="22" t="str">
        <f>IFERROR(VLOOKUP(C429,CC!K:M,3,0)," ")</f>
        <v> </v>
      </c>
      <c r="CL429" s="43"/>
      <c r="CM429" s="43"/>
      <c r="CN429" s="43"/>
      <c r="CO429" s="43"/>
      <c r="CP429" s="43"/>
      <c r="CQ429" s="43"/>
      <c r="CR429" s="43"/>
      <c r="CS429" s="43" t="b">
        <v>0</v>
      </c>
      <c r="CT429" s="43" t="b">
        <v>0</v>
      </c>
      <c r="CU429" s="43" t="b">
        <v>0</v>
      </c>
      <c r="CV429" s="43" t="b">
        <v>0</v>
      </c>
      <c r="CW429" s="43"/>
      <c r="CX429" s="43"/>
      <c r="CY429" s="43"/>
      <c r="CZ429" s="43"/>
      <c r="DA429" s="43"/>
      <c r="DB429" s="43"/>
      <c r="DC429" s="43"/>
      <c r="DD429" s="22" t="str">
        <f>IFERROR(VLOOKUP($C429,'Лист4'!$D:$AI,27,0)," ")</f>
        <v> </v>
      </c>
      <c r="DE429" s="22" t="str">
        <f>IFERROR(VLOOKUP($C429,'Лист4'!$D:$AI,28,0)," ")</f>
        <v> </v>
      </c>
      <c r="DF429" s="22" t="str">
        <f>IFERROR(VLOOKUP($C429,'Лист4'!$D:$AI,29,0)," ")</f>
        <v> </v>
      </c>
      <c r="DG429" s="22" t="str">
        <f t="shared" si="3"/>
        <v> </v>
      </c>
      <c r="DH429" s="22" t="str">
        <f>IFERROR(VLOOKUP($C429,'Лист4'!$D:$AI,32,0)," ")</f>
        <v> </v>
      </c>
      <c r="DI429" s="22"/>
      <c r="DJ429" s="22"/>
      <c r="DK429" s="22"/>
      <c r="DL429" s="22"/>
      <c r="DM429" s="22"/>
      <c r="DN429" s="22"/>
      <c r="DO429" s="22"/>
      <c r="DP429" s="22"/>
      <c r="DQ429" s="22"/>
      <c r="DR429" s="22"/>
      <c r="DS429" s="22"/>
      <c r="DT429" s="22"/>
      <c r="DU429" s="22"/>
      <c r="DV429" s="22"/>
      <c r="DW429" s="22"/>
      <c r="DX429" s="22"/>
      <c r="DY429" s="22"/>
      <c r="DZ429" s="22"/>
      <c r="EA429" s="22"/>
      <c r="EB429" s="22"/>
      <c r="EC429" s="22"/>
      <c r="ED429" s="22"/>
      <c r="EE429" s="22"/>
      <c r="EF429" s="22"/>
      <c r="EG429" s="22"/>
      <c r="EH429" s="22"/>
      <c r="EI429" s="22"/>
      <c r="EJ429" s="22"/>
      <c r="EK429" s="22"/>
      <c r="EL429" s="22"/>
      <c r="EM429" s="43"/>
      <c r="EN429" s="43"/>
      <c r="EO429" s="43"/>
      <c r="EP429" s="43"/>
      <c r="EQ429" s="43"/>
      <c r="ER429" s="43"/>
      <c r="ES429" s="43"/>
      <c r="ET429" s="43"/>
      <c r="EU429" s="43"/>
      <c r="EV429" s="43"/>
      <c r="EW429" s="43"/>
      <c r="EX429" s="43"/>
      <c r="EY429" s="43"/>
      <c r="EZ429" s="43"/>
      <c r="FA429" s="43"/>
      <c r="FB429" s="43"/>
      <c r="FC429" s="43"/>
    </row>
    <row r="430" ht="18.0" customHeight="1">
      <c r="A430" s="2"/>
      <c r="B430" s="22" t="str">
        <f>IFERROR(VLOOKUP(C430,'Реестр'!C:AC,27,0)," ")</f>
        <v> </v>
      </c>
      <c r="C430" s="43"/>
      <c r="D430" s="22" t="str">
        <f>IFERROR(VLOOKUP(C430,'Лист4'!D:P,13,0)," ")</f>
        <v> </v>
      </c>
      <c r="E430" s="22"/>
      <c r="F430" s="43"/>
      <c r="G430" s="43"/>
      <c r="H430" s="22" t="s">
        <v>401</v>
      </c>
      <c r="I430" s="22" t="s">
        <v>401</v>
      </c>
      <c r="J430" s="43"/>
      <c r="K430" s="43"/>
      <c r="L430" s="22"/>
      <c r="M430" s="22"/>
      <c r="N430" s="22"/>
      <c r="O430" s="22"/>
      <c r="P430" s="22"/>
      <c r="Q430" s="22"/>
      <c r="R430" s="22"/>
      <c r="S430" s="43"/>
      <c r="T430" s="43"/>
      <c r="U430" s="22" t="str">
        <f>IFERROR(VLOOKUP(T430,'Лист4'!C:I,3,0)," ")</f>
        <v> </v>
      </c>
      <c r="V430" s="22" t="str">
        <f>IFERROR(VLOOKUP(T430,'Лист4'!C:I,4,0)," ")</f>
        <v> </v>
      </c>
      <c r="W430" s="22" t="str">
        <f>IFERROR(VLOOKUP(T430,'Лист4'!C:I,5,0)," ")</f>
        <v> </v>
      </c>
      <c r="X430" s="43" t="str">
        <f>IFERROR(VLOOKUP(T430,'Лист4'!C:I,7,0)," ")</f>
        <v> </v>
      </c>
      <c r="Y430" s="43" t="str">
        <f>IFERROR(VLOOKUP(T430,'Лист4'!C:I,6,0)," ")</f>
        <v> </v>
      </c>
      <c r="Z430" s="43"/>
      <c r="AA430" s="43"/>
      <c r="AB430" s="22"/>
      <c r="AC430" s="22" t="str">
        <f>IFERROR(VLOOKUP(V430,'Лист4'!F:O,6,0)," ")</f>
        <v> </v>
      </c>
      <c r="AD430" s="22"/>
      <c r="AE430" s="22"/>
      <c r="AF430" s="22" t="str">
        <f>IFERROR(VLOOKUP(Y430,'Лист4'!H:N,6,0)," ")</f>
        <v> </v>
      </c>
      <c r="AG430" s="43"/>
      <c r="AH430" s="43"/>
      <c r="AI430" s="43"/>
      <c r="AJ430" s="43"/>
      <c r="AK430" s="43"/>
      <c r="AL430" s="43"/>
      <c r="AM430" s="43"/>
      <c r="AN430" s="43"/>
      <c r="AO430" s="43"/>
      <c r="AP430" s="43"/>
      <c r="AQ430" s="43"/>
      <c r="AR430" s="43"/>
      <c r="AS430" s="43"/>
      <c r="AT430" s="43"/>
      <c r="AU430" s="43"/>
      <c r="AV430" s="43"/>
      <c r="AW430" s="43"/>
      <c r="AX430" s="22"/>
      <c r="AY430" s="22" t="str">
        <f>IFERROR(VLOOKUP(C430,'спецификация'!B:AA,25,0)," ")</f>
        <v> </v>
      </c>
      <c r="AZ430" s="43"/>
      <c r="BA430" s="43"/>
      <c r="BB430" s="43"/>
      <c r="BC430" s="43"/>
      <c r="BD430" s="43"/>
      <c r="BE430" s="43"/>
      <c r="BF430" s="22" t="str">
        <f>IFERROR(VLOOKUP(C430,'спецификация'!B:D,3,0)," ")</f>
        <v> </v>
      </c>
      <c r="BG430" s="22" t="str">
        <f>IFERROR(VLOOKUP(C430,'спецификация'!B:AA,4,0)," ")</f>
        <v> </v>
      </c>
      <c r="BH430" s="22" t="str">
        <f>IFERROR(VLOOKUP(C430,'спецификация'!B:AA,5,0)," ")</f>
        <v> </v>
      </c>
      <c r="BI430" s="22"/>
      <c r="BJ430" s="22" t="str">
        <f>IFERROR(VLOOKUP(C430,'спецификация'!B:AA,6,0)," ")</f>
        <v> </v>
      </c>
      <c r="BK430" s="43"/>
      <c r="BL430" s="43"/>
      <c r="BM430" s="22" t="str">
        <f>IFERROR(VLOOKUP(C430,'спецификация'!B:AA,7,0)," ")</f>
        <v> </v>
      </c>
      <c r="BN430" s="43"/>
      <c r="BO430" s="22" t="str">
        <f>IFERROR(VLOOKUP(C430,'спецификация'!B:AA,10,0)," ")</f>
        <v> </v>
      </c>
      <c r="BP430" s="43" t="str">
        <f>IFERROR(VLOOKUP(C430,'спецификация'!B:AA,11,0)," ")</f>
        <v> </v>
      </c>
      <c r="BQ430" s="22" t="str">
        <f>IFERROR(VLOOKUP(C430,'спецификация'!B:AA,12,0)," ")</f>
        <v> </v>
      </c>
      <c r="BR430" s="22"/>
      <c r="BS430" s="43"/>
      <c r="BT430" s="43"/>
      <c r="BU430" s="22"/>
      <c r="BV430" s="22" t="s">
        <v>401</v>
      </c>
      <c r="BW430" s="45" t="str">
        <f>IFERROR(VLOOKUP(C430,'спецификация'!B:AA,16,0)," ")</f>
        <v> </v>
      </c>
      <c r="BX430" s="43"/>
      <c r="BY430" s="43"/>
      <c r="BZ430" s="45" t="str">
        <f>IFERROR(VLOOKUP(C430,'спецификация'!B:AA,24,0)," ")</f>
        <v> </v>
      </c>
      <c r="CA430" s="43"/>
      <c r="CB430" s="43"/>
      <c r="CC430" s="43"/>
      <c r="CD430" s="43"/>
      <c r="CE430" s="43"/>
      <c r="CF430" s="43"/>
      <c r="CG430" s="49" t="str">
        <f>IFERROR(VLOOKUP(C430,CC!A:D,4,0)," ")</f>
        <v> </v>
      </c>
      <c r="CH430" s="22" t="str">
        <f>IFERROR(VLOOKUP(C430,'спецификация'!B:AA,19,0)," ")</f>
        <v> </v>
      </c>
      <c r="CI430" s="22"/>
      <c r="CJ430" s="43"/>
      <c r="CK430" s="22" t="str">
        <f>IFERROR(VLOOKUP(C430,CC!K:M,3,0)," ")</f>
        <v> </v>
      </c>
      <c r="CL430" s="43"/>
      <c r="CM430" s="43"/>
      <c r="CN430" s="43"/>
      <c r="CO430" s="43"/>
      <c r="CP430" s="43"/>
      <c r="CQ430" s="43"/>
      <c r="CR430" s="43"/>
      <c r="CS430" s="43" t="b">
        <v>0</v>
      </c>
      <c r="CT430" s="43" t="b">
        <v>0</v>
      </c>
      <c r="CU430" s="43" t="b">
        <v>0</v>
      </c>
      <c r="CV430" s="43" t="b">
        <v>0</v>
      </c>
      <c r="CW430" s="43"/>
      <c r="CX430" s="43"/>
      <c r="CY430" s="43"/>
      <c r="CZ430" s="43"/>
      <c r="DA430" s="43"/>
      <c r="DB430" s="43"/>
      <c r="DC430" s="43"/>
      <c r="DD430" s="22" t="str">
        <f>IFERROR(VLOOKUP($C430,'Лист4'!$D:$AI,27,0)," ")</f>
        <v> </v>
      </c>
      <c r="DE430" s="22" t="str">
        <f>IFERROR(VLOOKUP($C430,'Лист4'!$D:$AI,28,0)," ")</f>
        <v> </v>
      </c>
      <c r="DF430" s="22" t="str">
        <f>IFERROR(VLOOKUP($C430,'Лист4'!$D:$AI,29,0)," ")</f>
        <v> </v>
      </c>
      <c r="DG430" s="22" t="str">
        <f t="shared" si="3"/>
        <v> </v>
      </c>
      <c r="DH430" s="22" t="str">
        <f>IFERROR(VLOOKUP($C430,'Лист4'!$D:$AI,32,0)," ")</f>
        <v> </v>
      </c>
      <c r="DI430" s="22"/>
      <c r="DJ430" s="22"/>
      <c r="DK430" s="22"/>
      <c r="DL430" s="22"/>
      <c r="DM430" s="22"/>
      <c r="DN430" s="22"/>
      <c r="DO430" s="22"/>
      <c r="DP430" s="22"/>
      <c r="DQ430" s="22"/>
      <c r="DR430" s="22"/>
      <c r="DS430" s="22"/>
      <c r="DT430" s="22"/>
      <c r="DU430" s="22"/>
      <c r="DV430" s="22"/>
      <c r="DW430" s="22"/>
      <c r="DX430" s="22"/>
      <c r="DY430" s="22"/>
      <c r="DZ430" s="22"/>
      <c r="EA430" s="22"/>
      <c r="EB430" s="22"/>
      <c r="EC430" s="22"/>
      <c r="ED430" s="22"/>
      <c r="EE430" s="22"/>
      <c r="EF430" s="22"/>
      <c r="EG430" s="22"/>
      <c r="EH430" s="22"/>
      <c r="EI430" s="22"/>
      <c r="EJ430" s="22"/>
      <c r="EK430" s="22"/>
      <c r="EL430" s="22"/>
      <c r="EM430" s="43"/>
      <c r="EN430" s="43"/>
      <c r="EO430" s="43"/>
      <c r="EP430" s="43"/>
      <c r="EQ430" s="43"/>
      <c r="ER430" s="43"/>
      <c r="ES430" s="43"/>
      <c r="ET430" s="43"/>
      <c r="EU430" s="43"/>
      <c r="EV430" s="43"/>
      <c r="EW430" s="43"/>
      <c r="EX430" s="43"/>
      <c r="EY430" s="43"/>
      <c r="EZ430" s="43"/>
      <c r="FA430" s="43"/>
      <c r="FB430" s="43"/>
      <c r="FC430" s="43"/>
    </row>
    <row r="431" ht="18.0" customHeight="1">
      <c r="A431" s="2"/>
      <c r="B431" s="22" t="str">
        <f>IFERROR(VLOOKUP(C431,'Реестр'!C:AC,27,0)," ")</f>
        <v> </v>
      </c>
      <c r="C431" s="43"/>
      <c r="D431" s="22" t="str">
        <f>IFERROR(VLOOKUP(C431,'Лист4'!D:P,13,0)," ")</f>
        <v> </v>
      </c>
      <c r="E431" s="22"/>
      <c r="F431" s="43"/>
      <c r="G431" s="43"/>
      <c r="H431" s="22" t="s">
        <v>401</v>
      </c>
      <c r="I431" s="22" t="s">
        <v>401</v>
      </c>
      <c r="J431" s="43"/>
      <c r="K431" s="43"/>
      <c r="L431" s="22"/>
      <c r="M431" s="22"/>
      <c r="N431" s="22"/>
      <c r="O431" s="22"/>
      <c r="P431" s="22"/>
      <c r="Q431" s="22"/>
      <c r="R431" s="22"/>
      <c r="S431" s="43"/>
      <c r="T431" s="43"/>
      <c r="U431" s="22" t="str">
        <f>IFERROR(VLOOKUP(T431,'Лист4'!C:I,3,0)," ")</f>
        <v> </v>
      </c>
      <c r="V431" s="22" t="str">
        <f>IFERROR(VLOOKUP(T431,'Лист4'!C:I,4,0)," ")</f>
        <v> </v>
      </c>
      <c r="W431" s="22" t="str">
        <f>IFERROR(VLOOKUP(T431,'Лист4'!C:I,5,0)," ")</f>
        <v> </v>
      </c>
      <c r="X431" s="43" t="str">
        <f>IFERROR(VLOOKUP(T431,'Лист4'!C:I,7,0)," ")</f>
        <v> </v>
      </c>
      <c r="Y431" s="43" t="str">
        <f>IFERROR(VLOOKUP(T431,'Лист4'!C:I,6,0)," ")</f>
        <v> </v>
      </c>
      <c r="Z431" s="43"/>
      <c r="AA431" s="43"/>
      <c r="AB431" s="22"/>
      <c r="AC431" s="22" t="str">
        <f>IFERROR(VLOOKUP(V431,'Лист4'!F:O,6,0)," ")</f>
        <v> </v>
      </c>
      <c r="AD431" s="22"/>
      <c r="AE431" s="22"/>
      <c r="AF431" s="22" t="str">
        <f>IFERROR(VLOOKUP(Y431,'Лист4'!H:N,6,0)," ")</f>
        <v> </v>
      </c>
      <c r="AG431" s="43"/>
      <c r="AH431" s="43"/>
      <c r="AI431" s="43"/>
      <c r="AJ431" s="43"/>
      <c r="AK431" s="43"/>
      <c r="AL431" s="43"/>
      <c r="AM431" s="43"/>
      <c r="AN431" s="43"/>
      <c r="AO431" s="43"/>
      <c r="AP431" s="43"/>
      <c r="AQ431" s="43"/>
      <c r="AR431" s="43"/>
      <c r="AS431" s="43"/>
      <c r="AT431" s="43"/>
      <c r="AU431" s="43"/>
      <c r="AV431" s="43"/>
      <c r="AW431" s="43"/>
      <c r="AX431" s="22"/>
      <c r="AY431" s="22" t="str">
        <f>IFERROR(VLOOKUP(C431,'спецификация'!B:AA,25,0)," ")</f>
        <v> </v>
      </c>
      <c r="AZ431" s="43"/>
      <c r="BA431" s="43"/>
      <c r="BB431" s="43"/>
      <c r="BC431" s="43"/>
      <c r="BD431" s="43"/>
      <c r="BE431" s="43"/>
      <c r="BF431" s="22" t="str">
        <f>IFERROR(VLOOKUP(C431,'спецификация'!B:D,3,0)," ")</f>
        <v> </v>
      </c>
      <c r="BG431" s="22" t="str">
        <f>IFERROR(VLOOKUP(C431,'спецификация'!B:AA,4,0)," ")</f>
        <v> </v>
      </c>
      <c r="BH431" s="22" t="str">
        <f>IFERROR(VLOOKUP(C431,'спецификация'!B:AA,5,0)," ")</f>
        <v> </v>
      </c>
      <c r="BI431" s="22"/>
      <c r="BJ431" s="22" t="str">
        <f>IFERROR(VLOOKUP(C431,'спецификация'!B:AA,6,0)," ")</f>
        <v> </v>
      </c>
      <c r="BK431" s="43"/>
      <c r="BL431" s="43"/>
      <c r="BM431" s="22" t="str">
        <f>IFERROR(VLOOKUP(C431,'спецификация'!B:AA,7,0)," ")</f>
        <v> </v>
      </c>
      <c r="BN431" s="43"/>
      <c r="BO431" s="22" t="str">
        <f>IFERROR(VLOOKUP(C431,'спецификация'!B:AA,10,0)," ")</f>
        <v> </v>
      </c>
      <c r="BP431" s="43" t="str">
        <f>IFERROR(VLOOKUP(C431,'спецификация'!B:AA,11,0)," ")</f>
        <v> </v>
      </c>
      <c r="BQ431" s="22" t="str">
        <f>IFERROR(VLOOKUP(C431,'спецификация'!B:AA,12,0)," ")</f>
        <v> </v>
      </c>
      <c r="BR431" s="22"/>
      <c r="BS431" s="43"/>
      <c r="BT431" s="43"/>
      <c r="BU431" s="22"/>
      <c r="BV431" s="22" t="s">
        <v>401</v>
      </c>
      <c r="BW431" s="45" t="str">
        <f>IFERROR(VLOOKUP(C431,'спецификация'!B:AA,16,0)," ")</f>
        <v> </v>
      </c>
      <c r="BX431" s="43"/>
      <c r="BY431" s="43"/>
      <c r="BZ431" s="45" t="str">
        <f>IFERROR(VLOOKUP(C431,'спецификация'!B:AA,24,0)," ")</f>
        <v> </v>
      </c>
      <c r="CA431" s="43"/>
      <c r="CB431" s="43"/>
      <c r="CC431" s="43"/>
      <c r="CD431" s="43"/>
      <c r="CE431" s="43"/>
      <c r="CF431" s="43"/>
      <c r="CG431" s="49" t="str">
        <f>IFERROR(VLOOKUP(C431,CC!A:D,4,0)," ")</f>
        <v> </v>
      </c>
      <c r="CH431" s="22" t="str">
        <f>IFERROR(VLOOKUP(C431,'спецификация'!B:AA,19,0)," ")</f>
        <v> </v>
      </c>
      <c r="CI431" s="22"/>
      <c r="CJ431" s="43"/>
      <c r="CK431" s="22" t="str">
        <f>IFERROR(VLOOKUP(C431,CC!K:M,3,0)," ")</f>
        <v> </v>
      </c>
      <c r="CL431" s="43"/>
      <c r="CM431" s="43"/>
      <c r="CN431" s="43"/>
      <c r="CO431" s="43"/>
      <c r="CP431" s="43"/>
      <c r="CQ431" s="43"/>
      <c r="CR431" s="43"/>
      <c r="CS431" s="43" t="b">
        <v>0</v>
      </c>
      <c r="CT431" s="43" t="b">
        <v>0</v>
      </c>
      <c r="CU431" s="43" t="b">
        <v>0</v>
      </c>
      <c r="CV431" s="43" t="b">
        <v>0</v>
      </c>
      <c r="CW431" s="43"/>
      <c r="CX431" s="43"/>
      <c r="CY431" s="43"/>
      <c r="CZ431" s="43"/>
      <c r="DA431" s="43"/>
      <c r="DB431" s="43"/>
      <c r="DC431" s="43"/>
      <c r="DD431" s="22" t="str">
        <f>IFERROR(VLOOKUP($C431,'Лист4'!$D:$AI,27,0)," ")</f>
        <v> </v>
      </c>
      <c r="DE431" s="22" t="str">
        <f>IFERROR(VLOOKUP($C431,'Лист4'!$D:$AI,28,0)," ")</f>
        <v> </v>
      </c>
      <c r="DF431" s="22" t="str">
        <f>IFERROR(VLOOKUP($C431,'Лист4'!$D:$AI,29,0)," ")</f>
        <v> </v>
      </c>
      <c r="DG431" s="22" t="str">
        <f t="shared" si="3"/>
        <v> </v>
      </c>
      <c r="DH431" s="22" t="str">
        <f>IFERROR(VLOOKUP($C431,'Лист4'!$D:$AI,32,0)," ")</f>
        <v> </v>
      </c>
      <c r="DI431" s="22"/>
      <c r="DJ431" s="22"/>
      <c r="DK431" s="22"/>
      <c r="DL431" s="22"/>
      <c r="DM431" s="22"/>
      <c r="DN431" s="22"/>
      <c r="DO431" s="22"/>
      <c r="DP431" s="22"/>
      <c r="DQ431" s="22"/>
      <c r="DR431" s="22"/>
      <c r="DS431" s="22"/>
      <c r="DT431" s="22"/>
      <c r="DU431" s="22"/>
      <c r="DV431" s="22"/>
      <c r="DW431" s="22"/>
      <c r="DX431" s="22"/>
      <c r="DY431" s="22"/>
      <c r="DZ431" s="22"/>
      <c r="EA431" s="22"/>
      <c r="EB431" s="22"/>
      <c r="EC431" s="22"/>
      <c r="ED431" s="22"/>
      <c r="EE431" s="22"/>
      <c r="EF431" s="22"/>
      <c r="EG431" s="22"/>
      <c r="EH431" s="22"/>
      <c r="EI431" s="22"/>
      <c r="EJ431" s="22"/>
      <c r="EK431" s="22"/>
      <c r="EL431" s="22"/>
      <c r="EM431" s="43"/>
      <c r="EN431" s="43"/>
      <c r="EO431" s="43"/>
      <c r="EP431" s="43"/>
      <c r="EQ431" s="43"/>
      <c r="ER431" s="43"/>
      <c r="ES431" s="43"/>
      <c r="ET431" s="43"/>
      <c r="EU431" s="43"/>
      <c r="EV431" s="43"/>
      <c r="EW431" s="43"/>
      <c r="EX431" s="43"/>
      <c r="EY431" s="43"/>
      <c r="EZ431" s="43"/>
      <c r="FA431" s="43"/>
      <c r="FB431" s="43"/>
      <c r="FC431" s="43"/>
    </row>
    <row r="432" ht="18.0" customHeight="1">
      <c r="A432" s="2"/>
      <c r="B432" s="22" t="str">
        <f>IFERROR(VLOOKUP(C432,'Реестр'!C:AC,27,0)," ")</f>
        <v> </v>
      </c>
      <c r="C432" s="43"/>
      <c r="D432" s="22" t="str">
        <f>IFERROR(VLOOKUP(C432,'Лист4'!D:P,13,0)," ")</f>
        <v> </v>
      </c>
      <c r="E432" s="22"/>
      <c r="F432" s="43"/>
      <c r="G432" s="43"/>
      <c r="H432" s="22" t="s">
        <v>401</v>
      </c>
      <c r="I432" s="22" t="s">
        <v>401</v>
      </c>
      <c r="J432" s="43"/>
      <c r="K432" s="43"/>
      <c r="L432" s="22"/>
      <c r="M432" s="22"/>
      <c r="N432" s="22"/>
      <c r="O432" s="22"/>
      <c r="P432" s="22"/>
      <c r="Q432" s="22"/>
      <c r="R432" s="22"/>
      <c r="S432" s="43"/>
      <c r="T432" s="43"/>
      <c r="U432" s="22" t="str">
        <f>IFERROR(VLOOKUP(T432,'Лист4'!C:I,3,0)," ")</f>
        <v> </v>
      </c>
      <c r="V432" s="22" t="str">
        <f>IFERROR(VLOOKUP(T432,'Лист4'!C:I,4,0)," ")</f>
        <v> </v>
      </c>
      <c r="W432" s="22" t="str">
        <f>IFERROR(VLOOKUP(T432,'Лист4'!C:I,5,0)," ")</f>
        <v> </v>
      </c>
      <c r="X432" s="43" t="str">
        <f>IFERROR(VLOOKUP(T432,'Лист4'!C:I,7,0)," ")</f>
        <v> </v>
      </c>
      <c r="Y432" s="43" t="str">
        <f>IFERROR(VLOOKUP(T432,'Лист4'!C:I,6,0)," ")</f>
        <v> </v>
      </c>
      <c r="Z432" s="43"/>
      <c r="AA432" s="43"/>
      <c r="AB432" s="22"/>
      <c r="AC432" s="22" t="str">
        <f>IFERROR(VLOOKUP(V432,'Лист4'!F:O,6,0)," ")</f>
        <v> </v>
      </c>
      <c r="AD432" s="22"/>
      <c r="AE432" s="22"/>
      <c r="AF432" s="22" t="str">
        <f>IFERROR(VLOOKUP(Y432,'Лист4'!H:N,6,0)," ")</f>
        <v> </v>
      </c>
      <c r="AG432" s="43"/>
      <c r="AH432" s="43"/>
      <c r="AI432" s="43"/>
      <c r="AJ432" s="43"/>
      <c r="AK432" s="43"/>
      <c r="AL432" s="43"/>
      <c r="AM432" s="43"/>
      <c r="AN432" s="43"/>
      <c r="AO432" s="43"/>
      <c r="AP432" s="43"/>
      <c r="AQ432" s="43"/>
      <c r="AR432" s="43"/>
      <c r="AS432" s="43"/>
      <c r="AT432" s="43"/>
      <c r="AU432" s="43"/>
      <c r="AV432" s="43"/>
      <c r="AW432" s="43"/>
      <c r="AX432" s="22"/>
      <c r="AY432" s="22" t="str">
        <f>IFERROR(VLOOKUP(C432,'спецификация'!B:AA,25,0)," ")</f>
        <v> </v>
      </c>
      <c r="AZ432" s="43"/>
      <c r="BA432" s="43"/>
      <c r="BB432" s="43"/>
      <c r="BC432" s="43"/>
      <c r="BD432" s="43"/>
      <c r="BE432" s="43"/>
      <c r="BF432" s="22" t="str">
        <f>IFERROR(VLOOKUP(C432,'спецификация'!B:D,3,0)," ")</f>
        <v> </v>
      </c>
      <c r="BG432" s="22" t="str">
        <f>IFERROR(VLOOKUP(C432,'спецификация'!B:AA,4,0)," ")</f>
        <v> </v>
      </c>
      <c r="BH432" s="22" t="str">
        <f>IFERROR(VLOOKUP(C432,'спецификация'!B:AA,5,0)," ")</f>
        <v> </v>
      </c>
      <c r="BI432" s="22"/>
      <c r="BJ432" s="22" t="str">
        <f>IFERROR(VLOOKUP(C432,'спецификация'!B:AA,6,0)," ")</f>
        <v> </v>
      </c>
      <c r="BK432" s="43"/>
      <c r="BL432" s="43"/>
      <c r="BM432" s="22" t="str">
        <f>IFERROR(VLOOKUP(C432,'спецификация'!B:AA,7,0)," ")</f>
        <v> </v>
      </c>
      <c r="BN432" s="43"/>
      <c r="BO432" s="22" t="str">
        <f>IFERROR(VLOOKUP(C432,'спецификация'!B:AA,10,0)," ")</f>
        <v> </v>
      </c>
      <c r="BP432" s="43" t="str">
        <f>IFERROR(VLOOKUP(C432,'спецификация'!B:AA,11,0)," ")</f>
        <v> </v>
      </c>
      <c r="BQ432" s="22" t="str">
        <f>IFERROR(VLOOKUP(C432,'спецификация'!B:AA,12,0)," ")</f>
        <v> </v>
      </c>
      <c r="BR432" s="22"/>
      <c r="BS432" s="43"/>
      <c r="BT432" s="43"/>
      <c r="BU432" s="22"/>
      <c r="BV432" s="22" t="s">
        <v>401</v>
      </c>
      <c r="BW432" s="45" t="str">
        <f>IFERROR(VLOOKUP(C432,'спецификация'!B:AA,16,0)," ")</f>
        <v> </v>
      </c>
      <c r="BX432" s="43"/>
      <c r="BY432" s="43"/>
      <c r="BZ432" s="45" t="str">
        <f>IFERROR(VLOOKUP(C432,'спецификация'!B:AA,24,0)," ")</f>
        <v> </v>
      </c>
      <c r="CA432" s="43"/>
      <c r="CB432" s="43"/>
      <c r="CC432" s="43"/>
      <c r="CD432" s="43"/>
      <c r="CE432" s="43"/>
      <c r="CF432" s="43"/>
      <c r="CG432" s="49" t="str">
        <f>IFERROR(VLOOKUP(C432,CC!A:D,4,0)," ")</f>
        <v> </v>
      </c>
      <c r="CH432" s="22" t="str">
        <f>IFERROR(VLOOKUP(C432,'спецификация'!B:AA,19,0)," ")</f>
        <v> </v>
      </c>
      <c r="CI432" s="22"/>
      <c r="CJ432" s="43"/>
      <c r="CK432" s="22" t="str">
        <f>IFERROR(VLOOKUP(C432,CC!K:M,3,0)," ")</f>
        <v> </v>
      </c>
      <c r="CL432" s="43"/>
      <c r="CM432" s="43"/>
      <c r="CN432" s="43"/>
      <c r="CO432" s="43"/>
      <c r="CP432" s="43"/>
      <c r="CQ432" s="43"/>
      <c r="CR432" s="43"/>
      <c r="CS432" s="43" t="b">
        <v>0</v>
      </c>
      <c r="CT432" s="43" t="b">
        <v>0</v>
      </c>
      <c r="CU432" s="43" t="b">
        <v>0</v>
      </c>
      <c r="CV432" s="43" t="b">
        <v>0</v>
      </c>
      <c r="CW432" s="43"/>
      <c r="CX432" s="43"/>
      <c r="CY432" s="43"/>
      <c r="CZ432" s="43"/>
      <c r="DA432" s="43"/>
      <c r="DB432" s="43"/>
      <c r="DC432" s="43"/>
      <c r="DD432" s="22" t="str">
        <f>IFERROR(VLOOKUP($C432,'Лист4'!$D:$AI,27,0)," ")</f>
        <v> </v>
      </c>
      <c r="DE432" s="22" t="str">
        <f>IFERROR(VLOOKUP($C432,'Лист4'!$D:$AI,28,0)," ")</f>
        <v> </v>
      </c>
      <c r="DF432" s="22" t="str">
        <f>IFERROR(VLOOKUP($C432,'Лист4'!$D:$AI,29,0)," ")</f>
        <v> </v>
      </c>
      <c r="DG432" s="22" t="str">
        <f t="shared" si="3"/>
        <v> </v>
      </c>
      <c r="DH432" s="22" t="str">
        <f>IFERROR(VLOOKUP($C432,'Лист4'!$D:$AI,32,0)," ")</f>
        <v> </v>
      </c>
      <c r="DI432" s="22"/>
      <c r="DJ432" s="22"/>
      <c r="DK432" s="22"/>
      <c r="DL432" s="22"/>
      <c r="DM432" s="22"/>
      <c r="DN432" s="22"/>
      <c r="DO432" s="22"/>
      <c r="DP432" s="22"/>
      <c r="DQ432" s="22"/>
      <c r="DR432" s="22"/>
      <c r="DS432" s="22"/>
      <c r="DT432" s="22"/>
      <c r="DU432" s="22"/>
      <c r="DV432" s="22"/>
      <c r="DW432" s="22"/>
      <c r="DX432" s="22"/>
      <c r="DY432" s="22"/>
      <c r="DZ432" s="22"/>
      <c r="EA432" s="22"/>
      <c r="EB432" s="22"/>
      <c r="EC432" s="22"/>
      <c r="ED432" s="22"/>
      <c r="EE432" s="22"/>
      <c r="EF432" s="22"/>
      <c r="EG432" s="22"/>
      <c r="EH432" s="22"/>
      <c r="EI432" s="22"/>
      <c r="EJ432" s="22"/>
      <c r="EK432" s="22"/>
      <c r="EL432" s="22"/>
      <c r="EM432" s="43"/>
      <c r="EN432" s="43"/>
      <c r="EO432" s="43"/>
      <c r="EP432" s="43"/>
      <c r="EQ432" s="43"/>
      <c r="ER432" s="43"/>
      <c r="ES432" s="43"/>
      <c r="ET432" s="43"/>
      <c r="EU432" s="43"/>
      <c r="EV432" s="43"/>
      <c r="EW432" s="43"/>
      <c r="EX432" s="43"/>
      <c r="EY432" s="43"/>
      <c r="EZ432" s="43"/>
      <c r="FA432" s="43"/>
      <c r="FB432" s="43"/>
      <c r="FC432" s="43"/>
    </row>
    <row r="433" ht="18.0" customHeight="1">
      <c r="A433" s="2"/>
      <c r="B433" s="22" t="str">
        <f>IFERROR(VLOOKUP(C433,'Реестр'!C:AC,27,0)," ")</f>
        <v> </v>
      </c>
      <c r="C433" s="43"/>
      <c r="D433" s="22" t="str">
        <f>IFERROR(VLOOKUP(C433,'Лист4'!D:P,13,0)," ")</f>
        <v> </v>
      </c>
      <c r="E433" s="22"/>
      <c r="F433" s="43"/>
      <c r="G433" s="43"/>
      <c r="H433" s="22" t="s">
        <v>401</v>
      </c>
      <c r="I433" s="22" t="s">
        <v>401</v>
      </c>
      <c r="J433" s="43"/>
      <c r="K433" s="43"/>
      <c r="L433" s="22"/>
      <c r="M433" s="22"/>
      <c r="N433" s="22"/>
      <c r="O433" s="22"/>
      <c r="P433" s="22"/>
      <c r="Q433" s="22"/>
      <c r="R433" s="22"/>
      <c r="S433" s="43"/>
      <c r="T433" s="43"/>
      <c r="U433" s="22" t="str">
        <f>IFERROR(VLOOKUP(T433,'Лист4'!C:I,3,0)," ")</f>
        <v> </v>
      </c>
      <c r="V433" s="22" t="str">
        <f>IFERROR(VLOOKUP(T433,'Лист4'!C:I,4,0)," ")</f>
        <v> </v>
      </c>
      <c r="W433" s="22" t="str">
        <f>IFERROR(VLOOKUP(T433,'Лист4'!C:I,5,0)," ")</f>
        <v> </v>
      </c>
      <c r="X433" s="43" t="str">
        <f>IFERROR(VLOOKUP(T433,'Лист4'!C:I,7,0)," ")</f>
        <v> </v>
      </c>
      <c r="Y433" s="43" t="str">
        <f>IFERROR(VLOOKUP(T433,'Лист4'!C:I,6,0)," ")</f>
        <v> </v>
      </c>
      <c r="Z433" s="43"/>
      <c r="AA433" s="43"/>
      <c r="AB433" s="22"/>
      <c r="AC433" s="22" t="str">
        <f>IFERROR(VLOOKUP(V433,'Лист4'!F:O,6,0)," ")</f>
        <v> </v>
      </c>
      <c r="AD433" s="22"/>
      <c r="AE433" s="22"/>
      <c r="AF433" s="22" t="str">
        <f>IFERROR(VLOOKUP(Y433,'Лист4'!H:N,6,0)," ")</f>
        <v> </v>
      </c>
      <c r="AG433" s="43"/>
      <c r="AH433" s="43"/>
      <c r="AI433" s="43"/>
      <c r="AJ433" s="43"/>
      <c r="AK433" s="43"/>
      <c r="AL433" s="43"/>
      <c r="AM433" s="43"/>
      <c r="AN433" s="43"/>
      <c r="AO433" s="43"/>
      <c r="AP433" s="43"/>
      <c r="AQ433" s="43"/>
      <c r="AR433" s="43"/>
      <c r="AS433" s="43"/>
      <c r="AT433" s="43"/>
      <c r="AU433" s="43"/>
      <c r="AV433" s="43"/>
      <c r="AW433" s="43"/>
      <c r="AX433" s="22"/>
      <c r="AY433" s="22" t="str">
        <f>IFERROR(VLOOKUP(C433,'спецификация'!B:AA,25,0)," ")</f>
        <v> </v>
      </c>
      <c r="AZ433" s="43"/>
      <c r="BA433" s="43"/>
      <c r="BB433" s="43"/>
      <c r="BC433" s="43"/>
      <c r="BD433" s="43"/>
      <c r="BE433" s="43"/>
      <c r="BF433" s="22" t="str">
        <f>IFERROR(VLOOKUP(C433,'спецификация'!B:D,3,0)," ")</f>
        <v> </v>
      </c>
      <c r="BG433" s="22" t="str">
        <f>IFERROR(VLOOKUP(C433,'спецификация'!B:AA,4,0)," ")</f>
        <v> </v>
      </c>
      <c r="BH433" s="22" t="str">
        <f>IFERROR(VLOOKUP(C433,'спецификация'!B:AA,5,0)," ")</f>
        <v> </v>
      </c>
      <c r="BI433" s="22"/>
      <c r="BJ433" s="22" t="str">
        <f>IFERROR(VLOOKUP(C433,'спецификация'!B:AA,6,0)," ")</f>
        <v> </v>
      </c>
      <c r="BK433" s="43"/>
      <c r="BL433" s="43"/>
      <c r="BM433" s="22" t="str">
        <f>IFERROR(VLOOKUP(C433,'спецификация'!B:AA,7,0)," ")</f>
        <v> </v>
      </c>
      <c r="BN433" s="43"/>
      <c r="BO433" s="22" t="str">
        <f>IFERROR(VLOOKUP(C433,'спецификация'!B:AA,10,0)," ")</f>
        <v> </v>
      </c>
      <c r="BP433" s="43" t="str">
        <f>IFERROR(VLOOKUP(C433,'спецификация'!B:AA,11,0)," ")</f>
        <v> </v>
      </c>
      <c r="BQ433" s="22" t="str">
        <f>IFERROR(VLOOKUP(C433,'спецификация'!B:AA,12,0)," ")</f>
        <v> </v>
      </c>
      <c r="BR433" s="22"/>
      <c r="BS433" s="43"/>
      <c r="BT433" s="43"/>
      <c r="BU433" s="22"/>
      <c r="BV433" s="22" t="s">
        <v>401</v>
      </c>
      <c r="BW433" s="45" t="str">
        <f>IFERROR(VLOOKUP(C433,'спецификация'!B:AA,16,0)," ")</f>
        <v> </v>
      </c>
      <c r="BX433" s="43"/>
      <c r="BY433" s="43"/>
      <c r="BZ433" s="45" t="str">
        <f>IFERROR(VLOOKUP(C433,'спецификация'!B:AA,24,0)," ")</f>
        <v> </v>
      </c>
      <c r="CA433" s="43"/>
      <c r="CB433" s="43"/>
      <c r="CC433" s="43"/>
      <c r="CD433" s="43"/>
      <c r="CE433" s="43"/>
      <c r="CF433" s="43"/>
      <c r="CG433" s="49" t="str">
        <f>IFERROR(VLOOKUP(C433,CC!A:D,4,0)," ")</f>
        <v> </v>
      </c>
      <c r="CH433" s="22" t="str">
        <f>IFERROR(VLOOKUP(C433,'спецификация'!B:AA,19,0)," ")</f>
        <v> </v>
      </c>
      <c r="CI433" s="22"/>
      <c r="CJ433" s="43"/>
      <c r="CK433" s="22" t="str">
        <f>IFERROR(VLOOKUP(C433,CC!K:M,3,0)," ")</f>
        <v> </v>
      </c>
      <c r="CL433" s="43"/>
      <c r="CM433" s="43"/>
      <c r="CN433" s="43"/>
      <c r="CO433" s="43"/>
      <c r="CP433" s="43"/>
      <c r="CQ433" s="43"/>
      <c r="CR433" s="43"/>
      <c r="CS433" s="43" t="b">
        <v>0</v>
      </c>
      <c r="CT433" s="43" t="b">
        <v>0</v>
      </c>
      <c r="CU433" s="43" t="b">
        <v>0</v>
      </c>
      <c r="CV433" s="43" t="b">
        <v>0</v>
      </c>
      <c r="CW433" s="43"/>
      <c r="CX433" s="43"/>
      <c r="CY433" s="43"/>
      <c r="CZ433" s="43"/>
      <c r="DA433" s="43"/>
      <c r="DB433" s="43"/>
      <c r="DC433" s="43"/>
      <c r="DD433" s="22" t="str">
        <f>IFERROR(VLOOKUP($C433,'Лист4'!$D:$AI,27,0)," ")</f>
        <v> </v>
      </c>
      <c r="DE433" s="22" t="str">
        <f>IFERROR(VLOOKUP($C433,'Лист4'!$D:$AI,28,0)," ")</f>
        <v> </v>
      </c>
      <c r="DF433" s="22" t="str">
        <f>IFERROR(VLOOKUP($C433,'Лист4'!$D:$AI,29,0)," ")</f>
        <v> </v>
      </c>
      <c r="DG433" s="22" t="str">
        <f t="shared" si="3"/>
        <v> </v>
      </c>
      <c r="DH433" s="22" t="str">
        <f>IFERROR(VLOOKUP($C433,'Лист4'!$D:$AI,32,0)," ")</f>
        <v> </v>
      </c>
      <c r="DI433" s="22"/>
      <c r="DJ433" s="22"/>
      <c r="DK433" s="22"/>
      <c r="DL433" s="22"/>
      <c r="DM433" s="22"/>
      <c r="DN433" s="22"/>
      <c r="DO433" s="22"/>
      <c r="DP433" s="22"/>
      <c r="DQ433" s="22"/>
      <c r="DR433" s="22"/>
      <c r="DS433" s="22"/>
      <c r="DT433" s="22"/>
      <c r="DU433" s="22"/>
      <c r="DV433" s="22"/>
      <c r="DW433" s="22"/>
      <c r="DX433" s="22"/>
      <c r="DY433" s="22"/>
      <c r="DZ433" s="22"/>
      <c r="EA433" s="22"/>
      <c r="EB433" s="22"/>
      <c r="EC433" s="22"/>
      <c r="ED433" s="22"/>
      <c r="EE433" s="22"/>
      <c r="EF433" s="22"/>
      <c r="EG433" s="22"/>
      <c r="EH433" s="22"/>
      <c r="EI433" s="22"/>
      <c r="EJ433" s="22"/>
      <c r="EK433" s="22"/>
      <c r="EL433" s="22"/>
      <c r="EM433" s="43"/>
      <c r="EN433" s="43"/>
      <c r="EO433" s="43"/>
      <c r="EP433" s="43"/>
      <c r="EQ433" s="43"/>
      <c r="ER433" s="43"/>
      <c r="ES433" s="43"/>
      <c r="ET433" s="43"/>
      <c r="EU433" s="43"/>
      <c r="EV433" s="43"/>
      <c r="EW433" s="43"/>
      <c r="EX433" s="43"/>
      <c r="EY433" s="43"/>
      <c r="EZ433" s="43"/>
      <c r="FA433" s="43"/>
      <c r="FB433" s="43"/>
      <c r="FC433" s="43"/>
    </row>
    <row r="434" ht="18.0" customHeight="1">
      <c r="A434" s="2"/>
      <c r="B434" s="22" t="str">
        <f>IFERROR(VLOOKUP(C434,'Реестр'!C:AC,27,0)," ")</f>
        <v> </v>
      </c>
      <c r="C434" s="43"/>
      <c r="D434" s="22" t="str">
        <f>IFERROR(VLOOKUP(C434,'Лист4'!D:P,13,0)," ")</f>
        <v> </v>
      </c>
      <c r="E434" s="22"/>
      <c r="F434" s="43"/>
      <c r="G434" s="43"/>
      <c r="H434" s="22" t="s">
        <v>401</v>
      </c>
      <c r="I434" s="22" t="s">
        <v>401</v>
      </c>
      <c r="J434" s="43"/>
      <c r="K434" s="43"/>
      <c r="L434" s="22"/>
      <c r="M434" s="22"/>
      <c r="N434" s="22"/>
      <c r="O434" s="22"/>
      <c r="P434" s="22"/>
      <c r="Q434" s="22"/>
      <c r="R434" s="22"/>
      <c r="S434" s="43"/>
      <c r="T434" s="43"/>
      <c r="U434" s="22" t="str">
        <f>IFERROR(VLOOKUP(T434,'Лист4'!C:I,3,0)," ")</f>
        <v> </v>
      </c>
      <c r="V434" s="22" t="str">
        <f>IFERROR(VLOOKUP(T434,'Лист4'!C:I,4,0)," ")</f>
        <v> </v>
      </c>
      <c r="W434" s="22" t="str">
        <f>IFERROR(VLOOKUP(T434,'Лист4'!C:I,5,0)," ")</f>
        <v> </v>
      </c>
      <c r="X434" s="43" t="str">
        <f>IFERROR(VLOOKUP(T434,'Лист4'!C:I,7,0)," ")</f>
        <v> </v>
      </c>
      <c r="Y434" s="43" t="str">
        <f>IFERROR(VLOOKUP(T434,'Лист4'!C:I,6,0)," ")</f>
        <v> </v>
      </c>
      <c r="Z434" s="43"/>
      <c r="AA434" s="43"/>
      <c r="AB434" s="22"/>
      <c r="AC434" s="22" t="str">
        <f>IFERROR(VLOOKUP(V434,'Лист4'!F:O,6,0)," ")</f>
        <v> </v>
      </c>
      <c r="AD434" s="22"/>
      <c r="AE434" s="22"/>
      <c r="AF434" s="22" t="str">
        <f>IFERROR(VLOOKUP(Y434,'Лист4'!H:N,6,0)," ")</f>
        <v> </v>
      </c>
      <c r="AG434" s="43"/>
      <c r="AH434" s="43"/>
      <c r="AI434" s="43"/>
      <c r="AJ434" s="43"/>
      <c r="AK434" s="43"/>
      <c r="AL434" s="43"/>
      <c r="AM434" s="43"/>
      <c r="AN434" s="43"/>
      <c r="AO434" s="43"/>
      <c r="AP434" s="43"/>
      <c r="AQ434" s="43"/>
      <c r="AR434" s="43"/>
      <c r="AS434" s="43"/>
      <c r="AT434" s="43"/>
      <c r="AU434" s="43"/>
      <c r="AV434" s="43"/>
      <c r="AW434" s="43"/>
      <c r="AX434" s="22"/>
      <c r="AY434" s="22" t="str">
        <f>IFERROR(VLOOKUP(C434,'спецификация'!B:AA,25,0)," ")</f>
        <v> </v>
      </c>
      <c r="AZ434" s="43"/>
      <c r="BA434" s="43"/>
      <c r="BB434" s="43"/>
      <c r="BC434" s="43"/>
      <c r="BD434" s="43"/>
      <c r="BE434" s="43"/>
      <c r="BF434" s="22" t="str">
        <f>IFERROR(VLOOKUP(C434,'спецификация'!B:D,3,0)," ")</f>
        <v> </v>
      </c>
      <c r="BG434" s="22" t="str">
        <f>IFERROR(VLOOKUP(C434,'спецификация'!B:AA,4,0)," ")</f>
        <v> </v>
      </c>
      <c r="BH434" s="22" t="str">
        <f>IFERROR(VLOOKUP(C434,'спецификация'!B:AA,5,0)," ")</f>
        <v> </v>
      </c>
      <c r="BI434" s="22"/>
      <c r="BJ434" s="22" t="str">
        <f>IFERROR(VLOOKUP(C434,'спецификация'!B:AA,6,0)," ")</f>
        <v> </v>
      </c>
      <c r="BK434" s="43"/>
      <c r="BL434" s="43"/>
      <c r="BM434" s="22" t="str">
        <f>IFERROR(VLOOKUP(C434,'спецификация'!B:AA,7,0)," ")</f>
        <v> </v>
      </c>
      <c r="BN434" s="43"/>
      <c r="BO434" s="22" t="str">
        <f>IFERROR(VLOOKUP(C434,'спецификация'!B:AA,10,0)," ")</f>
        <v> </v>
      </c>
      <c r="BP434" s="43" t="str">
        <f>IFERROR(VLOOKUP(C434,'спецификация'!B:AA,11,0)," ")</f>
        <v> </v>
      </c>
      <c r="BQ434" s="22" t="str">
        <f>IFERROR(VLOOKUP(C434,'спецификация'!B:AA,12,0)," ")</f>
        <v> </v>
      </c>
      <c r="BR434" s="22"/>
      <c r="BS434" s="43"/>
      <c r="BT434" s="43"/>
      <c r="BU434" s="22"/>
      <c r="BV434" s="22" t="s">
        <v>401</v>
      </c>
      <c r="BW434" s="43"/>
      <c r="BX434" s="43"/>
      <c r="BY434" s="43"/>
      <c r="BZ434" s="45" t="str">
        <f>IFERROR(VLOOKUP(C434,'спецификация'!B:AA,24,0)," ")</f>
        <v> </v>
      </c>
      <c r="CA434" s="43"/>
      <c r="CB434" s="43"/>
      <c r="CC434" s="43"/>
      <c r="CD434" s="43"/>
      <c r="CE434" s="43"/>
      <c r="CF434" s="43"/>
      <c r="CG434" s="335"/>
      <c r="CH434" s="22" t="str">
        <f>IFERROR(VLOOKUP(C434,'спецификация'!B:AA,19,0)," ")</f>
        <v> </v>
      </c>
      <c r="CI434" s="22"/>
      <c r="CJ434" s="43"/>
      <c r="CK434" s="43"/>
      <c r="CL434" s="43"/>
      <c r="CM434" s="43"/>
      <c r="CN434" s="43"/>
      <c r="CO434" s="43"/>
      <c r="CP434" s="43"/>
      <c r="CQ434" s="43"/>
      <c r="CR434" s="43"/>
      <c r="CS434" s="43" t="b">
        <v>0</v>
      </c>
      <c r="CT434" s="43" t="b">
        <v>0</v>
      </c>
      <c r="CU434" s="43" t="b">
        <v>0</v>
      </c>
      <c r="CV434" s="43" t="b">
        <v>0</v>
      </c>
      <c r="CW434" s="43"/>
      <c r="CX434" s="43"/>
      <c r="CY434" s="43"/>
      <c r="CZ434" s="43"/>
      <c r="DA434" s="43"/>
      <c r="DB434" s="43"/>
      <c r="DC434" s="43"/>
      <c r="DD434" s="22" t="str">
        <f>IFERROR(VLOOKUP($C434,'Лист4'!$D:$AI,27,0)," ")</f>
        <v> </v>
      </c>
      <c r="DE434" s="22" t="str">
        <f>IFERROR(VLOOKUP($C434,'Лист4'!$D:$AI,28,0)," ")</f>
        <v> </v>
      </c>
      <c r="DF434" s="22" t="str">
        <f>IFERROR(VLOOKUP($C434,'Лист4'!$D:$AI,29,0)," ")</f>
        <v> </v>
      </c>
      <c r="DG434" s="22" t="str">
        <f t="shared" si="3"/>
        <v> </v>
      </c>
      <c r="DH434" s="22" t="str">
        <f>IFERROR(VLOOKUP($C434,'Лист4'!$D:$AI,32,0)," ")</f>
        <v> </v>
      </c>
      <c r="DI434" s="22"/>
      <c r="DJ434" s="22"/>
      <c r="DK434" s="22"/>
      <c r="DL434" s="22"/>
      <c r="DM434" s="22"/>
      <c r="DN434" s="22"/>
      <c r="DO434" s="22"/>
      <c r="DP434" s="22"/>
      <c r="DQ434" s="22"/>
      <c r="DR434" s="22"/>
      <c r="DS434" s="22"/>
      <c r="DT434" s="22"/>
      <c r="DU434" s="22"/>
      <c r="DV434" s="22"/>
      <c r="DW434" s="22"/>
      <c r="DX434" s="22"/>
      <c r="DY434" s="22"/>
      <c r="DZ434" s="22"/>
      <c r="EA434" s="22"/>
      <c r="EB434" s="22"/>
      <c r="EC434" s="22"/>
      <c r="ED434" s="22"/>
      <c r="EE434" s="22"/>
      <c r="EF434" s="22"/>
      <c r="EG434" s="22"/>
      <c r="EH434" s="22"/>
      <c r="EI434" s="22"/>
      <c r="EJ434" s="22"/>
      <c r="EK434" s="22"/>
      <c r="EL434" s="22"/>
      <c r="EM434" s="43"/>
      <c r="EN434" s="43"/>
      <c r="EO434" s="43"/>
      <c r="EP434" s="43"/>
      <c r="EQ434" s="43"/>
      <c r="ER434" s="43"/>
      <c r="ES434" s="43"/>
      <c r="ET434" s="43"/>
      <c r="EU434" s="43"/>
      <c r="EV434" s="43"/>
      <c r="EW434" s="43"/>
      <c r="EX434" s="43"/>
      <c r="EY434" s="43"/>
      <c r="EZ434" s="43"/>
      <c r="FA434" s="43"/>
      <c r="FB434" s="43"/>
      <c r="FC434" s="43"/>
    </row>
    <row r="435" ht="18.0" customHeight="1">
      <c r="A435" s="2"/>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22" t="str">
        <f>IFERROR(VLOOKUP(C435,'спецификация'!B:AA,7,0)," ")</f>
        <v> </v>
      </c>
      <c r="BN435" s="43"/>
      <c r="BO435" s="43"/>
      <c r="BP435" s="43"/>
      <c r="BQ435" s="43"/>
      <c r="BR435" s="22"/>
      <c r="BS435" s="43"/>
      <c r="BT435" s="43"/>
      <c r="BU435" s="43"/>
      <c r="BV435" s="43"/>
      <c r="BW435" s="43"/>
      <c r="BX435" s="43"/>
      <c r="BY435" s="43"/>
      <c r="BZ435" s="43"/>
      <c r="CA435" s="43"/>
      <c r="CB435" s="43"/>
      <c r="CC435" s="43"/>
      <c r="CD435" s="43"/>
      <c r="CE435" s="43"/>
      <c r="CF435" s="43"/>
      <c r="CG435" s="335"/>
      <c r="CH435" s="43"/>
      <c r="CI435" s="43"/>
      <c r="CJ435" s="43"/>
      <c r="CK435" s="43"/>
      <c r="CL435" s="43"/>
      <c r="CM435" s="43"/>
      <c r="CN435" s="43"/>
      <c r="CO435" s="43"/>
      <c r="CP435" s="43"/>
      <c r="CQ435" s="43"/>
      <c r="CR435" s="43"/>
      <c r="CS435" s="43" t="b">
        <v>0</v>
      </c>
      <c r="CT435" s="43" t="b">
        <v>0</v>
      </c>
      <c r="CU435" s="43" t="b">
        <v>0</v>
      </c>
      <c r="CV435" s="43" t="b">
        <v>0</v>
      </c>
      <c r="CW435" s="43"/>
      <c r="CX435" s="43"/>
      <c r="CY435" s="43"/>
      <c r="CZ435" s="43"/>
      <c r="DA435" s="43"/>
      <c r="DB435" s="43"/>
      <c r="DC435" s="43"/>
      <c r="DD435" s="22" t="str">
        <f>IFERROR(VLOOKUP($C435,'Лист4'!$D:$AI,27,0)," ")</f>
        <v> </v>
      </c>
      <c r="DE435" s="22" t="str">
        <f>IFERROR(VLOOKUP($C435,'Лист4'!$D:$AI,28,0)," ")</f>
        <v> </v>
      </c>
      <c r="DF435" s="22" t="str">
        <f>IFERROR(VLOOKUP($C435,'Лист4'!$D:$AI,29,0)," ")</f>
        <v> </v>
      </c>
      <c r="DG435" s="22" t="str">
        <f t="shared" si="3"/>
        <v> </v>
      </c>
      <c r="DH435" s="22" t="str">
        <f>IFERROR(VLOOKUP($C435,'Лист4'!$D:$AI,32,0)," ")</f>
        <v> </v>
      </c>
      <c r="DI435" s="22"/>
      <c r="DJ435" s="22"/>
      <c r="DK435" s="22"/>
      <c r="DL435" s="22"/>
      <c r="DM435" s="22"/>
      <c r="DN435" s="22"/>
      <c r="DO435" s="22"/>
      <c r="DP435" s="22"/>
      <c r="DQ435" s="22"/>
      <c r="DR435" s="22"/>
      <c r="DS435" s="22"/>
      <c r="DT435" s="22"/>
      <c r="DU435" s="22"/>
      <c r="DV435" s="22"/>
      <c r="DW435" s="22"/>
      <c r="DX435" s="22"/>
      <c r="DY435" s="22"/>
      <c r="DZ435" s="22"/>
      <c r="EA435" s="22"/>
      <c r="EB435" s="22"/>
      <c r="EC435" s="22"/>
      <c r="ED435" s="22"/>
      <c r="EE435" s="22"/>
      <c r="EF435" s="22"/>
      <c r="EG435" s="22"/>
      <c r="EH435" s="22"/>
      <c r="EI435" s="22"/>
      <c r="EJ435" s="22"/>
      <c r="EK435" s="22"/>
      <c r="EL435" s="22"/>
      <c r="EM435" s="43"/>
      <c r="EN435" s="43"/>
      <c r="EO435" s="43"/>
      <c r="EP435" s="43"/>
      <c r="EQ435" s="43"/>
      <c r="ER435" s="43"/>
      <c r="ES435" s="43"/>
      <c r="ET435" s="43"/>
      <c r="EU435" s="43"/>
      <c r="EV435" s="43"/>
      <c r="EW435" s="43"/>
      <c r="EX435" s="43"/>
      <c r="EY435" s="43"/>
      <c r="EZ435" s="43"/>
      <c r="FA435" s="43"/>
      <c r="FB435" s="43"/>
      <c r="FC435" s="43"/>
    </row>
    <row r="436" ht="18.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43"/>
      <c r="AR436" s="43"/>
      <c r="AS436" s="43"/>
      <c r="AT436" s="43"/>
      <c r="AU436" s="43"/>
      <c r="AV436" s="43"/>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2"/>
      <c r="BV436" s="22"/>
      <c r="BW436" s="2"/>
      <c r="BX436" s="2"/>
      <c r="BY436" s="2"/>
      <c r="BZ436" s="2"/>
      <c r="CA436" s="2"/>
      <c r="CB436" s="2"/>
      <c r="CC436" s="2"/>
      <c r="CD436" s="2"/>
      <c r="CE436" s="2"/>
      <c r="CF436" s="2"/>
      <c r="CG436" s="5"/>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row>
    <row r="437" ht="18.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43"/>
      <c r="AR437" s="43"/>
      <c r="AS437" s="43"/>
      <c r="AT437" s="43"/>
      <c r="AU437" s="43"/>
      <c r="AV437" s="43"/>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5"/>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row>
    <row r="438" ht="18.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43"/>
      <c r="AR438" s="43"/>
      <c r="AS438" s="43"/>
      <c r="AT438" s="43"/>
      <c r="AU438" s="43"/>
      <c r="AV438" s="43"/>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5"/>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row>
    <row r="439" ht="18.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43"/>
      <c r="AR439" s="43"/>
      <c r="AS439" s="43"/>
      <c r="AT439" s="43"/>
      <c r="AU439" s="43"/>
      <c r="AV439" s="43"/>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5"/>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row>
    <row r="440" ht="18.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43"/>
      <c r="AR440" s="43"/>
      <c r="AS440" s="43"/>
      <c r="AT440" s="43"/>
      <c r="AU440" s="43"/>
      <c r="AV440" s="43"/>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5"/>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row>
    <row r="441" ht="18.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43"/>
      <c r="AR441" s="43"/>
      <c r="AS441" s="43"/>
      <c r="AT441" s="43"/>
      <c r="AU441" s="43"/>
      <c r="AV441" s="43"/>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5"/>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row>
    <row r="442" ht="18.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43"/>
      <c r="AR442" s="43"/>
      <c r="AS442" s="43"/>
      <c r="AT442" s="43"/>
      <c r="AU442" s="43"/>
      <c r="AV442" s="43"/>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5"/>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row>
    <row r="443" ht="18.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43"/>
      <c r="AR443" s="43"/>
      <c r="AS443" s="43"/>
      <c r="AT443" s="43"/>
      <c r="AU443" s="43"/>
      <c r="AV443" s="43"/>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5"/>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row>
    <row r="444" ht="18.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43"/>
      <c r="AR444" s="43"/>
      <c r="AS444" s="43"/>
      <c r="AT444" s="43"/>
      <c r="AU444" s="43"/>
      <c r="AV444" s="43"/>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6"/>
      <c r="BV444" s="6"/>
      <c r="BW444" s="2"/>
      <c r="BX444" s="2"/>
      <c r="BY444" s="2"/>
      <c r="BZ444" s="2"/>
      <c r="CA444" s="2"/>
      <c r="CB444" s="2"/>
      <c r="CC444" s="2"/>
      <c r="CD444" s="2"/>
      <c r="CE444" s="2"/>
      <c r="CF444" s="2"/>
      <c r="CG444" s="5"/>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row>
    <row r="445" ht="18.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43"/>
      <c r="AR445" s="43"/>
      <c r="AS445" s="43"/>
      <c r="AT445" s="43"/>
      <c r="AU445" s="43"/>
      <c r="AV445" s="43"/>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6"/>
      <c r="BV445" s="6"/>
      <c r="BW445" s="2"/>
      <c r="BX445" s="2"/>
      <c r="BY445" s="2"/>
      <c r="BZ445" s="2"/>
      <c r="CA445" s="2"/>
      <c r="CB445" s="2"/>
      <c r="CC445" s="2"/>
      <c r="CD445" s="2"/>
      <c r="CE445" s="2"/>
      <c r="CF445" s="2"/>
      <c r="CG445" s="5"/>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row>
    <row r="446" ht="18.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43"/>
      <c r="AR446" s="43"/>
      <c r="AS446" s="43"/>
      <c r="AT446" s="43"/>
      <c r="AU446" s="43"/>
      <c r="AV446" s="43"/>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5"/>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row>
    <row r="447" ht="18.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43"/>
      <c r="AR447" s="43"/>
      <c r="AS447" s="43"/>
      <c r="AT447" s="43"/>
      <c r="AU447" s="43"/>
      <c r="AV447" s="43"/>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5"/>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row>
    <row r="448" ht="18.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43"/>
      <c r="AR448" s="43"/>
      <c r="AS448" s="43"/>
      <c r="AT448" s="43"/>
      <c r="AU448" s="43"/>
      <c r="AV448" s="43"/>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5"/>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row>
    <row r="449" ht="18.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43"/>
      <c r="AR449" s="43"/>
      <c r="AS449" s="43"/>
      <c r="AT449" s="43"/>
      <c r="AU449" s="43"/>
      <c r="AV449" s="43"/>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5"/>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row>
    <row r="450" ht="18.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43"/>
      <c r="AR450" s="43"/>
      <c r="AS450" s="43"/>
      <c r="AT450" s="43"/>
      <c r="AU450" s="43"/>
      <c r="AV450" s="43"/>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5"/>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row>
    <row r="451" ht="18.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43"/>
      <c r="AR451" s="43"/>
      <c r="AS451" s="43"/>
      <c r="AT451" s="43"/>
      <c r="AU451" s="43"/>
      <c r="AV451" s="43"/>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5"/>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row>
    <row r="452" ht="18.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43"/>
      <c r="AR452" s="43"/>
      <c r="AS452" s="43"/>
      <c r="AT452" s="43"/>
      <c r="AU452" s="43"/>
      <c r="AV452" s="43"/>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5"/>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row>
    <row r="453" ht="18.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43"/>
      <c r="AR453" s="43"/>
      <c r="AS453" s="43"/>
      <c r="AT453" s="43"/>
      <c r="AU453" s="43"/>
      <c r="AV453" s="43"/>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5"/>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row>
    <row r="454" ht="18.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43"/>
      <c r="AR454" s="43"/>
      <c r="AS454" s="43"/>
      <c r="AT454" s="43"/>
      <c r="AU454" s="43"/>
      <c r="AV454" s="43"/>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5"/>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row>
    <row r="455" ht="18.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43"/>
      <c r="AR455" s="43"/>
      <c r="AS455" s="43"/>
      <c r="AT455" s="43"/>
      <c r="AU455" s="43"/>
      <c r="AV455" s="43"/>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5"/>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row>
    <row r="456" ht="18.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43"/>
      <c r="AR456" s="43"/>
      <c r="AS456" s="43"/>
      <c r="AT456" s="43"/>
      <c r="AU456" s="43"/>
      <c r="AV456" s="43"/>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5"/>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row>
    <row r="457" ht="18.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43"/>
      <c r="AR457" s="43"/>
      <c r="AS457" s="43"/>
      <c r="AT457" s="43"/>
      <c r="AU457" s="43"/>
      <c r="AV457" s="43"/>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5"/>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row>
    <row r="458" ht="18.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43"/>
      <c r="AR458" s="43"/>
      <c r="AS458" s="43"/>
      <c r="AT458" s="43"/>
      <c r="AU458" s="43"/>
      <c r="AV458" s="43"/>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5"/>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row>
    <row r="459" ht="18.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43"/>
      <c r="AR459" s="43"/>
      <c r="AS459" s="43"/>
      <c r="AT459" s="43"/>
      <c r="AU459" s="43"/>
      <c r="AV459" s="43"/>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5"/>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row>
    <row r="460" ht="18.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43"/>
      <c r="AR460" s="43"/>
      <c r="AS460" s="43"/>
      <c r="AT460" s="43"/>
      <c r="AU460" s="43"/>
      <c r="AV460" s="43"/>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5"/>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row>
    <row r="461" ht="18.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43"/>
      <c r="AR461" s="43"/>
      <c r="AS461" s="43"/>
      <c r="AT461" s="43"/>
      <c r="AU461" s="43"/>
      <c r="AV461" s="43"/>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5"/>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row>
    <row r="462" ht="18.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43"/>
      <c r="AR462" s="43"/>
      <c r="AS462" s="43"/>
      <c r="AT462" s="43"/>
      <c r="AU462" s="43"/>
      <c r="AV462" s="43"/>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5"/>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row>
    <row r="463" ht="18.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43"/>
      <c r="AR463" s="43"/>
      <c r="AS463" s="43"/>
      <c r="AT463" s="43"/>
      <c r="AU463" s="43"/>
      <c r="AV463" s="43"/>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5"/>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row>
    <row r="464" ht="18.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43"/>
      <c r="AR464" s="43"/>
      <c r="AS464" s="43"/>
      <c r="AT464" s="43"/>
      <c r="AU464" s="43"/>
      <c r="AV464" s="43"/>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5"/>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row>
    <row r="465" ht="18.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43"/>
      <c r="AR465" s="43"/>
      <c r="AS465" s="43"/>
      <c r="AT465" s="43"/>
      <c r="AU465" s="43"/>
      <c r="AV465" s="43"/>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5"/>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row>
    <row r="466" ht="18.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43"/>
      <c r="AR466" s="43"/>
      <c r="AS466" s="43"/>
      <c r="AT466" s="43"/>
      <c r="AU466" s="43"/>
      <c r="AV466" s="43"/>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5"/>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row>
    <row r="467" ht="18.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43"/>
      <c r="AR467" s="43"/>
      <c r="AS467" s="43"/>
      <c r="AT467" s="43"/>
      <c r="AU467" s="43"/>
      <c r="AV467" s="43"/>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5"/>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row>
    <row r="468" ht="18.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43"/>
      <c r="AR468" s="43"/>
      <c r="AS468" s="43"/>
      <c r="AT468" s="43"/>
      <c r="AU468" s="43"/>
      <c r="AV468" s="43"/>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5"/>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row>
    <row r="469" ht="18.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43"/>
      <c r="AR469" s="43"/>
      <c r="AS469" s="43"/>
      <c r="AT469" s="43"/>
      <c r="AU469" s="43"/>
      <c r="AV469" s="43"/>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5"/>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row>
    <row r="470" ht="18.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43"/>
      <c r="AR470" s="43"/>
      <c r="AS470" s="43"/>
      <c r="AT470" s="43"/>
      <c r="AU470" s="43"/>
      <c r="AV470" s="43"/>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5"/>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row>
    <row r="471" ht="18.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43"/>
      <c r="AR471" s="43"/>
      <c r="AS471" s="43"/>
      <c r="AT471" s="43"/>
      <c r="AU471" s="43"/>
      <c r="AV471" s="43"/>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5"/>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row>
    <row r="472" ht="18.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43"/>
      <c r="AR472" s="43"/>
      <c r="AS472" s="43"/>
      <c r="AT472" s="43"/>
      <c r="AU472" s="43"/>
      <c r="AV472" s="43"/>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5"/>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row>
    <row r="473" ht="18.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43"/>
      <c r="AR473" s="43"/>
      <c r="AS473" s="43"/>
      <c r="AT473" s="43"/>
      <c r="AU473" s="43"/>
      <c r="AV473" s="43"/>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5"/>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row>
    <row r="474" ht="18.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43"/>
      <c r="AR474" s="43"/>
      <c r="AS474" s="43"/>
      <c r="AT474" s="43"/>
      <c r="AU474" s="43"/>
      <c r="AV474" s="43"/>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5"/>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row>
    <row r="475" ht="18.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43"/>
      <c r="AR475" s="43"/>
      <c r="AS475" s="43"/>
      <c r="AT475" s="43"/>
      <c r="AU475" s="43"/>
      <c r="AV475" s="43"/>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5"/>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row>
    <row r="476" ht="18.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43"/>
      <c r="AR476" s="43"/>
      <c r="AS476" s="43"/>
      <c r="AT476" s="43"/>
      <c r="AU476" s="43"/>
      <c r="AV476" s="43"/>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5"/>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row>
    <row r="477" ht="18.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43"/>
      <c r="AR477" s="43"/>
      <c r="AS477" s="43"/>
      <c r="AT477" s="43"/>
      <c r="AU477" s="43"/>
      <c r="AV477" s="43"/>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5"/>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row>
    <row r="478" ht="18.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43"/>
      <c r="AR478" s="43"/>
      <c r="AS478" s="43"/>
      <c r="AT478" s="43"/>
      <c r="AU478" s="43"/>
      <c r="AV478" s="43"/>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5"/>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row>
    <row r="479" ht="18.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43"/>
      <c r="AR479" s="43"/>
      <c r="AS479" s="43"/>
      <c r="AT479" s="43"/>
      <c r="AU479" s="43"/>
      <c r="AV479" s="43"/>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5"/>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row>
    <row r="480" ht="18.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43"/>
      <c r="AR480" s="43"/>
      <c r="AS480" s="43"/>
      <c r="AT480" s="43"/>
      <c r="AU480" s="43"/>
      <c r="AV480" s="43"/>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5"/>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row>
    <row r="481" ht="18.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43"/>
      <c r="AR481" s="43"/>
      <c r="AS481" s="43"/>
      <c r="AT481" s="43"/>
      <c r="AU481" s="43"/>
      <c r="AV481" s="43"/>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5"/>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row>
    <row r="482" ht="18.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43"/>
      <c r="AR482" s="43"/>
      <c r="AS482" s="43"/>
      <c r="AT482" s="43"/>
      <c r="AU482" s="43"/>
      <c r="AV482" s="43"/>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5"/>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row>
    <row r="483" ht="18.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43"/>
      <c r="AR483" s="43"/>
      <c r="AS483" s="43"/>
      <c r="AT483" s="43"/>
      <c r="AU483" s="43"/>
      <c r="AV483" s="43"/>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5"/>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row>
    <row r="484" ht="18.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43"/>
      <c r="AR484" s="43"/>
      <c r="AS484" s="43"/>
      <c r="AT484" s="43"/>
      <c r="AU484" s="43"/>
      <c r="AV484" s="43"/>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5"/>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row>
    <row r="485" ht="18.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43"/>
      <c r="AR485" s="43"/>
      <c r="AS485" s="43"/>
      <c r="AT485" s="43"/>
      <c r="AU485" s="43"/>
      <c r="AV485" s="43"/>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5"/>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row>
    <row r="486" ht="18.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43"/>
      <c r="AR486" s="43"/>
      <c r="AS486" s="43"/>
      <c r="AT486" s="43"/>
      <c r="AU486" s="43"/>
      <c r="AV486" s="43"/>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5"/>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row>
    <row r="487" ht="18.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43"/>
      <c r="AR487" s="43"/>
      <c r="AS487" s="43"/>
      <c r="AT487" s="43"/>
      <c r="AU487" s="43"/>
      <c r="AV487" s="43"/>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5"/>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row>
    <row r="488" ht="18.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43"/>
      <c r="AR488" s="43"/>
      <c r="AS488" s="43"/>
      <c r="AT488" s="43"/>
      <c r="AU488" s="43"/>
      <c r="AV488" s="43"/>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5"/>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row>
    <row r="489" ht="18.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43"/>
      <c r="AR489" s="43"/>
      <c r="AS489" s="43"/>
      <c r="AT489" s="43"/>
      <c r="AU489" s="43"/>
      <c r="AV489" s="43"/>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5"/>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row>
    <row r="490" ht="18.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43"/>
      <c r="AR490" s="43"/>
      <c r="AS490" s="43"/>
      <c r="AT490" s="43"/>
      <c r="AU490" s="43"/>
      <c r="AV490" s="43"/>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5"/>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row>
    <row r="491" ht="18.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43"/>
      <c r="AR491" s="43"/>
      <c r="AS491" s="43"/>
      <c r="AT491" s="43"/>
      <c r="AU491" s="43"/>
      <c r="AV491" s="43"/>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5"/>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row>
    <row r="492" ht="18.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43"/>
      <c r="AR492" s="43"/>
      <c r="AS492" s="43"/>
      <c r="AT492" s="43"/>
      <c r="AU492" s="43"/>
      <c r="AV492" s="43"/>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5"/>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row>
    <row r="493" ht="18.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43"/>
      <c r="AR493" s="43"/>
      <c r="AS493" s="43"/>
      <c r="AT493" s="43"/>
      <c r="AU493" s="43"/>
      <c r="AV493" s="43"/>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5"/>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row>
    <row r="494" ht="18.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43"/>
      <c r="AR494" s="43"/>
      <c r="AS494" s="43"/>
      <c r="AT494" s="43"/>
      <c r="AU494" s="43"/>
      <c r="AV494" s="43"/>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5"/>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row>
    <row r="495" ht="18.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43"/>
      <c r="AR495" s="43"/>
      <c r="AS495" s="43"/>
      <c r="AT495" s="43"/>
      <c r="AU495" s="43"/>
      <c r="AV495" s="43"/>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5"/>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row>
    <row r="496" ht="18.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43"/>
      <c r="AR496" s="43"/>
      <c r="AS496" s="43"/>
      <c r="AT496" s="43"/>
      <c r="AU496" s="43"/>
      <c r="AV496" s="43"/>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5"/>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row>
    <row r="497" ht="18.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43"/>
      <c r="AR497" s="43"/>
      <c r="AS497" s="43"/>
      <c r="AT497" s="43"/>
      <c r="AU497" s="43"/>
      <c r="AV497" s="43"/>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5"/>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row>
    <row r="498" ht="18.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43"/>
      <c r="AR498" s="43"/>
      <c r="AS498" s="43"/>
      <c r="AT498" s="43"/>
      <c r="AU498" s="43"/>
      <c r="AV498" s="43"/>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5"/>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row>
    <row r="499" ht="18.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43"/>
      <c r="AR499" s="43"/>
      <c r="AS499" s="43"/>
      <c r="AT499" s="43"/>
      <c r="AU499" s="43"/>
      <c r="AV499" s="43"/>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5"/>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row>
    <row r="500" ht="18.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43"/>
      <c r="AR500" s="43"/>
      <c r="AS500" s="43"/>
      <c r="AT500" s="43"/>
      <c r="AU500" s="43"/>
      <c r="AV500" s="43"/>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5"/>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row>
    <row r="501" ht="18.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43"/>
      <c r="AR501" s="43"/>
      <c r="AS501" s="43"/>
      <c r="AT501" s="43"/>
      <c r="AU501" s="43"/>
      <c r="AV501" s="43"/>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5"/>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row>
    <row r="502" ht="18.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43"/>
      <c r="AR502" s="43"/>
      <c r="AS502" s="43"/>
      <c r="AT502" s="43"/>
      <c r="AU502" s="43"/>
      <c r="AV502" s="43"/>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5"/>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row>
    <row r="503" ht="18.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43"/>
      <c r="AR503" s="43"/>
      <c r="AS503" s="43"/>
      <c r="AT503" s="43"/>
      <c r="AU503" s="43"/>
      <c r="AV503" s="43"/>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5"/>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row>
    <row r="504" ht="18.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43"/>
      <c r="AR504" s="43"/>
      <c r="AS504" s="43"/>
      <c r="AT504" s="43"/>
      <c r="AU504" s="43"/>
      <c r="AV504" s="43"/>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5"/>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row>
    <row r="505" ht="18.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43"/>
      <c r="AR505" s="43"/>
      <c r="AS505" s="43"/>
      <c r="AT505" s="43"/>
      <c r="AU505" s="43"/>
      <c r="AV505" s="43"/>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5"/>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row>
    <row r="506" ht="18.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43"/>
      <c r="AR506" s="43"/>
      <c r="AS506" s="43"/>
      <c r="AT506" s="43"/>
      <c r="AU506" s="43"/>
      <c r="AV506" s="43"/>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5"/>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row>
    <row r="507" ht="18.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43"/>
      <c r="AR507" s="43"/>
      <c r="AS507" s="43"/>
      <c r="AT507" s="43"/>
      <c r="AU507" s="43"/>
      <c r="AV507" s="43"/>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5"/>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row>
    <row r="508" ht="18.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43"/>
      <c r="AR508" s="43"/>
      <c r="AS508" s="43"/>
      <c r="AT508" s="43"/>
      <c r="AU508" s="43"/>
      <c r="AV508" s="43"/>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5"/>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row>
    <row r="509" ht="18.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43"/>
      <c r="AR509" s="43"/>
      <c r="AS509" s="43"/>
      <c r="AT509" s="43"/>
      <c r="AU509" s="43"/>
      <c r="AV509" s="43"/>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5"/>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row>
    <row r="510" ht="18.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43"/>
      <c r="AR510" s="43"/>
      <c r="AS510" s="43"/>
      <c r="AT510" s="43"/>
      <c r="AU510" s="43"/>
      <c r="AV510" s="43"/>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5"/>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row>
    <row r="511" ht="18.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43"/>
      <c r="AR511" s="43"/>
      <c r="AS511" s="43"/>
      <c r="AT511" s="43"/>
      <c r="AU511" s="43"/>
      <c r="AV511" s="43"/>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5"/>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row>
    <row r="512" ht="18.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43"/>
      <c r="AR512" s="43"/>
      <c r="AS512" s="43"/>
      <c r="AT512" s="43"/>
      <c r="AU512" s="43"/>
      <c r="AV512" s="43"/>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5"/>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row>
    <row r="513" ht="18.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43"/>
      <c r="AR513" s="43"/>
      <c r="AS513" s="43"/>
      <c r="AT513" s="43"/>
      <c r="AU513" s="43"/>
      <c r="AV513" s="43"/>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5"/>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row>
    <row r="514" ht="18.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43"/>
      <c r="AR514" s="43"/>
      <c r="AS514" s="43"/>
      <c r="AT514" s="43"/>
      <c r="AU514" s="43"/>
      <c r="AV514" s="43"/>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5"/>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row>
    <row r="515" ht="18.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43"/>
      <c r="AR515" s="43"/>
      <c r="AS515" s="43"/>
      <c r="AT515" s="43"/>
      <c r="AU515" s="43"/>
      <c r="AV515" s="43"/>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5"/>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row>
    <row r="516" ht="18.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43"/>
      <c r="AR516" s="43"/>
      <c r="AS516" s="43"/>
      <c r="AT516" s="43"/>
      <c r="AU516" s="43"/>
      <c r="AV516" s="43"/>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5"/>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row>
    <row r="517" ht="18.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43"/>
      <c r="AR517" s="43"/>
      <c r="AS517" s="43"/>
      <c r="AT517" s="43"/>
      <c r="AU517" s="43"/>
      <c r="AV517" s="43"/>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5"/>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row>
    <row r="518" ht="18.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43"/>
      <c r="AR518" s="43"/>
      <c r="AS518" s="43"/>
      <c r="AT518" s="43"/>
      <c r="AU518" s="43"/>
      <c r="AV518" s="43"/>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5"/>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row>
    <row r="519" ht="18.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43"/>
      <c r="AR519" s="43"/>
      <c r="AS519" s="43"/>
      <c r="AT519" s="43"/>
      <c r="AU519" s="43"/>
      <c r="AV519" s="43"/>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5"/>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row>
    <row r="520" ht="18.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43"/>
      <c r="AR520" s="43"/>
      <c r="AS520" s="43"/>
      <c r="AT520" s="43"/>
      <c r="AU520" s="43"/>
      <c r="AV520" s="43"/>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5"/>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row>
    <row r="521" ht="18.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43"/>
      <c r="AR521" s="43"/>
      <c r="AS521" s="43"/>
      <c r="AT521" s="43"/>
      <c r="AU521" s="43"/>
      <c r="AV521" s="43"/>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5"/>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row>
    <row r="522" ht="18.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43"/>
      <c r="AR522" s="43"/>
      <c r="AS522" s="43"/>
      <c r="AT522" s="43"/>
      <c r="AU522" s="43"/>
      <c r="AV522" s="43"/>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5"/>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row>
    <row r="523" ht="18.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43"/>
      <c r="AR523" s="43"/>
      <c r="AS523" s="43"/>
      <c r="AT523" s="43"/>
      <c r="AU523" s="43"/>
      <c r="AV523" s="43"/>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5"/>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row>
    <row r="524" ht="18.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43"/>
      <c r="AR524" s="43"/>
      <c r="AS524" s="43"/>
      <c r="AT524" s="43"/>
      <c r="AU524" s="43"/>
      <c r="AV524" s="43"/>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5"/>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row>
    <row r="525" ht="18.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43"/>
      <c r="AR525" s="43"/>
      <c r="AS525" s="43"/>
      <c r="AT525" s="43"/>
      <c r="AU525" s="43"/>
      <c r="AV525" s="43"/>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5"/>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row>
    <row r="526" ht="18.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43"/>
      <c r="AR526" s="43"/>
      <c r="AS526" s="43"/>
      <c r="AT526" s="43"/>
      <c r="AU526" s="43"/>
      <c r="AV526" s="43"/>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5"/>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row>
    <row r="527" ht="18.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43"/>
      <c r="AR527" s="43"/>
      <c r="AS527" s="43"/>
      <c r="AT527" s="43"/>
      <c r="AU527" s="43"/>
      <c r="AV527" s="43"/>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5"/>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row>
    <row r="528" ht="18.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43"/>
      <c r="AR528" s="43"/>
      <c r="AS528" s="43"/>
      <c r="AT528" s="43"/>
      <c r="AU528" s="43"/>
      <c r="AV528" s="43"/>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5"/>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row>
    <row r="529" ht="18.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43"/>
      <c r="AR529" s="43"/>
      <c r="AS529" s="43"/>
      <c r="AT529" s="43"/>
      <c r="AU529" s="43"/>
      <c r="AV529" s="43"/>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5"/>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row>
    <row r="530" ht="18.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43"/>
      <c r="AR530" s="43"/>
      <c r="AS530" s="43"/>
      <c r="AT530" s="43"/>
      <c r="AU530" s="43"/>
      <c r="AV530" s="43"/>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5"/>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row>
    <row r="531" ht="18.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43"/>
      <c r="AR531" s="43"/>
      <c r="AS531" s="43"/>
      <c r="AT531" s="43"/>
      <c r="AU531" s="43"/>
      <c r="AV531" s="43"/>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5"/>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row>
    <row r="532" ht="18.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43"/>
      <c r="AR532" s="43"/>
      <c r="AS532" s="43"/>
      <c r="AT532" s="43"/>
      <c r="AU532" s="43"/>
      <c r="AV532" s="43"/>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5"/>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row>
    <row r="533" ht="18.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43"/>
      <c r="AR533" s="43"/>
      <c r="AS533" s="43"/>
      <c r="AT533" s="43"/>
      <c r="AU533" s="43"/>
      <c r="AV533" s="43"/>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5"/>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row>
    <row r="534" ht="18.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43"/>
      <c r="AR534" s="43"/>
      <c r="AS534" s="43"/>
      <c r="AT534" s="43"/>
      <c r="AU534" s="43"/>
      <c r="AV534" s="43"/>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5"/>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row>
    <row r="535" ht="18.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43"/>
      <c r="AR535" s="43"/>
      <c r="AS535" s="43"/>
      <c r="AT535" s="43"/>
      <c r="AU535" s="43"/>
      <c r="AV535" s="43"/>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5"/>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row>
    <row r="536" ht="18.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43"/>
      <c r="AR536" s="43"/>
      <c r="AS536" s="43"/>
      <c r="AT536" s="43"/>
      <c r="AU536" s="43"/>
      <c r="AV536" s="43"/>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5"/>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row>
    <row r="537" ht="18.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43"/>
      <c r="AR537" s="43"/>
      <c r="AS537" s="43"/>
      <c r="AT537" s="43"/>
      <c r="AU537" s="43"/>
      <c r="AV537" s="43"/>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5"/>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row>
    <row r="538" ht="18.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43"/>
      <c r="AR538" s="43"/>
      <c r="AS538" s="43"/>
      <c r="AT538" s="43"/>
      <c r="AU538" s="43"/>
      <c r="AV538" s="43"/>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5"/>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row>
    <row r="539" ht="18.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43"/>
      <c r="AR539" s="43"/>
      <c r="AS539" s="43"/>
      <c r="AT539" s="43"/>
      <c r="AU539" s="43"/>
      <c r="AV539" s="43"/>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5"/>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row>
    <row r="540" ht="18.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43"/>
      <c r="AR540" s="43"/>
      <c r="AS540" s="43"/>
      <c r="AT540" s="43"/>
      <c r="AU540" s="43"/>
      <c r="AV540" s="43"/>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5"/>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row>
    <row r="541" ht="18.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43"/>
      <c r="AR541" s="43"/>
      <c r="AS541" s="43"/>
      <c r="AT541" s="43"/>
      <c r="AU541" s="43"/>
      <c r="AV541" s="43"/>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5"/>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row>
    <row r="542" ht="18.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43"/>
      <c r="AR542" s="43"/>
      <c r="AS542" s="43"/>
      <c r="AT542" s="43"/>
      <c r="AU542" s="43"/>
      <c r="AV542" s="43"/>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5"/>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row>
    <row r="543" ht="18.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43"/>
      <c r="AR543" s="43"/>
      <c r="AS543" s="43"/>
      <c r="AT543" s="43"/>
      <c r="AU543" s="43"/>
      <c r="AV543" s="43"/>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5"/>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row>
    <row r="544" ht="18.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43"/>
      <c r="AR544" s="43"/>
      <c r="AS544" s="43"/>
      <c r="AT544" s="43"/>
      <c r="AU544" s="43"/>
      <c r="AV544" s="43"/>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5"/>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row>
    <row r="545" ht="18.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43"/>
      <c r="AR545" s="43"/>
      <c r="AS545" s="43"/>
      <c r="AT545" s="43"/>
      <c r="AU545" s="43"/>
      <c r="AV545" s="43"/>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5"/>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row>
    <row r="546" ht="18.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43"/>
      <c r="AR546" s="43"/>
      <c r="AS546" s="43"/>
      <c r="AT546" s="43"/>
      <c r="AU546" s="43"/>
      <c r="AV546" s="43"/>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5"/>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row>
    <row r="547" ht="18.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43"/>
      <c r="AR547" s="43"/>
      <c r="AS547" s="43"/>
      <c r="AT547" s="43"/>
      <c r="AU547" s="43"/>
      <c r="AV547" s="43"/>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5"/>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row>
    <row r="548" ht="18.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43"/>
      <c r="AR548" s="43"/>
      <c r="AS548" s="43"/>
      <c r="AT548" s="43"/>
      <c r="AU548" s="43"/>
      <c r="AV548" s="43"/>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5"/>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row>
    <row r="549" ht="18.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43"/>
      <c r="AR549" s="43"/>
      <c r="AS549" s="43"/>
      <c r="AT549" s="43"/>
      <c r="AU549" s="43"/>
      <c r="AV549" s="43"/>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5"/>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row>
    <row r="550" ht="18.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43"/>
      <c r="AR550" s="43"/>
      <c r="AS550" s="43"/>
      <c r="AT550" s="43"/>
      <c r="AU550" s="43"/>
      <c r="AV550" s="43"/>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5"/>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row>
    <row r="551" ht="18.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43"/>
      <c r="AR551" s="43"/>
      <c r="AS551" s="43"/>
      <c r="AT551" s="43"/>
      <c r="AU551" s="43"/>
      <c r="AV551" s="43"/>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5"/>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row>
    <row r="552" ht="18.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43"/>
      <c r="AR552" s="43"/>
      <c r="AS552" s="43"/>
      <c r="AT552" s="43"/>
      <c r="AU552" s="43"/>
      <c r="AV552" s="43"/>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5"/>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row>
    <row r="553" ht="18.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43"/>
      <c r="AR553" s="43"/>
      <c r="AS553" s="43"/>
      <c r="AT553" s="43"/>
      <c r="AU553" s="43"/>
      <c r="AV553" s="43"/>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5"/>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row>
    <row r="554" ht="18.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43"/>
      <c r="AR554" s="43"/>
      <c r="AS554" s="43"/>
      <c r="AT554" s="43"/>
      <c r="AU554" s="43"/>
      <c r="AV554" s="43"/>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5"/>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row>
    <row r="555" ht="18.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43"/>
      <c r="AR555" s="43"/>
      <c r="AS555" s="43"/>
      <c r="AT555" s="43"/>
      <c r="AU555" s="43"/>
      <c r="AV555" s="43"/>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5"/>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row>
    <row r="556" ht="18.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43"/>
      <c r="AR556" s="43"/>
      <c r="AS556" s="43"/>
      <c r="AT556" s="43"/>
      <c r="AU556" s="43"/>
      <c r="AV556" s="43"/>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5"/>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row>
    <row r="557" ht="18.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43"/>
      <c r="AR557" s="43"/>
      <c r="AS557" s="43"/>
      <c r="AT557" s="43"/>
      <c r="AU557" s="43"/>
      <c r="AV557" s="43"/>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5"/>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row>
    <row r="558" ht="18.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43"/>
      <c r="AR558" s="43"/>
      <c r="AS558" s="43"/>
      <c r="AT558" s="43"/>
      <c r="AU558" s="43"/>
      <c r="AV558" s="43"/>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5"/>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row>
    <row r="559" ht="18.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43"/>
      <c r="AR559" s="43"/>
      <c r="AS559" s="43"/>
      <c r="AT559" s="43"/>
      <c r="AU559" s="43"/>
      <c r="AV559" s="43"/>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5"/>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row>
    <row r="560" ht="18.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43"/>
      <c r="AR560" s="43"/>
      <c r="AS560" s="43"/>
      <c r="AT560" s="43"/>
      <c r="AU560" s="43"/>
      <c r="AV560" s="43"/>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5"/>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row>
    <row r="561" ht="18.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43"/>
      <c r="AR561" s="43"/>
      <c r="AS561" s="43"/>
      <c r="AT561" s="43"/>
      <c r="AU561" s="43"/>
      <c r="AV561" s="43"/>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5"/>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row>
    <row r="562" ht="18.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43"/>
      <c r="AR562" s="43"/>
      <c r="AS562" s="43"/>
      <c r="AT562" s="43"/>
      <c r="AU562" s="43"/>
      <c r="AV562" s="43"/>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5"/>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row>
    <row r="563" ht="18.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43"/>
      <c r="AR563" s="43"/>
      <c r="AS563" s="43"/>
      <c r="AT563" s="43"/>
      <c r="AU563" s="43"/>
      <c r="AV563" s="43"/>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5"/>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row>
    <row r="564" ht="18.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43"/>
      <c r="AR564" s="43"/>
      <c r="AS564" s="43"/>
      <c r="AT564" s="43"/>
      <c r="AU564" s="43"/>
      <c r="AV564" s="43"/>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5"/>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row>
    <row r="565" ht="18.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43"/>
      <c r="AR565" s="43"/>
      <c r="AS565" s="43"/>
      <c r="AT565" s="43"/>
      <c r="AU565" s="43"/>
      <c r="AV565" s="43"/>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5"/>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row>
    <row r="566" ht="18.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43"/>
      <c r="AR566" s="43"/>
      <c r="AS566" s="43"/>
      <c r="AT566" s="43"/>
      <c r="AU566" s="43"/>
      <c r="AV566" s="43"/>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5"/>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row>
    <row r="567" ht="18.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43"/>
      <c r="AR567" s="43"/>
      <c r="AS567" s="43"/>
      <c r="AT567" s="43"/>
      <c r="AU567" s="43"/>
      <c r="AV567" s="43"/>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5"/>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row>
    <row r="568" ht="18.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43"/>
      <c r="AR568" s="43"/>
      <c r="AS568" s="43"/>
      <c r="AT568" s="43"/>
      <c r="AU568" s="43"/>
      <c r="AV568" s="43"/>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5"/>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row>
    <row r="569" ht="18.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43"/>
      <c r="AR569" s="43"/>
      <c r="AS569" s="43"/>
      <c r="AT569" s="43"/>
      <c r="AU569" s="43"/>
      <c r="AV569" s="43"/>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5"/>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row>
    <row r="570" ht="18.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43"/>
      <c r="AR570" s="43"/>
      <c r="AS570" s="43"/>
      <c r="AT570" s="43"/>
      <c r="AU570" s="43"/>
      <c r="AV570" s="43"/>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5"/>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row>
    <row r="571" ht="18.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43"/>
      <c r="AR571" s="43"/>
      <c r="AS571" s="43"/>
      <c r="AT571" s="43"/>
      <c r="AU571" s="43"/>
      <c r="AV571" s="43"/>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5"/>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row>
    <row r="572" ht="18.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43"/>
      <c r="AR572" s="43"/>
      <c r="AS572" s="43"/>
      <c r="AT572" s="43"/>
      <c r="AU572" s="43"/>
      <c r="AV572" s="43"/>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5"/>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row>
    <row r="573" ht="18.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43"/>
      <c r="AR573" s="43"/>
      <c r="AS573" s="43"/>
      <c r="AT573" s="43"/>
      <c r="AU573" s="43"/>
      <c r="AV573" s="43"/>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5"/>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row>
    <row r="574" ht="18.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43"/>
      <c r="AR574" s="43"/>
      <c r="AS574" s="43"/>
      <c r="AT574" s="43"/>
      <c r="AU574" s="43"/>
      <c r="AV574" s="43"/>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5"/>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row>
    <row r="575" ht="18.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43"/>
      <c r="AR575" s="43"/>
      <c r="AS575" s="43"/>
      <c r="AT575" s="43"/>
      <c r="AU575" s="43"/>
      <c r="AV575" s="43"/>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5"/>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row>
    <row r="576" ht="18.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43"/>
      <c r="AR576" s="43"/>
      <c r="AS576" s="43"/>
      <c r="AT576" s="43"/>
      <c r="AU576" s="43"/>
      <c r="AV576" s="43"/>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5"/>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row>
    <row r="577" ht="18.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43"/>
      <c r="AR577" s="43"/>
      <c r="AS577" s="43"/>
      <c r="AT577" s="43"/>
      <c r="AU577" s="43"/>
      <c r="AV577" s="43"/>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5"/>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row>
    <row r="578" ht="18.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43"/>
      <c r="AR578" s="43"/>
      <c r="AS578" s="43"/>
      <c r="AT578" s="43"/>
      <c r="AU578" s="43"/>
      <c r="AV578" s="43"/>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5"/>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row>
    <row r="579" ht="18.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43"/>
      <c r="AR579" s="43"/>
      <c r="AS579" s="43"/>
      <c r="AT579" s="43"/>
      <c r="AU579" s="43"/>
      <c r="AV579" s="43"/>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5"/>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row>
    <row r="580" ht="18.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43"/>
      <c r="AR580" s="43"/>
      <c r="AS580" s="43"/>
      <c r="AT580" s="43"/>
      <c r="AU580" s="43"/>
      <c r="AV580" s="43"/>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5"/>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row>
    <row r="581" ht="18.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43"/>
      <c r="AR581" s="43"/>
      <c r="AS581" s="43"/>
      <c r="AT581" s="43"/>
      <c r="AU581" s="43"/>
      <c r="AV581" s="43"/>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5"/>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row>
    <row r="582" ht="18.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43"/>
      <c r="AR582" s="43"/>
      <c r="AS582" s="43"/>
      <c r="AT582" s="43"/>
      <c r="AU582" s="43"/>
      <c r="AV582" s="43"/>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5"/>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row>
    <row r="583" ht="18.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43"/>
      <c r="AR583" s="43"/>
      <c r="AS583" s="43"/>
      <c r="AT583" s="43"/>
      <c r="AU583" s="43"/>
      <c r="AV583" s="43"/>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5"/>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row>
    <row r="584" ht="18.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43"/>
      <c r="AR584" s="43"/>
      <c r="AS584" s="43"/>
      <c r="AT584" s="43"/>
      <c r="AU584" s="43"/>
      <c r="AV584" s="43"/>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5"/>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row>
    <row r="585" ht="18.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43"/>
      <c r="AR585" s="43"/>
      <c r="AS585" s="43"/>
      <c r="AT585" s="43"/>
      <c r="AU585" s="43"/>
      <c r="AV585" s="43"/>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5"/>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row>
    <row r="586" ht="18.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43"/>
      <c r="AR586" s="43"/>
      <c r="AS586" s="43"/>
      <c r="AT586" s="43"/>
      <c r="AU586" s="43"/>
      <c r="AV586" s="43"/>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5"/>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row>
    <row r="587" ht="18.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43"/>
      <c r="AR587" s="43"/>
      <c r="AS587" s="43"/>
      <c r="AT587" s="43"/>
      <c r="AU587" s="43"/>
      <c r="AV587" s="43"/>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5"/>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row>
    <row r="588" ht="18.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43"/>
      <c r="AR588" s="43"/>
      <c r="AS588" s="43"/>
      <c r="AT588" s="43"/>
      <c r="AU588" s="43"/>
      <c r="AV588" s="43"/>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5"/>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row>
    <row r="589" ht="18.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43"/>
      <c r="AR589" s="43"/>
      <c r="AS589" s="43"/>
      <c r="AT589" s="43"/>
      <c r="AU589" s="43"/>
      <c r="AV589" s="43"/>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5"/>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row>
    <row r="590" ht="18.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43"/>
      <c r="AR590" s="43"/>
      <c r="AS590" s="43"/>
      <c r="AT590" s="43"/>
      <c r="AU590" s="43"/>
      <c r="AV590" s="43"/>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5"/>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row>
    <row r="591" ht="18.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43"/>
      <c r="AR591" s="43"/>
      <c r="AS591" s="43"/>
      <c r="AT591" s="43"/>
      <c r="AU591" s="43"/>
      <c r="AV591" s="43"/>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5"/>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row>
    <row r="592" ht="18.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43"/>
      <c r="AR592" s="43"/>
      <c r="AS592" s="43"/>
      <c r="AT592" s="43"/>
      <c r="AU592" s="43"/>
      <c r="AV592" s="43"/>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5"/>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row>
    <row r="593" ht="18.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43"/>
      <c r="AR593" s="43"/>
      <c r="AS593" s="43"/>
      <c r="AT593" s="43"/>
      <c r="AU593" s="43"/>
      <c r="AV593" s="43"/>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5"/>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row>
    <row r="594" ht="18.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43"/>
      <c r="AR594" s="43"/>
      <c r="AS594" s="43"/>
      <c r="AT594" s="43"/>
      <c r="AU594" s="43"/>
      <c r="AV594" s="43"/>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5"/>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row>
    <row r="595" ht="18.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43"/>
      <c r="AR595" s="43"/>
      <c r="AS595" s="43"/>
      <c r="AT595" s="43"/>
      <c r="AU595" s="43"/>
      <c r="AV595" s="43"/>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5"/>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row>
    <row r="596" ht="18.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43"/>
      <c r="AR596" s="43"/>
      <c r="AS596" s="43"/>
      <c r="AT596" s="43"/>
      <c r="AU596" s="43"/>
      <c r="AV596" s="43"/>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5"/>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row>
    <row r="597" ht="18.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43"/>
      <c r="AR597" s="43"/>
      <c r="AS597" s="43"/>
      <c r="AT597" s="43"/>
      <c r="AU597" s="43"/>
      <c r="AV597" s="43"/>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5"/>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row>
    <row r="598" ht="18.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43"/>
      <c r="AR598" s="43"/>
      <c r="AS598" s="43"/>
      <c r="AT598" s="43"/>
      <c r="AU598" s="43"/>
      <c r="AV598" s="43"/>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5"/>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row>
    <row r="599" ht="18.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43"/>
      <c r="AR599" s="43"/>
      <c r="AS599" s="43"/>
      <c r="AT599" s="43"/>
      <c r="AU599" s="43"/>
      <c r="AV599" s="43"/>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5"/>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row>
    <row r="600" ht="18.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43"/>
      <c r="AR600" s="43"/>
      <c r="AS600" s="43"/>
      <c r="AT600" s="43"/>
      <c r="AU600" s="43"/>
      <c r="AV600" s="43"/>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5"/>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row>
    <row r="601" ht="18.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43"/>
      <c r="AR601" s="43"/>
      <c r="AS601" s="43"/>
      <c r="AT601" s="43"/>
      <c r="AU601" s="43"/>
      <c r="AV601" s="43"/>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5"/>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row>
    <row r="602" ht="18.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43"/>
      <c r="AR602" s="43"/>
      <c r="AS602" s="43"/>
      <c r="AT602" s="43"/>
      <c r="AU602" s="43"/>
      <c r="AV602" s="43"/>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5"/>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row>
    <row r="603" ht="18.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43"/>
      <c r="AR603" s="43"/>
      <c r="AS603" s="43"/>
      <c r="AT603" s="43"/>
      <c r="AU603" s="43"/>
      <c r="AV603" s="43"/>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5"/>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row>
    <row r="604" ht="18.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43"/>
      <c r="AR604" s="43"/>
      <c r="AS604" s="43"/>
      <c r="AT604" s="43"/>
      <c r="AU604" s="43"/>
      <c r="AV604" s="43"/>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5"/>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row>
    <row r="605" ht="18.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43"/>
      <c r="AR605" s="43"/>
      <c r="AS605" s="43"/>
      <c r="AT605" s="43"/>
      <c r="AU605" s="43"/>
      <c r="AV605" s="43"/>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5"/>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row>
    <row r="606" ht="18.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43"/>
      <c r="AR606" s="43"/>
      <c r="AS606" s="43"/>
      <c r="AT606" s="43"/>
      <c r="AU606" s="43"/>
      <c r="AV606" s="43"/>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5"/>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row>
    <row r="607" ht="18.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43"/>
      <c r="AR607" s="43"/>
      <c r="AS607" s="43"/>
      <c r="AT607" s="43"/>
      <c r="AU607" s="43"/>
      <c r="AV607" s="43"/>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5"/>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row>
    <row r="608" ht="18.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43"/>
      <c r="AR608" s="43"/>
      <c r="AS608" s="43"/>
      <c r="AT608" s="43"/>
      <c r="AU608" s="43"/>
      <c r="AV608" s="43"/>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5"/>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row>
    <row r="609" ht="18.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43"/>
      <c r="AR609" s="43"/>
      <c r="AS609" s="43"/>
      <c r="AT609" s="43"/>
      <c r="AU609" s="43"/>
      <c r="AV609" s="43"/>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5"/>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row>
    <row r="610" ht="18.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43"/>
      <c r="AR610" s="43"/>
      <c r="AS610" s="43"/>
      <c r="AT610" s="43"/>
      <c r="AU610" s="43"/>
      <c r="AV610" s="43"/>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5"/>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row>
    <row r="611" ht="18.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43"/>
      <c r="AR611" s="43"/>
      <c r="AS611" s="43"/>
      <c r="AT611" s="43"/>
      <c r="AU611" s="43"/>
      <c r="AV611" s="43"/>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5"/>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row>
    <row r="612" ht="18.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43"/>
      <c r="AR612" s="43"/>
      <c r="AS612" s="43"/>
      <c r="AT612" s="43"/>
      <c r="AU612" s="43"/>
      <c r="AV612" s="43"/>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5"/>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row>
    <row r="613" ht="18.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43"/>
      <c r="AR613" s="43"/>
      <c r="AS613" s="43"/>
      <c r="AT613" s="43"/>
      <c r="AU613" s="43"/>
      <c r="AV613" s="43"/>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5"/>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row>
    <row r="614" ht="18.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43"/>
      <c r="AR614" s="43"/>
      <c r="AS614" s="43"/>
      <c r="AT614" s="43"/>
      <c r="AU614" s="43"/>
      <c r="AV614" s="43"/>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5"/>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row>
    <row r="615" ht="18.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43"/>
      <c r="AR615" s="43"/>
      <c r="AS615" s="43"/>
      <c r="AT615" s="43"/>
      <c r="AU615" s="43"/>
      <c r="AV615" s="43"/>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5"/>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row>
    <row r="616" ht="18.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43"/>
      <c r="AR616" s="43"/>
      <c r="AS616" s="43"/>
      <c r="AT616" s="43"/>
      <c r="AU616" s="43"/>
      <c r="AV616" s="43"/>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5"/>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row>
    <row r="617" ht="18.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43"/>
      <c r="AR617" s="43"/>
      <c r="AS617" s="43"/>
      <c r="AT617" s="43"/>
      <c r="AU617" s="43"/>
      <c r="AV617" s="43"/>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5"/>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row>
    <row r="618" ht="18.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43"/>
      <c r="AR618" s="43"/>
      <c r="AS618" s="43"/>
      <c r="AT618" s="43"/>
      <c r="AU618" s="43"/>
      <c r="AV618" s="43"/>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5"/>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row>
    <row r="619" ht="18.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43"/>
      <c r="AR619" s="43"/>
      <c r="AS619" s="43"/>
      <c r="AT619" s="43"/>
      <c r="AU619" s="43"/>
      <c r="AV619" s="43"/>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5"/>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row>
    <row r="620" ht="18.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43"/>
      <c r="AR620" s="43"/>
      <c r="AS620" s="43"/>
      <c r="AT620" s="43"/>
      <c r="AU620" s="43"/>
      <c r="AV620" s="43"/>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5"/>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row>
    <row r="621" ht="18.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43"/>
      <c r="AR621" s="43"/>
      <c r="AS621" s="43"/>
      <c r="AT621" s="43"/>
      <c r="AU621" s="43"/>
      <c r="AV621" s="43"/>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5"/>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row>
    <row r="622" ht="18.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43"/>
      <c r="AR622" s="43"/>
      <c r="AS622" s="43"/>
      <c r="AT622" s="43"/>
      <c r="AU622" s="43"/>
      <c r="AV622" s="43"/>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5"/>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row>
    <row r="623" ht="18.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43"/>
      <c r="AR623" s="43"/>
      <c r="AS623" s="43"/>
      <c r="AT623" s="43"/>
      <c r="AU623" s="43"/>
      <c r="AV623" s="43"/>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5"/>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row>
    <row r="624" ht="18.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43"/>
      <c r="AR624" s="43"/>
      <c r="AS624" s="43"/>
      <c r="AT624" s="43"/>
      <c r="AU624" s="43"/>
      <c r="AV624" s="43"/>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5"/>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row>
    <row r="625" ht="18.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43"/>
      <c r="AR625" s="43"/>
      <c r="AS625" s="43"/>
      <c r="AT625" s="43"/>
      <c r="AU625" s="43"/>
      <c r="AV625" s="43"/>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5"/>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row>
    <row r="626" ht="18.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43"/>
      <c r="AR626" s="43"/>
      <c r="AS626" s="43"/>
      <c r="AT626" s="43"/>
      <c r="AU626" s="43"/>
      <c r="AV626" s="43"/>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5"/>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row>
    <row r="627" ht="18.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43"/>
      <c r="AR627" s="43"/>
      <c r="AS627" s="43"/>
      <c r="AT627" s="43"/>
      <c r="AU627" s="43"/>
      <c r="AV627" s="43"/>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5"/>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row>
    <row r="628" ht="18.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43"/>
      <c r="AR628" s="43"/>
      <c r="AS628" s="43"/>
      <c r="AT628" s="43"/>
      <c r="AU628" s="43"/>
      <c r="AV628" s="43"/>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5"/>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row>
    <row r="629" ht="18.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43"/>
      <c r="AR629" s="43"/>
      <c r="AS629" s="43"/>
      <c r="AT629" s="43"/>
      <c r="AU629" s="43"/>
      <c r="AV629" s="43"/>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5"/>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row>
    <row r="630" ht="18.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43"/>
      <c r="AR630" s="43"/>
      <c r="AS630" s="43"/>
      <c r="AT630" s="43"/>
      <c r="AU630" s="43"/>
      <c r="AV630" s="43"/>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5"/>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row>
    <row r="631" ht="18.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43"/>
      <c r="AR631" s="43"/>
      <c r="AS631" s="43"/>
      <c r="AT631" s="43"/>
      <c r="AU631" s="43"/>
      <c r="AV631" s="43"/>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5"/>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row>
    <row r="632" ht="18.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43"/>
      <c r="AR632" s="43"/>
      <c r="AS632" s="43"/>
      <c r="AT632" s="43"/>
      <c r="AU632" s="43"/>
      <c r="AV632" s="43"/>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5"/>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row>
    <row r="633" ht="18.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43"/>
      <c r="AR633" s="43"/>
      <c r="AS633" s="43"/>
      <c r="AT633" s="43"/>
      <c r="AU633" s="43"/>
      <c r="AV633" s="43"/>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5"/>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row>
    <row r="634" ht="18.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43"/>
      <c r="AR634" s="43"/>
      <c r="AS634" s="43"/>
      <c r="AT634" s="43"/>
      <c r="AU634" s="43"/>
      <c r="AV634" s="43"/>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5"/>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row>
    <row r="635" ht="18.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43"/>
      <c r="AR635" s="43"/>
      <c r="AS635" s="43"/>
      <c r="AT635" s="43"/>
      <c r="AU635" s="43"/>
      <c r="AV635" s="43"/>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5"/>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row>
    <row r="636" ht="18.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43"/>
      <c r="AR636" s="43"/>
      <c r="AS636" s="43"/>
      <c r="AT636" s="43"/>
      <c r="AU636" s="43"/>
      <c r="AV636" s="43"/>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5"/>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row>
    <row r="637" ht="18.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43"/>
      <c r="AR637" s="43"/>
      <c r="AS637" s="43"/>
      <c r="AT637" s="43"/>
      <c r="AU637" s="43"/>
      <c r="AV637" s="43"/>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5"/>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row>
    <row r="638" ht="18.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43"/>
      <c r="AR638" s="43"/>
      <c r="AS638" s="43"/>
      <c r="AT638" s="43"/>
      <c r="AU638" s="43"/>
      <c r="AV638" s="43"/>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5"/>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row>
    <row r="639" ht="18.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43"/>
      <c r="AR639" s="43"/>
      <c r="AS639" s="43"/>
      <c r="AT639" s="43"/>
      <c r="AU639" s="43"/>
      <c r="AV639" s="43"/>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5"/>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row>
    <row r="640" ht="18.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43"/>
      <c r="AR640" s="43"/>
      <c r="AS640" s="43"/>
      <c r="AT640" s="43"/>
      <c r="AU640" s="43"/>
      <c r="AV640" s="43"/>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5"/>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row>
    <row r="641" ht="18.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43"/>
      <c r="AR641" s="43"/>
      <c r="AS641" s="43"/>
      <c r="AT641" s="43"/>
      <c r="AU641" s="43"/>
      <c r="AV641" s="43"/>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5"/>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row>
    <row r="642" ht="18.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43"/>
      <c r="AR642" s="43"/>
      <c r="AS642" s="43"/>
      <c r="AT642" s="43"/>
      <c r="AU642" s="43"/>
      <c r="AV642" s="43"/>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5"/>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row>
    <row r="643" ht="18.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43"/>
      <c r="AR643" s="43"/>
      <c r="AS643" s="43"/>
      <c r="AT643" s="43"/>
      <c r="AU643" s="43"/>
      <c r="AV643" s="43"/>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5"/>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row>
    <row r="644" ht="18.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43"/>
      <c r="AR644" s="43"/>
      <c r="AS644" s="43"/>
      <c r="AT644" s="43"/>
      <c r="AU644" s="43"/>
      <c r="AV644" s="43"/>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5"/>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row>
    <row r="645" ht="18.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43"/>
      <c r="AR645" s="43"/>
      <c r="AS645" s="43"/>
      <c r="AT645" s="43"/>
      <c r="AU645" s="43"/>
      <c r="AV645" s="43"/>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5"/>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row>
    <row r="646" ht="18.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43"/>
      <c r="AR646" s="43"/>
      <c r="AS646" s="43"/>
      <c r="AT646" s="43"/>
      <c r="AU646" s="43"/>
      <c r="AV646" s="43"/>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5"/>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row>
    <row r="647" ht="18.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43"/>
      <c r="AR647" s="43"/>
      <c r="AS647" s="43"/>
      <c r="AT647" s="43"/>
      <c r="AU647" s="43"/>
      <c r="AV647" s="43"/>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5"/>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row>
    <row r="648" ht="18.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43"/>
      <c r="AR648" s="43"/>
      <c r="AS648" s="43"/>
      <c r="AT648" s="43"/>
      <c r="AU648" s="43"/>
      <c r="AV648" s="43"/>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5"/>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row>
    <row r="649" ht="18.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43"/>
      <c r="AR649" s="43"/>
      <c r="AS649" s="43"/>
      <c r="AT649" s="43"/>
      <c r="AU649" s="43"/>
      <c r="AV649" s="43"/>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5"/>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row>
    <row r="650" ht="18.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43"/>
      <c r="AR650" s="43"/>
      <c r="AS650" s="43"/>
      <c r="AT650" s="43"/>
      <c r="AU650" s="43"/>
      <c r="AV650" s="43"/>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5"/>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row>
    <row r="651" ht="18.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43"/>
      <c r="AR651" s="43"/>
      <c r="AS651" s="43"/>
      <c r="AT651" s="43"/>
      <c r="AU651" s="43"/>
      <c r="AV651" s="43"/>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5"/>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row>
    <row r="652" ht="18.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43"/>
      <c r="AR652" s="43"/>
      <c r="AS652" s="43"/>
      <c r="AT652" s="43"/>
      <c r="AU652" s="43"/>
      <c r="AV652" s="43"/>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5"/>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row>
    <row r="653" ht="18.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43"/>
      <c r="AR653" s="43"/>
      <c r="AS653" s="43"/>
      <c r="AT653" s="43"/>
      <c r="AU653" s="43"/>
      <c r="AV653" s="43"/>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5"/>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row>
    <row r="654" ht="18.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43"/>
      <c r="AR654" s="43"/>
      <c r="AS654" s="43"/>
      <c r="AT654" s="43"/>
      <c r="AU654" s="43"/>
      <c r="AV654" s="43"/>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5"/>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row>
    <row r="655" ht="18.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43"/>
      <c r="AR655" s="43"/>
      <c r="AS655" s="43"/>
      <c r="AT655" s="43"/>
      <c r="AU655" s="43"/>
      <c r="AV655" s="43"/>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5"/>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row>
    <row r="656" ht="18.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43"/>
      <c r="AR656" s="43"/>
      <c r="AS656" s="43"/>
      <c r="AT656" s="43"/>
      <c r="AU656" s="43"/>
      <c r="AV656" s="43"/>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5"/>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row>
    <row r="657" ht="18.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43"/>
      <c r="AR657" s="43"/>
      <c r="AS657" s="43"/>
      <c r="AT657" s="43"/>
      <c r="AU657" s="43"/>
      <c r="AV657" s="43"/>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5"/>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row>
    <row r="658" ht="18.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43"/>
      <c r="AR658" s="43"/>
      <c r="AS658" s="43"/>
      <c r="AT658" s="43"/>
      <c r="AU658" s="43"/>
      <c r="AV658" s="43"/>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5"/>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row>
    <row r="659" ht="18.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43"/>
      <c r="AR659" s="43"/>
      <c r="AS659" s="43"/>
      <c r="AT659" s="43"/>
      <c r="AU659" s="43"/>
      <c r="AV659" s="43"/>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5"/>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row>
    <row r="660" ht="18.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43"/>
      <c r="AR660" s="43"/>
      <c r="AS660" s="43"/>
      <c r="AT660" s="43"/>
      <c r="AU660" s="43"/>
      <c r="AV660" s="43"/>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5"/>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row>
    <row r="661" ht="18.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43"/>
      <c r="AR661" s="43"/>
      <c r="AS661" s="43"/>
      <c r="AT661" s="43"/>
      <c r="AU661" s="43"/>
      <c r="AV661" s="43"/>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5"/>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row>
    <row r="662" ht="18.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43"/>
      <c r="AR662" s="43"/>
      <c r="AS662" s="43"/>
      <c r="AT662" s="43"/>
      <c r="AU662" s="43"/>
      <c r="AV662" s="43"/>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5"/>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row>
    <row r="663" ht="18.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43"/>
      <c r="AR663" s="43"/>
      <c r="AS663" s="43"/>
      <c r="AT663" s="43"/>
      <c r="AU663" s="43"/>
      <c r="AV663" s="43"/>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5"/>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row>
    <row r="664" ht="18.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43"/>
      <c r="AR664" s="43"/>
      <c r="AS664" s="43"/>
      <c r="AT664" s="43"/>
      <c r="AU664" s="43"/>
      <c r="AV664" s="43"/>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5"/>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row>
    <row r="665" ht="18.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43"/>
      <c r="AR665" s="43"/>
      <c r="AS665" s="43"/>
      <c r="AT665" s="43"/>
      <c r="AU665" s="43"/>
      <c r="AV665" s="43"/>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5"/>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row>
    <row r="666" ht="18.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43"/>
      <c r="AR666" s="43"/>
      <c r="AS666" s="43"/>
      <c r="AT666" s="43"/>
      <c r="AU666" s="43"/>
      <c r="AV666" s="43"/>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5"/>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row>
    <row r="667" ht="18.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43"/>
      <c r="AR667" s="43"/>
      <c r="AS667" s="43"/>
      <c r="AT667" s="43"/>
      <c r="AU667" s="43"/>
      <c r="AV667" s="43"/>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5"/>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row>
    <row r="668" ht="18.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43"/>
      <c r="AR668" s="43"/>
      <c r="AS668" s="43"/>
      <c r="AT668" s="43"/>
      <c r="AU668" s="43"/>
      <c r="AV668" s="43"/>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5"/>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row>
    <row r="669" ht="18.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43"/>
      <c r="AR669" s="43"/>
      <c r="AS669" s="43"/>
      <c r="AT669" s="43"/>
      <c r="AU669" s="43"/>
      <c r="AV669" s="43"/>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5"/>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row>
    <row r="670" ht="18.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43"/>
      <c r="AR670" s="43"/>
      <c r="AS670" s="43"/>
      <c r="AT670" s="43"/>
      <c r="AU670" s="43"/>
      <c r="AV670" s="43"/>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5"/>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row>
    <row r="671" ht="18.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43"/>
      <c r="AR671" s="43"/>
      <c r="AS671" s="43"/>
      <c r="AT671" s="43"/>
      <c r="AU671" s="43"/>
      <c r="AV671" s="43"/>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5"/>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c r="EW671" s="2"/>
      <c r="EX671" s="2"/>
      <c r="EY671" s="2"/>
      <c r="EZ671" s="2"/>
      <c r="FA671" s="2"/>
      <c r="FB671" s="2"/>
      <c r="FC671" s="2"/>
    </row>
    <row r="672" ht="18.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43"/>
      <c r="AR672" s="43"/>
      <c r="AS672" s="43"/>
      <c r="AT672" s="43"/>
      <c r="AU672" s="43"/>
      <c r="AV672" s="43"/>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5"/>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c r="EW672" s="2"/>
      <c r="EX672" s="2"/>
      <c r="EY672" s="2"/>
      <c r="EZ672" s="2"/>
      <c r="FA672" s="2"/>
      <c r="FB672" s="2"/>
      <c r="FC672" s="2"/>
    </row>
    <row r="673" ht="18.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43"/>
      <c r="AR673" s="43"/>
      <c r="AS673" s="43"/>
      <c r="AT673" s="43"/>
      <c r="AU673" s="43"/>
      <c r="AV673" s="43"/>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5"/>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row>
    <row r="674" ht="18.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43"/>
      <c r="AR674" s="43"/>
      <c r="AS674" s="43"/>
      <c r="AT674" s="43"/>
      <c r="AU674" s="43"/>
      <c r="AV674" s="43"/>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5"/>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row>
    <row r="675" ht="18.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43"/>
      <c r="AR675" s="43"/>
      <c r="AS675" s="43"/>
      <c r="AT675" s="43"/>
      <c r="AU675" s="43"/>
      <c r="AV675" s="43"/>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5"/>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row>
    <row r="676" ht="18.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43"/>
      <c r="AR676" s="43"/>
      <c r="AS676" s="43"/>
      <c r="AT676" s="43"/>
      <c r="AU676" s="43"/>
      <c r="AV676" s="43"/>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5"/>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row>
    <row r="677" ht="18.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43"/>
      <c r="AR677" s="43"/>
      <c r="AS677" s="43"/>
      <c r="AT677" s="43"/>
      <c r="AU677" s="43"/>
      <c r="AV677" s="43"/>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5"/>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row>
    <row r="678" ht="18.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43"/>
      <c r="AR678" s="43"/>
      <c r="AS678" s="43"/>
      <c r="AT678" s="43"/>
      <c r="AU678" s="43"/>
      <c r="AV678" s="43"/>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5"/>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row>
    <row r="679" ht="18.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43"/>
      <c r="AR679" s="43"/>
      <c r="AS679" s="43"/>
      <c r="AT679" s="43"/>
      <c r="AU679" s="43"/>
      <c r="AV679" s="43"/>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5"/>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row>
    <row r="680" ht="18.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43"/>
      <c r="AR680" s="43"/>
      <c r="AS680" s="43"/>
      <c r="AT680" s="43"/>
      <c r="AU680" s="43"/>
      <c r="AV680" s="43"/>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5"/>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row>
    <row r="681" ht="18.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43"/>
      <c r="AR681" s="43"/>
      <c r="AS681" s="43"/>
      <c r="AT681" s="43"/>
      <c r="AU681" s="43"/>
      <c r="AV681" s="43"/>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5"/>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row>
    <row r="682" ht="18.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43"/>
      <c r="AR682" s="43"/>
      <c r="AS682" s="43"/>
      <c r="AT682" s="43"/>
      <c r="AU682" s="43"/>
      <c r="AV682" s="43"/>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5"/>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row>
    <row r="683" ht="18.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43"/>
      <c r="AR683" s="43"/>
      <c r="AS683" s="43"/>
      <c r="AT683" s="43"/>
      <c r="AU683" s="43"/>
      <c r="AV683" s="43"/>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5"/>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row>
    <row r="684" ht="18.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43"/>
      <c r="AR684" s="43"/>
      <c r="AS684" s="43"/>
      <c r="AT684" s="43"/>
      <c r="AU684" s="43"/>
      <c r="AV684" s="43"/>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5"/>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row>
    <row r="685" ht="18.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43"/>
      <c r="AR685" s="43"/>
      <c r="AS685" s="43"/>
      <c r="AT685" s="43"/>
      <c r="AU685" s="43"/>
      <c r="AV685" s="43"/>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5"/>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row>
    <row r="686" ht="18.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43"/>
      <c r="AR686" s="43"/>
      <c r="AS686" s="43"/>
      <c r="AT686" s="43"/>
      <c r="AU686" s="43"/>
      <c r="AV686" s="43"/>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5"/>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row>
    <row r="687" ht="18.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43"/>
      <c r="AR687" s="43"/>
      <c r="AS687" s="43"/>
      <c r="AT687" s="43"/>
      <c r="AU687" s="43"/>
      <c r="AV687" s="43"/>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5"/>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c r="EW687" s="2"/>
      <c r="EX687" s="2"/>
      <c r="EY687" s="2"/>
      <c r="EZ687" s="2"/>
      <c r="FA687" s="2"/>
      <c r="FB687" s="2"/>
      <c r="FC687" s="2"/>
    </row>
    <row r="688" ht="18.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43"/>
      <c r="AR688" s="43"/>
      <c r="AS688" s="43"/>
      <c r="AT688" s="43"/>
      <c r="AU688" s="43"/>
      <c r="AV688" s="43"/>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5"/>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row>
    <row r="689" ht="18.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43"/>
      <c r="AR689" s="43"/>
      <c r="AS689" s="43"/>
      <c r="AT689" s="43"/>
      <c r="AU689" s="43"/>
      <c r="AV689" s="43"/>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5"/>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row>
    <row r="690" ht="18.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43"/>
      <c r="AR690" s="43"/>
      <c r="AS690" s="43"/>
      <c r="AT690" s="43"/>
      <c r="AU690" s="43"/>
      <c r="AV690" s="43"/>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5"/>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row>
    <row r="691" ht="18.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43"/>
      <c r="AR691" s="43"/>
      <c r="AS691" s="43"/>
      <c r="AT691" s="43"/>
      <c r="AU691" s="43"/>
      <c r="AV691" s="43"/>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5"/>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row>
    <row r="692" ht="18.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43"/>
      <c r="AR692" s="43"/>
      <c r="AS692" s="43"/>
      <c r="AT692" s="43"/>
      <c r="AU692" s="43"/>
      <c r="AV692" s="43"/>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5"/>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row>
    <row r="693" ht="18.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43"/>
      <c r="AR693" s="43"/>
      <c r="AS693" s="43"/>
      <c r="AT693" s="43"/>
      <c r="AU693" s="43"/>
      <c r="AV693" s="43"/>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5"/>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row>
    <row r="694" ht="18.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43"/>
      <c r="AR694" s="43"/>
      <c r="AS694" s="43"/>
      <c r="AT694" s="43"/>
      <c r="AU694" s="43"/>
      <c r="AV694" s="43"/>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5"/>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c r="EW694" s="2"/>
      <c r="EX694" s="2"/>
      <c r="EY694" s="2"/>
      <c r="EZ694" s="2"/>
      <c r="FA694" s="2"/>
      <c r="FB694" s="2"/>
      <c r="FC694" s="2"/>
    </row>
    <row r="695" ht="18.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43"/>
      <c r="AR695" s="43"/>
      <c r="AS695" s="43"/>
      <c r="AT695" s="43"/>
      <c r="AU695" s="43"/>
      <c r="AV695" s="43"/>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5"/>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row>
    <row r="696" ht="18.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43"/>
      <c r="AR696" s="43"/>
      <c r="AS696" s="43"/>
      <c r="AT696" s="43"/>
      <c r="AU696" s="43"/>
      <c r="AV696" s="43"/>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5"/>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row>
    <row r="697" ht="18.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43"/>
      <c r="AR697" s="43"/>
      <c r="AS697" s="43"/>
      <c r="AT697" s="43"/>
      <c r="AU697" s="43"/>
      <c r="AV697" s="43"/>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5"/>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row>
    <row r="698" ht="18.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43"/>
      <c r="AR698" s="43"/>
      <c r="AS698" s="43"/>
      <c r="AT698" s="43"/>
      <c r="AU698" s="43"/>
      <c r="AV698" s="43"/>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5"/>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row>
    <row r="699" ht="18.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43"/>
      <c r="AR699" s="43"/>
      <c r="AS699" s="43"/>
      <c r="AT699" s="43"/>
      <c r="AU699" s="43"/>
      <c r="AV699" s="43"/>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5"/>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row>
    <row r="700" ht="18.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43"/>
      <c r="AR700" s="43"/>
      <c r="AS700" s="43"/>
      <c r="AT700" s="43"/>
      <c r="AU700" s="43"/>
      <c r="AV700" s="43"/>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5"/>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row>
    <row r="701" ht="18.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43"/>
      <c r="AR701" s="43"/>
      <c r="AS701" s="43"/>
      <c r="AT701" s="43"/>
      <c r="AU701" s="43"/>
      <c r="AV701" s="43"/>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5"/>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row>
    <row r="702" ht="18.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43"/>
      <c r="AR702" s="43"/>
      <c r="AS702" s="43"/>
      <c r="AT702" s="43"/>
      <c r="AU702" s="43"/>
      <c r="AV702" s="43"/>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5"/>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row>
    <row r="703" ht="18.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43"/>
      <c r="AR703" s="43"/>
      <c r="AS703" s="43"/>
      <c r="AT703" s="43"/>
      <c r="AU703" s="43"/>
      <c r="AV703" s="43"/>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5"/>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row>
    <row r="704" ht="18.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43"/>
      <c r="AR704" s="43"/>
      <c r="AS704" s="43"/>
      <c r="AT704" s="43"/>
      <c r="AU704" s="43"/>
      <c r="AV704" s="43"/>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5"/>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row>
    <row r="705" ht="18.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43"/>
      <c r="AR705" s="43"/>
      <c r="AS705" s="43"/>
      <c r="AT705" s="43"/>
      <c r="AU705" s="43"/>
      <c r="AV705" s="43"/>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5"/>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row>
    <row r="706" ht="18.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43"/>
      <c r="AR706" s="43"/>
      <c r="AS706" s="43"/>
      <c r="AT706" s="43"/>
      <c r="AU706" s="43"/>
      <c r="AV706" s="43"/>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5"/>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row>
    <row r="707" ht="18.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43"/>
      <c r="AR707" s="43"/>
      <c r="AS707" s="43"/>
      <c r="AT707" s="43"/>
      <c r="AU707" s="43"/>
      <c r="AV707" s="43"/>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5"/>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row>
    <row r="708" ht="18.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43"/>
      <c r="AR708" s="43"/>
      <c r="AS708" s="43"/>
      <c r="AT708" s="43"/>
      <c r="AU708" s="43"/>
      <c r="AV708" s="43"/>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5"/>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row>
    <row r="709" ht="18.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43"/>
      <c r="AR709" s="43"/>
      <c r="AS709" s="43"/>
      <c r="AT709" s="43"/>
      <c r="AU709" s="43"/>
      <c r="AV709" s="43"/>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5"/>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row>
    <row r="710" ht="18.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43"/>
      <c r="AR710" s="43"/>
      <c r="AS710" s="43"/>
      <c r="AT710" s="43"/>
      <c r="AU710" s="43"/>
      <c r="AV710" s="43"/>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5"/>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row>
    <row r="711" ht="18.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43"/>
      <c r="AR711" s="43"/>
      <c r="AS711" s="43"/>
      <c r="AT711" s="43"/>
      <c r="AU711" s="43"/>
      <c r="AV711" s="43"/>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5"/>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row>
    <row r="712" ht="18.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43"/>
      <c r="AR712" s="43"/>
      <c r="AS712" s="43"/>
      <c r="AT712" s="43"/>
      <c r="AU712" s="43"/>
      <c r="AV712" s="43"/>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5"/>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row>
    <row r="713" ht="18.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43"/>
      <c r="AR713" s="43"/>
      <c r="AS713" s="43"/>
      <c r="AT713" s="43"/>
      <c r="AU713" s="43"/>
      <c r="AV713" s="43"/>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5"/>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row>
    <row r="714" ht="18.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43"/>
      <c r="AR714" s="43"/>
      <c r="AS714" s="43"/>
      <c r="AT714" s="43"/>
      <c r="AU714" s="43"/>
      <c r="AV714" s="43"/>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5"/>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row>
    <row r="715" ht="18.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43"/>
      <c r="AR715" s="43"/>
      <c r="AS715" s="43"/>
      <c r="AT715" s="43"/>
      <c r="AU715" s="43"/>
      <c r="AV715" s="43"/>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5"/>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row>
    <row r="716" ht="18.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43"/>
      <c r="AR716" s="43"/>
      <c r="AS716" s="43"/>
      <c r="AT716" s="43"/>
      <c r="AU716" s="43"/>
      <c r="AV716" s="43"/>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5"/>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row>
    <row r="717" ht="18.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43"/>
      <c r="AR717" s="43"/>
      <c r="AS717" s="43"/>
      <c r="AT717" s="43"/>
      <c r="AU717" s="43"/>
      <c r="AV717" s="43"/>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5"/>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row>
    <row r="718" ht="18.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43"/>
      <c r="AR718" s="43"/>
      <c r="AS718" s="43"/>
      <c r="AT718" s="43"/>
      <c r="AU718" s="43"/>
      <c r="AV718" s="43"/>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5"/>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row>
    <row r="719" ht="18.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43"/>
      <c r="AR719" s="43"/>
      <c r="AS719" s="43"/>
      <c r="AT719" s="43"/>
      <c r="AU719" s="43"/>
      <c r="AV719" s="43"/>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5"/>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row>
    <row r="720" ht="18.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43"/>
      <c r="AR720" s="43"/>
      <c r="AS720" s="43"/>
      <c r="AT720" s="43"/>
      <c r="AU720" s="43"/>
      <c r="AV720" s="43"/>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5"/>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row>
    <row r="721" ht="18.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43"/>
      <c r="AR721" s="43"/>
      <c r="AS721" s="43"/>
      <c r="AT721" s="43"/>
      <c r="AU721" s="43"/>
      <c r="AV721" s="43"/>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5"/>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row>
    <row r="722" ht="18.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43"/>
      <c r="AR722" s="43"/>
      <c r="AS722" s="43"/>
      <c r="AT722" s="43"/>
      <c r="AU722" s="43"/>
      <c r="AV722" s="43"/>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5"/>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row>
    <row r="723" ht="18.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43"/>
      <c r="AR723" s="43"/>
      <c r="AS723" s="43"/>
      <c r="AT723" s="43"/>
      <c r="AU723" s="43"/>
      <c r="AV723" s="43"/>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5"/>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row>
    <row r="724" ht="18.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43"/>
      <c r="AR724" s="43"/>
      <c r="AS724" s="43"/>
      <c r="AT724" s="43"/>
      <c r="AU724" s="43"/>
      <c r="AV724" s="43"/>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5"/>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row>
    <row r="725" ht="18.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43"/>
      <c r="AR725" s="43"/>
      <c r="AS725" s="43"/>
      <c r="AT725" s="43"/>
      <c r="AU725" s="43"/>
      <c r="AV725" s="43"/>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5"/>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row>
    <row r="726" ht="18.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43"/>
      <c r="AR726" s="43"/>
      <c r="AS726" s="43"/>
      <c r="AT726" s="43"/>
      <c r="AU726" s="43"/>
      <c r="AV726" s="43"/>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5"/>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row>
    <row r="727" ht="18.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43"/>
      <c r="AR727" s="43"/>
      <c r="AS727" s="43"/>
      <c r="AT727" s="43"/>
      <c r="AU727" s="43"/>
      <c r="AV727" s="43"/>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5"/>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row>
    <row r="728" ht="18.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43"/>
      <c r="AR728" s="43"/>
      <c r="AS728" s="43"/>
      <c r="AT728" s="43"/>
      <c r="AU728" s="43"/>
      <c r="AV728" s="43"/>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5"/>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row>
    <row r="729" ht="18.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43"/>
      <c r="AR729" s="43"/>
      <c r="AS729" s="43"/>
      <c r="AT729" s="43"/>
      <c r="AU729" s="43"/>
      <c r="AV729" s="43"/>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5"/>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row>
    <row r="730" ht="18.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43"/>
      <c r="AR730" s="43"/>
      <c r="AS730" s="43"/>
      <c r="AT730" s="43"/>
      <c r="AU730" s="43"/>
      <c r="AV730" s="43"/>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5"/>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row>
    <row r="731" ht="18.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43"/>
      <c r="AR731" s="43"/>
      <c r="AS731" s="43"/>
      <c r="AT731" s="43"/>
      <c r="AU731" s="43"/>
      <c r="AV731" s="43"/>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5"/>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row>
    <row r="732" ht="18.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43"/>
      <c r="AR732" s="43"/>
      <c r="AS732" s="43"/>
      <c r="AT732" s="43"/>
      <c r="AU732" s="43"/>
      <c r="AV732" s="43"/>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5"/>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row>
    <row r="733" ht="18.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43"/>
      <c r="AR733" s="43"/>
      <c r="AS733" s="43"/>
      <c r="AT733" s="43"/>
      <c r="AU733" s="43"/>
      <c r="AV733" s="43"/>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5"/>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row>
    <row r="734" ht="18.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43"/>
      <c r="AR734" s="43"/>
      <c r="AS734" s="43"/>
      <c r="AT734" s="43"/>
      <c r="AU734" s="43"/>
      <c r="AV734" s="43"/>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5"/>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row>
    <row r="735" ht="18.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43"/>
      <c r="AR735" s="43"/>
      <c r="AS735" s="43"/>
      <c r="AT735" s="43"/>
      <c r="AU735" s="43"/>
      <c r="AV735" s="43"/>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5"/>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row>
    <row r="736" ht="18.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43"/>
      <c r="AR736" s="43"/>
      <c r="AS736" s="43"/>
      <c r="AT736" s="43"/>
      <c r="AU736" s="43"/>
      <c r="AV736" s="43"/>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5"/>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c r="EW736" s="2"/>
      <c r="EX736" s="2"/>
      <c r="EY736" s="2"/>
      <c r="EZ736" s="2"/>
      <c r="FA736" s="2"/>
      <c r="FB736" s="2"/>
      <c r="FC736" s="2"/>
    </row>
    <row r="737" ht="18.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43"/>
      <c r="AR737" s="43"/>
      <c r="AS737" s="43"/>
      <c r="AT737" s="43"/>
      <c r="AU737" s="43"/>
      <c r="AV737" s="43"/>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5"/>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c r="EW737" s="2"/>
      <c r="EX737" s="2"/>
      <c r="EY737" s="2"/>
      <c r="EZ737" s="2"/>
      <c r="FA737" s="2"/>
      <c r="FB737" s="2"/>
      <c r="FC737" s="2"/>
    </row>
    <row r="738" ht="18.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43"/>
      <c r="AR738" s="43"/>
      <c r="AS738" s="43"/>
      <c r="AT738" s="43"/>
      <c r="AU738" s="43"/>
      <c r="AV738" s="43"/>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5"/>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c r="EW738" s="2"/>
      <c r="EX738" s="2"/>
      <c r="EY738" s="2"/>
      <c r="EZ738" s="2"/>
      <c r="FA738" s="2"/>
      <c r="FB738" s="2"/>
      <c r="FC738" s="2"/>
    </row>
    <row r="739" ht="18.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43"/>
      <c r="AR739" s="43"/>
      <c r="AS739" s="43"/>
      <c r="AT739" s="43"/>
      <c r="AU739" s="43"/>
      <c r="AV739" s="43"/>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5"/>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c r="EW739" s="2"/>
      <c r="EX739" s="2"/>
      <c r="EY739" s="2"/>
      <c r="EZ739" s="2"/>
      <c r="FA739" s="2"/>
      <c r="FB739" s="2"/>
      <c r="FC739" s="2"/>
    </row>
    <row r="740" ht="18.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43"/>
      <c r="AR740" s="43"/>
      <c r="AS740" s="43"/>
      <c r="AT740" s="43"/>
      <c r="AU740" s="43"/>
      <c r="AV740" s="43"/>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5"/>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c r="EW740" s="2"/>
      <c r="EX740" s="2"/>
      <c r="EY740" s="2"/>
      <c r="EZ740" s="2"/>
      <c r="FA740" s="2"/>
      <c r="FB740" s="2"/>
      <c r="FC740" s="2"/>
    </row>
    <row r="741" ht="18.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43"/>
      <c r="AR741" s="43"/>
      <c r="AS741" s="43"/>
      <c r="AT741" s="43"/>
      <c r="AU741" s="43"/>
      <c r="AV741" s="43"/>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5"/>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c r="EW741" s="2"/>
      <c r="EX741" s="2"/>
      <c r="EY741" s="2"/>
      <c r="EZ741" s="2"/>
      <c r="FA741" s="2"/>
      <c r="FB741" s="2"/>
      <c r="FC741" s="2"/>
    </row>
    <row r="742" ht="18.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43"/>
      <c r="AR742" s="43"/>
      <c r="AS742" s="43"/>
      <c r="AT742" s="43"/>
      <c r="AU742" s="43"/>
      <c r="AV742" s="43"/>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5"/>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c r="EW742" s="2"/>
      <c r="EX742" s="2"/>
      <c r="EY742" s="2"/>
      <c r="EZ742" s="2"/>
      <c r="FA742" s="2"/>
      <c r="FB742" s="2"/>
      <c r="FC742" s="2"/>
    </row>
    <row r="743" ht="18.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43"/>
      <c r="AR743" s="43"/>
      <c r="AS743" s="43"/>
      <c r="AT743" s="43"/>
      <c r="AU743" s="43"/>
      <c r="AV743" s="43"/>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5"/>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c r="EW743" s="2"/>
      <c r="EX743" s="2"/>
      <c r="EY743" s="2"/>
      <c r="EZ743" s="2"/>
      <c r="FA743" s="2"/>
      <c r="FB743" s="2"/>
      <c r="FC743" s="2"/>
    </row>
    <row r="744" ht="18.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43"/>
      <c r="AR744" s="43"/>
      <c r="AS744" s="43"/>
      <c r="AT744" s="43"/>
      <c r="AU744" s="43"/>
      <c r="AV744" s="43"/>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5"/>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c r="EW744" s="2"/>
      <c r="EX744" s="2"/>
      <c r="EY744" s="2"/>
      <c r="EZ744" s="2"/>
      <c r="FA744" s="2"/>
      <c r="FB744" s="2"/>
      <c r="FC744" s="2"/>
    </row>
    <row r="745" ht="18.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43"/>
      <c r="AR745" s="43"/>
      <c r="AS745" s="43"/>
      <c r="AT745" s="43"/>
      <c r="AU745" s="43"/>
      <c r="AV745" s="43"/>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5"/>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c r="EW745" s="2"/>
      <c r="EX745" s="2"/>
      <c r="EY745" s="2"/>
      <c r="EZ745" s="2"/>
      <c r="FA745" s="2"/>
      <c r="FB745" s="2"/>
      <c r="FC745" s="2"/>
    </row>
    <row r="746" ht="18.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43"/>
      <c r="AR746" s="43"/>
      <c r="AS746" s="43"/>
      <c r="AT746" s="43"/>
      <c r="AU746" s="43"/>
      <c r="AV746" s="43"/>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5"/>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row>
    <row r="747" ht="18.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43"/>
      <c r="AR747" s="43"/>
      <c r="AS747" s="43"/>
      <c r="AT747" s="43"/>
      <c r="AU747" s="43"/>
      <c r="AV747" s="43"/>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5"/>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c r="EW747" s="2"/>
      <c r="EX747" s="2"/>
      <c r="EY747" s="2"/>
      <c r="EZ747" s="2"/>
      <c r="FA747" s="2"/>
      <c r="FB747" s="2"/>
      <c r="FC747" s="2"/>
    </row>
    <row r="748" ht="18.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43"/>
      <c r="AR748" s="43"/>
      <c r="AS748" s="43"/>
      <c r="AT748" s="43"/>
      <c r="AU748" s="43"/>
      <c r="AV748" s="43"/>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5"/>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c r="EW748" s="2"/>
      <c r="EX748" s="2"/>
      <c r="EY748" s="2"/>
      <c r="EZ748" s="2"/>
      <c r="FA748" s="2"/>
      <c r="FB748" s="2"/>
      <c r="FC748" s="2"/>
    </row>
    <row r="749" ht="18.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43"/>
      <c r="AR749" s="43"/>
      <c r="AS749" s="43"/>
      <c r="AT749" s="43"/>
      <c r="AU749" s="43"/>
      <c r="AV749" s="43"/>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5"/>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c r="EW749" s="2"/>
      <c r="EX749" s="2"/>
      <c r="EY749" s="2"/>
      <c r="EZ749" s="2"/>
      <c r="FA749" s="2"/>
      <c r="FB749" s="2"/>
      <c r="FC749" s="2"/>
    </row>
    <row r="750" ht="18.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43"/>
      <c r="AR750" s="43"/>
      <c r="AS750" s="43"/>
      <c r="AT750" s="43"/>
      <c r="AU750" s="43"/>
      <c r="AV750" s="43"/>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5"/>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c r="EW750" s="2"/>
      <c r="EX750" s="2"/>
      <c r="EY750" s="2"/>
      <c r="EZ750" s="2"/>
      <c r="FA750" s="2"/>
      <c r="FB750" s="2"/>
      <c r="FC750" s="2"/>
    </row>
    <row r="751" ht="18.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43"/>
      <c r="AR751" s="43"/>
      <c r="AS751" s="43"/>
      <c r="AT751" s="43"/>
      <c r="AU751" s="43"/>
      <c r="AV751" s="43"/>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5"/>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c r="EW751" s="2"/>
      <c r="EX751" s="2"/>
      <c r="EY751" s="2"/>
      <c r="EZ751" s="2"/>
      <c r="FA751" s="2"/>
      <c r="FB751" s="2"/>
      <c r="FC751" s="2"/>
    </row>
    <row r="752" ht="18.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43"/>
      <c r="AR752" s="43"/>
      <c r="AS752" s="43"/>
      <c r="AT752" s="43"/>
      <c r="AU752" s="43"/>
      <c r="AV752" s="43"/>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5"/>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c r="EW752" s="2"/>
      <c r="EX752" s="2"/>
      <c r="EY752" s="2"/>
      <c r="EZ752" s="2"/>
      <c r="FA752" s="2"/>
      <c r="FB752" s="2"/>
      <c r="FC752" s="2"/>
    </row>
    <row r="753" ht="18.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43"/>
      <c r="AR753" s="43"/>
      <c r="AS753" s="43"/>
      <c r="AT753" s="43"/>
      <c r="AU753" s="43"/>
      <c r="AV753" s="43"/>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5"/>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c r="EW753" s="2"/>
      <c r="EX753" s="2"/>
      <c r="EY753" s="2"/>
      <c r="EZ753" s="2"/>
      <c r="FA753" s="2"/>
      <c r="FB753" s="2"/>
      <c r="FC753" s="2"/>
    </row>
    <row r="754" ht="18.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43"/>
      <c r="AR754" s="43"/>
      <c r="AS754" s="43"/>
      <c r="AT754" s="43"/>
      <c r="AU754" s="43"/>
      <c r="AV754" s="43"/>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5"/>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c r="EW754" s="2"/>
      <c r="EX754" s="2"/>
      <c r="EY754" s="2"/>
      <c r="EZ754" s="2"/>
      <c r="FA754" s="2"/>
      <c r="FB754" s="2"/>
      <c r="FC754" s="2"/>
    </row>
    <row r="755" ht="18.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43"/>
      <c r="AR755" s="43"/>
      <c r="AS755" s="43"/>
      <c r="AT755" s="43"/>
      <c r="AU755" s="43"/>
      <c r="AV755" s="43"/>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5"/>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c r="EW755" s="2"/>
      <c r="EX755" s="2"/>
      <c r="EY755" s="2"/>
      <c r="EZ755" s="2"/>
      <c r="FA755" s="2"/>
      <c r="FB755" s="2"/>
      <c r="FC755" s="2"/>
    </row>
    <row r="756" ht="18.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43"/>
      <c r="AR756" s="43"/>
      <c r="AS756" s="43"/>
      <c r="AT756" s="43"/>
      <c r="AU756" s="43"/>
      <c r="AV756" s="43"/>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5"/>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c r="EW756" s="2"/>
      <c r="EX756" s="2"/>
      <c r="EY756" s="2"/>
      <c r="EZ756" s="2"/>
      <c r="FA756" s="2"/>
      <c r="FB756" s="2"/>
      <c r="FC756" s="2"/>
    </row>
    <row r="757" ht="18.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43"/>
      <c r="AR757" s="43"/>
      <c r="AS757" s="43"/>
      <c r="AT757" s="43"/>
      <c r="AU757" s="43"/>
      <c r="AV757" s="43"/>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5"/>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row>
    <row r="758" ht="18.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43"/>
      <c r="AR758" s="43"/>
      <c r="AS758" s="43"/>
      <c r="AT758" s="43"/>
      <c r="AU758" s="43"/>
      <c r="AV758" s="43"/>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5"/>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c r="EW758" s="2"/>
      <c r="EX758" s="2"/>
      <c r="EY758" s="2"/>
      <c r="EZ758" s="2"/>
      <c r="FA758" s="2"/>
      <c r="FB758" s="2"/>
      <c r="FC758" s="2"/>
    </row>
    <row r="759" ht="18.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43"/>
      <c r="AR759" s="43"/>
      <c r="AS759" s="43"/>
      <c r="AT759" s="43"/>
      <c r="AU759" s="43"/>
      <c r="AV759" s="43"/>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5"/>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c r="EW759" s="2"/>
      <c r="EX759" s="2"/>
      <c r="EY759" s="2"/>
      <c r="EZ759" s="2"/>
      <c r="FA759" s="2"/>
      <c r="FB759" s="2"/>
      <c r="FC759" s="2"/>
    </row>
    <row r="760" ht="18.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43"/>
      <c r="AR760" s="43"/>
      <c r="AS760" s="43"/>
      <c r="AT760" s="43"/>
      <c r="AU760" s="43"/>
      <c r="AV760" s="43"/>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5"/>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c r="EW760" s="2"/>
      <c r="EX760" s="2"/>
      <c r="EY760" s="2"/>
      <c r="EZ760" s="2"/>
      <c r="FA760" s="2"/>
      <c r="FB760" s="2"/>
      <c r="FC760" s="2"/>
    </row>
    <row r="761" ht="18.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43"/>
      <c r="AR761" s="43"/>
      <c r="AS761" s="43"/>
      <c r="AT761" s="43"/>
      <c r="AU761" s="43"/>
      <c r="AV761" s="43"/>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5"/>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c r="EW761" s="2"/>
      <c r="EX761" s="2"/>
      <c r="EY761" s="2"/>
      <c r="EZ761" s="2"/>
      <c r="FA761" s="2"/>
      <c r="FB761" s="2"/>
      <c r="FC761" s="2"/>
    </row>
    <row r="762" ht="18.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43"/>
      <c r="AR762" s="43"/>
      <c r="AS762" s="43"/>
      <c r="AT762" s="43"/>
      <c r="AU762" s="43"/>
      <c r="AV762" s="43"/>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5"/>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c r="EW762" s="2"/>
      <c r="EX762" s="2"/>
      <c r="EY762" s="2"/>
      <c r="EZ762" s="2"/>
      <c r="FA762" s="2"/>
      <c r="FB762" s="2"/>
      <c r="FC762" s="2"/>
    </row>
    <row r="763" ht="18.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43"/>
      <c r="AR763" s="43"/>
      <c r="AS763" s="43"/>
      <c r="AT763" s="43"/>
      <c r="AU763" s="43"/>
      <c r="AV763" s="43"/>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5"/>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row>
    <row r="764" ht="18.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43"/>
      <c r="AR764" s="43"/>
      <c r="AS764" s="43"/>
      <c r="AT764" s="43"/>
      <c r="AU764" s="43"/>
      <c r="AV764" s="43"/>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5"/>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c r="EW764" s="2"/>
      <c r="EX764" s="2"/>
      <c r="EY764" s="2"/>
      <c r="EZ764" s="2"/>
      <c r="FA764" s="2"/>
      <c r="FB764" s="2"/>
      <c r="FC764" s="2"/>
    </row>
    <row r="765" ht="18.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43"/>
      <c r="AR765" s="43"/>
      <c r="AS765" s="43"/>
      <c r="AT765" s="43"/>
      <c r="AU765" s="43"/>
      <c r="AV765" s="43"/>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5"/>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c r="EW765" s="2"/>
      <c r="EX765" s="2"/>
      <c r="EY765" s="2"/>
      <c r="EZ765" s="2"/>
      <c r="FA765" s="2"/>
      <c r="FB765" s="2"/>
      <c r="FC765" s="2"/>
    </row>
    <row r="766" ht="18.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43"/>
      <c r="AR766" s="43"/>
      <c r="AS766" s="43"/>
      <c r="AT766" s="43"/>
      <c r="AU766" s="43"/>
      <c r="AV766" s="43"/>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5"/>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c r="EW766" s="2"/>
      <c r="EX766" s="2"/>
      <c r="EY766" s="2"/>
      <c r="EZ766" s="2"/>
      <c r="FA766" s="2"/>
      <c r="FB766" s="2"/>
      <c r="FC766" s="2"/>
    </row>
    <row r="767" ht="18.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43"/>
      <c r="AR767" s="43"/>
      <c r="AS767" s="43"/>
      <c r="AT767" s="43"/>
      <c r="AU767" s="43"/>
      <c r="AV767" s="43"/>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5"/>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row>
    <row r="768" ht="18.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43"/>
      <c r="AR768" s="43"/>
      <c r="AS768" s="43"/>
      <c r="AT768" s="43"/>
      <c r="AU768" s="43"/>
      <c r="AV768" s="43"/>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5"/>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row>
    <row r="769" ht="18.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43"/>
      <c r="AR769" s="43"/>
      <c r="AS769" s="43"/>
      <c r="AT769" s="43"/>
      <c r="AU769" s="43"/>
      <c r="AV769" s="43"/>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5"/>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row>
    <row r="770" ht="18.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43"/>
      <c r="AR770" s="43"/>
      <c r="AS770" s="43"/>
      <c r="AT770" s="43"/>
      <c r="AU770" s="43"/>
      <c r="AV770" s="43"/>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5"/>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c r="EW770" s="2"/>
      <c r="EX770" s="2"/>
      <c r="EY770" s="2"/>
      <c r="EZ770" s="2"/>
      <c r="FA770" s="2"/>
      <c r="FB770" s="2"/>
      <c r="FC770" s="2"/>
    </row>
    <row r="771" ht="18.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43"/>
      <c r="AR771" s="43"/>
      <c r="AS771" s="43"/>
      <c r="AT771" s="43"/>
      <c r="AU771" s="43"/>
      <c r="AV771" s="43"/>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5"/>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c r="EW771" s="2"/>
      <c r="EX771" s="2"/>
      <c r="EY771" s="2"/>
      <c r="EZ771" s="2"/>
      <c r="FA771" s="2"/>
      <c r="FB771" s="2"/>
      <c r="FC771" s="2"/>
    </row>
    <row r="772" ht="18.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43"/>
      <c r="AR772" s="43"/>
      <c r="AS772" s="43"/>
      <c r="AT772" s="43"/>
      <c r="AU772" s="43"/>
      <c r="AV772" s="43"/>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5"/>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row>
    <row r="773" ht="18.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43"/>
      <c r="AR773" s="43"/>
      <c r="AS773" s="43"/>
      <c r="AT773" s="43"/>
      <c r="AU773" s="43"/>
      <c r="AV773" s="43"/>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5"/>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c r="EW773" s="2"/>
      <c r="EX773" s="2"/>
      <c r="EY773" s="2"/>
      <c r="EZ773" s="2"/>
      <c r="FA773" s="2"/>
      <c r="FB773" s="2"/>
      <c r="FC773" s="2"/>
    </row>
    <row r="774" ht="18.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43"/>
      <c r="AR774" s="43"/>
      <c r="AS774" s="43"/>
      <c r="AT774" s="43"/>
      <c r="AU774" s="43"/>
      <c r="AV774" s="43"/>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5"/>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row>
    <row r="775" ht="18.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43"/>
      <c r="AR775" s="43"/>
      <c r="AS775" s="43"/>
      <c r="AT775" s="43"/>
      <c r="AU775" s="43"/>
      <c r="AV775" s="43"/>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5"/>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c r="EW775" s="2"/>
      <c r="EX775" s="2"/>
      <c r="EY775" s="2"/>
      <c r="EZ775" s="2"/>
      <c r="FA775" s="2"/>
      <c r="FB775" s="2"/>
      <c r="FC775" s="2"/>
    </row>
    <row r="776" ht="18.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43"/>
      <c r="AR776" s="43"/>
      <c r="AS776" s="43"/>
      <c r="AT776" s="43"/>
      <c r="AU776" s="43"/>
      <c r="AV776" s="43"/>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5"/>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row>
    <row r="777" ht="18.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43"/>
      <c r="AR777" s="43"/>
      <c r="AS777" s="43"/>
      <c r="AT777" s="43"/>
      <c r="AU777" s="43"/>
      <c r="AV777" s="43"/>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5"/>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row>
    <row r="778" ht="18.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43"/>
      <c r="AR778" s="43"/>
      <c r="AS778" s="43"/>
      <c r="AT778" s="43"/>
      <c r="AU778" s="43"/>
      <c r="AV778" s="43"/>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5"/>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row>
    <row r="779" ht="18.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43"/>
      <c r="AR779" s="43"/>
      <c r="AS779" s="43"/>
      <c r="AT779" s="43"/>
      <c r="AU779" s="43"/>
      <c r="AV779" s="43"/>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5"/>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row>
    <row r="780" ht="18.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43"/>
      <c r="AR780" s="43"/>
      <c r="AS780" s="43"/>
      <c r="AT780" s="43"/>
      <c r="AU780" s="43"/>
      <c r="AV780" s="43"/>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5"/>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row>
    <row r="781" ht="18.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43"/>
      <c r="AR781" s="43"/>
      <c r="AS781" s="43"/>
      <c r="AT781" s="43"/>
      <c r="AU781" s="43"/>
      <c r="AV781" s="43"/>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5"/>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row>
    <row r="782" ht="18.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43"/>
      <c r="AR782" s="43"/>
      <c r="AS782" s="43"/>
      <c r="AT782" s="43"/>
      <c r="AU782" s="43"/>
      <c r="AV782" s="43"/>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5"/>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row>
    <row r="783" ht="18.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43"/>
      <c r="AR783" s="43"/>
      <c r="AS783" s="43"/>
      <c r="AT783" s="43"/>
      <c r="AU783" s="43"/>
      <c r="AV783" s="43"/>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5"/>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row>
    <row r="784" ht="18.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43"/>
      <c r="AR784" s="43"/>
      <c r="AS784" s="43"/>
      <c r="AT784" s="43"/>
      <c r="AU784" s="43"/>
      <c r="AV784" s="43"/>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5"/>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row>
    <row r="785" ht="18.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43"/>
      <c r="AR785" s="43"/>
      <c r="AS785" s="43"/>
      <c r="AT785" s="43"/>
      <c r="AU785" s="43"/>
      <c r="AV785" s="43"/>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5"/>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row>
    <row r="786" ht="18.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43"/>
      <c r="AR786" s="43"/>
      <c r="AS786" s="43"/>
      <c r="AT786" s="43"/>
      <c r="AU786" s="43"/>
      <c r="AV786" s="43"/>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5"/>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row>
    <row r="787" ht="18.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43"/>
      <c r="AR787" s="43"/>
      <c r="AS787" s="43"/>
      <c r="AT787" s="43"/>
      <c r="AU787" s="43"/>
      <c r="AV787" s="43"/>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5"/>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row>
    <row r="788" ht="18.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43"/>
      <c r="AR788" s="43"/>
      <c r="AS788" s="43"/>
      <c r="AT788" s="43"/>
      <c r="AU788" s="43"/>
      <c r="AV788" s="43"/>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5"/>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row>
    <row r="789" ht="18.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43"/>
      <c r="AR789" s="43"/>
      <c r="AS789" s="43"/>
      <c r="AT789" s="43"/>
      <c r="AU789" s="43"/>
      <c r="AV789" s="43"/>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5"/>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row>
    <row r="790" ht="18.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43"/>
      <c r="AR790" s="43"/>
      <c r="AS790" s="43"/>
      <c r="AT790" s="43"/>
      <c r="AU790" s="43"/>
      <c r="AV790" s="43"/>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5"/>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row>
    <row r="791" ht="18.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43"/>
      <c r="AR791" s="43"/>
      <c r="AS791" s="43"/>
      <c r="AT791" s="43"/>
      <c r="AU791" s="43"/>
      <c r="AV791" s="43"/>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5"/>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row>
    <row r="792" ht="18.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43"/>
      <c r="AR792" s="43"/>
      <c r="AS792" s="43"/>
      <c r="AT792" s="43"/>
      <c r="AU792" s="43"/>
      <c r="AV792" s="43"/>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5"/>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row>
    <row r="793" ht="18.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43"/>
      <c r="AR793" s="43"/>
      <c r="AS793" s="43"/>
      <c r="AT793" s="43"/>
      <c r="AU793" s="43"/>
      <c r="AV793" s="43"/>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5"/>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row>
    <row r="794" ht="18.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43"/>
      <c r="AR794" s="43"/>
      <c r="AS794" s="43"/>
      <c r="AT794" s="43"/>
      <c r="AU794" s="43"/>
      <c r="AV794" s="43"/>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5"/>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row>
    <row r="795" ht="18.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43"/>
      <c r="AR795" s="43"/>
      <c r="AS795" s="43"/>
      <c r="AT795" s="43"/>
      <c r="AU795" s="43"/>
      <c r="AV795" s="43"/>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5"/>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row>
    <row r="796" ht="18.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43"/>
      <c r="AR796" s="43"/>
      <c r="AS796" s="43"/>
      <c r="AT796" s="43"/>
      <c r="AU796" s="43"/>
      <c r="AV796" s="43"/>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5"/>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row>
    <row r="797" ht="18.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43"/>
      <c r="AR797" s="43"/>
      <c r="AS797" s="43"/>
      <c r="AT797" s="43"/>
      <c r="AU797" s="43"/>
      <c r="AV797" s="43"/>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5"/>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row>
    <row r="798" ht="18.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43"/>
      <c r="AR798" s="43"/>
      <c r="AS798" s="43"/>
      <c r="AT798" s="43"/>
      <c r="AU798" s="43"/>
      <c r="AV798" s="43"/>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5"/>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row>
    <row r="799" ht="18.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43"/>
      <c r="AR799" s="43"/>
      <c r="AS799" s="43"/>
      <c r="AT799" s="43"/>
      <c r="AU799" s="43"/>
      <c r="AV799" s="43"/>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5"/>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row>
    <row r="800" ht="18.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43"/>
      <c r="AR800" s="43"/>
      <c r="AS800" s="43"/>
      <c r="AT800" s="43"/>
      <c r="AU800" s="43"/>
      <c r="AV800" s="43"/>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5"/>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row>
    <row r="801" ht="18.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43"/>
      <c r="AR801" s="43"/>
      <c r="AS801" s="43"/>
      <c r="AT801" s="43"/>
      <c r="AU801" s="43"/>
      <c r="AV801" s="43"/>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5"/>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row>
    <row r="802" ht="18.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43"/>
      <c r="AR802" s="43"/>
      <c r="AS802" s="43"/>
      <c r="AT802" s="43"/>
      <c r="AU802" s="43"/>
      <c r="AV802" s="43"/>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5"/>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row>
    <row r="803" ht="18.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43"/>
      <c r="AR803" s="43"/>
      <c r="AS803" s="43"/>
      <c r="AT803" s="43"/>
      <c r="AU803" s="43"/>
      <c r="AV803" s="43"/>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5"/>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row>
    <row r="804" ht="18.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43"/>
      <c r="AR804" s="43"/>
      <c r="AS804" s="43"/>
      <c r="AT804" s="43"/>
      <c r="AU804" s="43"/>
      <c r="AV804" s="43"/>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5"/>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row>
    <row r="805" ht="18.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43"/>
      <c r="AR805" s="43"/>
      <c r="AS805" s="43"/>
      <c r="AT805" s="43"/>
      <c r="AU805" s="43"/>
      <c r="AV805" s="43"/>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5"/>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row>
    <row r="806" ht="18.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43"/>
      <c r="AR806" s="43"/>
      <c r="AS806" s="43"/>
      <c r="AT806" s="43"/>
      <c r="AU806" s="43"/>
      <c r="AV806" s="43"/>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5"/>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row>
    <row r="807" ht="18.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43"/>
      <c r="AR807" s="43"/>
      <c r="AS807" s="43"/>
      <c r="AT807" s="43"/>
      <c r="AU807" s="43"/>
      <c r="AV807" s="43"/>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5"/>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row>
    <row r="808" ht="18.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43"/>
      <c r="AR808" s="43"/>
      <c r="AS808" s="43"/>
      <c r="AT808" s="43"/>
      <c r="AU808" s="43"/>
      <c r="AV808" s="43"/>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5"/>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row>
    <row r="809" ht="18.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43"/>
      <c r="AR809" s="43"/>
      <c r="AS809" s="43"/>
      <c r="AT809" s="43"/>
      <c r="AU809" s="43"/>
      <c r="AV809" s="43"/>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5"/>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row>
    <row r="810" ht="18.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43"/>
      <c r="AR810" s="43"/>
      <c r="AS810" s="43"/>
      <c r="AT810" s="43"/>
      <c r="AU810" s="43"/>
      <c r="AV810" s="43"/>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5"/>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row>
    <row r="811" ht="18.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43"/>
      <c r="AR811" s="43"/>
      <c r="AS811" s="43"/>
      <c r="AT811" s="43"/>
      <c r="AU811" s="43"/>
      <c r="AV811" s="43"/>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5"/>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row>
    <row r="812" ht="18.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43"/>
      <c r="AR812" s="43"/>
      <c r="AS812" s="43"/>
      <c r="AT812" s="43"/>
      <c r="AU812" s="43"/>
      <c r="AV812" s="43"/>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5"/>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row>
    <row r="813" ht="18.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43"/>
      <c r="AR813" s="43"/>
      <c r="AS813" s="43"/>
      <c r="AT813" s="43"/>
      <c r="AU813" s="43"/>
      <c r="AV813" s="43"/>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5"/>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row>
    <row r="814" ht="18.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43"/>
      <c r="AR814" s="43"/>
      <c r="AS814" s="43"/>
      <c r="AT814" s="43"/>
      <c r="AU814" s="43"/>
      <c r="AV814" s="43"/>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5"/>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row>
    <row r="815" ht="18.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43"/>
      <c r="AR815" s="43"/>
      <c r="AS815" s="43"/>
      <c r="AT815" s="43"/>
      <c r="AU815" s="43"/>
      <c r="AV815" s="43"/>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5"/>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row>
    <row r="816" ht="18.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43"/>
      <c r="AR816" s="43"/>
      <c r="AS816" s="43"/>
      <c r="AT816" s="43"/>
      <c r="AU816" s="43"/>
      <c r="AV816" s="43"/>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5"/>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row>
    <row r="817" ht="18.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43"/>
      <c r="AR817" s="43"/>
      <c r="AS817" s="43"/>
      <c r="AT817" s="43"/>
      <c r="AU817" s="43"/>
      <c r="AV817" s="43"/>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5"/>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row>
    <row r="818" ht="18.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43"/>
      <c r="AR818" s="43"/>
      <c r="AS818" s="43"/>
      <c r="AT818" s="43"/>
      <c r="AU818" s="43"/>
      <c r="AV818" s="43"/>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5"/>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row>
    <row r="819" ht="18.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43"/>
      <c r="AR819" s="43"/>
      <c r="AS819" s="43"/>
      <c r="AT819" s="43"/>
      <c r="AU819" s="43"/>
      <c r="AV819" s="43"/>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5"/>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row>
    <row r="820" ht="18.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43"/>
      <c r="AR820" s="43"/>
      <c r="AS820" s="43"/>
      <c r="AT820" s="43"/>
      <c r="AU820" s="43"/>
      <c r="AV820" s="43"/>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5"/>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row>
    <row r="821" ht="18.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43"/>
      <c r="AR821" s="43"/>
      <c r="AS821" s="43"/>
      <c r="AT821" s="43"/>
      <c r="AU821" s="43"/>
      <c r="AV821" s="43"/>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5"/>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row>
    <row r="822" ht="18.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43"/>
      <c r="AR822" s="43"/>
      <c r="AS822" s="43"/>
      <c r="AT822" s="43"/>
      <c r="AU822" s="43"/>
      <c r="AV822" s="43"/>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5"/>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row>
    <row r="823" ht="18.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43"/>
      <c r="AR823" s="43"/>
      <c r="AS823" s="43"/>
      <c r="AT823" s="43"/>
      <c r="AU823" s="43"/>
      <c r="AV823" s="43"/>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5"/>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row>
    <row r="824" ht="18.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43"/>
      <c r="AR824" s="43"/>
      <c r="AS824" s="43"/>
      <c r="AT824" s="43"/>
      <c r="AU824" s="43"/>
      <c r="AV824" s="43"/>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5"/>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row>
    <row r="825" ht="18.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43"/>
      <c r="AR825" s="43"/>
      <c r="AS825" s="43"/>
      <c r="AT825" s="43"/>
      <c r="AU825" s="43"/>
      <c r="AV825" s="43"/>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5"/>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row>
    <row r="826" ht="18.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43"/>
      <c r="AR826" s="43"/>
      <c r="AS826" s="43"/>
      <c r="AT826" s="43"/>
      <c r="AU826" s="43"/>
      <c r="AV826" s="43"/>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5"/>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row>
    <row r="827" ht="18.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43"/>
      <c r="AR827" s="43"/>
      <c r="AS827" s="43"/>
      <c r="AT827" s="43"/>
      <c r="AU827" s="43"/>
      <c r="AV827" s="43"/>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5"/>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row>
    <row r="828" ht="18.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43"/>
      <c r="AR828" s="43"/>
      <c r="AS828" s="43"/>
      <c r="AT828" s="43"/>
      <c r="AU828" s="43"/>
      <c r="AV828" s="43"/>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5"/>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row>
    <row r="829" ht="18.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43"/>
      <c r="AR829" s="43"/>
      <c r="AS829" s="43"/>
      <c r="AT829" s="43"/>
      <c r="AU829" s="43"/>
      <c r="AV829" s="43"/>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5"/>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row>
    <row r="830" ht="18.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43"/>
      <c r="AR830" s="43"/>
      <c r="AS830" s="43"/>
      <c r="AT830" s="43"/>
      <c r="AU830" s="43"/>
      <c r="AV830" s="43"/>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5"/>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row>
    <row r="831" ht="18.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43"/>
      <c r="AR831" s="43"/>
      <c r="AS831" s="43"/>
      <c r="AT831" s="43"/>
      <c r="AU831" s="43"/>
      <c r="AV831" s="43"/>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5"/>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c r="EW831" s="2"/>
      <c r="EX831" s="2"/>
      <c r="EY831" s="2"/>
      <c r="EZ831" s="2"/>
      <c r="FA831" s="2"/>
      <c r="FB831" s="2"/>
      <c r="FC831" s="2"/>
    </row>
    <row r="832" ht="18.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43"/>
      <c r="AR832" s="43"/>
      <c r="AS832" s="43"/>
      <c r="AT832" s="43"/>
      <c r="AU832" s="43"/>
      <c r="AV832" s="43"/>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5"/>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row>
    <row r="833" ht="18.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43"/>
      <c r="AR833" s="43"/>
      <c r="AS833" s="43"/>
      <c r="AT833" s="43"/>
      <c r="AU833" s="43"/>
      <c r="AV833" s="43"/>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5"/>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c r="EW833" s="2"/>
      <c r="EX833" s="2"/>
      <c r="EY833" s="2"/>
      <c r="EZ833" s="2"/>
      <c r="FA833" s="2"/>
      <c r="FB833" s="2"/>
      <c r="FC833" s="2"/>
    </row>
    <row r="834" ht="18.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43"/>
      <c r="AR834" s="43"/>
      <c r="AS834" s="43"/>
      <c r="AT834" s="43"/>
      <c r="AU834" s="43"/>
      <c r="AV834" s="43"/>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5"/>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row>
    <row r="835" ht="18.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43"/>
      <c r="AR835" s="43"/>
      <c r="AS835" s="43"/>
      <c r="AT835" s="43"/>
      <c r="AU835" s="43"/>
      <c r="AV835" s="43"/>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5"/>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c r="EW835" s="2"/>
      <c r="EX835" s="2"/>
      <c r="EY835" s="2"/>
      <c r="EZ835" s="2"/>
      <c r="FA835" s="2"/>
      <c r="FB835" s="2"/>
      <c r="FC835" s="2"/>
    </row>
    <row r="836" ht="18.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43"/>
      <c r="AR836" s="43"/>
      <c r="AS836" s="43"/>
      <c r="AT836" s="43"/>
      <c r="AU836" s="43"/>
      <c r="AV836" s="43"/>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5"/>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row>
    <row r="837" ht="18.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43"/>
      <c r="AR837" s="43"/>
      <c r="AS837" s="43"/>
      <c r="AT837" s="43"/>
      <c r="AU837" s="43"/>
      <c r="AV837" s="43"/>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5"/>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c r="EW837" s="2"/>
      <c r="EX837" s="2"/>
      <c r="EY837" s="2"/>
      <c r="EZ837" s="2"/>
      <c r="FA837" s="2"/>
      <c r="FB837" s="2"/>
      <c r="FC837" s="2"/>
    </row>
    <row r="838" ht="18.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43"/>
      <c r="AR838" s="43"/>
      <c r="AS838" s="43"/>
      <c r="AT838" s="43"/>
      <c r="AU838" s="43"/>
      <c r="AV838" s="43"/>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5"/>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row>
    <row r="839" ht="18.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43"/>
      <c r="AR839" s="43"/>
      <c r="AS839" s="43"/>
      <c r="AT839" s="43"/>
      <c r="AU839" s="43"/>
      <c r="AV839" s="43"/>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5"/>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c r="EW839" s="2"/>
      <c r="EX839" s="2"/>
      <c r="EY839" s="2"/>
      <c r="EZ839" s="2"/>
      <c r="FA839" s="2"/>
      <c r="FB839" s="2"/>
      <c r="FC839" s="2"/>
    </row>
    <row r="840" ht="18.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43"/>
      <c r="AR840" s="43"/>
      <c r="AS840" s="43"/>
      <c r="AT840" s="43"/>
      <c r="AU840" s="43"/>
      <c r="AV840" s="43"/>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5"/>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row>
    <row r="841" ht="18.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43"/>
      <c r="AR841" s="43"/>
      <c r="AS841" s="43"/>
      <c r="AT841" s="43"/>
      <c r="AU841" s="43"/>
      <c r="AV841" s="43"/>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5"/>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c r="EW841" s="2"/>
      <c r="EX841" s="2"/>
      <c r="EY841" s="2"/>
      <c r="EZ841" s="2"/>
      <c r="FA841" s="2"/>
      <c r="FB841" s="2"/>
      <c r="FC841" s="2"/>
    </row>
    <row r="842" ht="18.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43"/>
      <c r="AR842" s="43"/>
      <c r="AS842" s="43"/>
      <c r="AT842" s="43"/>
      <c r="AU842" s="43"/>
      <c r="AV842" s="43"/>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5"/>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row>
    <row r="843" ht="18.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43"/>
      <c r="AR843" s="43"/>
      <c r="AS843" s="43"/>
      <c r="AT843" s="43"/>
      <c r="AU843" s="43"/>
      <c r="AV843" s="43"/>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5"/>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c r="EW843" s="2"/>
      <c r="EX843" s="2"/>
      <c r="EY843" s="2"/>
      <c r="EZ843" s="2"/>
      <c r="FA843" s="2"/>
      <c r="FB843" s="2"/>
      <c r="FC843" s="2"/>
    </row>
    <row r="844" ht="18.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43"/>
      <c r="AR844" s="43"/>
      <c r="AS844" s="43"/>
      <c r="AT844" s="43"/>
      <c r="AU844" s="43"/>
      <c r="AV844" s="43"/>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5"/>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row>
    <row r="845" ht="18.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43"/>
      <c r="AR845" s="43"/>
      <c r="AS845" s="43"/>
      <c r="AT845" s="43"/>
      <c r="AU845" s="43"/>
      <c r="AV845" s="43"/>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5"/>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row>
    <row r="846" ht="18.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43"/>
      <c r="AR846" s="43"/>
      <c r="AS846" s="43"/>
      <c r="AT846" s="43"/>
      <c r="AU846" s="43"/>
      <c r="AV846" s="43"/>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5"/>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row>
    <row r="847" ht="18.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43"/>
      <c r="AR847" s="43"/>
      <c r="AS847" s="43"/>
      <c r="AT847" s="43"/>
      <c r="AU847" s="43"/>
      <c r="AV847" s="43"/>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5"/>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row>
    <row r="848" ht="18.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43"/>
      <c r="AR848" s="43"/>
      <c r="AS848" s="43"/>
      <c r="AT848" s="43"/>
      <c r="AU848" s="43"/>
      <c r="AV848" s="43"/>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5"/>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row>
    <row r="849" ht="18.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43"/>
      <c r="AR849" s="43"/>
      <c r="AS849" s="43"/>
      <c r="AT849" s="43"/>
      <c r="AU849" s="43"/>
      <c r="AV849" s="43"/>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5"/>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row>
    <row r="850" ht="18.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43"/>
      <c r="AR850" s="43"/>
      <c r="AS850" s="43"/>
      <c r="AT850" s="43"/>
      <c r="AU850" s="43"/>
      <c r="AV850" s="43"/>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5"/>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row>
    <row r="851" ht="18.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43"/>
      <c r="AR851" s="43"/>
      <c r="AS851" s="43"/>
      <c r="AT851" s="43"/>
      <c r="AU851" s="43"/>
      <c r="AV851" s="43"/>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5"/>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row>
    <row r="852" ht="18.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43"/>
      <c r="AR852" s="43"/>
      <c r="AS852" s="43"/>
      <c r="AT852" s="43"/>
      <c r="AU852" s="43"/>
      <c r="AV852" s="43"/>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5"/>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row>
    <row r="853" ht="18.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43"/>
      <c r="AR853" s="43"/>
      <c r="AS853" s="43"/>
      <c r="AT853" s="43"/>
      <c r="AU853" s="43"/>
      <c r="AV853" s="43"/>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5"/>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row>
    <row r="854" ht="18.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43"/>
      <c r="AR854" s="43"/>
      <c r="AS854" s="43"/>
      <c r="AT854" s="43"/>
      <c r="AU854" s="43"/>
      <c r="AV854" s="43"/>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5"/>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row>
    <row r="855" ht="18.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43"/>
      <c r="AR855" s="43"/>
      <c r="AS855" s="43"/>
      <c r="AT855" s="43"/>
      <c r="AU855" s="43"/>
      <c r="AV855" s="43"/>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5"/>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row>
    <row r="856" ht="18.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43"/>
      <c r="AR856" s="43"/>
      <c r="AS856" s="43"/>
      <c r="AT856" s="43"/>
      <c r="AU856" s="43"/>
      <c r="AV856" s="43"/>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5"/>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row>
    <row r="857" ht="18.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43"/>
      <c r="AR857" s="43"/>
      <c r="AS857" s="43"/>
      <c r="AT857" s="43"/>
      <c r="AU857" s="43"/>
      <c r="AV857" s="43"/>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5"/>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row>
    <row r="858" ht="18.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43"/>
      <c r="AR858" s="43"/>
      <c r="AS858" s="43"/>
      <c r="AT858" s="43"/>
      <c r="AU858" s="43"/>
      <c r="AV858" s="43"/>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5"/>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row>
    <row r="859" ht="18.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43"/>
      <c r="AR859" s="43"/>
      <c r="AS859" s="43"/>
      <c r="AT859" s="43"/>
      <c r="AU859" s="43"/>
      <c r="AV859" s="43"/>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5"/>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row>
    <row r="860" ht="18.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43"/>
      <c r="AR860" s="43"/>
      <c r="AS860" s="43"/>
      <c r="AT860" s="43"/>
      <c r="AU860" s="43"/>
      <c r="AV860" s="43"/>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5"/>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row>
    <row r="861" ht="18.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43"/>
      <c r="AR861" s="43"/>
      <c r="AS861" s="43"/>
      <c r="AT861" s="43"/>
      <c r="AU861" s="43"/>
      <c r="AV861" s="43"/>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5"/>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row>
    <row r="862" ht="18.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43"/>
      <c r="AR862" s="43"/>
      <c r="AS862" s="43"/>
      <c r="AT862" s="43"/>
      <c r="AU862" s="43"/>
      <c r="AV862" s="43"/>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5"/>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row>
    <row r="863" ht="18.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43"/>
      <c r="AR863" s="43"/>
      <c r="AS863" s="43"/>
      <c r="AT863" s="43"/>
      <c r="AU863" s="43"/>
      <c r="AV863" s="43"/>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5"/>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row>
    <row r="864" ht="18.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43"/>
      <c r="AR864" s="43"/>
      <c r="AS864" s="43"/>
      <c r="AT864" s="43"/>
      <c r="AU864" s="43"/>
      <c r="AV864" s="43"/>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5"/>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row>
    <row r="865" ht="18.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43"/>
      <c r="AR865" s="43"/>
      <c r="AS865" s="43"/>
      <c r="AT865" s="43"/>
      <c r="AU865" s="43"/>
      <c r="AV865" s="43"/>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5"/>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row>
    <row r="866" ht="18.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43"/>
      <c r="AR866" s="43"/>
      <c r="AS866" s="43"/>
      <c r="AT866" s="43"/>
      <c r="AU866" s="43"/>
      <c r="AV866" s="43"/>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5"/>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row>
    <row r="867" ht="18.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43"/>
      <c r="AR867" s="43"/>
      <c r="AS867" s="43"/>
      <c r="AT867" s="43"/>
      <c r="AU867" s="43"/>
      <c r="AV867" s="43"/>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5"/>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row>
    <row r="868" ht="18.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43"/>
      <c r="AR868" s="43"/>
      <c r="AS868" s="43"/>
      <c r="AT868" s="43"/>
      <c r="AU868" s="43"/>
      <c r="AV868" s="43"/>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5"/>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row>
    <row r="869" ht="18.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43"/>
      <c r="AR869" s="43"/>
      <c r="AS869" s="43"/>
      <c r="AT869" s="43"/>
      <c r="AU869" s="43"/>
      <c r="AV869" s="43"/>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5"/>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row>
    <row r="870" ht="18.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43"/>
      <c r="AR870" s="43"/>
      <c r="AS870" s="43"/>
      <c r="AT870" s="43"/>
      <c r="AU870" s="43"/>
      <c r="AV870" s="43"/>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5"/>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row>
    <row r="871" ht="18.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43"/>
      <c r="AR871" s="43"/>
      <c r="AS871" s="43"/>
      <c r="AT871" s="43"/>
      <c r="AU871" s="43"/>
      <c r="AV871" s="43"/>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5"/>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row>
    <row r="872" ht="18.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43"/>
      <c r="AR872" s="43"/>
      <c r="AS872" s="43"/>
      <c r="AT872" s="43"/>
      <c r="AU872" s="43"/>
      <c r="AV872" s="43"/>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5"/>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row>
    <row r="873" ht="18.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43"/>
      <c r="AR873" s="43"/>
      <c r="AS873" s="43"/>
      <c r="AT873" s="43"/>
      <c r="AU873" s="43"/>
      <c r="AV873" s="43"/>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5"/>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row>
    <row r="874" ht="18.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43"/>
      <c r="AR874" s="43"/>
      <c r="AS874" s="43"/>
      <c r="AT874" s="43"/>
      <c r="AU874" s="43"/>
      <c r="AV874" s="43"/>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5"/>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row>
    <row r="875" ht="18.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43"/>
      <c r="AR875" s="43"/>
      <c r="AS875" s="43"/>
      <c r="AT875" s="43"/>
      <c r="AU875" s="43"/>
      <c r="AV875" s="43"/>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5"/>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row>
    <row r="876" ht="18.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43"/>
      <c r="AR876" s="43"/>
      <c r="AS876" s="43"/>
      <c r="AT876" s="43"/>
      <c r="AU876" s="43"/>
      <c r="AV876" s="43"/>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5"/>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row>
    <row r="877" ht="18.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43"/>
      <c r="AR877" s="43"/>
      <c r="AS877" s="43"/>
      <c r="AT877" s="43"/>
      <c r="AU877" s="43"/>
      <c r="AV877" s="43"/>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5"/>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row>
    <row r="878" ht="18.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43"/>
      <c r="AR878" s="43"/>
      <c r="AS878" s="43"/>
      <c r="AT878" s="43"/>
      <c r="AU878" s="43"/>
      <c r="AV878" s="43"/>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5"/>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c r="EW878" s="2"/>
      <c r="EX878" s="2"/>
      <c r="EY878" s="2"/>
      <c r="EZ878" s="2"/>
      <c r="FA878" s="2"/>
      <c r="FB878" s="2"/>
      <c r="FC878" s="2"/>
    </row>
    <row r="879" ht="18.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43"/>
      <c r="AR879" s="43"/>
      <c r="AS879" s="43"/>
      <c r="AT879" s="43"/>
      <c r="AU879" s="43"/>
      <c r="AV879" s="43"/>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5"/>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c r="EW879" s="2"/>
      <c r="EX879" s="2"/>
      <c r="EY879" s="2"/>
      <c r="EZ879" s="2"/>
      <c r="FA879" s="2"/>
      <c r="FB879" s="2"/>
      <c r="FC879" s="2"/>
    </row>
    <row r="880" ht="18.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43"/>
      <c r="AR880" s="43"/>
      <c r="AS880" s="43"/>
      <c r="AT880" s="43"/>
      <c r="AU880" s="43"/>
      <c r="AV880" s="43"/>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5"/>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c r="EW880" s="2"/>
      <c r="EX880" s="2"/>
      <c r="EY880" s="2"/>
      <c r="EZ880" s="2"/>
      <c r="FA880" s="2"/>
      <c r="FB880" s="2"/>
      <c r="FC880" s="2"/>
    </row>
    <row r="881" ht="18.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43"/>
      <c r="AR881" s="43"/>
      <c r="AS881" s="43"/>
      <c r="AT881" s="43"/>
      <c r="AU881" s="43"/>
      <c r="AV881" s="43"/>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5"/>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c r="EW881" s="2"/>
      <c r="EX881" s="2"/>
      <c r="EY881" s="2"/>
      <c r="EZ881" s="2"/>
      <c r="FA881" s="2"/>
      <c r="FB881" s="2"/>
      <c r="FC881" s="2"/>
    </row>
    <row r="882" ht="18.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43"/>
      <c r="AR882" s="43"/>
      <c r="AS882" s="43"/>
      <c r="AT882" s="43"/>
      <c r="AU882" s="43"/>
      <c r="AV882" s="43"/>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5"/>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row>
    <row r="883" ht="18.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43"/>
      <c r="AR883" s="43"/>
      <c r="AS883" s="43"/>
      <c r="AT883" s="43"/>
      <c r="AU883" s="43"/>
      <c r="AV883" s="43"/>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5"/>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row>
    <row r="884" ht="18.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43"/>
      <c r="AR884" s="43"/>
      <c r="AS884" s="43"/>
      <c r="AT884" s="43"/>
      <c r="AU884" s="43"/>
      <c r="AV884" s="43"/>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5"/>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row>
    <row r="885" ht="18.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43"/>
      <c r="AR885" s="43"/>
      <c r="AS885" s="43"/>
      <c r="AT885" s="43"/>
      <c r="AU885" s="43"/>
      <c r="AV885" s="43"/>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5"/>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c r="EW885" s="2"/>
      <c r="EX885" s="2"/>
      <c r="EY885" s="2"/>
      <c r="EZ885" s="2"/>
      <c r="FA885" s="2"/>
      <c r="FB885" s="2"/>
      <c r="FC885" s="2"/>
    </row>
    <row r="886" ht="18.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43"/>
      <c r="AR886" s="43"/>
      <c r="AS886" s="43"/>
      <c r="AT886" s="43"/>
      <c r="AU886" s="43"/>
      <c r="AV886" s="43"/>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5"/>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c r="EW886" s="2"/>
      <c r="EX886" s="2"/>
      <c r="EY886" s="2"/>
      <c r="EZ886" s="2"/>
      <c r="FA886" s="2"/>
      <c r="FB886" s="2"/>
      <c r="FC886" s="2"/>
    </row>
    <row r="887" ht="18.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43"/>
      <c r="AR887" s="43"/>
      <c r="AS887" s="43"/>
      <c r="AT887" s="43"/>
      <c r="AU887" s="43"/>
      <c r="AV887" s="43"/>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5"/>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c r="EW887" s="2"/>
      <c r="EX887" s="2"/>
      <c r="EY887" s="2"/>
      <c r="EZ887" s="2"/>
      <c r="FA887" s="2"/>
      <c r="FB887" s="2"/>
      <c r="FC887" s="2"/>
    </row>
    <row r="888" ht="18.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43"/>
      <c r="AR888" s="43"/>
      <c r="AS888" s="43"/>
      <c r="AT888" s="43"/>
      <c r="AU888" s="43"/>
      <c r="AV888" s="43"/>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5"/>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c r="EW888" s="2"/>
      <c r="EX888" s="2"/>
      <c r="EY888" s="2"/>
      <c r="EZ888" s="2"/>
      <c r="FA888" s="2"/>
      <c r="FB888" s="2"/>
      <c r="FC888" s="2"/>
    </row>
    <row r="889" ht="18.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43"/>
      <c r="AR889" s="43"/>
      <c r="AS889" s="43"/>
      <c r="AT889" s="43"/>
      <c r="AU889" s="43"/>
      <c r="AV889" s="43"/>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5"/>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c r="EW889" s="2"/>
      <c r="EX889" s="2"/>
      <c r="EY889" s="2"/>
      <c r="EZ889" s="2"/>
      <c r="FA889" s="2"/>
      <c r="FB889" s="2"/>
      <c r="FC889" s="2"/>
    </row>
    <row r="890" ht="18.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43"/>
      <c r="AR890" s="43"/>
      <c r="AS890" s="43"/>
      <c r="AT890" s="43"/>
      <c r="AU890" s="43"/>
      <c r="AV890" s="43"/>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5"/>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row>
    <row r="891" ht="18.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43"/>
      <c r="AR891" s="43"/>
      <c r="AS891" s="43"/>
      <c r="AT891" s="43"/>
      <c r="AU891" s="43"/>
      <c r="AV891" s="43"/>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5"/>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row>
    <row r="892" ht="18.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43"/>
      <c r="AR892" s="43"/>
      <c r="AS892" s="43"/>
      <c r="AT892" s="43"/>
      <c r="AU892" s="43"/>
      <c r="AV892" s="43"/>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5"/>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row>
    <row r="893" ht="18.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43"/>
      <c r="AR893" s="43"/>
      <c r="AS893" s="43"/>
      <c r="AT893" s="43"/>
      <c r="AU893" s="43"/>
      <c r="AV893" s="43"/>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5"/>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c r="EW893" s="2"/>
      <c r="EX893" s="2"/>
      <c r="EY893" s="2"/>
      <c r="EZ893" s="2"/>
      <c r="FA893" s="2"/>
      <c r="FB893" s="2"/>
      <c r="FC893" s="2"/>
    </row>
    <row r="894" ht="18.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43"/>
      <c r="AR894" s="43"/>
      <c r="AS894" s="43"/>
      <c r="AT894" s="43"/>
      <c r="AU894" s="43"/>
      <c r="AV894" s="43"/>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5"/>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c r="EW894" s="2"/>
      <c r="EX894" s="2"/>
      <c r="EY894" s="2"/>
      <c r="EZ894" s="2"/>
      <c r="FA894" s="2"/>
      <c r="FB894" s="2"/>
      <c r="FC894" s="2"/>
    </row>
    <row r="895" ht="18.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43"/>
      <c r="AR895" s="43"/>
      <c r="AS895" s="43"/>
      <c r="AT895" s="43"/>
      <c r="AU895" s="43"/>
      <c r="AV895" s="43"/>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5"/>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row>
    <row r="896" ht="18.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43"/>
      <c r="AR896" s="43"/>
      <c r="AS896" s="43"/>
      <c r="AT896" s="43"/>
      <c r="AU896" s="43"/>
      <c r="AV896" s="43"/>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5"/>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c r="EW896" s="2"/>
      <c r="EX896" s="2"/>
      <c r="EY896" s="2"/>
      <c r="EZ896" s="2"/>
      <c r="FA896" s="2"/>
      <c r="FB896" s="2"/>
      <c r="FC896" s="2"/>
    </row>
    <row r="897" ht="18.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43"/>
      <c r="AR897" s="43"/>
      <c r="AS897" s="43"/>
      <c r="AT897" s="43"/>
      <c r="AU897" s="43"/>
      <c r="AV897" s="43"/>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5"/>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row>
    <row r="898" ht="18.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43"/>
      <c r="AR898" s="43"/>
      <c r="AS898" s="43"/>
      <c r="AT898" s="43"/>
      <c r="AU898" s="43"/>
      <c r="AV898" s="43"/>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5"/>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row>
    <row r="899" ht="18.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43"/>
      <c r="AR899" s="43"/>
      <c r="AS899" s="43"/>
      <c r="AT899" s="43"/>
      <c r="AU899" s="43"/>
      <c r="AV899" s="43"/>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5"/>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row>
    <row r="900" ht="18.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43"/>
      <c r="AR900" s="43"/>
      <c r="AS900" s="43"/>
      <c r="AT900" s="43"/>
      <c r="AU900" s="43"/>
      <c r="AV900" s="43"/>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5"/>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row>
    <row r="901" ht="18.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43"/>
      <c r="AR901" s="43"/>
      <c r="AS901" s="43"/>
      <c r="AT901" s="43"/>
      <c r="AU901" s="43"/>
      <c r="AV901" s="43"/>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5"/>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row>
    <row r="902" ht="18.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43"/>
      <c r="AR902" s="43"/>
      <c r="AS902" s="43"/>
      <c r="AT902" s="43"/>
      <c r="AU902" s="43"/>
      <c r="AV902" s="43"/>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5"/>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row>
    <row r="903" ht="18.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43"/>
      <c r="AR903" s="43"/>
      <c r="AS903" s="43"/>
      <c r="AT903" s="43"/>
      <c r="AU903" s="43"/>
      <c r="AV903" s="43"/>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5"/>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row>
    <row r="904" ht="18.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43"/>
      <c r="AR904" s="43"/>
      <c r="AS904" s="43"/>
      <c r="AT904" s="43"/>
      <c r="AU904" s="43"/>
      <c r="AV904" s="43"/>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5"/>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row>
    <row r="905" ht="18.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43"/>
      <c r="AR905" s="43"/>
      <c r="AS905" s="43"/>
      <c r="AT905" s="43"/>
      <c r="AU905" s="43"/>
      <c r="AV905" s="43"/>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5"/>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row>
    <row r="906" ht="18.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43"/>
      <c r="AR906" s="43"/>
      <c r="AS906" s="43"/>
      <c r="AT906" s="43"/>
      <c r="AU906" s="43"/>
      <c r="AV906" s="43"/>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5"/>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row>
    <row r="907" ht="18.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43"/>
      <c r="AR907" s="43"/>
      <c r="AS907" s="43"/>
      <c r="AT907" s="43"/>
      <c r="AU907" s="43"/>
      <c r="AV907" s="43"/>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5"/>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row>
    <row r="908" ht="18.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43"/>
      <c r="AR908" s="43"/>
      <c r="AS908" s="43"/>
      <c r="AT908" s="43"/>
      <c r="AU908" s="43"/>
      <c r="AV908" s="43"/>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5"/>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row>
    <row r="909" ht="18.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43"/>
      <c r="AR909" s="43"/>
      <c r="AS909" s="43"/>
      <c r="AT909" s="43"/>
      <c r="AU909" s="43"/>
      <c r="AV909" s="43"/>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5"/>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row>
    <row r="910" ht="18.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43"/>
      <c r="AR910" s="43"/>
      <c r="AS910" s="43"/>
      <c r="AT910" s="43"/>
      <c r="AU910" s="43"/>
      <c r="AV910" s="43"/>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5"/>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row>
    <row r="911" ht="18.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43"/>
      <c r="AR911" s="43"/>
      <c r="AS911" s="43"/>
      <c r="AT911" s="43"/>
      <c r="AU911" s="43"/>
      <c r="AV911" s="43"/>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5"/>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row>
    <row r="912" ht="18.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43"/>
      <c r="AR912" s="43"/>
      <c r="AS912" s="43"/>
      <c r="AT912" s="43"/>
      <c r="AU912" s="43"/>
      <c r="AV912" s="43"/>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5"/>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row>
    <row r="913" ht="18.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43"/>
      <c r="AR913" s="43"/>
      <c r="AS913" s="43"/>
      <c r="AT913" s="43"/>
      <c r="AU913" s="43"/>
      <c r="AV913" s="43"/>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5"/>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row>
    <row r="914" ht="18.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43"/>
      <c r="AR914" s="43"/>
      <c r="AS914" s="43"/>
      <c r="AT914" s="43"/>
      <c r="AU914" s="43"/>
      <c r="AV914" s="43"/>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5"/>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row>
    <row r="915" ht="18.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43"/>
      <c r="AR915" s="43"/>
      <c r="AS915" s="43"/>
      <c r="AT915" s="43"/>
      <c r="AU915" s="43"/>
      <c r="AV915" s="43"/>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5"/>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row>
    <row r="916" ht="18.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43"/>
      <c r="AR916" s="43"/>
      <c r="AS916" s="43"/>
      <c r="AT916" s="43"/>
      <c r="AU916" s="43"/>
      <c r="AV916" s="43"/>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5"/>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row>
    <row r="917" ht="18.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43"/>
      <c r="AR917" s="43"/>
      <c r="AS917" s="43"/>
      <c r="AT917" s="43"/>
      <c r="AU917" s="43"/>
      <c r="AV917" s="43"/>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5"/>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row>
    <row r="918" ht="18.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43"/>
      <c r="AR918" s="43"/>
      <c r="AS918" s="43"/>
      <c r="AT918" s="43"/>
      <c r="AU918" s="43"/>
      <c r="AV918" s="43"/>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5"/>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row>
    <row r="919" ht="18.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43"/>
      <c r="AR919" s="43"/>
      <c r="AS919" s="43"/>
      <c r="AT919" s="43"/>
      <c r="AU919" s="43"/>
      <c r="AV919" s="43"/>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5"/>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row>
    <row r="920" ht="18.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43"/>
      <c r="AR920" s="43"/>
      <c r="AS920" s="43"/>
      <c r="AT920" s="43"/>
      <c r="AU920" s="43"/>
      <c r="AV920" s="43"/>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5"/>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row>
    <row r="921" ht="18.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43"/>
      <c r="AR921" s="43"/>
      <c r="AS921" s="43"/>
      <c r="AT921" s="43"/>
      <c r="AU921" s="43"/>
      <c r="AV921" s="43"/>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5"/>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row>
    <row r="922" ht="18.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43"/>
      <c r="AR922" s="43"/>
      <c r="AS922" s="43"/>
      <c r="AT922" s="43"/>
      <c r="AU922" s="43"/>
      <c r="AV922" s="43"/>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5"/>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row>
    <row r="923" ht="18.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43"/>
      <c r="AR923" s="43"/>
      <c r="AS923" s="43"/>
      <c r="AT923" s="43"/>
      <c r="AU923" s="43"/>
      <c r="AV923" s="43"/>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5"/>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row>
    <row r="924" ht="18.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43"/>
      <c r="AR924" s="43"/>
      <c r="AS924" s="43"/>
      <c r="AT924" s="43"/>
      <c r="AU924" s="43"/>
      <c r="AV924" s="43"/>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5"/>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row>
    <row r="925" ht="18.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43"/>
      <c r="AR925" s="43"/>
      <c r="AS925" s="43"/>
      <c r="AT925" s="43"/>
      <c r="AU925" s="43"/>
      <c r="AV925" s="43"/>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5"/>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row>
    <row r="926" ht="18.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43"/>
      <c r="AR926" s="43"/>
      <c r="AS926" s="43"/>
      <c r="AT926" s="43"/>
      <c r="AU926" s="43"/>
      <c r="AV926" s="43"/>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5"/>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row>
    <row r="927" ht="18.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43"/>
      <c r="AR927" s="43"/>
      <c r="AS927" s="43"/>
      <c r="AT927" s="43"/>
      <c r="AU927" s="43"/>
      <c r="AV927" s="43"/>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5"/>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row>
    <row r="928" ht="18.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43"/>
      <c r="AR928" s="43"/>
      <c r="AS928" s="43"/>
      <c r="AT928" s="43"/>
      <c r="AU928" s="43"/>
      <c r="AV928" s="43"/>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5"/>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row>
    <row r="929" ht="18.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43"/>
      <c r="AR929" s="43"/>
      <c r="AS929" s="43"/>
      <c r="AT929" s="43"/>
      <c r="AU929" s="43"/>
      <c r="AV929" s="43"/>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5"/>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row>
    <row r="930" ht="18.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43"/>
      <c r="AR930" s="43"/>
      <c r="AS930" s="43"/>
      <c r="AT930" s="43"/>
      <c r="AU930" s="43"/>
      <c r="AV930" s="43"/>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5"/>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row>
    <row r="931" ht="18.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43"/>
      <c r="AR931" s="43"/>
      <c r="AS931" s="43"/>
      <c r="AT931" s="43"/>
      <c r="AU931" s="43"/>
      <c r="AV931" s="43"/>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5"/>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row>
    <row r="932" ht="18.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43"/>
      <c r="AR932" s="43"/>
      <c r="AS932" s="43"/>
      <c r="AT932" s="43"/>
      <c r="AU932" s="43"/>
      <c r="AV932" s="43"/>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5"/>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row>
    <row r="933" ht="18.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43"/>
      <c r="AR933" s="43"/>
      <c r="AS933" s="43"/>
      <c r="AT933" s="43"/>
      <c r="AU933" s="43"/>
      <c r="AV933" s="43"/>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5"/>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row>
    <row r="934" ht="18.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43"/>
      <c r="AR934" s="43"/>
      <c r="AS934" s="43"/>
      <c r="AT934" s="43"/>
      <c r="AU934" s="43"/>
      <c r="AV934" s="43"/>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5"/>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row>
    <row r="935" ht="18.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43"/>
      <c r="AR935" s="43"/>
      <c r="AS935" s="43"/>
      <c r="AT935" s="43"/>
      <c r="AU935" s="43"/>
      <c r="AV935" s="43"/>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5"/>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row>
    <row r="936" ht="18.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43"/>
      <c r="AR936" s="43"/>
      <c r="AS936" s="43"/>
      <c r="AT936" s="43"/>
      <c r="AU936" s="43"/>
      <c r="AV936" s="43"/>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5"/>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row>
    <row r="937" ht="18.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43"/>
      <c r="AR937" s="43"/>
      <c r="AS937" s="43"/>
      <c r="AT937" s="43"/>
      <c r="AU937" s="43"/>
      <c r="AV937" s="43"/>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5"/>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row>
    <row r="938" ht="18.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43"/>
      <c r="AR938" s="43"/>
      <c r="AS938" s="43"/>
      <c r="AT938" s="43"/>
      <c r="AU938" s="43"/>
      <c r="AV938" s="43"/>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5"/>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row>
    <row r="939" ht="18.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43"/>
      <c r="AR939" s="43"/>
      <c r="AS939" s="43"/>
      <c r="AT939" s="43"/>
      <c r="AU939" s="43"/>
      <c r="AV939" s="43"/>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5"/>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row>
    <row r="940" ht="18.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43"/>
      <c r="AR940" s="43"/>
      <c r="AS940" s="43"/>
      <c r="AT940" s="43"/>
      <c r="AU940" s="43"/>
      <c r="AV940" s="43"/>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5"/>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row>
    <row r="941" ht="18.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43"/>
      <c r="AR941" s="43"/>
      <c r="AS941" s="43"/>
      <c r="AT941" s="43"/>
      <c r="AU941" s="43"/>
      <c r="AV941" s="43"/>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5"/>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row>
    <row r="942" ht="18.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43"/>
      <c r="AR942" s="43"/>
      <c r="AS942" s="43"/>
      <c r="AT942" s="43"/>
      <c r="AU942" s="43"/>
      <c r="AV942" s="43"/>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5"/>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row>
    <row r="943" ht="18.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43"/>
      <c r="AR943" s="43"/>
      <c r="AS943" s="43"/>
      <c r="AT943" s="43"/>
      <c r="AU943" s="43"/>
      <c r="AV943" s="43"/>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5"/>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row>
    <row r="944" ht="18.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43"/>
      <c r="AR944" s="43"/>
      <c r="AS944" s="43"/>
      <c r="AT944" s="43"/>
      <c r="AU944" s="43"/>
      <c r="AV944" s="43"/>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5"/>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row>
    <row r="945" ht="18.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43"/>
      <c r="AR945" s="43"/>
      <c r="AS945" s="43"/>
      <c r="AT945" s="43"/>
      <c r="AU945" s="43"/>
      <c r="AV945" s="43"/>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5"/>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row>
    <row r="946" ht="18.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43"/>
      <c r="AR946" s="43"/>
      <c r="AS946" s="43"/>
      <c r="AT946" s="43"/>
      <c r="AU946" s="43"/>
      <c r="AV946" s="43"/>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5"/>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row>
    <row r="947" ht="18.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43"/>
      <c r="AR947" s="43"/>
      <c r="AS947" s="43"/>
      <c r="AT947" s="43"/>
      <c r="AU947" s="43"/>
      <c r="AV947" s="43"/>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5"/>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row>
    <row r="948" ht="18.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43"/>
      <c r="AR948" s="43"/>
      <c r="AS948" s="43"/>
      <c r="AT948" s="43"/>
      <c r="AU948" s="43"/>
      <c r="AV948" s="43"/>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5"/>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row>
    <row r="949" ht="18.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43"/>
      <c r="AR949" s="43"/>
      <c r="AS949" s="43"/>
      <c r="AT949" s="43"/>
      <c r="AU949" s="43"/>
      <c r="AV949" s="43"/>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5"/>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row>
    <row r="950" ht="18.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43"/>
      <c r="AR950" s="43"/>
      <c r="AS950" s="43"/>
      <c r="AT950" s="43"/>
      <c r="AU950" s="43"/>
      <c r="AV950" s="43"/>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5"/>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row>
    <row r="951" ht="18.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43"/>
      <c r="AR951" s="43"/>
      <c r="AS951" s="43"/>
      <c r="AT951" s="43"/>
      <c r="AU951" s="43"/>
      <c r="AV951" s="43"/>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5"/>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row>
    <row r="952" ht="18.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43"/>
      <c r="AR952" s="43"/>
      <c r="AS952" s="43"/>
      <c r="AT952" s="43"/>
      <c r="AU952" s="43"/>
      <c r="AV952" s="43"/>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5"/>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row>
    <row r="953" ht="18.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43"/>
      <c r="AR953" s="43"/>
      <c r="AS953" s="43"/>
      <c r="AT953" s="43"/>
      <c r="AU953" s="43"/>
      <c r="AV953" s="43"/>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5"/>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row>
    <row r="954" ht="18.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43"/>
      <c r="AR954" s="43"/>
      <c r="AS954" s="43"/>
      <c r="AT954" s="43"/>
      <c r="AU954" s="43"/>
      <c r="AV954" s="43"/>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5"/>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row>
    <row r="955" ht="18.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43"/>
      <c r="AR955" s="43"/>
      <c r="AS955" s="43"/>
      <c r="AT955" s="43"/>
      <c r="AU955" s="43"/>
      <c r="AV955" s="43"/>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5"/>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row>
    <row r="956" ht="18.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43"/>
      <c r="AR956" s="43"/>
      <c r="AS956" s="43"/>
      <c r="AT956" s="43"/>
      <c r="AU956" s="43"/>
      <c r="AV956" s="43"/>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5"/>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row>
    <row r="957" ht="18.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43"/>
      <c r="AR957" s="43"/>
      <c r="AS957" s="43"/>
      <c r="AT957" s="43"/>
      <c r="AU957" s="43"/>
      <c r="AV957" s="43"/>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5"/>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row>
    <row r="958" ht="18.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43"/>
      <c r="AR958" s="43"/>
      <c r="AS958" s="43"/>
      <c r="AT958" s="43"/>
      <c r="AU958" s="43"/>
      <c r="AV958" s="43"/>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5"/>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row>
    <row r="959" ht="18.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43"/>
      <c r="AR959" s="43"/>
      <c r="AS959" s="43"/>
      <c r="AT959" s="43"/>
      <c r="AU959" s="43"/>
      <c r="AV959" s="43"/>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5"/>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row>
    <row r="960" ht="18.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43"/>
      <c r="AR960" s="43"/>
      <c r="AS960" s="43"/>
      <c r="AT960" s="43"/>
      <c r="AU960" s="43"/>
      <c r="AV960" s="43"/>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5"/>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row>
    <row r="961" ht="18.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43"/>
      <c r="AR961" s="43"/>
      <c r="AS961" s="43"/>
      <c r="AT961" s="43"/>
      <c r="AU961" s="43"/>
      <c r="AV961" s="43"/>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5"/>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row>
    <row r="962" ht="18.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43"/>
      <c r="AR962" s="43"/>
      <c r="AS962" s="43"/>
      <c r="AT962" s="43"/>
      <c r="AU962" s="43"/>
      <c r="AV962" s="43"/>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5"/>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row>
    <row r="963" ht="18.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43"/>
      <c r="AR963" s="43"/>
      <c r="AS963" s="43"/>
      <c r="AT963" s="43"/>
      <c r="AU963" s="43"/>
      <c r="AV963" s="43"/>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5"/>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row>
    <row r="964" ht="18.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43"/>
      <c r="AR964" s="43"/>
      <c r="AS964" s="43"/>
      <c r="AT964" s="43"/>
      <c r="AU964" s="43"/>
      <c r="AV964" s="43"/>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5"/>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row>
    <row r="965" ht="18.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43"/>
      <c r="AR965" s="43"/>
      <c r="AS965" s="43"/>
      <c r="AT965" s="43"/>
      <c r="AU965" s="43"/>
      <c r="AV965" s="43"/>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5"/>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row>
    <row r="966" ht="18.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43"/>
      <c r="AR966" s="43"/>
      <c r="AS966" s="43"/>
      <c r="AT966" s="43"/>
      <c r="AU966" s="43"/>
      <c r="AV966" s="43"/>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5"/>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row>
    <row r="967" ht="18.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43"/>
      <c r="AR967" s="43"/>
      <c r="AS967" s="43"/>
      <c r="AT967" s="43"/>
      <c r="AU967" s="43"/>
      <c r="AV967" s="43"/>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5"/>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row>
    <row r="968" ht="18.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43"/>
      <c r="AR968" s="43"/>
      <c r="AS968" s="43"/>
      <c r="AT968" s="43"/>
      <c r="AU968" s="43"/>
      <c r="AV968" s="43"/>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5"/>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row>
    <row r="969" ht="18.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43"/>
      <c r="AR969" s="43"/>
      <c r="AS969" s="43"/>
      <c r="AT969" s="43"/>
      <c r="AU969" s="43"/>
      <c r="AV969" s="43"/>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5"/>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row>
    <row r="970" ht="18.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43"/>
      <c r="AR970" s="43"/>
      <c r="AS970" s="43"/>
      <c r="AT970" s="43"/>
      <c r="AU970" s="43"/>
      <c r="AV970" s="43"/>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5"/>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row>
    <row r="971" ht="18.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43"/>
      <c r="AR971" s="43"/>
      <c r="AS971" s="43"/>
      <c r="AT971" s="43"/>
      <c r="AU971" s="43"/>
      <c r="AV971" s="43"/>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5"/>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row>
    <row r="972" ht="18.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43"/>
      <c r="AR972" s="43"/>
      <c r="AS972" s="43"/>
      <c r="AT972" s="43"/>
      <c r="AU972" s="43"/>
      <c r="AV972" s="43"/>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5"/>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row>
    <row r="973" ht="18.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43"/>
      <c r="AR973" s="43"/>
      <c r="AS973" s="43"/>
      <c r="AT973" s="43"/>
      <c r="AU973" s="43"/>
      <c r="AV973" s="43"/>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5"/>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row>
    <row r="974" ht="18.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43"/>
      <c r="AR974" s="43"/>
      <c r="AS974" s="43"/>
      <c r="AT974" s="43"/>
      <c r="AU974" s="43"/>
      <c r="AV974" s="43"/>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5"/>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row>
    <row r="975" ht="18.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43"/>
      <c r="AR975" s="43"/>
      <c r="AS975" s="43"/>
      <c r="AT975" s="43"/>
      <c r="AU975" s="43"/>
      <c r="AV975" s="43"/>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5"/>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row>
    <row r="976" ht="18.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43"/>
      <c r="AR976" s="43"/>
      <c r="AS976" s="43"/>
      <c r="AT976" s="43"/>
      <c r="AU976" s="43"/>
      <c r="AV976" s="43"/>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5"/>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row>
    <row r="977" ht="18.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43"/>
      <c r="AR977" s="43"/>
      <c r="AS977" s="43"/>
      <c r="AT977" s="43"/>
      <c r="AU977" s="43"/>
      <c r="AV977" s="43"/>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5"/>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row>
    <row r="978" ht="18.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43"/>
      <c r="AR978" s="43"/>
      <c r="AS978" s="43"/>
      <c r="AT978" s="43"/>
      <c r="AU978" s="43"/>
      <c r="AV978" s="43"/>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5"/>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row>
    <row r="979" ht="18.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43"/>
      <c r="AR979" s="43"/>
      <c r="AS979" s="43"/>
      <c r="AT979" s="43"/>
      <c r="AU979" s="43"/>
      <c r="AV979" s="43"/>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5"/>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row>
    <row r="980" ht="18.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43"/>
      <c r="AR980" s="43"/>
      <c r="AS980" s="43"/>
      <c r="AT980" s="43"/>
      <c r="AU980" s="43"/>
      <c r="AV980" s="43"/>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5"/>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row>
    <row r="981" ht="18.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43"/>
      <c r="AR981" s="43"/>
      <c r="AS981" s="43"/>
      <c r="AT981" s="43"/>
      <c r="AU981" s="43"/>
      <c r="AV981" s="43"/>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5"/>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row>
    <row r="982" ht="18.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43"/>
      <c r="AR982" s="43"/>
      <c r="AS982" s="43"/>
      <c r="AT982" s="43"/>
      <c r="AU982" s="43"/>
      <c r="AV982" s="43"/>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5"/>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row>
    <row r="983" ht="18.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43"/>
      <c r="AR983" s="43"/>
      <c r="AS983" s="43"/>
      <c r="AT983" s="43"/>
      <c r="AU983" s="43"/>
      <c r="AV983" s="43"/>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5"/>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row>
    <row r="984" ht="18.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43"/>
      <c r="AR984" s="43"/>
      <c r="AS984" s="43"/>
      <c r="AT984" s="43"/>
      <c r="AU984" s="43"/>
      <c r="AV984" s="43"/>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5"/>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row>
    <row r="985" ht="18.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43"/>
      <c r="AR985" s="43"/>
      <c r="AS985" s="43"/>
      <c r="AT985" s="43"/>
      <c r="AU985" s="43"/>
      <c r="AV985" s="43"/>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5"/>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row>
    <row r="986" ht="18.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43"/>
      <c r="AR986" s="43"/>
      <c r="AS986" s="43"/>
      <c r="AT986" s="43"/>
      <c r="AU986" s="43"/>
      <c r="AV986" s="43"/>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5"/>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row>
    <row r="987" ht="18.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43"/>
      <c r="AR987" s="43"/>
      <c r="AS987" s="43"/>
      <c r="AT987" s="43"/>
      <c r="AU987" s="43"/>
      <c r="AV987" s="43"/>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5"/>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row>
    <row r="988" ht="18.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43"/>
      <c r="AR988" s="43"/>
      <c r="AS988" s="43"/>
      <c r="AT988" s="43"/>
      <c r="AU988" s="43"/>
      <c r="AV988" s="43"/>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5"/>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row>
    <row r="989" ht="18.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43"/>
      <c r="AR989" s="43"/>
      <c r="AS989" s="43"/>
      <c r="AT989" s="43"/>
      <c r="AU989" s="43"/>
      <c r="AV989" s="43"/>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5"/>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row>
    <row r="990" ht="18.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43"/>
      <c r="AR990" s="43"/>
      <c r="AS990" s="43"/>
      <c r="AT990" s="43"/>
      <c r="AU990" s="43"/>
      <c r="AV990" s="43"/>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5"/>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row>
    <row r="991" ht="18.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43"/>
      <c r="AR991" s="43"/>
      <c r="AS991" s="43"/>
      <c r="AT991" s="43"/>
      <c r="AU991" s="43"/>
      <c r="AV991" s="43"/>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5"/>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row>
    <row r="992" ht="18.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43"/>
      <c r="AR992" s="43"/>
      <c r="AS992" s="43"/>
      <c r="AT992" s="43"/>
      <c r="AU992" s="43"/>
      <c r="AV992" s="43"/>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5"/>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row>
    <row r="993" ht="18.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43"/>
      <c r="AR993" s="43"/>
      <c r="AS993" s="43"/>
      <c r="AT993" s="43"/>
      <c r="AU993" s="43"/>
      <c r="AV993" s="43"/>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5"/>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row>
  </sheetData>
  <autoFilter ref="$A$5:$FC$435"/>
  <mergeCells count="28">
    <mergeCell ref="E4:F4"/>
    <mergeCell ref="H4:I4"/>
    <mergeCell ref="J2:J4"/>
    <mergeCell ref="K2:K4"/>
    <mergeCell ref="S2:S4"/>
    <mergeCell ref="AA2:AA4"/>
    <mergeCell ref="AH2:AH4"/>
    <mergeCell ref="AP2:AP4"/>
    <mergeCell ref="AW2:AW4"/>
    <mergeCell ref="CX4:CZ4"/>
    <mergeCell ref="DA4:DC4"/>
    <mergeCell ref="DD4:DH4"/>
    <mergeCell ref="DI4:DM4"/>
    <mergeCell ref="DN4:DR4"/>
    <mergeCell ref="DS4:DW4"/>
    <mergeCell ref="DX4:EB4"/>
    <mergeCell ref="EC4:EG4"/>
    <mergeCell ref="EM4:EQ4"/>
    <mergeCell ref="ER4:EV4"/>
    <mergeCell ref="EW4:FB4"/>
    <mergeCell ref="BE2:BE4"/>
    <mergeCell ref="BL2:BL4"/>
    <mergeCell ref="BY2:BY4"/>
    <mergeCell ref="CF2:CF4"/>
    <mergeCell ref="CR2:CR4"/>
    <mergeCell ref="DI3:EL3"/>
    <mergeCell ref="CT4:CV4"/>
    <mergeCell ref="EH4:EL4"/>
  </mergeCells>
  <dataValidations>
    <dataValidation type="list" allowBlank="1" sqref="E6:E434">
      <formula1>"Актуальный,Вывод,Под вопросом,Новинка,Перерабатываем"</formula1>
    </dataValidation>
    <dataValidation type="list" allowBlank="1" showErrorMessage="1" sqref="D6:D434">
      <formula1>"qeep,Harly,Алтея,CPA"</formula1>
    </dataValidation>
    <dataValidation type="list" allowBlank="1" showErrorMessage="1" sqref="B6:B434">
      <formula1>"Биг-Л,Смарт-Сэйл,"" """</formula1>
    </dataValidation>
  </dataValidations>
  <hyperlinks>
    <hyperlink r:id="rId1" location="gid=1985852842" ref="BM3"/>
    <hyperlink r:id="rId2" location="gid=1985852842" ref="BQ3"/>
    <hyperlink r:id="rId3" location="gid=1985852842" ref="BU3"/>
    <hyperlink r:id="rId4" location="gid=1985852842" ref="BZ3"/>
    <hyperlink r:id="rId5" ref="AQ6"/>
    <hyperlink r:id="rId6" ref="AR6"/>
    <hyperlink r:id="rId7" ref="BI6"/>
    <hyperlink r:id="rId8" ref="BW6"/>
    <hyperlink r:id="rId9" ref="AQ7"/>
    <hyperlink r:id="rId10" ref="AR7"/>
    <hyperlink r:id="rId11" ref="AS7"/>
    <hyperlink r:id="rId12" ref="BI7"/>
    <hyperlink r:id="rId13" ref="BW7"/>
    <hyperlink r:id="rId14" ref="AQ8"/>
    <hyperlink r:id="rId15" ref="AR8"/>
    <hyperlink r:id="rId16" ref="AS8"/>
    <hyperlink r:id="rId17" ref="BI8"/>
    <hyperlink r:id="rId18" ref="BW8"/>
    <hyperlink r:id="rId19" ref="AQ9"/>
    <hyperlink r:id="rId20" ref="AR9"/>
    <hyperlink r:id="rId21" ref="AS9"/>
    <hyperlink r:id="rId22" ref="AQ10"/>
    <hyperlink r:id="rId23" ref="AR10"/>
    <hyperlink r:id="rId24" ref="AS10"/>
    <hyperlink r:id="rId25" ref="BI10"/>
    <hyperlink r:id="rId26" ref="BW10"/>
    <hyperlink r:id="rId27" ref="AQ11"/>
    <hyperlink r:id="rId28" ref="AR11"/>
    <hyperlink r:id="rId29" ref="AS11"/>
    <hyperlink r:id="rId30" ref="BI11"/>
    <hyperlink r:id="rId31" ref="AQ12"/>
    <hyperlink r:id="rId32" ref="AR12"/>
    <hyperlink r:id="rId33" ref="AS12"/>
    <hyperlink r:id="rId34" ref="BI12"/>
    <hyperlink r:id="rId35" ref="BW12"/>
    <hyperlink r:id="rId36" ref="AQ13"/>
    <hyperlink r:id="rId37" ref="AR13"/>
    <hyperlink r:id="rId38" ref="AS13"/>
    <hyperlink r:id="rId39" ref="BI13"/>
    <hyperlink r:id="rId40" ref="BW13"/>
    <hyperlink r:id="rId41" ref="AQ14"/>
    <hyperlink r:id="rId42" ref="AR14"/>
    <hyperlink r:id="rId43" ref="AS14"/>
    <hyperlink r:id="rId44" ref="BI14"/>
    <hyperlink r:id="rId45" ref="AQ15"/>
    <hyperlink r:id="rId46" ref="AR15"/>
    <hyperlink r:id="rId47" ref="AS15"/>
    <hyperlink r:id="rId48" ref="AV15"/>
    <hyperlink r:id="rId49" ref="BI15"/>
    <hyperlink r:id="rId50" ref="AQ16"/>
    <hyperlink r:id="rId51" ref="AR16"/>
    <hyperlink r:id="rId52" ref="AS16"/>
    <hyperlink r:id="rId53" ref="AT16"/>
    <hyperlink r:id="rId54" ref="AU16"/>
    <hyperlink r:id="rId55" ref="BI16"/>
    <hyperlink r:id="rId56" ref="AQ17"/>
    <hyperlink r:id="rId57" ref="AR17"/>
    <hyperlink r:id="rId58" ref="AS17"/>
    <hyperlink r:id="rId59" ref="AU17"/>
    <hyperlink r:id="rId60" ref="BI17"/>
    <hyperlink r:id="rId61" ref="AQ18"/>
    <hyperlink r:id="rId62" ref="AR18"/>
    <hyperlink r:id="rId63" ref="AS18"/>
    <hyperlink r:id="rId64" ref="AT18"/>
    <hyperlink r:id="rId65" ref="BI18"/>
    <hyperlink r:id="rId66" ref="AQ19"/>
    <hyperlink r:id="rId67" ref="AR19"/>
    <hyperlink r:id="rId68" ref="BI19"/>
    <hyperlink r:id="rId69" ref="AQ20"/>
    <hyperlink r:id="rId70" ref="AR20"/>
    <hyperlink r:id="rId71" ref="AS20"/>
    <hyperlink r:id="rId72" ref="AT20"/>
    <hyperlink r:id="rId73" ref="BI20"/>
    <hyperlink r:id="rId74" ref="AQ21"/>
    <hyperlink r:id="rId75" ref="AR21"/>
    <hyperlink r:id="rId76" ref="AS21"/>
    <hyperlink r:id="rId77" ref="AT21"/>
    <hyperlink r:id="rId78" ref="BI21"/>
    <hyperlink r:id="rId79" ref="AQ22"/>
    <hyperlink r:id="rId80" ref="AR22"/>
    <hyperlink r:id="rId81" ref="AS22"/>
    <hyperlink r:id="rId82" ref="BI22"/>
    <hyperlink r:id="rId83" ref="CB22"/>
    <hyperlink r:id="rId84" ref="AQ23"/>
    <hyperlink r:id="rId85" ref="AR23"/>
    <hyperlink r:id="rId86" ref="AQ24"/>
    <hyperlink r:id="rId87" ref="AR24"/>
    <hyperlink r:id="rId88" ref="AS24"/>
    <hyperlink r:id="rId89" ref="AT24"/>
    <hyperlink r:id="rId90" ref="BI24"/>
    <hyperlink r:id="rId91" ref="AQ25"/>
    <hyperlink r:id="rId92" ref="AR25"/>
    <hyperlink r:id="rId93" ref="AS25"/>
    <hyperlink r:id="rId94" ref="AT25"/>
    <hyperlink r:id="rId95" ref="CB25"/>
    <hyperlink r:id="rId96" ref="AQ26"/>
    <hyperlink r:id="rId97" ref="AR26"/>
    <hyperlink r:id="rId98" ref="AQ27"/>
    <hyperlink r:id="rId99" ref="AR27"/>
    <hyperlink r:id="rId100" ref="AQ28"/>
    <hyperlink r:id="rId101" ref="AR28"/>
    <hyperlink r:id="rId102" ref="AQ29"/>
    <hyperlink r:id="rId103" ref="AR29"/>
    <hyperlink r:id="rId104" ref="AS29"/>
    <hyperlink r:id="rId105" ref="AU29"/>
    <hyperlink r:id="rId106" ref="BI29"/>
    <hyperlink r:id="rId107" ref="AQ30"/>
    <hyperlink r:id="rId108" ref="AR30"/>
    <hyperlink r:id="rId109" ref="AS30"/>
    <hyperlink r:id="rId110" ref="AU30"/>
    <hyperlink r:id="rId111" ref="AV30"/>
    <hyperlink r:id="rId112" ref="BI30"/>
    <hyperlink r:id="rId113" ref="CB30"/>
    <hyperlink r:id="rId114" ref="AQ31"/>
    <hyperlink r:id="rId115" ref="AR31"/>
    <hyperlink r:id="rId116" ref="AS31"/>
    <hyperlink r:id="rId117" ref="BI31"/>
    <hyperlink r:id="rId118" ref="CB31"/>
    <hyperlink r:id="rId119" ref="AQ32"/>
    <hyperlink r:id="rId120" ref="AR32"/>
    <hyperlink r:id="rId121" ref="AS32"/>
    <hyperlink r:id="rId122" ref="BI32"/>
    <hyperlink r:id="rId123" ref="AQ33"/>
    <hyperlink r:id="rId124" ref="AR33"/>
    <hyperlink r:id="rId125" ref="AS33"/>
    <hyperlink r:id="rId126" ref="BI33"/>
    <hyperlink r:id="rId127" ref="AQ34"/>
    <hyperlink r:id="rId128" ref="AR34"/>
    <hyperlink r:id="rId129" ref="AS34"/>
    <hyperlink r:id="rId130" ref="BI34"/>
    <hyperlink r:id="rId131" ref="AQ35"/>
    <hyperlink r:id="rId132" ref="AR35"/>
    <hyperlink r:id="rId133" ref="AS35"/>
    <hyperlink r:id="rId134" ref="BI35"/>
    <hyperlink r:id="rId135" ref="AQ36"/>
    <hyperlink r:id="rId136" ref="AR36"/>
    <hyperlink r:id="rId137" ref="AS36"/>
    <hyperlink r:id="rId138" ref="BI36"/>
    <hyperlink r:id="rId139" ref="AQ37"/>
    <hyperlink r:id="rId140" ref="AR37"/>
    <hyperlink r:id="rId141" ref="AS37"/>
    <hyperlink r:id="rId142" ref="BI37"/>
    <hyperlink r:id="rId143" ref="AQ38"/>
    <hyperlink r:id="rId144" ref="AR38"/>
    <hyperlink r:id="rId145" ref="AS38"/>
    <hyperlink r:id="rId146" ref="CB38"/>
    <hyperlink r:id="rId147" ref="AQ39"/>
    <hyperlink r:id="rId148" ref="AR39"/>
    <hyperlink r:id="rId149" ref="AS39"/>
    <hyperlink r:id="rId150" ref="CB39"/>
    <hyperlink r:id="rId151" ref="AQ40"/>
    <hyperlink r:id="rId152" ref="AR40"/>
    <hyperlink r:id="rId153" ref="AS40"/>
    <hyperlink r:id="rId154" ref="AT40"/>
    <hyperlink r:id="rId155" ref="BI40"/>
    <hyperlink r:id="rId156" ref="AQ41"/>
    <hyperlink r:id="rId157" ref="AR41"/>
    <hyperlink r:id="rId158" ref="AS41"/>
    <hyperlink r:id="rId159" ref="BI41"/>
    <hyperlink r:id="rId160" ref="AQ42"/>
    <hyperlink r:id="rId161" ref="AR42"/>
    <hyperlink r:id="rId162" ref="AS42"/>
    <hyperlink r:id="rId163" ref="BI42"/>
    <hyperlink r:id="rId164" ref="AQ43"/>
    <hyperlink r:id="rId165" ref="AR43"/>
    <hyperlink r:id="rId166" ref="BI43"/>
    <hyperlink r:id="rId167" ref="AQ44"/>
    <hyperlink r:id="rId168" ref="AR44"/>
    <hyperlink r:id="rId169" ref="AS44"/>
    <hyperlink r:id="rId170" ref="BI44"/>
    <hyperlink r:id="rId171" ref="AQ45"/>
    <hyperlink r:id="rId172" ref="AR45"/>
    <hyperlink r:id="rId173" ref="AS45"/>
    <hyperlink r:id="rId174" ref="AQ46"/>
    <hyperlink r:id="rId175" ref="AR46"/>
    <hyperlink r:id="rId176" ref="AS46"/>
    <hyperlink r:id="rId177" ref="AT46"/>
    <hyperlink r:id="rId178" ref="BI46"/>
    <hyperlink r:id="rId179" ref="AQ47"/>
    <hyperlink r:id="rId180" ref="AR47"/>
    <hyperlink r:id="rId181" ref="AQ48"/>
    <hyperlink r:id="rId182" ref="AR48"/>
    <hyperlink r:id="rId183" ref="AS48"/>
    <hyperlink r:id="rId184" ref="AT48"/>
    <hyperlink r:id="rId185" ref="BI48"/>
    <hyperlink r:id="rId186" ref="AQ49"/>
    <hyperlink r:id="rId187" ref="AR49"/>
    <hyperlink r:id="rId188" ref="AS49"/>
    <hyperlink r:id="rId189" ref="AT49"/>
    <hyperlink r:id="rId190" ref="BI49"/>
    <hyperlink r:id="rId191" ref="AQ50"/>
    <hyperlink r:id="rId192" ref="AR50"/>
    <hyperlink r:id="rId193" ref="AS50"/>
    <hyperlink r:id="rId194" ref="AQ51"/>
    <hyperlink r:id="rId195" ref="AR51"/>
    <hyperlink r:id="rId196" ref="AQ52"/>
    <hyperlink r:id="rId197" ref="AR52"/>
    <hyperlink r:id="rId198" ref="AS52"/>
    <hyperlink r:id="rId199" ref="BI52"/>
    <hyperlink r:id="rId200" ref="AQ53"/>
    <hyperlink r:id="rId201" ref="AR53"/>
    <hyperlink r:id="rId202" ref="AS53"/>
    <hyperlink r:id="rId203" ref="BI53"/>
    <hyperlink r:id="rId204" ref="AQ54"/>
    <hyperlink r:id="rId205" ref="AR54"/>
    <hyperlink r:id="rId206" ref="BI54"/>
    <hyperlink r:id="rId207" ref="AQ55"/>
    <hyperlink r:id="rId208" ref="AR55"/>
    <hyperlink r:id="rId209" ref="AS55"/>
    <hyperlink r:id="rId210" ref="BI55"/>
    <hyperlink r:id="rId211" ref="AQ56"/>
    <hyperlink r:id="rId212" ref="AR56"/>
    <hyperlink r:id="rId213" ref="AS56"/>
    <hyperlink r:id="rId214" ref="AT56"/>
    <hyperlink r:id="rId215" ref="BI56"/>
    <hyperlink r:id="rId216" ref="AQ57"/>
    <hyperlink r:id="rId217" ref="AR57"/>
    <hyperlink r:id="rId218" ref="AS57"/>
    <hyperlink r:id="rId219" ref="AT57"/>
    <hyperlink r:id="rId220" ref="BI57"/>
    <hyperlink r:id="rId221" ref="AQ58"/>
    <hyperlink r:id="rId222" ref="AR58"/>
    <hyperlink r:id="rId223" ref="AS58"/>
    <hyperlink r:id="rId224" ref="BI58"/>
    <hyperlink r:id="rId225" ref="AQ59"/>
    <hyperlink r:id="rId226" ref="AR59"/>
    <hyperlink r:id="rId227" ref="AS59"/>
    <hyperlink r:id="rId228" ref="BI59"/>
    <hyperlink r:id="rId229" ref="AQ60"/>
    <hyperlink r:id="rId230" ref="AR60"/>
    <hyperlink r:id="rId231" ref="AS60"/>
    <hyperlink r:id="rId232" ref="AT60"/>
    <hyperlink r:id="rId233" ref="AQ61"/>
    <hyperlink r:id="rId234" ref="AR61"/>
    <hyperlink r:id="rId235" ref="AS61"/>
    <hyperlink r:id="rId236" ref="AT61"/>
    <hyperlink r:id="rId237" ref="BI61"/>
    <hyperlink r:id="rId238" ref="AQ62"/>
    <hyperlink r:id="rId239" ref="AR62"/>
    <hyperlink r:id="rId240" ref="AS62"/>
    <hyperlink r:id="rId241" ref="AQ63"/>
    <hyperlink r:id="rId242" ref="AR63"/>
    <hyperlink r:id="rId243" ref="BI63"/>
    <hyperlink r:id="rId244" ref="AQ64"/>
    <hyperlink r:id="rId245" ref="AR64"/>
    <hyperlink r:id="rId246" ref="AS64"/>
    <hyperlink r:id="rId247" ref="AT64"/>
    <hyperlink r:id="rId248" ref="BI64"/>
    <hyperlink r:id="rId249" ref="AQ65"/>
    <hyperlink r:id="rId250" ref="AR65"/>
    <hyperlink r:id="rId251" ref="AS65"/>
    <hyperlink r:id="rId252" ref="BI65"/>
    <hyperlink r:id="rId253" ref="AQ66"/>
    <hyperlink r:id="rId254" ref="AR66"/>
    <hyperlink r:id="rId255" ref="AS66"/>
    <hyperlink r:id="rId256" ref="AQ67"/>
    <hyperlink r:id="rId257" ref="AR67"/>
    <hyperlink r:id="rId258" ref="AS67"/>
    <hyperlink r:id="rId259" ref="BI67"/>
    <hyperlink r:id="rId260" ref="AQ68"/>
    <hyperlink r:id="rId261" ref="AR68"/>
    <hyperlink r:id="rId262" ref="AS68"/>
    <hyperlink r:id="rId263" ref="BI68"/>
    <hyperlink r:id="rId264" ref="AQ69"/>
    <hyperlink r:id="rId265" ref="AR69"/>
    <hyperlink r:id="rId266" ref="AS69"/>
    <hyperlink r:id="rId267" ref="BI69"/>
    <hyperlink r:id="rId268" ref="AQ70"/>
    <hyperlink r:id="rId269" ref="AR70"/>
    <hyperlink r:id="rId270" ref="AS70"/>
    <hyperlink r:id="rId271" ref="AQ71"/>
    <hyperlink r:id="rId272" ref="AR71"/>
    <hyperlink r:id="rId273" ref="AS71"/>
    <hyperlink r:id="rId274" ref="AQ72"/>
    <hyperlink r:id="rId275" ref="AR72"/>
    <hyperlink r:id="rId276" ref="AS72"/>
    <hyperlink r:id="rId277" ref="AQ73"/>
    <hyperlink r:id="rId278" ref="AR73"/>
    <hyperlink r:id="rId279" ref="AS73"/>
    <hyperlink r:id="rId280" ref="AQ74"/>
    <hyperlink r:id="rId281" ref="AR74"/>
    <hyperlink r:id="rId282" ref="AS74"/>
    <hyperlink r:id="rId283" ref="AQ75"/>
    <hyperlink r:id="rId284" ref="AR75"/>
    <hyperlink r:id="rId285" ref="AS75"/>
    <hyperlink r:id="rId286" ref="AQ76"/>
    <hyperlink r:id="rId287" ref="AR76"/>
    <hyperlink r:id="rId288" ref="AS76"/>
    <hyperlink r:id="rId289" ref="BI76"/>
    <hyperlink r:id="rId290" ref="AQ77"/>
    <hyperlink r:id="rId291" ref="AR77"/>
    <hyperlink r:id="rId292" ref="AS77"/>
    <hyperlink r:id="rId293" ref="BI77"/>
    <hyperlink r:id="rId294" ref="AQ78"/>
    <hyperlink r:id="rId295" ref="AR78"/>
    <hyperlink r:id="rId296" ref="AS78"/>
    <hyperlink r:id="rId297" ref="AQ79"/>
    <hyperlink r:id="rId298" ref="AR79"/>
    <hyperlink r:id="rId299" ref="AS79"/>
    <hyperlink r:id="rId300" ref="BI79"/>
    <hyperlink r:id="rId301" ref="AQ80"/>
    <hyperlink r:id="rId302" ref="AR80"/>
    <hyperlink r:id="rId303" ref="AQ81"/>
    <hyperlink r:id="rId304" ref="AR81"/>
    <hyperlink r:id="rId305" ref="AS81"/>
    <hyperlink r:id="rId306" ref="AU81"/>
    <hyperlink r:id="rId307" ref="AV81"/>
    <hyperlink r:id="rId308" ref="BI81"/>
    <hyperlink r:id="rId309" ref="AQ82"/>
    <hyperlink r:id="rId310" ref="AR82"/>
    <hyperlink r:id="rId311" ref="AS82"/>
    <hyperlink r:id="rId312" ref="AU82"/>
    <hyperlink r:id="rId313" ref="BI82"/>
    <hyperlink r:id="rId314" ref="AQ83"/>
    <hyperlink r:id="rId315" ref="AR83"/>
    <hyperlink r:id="rId316" ref="AS83"/>
    <hyperlink r:id="rId317" ref="AU83"/>
    <hyperlink r:id="rId318" ref="AQ84"/>
    <hyperlink r:id="rId319" ref="AR84"/>
    <hyperlink r:id="rId320" ref="AS84"/>
    <hyperlink r:id="rId321" ref="AT84"/>
    <hyperlink r:id="rId322" ref="AU84"/>
    <hyperlink r:id="rId323" ref="AV84"/>
    <hyperlink r:id="rId324" ref="BI84"/>
    <hyperlink r:id="rId325" ref="AR85"/>
    <hyperlink r:id="rId326" ref="AU85"/>
    <hyperlink r:id="rId327" ref="AV85"/>
    <hyperlink r:id="rId328" ref="BI85"/>
    <hyperlink r:id="rId329" ref="BW85"/>
    <hyperlink r:id="rId330" ref="AQ86"/>
    <hyperlink r:id="rId331" ref="AR86"/>
    <hyperlink r:id="rId332" ref="AS86"/>
    <hyperlink r:id="rId333" ref="AQ87"/>
    <hyperlink r:id="rId334" ref="AR87"/>
    <hyperlink r:id="rId335" ref="AS87"/>
    <hyperlink r:id="rId336" ref="BI87"/>
    <hyperlink r:id="rId337" ref="CB87"/>
    <hyperlink r:id="rId338" ref="AQ88"/>
    <hyperlink r:id="rId339" ref="AR88"/>
    <hyperlink r:id="rId340" ref="AQ89"/>
    <hyperlink r:id="rId341" ref="AR89"/>
    <hyperlink r:id="rId342" ref="AS89"/>
    <hyperlink r:id="rId343" ref="AT89"/>
    <hyperlink r:id="rId344" ref="BI89"/>
    <hyperlink r:id="rId345" ref="CB89"/>
    <hyperlink r:id="rId346" ref="AQ90"/>
    <hyperlink r:id="rId347" ref="AR90"/>
    <hyperlink r:id="rId348" ref="AS90"/>
    <hyperlink r:id="rId349" ref="BI90"/>
    <hyperlink r:id="rId350" ref="AQ91"/>
    <hyperlink r:id="rId351" ref="AR91"/>
    <hyperlink r:id="rId352" ref="AS91"/>
    <hyperlink r:id="rId353" ref="BI91"/>
    <hyperlink r:id="rId354" ref="AQ92"/>
    <hyperlink r:id="rId355" ref="AR92"/>
    <hyperlink r:id="rId356" ref="AS92"/>
    <hyperlink r:id="rId357" ref="BI92"/>
    <hyperlink r:id="rId358" ref="AQ93"/>
    <hyperlink r:id="rId359" ref="AR93"/>
    <hyperlink r:id="rId360" ref="AS93"/>
    <hyperlink r:id="rId361" ref="AU93"/>
    <hyperlink r:id="rId362" ref="BI93"/>
    <hyperlink r:id="rId363" ref="AQ94"/>
    <hyperlink r:id="rId364" ref="AR94"/>
    <hyperlink r:id="rId365" ref="AS94"/>
    <hyperlink r:id="rId366" ref="AQ95"/>
    <hyperlink r:id="rId367" ref="AR95"/>
    <hyperlink r:id="rId368" ref="AS95"/>
    <hyperlink r:id="rId369" ref="BI95"/>
    <hyperlink r:id="rId370" ref="AQ96"/>
    <hyperlink r:id="rId371" ref="AR96"/>
    <hyperlink r:id="rId372" ref="AS96"/>
    <hyperlink r:id="rId373" ref="AT96"/>
    <hyperlink r:id="rId374" ref="BI96"/>
    <hyperlink r:id="rId375" ref="AQ97"/>
    <hyperlink r:id="rId376" ref="AR97"/>
    <hyperlink r:id="rId377" ref="AS97"/>
    <hyperlink r:id="rId378" ref="AQ98"/>
    <hyperlink r:id="rId379" ref="AR98"/>
    <hyperlink r:id="rId380" ref="AS98"/>
    <hyperlink r:id="rId381" ref="BI98"/>
    <hyperlink r:id="rId382" ref="AQ99"/>
    <hyperlink r:id="rId383" ref="AR99"/>
    <hyperlink r:id="rId384" ref="AS99"/>
    <hyperlink r:id="rId385" ref="BI99"/>
    <hyperlink r:id="rId386" ref="AQ100"/>
    <hyperlink r:id="rId387" ref="AR100"/>
    <hyperlink r:id="rId388" ref="AS100"/>
    <hyperlink r:id="rId389" ref="BI100"/>
    <hyperlink r:id="rId390" ref="AQ101"/>
    <hyperlink r:id="rId391" ref="AR101"/>
    <hyperlink r:id="rId392" ref="AS101"/>
    <hyperlink r:id="rId393" ref="AQ102"/>
    <hyperlink r:id="rId394" ref="AR102"/>
    <hyperlink r:id="rId395" ref="AS102"/>
    <hyperlink r:id="rId396" ref="BI102"/>
    <hyperlink r:id="rId397" ref="AQ103"/>
    <hyperlink r:id="rId398" ref="AR103"/>
    <hyperlink r:id="rId399" ref="AS103"/>
    <hyperlink r:id="rId400" ref="AQ104"/>
    <hyperlink r:id="rId401" ref="AR104"/>
    <hyperlink r:id="rId402" ref="AS104"/>
    <hyperlink r:id="rId403" ref="BI104"/>
    <hyperlink r:id="rId404" ref="AQ105"/>
    <hyperlink r:id="rId405" ref="AR105"/>
    <hyperlink r:id="rId406" ref="AS105"/>
    <hyperlink r:id="rId407" ref="AU105"/>
    <hyperlink r:id="rId408" ref="BI105"/>
    <hyperlink r:id="rId409" ref="AQ106"/>
    <hyperlink r:id="rId410" ref="AR106"/>
    <hyperlink r:id="rId411" ref="AS106"/>
    <hyperlink r:id="rId412" ref="BI106"/>
    <hyperlink r:id="rId413" ref="CB106"/>
    <hyperlink r:id="rId414" ref="AQ107"/>
    <hyperlink r:id="rId415" ref="AR107"/>
    <hyperlink r:id="rId416" ref="AS107"/>
    <hyperlink r:id="rId417" ref="BI107"/>
    <hyperlink r:id="rId418" ref="AQ108"/>
    <hyperlink r:id="rId419" ref="AR108"/>
    <hyperlink r:id="rId420" ref="AS108"/>
    <hyperlink r:id="rId421" ref="BI108"/>
    <hyperlink r:id="rId422" ref="AQ109"/>
    <hyperlink r:id="rId423" ref="AR109"/>
    <hyperlink r:id="rId424" ref="AS109"/>
    <hyperlink r:id="rId425" ref="BI109"/>
    <hyperlink r:id="rId426" ref="CB109"/>
    <hyperlink r:id="rId427" ref="AQ110"/>
    <hyperlink r:id="rId428" ref="AR110"/>
    <hyperlink r:id="rId429" ref="AQ111"/>
    <hyperlink r:id="rId430" ref="AR111"/>
    <hyperlink r:id="rId431" ref="AS111"/>
    <hyperlink r:id="rId432" ref="AQ112"/>
    <hyperlink r:id="rId433" ref="AR112"/>
    <hyperlink r:id="rId434" ref="AQ113"/>
    <hyperlink r:id="rId435" ref="AR113"/>
    <hyperlink r:id="rId436" ref="AQ114"/>
    <hyperlink r:id="rId437" ref="AR114"/>
    <hyperlink r:id="rId438" ref="AS114"/>
    <hyperlink r:id="rId439" ref="BI114"/>
    <hyperlink r:id="rId440" ref="AQ115"/>
    <hyperlink r:id="rId441" ref="AR115"/>
    <hyperlink r:id="rId442" ref="BI115"/>
    <hyperlink r:id="rId443" ref="AQ116"/>
    <hyperlink r:id="rId444" ref="AQ117"/>
    <hyperlink r:id="rId445" ref="AR117"/>
    <hyperlink r:id="rId446" ref="BI117"/>
    <hyperlink r:id="rId447" ref="AQ118"/>
    <hyperlink r:id="rId448" ref="AR118"/>
    <hyperlink r:id="rId449" ref="AQ119"/>
    <hyperlink r:id="rId450" ref="AR119"/>
    <hyperlink r:id="rId451" ref="AQ120"/>
    <hyperlink r:id="rId452" ref="AR120"/>
    <hyperlink r:id="rId453" ref="AS120"/>
    <hyperlink r:id="rId454" ref="AQ121"/>
    <hyperlink r:id="rId455" ref="AR121"/>
    <hyperlink r:id="rId456" ref="AS121"/>
    <hyperlink r:id="rId457" ref="AQ122"/>
    <hyperlink r:id="rId458" ref="AR122"/>
    <hyperlink r:id="rId459" ref="AQ123"/>
    <hyperlink r:id="rId460" ref="AR123"/>
    <hyperlink r:id="rId461" ref="BI123"/>
    <hyperlink r:id="rId462" ref="AQ124"/>
    <hyperlink r:id="rId463" ref="AR124"/>
    <hyperlink r:id="rId464" ref="AQ125"/>
    <hyperlink r:id="rId465" ref="AR125"/>
    <hyperlink r:id="rId466" ref="AS125"/>
    <hyperlink r:id="rId467" ref="AQ126"/>
    <hyperlink r:id="rId468" ref="AR126"/>
    <hyperlink r:id="rId469" ref="AS126"/>
    <hyperlink r:id="rId470" ref="AQ127"/>
    <hyperlink r:id="rId471" ref="AR127"/>
    <hyperlink r:id="rId472" ref="AQ128"/>
    <hyperlink r:id="rId473" ref="AR128"/>
    <hyperlink r:id="rId474" ref="AQ129"/>
    <hyperlink r:id="rId475" ref="AR129"/>
    <hyperlink r:id="rId476" ref="AQ130"/>
    <hyperlink r:id="rId477" ref="AR130"/>
    <hyperlink r:id="rId478" ref="AQ131"/>
    <hyperlink r:id="rId479" ref="AR131"/>
    <hyperlink r:id="rId480" ref="AQ132"/>
    <hyperlink r:id="rId481" ref="AR132"/>
    <hyperlink r:id="rId482" ref="AQ133"/>
    <hyperlink r:id="rId483" ref="AR133"/>
    <hyperlink r:id="rId484" ref="AQ134"/>
    <hyperlink r:id="rId485" ref="AR134"/>
    <hyperlink r:id="rId486" ref="AQ135"/>
    <hyperlink r:id="rId487" ref="AR135"/>
    <hyperlink r:id="rId488" ref="AQ136"/>
    <hyperlink r:id="rId489" ref="AR136"/>
    <hyperlink r:id="rId490" ref="AQ137"/>
    <hyperlink r:id="rId491" ref="AR137"/>
    <hyperlink r:id="rId492" ref="AQ138"/>
    <hyperlink r:id="rId493" ref="AR138"/>
    <hyperlink r:id="rId494" ref="AQ140"/>
    <hyperlink r:id="rId495" ref="AR140"/>
    <hyperlink r:id="rId496" ref="AQ141"/>
    <hyperlink r:id="rId497" ref="AR141"/>
    <hyperlink r:id="rId498" ref="AQ142"/>
    <hyperlink r:id="rId499" ref="AR142"/>
    <hyperlink r:id="rId500" ref="AS142"/>
    <hyperlink r:id="rId501" ref="AQ143"/>
    <hyperlink r:id="rId502" ref="AR143"/>
    <hyperlink r:id="rId503" ref="AQ144"/>
    <hyperlink r:id="rId504" ref="AR144"/>
    <hyperlink r:id="rId505" ref="AQ145"/>
    <hyperlink r:id="rId506" ref="AR145"/>
    <hyperlink r:id="rId507" ref="AQ146"/>
    <hyperlink r:id="rId508" ref="AR146"/>
    <hyperlink r:id="rId509" ref="AQ147"/>
    <hyperlink r:id="rId510" ref="AR147"/>
    <hyperlink r:id="rId511" ref="AQ148"/>
    <hyperlink r:id="rId512" ref="AR148"/>
    <hyperlink r:id="rId513" ref="BI148"/>
    <hyperlink r:id="rId514" ref="AQ149"/>
    <hyperlink r:id="rId515" ref="AR149"/>
    <hyperlink r:id="rId516" ref="AQ150"/>
    <hyperlink r:id="rId517" ref="AR150"/>
    <hyperlink r:id="rId518" ref="AQ151"/>
    <hyperlink r:id="rId519" ref="AR151"/>
    <hyperlink r:id="rId520" ref="AQ152"/>
    <hyperlink r:id="rId521" ref="AR152"/>
    <hyperlink r:id="rId522" ref="AQ153"/>
    <hyperlink r:id="rId523" ref="AR153"/>
    <hyperlink r:id="rId524" ref="AQ154"/>
    <hyperlink r:id="rId525" ref="AR154"/>
    <hyperlink r:id="rId526" ref="AS154"/>
    <hyperlink r:id="rId527" ref="BI154"/>
    <hyperlink r:id="rId528" ref="AQ155"/>
    <hyperlink r:id="rId529" ref="AR155"/>
    <hyperlink r:id="rId530" ref="AQ156"/>
    <hyperlink r:id="rId531" ref="AR156"/>
    <hyperlink r:id="rId532" ref="AQ157"/>
    <hyperlink r:id="rId533" ref="AR157"/>
    <hyperlink r:id="rId534" ref="AQ158"/>
    <hyperlink r:id="rId535" ref="AR158"/>
    <hyperlink r:id="rId536" ref="AQ159"/>
    <hyperlink r:id="rId537" ref="AR159"/>
    <hyperlink r:id="rId538" ref="AQ160"/>
    <hyperlink r:id="rId539" ref="AR161"/>
    <hyperlink r:id="rId540" ref="AQ162"/>
    <hyperlink r:id="rId541" ref="AR162"/>
    <hyperlink r:id="rId542" ref="AQ163"/>
    <hyperlink r:id="rId543" ref="AR163"/>
    <hyperlink r:id="rId544" ref="AQ164"/>
    <hyperlink r:id="rId545" ref="AR164"/>
    <hyperlink r:id="rId546" ref="AQ165"/>
    <hyperlink r:id="rId547" ref="AR165"/>
    <hyperlink r:id="rId548" ref="AQ166"/>
    <hyperlink r:id="rId549" ref="AR166"/>
    <hyperlink r:id="rId550" ref="AQ167"/>
    <hyperlink r:id="rId551" ref="AR167"/>
    <hyperlink r:id="rId552" ref="AQ168"/>
    <hyperlink r:id="rId553" ref="AR168"/>
    <hyperlink r:id="rId554" ref="AQ169"/>
    <hyperlink r:id="rId555" ref="AR169"/>
    <hyperlink r:id="rId556" ref="AQ170"/>
    <hyperlink r:id="rId557" ref="AR170"/>
    <hyperlink r:id="rId558" ref="AQ171"/>
    <hyperlink r:id="rId559" ref="AR171"/>
    <hyperlink r:id="rId560" ref="AQ172"/>
    <hyperlink r:id="rId561" ref="AR172"/>
    <hyperlink r:id="rId562" ref="AQ173"/>
    <hyperlink r:id="rId563" ref="AR173"/>
    <hyperlink r:id="rId564" ref="AQ174"/>
    <hyperlink r:id="rId565" ref="AR174"/>
    <hyperlink r:id="rId566" ref="AS174"/>
    <hyperlink r:id="rId567" ref="AQ175"/>
    <hyperlink r:id="rId568" ref="AR175"/>
    <hyperlink r:id="rId569" ref="AS175"/>
    <hyperlink r:id="rId570" ref="AQ176"/>
    <hyperlink r:id="rId571" ref="AR176"/>
    <hyperlink r:id="rId572" ref="AS176"/>
    <hyperlink r:id="rId573" ref="AQ177"/>
    <hyperlink r:id="rId574" ref="AR177"/>
    <hyperlink r:id="rId575" ref="AS177"/>
    <hyperlink r:id="rId576" ref="AQ178"/>
    <hyperlink r:id="rId577" ref="AR178"/>
    <hyperlink r:id="rId578" ref="AS178"/>
    <hyperlink r:id="rId579" ref="AQ179"/>
    <hyperlink r:id="rId580" ref="AR179"/>
    <hyperlink r:id="rId581" ref="AS179"/>
    <hyperlink r:id="rId582" ref="AT179"/>
    <hyperlink r:id="rId583" ref="AU179"/>
    <hyperlink r:id="rId584" ref="AV179"/>
    <hyperlink r:id="rId585" ref="AQ180"/>
    <hyperlink r:id="rId586" ref="AR180"/>
    <hyperlink r:id="rId587" ref="AS180"/>
    <hyperlink r:id="rId588" ref="AT180"/>
    <hyperlink r:id="rId589" ref="AU180"/>
    <hyperlink r:id="rId590" ref="AQ181"/>
    <hyperlink r:id="rId591" ref="AR181"/>
    <hyperlink r:id="rId592" ref="AS181"/>
    <hyperlink r:id="rId593" ref="AQ182"/>
    <hyperlink r:id="rId594" ref="AR182"/>
    <hyperlink r:id="rId595" ref="AS182"/>
    <hyperlink r:id="rId596" ref="AU182"/>
    <hyperlink r:id="rId597" ref="AV182"/>
    <hyperlink r:id="rId598" ref="AQ183"/>
    <hyperlink r:id="rId599" ref="AR183"/>
    <hyperlink r:id="rId600" ref="AS183"/>
    <hyperlink r:id="rId601" ref="AT183"/>
    <hyperlink r:id="rId602" ref="AU183"/>
    <hyperlink r:id="rId603" ref="AQ184"/>
    <hyperlink r:id="rId604" ref="AR184"/>
    <hyperlink r:id="rId605" ref="AT184"/>
    <hyperlink r:id="rId606" ref="AU184"/>
    <hyperlink r:id="rId607" ref="AQ185"/>
    <hyperlink r:id="rId608" ref="AR185"/>
    <hyperlink r:id="rId609" ref="AS185"/>
    <hyperlink r:id="rId610" ref="AQ186"/>
    <hyperlink r:id="rId611" ref="AR186"/>
    <hyperlink r:id="rId612" ref="AS186"/>
    <hyperlink r:id="rId613" ref="AQ187"/>
    <hyperlink r:id="rId614" ref="AR187"/>
    <hyperlink r:id="rId615" ref="AS187"/>
    <hyperlink r:id="rId616" ref="AQ188"/>
    <hyperlink r:id="rId617" ref="AR188"/>
    <hyperlink r:id="rId618" ref="AS188"/>
    <hyperlink r:id="rId619" ref="AQ189"/>
    <hyperlink r:id="rId620" ref="AR189"/>
    <hyperlink r:id="rId621" ref="AS189"/>
    <hyperlink r:id="rId622" ref="AT189"/>
    <hyperlink r:id="rId623" ref="AU189"/>
    <hyperlink r:id="rId624" ref="AV189"/>
    <hyperlink r:id="rId625" ref="AQ190"/>
    <hyperlink r:id="rId626" ref="AR190"/>
    <hyperlink r:id="rId627" ref="AS190"/>
    <hyperlink r:id="rId628" ref="AQ191"/>
    <hyperlink r:id="rId629" ref="AR191"/>
    <hyperlink r:id="rId630" ref="AS191"/>
    <hyperlink r:id="rId631" ref="AT191"/>
    <hyperlink r:id="rId632" ref="AU191"/>
    <hyperlink r:id="rId633" ref="AV191"/>
    <hyperlink r:id="rId634" ref="AQ192"/>
    <hyperlink r:id="rId635" ref="AR192"/>
    <hyperlink r:id="rId636" ref="AS192"/>
    <hyperlink r:id="rId637" ref="AQ193"/>
    <hyperlink r:id="rId638" ref="AR193"/>
    <hyperlink r:id="rId639" ref="AS193"/>
    <hyperlink r:id="rId640" ref="AQ194"/>
    <hyperlink r:id="rId641" ref="AR194"/>
    <hyperlink r:id="rId642" ref="AS194"/>
    <hyperlink r:id="rId643" ref="AT194"/>
    <hyperlink r:id="rId644" ref="AU194"/>
    <hyperlink r:id="rId645" ref="AQ195"/>
    <hyperlink r:id="rId646" ref="AR195"/>
    <hyperlink r:id="rId647" ref="AS195"/>
    <hyperlink r:id="rId648" ref="AU195"/>
    <hyperlink r:id="rId649" ref="AQ196"/>
    <hyperlink r:id="rId650" ref="AR196"/>
    <hyperlink r:id="rId651" ref="AS196"/>
    <hyperlink r:id="rId652" ref="AU196"/>
    <hyperlink r:id="rId653" ref="AV196"/>
    <hyperlink r:id="rId654" ref="AQ197"/>
    <hyperlink r:id="rId655" ref="AR197"/>
    <hyperlink r:id="rId656" ref="AS197"/>
    <hyperlink r:id="rId657" ref="AT197"/>
    <hyperlink r:id="rId658" ref="AU197"/>
    <hyperlink r:id="rId659" ref="AV197"/>
    <hyperlink r:id="rId660" ref="AQ198"/>
    <hyperlink r:id="rId661" ref="AR198"/>
    <hyperlink r:id="rId662" ref="AS198"/>
    <hyperlink r:id="rId663" ref="AQ199"/>
    <hyperlink r:id="rId664" ref="AR199"/>
    <hyperlink r:id="rId665" ref="AS199"/>
    <hyperlink r:id="rId666" ref="AQ200"/>
    <hyperlink r:id="rId667" ref="AR200"/>
    <hyperlink r:id="rId668" ref="AS200"/>
    <hyperlink r:id="rId669" ref="AQ201"/>
    <hyperlink r:id="rId670" ref="AR201"/>
    <hyperlink r:id="rId671" ref="AS201"/>
    <hyperlink r:id="rId672" ref="AQ202"/>
    <hyperlink r:id="rId673" ref="AR202"/>
    <hyperlink r:id="rId674" ref="AS202"/>
    <hyperlink r:id="rId675" ref="AT202"/>
    <hyperlink r:id="rId676" ref="AU202"/>
    <hyperlink r:id="rId677" ref="AQ203"/>
    <hyperlink r:id="rId678" ref="AR203"/>
    <hyperlink r:id="rId679" ref="AS203"/>
    <hyperlink r:id="rId680" ref="AQ204"/>
    <hyperlink r:id="rId681" ref="AR204"/>
    <hyperlink r:id="rId682" ref="AS204"/>
    <hyperlink r:id="rId683" ref="AQ205"/>
    <hyperlink r:id="rId684" ref="AR205"/>
    <hyperlink r:id="rId685" ref="AS205"/>
    <hyperlink r:id="rId686" ref="AU205"/>
    <hyperlink r:id="rId687" ref="AQ206"/>
    <hyperlink r:id="rId688" ref="AR206"/>
    <hyperlink r:id="rId689" ref="AS206"/>
    <hyperlink r:id="rId690" ref="AU206"/>
    <hyperlink r:id="rId691" ref="CB206"/>
    <hyperlink r:id="rId692" ref="AQ207"/>
    <hyperlink r:id="rId693" ref="AR207"/>
    <hyperlink r:id="rId694" ref="AS207"/>
    <hyperlink r:id="rId695" ref="AT207"/>
    <hyperlink r:id="rId696" ref="AU207"/>
    <hyperlink r:id="rId697" ref="AQ208"/>
    <hyperlink r:id="rId698" ref="AR208"/>
    <hyperlink r:id="rId699" ref="AS208"/>
    <hyperlink r:id="rId700" ref="AQ209"/>
    <hyperlink r:id="rId701" ref="AR209"/>
    <hyperlink r:id="rId702" ref="AS209"/>
    <hyperlink r:id="rId703" ref="AT209"/>
    <hyperlink r:id="rId704" ref="AU209"/>
    <hyperlink r:id="rId705" ref="AV209"/>
    <hyperlink r:id="rId706" ref="AQ210"/>
    <hyperlink r:id="rId707" ref="AR210"/>
    <hyperlink r:id="rId708" ref="AS210"/>
    <hyperlink r:id="rId709" ref="AT210"/>
    <hyperlink r:id="rId710" ref="AU210"/>
    <hyperlink r:id="rId711" ref="AQ211"/>
    <hyperlink r:id="rId712" ref="AR211"/>
    <hyperlink r:id="rId713" ref="AS211"/>
    <hyperlink r:id="rId714" ref="AQ212"/>
    <hyperlink r:id="rId715" ref="AR212"/>
    <hyperlink r:id="rId716" ref="AS212"/>
    <hyperlink r:id="rId717" ref="AQ213"/>
    <hyperlink r:id="rId718" ref="AR213"/>
    <hyperlink r:id="rId719" ref="AS213"/>
    <hyperlink r:id="rId720" ref="AT213"/>
    <hyperlink r:id="rId721" ref="AU213"/>
    <hyperlink r:id="rId722" ref="AQ214"/>
    <hyperlink r:id="rId723" ref="AR214"/>
    <hyperlink r:id="rId724" ref="AS214"/>
    <hyperlink r:id="rId725" ref="AU214"/>
    <hyperlink r:id="rId726" ref="AQ215"/>
    <hyperlink r:id="rId727" ref="AR215"/>
    <hyperlink r:id="rId728" ref="AS215"/>
    <hyperlink r:id="rId729" ref="AQ216"/>
    <hyperlink r:id="rId730" ref="AR216"/>
    <hyperlink r:id="rId731" ref="AS216"/>
    <hyperlink r:id="rId732" ref="AT216"/>
    <hyperlink r:id="rId733" ref="AU216"/>
    <hyperlink r:id="rId734" ref="AQ217"/>
    <hyperlink r:id="rId735" ref="AR217"/>
    <hyperlink r:id="rId736" ref="AS217"/>
    <hyperlink r:id="rId737" ref="AT217"/>
    <hyperlink r:id="rId738" ref="AU217"/>
    <hyperlink r:id="rId739" ref="AV217"/>
    <hyperlink r:id="rId740" ref="AQ218"/>
    <hyperlink r:id="rId741" ref="AR218"/>
    <hyperlink r:id="rId742" ref="AS218"/>
    <hyperlink r:id="rId743" ref="AQ219"/>
    <hyperlink r:id="rId744" ref="AR219"/>
    <hyperlink r:id="rId745" ref="AS219"/>
    <hyperlink r:id="rId746" ref="AQ220"/>
    <hyperlink r:id="rId747" ref="AR220"/>
    <hyperlink r:id="rId748" ref="AS220"/>
    <hyperlink r:id="rId749" ref="AU220"/>
    <hyperlink r:id="rId750" ref="AV220"/>
    <hyperlink r:id="rId751" ref="AQ221"/>
    <hyperlink r:id="rId752" ref="AR221"/>
    <hyperlink r:id="rId753" ref="AS221"/>
    <hyperlink r:id="rId754" ref="AQ222"/>
    <hyperlink r:id="rId755" ref="AR222"/>
    <hyperlink r:id="rId756" ref="AS222"/>
    <hyperlink r:id="rId757" ref="AT222"/>
    <hyperlink r:id="rId758" ref="AU222"/>
    <hyperlink r:id="rId759" ref="AV222"/>
    <hyperlink r:id="rId760" ref="AQ223"/>
    <hyperlink r:id="rId761" ref="AR223"/>
    <hyperlink r:id="rId762" ref="AS223"/>
    <hyperlink r:id="rId763" ref="AT223"/>
    <hyperlink r:id="rId764" ref="AU223"/>
    <hyperlink r:id="rId765" ref="AQ224"/>
    <hyperlink r:id="rId766" ref="AR224"/>
    <hyperlink r:id="rId767" ref="AS224"/>
    <hyperlink r:id="rId768" ref="AQ225"/>
    <hyperlink r:id="rId769" ref="AR225"/>
    <hyperlink r:id="rId770" ref="AS225"/>
    <hyperlink r:id="rId771" ref="AQ226"/>
    <hyperlink r:id="rId772" ref="AR226"/>
    <hyperlink r:id="rId773" ref="AS226"/>
    <hyperlink r:id="rId774" ref="AU226"/>
    <hyperlink r:id="rId775" ref="AV226"/>
    <hyperlink r:id="rId776" ref="AQ227"/>
    <hyperlink r:id="rId777" ref="AR227"/>
    <hyperlink r:id="rId778" ref="AS227"/>
    <hyperlink r:id="rId779" ref="AQ228"/>
    <hyperlink r:id="rId780" ref="AR228"/>
    <hyperlink r:id="rId781" ref="AS228"/>
    <hyperlink r:id="rId782" ref="AQ229"/>
    <hyperlink r:id="rId783" ref="AR229"/>
    <hyperlink r:id="rId784" ref="AS229"/>
    <hyperlink r:id="rId785" ref="AT229"/>
    <hyperlink r:id="rId786" ref="AU229"/>
    <hyperlink r:id="rId787" ref="AQ230"/>
    <hyperlink r:id="rId788" ref="AR230"/>
    <hyperlink r:id="rId789" ref="AS230"/>
    <hyperlink r:id="rId790" ref="AQ231"/>
    <hyperlink r:id="rId791" ref="AR231"/>
    <hyperlink r:id="rId792" ref="AS231"/>
    <hyperlink r:id="rId793" ref="AQ232"/>
    <hyperlink r:id="rId794" ref="AR232"/>
    <hyperlink r:id="rId795" ref="AS232"/>
    <hyperlink r:id="rId796" ref="AT232"/>
    <hyperlink r:id="rId797" ref="AU232"/>
    <hyperlink r:id="rId798" ref="AV232"/>
    <hyperlink r:id="rId799" ref="AQ233"/>
    <hyperlink r:id="rId800" ref="AR233"/>
    <hyperlink r:id="rId801" ref="AS233"/>
    <hyperlink r:id="rId802" ref="AQ234"/>
    <hyperlink r:id="rId803" ref="AR234"/>
    <hyperlink r:id="rId804" ref="AS234"/>
    <hyperlink r:id="rId805" ref="AQ235"/>
    <hyperlink r:id="rId806" ref="AR235"/>
    <hyperlink r:id="rId807" ref="AS235"/>
    <hyperlink r:id="rId808" ref="AQ236"/>
    <hyperlink r:id="rId809" ref="AR236"/>
    <hyperlink r:id="rId810" ref="AS236"/>
    <hyperlink r:id="rId811" ref="AU236"/>
    <hyperlink r:id="rId812" ref="AQ237"/>
    <hyperlink r:id="rId813" ref="AR237"/>
    <hyperlink r:id="rId814" ref="AS237"/>
    <hyperlink r:id="rId815" ref="AQ238"/>
    <hyperlink r:id="rId816" ref="AR238"/>
    <hyperlink r:id="rId817" ref="AS238"/>
    <hyperlink r:id="rId818" ref="AQ239"/>
    <hyperlink r:id="rId819" ref="AR239"/>
    <hyperlink r:id="rId820" ref="AS239"/>
    <hyperlink r:id="rId821" ref="AQ240"/>
    <hyperlink r:id="rId822" ref="AR240"/>
    <hyperlink r:id="rId823" ref="AS240"/>
    <hyperlink r:id="rId824" ref="AQ241"/>
    <hyperlink r:id="rId825" ref="AR241"/>
    <hyperlink r:id="rId826" ref="AS241"/>
    <hyperlink r:id="rId827" ref="AQ242"/>
    <hyperlink r:id="rId828" ref="AR242"/>
    <hyperlink r:id="rId829" ref="AS242"/>
    <hyperlink r:id="rId830" ref="AT242"/>
    <hyperlink r:id="rId831" ref="AU242"/>
    <hyperlink r:id="rId832" ref="AQ243"/>
    <hyperlink r:id="rId833" ref="AR243"/>
    <hyperlink r:id="rId834" ref="AS243"/>
    <hyperlink r:id="rId835" ref="AQ244"/>
    <hyperlink r:id="rId836" ref="AR244"/>
    <hyperlink r:id="rId837" ref="AS244"/>
    <hyperlink r:id="rId838" ref="AQ245"/>
    <hyperlink r:id="rId839" ref="AR245"/>
    <hyperlink r:id="rId840" ref="AQ246"/>
    <hyperlink r:id="rId841" ref="AR246"/>
    <hyperlink r:id="rId842" ref="AS246"/>
    <hyperlink r:id="rId843" ref="AQ247"/>
    <hyperlink r:id="rId844" ref="AR247"/>
    <hyperlink r:id="rId845" ref="AS247"/>
    <hyperlink r:id="rId846" ref="AQ248"/>
    <hyperlink r:id="rId847" ref="AR248"/>
    <hyperlink r:id="rId848" ref="AS248"/>
    <hyperlink r:id="rId849" ref="AQ249"/>
    <hyperlink r:id="rId850" ref="AR249"/>
    <hyperlink r:id="rId851" ref="AS249"/>
    <hyperlink r:id="rId852" ref="AQ250"/>
    <hyperlink r:id="rId853" ref="AR250"/>
    <hyperlink r:id="rId854" ref="AQ251"/>
    <hyperlink r:id="rId855" ref="AR251"/>
    <hyperlink r:id="rId856" ref="AS251"/>
    <hyperlink r:id="rId857" ref="AQ252"/>
    <hyperlink r:id="rId858" ref="AR252"/>
    <hyperlink r:id="rId859" ref="AS252"/>
    <hyperlink r:id="rId860" ref="AQ253"/>
    <hyperlink r:id="rId861" ref="AR253"/>
    <hyperlink r:id="rId862" ref="AQ254"/>
    <hyperlink r:id="rId863" ref="AR254"/>
    <hyperlink r:id="rId864" ref="AS254"/>
    <hyperlink r:id="rId865" ref="AT254"/>
    <hyperlink r:id="rId866" ref="AU254"/>
    <hyperlink r:id="rId867" ref="AV254"/>
    <hyperlink r:id="rId868" ref="AQ255"/>
    <hyperlink r:id="rId869" ref="AR255"/>
    <hyperlink r:id="rId870" ref="AQ256"/>
    <hyperlink r:id="rId871" ref="AR256"/>
    <hyperlink r:id="rId872" ref="AS256"/>
    <hyperlink r:id="rId873" ref="AQ257"/>
    <hyperlink r:id="rId874" ref="AR257"/>
    <hyperlink r:id="rId875" ref="AS257"/>
    <hyperlink r:id="rId876" ref="AQ258"/>
    <hyperlink r:id="rId877" ref="AR258"/>
    <hyperlink r:id="rId878" ref="AS258"/>
    <hyperlink r:id="rId879" ref="AQ259"/>
    <hyperlink r:id="rId880" ref="AR259"/>
    <hyperlink r:id="rId881" ref="AS259"/>
    <hyperlink r:id="rId882" ref="AQ260"/>
    <hyperlink r:id="rId883" ref="AR260"/>
    <hyperlink r:id="rId884" ref="AS260"/>
    <hyperlink r:id="rId885" ref="AQ261"/>
    <hyperlink r:id="rId886" ref="AR261"/>
    <hyperlink r:id="rId887" ref="AS261"/>
    <hyperlink r:id="rId888" ref="AT261"/>
    <hyperlink r:id="rId889" ref="AU261"/>
    <hyperlink r:id="rId890" ref="AV261"/>
    <hyperlink r:id="rId891" ref="AQ262"/>
    <hyperlink r:id="rId892" ref="AR262"/>
    <hyperlink r:id="rId893" ref="AS262"/>
    <hyperlink r:id="rId894" ref="AU262"/>
    <hyperlink r:id="rId895" ref="AV262"/>
    <hyperlink r:id="rId896" ref="AQ263"/>
    <hyperlink r:id="rId897" ref="AR263"/>
    <hyperlink r:id="rId898" ref="AS263"/>
    <hyperlink r:id="rId899" ref="AT263"/>
    <hyperlink r:id="rId900" ref="AU263"/>
    <hyperlink r:id="rId901" ref="AV263"/>
    <hyperlink r:id="rId902" ref="AQ264"/>
    <hyperlink r:id="rId903" ref="AR264"/>
    <hyperlink r:id="rId904" ref="AS264"/>
    <hyperlink r:id="rId905" ref="AT264"/>
    <hyperlink r:id="rId906" ref="AQ265"/>
    <hyperlink r:id="rId907" ref="AR265"/>
    <hyperlink r:id="rId908" ref="AS265"/>
    <hyperlink r:id="rId909" ref="AQ266"/>
    <hyperlink r:id="rId910" ref="AR266"/>
    <hyperlink r:id="rId911" ref="AS266"/>
    <hyperlink r:id="rId912" ref="AQ267"/>
    <hyperlink r:id="rId913" ref="AR267"/>
    <hyperlink r:id="rId914" ref="AS267"/>
    <hyperlink r:id="rId915" ref="AT267"/>
    <hyperlink r:id="rId916" ref="AU267"/>
    <hyperlink r:id="rId917" ref="AQ268"/>
    <hyperlink r:id="rId918" ref="AR268"/>
    <hyperlink r:id="rId919" ref="AS268"/>
    <hyperlink r:id="rId920" ref="AT268"/>
    <hyperlink r:id="rId921" ref="AU268"/>
    <hyperlink r:id="rId922" ref="AQ269"/>
    <hyperlink r:id="rId923" ref="AR269"/>
    <hyperlink r:id="rId924" ref="AS269"/>
    <hyperlink r:id="rId925" ref="AT269"/>
    <hyperlink r:id="rId926" ref="AU269"/>
    <hyperlink r:id="rId927" ref="AQ270"/>
    <hyperlink r:id="rId928" ref="AR270"/>
    <hyperlink r:id="rId929" ref="AS270"/>
    <hyperlink r:id="rId930" ref="AU270"/>
    <hyperlink r:id="rId931" ref="AQ271"/>
    <hyperlink r:id="rId932" ref="AR271"/>
    <hyperlink r:id="rId933" ref="AS271"/>
    <hyperlink r:id="rId934" ref="AQ272"/>
    <hyperlink r:id="rId935" ref="AR272"/>
    <hyperlink r:id="rId936" ref="AS272"/>
    <hyperlink r:id="rId937" ref="AT272"/>
    <hyperlink r:id="rId938" ref="AV272"/>
    <hyperlink r:id="rId939" ref="AQ273"/>
    <hyperlink r:id="rId940" ref="AS273"/>
    <hyperlink r:id="rId941" ref="AQ274"/>
    <hyperlink r:id="rId942" ref="AS274"/>
    <hyperlink r:id="rId943" ref="AQ275"/>
    <hyperlink r:id="rId944" ref="AR275"/>
    <hyperlink r:id="rId945" ref="AS275"/>
    <hyperlink r:id="rId946" ref="AU275"/>
    <hyperlink r:id="rId947" ref="AQ276"/>
    <hyperlink r:id="rId948" ref="AR276"/>
    <hyperlink r:id="rId949" ref="AS276"/>
    <hyperlink r:id="rId950" ref="AQ277"/>
    <hyperlink r:id="rId951" ref="AR277"/>
    <hyperlink r:id="rId952" ref="AS277"/>
    <hyperlink r:id="rId953" ref="AQ278"/>
    <hyperlink r:id="rId954" ref="AR278"/>
    <hyperlink r:id="rId955" ref="AS278"/>
    <hyperlink r:id="rId956" ref="AQ279"/>
    <hyperlink r:id="rId957" ref="AR279"/>
    <hyperlink r:id="rId958" ref="AS279"/>
    <hyperlink r:id="rId959" ref="AT279"/>
    <hyperlink r:id="rId960" ref="AU279"/>
    <hyperlink r:id="rId961" ref="AQ280"/>
    <hyperlink r:id="rId962" ref="AR280"/>
    <hyperlink r:id="rId963" ref="AS280"/>
    <hyperlink r:id="rId964" ref="AQ281"/>
    <hyperlink r:id="rId965" ref="AR281"/>
    <hyperlink r:id="rId966" ref="AS281"/>
    <hyperlink r:id="rId967" ref="AT281"/>
    <hyperlink r:id="rId968" ref="AU281"/>
    <hyperlink r:id="rId969" ref="AQ282"/>
    <hyperlink r:id="rId970" ref="AR282"/>
    <hyperlink r:id="rId971" ref="AS282"/>
    <hyperlink r:id="rId972" ref="AQ283"/>
    <hyperlink r:id="rId973" ref="AR283"/>
    <hyperlink r:id="rId974" ref="AS283"/>
    <hyperlink r:id="rId975" ref="AQ284"/>
    <hyperlink r:id="rId976" ref="AR284"/>
    <hyperlink r:id="rId977" ref="AS284"/>
    <hyperlink r:id="rId978" ref="AQ285"/>
    <hyperlink r:id="rId979" ref="AR285"/>
    <hyperlink r:id="rId980" ref="AS285"/>
    <hyperlink r:id="rId981" ref="AQ286"/>
    <hyperlink r:id="rId982" ref="AR286"/>
    <hyperlink r:id="rId983" ref="AS286"/>
    <hyperlink r:id="rId984" ref="AQ287"/>
    <hyperlink r:id="rId985" ref="AR287"/>
    <hyperlink r:id="rId986" ref="AS287"/>
    <hyperlink r:id="rId987" ref="AQ288"/>
    <hyperlink r:id="rId988" ref="AR288"/>
    <hyperlink r:id="rId989" ref="AS288"/>
    <hyperlink r:id="rId990" ref="AQ289"/>
    <hyperlink r:id="rId991" ref="AR289"/>
    <hyperlink r:id="rId992" ref="AS289"/>
    <hyperlink r:id="rId993" ref="AU289"/>
    <hyperlink r:id="rId994" ref="AV289"/>
    <hyperlink r:id="rId995" ref="AQ290"/>
    <hyperlink r:id="rId996" ref="AR290"/>
    <hyperlink r:id="rId997" ref="AS290"/>
    <hyperlink r:id="rId998" ref="AQ291"/>
    <hyperlink r:id="rId999" ref="AR291"/>
    <hyperlink r:id="rId1000" ref="AS291"/>
    <hyperlink r:id="rId1001" ref="AU291"/>
    <hyperlink r:id="rId1002" ref="AV291"/>
    <hyperlink r:id="rId1003" ref="AQ292"/>
    <hyperlink r:id="rId1004" ref="AR292"/>
    <hyperlink r:id="rId1005" ref="AS292"/>
    <hyperlink r:id="rId1006" ref="AQ293"/>
    <hyperlink r:id="rId1007" ref="AR293"/>
    <hyperlink r:id="rId1008" ref="AS293"/>
    <hyperlink r:id="rId1009" ref="AT293"/>
    <hyperlink r:id="rId1010" ref="AQ294"/>
    <hyperlink r:id="rId1011" ref="AR294"/>
    <hyperlink r:id="rId1012" ref="AS294"/>
    <hyperlink r:id="rId1013" ref="AQ295"/>
    <hyperlink r:id="rId1014" ref="AR295"/>
    <hyperlink r:id="rId1015" ref="AS295"/>
    <hyperlink r:id="rId1016" ref="AQ296"/>
    <hyperlink r:id="rId1017" ref="AR296"/>
    <hyperlink r:id="rId1018" ref="AS296"/>
    <hyperlink r:id="rId1019" ref="AQ297"/>
    <hyperlink r:id="rId1020" ref="AR297"/>
    <hyperlink r:id="rId1021" ref="AS297"/>
    <hyperlink r:id="rId1022" ref="AQ298"/>
    <hyperlink r:id="rId1023" ref="AR298"/>
    <hyperlink r:id="rId1024" ref="AS298"/>
    <hyperlink r:id="rId1025" ref="AQ299"/>
    <hyperlink r:id="rId1026" ref="AR299"/>
    <hyperlink r:id="rId1027" ref="AS299"/>
    <hyperlink r:id="rId1028" ref="AT299"/>
    <hyperlink r:id="rId1029" ref="AU299"/>
    <hyperlink r:id="rId1030" ref="AV299"/>
    <hyperlink r:id="rId1031" ref="AQ300"/>
    <hyperlink r:id="rId1032" ref="AR300"/>
    <hyperlink r:id="rId1033" ref="AQ301"/>
    <hyperlink r:id="rId1034" ref="AR301"/>
    <hyperlink r:id="rId1035" ref="AS301"/>
    <hyperlink r:id="rId1036" ref="AQ302"/>
    <hyperlink r:id="rId1037" ref="AR302"/>
    <hyperlink r:id="rId1038" ref="AQ303"/>
    <hyperlink r:id="rId1039" ref="AR303"/>
    <hyperlink r:id="rId1040" ref="AS303"/>
    <hyperlink r:id="rId1041" ref="AQ304"/>
    <hyperlink r:id="rId1042" ref="AR304"/>
    <hyperlink r:id="rId1043" ref="AQ305"/>
    <hyperlink r:id="rId1044" ref="AR305"/>
    <hyperlink r:id="rId1045" ref="AS305"/>
    <hyperlink r:id="rId1046" ref="AQ306"/>
    <hyperlink r:id="rId1047" ref="AR306"/>
    <hyperlink r:id="rId1048" ref="AS306"/>
    <hyperlink r:id="rId1049" ref="AR308"/>
    <hyperlink r:id="rId1050" ref="AQ309"/>
    <hyperlink r:id="rId1051" ref="AR309"/>
    <hyperlink r:id="rId1052" ref="AS309"/>
    <hyperlink r:id="rId1053" ref="AQ310"/>
    <hyperlink r:id="rId1054" ref="AR310"/>
    <hyperlink r:id="rId1055" ref="AS310"/>
    <hyperlink r:id="rId1056" ref="AQ311"/>
    <hyperlink r:id="rId1057" ref="AR311"/>
    <hyperlink r:id="rId1058" ref="AS311"/>
    <hyperlink r:id="rId1059" ref="AU311"/>
    <hyperlink r:id="rId1060" ref="AQ312"/>
    <hyperlink r:id="rId1061" ref="AR312"/>
    <hyperlink r:id="rId1062" ref="AS312"/>
    <hyperlink r:id="rId1063" ref="AQ313"/>
    <hyperlink r:id="rId1064" ref="AR313"/>
    <hyperlink r:id="rId1065" ref="AS313"/>
    <hyperlink r:id="rId1066" ref="AQ314"/>
    <hyperlink r:id="rId1067" ref="AR314"/>
    <hyperlink r:id="rId1068" ref="AS314"/>
    <hyperlink r:id="rId1069" ref="AQ315"/>
    <hyperlink r:id="rId1070" ref="AR315"/>
    <hyperlink r:id="rId1071" ref="AS315"/>
    <hyperlink r:id="rId1072" ref="AQ316"/>
    <hyperlink r:id="rId1073" ref="AR316"/>
    <hyperlink r:id="rId1074" ref="AS316"/>
    <hyperlink r:id="rId1075" ref="AQ317"/>
    <hyperlink r:id="rId1076" ref="AR317"/>
    <hyperlink r:id="rId1077" ref="AS317"/>
    <hyperlink r:id="rId1078" ref="AQ318"/>
    <hyperlink r:id="rId1079" ref="AR318"/>
    <hyperlink r:id="rId1080" ref="AS318"/>
    <hyperlink r:id="rId1081" ref="AQ319"/>
    <hyperlink r:id="rId1082" ref="AR319"/>
    <hyperlink r:id="rId1083" ref="AS319"/>
    <hyperlink r:id="rId1084" ref="AT319"/>
    <hyperlink r:id="rId1085" ref="AU319"/>
    <hyperlink r:id="rId1086" ref="AQ320"/>
    <hyperlink r:id="rId1087" ref="AR320"/>
    <hyperlink r:id="rId1088" ref="AS320"/>
    <hyperlink r:id="rId1089" ref="AQ321"/>
    <hyperlink r:id="rId1090" ref="AR321"/>
    <hyperlink r:id="rId1091" ref="AS321"/>
    <hyperlink r:id="rId1092" ref="AQ322"/>
    <hyperlink r:id="rId1093" ref="AR322"/>
    <hyperlink r:id="rId1094" ref="AS322"/>
    <hyperlink r:id="rId1095" ref="AQ323"/>
    <hyperlink r:id="rId1096" ref="AR323"/>
    <hyperlink r:id="rId1097" ref="AS323"/>
    <hyperlink r:id="rId1098" ref="AV323"/>
    <hyperlink r:id="rId1099" ref="AQ324"/>
    <hyperlink r:id="rId1100" ref="AR324"/>
    <hyperlink r:id="rId1101" ref="AS324"/>
    <hyperlink r:id="rId1102" ref="AQ325"/>
    <hyperlink r:id="rId1103" ref="AR325"/>
    <hyperlink r:id="rId1104" ref="AS325"/>
    <hyperlink r:id="rId1105" ref="AQ326"/>
    <hyperlink r:id="rId1106" ref="AR326"/>
    <hyperlink r:id="rId1107" ref="AS326"/>
    <hyperlink r:id="rId1108" ref="AQ327"/>
    <hyperlink r:id="rId1109" ref="AR327"/>
    <hyperlink r:id="rId1110" ref="AS327"/>
    <hyperlink r:id="rId1111" ref="AQ328"/>
    <hyperlink r:id="rId1112" ref="AR328"/>
    <hyperlink r:id="rId1113" ref="AS328"/>
    <hyperlink r:id="rId1114" ref="AQ329"/>
    <hyperlink r:id="rId1115" ref="AR329"/>
    <hyperlink r:id="rId1116" ref="AQ330"/>
    <hyperlink r:id="rId1117" ref="AR330"/>
    <hyperlink r:id="rId1118" ref="AS330"/>
    <hyperlink r:id="rId1119" ref="AQ331"/>
    <hyperlink r:id="rId1120" ref="AR331"/>
    <hyperlink r:id="rId1121" ref="AS331"/>
    <hyperlink r:id="rId1122" ref="AQ332"/>
    <hyperlink r:id="rId1123" ref="AR332"/>
    <hyperlink r:id="rId1124" ref="AS332"/>
    <hyperlink r:id="rId1125" ref="AQ333"/>
    <hyperlink r:id="rId1126" ref="AR333"/>
    <hyperlink r:id="rId1127" ref="AS333"/>
    <hyperlink r:id="rId1128" ref="AQ334"/>
    <hyperlink r:id="rId1129" ref="AR334"/>
    <hyperlink r:id="rId1130" ref="AQ335"/>
    <hyperlink r:id="rId1131" ref="AR335"/>
    <hyperlink r:id="rId1132" ref="AQ336"/>
    <hyperlink r:id="rId1133" ref="AR336"/>
    <hyperlink r:id="rId1134" ref="AS336"/>
    <hyperlink r:id="rId1135" ref="AQ337"/>
    <hyperlink r:id="rId1136" ref="AR337"/>
    <hyperlink r:id="rId1137" ref="AS337"/>
    <hyperlink r:id="rId1138" ref="AQ338"/>
    <hyperlink r:id="rId1139" ref="AR338"/>
    <hyperlink r:id="rId1140" ref="AS338"/>
    <hyperlink r:id="rId1141" ref="AQ339"/>
    <hyperlink r:id="rId1142" ref="AR339"/>
    <hyperlink r:id="rId1143" ref="AS339"/>
    <hyperlink r:id="rId1144" ref="AQ340"/>
    <hyperlink r:id="rId1145" ref="AR340"/>
    <hyperlink r:id="rId1146" ref="AS340"/>
    <hyperlink r:id="rId1147" ref="AQ341"/>
    <hyperlink r:id="rId1148" ref="AR341"/>
    <hyperlink r:id="rId1149" ref="AQ342"/>
    <hyperlink r:id="rId1150" ref="AR342"/>
    <hyperlink r:id="rId1151" ref="AS342"/>
    <hyperlink r:id="rId1152" ref="AQ343"/>
    <hyperlink r:id="rId1153" ref="AR343"/>
    <hyperlink r:id="rId1154" ref="AS343"/>
    <hyperlink r:id="rId1155" ref="AQ344"/>
    <hyperlink r:id="rId1156" ref="AR344"/>
    <hyperlink r:id="rId1157" ref="AS344"/>
    <hyperlink r:id="rId1158" ref="AQ345"/>
    <hyperlink r:id="rId1159" ref="AR345"/>
    <hyperlink r:id="rId1160" ref="AS345"/>
    <hyperlink r:id="rId1161" ref="AT345"/>
    <hyperlink r:id="rId1162" ref="AU345"/>
    <hyperlink r:id="rId1163" ref="AV345"/>
    <hyperlink r:id="rId1164" ref="AQ346"/>
    <hyperlink r:id="rId1165" ref="AR346"/>
    <hyperlink r:id="rId1166" ref="AS346"/>
    <hyperlink r:id="rId1167" ref="AQ347"/>
    <hyperlink r:id="rId1168" ref="AR347"/>
    <hyperlink r:id="rId1169" ref="AS347"/>
    <hyperlink r:id="rId1170" ref="AQ348"/>
    <hyperlink r:id="rId1171" ref="AR348"/>
    <hyperlink r:id="rId1172" ref="AS348"/>
    <hyperlink r:id="rId1173" ref="AQ349"/>
    <hyperlink r:id="rId1174" ref="AR349"/>
    <hyperlink r:id="rId1175" ref="AS349"/>
    <hyperlink r:id="rId1176" ref="AU349"/>
    <hyperlink r:id="rId1177" ref="AQ350"/>
    <hyperlink r:id="rId1178" ref="AR350"/>
    <hyperlink r:id="rId1179" ref="AS350"/>
    <hyperlink r:id="rId1180" ref="AU350"/>
    <hyperlink r:id="rId1181" ref="AQ351"/>
    <hyperlink r:id="rId1182" ref="AS351"/>
    <hyperlink r:id="rId1183" ref="AQ352"/>
    <hyperlink r:id="rId1184" ref="AR352"/>
    <hyperlink r:id="rId1185" ref="AQ353"/>
    <hyperlink r:id="rId1186" ref="AR353"/>
    <hyperlink r:id="rId1187" ref="AQ354"/>
    <hyperlink r:id="rId1188" ref="AR354"/>
    <hyperlink r:id="rId1189" ref="AS354"/>
    <hyperlink r:id="rId1190" ref="AQ355"/>
    <hyperlink r:id="rId1191" ref="AR355"/>
    <hyperlink r:id="rId1192" ref="AQ356"/>
    <hyperlink r:id="rId1193" ref="AR356"/>
    <hyperlink r:id="rId1194" ref="AS356"/>
    <hyperlink r:id="rId1195" ref="AQ357"/>
    <hyperlink r:id="rId1196" ref="AR357"/>
    <hyperlink r:id="rId1197" ref="AS357"/>
    <hyperlink r:id="rId1198" ref="AQ359"/>
    <hyperlink r:id="rId1199" ref="AR359"/>
    <hyperlink r:id="rId1200" ref="AS359"/>
    <hyperlink r:id="rId1201" ref="AU359"/>
    <hyperlink r:id="rId1202" ref="AQ361"/>
    <hyperlink r:id="rId1203" ref="AS361"/>
    <hyperlink r:id="rId1204" ref="AQ362"/>
    <hyperlink r:id="rId1205" ref="AS362"/>
    <hyperlink r:id="rId1206" ref="AQ363"/>
    <hyperlink r:id="rId1207" ref="AS363"/>
    <hyperlink r:id="rId1208" ref="AQ364"/>
    <hyperlink r:id="rId1209" ref="AS364"/>
    <hyperlink r:id="rId1210" ref="AQ365"/>
    <hyperlink r:id="rId1211" ref="AQ366"/>
    <hyperlink r:id="rId1212" ref="AQ367"/>
    <hyperlink r:id="rId1213" ref="AQ368"/>
    <hyperlink r:id="rId1214" ref="AQ369"/>
    <hyperlink r:id="rId1215" ref="AQ370"/>
    <hyperlink r:id="rId1216" ref="AQ371"/>
    <hyperlink r:id="rId1217" ref="AQ372"/>
    <hyperlink r:id="rId1218" ref="AQ373"/>
    <hyperlink r:id="rId1219" ref="AS374"/>
    <hyperlink r:id="rId1220" ref="AS375"/>
    <hyperlink r:id="rId1221" ref="AS376"/>
    <hyperlink r:id="rId1222" ref="AS377"/>
    <hyperlink r:id="rId1223" ref="AS378"/>
    <hyperlink r:id="rId1224" ref="AS379"/>
    <hyperlink r:id="rId1225" ref="AS380"/>
    <hyperlink r:id="rId1226" ref="AS381"/>
  </hyperlinks>
  <drawing r:id="rId1227"/>
</worksheet>
</file>